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updateLinks="never"/>
  <mc:AlternateContent xmlns:mc="http://schemas.openxmlformats.org/markup-compatibility/2006">
    <mc:Choice Requires="x15">
      <x15ac:absPath xmlns:x15ac="http://schemas.microsoft.com/office/spreadsheetml/2010/11/ac" url="N:\FMS\Illustrative Financials\2024 Illustrative Financial Statements\2024 Carolina County\Final for Website\"/>
    </mc:Choice>
  </mc:AlternateContent>
  <xr:revisionPtr revIDLastSave="0" documentId="13_ncr:1_{84244FB3-4AA4-4881-B941-AFA9CA7E6BFE}" xr6:coauthVersionLast="47" xr6:coauthVersionMax="47" xr10:uidLastSave="{00000000-0000-0000-0000-000000000000}"/>
  <bookViews>
    <workbookView xWindow="-120" yWindow="-120" windowWidth="29040" windowHeight="17640" tabRatio="1000" xr2:uid="{C9B37A78-4277-4837-84DD-B70C069FFD78}"/>
  </bookViews>
  <sheets>
    <sheet name="General Instructions" sheetId="1" r:id="rId1"/>
    <sheet name="Conversion Worksheet" sheetId="2" r:id="rId2"/>
    <sheet name="A. Revenue by function" sheetId="3" r:id="rId3"/>
    <sheet name="B.  Property Taxes" sheetId="4" r:id="rId4"/>
    <sheet name="C. Other Revenues" sheetId="5" r:id="rId5"/>
    <sheet name="D. Depreciation" sheetId="6" r:id="rId6"/>
    <sheet name="E. Capital Outlay" sheetId="7" r:id="rId7"/>
    <sheet name="F.  Other Cap Asset Entries" sheetId="8" r:id="rId8"/>
    <sheet name="G. Debt Service" sheetId="9" r:id="rId9"/>
    <sheet name="H. Debt Issues" sheetId="10" r:id="rId10"/>
    <sheet name="I.  Other Asset Entries" sheetId="11" r:id="rId11"/>
    <sheet name="J. Other Liability &amp; Expenses" sheetId="12" r:id="rId12"/>
    <sheet name="K.1  Int. Service Fd Allocation" sheetId="13" r:id="rId13"/>
    <sheet name="K.2  Int. Service Fd Alloca" sheetId="14" r:id="rId14"/>
    <sheet name="K.3 Int. Service Fd Alloca" sheetId="15" r:id="rId15"/>
    <sheet name="L. Eliminations-Consolidations" sheetId="16" r:id="rId16"/>
    <sheet name="M. Net Position Calculation" sheetId="17" r:id="rId17"/>
    <sheet name="N.1 GASB 68 LGERS" sheetId="18" r:id="rId18"/>
    <sheet name="2019 LGERS summary" sheetId="19" state="hidden" r:id="rId19"/>
    <sheet name="2018 summary" sheetId="20" state="hidden" r:id="rId20"/>
    <sheet name="N.1a LGERS Data PY" sheetId="21" state="hidden" r:id="rId21"/>
    <sheet name="N.1b LGERS Data PY" sheetId="22" state="hidden" r:id="rId22"/>
    <sheet name="N.2 GASB 68 ROD" sheetId="23" r:id="rId23"/>
    <sheet name="N.2b ROD Data PY" sheetId="24" state="hidden" r:id="rId24"/>
    <sheet name="2019 Summary ROD" sheetId="25" state="hidden" r:id="rId25"/>
    <sheet name="N.2a ROD 2018 PY" sheetId="26" state="hidden" r:id="rId26"/>
    <sheet name="2018 Contributions ROD" sheetId="27" state="hidden" r:id="rId27"/>
    <sheet name="N.3 GASB 68 FRSWPF" sheetId="28" r:id="rId28"/>
    <sheet name="O. GASB 73 LEO Entries" sheetId="29" r:id="rId29"/>
    <sheet name="Sheet1" sheetId="30" state="hidden" r:id="rId30"/>
    <sheet name="P.1 GASB 75 OPEB  - plan 1" sheetId="31" r:id="rId31"/>
    <sheet name="P.2 GASB 75 OPEB - plan 2" sheetId="32" r:id="rId32"/>
    <sheet name="P.3 GASB 75 OPEB - plan 3" sheetId="33" r:id="rId33"/>
    <sheet name="Q. GASB 87 Lease Entries" sheetId="34" r:id="rId34"/>
    <sheet name="R. GASB 96 Subscription Entries" sheetId="38" r:id="rId35"/>
    <sheet name="2018 OPEB " sheetId="35" state="hidden"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xlnm._FilterDatabase" localSheetId="21" hidden="1">'N.1b LGERS Data PY'!$A$2:$U$897</definedName>
    <definedName name="_xlnm._FilterDatabase" localSheetId="23" hidden="1">'N.2b ROD Data PY'!$B$2:$U$102</definedName>
    <definedName name="ActuaryCredentialsGASB">[1]DeveloperInfo!$D$19</definedName>
    <definedName name="ActuaryNameGASB">[1]DeveloperInfo!$D$17</definedName>
    <definedName name="ActuaryTitleGASB">[1]DeveloperInfo!$D$18</definedName>
    <definedName name="AdjCNSDate">[1]DeveloperInfo!$D$33</definedName>
    <definedName name="AdjCNSDate1">[1]DeveloperInfo!$E$33</definedName>
    <definedName name="AdjCNSDateTempEnable">[1]DeveloperInfo!$F$34</definedName>
    <definedName name="AgencyCode" localSheetId="19">#REF!</definedName>
    <definedName name="AgencyCode" localSheetId="20">#REF!</definedName>
    <definedName name="AgencyCode" localSheetId="21">#REF!</definedName>
    <definedName name="AgencyCode" localSheetId="25">#REF!</definedName>
    <definedName name="AgencyCode" localSheetId="23">#REF!</definedName>
    <definedName name="AgencyCode" localSheetId="28">#REF!</definedName>
    <definedName name="AgencyCode" localSheetId="30">#REF!</definedName>
    <definedName name="AgencyCode">#REF!</definedName>
    <definedName name="AgencyCode1" localSheetId="30">#REF!</definedName>
    <definedName name="AgencyCode1">#REF!</definedName>
    <definedName name="AnalystGASB">[1]DeveloperInfo!$D$20</definedName>
    <definedName name="Annuity" localSheetId="19">#REF!</definedName>
    <definedName name="Annuity" localSheetId="20">#REF!</definedName>
    <definedName name="Annuity" localSheetId="21">'[2]Assets Input'!$L$37:$L$56</definedName>
    <definedName name="Annuity" localSheetId="25">'[3]Assets Input'!$E$36:$E$59</definedName>
    <definedName name="Annuity" localSheetId="23">'[4]Assets Input'!$E$36:$E$59</definedName>
    <definedName name="Annuity" localSheetId="28">#REF!</definedName>
    <definedName name="Annuity" localSheetId="30">#REF!</definedName>
    <definedName name="Annuity" localSheetId="33">#REF!</definedName>
    <definedName name="Annuity">#REF!</definedName>
    <definedName name="Annuity1" localSheetId="30">#REF!</definedName>
    <definedName name="Annuity1">#REF!</definedName>
    <definedName name="AnnuityLY" localSheetId="19">#REF!</definedName>
    <definedName name="AnnuityLY" localSheetId="20">#REF!</definedName>
    <definedName name="AnnuityLY" localSheetId="25">'[5]Assets Input'!#REF!</definedName>
    <definedName name="AnnuityLY" localSheetId="23">'[5]Assets Input'!#REF!</definedName>
    <definedName name="AnnuityLY" localSheetId="28">#REF!</definedName>
    <definedName name="AnnuityLY" localSheetId="30">#REF!</definedName>
    <definedName name="AnnuityLY" localSheetId="33">#REF!</definedName>
    <definedName name="AnnuityLY">#REF!</definedName>
    <definedName name="ASTABPF">[1]DeveloperInfo!$D$36</definedName>
    <definedName name="ASTABPF1">[1]DeveloperInfo!$D$37</definedName>
    <definedName name="ASTEBPF">[1]DeveloperInfo!$F$37</definedName>
    <definedName name="ClientShortGASB">[1]DeveloperInfo!$D$9</definedName>
    <definedName name="CLPOWERDisc">[1]Adjust!$H$199</definedName>
    <definedName name="CLPOWERDiscMinus1">[1]Adjust!$L$199</definedName>
    <definedName name="CLPOWERDiscPlus1">[1]Adjust!$K$199</definedName>
    <definedName name="CLPOWERExp">[1]Adjust!$G$199</definedName>
    <definedName name="CNSDateDisc">[1]DeveloperInfo!$D$32</definedName>
    <definedName name="CNSDateDisc1">[1]DeveloperInfo!$E$32</definedName>
    <definedName name="ColaRate">[1]DeveloperInfo!$D$40</definedName>
    <definedName name="ConsultantNameGASB">[1]DeveloperInfo!$D$22</definedName>
    <definedName name="ConsultantTitleGASB">[1]DeveloperInfo!$D$23</definedName>
    <definedName name="Disc1DELTACENSUS">[1]Adjust!$G$102</definedName>
    <definedName name="Disc1INTNDIV12">[1]Adjust!$H$195</definedName>
    <definedName name="Disc1SINTADJBOM">[1]Adjust!$I$197</definedName>
    <definedName name="Disc1SINTNDIV12">[1]Adjust!$I$195</definedName>
    <definedName name="DiscDELTACENSUS">[1]Adjust!$H$102</definedName>
    <definedName name="DiscINTADJBOM">[1]Adjust!$J$197</definedName>
    <definedName name="DiscINTNDIV12">[1]Adjust!$J$195</definedName>
    <definedName name="DiscMinusOneINTADJBOM">[1]Adjust!$L$197</definedName>
    <definedName name="DiscMinusOneINTNDIV12">[1]Adjust!$L$195</definedName>
    <definedName name="DiscPlusOneINTADJBOM">[1]Adjust!$K$197</definedName>
    <definedName name="DiscPlusOneINTNDIV12">[1]Adjust!$K$195</definedName>
    <definedName name="EmployerRates" localSheetId="19">#REF!</definedName>
    <definedName name="EmployerRates" localSheetId="20">#REF!</definedName>
    <definedName name="EmployerRates" localSheetId="21">#REF!</definedName>
    <definedName name="EmployerRates" localSheetId="25">#REF!</definedName>
    <definedName name="EmployerRates" localSheetId="23">#REF!</definedName>
    <definedName name="EmployerRates" localSheetId="28">#REF!</definedName>
    <definedName name="EmployerRates" localSheetId="30">#REF!</definedName>
    <definedName name="EmployerRates">#REF!</definedName>
    <definedName name="EmployerRates1" localSheetId="30">#REF!</definedName>
    <definedName name="EmployerRates1">#REF!</definedName>
    <definedName name="EmployerRatesLEO" localSheetId="19">#REF!</definedName>
    <definedName name="EmployerRatesLEO" localSheetId="20">#REF!</definedName>
    <definedName name="EmployerRatesLEO" localSheetId="21">#REF!</definedName>
    <definedName name="EmployerRatesLEO" localSheetId="25">#REF!</definedName>
    <definedName name="EmployerRatesLEO" localSheetId="23">#REF!</definedName>
    <definedName name="EmployerRatesLEO" localSheetId="28">#REF!</definedName>
    <definedName name="EmployerRatesLEO" localSheetId="30">#REF!</definedName>
    <definedName name="EmployerRatesLEO">#REF!</definedName>
    <definedName name="EmployerRatesLEO1" localSheetId="30">#REF!</definedName>
    <definedName name="EmployerRatesLEO1">#REF!</definedName>
    <definedName name="ERData">[1]ER_DATA!$B$16:$EN$318</definedName>
    <definedName name="ERID">[1]ER_NPLExpense!$L$8</definedName>
    <definedName name="ERInfo">[1]ER_Input!$B$16:$Y$318</definedName>
    <definedName name="Exp1INTADJBOM">[1]Adjust!$G$197</definedName>
    <definedName name="Exp1INTNDIV12">[1]Adjust!$G$195</definedName>
    <definedName name="FracYearProj">[1]TPL!$C$43</definedName>
    <definedName name="FundOfficeContactGASB">[1]DeveloperInfo!$D$10</definedName>
    <definedName name="FYrsGASB">[1]DeveloperInfo!$D$54</definedName>
    <definedName name="GainLoss">[1]ER_Allocation!$P$12</definedName>
    <definedName name="GASBDiscMinusOneINTADJBOM">[1]Adjust!$L$197</definedName>
    <definedName name="GASBDiscMinusOneINTNDIV12">[1]Adjust!$L$195</definedName>
    <definedName name="InflRate">[1]DeveloperInfo!$D$38</definedName>
    <definedName name="InflRate1">[1]DeveloperInfo!$E$38</definedName>
    <definedName name="IntDisc">[1]DeveloperInfo!$F$47</definedName>
    <definedName name="IntDisc1">[1]DeveloperInfo!$D$47</definedName>
    <definedName name="IntDisc1S">[1]DeveloperInfo!$E$47</definedName>
    <definedName name="INTDiscMinusOne">[1]DeveloperInfo!$H$47</definedName>
    <definedName name="INTDiscPlusOne">[1]DeveloperInfo!$G$47</definedName>
    <definedName name="IntExp1">[1]DeveloperInfo!$I$47</definedName>
    <definedName name="MeasureDate">[1]DeveloperInfo!$D$31</definedName>
    <definedName name="MeasureDate1">[1]DeveloperInfo!$E$31</definedName>
    <definedName name="MeasureDate2">[1]DeveloperInfo!$F$31</definedName>
    <definedName name="N">"N/A"</definedName>
    <definedName name="NDIV12Disc">[1]Adjust!$H$200</definedName>
    <definedName name="NDIV12DiscMinus1">[1]Adjust!$L$200</definedName>
    <definedName name="NDIV12DiscPlus1">[1]Adjust!$K$200</definedName>
    <definedName name="NDIV12Exp">[1]Adjust!$G$200</definedName>
    <definedName name="OfficeAddr1GASB">[1]DeveloperInfo!$D$11</definedName>
    <definedName name="OfficeAddr2GASB">[1]DeveloperInfo!$D$12</definedName>
    <definedName name="Offices">[1]DeveloperInfo!$K$75:$O$91</definedName>
    <definedName name="Pension" localSheetId="19">#REF!</definedName>
    <definedName name="Pension" localSheetId="20">#REF!</definedName>
    <definedName name="Pension" localSheetId="21">'[2]Assets Input'!$L$60:$L$95</definedName>
    <definedName name="Pension" localSheetId="25">'[3]Assets Input'!$E$61:$E$89</definedName>
    <definedName name="Pension" localSheetId="23">'[4]Assets Input'!$E$61:$E$89</definedName>
    <definedName name="Pension" localSheetId="28">#REF!</definedName>
    <definedName name="Pension" localSheetId="30">#REF!</definedName>
    <definedName name="Pension" localSheetId="33">#REF!</definedName>
    <definedName name="Pension">#REF!</definedName>
    <definedName name="Pension1" localSheetId="30">#REF!</definedName>
    <definedName name="Pension1">#REF!</definedName>
    <definedName name="PensionLY" localSheetId="19">#REF!</definedName>
    <definedName name="PensionLY" localSheetId="20">#REF!</definedName>
    <definedName name="PensionLY" localSheetId="25">'[5]Assets Input'!#REF!</definedName>
    <definedName name="PensionLY" localSheetId="23">'[5]Assets Input'!#REF!</definedName>
    <definedName name="PensionLY" localSheetId="28">#REF!</definedName>
    <definedName name="PensionLY" localSheetId="30">#REF!</definedName>
    <definedName name="PensionLY" localSheetId="33">#REF!</definedName>
    <definedName name="PensionLY">#REF!</definedName>
    <definedName name="PlanNameLongGASB">[1]DeveloperInfo!$D$7</definedName>
    <definedName name="PlanNameShortGASB">[1]DeveloperInfo!$D$8</definedName>
    <definedName name="_xlnm.Print_Area" localSheetId="2">'A. Revenue by function'!$A$1:$P$150</definedName>
    <definedName name="_xlnm.Print_Area" localSheetId="3">'B.  Property Taxes'!$A$1:$P$63</definedName>
    <definedName name="_xlnm.Print_Area" localSheetId="4">'C. Other Revenues'!$B$1:$P$251</definedName>
    <definedName name="_xlnm.Print_Area" localSheetId="1">'Conversion Worksheet'!$A$1:$BG$445</definedName>
    <definedName name="_xlnm.Print_Area" localSheetId="5">'D. Depreciation'!$A$1:$P$73</definedName>
    <definedName name="_xlnm.Print_Area" localSheetId="6">'E. Capital Outlay'!$A$1:$Q$75</definedName>
    <definedName name="_xlnm.Print_Area" localSheetId="7">'F.  Other Cap Asset Entries'!$A$1:$U$297</definedName>
    <definedName name="_xlnm.Print_Area" localSheetId="8">'G. Debt Service'!$A$1:$P$60</definedName>
    <definedName name="_xlnm.Print_Area" localSheetId="0">'General Instructions'!$A$1:$L$129</definedName>
    <definedName name="_xlnm.Print_Area" localSheetId="9">'H. Debt Issues'!$A$1:$Q$100</definedName>
    <definedName name="_xlnm.Print_Area" localSheetId="10">'I.  Other Asset Entries'!$A$1:$Q$125</definedName>
    <definedName name="_xlnm.Print_Area" localSheetId="11">'J. Other Liability &amp; Expenses'!$A$1:$P$223</definedName>
    <definedName name="_xlnm.Print_Area" localSheetId="12">'K.1  Int. Service Fd Allocation'!$A$1:$I$233</definedName>
    <definedName name="_xlnm.Print_Area" localSheetId="13">'K.2  Int. Service Fd Alloca'!$A$1:$I$228</definedName>
    <definedName name="_xlnm.Print_Area" localSheetId="14">'K.3 Int. Service Fd Alloca'!$A$1:$I$228</definedName>
    <definedName name="_xlnm.Print_Area" localSheetId="15">'L. Eliminations-Consolidations'!$A$1:$P$308</definedName>
    <definedName name="_xlnm.Print_Area" localSheetId="16">'M. Net Position Calculation'!$A$1:$I$118</definedName>
    <definedName name="_xlnm.Print_Area" localSheetId="21">'N.1b LGERS Data PY'!$B$5:$S$905</definedName>
    <definedName name="_xlnm.Print_Area" localSheetId="23">'N.2b ROD Data PY'!$B$1:$U$105</definedName>
    <definedName name="_xlnm.Print_Area" localSheetId="29">Sheet1!$A$1:$N$24</definedName>
    <definedName name="_xlnm.Print_Titles" localSheetId="2">'A. Revenue by function'!$1:$3</definedName>
    <definedName name="_xlnm.Print_Titles" localSheetId="4">'C. Other Revenues'!$1:$3</definedName>
    <definedName name="_xlnm.Print_Titles" localSheetId="1">'Conversion Worksheet'!$1:$5</definedName>
    <definedName name="_xlnm.Print_Titles" localSheetId="6">'E. Capital Outlay'!$1:$3</definedName>
    <definedName name="_xlnm.Print_Titles" localSheetId="7">'F.  Other Cap Asset Entries'!$1:$3</definedName>
    <definedName name="_xlnm.Print_Titles" localSheetId="8">'G. Debt Service'!$1:$3</definedName>
    <definedName name="_xlnm.Print_Titles" localSheetId="9">'H. Debt Issues'!$1:$3</definedName>
    <definedName name="_xlnm.Print_Titles" localSheetId="10">'I.  Other Asset Entries'!$1:$3</definedName>
    <definedName name="_xlnm.Print_Titles" localSheetId="11">'J. Other Liability &amp; Expenses'!$1:$3</definedName>
    <definedName name="_xlnm.Print_Titles" localSheetId="16">'M. Net Position Calculation'!$1:$2</definedName>
    <definedName name="_xlnm.Print_Titles" localSheetId="20">'N.1a LGERS Data PY'!$4:$5</definedName>
    <definedName name="_xlnm.Print_Titles" localSheetId="21">'N.1b LGERS Data PY'!$5:$6</definedName>
    <definedName name="_xlnm.Print_Titles" localSheetId="23">'N.2b ROD Data PY'!$1:$2</definedName>
    <definedName name="ProjDisc?">[1]DeveloperInfo!$D$65</definedName>
    <definedName name="ProValResults" localSheetId="19">#REF!</definedName>
    <definedName name="ProValResults" localSheetId="20">#REF!</definedName>
    <definedName name="ProValResults" localSheetId="21">#REF!</definedName>
    <definedName name="ProValResults" localSheetId="25">[6]ProVal!$B$6:$S$462</definedName>
    <definedName name="ProValResults" localSheetId="23">[7]ProVal!$B$6:$S$462</definedName>
    <definedName name="ProValResults" localSheetId="28">#REF!</definedName>
    <definedName name="ProValResults" localSheetId="30">#REF!</definedName>
    <definedName name="ProValResults" localSheetId="33">#REF!</definedName>
    <definedName name="ProValResults">#REF!</definedName>
    <definedName name="ProValResults1" localSheetId="30">#REF!</definedName>
    <definedName name="ProValResults1">#REF!</definedName>
    <definedName name="ReportDate67">[1]DeveloperInfo!$D$30</definedName>
    <definedName name="ReportDate671">[1]DeveloperInfo!$E$30</definedName>
    <definedName name="ReportDate68">[1]DeveloperInfo!$D$52</definedName>
    <definedName name="ReportDate681">[1]DeveloperInfo!$E$52</definedName>
    <definedName name="ReviewerGASB">[1]DeveloperInfo!$D$21</definedName>
    <definedName name="Rnd_0">[1]DeveloperInfo!$D$41</definedName>
    <definedName name="RORRate681">[1]DeveloperInfo!$E$53</definedName>
    <definedName name="SalRate">[1]DeveloperInfo!$D$39</definedName>
    <definedName name="SalRate1">[1]DeveloperInfo!$E$39</definedName>
    <definedName name="SegalOfficeGASB">[1]DeveloperInfo!$D$24</definedName>
    <definedName name="TableData" localSheetId="19">#REF!</definedName>
    <definedName name="TableData" localSheetId="20">#REF!</definedName>
    <definedName name="TableData" localSheetId="21">#REF!</definedName>
    <definedName name="TableData" localSheetId="25">#REF!</definedName>
    <definedName name="TableData" localSheetId="23">#REF!</definedName>
    <definedName name="TableData" localSheetId="28">#REF!</definedName>
    <definedName name="TableData" localSheetId="30">#REF!</definedName>
    <definedName name="TableData">#REF!</definedName>
    <definedName name="TableData1" localSheetId="30">#REF!</definedName>
    <definedName name="TableData1">#REF!</definedName>
    <definedName name="Type" localSheetId="19">#REF!</definedName>
    <definedName name="Type" localSheetId="20">#REF!</definedName>
    <definedName name="Type" localSheetId="25">#REF!</definedName>
    <definedName name="Type" localSheetId="28">#REF!</definedName>
    <definedName name="Type" localSheetId="30">#REF!</definedName>
    <definedName name="Type">#REF!</definedName>
    <definedName name="TypeAnnuity" localSheetId="19">#REF!</definedName>
    <definedName name="TypeAnnuity" localSheetId="20">#REF!</definedName>
    <definedName name="TypeAnnuity" localSheetId="21">'[2]Assets Input'!$K$37:$K$56</definedName>
    <definedName name="TypeAnnuity" localSheetId="25">'[3]Assets Input'!$D$36:$D$59</definedName>
    <definedName name="TypeAnnuity" localSheetId="23">'[4]Assets Input'!$D$36:$D$59</definedName>
    <definedName name="TypeAnnuity" localSheetId="28">#REF!</definedName>
    <definedName name="TypeAnnuity" localSheetId="30">#REF!</definedName>
    <definedName name="TypeAnnuity" localSheetId="33">#REF!</definedName>
    <definedName name="TypeAnnuity">#REF!</definedName>
    <definedName name="TypeAnnuity1" localSheetId="30">#REF!</definedName>
    <definedName name="TypeAnnuity1">#REF!</definedName>
    <definedName name="TypePension" localSheetId="19">#REF!</definedName>
    <definedName name="TypePension" localSheetId="20">#REF!</definedName>
    <definedName name="TypePension" localSheetId="21">'[2]Assets Input'!$K$60:$K$95</definedName>
    <definedName name="TypePension" localSheetId="25">'[3]Assets Input'!$D$61:$D$89</definedName>
    <definedName name="TypePension" localSheetId="23">'[4]Assets Input'!$D$61:$D$89</definedName>
    <definedName name="TypePension" localSheetId="28">#REF!</definedName>
    <definedName name="TypePension" localSheetId="30">#REF!</definedName>
    <definedName name="TypePension" localSheetId="33">#REF!</definedName>
    <definedName name="TypePension">#REF!</definedName>
    <definedName name="TypePension1" localSheetId="30">#REF!</definedName>
    <definedName name="TypePension1">#REF!</definedName>
    <definedName name="UnfundedData" localSheetId="19">#REF!</definedName>
    <definedName name="UnfundedData" localSheetId="20">#REF!</definedName>
    <definedName name="UnfundedData" localSheetId="21">#REF!</definedName>
    <definedName name="UnfundedData" localSheetId="25">#REF!</definedName>
    <definedName name="UnfundedData" localSheetId="23">#REF!</definedName>
    <definedName name="UnfundedData" localSheetId="28">#REF!</definedName>
    <definedName name="UnfundedData" localSheetId="30">#REF!</definedName>
    <definedName name="UnfundedData">#REF!</definedName>
    <definedName name="UnfundedData1" localSheetId="30">#REF!</definedName>
    <definedName name="UnfundedData1">#REF!</definedName>
    <definedName name="UnfundedLY" localSheetId="19">#REF!</definedName>
    <definedName name="UnfundedLY" localSheetId="20">#REF!</definedName>
    <definedName name="UnfundedLY" localSheetId="21">#REF!</definedName>
    <definedName name="UnfundedLY" localSheetId="25">#REF!</definedName>
    <definedName name="UnfundedLY" localSheetId="23">#REF!</definedName>
    <definedName name="UnfundedLY" localSheetId="28">#REF!</definedName>
    <definedName name="UnfundedLY" localSheetId="30">#REF!</definedName>
    <definedName name="UnfundedLY">#REF!</definedName>
    <definedName name="UnfundedLY1" localSheetId="30">#REF!</definedName>
    <definedName name="UnfundedLY1">#REF!</definedName>
    <definedName name="UnfundedLYLEO1" localSheetId="30">#REF!</definedName>
    <definedName name="UnfundedLYLEO1">#REF!</definedName>
    <definedName name="UnfunedLYLEO" localSheetId="19">#REF!</definedName>
    <definedName name="UnfunedLYLEO" localSheetId="20">#REF!</definedName>
    <definedName name="UnfunedLYLEO" localSheetId="21">#REF!</definedName>
    <definedName name="UnfunedLYLEO" localSheetId="25">#REF!</definedName>
    <definedName name="UnfunedLYLEO" localSheetId="23">#REF!</definedName>
    <definedName name="UnfunedLYLEO" localSheetId="28">#REF!</definedName>
    <definedName name="UnfunedLYLEO" localSheetId="30">#REF!</definedName>
    <definedName name="UnfunedLYLEO">#REF!</definedName>
    <definedName name="VersionGASB">[1]DeveloperInfo!$D$4</definedName>
    <definedName name="Z_C1197650_3ED8_49E4_8E4C_0D1D4B503FC0_.wvu.Cols" localSheetId="35" hidden="1">'2018 OPEB '!$I:$I</definedName>
    <definedName name="Z_C1197650_3ED8_49E4_8E4C_0D1D4B503FC0_.wvu.FilterData" localSheetId="21" hidden="1">'N.1b LGERS Data PY'!$A$2:$U$897</definedName>
    <definedName name="Z_C1197650_3ED8_49E4_8E4C_0D1D4B503FC0_.wvu.FilterData" localSheetId="23" hidden="1">'N.2b ROD Data PY'!$B$2:$U$102</definedName>
    <definedName name="Z_C1197650_3ED8_49E4_8E4C_0D1D4B503FC0_.wvu.PrintArea" localSheetId="2" hidden="1">'A. Revenue by function'!$A$1:$P$150</definedName>
    <definedName name="Z_C1197650_3ED8_49E4_8E4C_0D1D4B503FC0_.wvu.PrintArea" localSheetId="3" hidden="1">'B.  Property Taxes'!$A$1:$P$63</definedName>
    <definedName name="Z_C1197650_3ED8_49E4_8E4C_0D1D4B503FC0_.wvu.PrintArea" localSheetId="4" hidden="1">'C. Other Revenues'!$B$1:$P$251</definedName>
    <definedName name="Z_C1197650_3ED8_49E4_8E4C_0D1D4B503FC0_.wvu.PrintArea" localSheetId="1" hidden="1">'Conversion Worksheet'!$A$1:$BG$445</definedName>
    <definedName name="Z_C1197650_3ED8_49E4_8E4C_0D1D4B503FC0_.wvu.PrintArea" localSheetId="5" hidden="1">'D. Depreciation'!$A$1:$P$73</definedName>
    <definedName name="Z_C1197650_3ED8_49E4_8E4C_0D1D4B503FC0_.wvu.PrintArea" localSheetId="6" hidden="1">'E. Capital Outlay'!$A$1:$Q$75</definedName>
    <definedName name="Z_C1197650_3ED8_49E4_8E4C_0D1D4B503FC0_.wvu.PrintArea" localSheetId="7" hidden="1">'F.  Other Cap Asset Entries'!$A$1:$U$297</definedName>
    <definedName name="Z_C1197650_3ED8_49E4_8E4C_0D1D4B503FC0_.wvu.PrintArea" localSheetId="8" hidden="1">'G. Debt Service'!$A$1:$P$60</definedName>
    <definedName name="Z_C1197650_3ED8_49E4_8E4C_0D1D4B503FC0_.wvu.PrintArea" localSheetId="0" hidden="1">'General Instructions'!$A$1:$L$129</definedName>
    <definedName name="Z_C1197650_3ED8_49E4_8E4C_0D1D4B503FC0_.wvu.PrintArea" localSheetId="9" hidden="1">'H. Debt Issues'!$A$1:$Q$100</definedName>
    <definedName name="Z_C1197650_3ED8_49E4_8E4C_0D1D4B503FC0_.wvu.PrintArea" localSheetId="10" hidden="1">'I.  Other Asset Entries'!$A$1:$Q$125</definedName>
    <definedName name="Z_C1197650_3ED8_49E4_8E4C_0D1D4B503FC0_.wvu.PrintArea" localSheetId="11" hidden="1">'J. Other Liability &amp; Expenses'!$A$1:$P$223</definedName>
    <definedName name="Z_C1197650_3ED8_49E4_8E4C_0D1D4B503FC0_.wvu.PrintArea" localSheetId="12" hidden="1">'K.1  Int. Service Fd Allocation'!$A$1:$I$233</definedName>
    <definedName name="Z_C1197650_3ED8_49E4_8E4C_0D1D4B503FC0_.wvu.PrintArea" localSheetId="13" hidden="1">'K.2  Int. Service Fd Alloca'!$A$1:$I$228</definedName>
    <definedName name="Z_C1197650_3ED8_49E4_8E4C_0D1D4B503FC0_.wvu.PrintArea" localSheetId="14" hidden="1">'K.3 Int. Service Fd Alloca'!$A$1:$I$228</definedName>
    <definedName name="Z_C1197650_3ED8_49E4_8E4C_0D1D4B503FC0_.wvu.PrintArea" localSheetId="15" hidden="1">'L. Eliminations-Consolidations'!$A$1:$P$308</definedName>
    <definedName name="Z_C1197650_3ED8_49E4_8E4C_0D1D4B503FC0_.wvu.PrintArea" localSheetId="16" hidden="1">'M. Net Position Calculation'!$A$1:$I$118</definedName>
    <definedName name="Z_C1197650_3ED8_49E4_8E4C_0D1D4B503FC0_.wvu.PrintArea" localSheetId="21" hidden="1">'N.1b LGERS Data PY'!$B$5:$S$905</definedName>
    <definedName name="Z_C1197650_3ED8_49E4_8E4C_0D1D4B503FC0_.wvu.PrintArea" localSheetId="23" hidden="1">'N.2b ROD Data PY'!$B$1:$U$105</definedName>
    <definedName name="Z_C1197650_3ED8_49E4_8E4C_0D1D4B503FC0_.wvu.PrintArea" localSheetId="29" hidden="1">Sheet1!$A$1:$N$24</definedName>
    <definedName name="Z_C1197650_3ED8_49E4_8E4C_0D1D4B503FC0_.wvu.PrintTitles" localSheetId="2" hidden="1">'A. Revenue by function'!$1:$3</definedName>
    <definedName name="Z_C1197650_3ED8_49E4_8E4C_0D1D4B503FC0_.wvu.PrintTitles" localSheetId="4" hidden="1">'C. Other Revenues'!$1:$3</definedName>
    <definedName name="Z_C1197650_3ED8_49E4_8E4C_0D1D4B503FC0_.wvu.PrintTitles" localSheetId="1" hidden="1">'Conversion Worksheet'!$1:$5</definedName>
    <definedName name="Z_C1197650_3ED8_49E4_8E4C_0D1D4B503FC0_.wvu.PrintTitles" localSheetId="6" hidden="1">'E. Capital Outlay'!$1:$3</definedName>
    <definedName name="Z_C1197650_3ED8_49E4_8E4C_0D1D4B503FC0_.wvu.PrintTitles" localSheetId="7" hidden="1">'F.  Other Cap Asset Entries'!$1:$3</definedName>
    <definedName name="Z_C1197650_3ED8_49E4_8E4C_0D1D4B503FC0_.wvu.PrintTitles" localSheetId="8" hidden="1">'G. Debt Service'!$1:$3</definedName>
    <definedName name="Z_C1197650_3ED8_49E4_8E4C_0D1D4B503FC0_.wvu.PrintTitles" localSheetId="9" hidden="1">'H. Debt Issues'!$1:$3</definedName>
    <definedName name="Z_C1197650_3ED8_49E4_8E4C_0D1D4B503FC0_.wvu.PrintTitles" localSheetId="10" hidden="1">'I.  Other Asset Entries'!$1:$3</definedName>
    <definedName name="Z_C1197650_3ED8_49E4_8E4C_0D1D4B503FC0_.wvu.PrintTitles" localSheetId="11" hidden="1">'J. Other Liability &amp; Expenses'!$1:$3</definedName>
    <definedName name="Z_C1197650_3ED8_49E4_8E4C_0D1D4B503FC0_.wvu.PrintTitles" localSheetId="16" hidden="1">'M. Net Position Calculation'!$1:$2</definedName>
    <definedName name="Z_C1197650_3ED8_49E4_8E4C_0D1D4B503FC0_.wvu.PrintTitles" localSheetId="20" hidden="1">'N.1a LGERS Data PY'!$4:$5</definedName>
    <definedName name="Z_C1197650_3ED8_49E4_8E4C_0D1D4B503FC0_.wvu.PrintTitles" localSheetId="21" hidden="1">'N.1b LGERS Data PY'!$5:$6</definedName>
    <definedName name="Z_C1197650_3ED8_49E4_8E4C_0D1D4B503FC0_.wvu.PrintTitles" localSheetId="23" hidden="1">'N.2b ROD Data PY'!$1:$2</definedName>
    <definedName name="Z_C1197650_3ED8_49E4_8E4C_0D1D4B503FC0_.wvu.Rows" localSheetId="35" hidden="1">'2018 OPEB '!$2:$4</definedName>
    <definedName name="Z_C1197650_3ED8_49E4_8E4C_0D1D4B503FC0_.wvu.Rows" localSheetId="1" hidden="1">'Conversion Worksheet'!$150:$150</definedName>
    <definedName name="Z_C1197650_3ED8_49E4_8E4C_0D1D4B503FC0_.wvu.Rows" localSheetId="11" hidden="1">'J. Other Liability &amp; Expenses'!$84:$92,'J. Other Liability &amp; Expenses'!$104:$119,'J. Other Liability &amp; Expenses'!$248:$248</definedName>
    <definedName name="Z_C1197650_3ED8_49E4_8E4C_0D1D4B503FC0_.wvu.Rows" localSheetId="12" hidden="1">'K.1  Int. Service Fd Allocation'!$25:$25,'K.1  Int. Service Fd Allocation'!$27:$27</definedName>
    <definedName name="Z_C1197650_3ED8_49E4_8E4C_0D1D4B503FC0_.wvu.Rows" localSheetId="13" hidden="1">'K.2  Int. Service Fd Alloca'!$21:$21,'K.2  Int. Service Fd Alloca'!$23:$23</definedName>
    <definedName name="Z_C1197650_3ED8_49E4_8E4C_0D1D4B503FC0_.wvu.Rows" localSheetId="14" hidden="1">'K.3 Int. Service Fd Alloca'!$21:$21,'K.3 Int. Service Fd Alloca'!$23:$23</definedName>
    <definedName name="Z_C1197650_3ED8_49E4_8E4C_0D1D4B503FC0_.wvu.Rows" localSheetId="15" hidden="1">'L. Eliminations-Consolidations'!$74:$74</definedName>
    <definedName name="Z_C1197650_3ED8_49E4_8E4C_0D1D4B503FC0_.wvu.Rows" localSheetId="16" hidden="1">'M. Net Position Calculation'!$39:$51,'M. Net Position Calculation'!$96:$112</definedName>
    <definedName name="Z_C1197650_3ED8_49E4_8E4C_0D1D4B503FC0_.wvu.Rows" localSheetId="17" hidden="1">'N.1 GASB 68 LGERS'!$21:$21,'N.1 GASB 68 LGERS'!$45:$67</definedName>
    <definedName name="Z_C1197650_3ED8_49E4_8E4C_0D1D4B503FC0_.wvu.Rows" localSheetId="22" hidden="1">'N.2 GASB 68 ROD'!$34:$56,'N.2 GASB 68 ROD'!$63:$63</definedName>
    <definedName name="Z_C1197650_3ED8_49E4_8E4C_0D1D4B503FC0_.wvu.Rows" localSheetId="28" hidden="1">'O. GASB 73 LEO Entries'!$5:$9,'O. GASB 73 LEO Entries'!$40:$62</definedName>
    <definedName name="Z_C1197650_3ED8_49E4_8E4C_0D1D4B503FC0_.wvu.Rows" localSheetId="30" hidden="1">'P.1 GASB 75 OPEB  - plan 1'!$50:$96</definedName>
    <definedName name="Z_C1197650_3ED8_49E4_8E4C_0D1D4B503FC0_.wvu.Rows" localSheetId="31" hidden="1">'P.2 GASB 75 OPEB - plan 2'!$50:$96</definedName>
    <definedName name="Z_C1197650_3ED8_49E4_8E4C_0D1D4B503FC0_.wvu.Rows" localSheetId="32" hidden="1">'P.3 GASB 75 OPEB - plan 3'!$50:$96</definedName>
    <definedName name="Z_D2B860EA_92EC_4999_9A59_C624E1F8C7FB_.wvu.Cols" localSheetId="35" hidden="1">'2018 OPEB '!$I:$I</definedName>
    <definedName name="Z_D2B860EA_92EC_4999_9A59_C624E1F8C7FB_.wvu.FilterData" localSheetId="21" hidden="1">'N.1b LGERS Data PY'!$A$2:$U$897</definedName>
    <definedName name="Z_D2B860EA_92EC_4999_9A59_C624E1F8C7FB_.wvu.FilterData" localSheetId="23" hidden="1">'N.2b ROD Data PY'!$B$2:$U$102</definedName>
    <definedName name="Z_D2B860EA_92EC_4999_9A59_C624E1F8C7FB_.wvu.PrintArea" localSheetId="2" hidden="1">'A. Revenue by function'!$A$1:$P$150</definedName>
    <definedName name="Z_D2B860EA_92EC_4999_9A59_C624E1F8C7FB_.wvu.PrintArea" localSheetId="3" hidden="1">'B.  Property Taxes'!$A$1:$P$63</definedName>
    <definedName name="Z_D2B860EA_92EC_4999_9A59_C624E1F8C7FB_.wvu.PrintArea" localSheetId="4" hidden="1">'C. Other Revenues'!$B$1:$P$251</definedName>
    <definedName name="Z_D2B860EA_92EC_4999_9A59_C624E1F8C7FB_.wvu.PrintArea" localSheetId="1" hidden="1">'Conversion Worksheet'!$A$1:$BG$445</definedName>
    <definedName name="Z_D2B860EA_92EC_4999_9A59_C624E1F8C7FB_.wvu.PrintArea" localSheetId="5" hidden="1">'D. Depreciation'!$A$1:$P$73</definedName>
    <definedName name="Z_D2B860EA_92EC_4999_9A59_C624E1F8C7FB_.wvu.PrintArea" localSheetId="6" hidden="1">'E. Capital Outlay'!$A$1:$Q$75</definedName>
    <definedName name="Z_D2B860EA_92EC_4999_9A59_C624E1F8C7FB_.wvu.PrintArea" localSheetId="7" hidden="1">'F.  Other Cap Asset Entries'!$A$1:$U$297</definedName>
    <definedName name="Z_D2B860EA_92EC_4999_9A59_C624E1F8C7FB_.wvu.PrintArea" localSheetId="8" hidden="1">'G. Debt Service'!$A$1:$P$60</definedName>
    <definedName name="Z_D2B860EA_92EC_4999_9A59_C624E1F8C7FB_.wvu.PrintArea" localSheetId="0" hidden="1">'General Instructions'!$A$1:$L$129</definedName>
    <definedName name="Z_D2B860EA_92EC_4999_9A59_C624E1F8C7FB_.wvu.PrintArea" localSheetId="9" hidden="1">'H. Debt Issues'!$A$1:$Q$100</definedName>
    <definedName name="Z_D2B860EA_92EC_4999_9A59_C624E1F8C7FB_.wvu.PrintArea" localSheetId="10" hidden="1">'I.  Other Asset Entries'!$A$1:$Q$125</definedName>
    <definedName name="Z_D2B860EA_92EC_4999_9A59_C624E1F8C7FB_.wvu.PrintArea" localSheetId="11" hidden="1">'J. Other Liability &amp; Expenses'!$A$1:$P$223</definedName>
    <definedName name="Z_D2B860EA_92EC_4999_9A59_C624E1F8C7FB_.wvu.PrintArea" localSheetId="12" hidden="1">'K.1  Int. Service Fd Allocation'!$A$1:$I$233</definedName>
    <definedName name="Z_D2B860EA_92EC_4999_9A59_C624E1F8C7FB_.wvu.PrintArea" localSheetId="13" hidden="1">'K.2  Int. Service Fd Alloca'!$A$1:$I$228</definedName>
    <definedName name="Z_D2B860EA_92EC_4999_9A59_C624E1F8C7FB_.wvu.PrintArea" localSheetId="14" hidden="1">'K.3 Int. Service Fd Alloca'!$A$1:$I$228</definedName>
    <definedName name="Z_D2B860EA_92EC_4999_9A59_C624E1F8C7FB_.wvu.PrintArea" localSheetId="15" hidden="1">'L. Eliminations-Consolidations'!$A$1:$P$308</definedName>
    <definedName name="Z_D2B860EA_92EC_4999_9A59_C624E1F8C7FB_.wvu.PrintArea" localSheetId="16" hidden="1">'M. Net Position Calculation'!$A$1:$I$118</definedName>
    <definedName name="Z_D2B860EA_92EC_4999_9A59_C624E1F8C7FB_.wvu.PrintArea" localSheetId="21" hidden="1">'N.1b LGERS Data PY'!$B$5:$S$905</definedName>
    <definedName name="Z_D2B860EA_92EC_4999_9A59_C624E1F8C7FB_.wvu.PrintArea" localSheetId="23" hidden="1">'N.2b ROD Data PY'!$B$1:$U$105</definedName>
    <definedName name="Z_D2B860EA_92EC_4999_9A59_C624E1F8C7FB_.wvu.PrintArea" localSheetId="29" hidden="1">Sheet1!$A$1:$N$24</definedName>
    <definedName name="Z_D2B860EA_92EC_4999_9A59_C624E1F8C7FB_.wvu.PrintTitles" localSheetId="2" hidden="1">'A. Revenue by function'!$1:$3</definedName>
    <definedName name="Z_D2B860EA_92EC_4999_9A59_C624E1F8C7FB_.wvu.PrintTitles" localSheetId="4" hidden="1">'C. Other Revenues'!$1:$3</definedName>
    <definedName name="Z_D2B860EA_92EC_4999_9A59_C624E1F8C7FB_.wvu.PrintTitles" localSheetId="1" hidden="1">'Conversion Worksheet'!$1:$5</definedName>
    <definedName name="Z_D2B860EA_92EC_4999_9A59_C624E1F8C7FB_.wvu.PrintTitles" localSheetId="6" hidden="1">'E. Capital Outlay'!$1:$3</definedName>
    <definedName name="Z_D2B860EA_92EC_4999_9A59_C624E1F8C7FB_.wvu.PrintTitles" localSheetId="7" hidden="1">'F.  Other Cap Asset Entries'!$1:$3</definedName>
    <definedName name="Z_D2B860EA_92EC_4999_9A59_C624E1F8C7FB_.wvu.PrintTitles" localSheetId="8" hidden="1">'G. Debt Service'!$1:$3</definedName>
    <definedName name="Z_D2B860EA_92EC_4999_9A59_C624E1F8C7FB_.wvu.PrintTitles" localSheetId="9" hidden="1">'H. Debt Issues'!$1:$3</definedName>
    <definedName name="Z_D2B860EA_92EC_4999_9A59_C624E1F8C7FB_.wvu.PrintTitles" localSheetId="10" hidden="1">'I.  Other Asset Entries'!$1:$3</definedName>
    <definedName name="Z_D2B860EA_92EC_4999_9A59_C624E1F8C7FB_.wvu.PrintTitles" localSheetId="11" hidden="1">'J. Other Liability &amp; Expenses'!$1:$3</definedName>
    <definedName name="Z_D2B860EA_92EC_4999_9A59_C624E1F8C7FB_.wvu.PrintTitles" localSheetId="16" hidden="1">'M. Net Position Calculation'!$1:$2</definedName>
    <definedName name="Z_D2B860EA_92EC_4999_9A59_C624E1F8C7FB_.wvu.PrintTitles" localSheetId="20" hidden="1">'N.1a LGERS Data PY'!$4:$5</definedName>
    <definedName name="Z_D2B860EA_92EC_4999_9A59_C624E1F8C7FB_.wvu.PrintTitles" localSheetId="21" hidden="1">'N.1b LGERS Data PY'!$5:$6</definedName>
    <definedName name="Z_D2B860EA_92EC_4999_9A59_C624E1F8C7FB_.wvu.PrintTitles" localSheetId="23" hidden="1">'N.2b ROD Data PY'!$1:$2</definedName>
    <definedName name="Z_D2B860EA_92EC_4999_9A59_C624E1F8C7FB_.wvu.Rows" localSheetId="35" hidden="1">'2018 OPEB '!$2:$4</definedName>
    <definedName name="Z_D2B860EA_92EC_4999_9A59_C624E1F8C7FB_.wvu.Rows" localSheetId="1" hidden="1">'Conversion Worksheet'!$150:$150</definedName>
    <definedName name="Z_D2B860EA_92EC_4999_9A59_C624E1F8C7FB_.wvu.Rows" localSheetId="11" hidden="1">'J. Other Liability &amp; Expenses'!$84:$92,'J. Other Liability &amp; Expenses'!$104:$119,'J. Other Liability &amp; Expenses'!$248:$248</definedName>
    <definedName name="Z_D2B860EA_92EC_4999_9A59_C624E1F8C7FB_.wvu.Rows" localSheetId="12" hidden="1">'K.1  Int. Service Fd Allocation'!$25:$25,'K.1  Int. Service Fd Allocation'!$27:$27</definedName>
    <definedName name="Z_D2B860EA_92EC_4999_9A59_C624E1F8C7FB_.wvu.Rows" localSheetId="13" hidden="1">'K.2  Int. Service Fd Alloca'!$21:$21,'K.2  Int. Service Fd Alloca'!$23:$23</definedName>
    <definedName name="Z_D2B860EA_92EC_4999_9A59_C624E1F8C7FB_.wvu.Rows" localSheetId="14" hidden="1">'K.3 Int. Service Fd Alloca'!$21:$21,'K.3 Int. Service Fd Alloca'!$23:$23</definedName>
    <definedName name="Z_D2B860EA_92EC_4999_9A59_C624E1F8C7FB_.wvu.Rows" localSheetId="15" hidden="1">'L. Eliminations-Consolidations'!$74:$74</definedName>
    <definedName name="Z_D2B860EA_92EC_4999_9A59_C624E1F8C7FB_.wvu.Rows" localSheetId="16" hidden="1">'M. Net Position Calculation'!$39:$51,'M. Net Position Calculation'!$96:$112</definedName>
    <definedName name="Z_D2B860EA_92EC_4999_9A59_C624E1F8C7FB_.wvu.Rows" localSheetId="17" hidden="1">'N.1 GASB 68 LGERS'!$21:$21,'N.1 GASB 68 LGERS'!$45:$67</definedName>
    <definedName name="Z_D2B860EA_92EC_4999_9A59_C624E1F8C7FB_.wvu.Rows" localSheetId="22" hidden="1">'N.2 GASB 68 ROD'!$34:$56,'N.2 GASB 68 ROD'!$63:$63</definedName>
    <definedName name="Z_D2B860EA_92EC_4999_9A59_C624E1F8C7FB_.wvu.Rows" localSheetId="28" hidden="1">'O. GASB 73 LEO Entries'!$5:$9,'O. GASB 73 LEO Entries'!$40:$62</definedName>
    <definedName name="Z_D2B860EA_92EC_4999_9A59_C624E1F8C7FB_.wvu.Rows" localSheetId="30" hidden="1">'P.1 GASB 75 OPEB  - plan 1'!$50:$96</definedName>
    <definedName name="Z_D2B860EA_92EC_4999_9A59_C624E1F8C7FB_.wvu.Rows" localSheetId="31" hidden="1">'P.2 GASB 75 OPEB - plan 2'!$50:$96</definedName>
    <definedName name="Z_D2B860EA_92EC_4999_9A59_C624E1F8C7FB_.wvu.Rows" localSheetId="32" hidden="1">'P.3 GASB 75 OPEB - plan 3'!$50:$96</definedName>
  </definedNames>
  <calcPr calcId="191029" fullPrecision="0"/>
  <customWorkbookViews>
    <customWorkbookView name="Eric Faust - Personal View" guid="{C1197650-3ED8-49E4-8E4C-0D1D4B503FC0}" mergeInterval="0" personalView="1" xWindow="827" yWindow="5" windowWidth="1521" windowHeight="1002" tabRatio="794" activeSheetId="2"/>
    <customWorkbookView name="Jake Lorentz - Personal View" guid="{D2B860EA-92EC-4999-9A59-C624E1F8C7FB}" mergeInterval="0" personalView="1" xWindow="61" yWindow="3" windowWidth="1854" windowHeight="924" tabRatio="794"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9" i="9" l="1"/>
  <c r="AT279" i="2"/>
  <c r="AQ279" i="2"/>
  <c r="AX204" i="2" l="1"/>
  <c r="AY204" i="2"/>
  <c r="J289" i="16"/>
  <c r="L297" i="16"/>
  <c r="H29" i="3" l="1"/>
  <c r="G116" i="2"/>
  <c r="F9" i="2"/>
  <c r="D281" i="2"/>
  <c r="E183" i="2"/>
  <c r="D8" i="2"/>
  <c r="E390" i="2"/>
  <c r="D28" i="17" l="1"/>
  <c r="AQ160" i="2"/>
  <c r="AA259" i="5"/>
  <c r="AB275" i="5"/>
  <c r="M174" i="5"/>
  <c r="K209" i="5"/>
  <c r="AF260" i="5"/>
  <c r="AE260" i="5"/>
  <c r="W260" i="5"/>
  <c r="AP159" i="2"/>
  <c r="AQ158" i="2"/>
  <c r="AS223" i="2"/>
  <c r="AP223" i="2"/>
  <c r="AN223" i="2"/>
  <c r="L106" i="3"/>
  <c r="AI223" i="2"/>
  <c r="AK223" i="2" s="1"/>
  <c r="AH223" i="2"/>
  <c r="AJ223" i="2" s="1"/>
  <c r="BB204" i="2"/>
  <c r="D33" i="17"/>
  <c r="C32" i="17"/>
  <c r="L172" i="16" l="1"/>
  <c r="BH96" i="2" l="1"/>
  <c r="H53" i="3" l="1"/>
  <c r="H52" i="3"/>
  <c r="H79" i="3"/>
  <c r="H84" i="3"/>
  <c r="H73" i="3"/>
  <c r="H31" i="3"/>
  <c r="H47" i="3"/>
  <c r="H62" i="3"/>
  <c r="H30" i="3"/>
  <c r="J57" i="4"/>
  <c r="E158" i="2"/>
  <c r="D11" i="2" l="1"/>
  <c r="BB203" i="2" l="1"/>
  <c r="AX203" i="2"/>
  <c r="AX131" i="2"/>
  <c r="AU143" i="2" l="1"/>
  <c r="L296" i="16"/>
  <c r="AY203" i="2" s="1"/>
  <c r="BC203" i="2" s="1"/>
  <c r="BG203" i="2" s="1"/>
  <c r="C82" i="17" l="1"/>
  <c r="C85" i="17" l="1"/>
  <c r="G82" i="17"/>
  <c r="AP143" i="2"/>
  <c r="AQ292" i="2"/>
  <c r="AT292" i="2"/>
  <c r="AT39" i="2"/>
  <c r="G41" i="7" l="1"/>
  <c r="AT61" i="2"/>
  <c r="AS61" i="2"/>
  <c r="L68" i="6"/>
  <c r="AP61" i="2"/>
  <c r="AQ61" i="2"/>
  <c r="AT60" i="2"/>
  <c r="AB306" i="8"/>
  <c r="M223" i="8" s="1"/>
  <c r="AC306" i="8"/>
  <c r="O236" i="8"/>
  <c r="AB319" i="8"/>
  <c r="AC319" i="8"/>
  <c r="G45" i="6"/>
  <c r="G43" i="6"/>
  <c r="T318" i="8"/>
  <c r="T319" i="8"/>
  <c r="S306" i="8"/>
  <c r="S305" i="8"/>
  <c r="AS60" i="2"/>
  <c r="AP60" i="2"/>
  <c r="AQ70" i="2"/>
  <c r="AQ60" i="2"/>
  <c r="L60" i="7"/>
  <c r="L61" i="7"/>
  <c r="AM59" i="2"/>
  <c r="AL56" i="2"/>
  <c r="AI61" i="2"/>
  <c r="AK61" i="2" s="1"/>
  <c r="AH61" i="2"/>
  <c r="AJ61" i="2" s="1"/>
  <c r="AI60" i="2"/>
  <c r="AK60" i="2" s="1"/>
  <c r="AH60" i="2"/>
  <c r="AJ60" i="2" s="1"/>
  <c r="N115" i="16"/>
  <c r="L238" i="16" s="1"/>
  <c r="AY131" i="2" s="1"/>
  <c r="BB61" i="2" l="1"/>
  <c r="J229" i="16"/>
  <c r="AV143" i="2" s="1"/>
  <c r="BB60" i="2"/>
  <c r="BC61" i="2"/>
  <c r="BF61" i="2" l="1"/>
  <c r="BG61" i="2"/>
  <c r="AS143" i="2"/>
  <c r="AT143" i="2"/>
  <c r="AP393" i="2"/>
  <c r="N98" i="10"/>
  <c r="N99" i="10"/>
  <c r="L99" i="10"/>
  <c r="K127" i="10"/>
  <c r="S127" i="10" s="1"/>
  <c r="R127" i="10"/>
  <c r="J108" i="10"/>
  <c r="R108" i="10" s="1"/>
  <c r="L79" i="10" s="1"/>
  <c r="AQ393" i="2" s="1"/>
  <c r="L38" i="9"/>
  <c r="N51" i="9"/>
  <c r="L51" i="9"/>
  <c r="AQ143" i="2" s="1"/>
  <c r="AT41" i="2" l="1"/>
  <c r="AQ40" i="2"/>
  <c r="M76" i="38"/>
  <c r="M75" i="38"/>
  <c r="M74" i="38"/>
  <c r="M73" i="38"/>
  <c r="M72" i="38"/>
  <c r="M71" i="38"/>
  <c r="M70" i="38"/>
  <c r="M69" i="38"/>
  <c r="M68" i="38"/>
  <c r="M80" i="38" s="1"/>
  <c r="H61" i="38"/>
  <c r="O77" i="38" s="1"/>
  <c r="O80" i="38" s="1"/>
  <c r="O40" i="38"/>
  <c r="O39" i="38"/>
  <c r="O38" i="38"/>
  <c r="O37" i="38"/>
  <c r="O36" i="38"/>
  <c r="O35" i="38"/>
  <c r="O34" i="38"/>
  <c r="O33" i="38"/>
  <c r="O32" i="38"/>
  <c r="O41" i="38" s="1"/>
  <c r="H24" i="38"/>
  <c r="M31" i="38" s="1"/>
  <c r="M41" i="38" s="1"/>
  <c r="D380" i="2" l="1"/>
  <c r="D381" i="2"/>
  <c r="AI393" i="2" l="1"/>
  <c r="AK393" i="2" s="1"/>
  <c r="BC393" i="2" s="1"/>
  <c r="AH393" i="2"/>
  <c r="AJ393" i="2" s="1"/>
  <c r="BB393" i="2" s="1"/>
  <c r="AT291" i="2"/>
  <c r="BC291" i="2" s="1"/>
  <c r="AQ291" i="2"/>
  <c r="BB291" i="2" s="1"/>
  <c r="AI143" i="2"/>
  <c r="AK143" i="2" s="1"/>
  <c r="BC143" i="2" s="1"/>
  <c r="AH143" i="2"/>
  <c r="AJ143" i="2" s="1"/>
  <c r="BB143" i="2" s="1"/>
  <c r="AI41" i="2"/>
  <c r="AK41" i="2" s="1"/>
  <c r="BC41" i="2" s="1"/>
  <c r="BG41" i="2" s="1"/>
  <c r="AH41" i="2"/>
  <c r="AJ41" i="2" s="1"/>
  <c r="AI40" i="2"/>
  <c r="AK40" i="2" s="1"/>
  <c r="BC40" i="2" s="1"/>
  <c r="AH40" i="2"/>
  <c r="AJ40" i="2" s="1"/>
  <c r="BB40" i="2" s="1"/>
  <c r="BG40" i="2" s="1"/>
  <c r="AI39" i="2"/>
  <c r="AK39" i="2" s="1"/>
  <c r="BC39" i="2" s="1"/>
  <c r="AH39" i="2"/>
  <c r="AJ39" i="2" s="1"/>
  <c r="BB39" i="2" s="1"/>
  <c r="AI38" i="2"/>
  <c r="AK38" i="2" s="1"/>
  <c r="BC38" i="2" s="1"/>
  <c r="AH38" i="2"/>
  <c r="AJ38" i="2" s="1"/>
  <c r="AH131" i="2"/>
  <c r="AJ131" i="2" s="1"/>
  <c r="BB131" i="2" s="1"/>
  <c r="AI131" i="2"/>
  <c r="AK131" i="2" s="1"/>
  <c r="BC131" i="2" s="1"/>
  <c r="BG39" i="2" l="1"/>
  <c r="BF40" i="2"/>
  <c r="BE393" i="2"/>
  <c r="BG143" i="2"/>
  <c r="BG131" i="2"/>
  <c r="BF143" i="2"/>
  <c r="AI158" i="2" l="1"/>
  <c r="E216" i="2"/>
  <c r="AK158" i="2" l="1"/>
  <c r="BC374" i="2"/>
  <c r="BB374" i="2"/>
  <c r="AM183" i="2"/>
  <c r="E109" i="2"/>
  <c r="AT364" i="2"/>
  <c r="BC364" i="2" s="1"/>
  <c r="AQ364" i="2"/>
  <c r="BB364" i="2" s="1"/>
  <c r="AQ354" i="2"/>
  <c r="BB354" i="2" s="1"/>
  <c r="AT354" i="2"/>
  <c r="BC354" i="2" s="1"/>
  <c r="AT344" i="2"/>
  <c r="BC344" i="2" s="1"/>
  <c r="AQ344" i="2"/>
  <c r="BB344" i="2" s="1"/>
  <c r="AT334" i="2"/>
  <c r="BC334" i="2" s="1"/>
  <c r="AQ334" i="2"/>
  <c r="BB334" i="2" s="1"/>
  <c r="AQ324" i="2"/>
  <c r="BB324" i="2" s="1"/>
  <c r="AT324" i="2"/>
  <c r="BC324" i="2" s="1"/>
  <c r="AT314" i="2"/>
  <c r="BC314" i="2" s="1"/>
  <c r="AQ314" i="2"/>
  <c r="BB314" i="2" s="1"/>
  <c r="AQ304" i="2"/>
  <c r="BB304" i="2" s="1"/>
  <c r="AT304" i="2"/>
  <c r="BC304" i="2" s="1"/>
  <c r="BC292" i="2"/>
  <c r="BB292" i="2"/>
  <c r="AQ38" i="2"/>
  <c r="BB38" i="2" s="1"/>
  <c r="BF38" i="2" s="1"/>
  <c r="G22" i="7"/>
  <c r="G23" i="6"/>
  <c r="G24" i="6"/>
  <c r="M76" i="34"/>
  <c r="M75" i="34"/>
  <c r="M74" i="34"/>
  <c r="M73" i="34"/>
  <c r="M72" i="34"/>
  <c r="M71" i="34"/>
  <c r="M70" i="34"/>
  <c r="M69" i="34"/>
  <c r="M68" i="34"/>
  <c r="H61" i="34"/>
  <c r="O77" i="34" s="1"/>
  <c r="O80" i="34" s="1"/>
  <c r="O40" i="34"/>
  <c r="O39" i="34"/>
  <c r="O38" i="34"/>
  <c r="O37" i="34"/>
  <c r="O36" i="34"/>
  <c r="O35" i="34"/>
  <c r="O33" i="34"/>
  <c r="O32" i="34"/>
  <c r="O41" i="34" s="1"/>
  <c r="H24" i="34"/>
  <c r="M31" i="34" s="1"/>
  <c r="M41" i="34" s="1"/>
  <c r="BF39" i="2" l="1"/>
  <c r="BG38" i="2"/>
  <c r="M80" i="34"/>
  <c r="AI161" i="2" l="1"/>
  <c r="AK161" i="2" s="1"/>
  <c r="BC161" i="2" s="1"/>
  <c r="AH161" i="2"/>
  <c r="AJ161" i="2" s="1"/>
  <c r="BB161" i="2" s="1"/>
  <c r="AI20" i="2"/>
  <c r="AK20" i="2" s="1"/>
  <c r="BC20" i="2" s="1"/>
  <c r="AH20" i="2"/>
  <c r="AJ20" i="2" s="1"/>
  <c r="BB20" i="2" s="1"/>
  <c r="E30" i="17"/>
  <c r="C30" i="17"/>
  <c r="AI411" i="2"/>
  <c r="AH411" i="2"/>
  <c r="AI410" i="2"/>
  <c r="AH410" i="2"/>
  <c r="AI408" i="2"/>
  <c r="AH408" i="2"/>
  <c r="AI407" i="2"/>
  <c r="AH407" i="2"/>
  <c r="AI391" i="2"/>
  <c r="AH391" i="2"/>
  <c r="AH390" i="2"/>
  <c r="AI412" i="2"/>
  <c r="AH412" i="2"/>
  <c r="AI406" i="2"/>
  <c r="AH406" i="2"/>
  <c r="AI402" i="2"/>
  <c r="AH402" i="2"/>
  <c r="AI401" i="2"/>
  <c r="AH401" i="2"/>
  <c r="AI400" i="2"/>
  <c r="AH400" i="2"/>
  <c r="AI399" i="2"/>
  <c r="AH399" i="2"/>
  <c r="AI398" i="2"/>
  <c r="AH398" i="2"/>
  <c r="AI397" i="2"/>
  <c r="AH397" i="2"/>
  <c r="AI396" i="2"/>
  <c r="AH396" i="2"/>
  <c r="AI395" i="2"/>
  <c r="AH395" i="2"/>
  <c r="AI394" i="2"/>
  <c r="AH394" i="2"/>
  <c r="AI392" i="2"/>
  <c r="AH392" i="2"/>
  <c r="AI386" i="2"/>
  <c r="AH386" i="2"/>
  <c r="AI384" i="2"/>
  <c r="AH384" i="2"/>
  <c r="AI383" i="2"/>
  <c r="AH383" i="2"/>
  <c r="AI382" i="2"/>
  <c r="AH382" i="2"/>
  <c r="AI381" i="2"/>
  <c r="AH381" i="2"/>
  <c r="AI380" i="2"/>
  <c r="AH380" i="2"/>
  <c r="AI280" i="2"/>
  <c r="AH280" i="2"/>
  <c r="AI279" i="2"/>
  <c r="AH279" i="2"/>
  <c r="AI278" i="2"/>
  <c r="AH278" i="2"/>
  <c r="AI277" i="2"/>
  <c r="AH277" i="2"/>
  <c r="AI276" i="2"/>
  <c r="AH276" i="2"/>
  <c r="AI275" i="2"/>
  <c r="AH275" i="2"/>
  <c r="AI274" i="2"/>
  <c r="AH274" i="2"/>
  <c r="AI273" i="2"/>
  <c r="AH273" i="2"/>
  <c r="AI272" i="2"/>
  <c r="AH272" i="2"/>
  <c r="AI271" i="2"/>
  <c r="AH271" i="2"/>
  <c r="AI270" i="2"/>
  <c r="AH270" i="2"/>
  <c r="AI269" i="2"/>
  <c r="AH269" i="2"/>
  <c r="AI268" i="2"/>
  <c r="AH268" i="2"/>
  <c r="AI267" i="2"/>
  <c r="AH267" i="2"/>
  <c r="AI266" i="2"/>
  <c r="AH266" i="2"/>
  <c r="AI265" i="2"/>
  <c r="AH265" i="2"/>
  <c r="AI264" i="2"/>
  <c r="AH264" i="2"/>
  <c r="AI263" i="2"/>
  <c r="AH263" i="2"/>
  <c r="AI262" i="2"/>
  <c r="AH262" i="2"/>
  <c r="AI261" i="2"/>
  <c r="AH261" i="2"/>
  <c r="AI260" i="2"/>
  <c r="AH260" i="2"/>
  <c r="AI259" i="2"/>
  <c r="AH259" i="2"/>
  <c r="AI258" i="2"/>
  <c r="AH258" i="2"/>
  <c r="AI257" i="2"/>
  <c r="AH257" i="2"/>
  <c r="AI256" i="2"/>
  <c r="AH256" i="2"/>
  <c r="AI255" i="2"/>
  <c r="AH255" i="2"/>
  <c r="AI254" i="2"/>
  <c r="AH254" i="2"/>
  <c r="AI253" i="2"/>
  <c r="AH253" i="2"/>
  <c r="AI252" i="2"/>
  <c r="AH252" i="2"/>
  <c r="AI251" i="2"/>
  <c r="AH251" i="2"/>
  <c r="AI250" i="2"/>
  <c r="AH250" i="2"/>
  <c r="AI249" i="2"/>
  <c r="AH249" i="2"/>
  <c r="AI248" i="2"/>
  <c r="AH248" i="2"/>
  <c r="AI247" i="2"/>
  <c r="AH247" i="2"/>
  <c r="AI246" i="2"/>
  <c r="AH246" i="2"/>
  <c r="AI245" i="2"/>
  <c r="AH245" i="2"/>
  <c r="AI244" i="2"/>
  <c r="AH244" i="2"/>
  <c r="AI243" i="2"/>
  <c r="AH243" i="2"/>
  <c r="AI242" i="2"/>
  <c r="AH242" i="2"/>
  <c r="AI240" i="2"/>
  <c r="AH240" i="2"/>
  <c r="AI239" i="2"/>
  <c r="AH239" i="2"/>
  <c r="AI238" i="2"/>
  <c r="AH238" i="2"/>
  <c r="AI237" i="2"/>
  <c r="AH237" i="2"/>
  <c r="AI236" i="2"/>
  <c r="AH236" i="2"/>
  <c r="AI235" i="2"/>
  <c r="AH235" i="2"/>
  <c r="AI234" i="2"/>
  <c r="AH234" i="2"/>
  <c r="AI233" i="2"/>
  <c r="AH233" i="2"/>
  <c r="AI232" i="2"/>
  <c r="AH232" i="2"/>
  <c r="AI231" i="2"/>
  <c r="AH231" i="2"/>
  <c r="AI230" i="2"/>
  <c r="AH230" i="2"/>
  <c r="AI376" i="2"/>
  <c r="AH376" i="2"/>
  <c r="AI369" i="2"/>
  <c r="AH369" i="2"/>
  <c r="AI368" i="2"/>
  <c r="AH368" i="2"/>
  <c r="AI367" i="2"/>
  <c r="AH367" i="2"/>
  <c r="AI366" i="2"/>
  <c r="AH366" i="2"/>
  <c r="AI359" i="2"/>
  <c r="AH359" i="2"/>
  <c r="AI358" i="2"/>
  <c r="AH358" i="2"/>
  <c r="AI357" i="2"/>
  <c r="AH357" i="2"/>
  <c r="AI356" i="2"/>
  <c r="AH356" i="2"/>
  <c r="AI349" i="2"/>
  <c r="AH349" i="2"/>
  <c r="AI348" i="2"/>
  <c r="AH348" i="2"/>
  <c r="AI347" i="2"/>
  <c r="AH347" i="2"/>
  <c r="AI346" i="2"/>
  <c r="AH346" i="2"/>
  <c r="AI339" i="2"/>
  <c r="AH339" i="2"/>
  <c r="AI338" i="2"/>
  <c r="AH338" i="2"/>
  <c r="AI337" i="2"/>
  <c r="AH337" i="2"/>
  <c r="AI336" i="2"/>
  <c r="AH336" i="2"/>
  <c r="AI329" i="2"/>
  <c r="AH329" i="2"/>
  <c r="AI328" i="2"/>
  <c r="AH328" i="2"/>
  <c r="AI327" i="2"/>
  <c r="AH327" i="2"/>
  <c r="AI326" i="2"/>
  <c r="AH326" i="2"/>
  <c r="AI319" i="2"/>
  <c r="AH319" i="2"/>
  <c r="AI318" i="2"/>
  <c r="AH318" i="2"/>
  <c r="AI317" i="2"/>
  <c r="AH317" i="2"/>
  <c r="AI316" i="2"/>
  <c r="AH316" i="2"/>
  <c r="AI309" i="2"/>
  <c r="AH309" i="2"/>
  <c r="AI308" i="2"/>
  <c r="AH308" i="2"/>
  <c r="AI307" i="2"/>
  <c r="AH307" i="2"/>
  <c r="AI306" i="2"/>
  <c r="AH306" i="2"/>
  <c r="AI297" i="2"/>
  <c r="AH297" i="2"/>
  <c r="AI296" i="2"/>
  <c r="AH296" i="2"/>
  <c r="AI295" i="2"/>
  <c r="AH295" i="2"/>
  <c r="AI294" i="2"/>
  <c r="AH294" i="2"/>
  <c r="AI285" i="2"/>
  <c r="AH285" i="2"/>
  <c r="AI284" i="2"/>
  <c r="AH284" i="2"/>
  <c r="AI283" i="2"/>
  <c r="AH283" i="2"/>
  <c r="AI282" i="2"/>
  <c r="AH282" i="2"/>
  <c r="AI281" i="2"/>
  <c r="AH281" i="2"/>
  <c r="AI229" i="2"/>
  <c r="AH229" i="2"/>
  <c r="AI228" i="2"/>
  <c r="AH228" i="2"/>
  <c r="AI227" i="2"/>
  <c r="AH227" i="2"/>
  <c r="AI226" i="2"/>
  <c r="AH226" i="2"/>
  <c r="AI225" i="2"/>
  <c r="AH225" i="2"/>
  <c r="AH224" i="2"/>
  <c r="AI222" i="2"/>
  <c r="AH222" i="2"/>
  <c r="AI221" i="2"/>
  <c r="AH221" i="2"/>
  <c r="AI220" i="2"/>
  <c r="AK220" i="2" s="1"/>
  <c r="AH220" i="2"/>
  <c r="AJ220" i="2" s="1"/>
  <c r="AI219" i="2"/>
  <c r="AH219" i="2"/>
  <c r="AI218" i="2"/>
  <c r="AH218" i="2"/>
  <c r="AI217" i="2"/>
  <c r="AH217" i="2"/>
  <c r="AI216" i="2"/>
  <c r="AH216" i="2"/>
  <c r="AI214" i="2"/>
  <c r="AH214" i="2"/>
  <c r="AI213" i="2"/>
  <c r="AH213" i="2"/>
  <c r="AI212" i="2"/>
  <c r="AH212" i="2"/>
  <c r="AI211" i="2"/>
  <c r="AH211" i="2"/>
  <c r="AI210" i="2"/>
  <c r="AH210" i="2"/>
  <c r="AI209" i="2"/>
  <c r="AH209" i="2"/>
  <c r="AI208" i="2"/>
  <c r="AH208" i="2"/>
  <c r="AI207" i="2"/>
  <c r="AH207" i="2"/>
  <c r="AI206" i="2"/>
  <c r="AH206" i="2"/>
  <c r="AI205" i="2"/>
  <c r="AH205" i="2"/>
  <c r="AI202" i="2"/>
  <c r="AH202" i="2"/>
  <c r="AI201" i="2"/>
  <c r="AH201" i="2"/>
  <c r="AI200" i="2"/>
  <c r="AH200" i="2"/>
  <c r="AI199" i="2"/>
  <c r="AH199" i="2"/>
  <c r="AI198" i="2"/>
  <c r="AH198" i="2"/>
  <c r="AI197" i="2"/>
  <c r="AH197" i="2"/>
  <c r="AI196" i="2"/>
  <c r="AH196" i="2"/>
  <c r="AI195" i="2"/>
  <c r="AH195" i="2"/>
  <c r="AI178" i="2"/>
  <c r="AH178" i="2"/>
  <c r="AI177" i="2"/>
  <c r="AH177" i="2"/>
  <c r="AI166" i="2"/>
  <c r="AH166" i="2"/>
  <c r="AI165" i="2"/>
  <c r="AH165" i="2"/>
  <c r="AI164" i="2"/>
  <c r="AH164" i="2"/>
  <c r="AI160" i="2"/>
  <c r="AH160" i="2"/>
  <c r="AH158" i="2"/>
  <c r="AI152" i="2"/>
  <c r="AH152" i="2"/>
  <c r="AI149" i="2"/>
  <c r="AH149" i="2"/>
  <c r="AI148" i="2"/>
  <c r="AH148" i="2"/>
  <c r="AI147" i="2"/>
  <c r="AH147" i="2"/>
  <c r="AI146" i="2"/>
  <c r="AH146" i="2"/>
  <c r="AI145" i="2"/>
  <c r="AH145" i="2"/>
  <c r="AI144" i="2"/>
  <c r="AH144" i="2"/>
  <c r="AI142" i="2"/>
  <c r="AH142" i="2"/>
  <c r="AI141" i="2"/>
  <c r="AH141" i="2"/>
  <c r="AI140" i="2"/>
  <c r="AH140" i="2"/>
  <c r="AI139" i="2"/>
  <c r="AH139" i="2"/>
  <c r="AI138" i="2"/>
  <c r="AH138" i="2"/>
  <c r="AI135" i="2"/>
  <c r="AH135" i="2"/>
  <c r="AI134" i="2"/>
  <c r="AH134" i="2"/>
  <c r="AI133" i="2"/>
  <c r="AH133" i="2"/>
  <c r="AI132" i="2"/>
  <c r="AH132" i="2"/>
  <c r="AI130" i="2"/>
  <c r="AH130" i="2"/>
  <c r="AI129" i="2"/>
  <c r="AH129" i="2"/>
  <c r="AI128" i="2"/>
  <c r="AH128" i="2"/>
  <c r="AI127" i="2"/>
  <c r="AH127" i="2"/>
  <c r="AI126" i="2"/>
  <c r="AH126" i="2"/>
  <c r="AI125" i="2"/>
  <c r="AH125" i="2"/>
  <c r="AI122" i="2"/>
  <c r="AH122" i="2"/>
  <c r="AI121" i="2"/>
  <c r="AH121" i="2"/>
  <c r="AI120" i="2"/>
  <c r="AH120" i="2"/>
  <c r="AI119" i="2"/>
  <c r="AH119" i="2"/>
  <c r="AI194" i="2"/>
  <c r="AH194" i="2"/>
  <c r="AI193" i="2"/>
  <c r="AH193" i="2"/>
  <c r="AI192" i="2"/>
  <c r="AH192" i="2"/>
  <c r="AI191" i="2"/>
  <c r="AH191" i="2"/>
  <c r="AI185" i="2"/>
  <c r="AH185" i="2"/>
  <c r="AI184" i="2"/>
  <c r="AH184" i="2"/>
  <c r="AI183" i="2"/>
  <c r="AH183" i="2"/>
  <c r="AI173" i="2"/>
  <c r="AH173" i="2"/>
  <c r="AI172" i="2"/>
  <c r="AH172" i="2"/>
  <c r="AI171" i="2"/>
  <c r="AH171" i="2"/>
  <c r="AI163" i="2"/>
  <c r="AH163" i="2"/>
  <c r="AI162" i="2"/>
  <c r="AH162" i="2"/>
  <c r="AI157" i="2"/>
  <c r="AH157" i="2"/>
  <c r="AI137" i="2"/>
  <c r="AH137" i="2"/>
  <c r="AI136" i="2"/>
  <c r="AH136" i="2"/>
  <c r="AI124" i="2"/>
  <c r="AH124" i="2"/>
  <c r="AI123" i="2"/>
  <c r="AH123" i="2"/>
  <c r="AI118" i="2"/>
  <c r="AH118" i="2"/>
  <c r="AI117" i="2"/>
  <c r="AH117" i="2"/>
  <c r="AI116" i="2"/>
  <c r="AH116" i="2"/>
  <c r="AI114" i="2"/>
  <c r="AH114" i="2"/>
  <c r="AI113" i="2"/>
  <c r="AH113" i="2"/>
  <c r="AI112" i="2"/>
  <c r="AH112" i="2"/>
  <c r="AI106" i="2"/>
  <c r="AH106" i="2"/>
  <c r="AI105" i="2"/>
  <c r="AH105" i="2"/>
  <c r="AI104" i="2"/>
  <c r="AH104" i="2"/>
  <c r="AI103" i="2"/>
  <c r="AH103" i="2"/>
  <c r="AI102" i="2"/>
  <c r="AH102" i="2"/>
  <c r="AI111" i="2"/>
  <c r="AH111" i="2"/>
  <c r="AI110" i="2"/>
  <c r="AH110" i="2"/>
  <c r="AI109" i="2"/>
  <c r="AH109" i="2"/>
  <c r="AI108" i="2"/>
  <c r="AH108" i="2"/>
  <c r="AI98" i="2"/>
  <c r="AH98" i="2"/>
  <c r="AI97" i="2"/>
  <c r="AH97" i="2"/>
  <c r="AI96" i="2"/>
  <c r="AH96" i="2"/>
  <c r="AI89" i="2"/>
  <c r="AH89" i="2"/>
  <c r="AI88" i="2"/>
  <c r="AH88" i="2"/>
  <c r="AI81" i="2"/>
  <c r="AH81" i="2"/>
  <c r="AI78" i="2"/>
  <c r="AH78" i="2"/>
  <c r="AI77" i="2"/>
  <c r="AH77" i="2"/>
  <c r="AI87" i="2"/>
  <c r="AH87" i="2"/>
  <c r="AI86" i="2"/>
  <c r="AH86" i="2"/>
  <c r="AI85" i="2"/>
  <c r="AH85" i="2"/>
  <c r="AI83" i="2"/>
  <c r="AH83" i="2"/>
  <c r="AI82" i="2"/>
  <c r="AH82" i="2"/>
  <c r="AI73" i="2"/>
  <c r="AH73" i="2"/>
  <c r="AI69" i="2"/>
  <c r="AH69" i="2"/>
  <c r="AI65" i="2"/>
  <c r="AH65" i="2"/>
  <c r="AI59" i="2"/>
  <c r="AH59" i="2"/>
  <c r="AI55" i="2"/>
  <c r="AH55" i="2"/>
  <c r="AI51" i="2"/>
  <c r="AH51" i="2"/>
  <c r="AI47" i="2"/>
  <c r="AH47" i="2"/>
  <c r="AI46" i="2"/>
  <c r="AH46" i="2"/>
  <c r="AI42" i="2"/>
  <c r="AH42" i="2"/>
  <c r="AI37" i="2"/>
  <c r="AH37" i="2"/>
  <c r="AI76" i="2"/>
  <c r="AH76" i="2"/>
  <c r="AI75" i="2"/>
  <c r="AH75" i="2"/>
  <c r="AI74" i="2"/>
  <c r="AH74" i="2"/>
  <c r="AI72" i="2"/>
  <c r="AH72" i="2"/>
  <c r="AI71" i="2"/>
  <c r="AH71" i="2"/>
  <c r="AI70" i="2"/>
  <c r="AH70" i="2"/>
  <c r="AI68" i="2"/>
  <c r="AH68" i="2"/>
  <c r="AI67" i="2"/>
  <c r="AH67" i="2"/>
  <c r="AI66" i="2"/>
  <c r="AH66" i="2"/>
  <c r="AI64" i="2"/>
  <c r="AH64" i="2"/>
  <c r="AI63" i="2"/>
  <c r="AH63" i="2"/>
  <c r="AI62" i="2"/>
  <c r="AH62" i="2"/>
  <c r="AI58" i="2"/>
  <c r="AH58" i="2"/>
  <c r="AI57" i="2"/>
  <c r="AH57" i="2"/>
  <c r="AI56" i="2"/>
  <c r="AH56" i="2"/>
  <c r="AI54" i="2"/>
  <c r="AH54" i="2"/>
  <c r="AI53" i="2"/>
  <c r="AH53" i="2"/>
  <c r="AI52" i="2"/>
  <c r="AH52" i="2"/>
  <c r="AI50" i="2"/>
  <c r="AH50" i="2"/>
  <c r="AI49" i="2"/>
  <c r="AH49" i="2"/>
  <c r="AI48" i="2"/>
  <c r="AH48" i="2"/>
  <c r="AI45" i="2"/>
  <c r="AH45" i="2"/>
  <c r="AI44" i="2"/>
  <c r="AH44" i="2"/>
  <c r="AI43" i="2"/>
  <c r="AH43" i="2"/>
  <c r="AI36" i="2"/>
  <c r="AH36" i="2"/>
  <c r="AI35" i="2"/>
  <c r="AH35" i="2"/>
  <c r="AI33" i="2"/>
  <c r="AH33" i="2"/>
  <c r="AI32" i="2"/>
  <c r="AH32" i="2"/>
  <c r="AI31" i="2"/>
  <c r="AH31" i="2"/>
  <c r="AI30" i="2"/>
  <c r="AH30" i="2"/>
  <c r="AI29" i="2"/>
  <c r="AH29" i="2"/>
  <c r="AI28" i="2"/>
  <c r="AH28" i="2"/>
  <c r="AI27" i="2"/>
  <c r="AH27" i="2"/>
  <c r="AI26" i="2"/>
  <c r="AH26" i="2"/>
  <c r="AI25" i="2"/>
  <c r="AH25" i="2"/>
  <c r="AI24" i="2"/>
  <c r="AH24" i="2"/>
  <c r="AI23" i="2"/>
  <c r="AH23" i="2"/>
  <c r="AI22" i="2"/>
  <c r="AH22" i="2"/>
  <c r="AI21" i="2"/>
  <c r="AH21" i="2"/>
  <c r="AI19" i="2"/>
  <c r="AH19" i="2"/>
  <c r="AI18" i="2"/>
  <c r="AH18" i="2"/>
  <c r="AI17" i="2"/>
  <c r="AK17" i="2" s="1"/>
  <c r="AH17" i="2"/>
  <c r="AI16" i="2"/>
  <c r="AH16" i="2"/>
  <c r="AI15" i="2"/>
  <c r="AH15" i="2"/>
  <c r="AI14" i="2"/>
  <c r="AH14" i="2"/>
  <c r="AI13" i="2"/>
  <c r="AH13" i="2"/>
  <c r="AI11" i="2"/>
  <c r="AH11" i="2"/>
  <c r="AI10" i="2"/>
  <c r="AH10" i="2"/>
  <c r="AI9" i="2"/>
  <c r="AH9" i="2"/>
  <c r="AI8" i="2"/>
  <c r="AH8" i="2"/>
  <c r="W415" i="2"/>
  <c r="V415" i="2"/>
  <c r="U415" i="2"/>
  <c r="T415" i="2"/>
  <c r="S415" i="2"/>
  <c r="R415" i="2"/>
  <c r="BG161" i="2" l="1"/>
  <c r="BG20" i="2"/>
  <c r="BF20" i="2"/>
  <c r="AL294" i="2"/>
  <c r="AL285" i="2"/>
  <c r="AL183" i="2" l="1"/>
  <c r="D18" i="29"/>
  <c r="N49" i="16" l="1"/>
  <c r="Q50" i="16"/>
  <c r="R50" i="16" l="1"/>
  <c r="V41" i="18"/>
  <c r="U41" i="18"/>
  <c r="T41" i="18"/>
  <c r="R41" i="18"/>
  <c r="Q41" i="18"/>
  <c r="P41" i="18"/>
  <c r="O41" i="18"/>
  <c r="M41" i="18"/>
  <c r="L41" i="18"/>
  <c r="K41" i="18"/>
  <c r="J41" i="18"/>
  <c r="H41" i="18"/>
  <c r="G41" i="18"/>
  <c r="F41" i="18"/>
  <c r="B37" i="18"/>
  <c r="A37" i="18"/>
  <c r="U37" i="18" s="1"/>
  <c r="B35" i="18"/>
  <c r="A35" i="18"/>
  <c r="O35" i="18" s="1"/>
  <c r="V32" i="18"/>
  <c r="U32" i="18"/>
  <c r="T32" i="18"/>
  <c r="R32" i="18"/>
  <c r="Q32" i="18"/>
  <c r="P32" i="18"/>
  <c r="O32" i="18"/>
  <c r="M32" i="18"/>
  <c r="L32" i="18"/>
  <c r="K32" i="18"/>
  <c r="J32" i="18"/>
  <c r="H32" i="18"/>
  <c r="G32" i="18"/>
  <c r="F32" i="18"/>
  <c r="B28" i="18"/>
  <c r="A28" i="18"/>
  <c r="Q28" i="18" s="1"/>
  <c r="B26" i="18"/>
  <c r="A26" i="18"/>
  <c r="U26" i="18" s="1"/>
  <c r="S909" i="19"/>
  <c r="P909" i="19"/>
  <c r="O909" i="19"/>
  <c r="F909" i="19"/>
  <c r="E909" i="19"/>
  <c r="U904" i="19"/>
  <c r="U897" i="19"/>
  <c r="U893" i="19"/>
  <c r="U890" i="19"/>
  <c r="U884" i="19"/>
  <c r="U881" i="19"/>
  <c r="U880" i="19"/>
  <c r="U871" i="19"/>
  <c r="U863" i="19"/>
  <c r="U858" i="19"/>
  <c r="U853" i="19"/>
  <c r="U852" i="19"/>
  <c r="U845" i="19"/>
  <c r="U840" i="19"/>
  <c r="U838" i="19"/>
  <c r="U837" i="19"/>
  <c r="U834" i="19"/>
  <c r="U827" i="19"/>
  <c r="U826" i="19"/>
  <c r="U824" i="19"/>
  <c r="U823" i="19"/>
  <c r="U820" i="19"/>
  <c r="U819" i="19"/>
  <c r="U815" i="19"/>
  <c r="U812" i="19"/>
  <c r="U808" i="19"/>
  <c r="U805" i="19"/>
  <c r="U799" i="19"/>
  <c r="U796" i="19"/>
  <c r="U795" i="19"/>
  <c r="U792" i="19"/>
  <c r="T792" i="19"/>
  <c r="Q792" i="19"/>
  <c r="L792" i="19"/>
  <c r="U788" i="19"/>
  <c r="U786" i="19"/>
  <c r="U783" i="19"/>
  <c r="U782" i="19"/>
  <c r="U779" i="19"/>
  <c r="T779" i="19"/>
  <c r="S779" i="19"/>
  <c r="Q779" i="19"/>
  <c r="N779" i="19"/>
  <c r="N909" i="19" s="1"/>
  <c r="K779" i="19"/>
  <c r="K909" i="19" s="1"/>
  <c r="I779" i="19"/>
  <c r="I909" i="19" s="1"/>
  <c r="G779" i="19"/>
  <c r="G909" i="19" s="1"/>
  <c r="C779" i="19"/>
  <c r="U777" i="19"/>
  <c r="U775" i="19"/>
  <c r="U772" i="19"/>
  <c r="U770" i="19"/>
  <c r="U768" i="19"/>
  <c r="U765" i="19"/>
  <c r="U759" i="19"/>
  <c r="U756" i="19"/>
  <c r="U753" i="19"/>
  <c r="U752" i="19"/>
  <c r="U746" i="19"/>
  <c r="U739" i="19"/>
  <c r="U736" i="19"/>
  <c r="U733" i="19"/>
  <c r="U729" i="19"/>
  <c r="U728" i="19"/>
  <c r="U722" i="19"/>
  <c r="U721" i="19"/>
  <c r="U718" i="19"/>
  <c r="U717" i="19"/>
  <c r="U716" i="19"/>
  <c r="U715" i="19"/>
  <c r="U707" i="19"/>
  <c r="U705" i="19"/>
  <c r="U696" i="19"/>
  <c r="U687" i="19"/>
  <c r="U683" i="19"/>
  <c r="U679" i="19"/>
  <c r="U660" i="19"/>
  <c r="U659" i="19"/>
  <c r="U656" i="19"/>
  <c r="U650" i="19"/>
  <c r="U636" i="19"/>
  <c r="U635" i="19"/>
  <c r="U631" i="19"/>
  <c r="U615" i="19"/>
  <c r="U612" i="19"/>
  <c r="U611" i="19"/>
  <c r="U609" i="19"/>
  <c r="U607" i="19"/>
  <c r="U606" i="19"/>
  <c r="U603" i="19"/>
  <c r="U601" i="19"/>
  <c r="U596" i="19"/>
  <c r="U593" i="19"/>
  <c r="U592" i="19"/>
  <c r="U580" i="19"/>
  <c r="U566" i="19"/>
  <c r="U564" i="19"/>
  <c r="U562" i="19"/>
  <c r="U543" i="19"/>
  <c r="U535" i="19"/>
  <c r="U529" i="19"/>
  <c r="U528" i="19"/>
  <c r="U524" i="19"/>
  <c r="U521" i="19"/>
  <c r="U519" i="19"/>
  <c r="U514" i="19"/>
  <c r="U511" i="19"/>
  <c r="U507" i="19"/>
  <c r="U500" i="19"/>
  <c r="U372" i="19"/>
  <c r="U365" i="19"/>
  <c r="U361" i="19"/>
  <c r="U356" i="19"/>
  <c r="U352" i="19"/>
  <c r="U349" i="19"/>
  <c r="U348" i="19"/>
  <c r="U345" i="19"/>
  <c r="U344" i="19"/>
  <c r="U339" i="19"/>
  <c r="U338" i="19"/>
  <c r="U329" i="19"/>
  <c r="U328" i="19"/>
  <c r="U326" i="19"/>
  <c r="U321" i="19"/>
  <c r="U320" i="19"/>
  <c r="U315" i="19"/>
  <c r="U314" i="19"/>
  <c r="U308" i="19"/>
  <c r="U303" i="19"/>
  <c r="U302" i="19"/>
  <c r="U297" i="19"/>
  <c r="U296" i="19"/>
  <c r="U283" i="19"/>
  <c r="U279" i="19"/>
  <c r="U278" i="19"/>
  <c r="U275" i="19"/>
  <c r="U270" i="19"/>
  <c r="U269" i="19"/>
  <c r="U268" i="19"/>
  <c r="U266" i="19"/>
  <c r="U264" i="19"/>
  <c r="U256" i="19"/>
  <c r="U253" i="19"/>
  <c r="U251" i="19"/>
  <c r="U246" i="19"/>
  <c r="T246" i="19"/>
  <c r="Q246" i="19"/>
  <c r="Q909" i="19" s="1"/>
  <c r="L246" i="19"/>
  <c r="L909" i="19" s="1"/>
  <c r="U245" i="19"/>
  <c r="U243" i="19"/>
  <c r="U237" i="19"/>
  <c r="U234" i="19"/>
  <c r="U227" i="19"/>
  <c r="U225" i="19"/>
  <c r="U224" i="19"/>
  <c r="U212" i="19"/>
  <c r="U210" i="19"/>
  <c r="U209" i="19"/>
  <c r="U207" i="19"/>
  <c r="U206" i="19"/>
  <c r="U196" i="19"/>
  <c r="U192" i="19"/>
  <c r="U190" i="19"/>
  <c r="U185" i="19"/>
  <c r="U180" i="19"/>
  <c r="U174" i="19"/>
  <c r="U171" i="19"/>
  <c r="U170" i="19"/>
  <c r="U165" i="19"/>
  <c r="U160" i="19"/>
  <c r="U155" i="19"/>
  <c r="U151" i="19"/>
  <c r="U149" i="19"/>
  <c r="U144" i="19"/>
  <c r="U142" i="19"/>
  <c r="U133" i="19"/>
  <c r="U130" i="19"/>
  <c r="U128" i="19"/>
  <c r="U127" i="19"/>
  <c r="U126" i="19"/>
  <c r="U121" i="19"/>
  <c r="U113" i="19"/>
  <c r="U111" i="19"/>
  <c r="U109" i="19"/>
  <c r="U104" i="19"/>
  <c r="U102" i="19"/>
  <c r="U99" i="19"/>
  <c r="U97" i="19"/>
  <c r="U93" i="19"/>
  <c r="U91" i="19"/>
  <c r="U80" i="19"/>
  <c r="U77" i="19"/>
  <c r="U72" i="19"/>
  <c r="U69" i="19"/>
  <c r="U62" i="19"/>
  <c r="U58" i="19"/>
  <c r="U56" i="19"/>
  <c r="U54" i="19"/>
  <c r="U50" i="19"/>
  <c r="U49" i="19"/>
  <c r="U46" i="19"/>
  <c r="U43" i="19"/>
  <c r="U42" i="19"/>
  <c r="U38" i="19"/>
  <c r="U21" i="19"/>
  <c r="U18" i="19"/>
  <c r="U14" i="19"/>
  <c r="U11" i="19"/>
  <c r="T909" i="19" l="1"/>
  <c r="U909" i="19"/>
  <c r="J28" i="18"/>
  <c r="T28" i="18"/>
  <c r="G35" i="18"/>
  <c r="Q35" i="18"/>
  <c r="D37" i="18"/>
  <c r="M37" i="18"/>
  <c r="C26" i="18"/>
  <c r="H28" i="18"/>
  <c r="P35" i="18"/>
  <c r="L37" i="18"/>
  <c r="D26" i="18"/>
  <c r="M26" i="18"/>
  <c r="O26" i="18"/>
  <c r="K28" i="18"/>
  <c r="U28" i="18"/>
  <c r="U30" i="18" s="1"/>
  <c r="H35" i="18"/>
  <c r="R35" i="18"/>
  <c r="O37" i="18"/>
  <c r="O39" i="18" s="1"/>
  <c r="J35" i="18"/>
  <c r="T35" i="18"/>
  <c r="F37" i="18"/>
  <c r="P37" i="18"/>
  <c r="V26" i="18"/>
  <c r="R28" i="18"/>
  <c r="F35" i="18"/>
  <c r="P26" i="18"/>
  <c r="G26" i="18"/>
  <c r="Q26" i="18"/>
  <c r="Q30" i="18" s="1"/>
  <c r="D28" i="18"/>
  <c r="M28" i="18"/>
  <c r="K35" i="18"/>
  <c r="U35" i="18"/>
  <c r="U39" i="18" s="1"/>
  <c r="G37" i="18"/>
  <c r="Q37" i="18"/>
  <c r="L26" i="18"/>
  <c r="L30" i="18" s="1"/>
  <c r="C37" i="18"/>
  <c r="V37" i="18"/>
  <c r="F26" i="18"/>
  <c r="C28" i="18"/>
  <c r="L28" i="18"/>
  <c r="V28" i="18"/>
  <c r="H26" i="18"/>
  <c r="R26" i="18"/>
  <c r="R30" i="18" s="1"/>
  <c r="O28" i="18"/>
  <c r="C35" i="18"/>
  <c r="L35" i="18"/>
  <c r="L39" i="18" s="1"/>
  <c r="V35" i="18"/>
  <c r="H37" i="18"/>
  <c r="R37" i="18"/>
  <c r="J37" i="18"/>
  <c r="T37" i="18"/>
  <c r="J26" i="18"/>
  <c r="J30" i="18" s="1"/>
  <c r="T26" i="18"/>
  <c r="T30" i="18" s="1"/>
  <c r="F28" i="18"/>
  <c r="P28" i="18"/>
  <c r="D35" i="18"/>
  <c r="M35" i="18"/>
  <c r="K26" i="18"/>
  <c r="G28" i="18"/>
  <c r="K37" i="18"/>
  <c r="J39" i="18" l="1"/>
  <c r="H30" i="18"/>
  <c r="F30" i="18"/>
  <c r="O30" i="18"/>
  <c r="T39" i="18"/>
  <c r="E35" i="18"/>
  <c r="C39" i="18"/>
  <c r="M30" i="18"/>
  <c r="Q39" i="18"/>
  <c r="G30" i="18"/>
  <c r="D30" i="18"/>
  <c r="G39" i="18"/>
  <c r="K30" i="18"/>
  <c r="P30" i="18"/>
  <c r="M39" i="18"/>
  <c r="F39" i="18"/>
  <c r="R39" i="18"/>
  <c r="P39" i="18"/>
  <c r="D39" i="18"/>
  <c r="H39" i="18"/>
  <c r="E37" i="18"/>
  <c r="V39" i="18"/>
  <c r="E28" i="18"/>
  <c r="K39" i="18"/>
  <c r="V30" i="18"/>
  <c r="C30" i="18"/>
  <c r="E26" i="18"/>
  <c r="E30" i="18" l="1"/>
  <c r="E39" i="18"/>
  <c r="E53" i="23" l="1"/>
  <c r="B104" i="27"/>
  <c r="F25" i="23" s="1"/>
  <c r="U108" i="25"/>
  <c r="T108" i="25"/>
  <c r="R108" i="25"/>
  <c r="V25" i="23" s="1"/>
  <c r="Q108" i="25"/>
  <c r="U25" i="23" s="1"/>
  <c r="P108" i="25"/>
  <c r="T25" i="23" s="1"/>
  <c r="N108" i="25"/>
  <c r="R25" i="23" s="1"/>
  <c r="M108" i="25"/>
  <c r="Q25" i="23" s="1"/>
  <c r="L108" i="25"/>
  <c r="P25" i="23" s="1"/>
  <c r="K108" i="25"/>
  <c r="O25" i="23" s="1"/>
  <c r="I108" i="25"/>
  <c r="M25" i="23" s="1"/>
  <c r="H108" i="25"/>
  <c r="L25" i="23" s="1"/>
  <c r="G108" i="25"/>
  <c r="K25" i="23" s="1"/>
  <c r="F108" i="25"/>
  <c r="J25" i="23" s="1"/>
  <c r="D108" i="25"/>
  <c r="H25" i="23" s="1"/>
  <c r="C108" i="25"/>
  <c r="B108" i="25"/>
  <c r="C117" i="23" l="1"/>
  <c r="C81" i="18" l="1"/>
  <c r="C82" i="18"/>
  <c r="C83" i="18"/>
  <c r="C84" i="18"/>
  <c r="C85" i="18"/>
  <c r="C86" i="18"/>
  <c r="C87" i="18"/>
  <c r="C88" i="18"/>
  <c r="C80" i="18"/>
  <c r="C75" i="18"/>
  <c r="C149" i="32" l="1"/>
  <c r="C149" i="31"/>
  <c r="D149" i="33"/>
  <c r="C149" i="33"/>
  <c r="D149" i="32" l="1"/>
  <c r="D149" i="31"/>
  <c r="D150" i="33" l="1"/>
  <c r="C150" i="33"/>
  <c r="D150" i="32"/>
  <c r="C150" i="32"/>
  <c r="D36" i="31" l="1"/>
  <c r="C150" i="31"/>
  <c r="E150" i="33" l="1"/>
  <c r="E150" i="32"/>
  <c r="E149" i="32"/>
  <c r="D150" i="31"/>
  <c r="G150" i="33" l="1"/>
  <c r="C104" i="33" s="1"/>
  <c r="H150" i="33"/>
  <c r="D104" i="33" s="1"/>
  <c r="H149" i="32"/>
  <c r="G149" i="32"/>
  <c r="H150" i="32"/>
  <c r="D104" i="32" s="1"/>
  <c r="AT154" i="2" s="1"/>
  <c r="G150" i="32"/>
  <c r="C104" i="32" s="1"/>
  <c r="E149" i="31"/>
  <c r="G149" i="31" s="1"/>
  <c r="C103" i="31" s="1"/>
  <c r="AQ188" i="2" s="1"/>
  <c r="H149" i="31" l="1"/>
  <c r="D103" i="31" s="1"/>
  <c r="AT188" i="2" s="1"/>
  <c r="E34" i="29" l="1"/>
  <c r="BC186" i="2" l="1"/>
  <c r="BB187" i="2"/>
  <c r="C151" i="32"/>
  <c r="C98" i="29" l="1"/>
  <c r="L54" i="29"/>
  <c r="L53" i="29"/>
  <c r="L52" i="29"/>
  <c r="L51" i="29"/>
  <c r="D98" i="29" l="1"/>
  <c r="E98" i="29" s="1"/>
  <c r="G98" i="29" s="1"/>
  <c r="C77" i="29" s="1"/>
  <c r="H98" i="29" l="1"/>
  <c r="D77" i="29" s="1"/>
  <c r="AL82" i="2" s="1"/>
  <c r="G194" i="15" l="1"/>
  <c r="G193" i="15"/>
  <c r="G192" i="15"/>
  <c r="E177" i="15"/>
  <c r="E176" i="15"/>
  <c r="E175" i="15"/>
  <c r="G194" i="14"/>
  <c r="G193" i="14"/>
  <c r="G192" i="14"/>
  <c r="E177" i="14"/>
  <c r="E176" i="14"/>
  <c r="E175" i="14"/>
  <c r="G184" i="13"/>
  <c r="G185" i="13"/>
  <c r="G186" i="13"/>
  <c r="G187" i="13"/>
  <c r="G188" i="13"/>
  <c r="G189" i="13"/>
  <c r="G190" i="13"/>
  <c r="G191" i="13"/>
  <c r="G192" i="13"/>
  <c r="G193" i="13"/>
  <c r="G194" i="13"/>
  <c r="G195" i="13"/>
  <c r="G196" i="13"/>
  <c r="G197" i="13"/>
  <c r="G198" i="13"/>
  <c r="G199" i="13"/>
  <c r="G200" i="13"/>
  <c r="G202" i="13"/>
  <c r="G203" i="13"/>
  <c r="G206" i="13"/>
  <c r="E180" i="13"/>
  <c r="E181" i="13"/>
  <c r="E182" i="13"/>
  <c r="E175" i="13"/>
  <c r="AY167" i="2" l="1"/>
  <c r="AY174" i="2"/>
  <c r="AV104" i="2"/>
  <c r="AV93" i="2"/>
  <c r="AY179" i="2"/>
  <c r="AV99" i="2"/>
  <c r="AM173" i="2"/>
  <c r="AH94" i="2" l="1"/>
  <c r="AJ94" i="2" s="1"/>
  <c r="AI94" i="2"/>
  <c r="AK94" i="2" s="1"/>
  <c r="AH95" i="2"/>
  <c r="AJ95" i="2" s="1"/>
  <c r="AI95" i="2"/>
  <c r="AK95" i="2" s="1"/>
  <c r="AI93" i="2"/>
  <c r="AK93" i="2" s="1"/>
  <c r="AH93" i="2"/>
  <c r="AJ93" i="2" s="1"/>
  <c r="AJ87" i="2"/>
  <c r="AK87" i="2"/>
  <c r="AK86" i="2"/>
  <c r="AJ86" i="2"/>
  <c r="AK85" i="2"/>
  <c r="AJ85" i="2"/>
  <c r="AJ105" i="2"/>
  <c r="AK105" i="2"/>
  <c r="AJ106" i="2"/>
  <c r="AK106" i="2"/>
  <c r="AK104" i="2"/>
  <c r="AJ104" i="2"/>
  <c r="AR415" i="2" l="1"/>
  <c r="AW415" i="2"/>
  <c r="AZ415" i="2"/>
  <c r="BA415" i="2"/>
  <c r="P415" i="2"/>
  <c r="Q415" i="2"/>
  <c r="X415" i="2"/>
  <c r="Y415" i="2"/>
  <c r="Z415" i="2"/>
  <c r="AB415" i="2"/>
  <c r="AC415" i="2"/>
  <c r="AD415" i="2"/>
  <c r="AE415" i="2"/>
  <c r="AF415" i="2"/>
  <c r="AG415" i="2"/>
  <c r="O415" i="2"/>
  <c r="L415" i="2"/>
  <c r="M415" i="2"/>
  <c r="N415" i="2"/>
  <c r="G415" i="2"/>
  <c r="H415" i="2"/>
  <c r="I415" i="2"/>
  <c r="J415" i="2"/>
  <c r="K415" i="2"/>
  <c r="F415" i="2"/>
  <c r="AM145" i="2"/>
  <c r="AA390" i="2" l="1"/>
  <c r="AI390" i="2" s="1"/>
  <c r="AA224" i="2"/>
  <c r="AA415" i="2" l="1"/>
  <c r="AI224" i="2"/>
  <c r="BC104" i="2"/>
  <c r="BC105" i="2"/>
  <c r="BC99" i="2"/>
  <c r="BC100" i="2"/>
  <c r="BC93" i="2"/>
  <c r="BC94" i="2"/>
  <c r="BC86" i="2"/>
  <c r="BB168" i="2"/>
  <c r="BB175" i="2"/>
  <c r="BB180" i="2"/>
  <c r="D185" i="33" l="1"/>
  <c r="D184" i="33"/>
  <c r="C180" i="33"/>
  <c r="E180" i="33" s="1"/>
  <c r="C179" i="33"/>
  <c r="E179" i="33" s="1"/>
  <c r="C178" i="33"/>
  <c r="E178" i="33" s="1"/>
  <c r="D177" i="33"/>
  <c r="C177" i="33"/>
  <c r="D176" i="33"/>
  <c r="C176" i="33"/>
  <c r="D175" i="33"/>
  <c r="C175" i="33"/>
  <c r="D174" i="33"/>
  <c r="C174" i="33"/>
  <c r="D173" i="33"/>
  <c r="C173" i="33"/>
  <c r="D172" i="33"/>
  <c r="C172" i="33"/>
  <c r="D171" i="33"/>
  <c r="C171" i="33"/>
  <c r="D170" i="33"/>
  <c r="C170" i="33"/>
  <c r="D169" i="33"/>
  <c r="C169" i="33"/>
  <c r="D168" i="33"/>
  <c r="C168" i="33"/>
  <c r="D167" i="33"/>
  <c r="C167" i="33"/>
  <c r="D166" i="33"/>
  <c r="C166" i="33"/>
  <c r="D165" i="33"/>
  <c r="C165" i="33"/>
  <c r="D164" i="33"/>
  <c r="C164" i="33"/>
  <c r="D163" i="33"/>
  <c r="C163" i="33"/>
  <c r="D162" i="33"/>
  <c r="C162" i="33"/>
  <c r="D161" i="33"/>
  <c r="C161" i="33"/>
  <c r="D160" i="33"/>
  <c r="C160" i="33"/>
  <c r="D159" i="33"/>
  <c r="C159" i="33"/>
  <c r="D158" i="33"/>
  <c r="C158" i="33"/>
  <c r="E158" i="33" s="1"/>
  <c r="G158" i="33" s="1"/>
  <c r="C112" i="33" s="1"/>
  <c r="D157" i="33"/>
  <c r="C157" i="33"/>
  <c r="D156" i="33"/>
  <c r="C156" i="33"/>
  <c r="D155" i="33"/>
  <c r="C155" i="33"/>
  <c r="D154" i="33"/>
  <c r="C154" i="33"/>
  <c r="D153" i="33"/>
  <c r="C153" i="33"/>
  <c r="D152" i="33"/>
  <c r="C152" i="33"/>
  <c r="D151" i="33"/>
  <c r="C151" i="33"/>
  <c r="D25" i="33"/>
  <c r="C184" i="33" s="1"/>
  <c r="D13" i="33"/>
  <c r="E13" i="33" s="1"/>
  <c r="D185" i="32"/>
  <c r="D184" i="32"/>
  <c r="C180" i="32"/>
  <c r="E180" i="32" s="1"/>
  <c r="C179" i="32"/>
  <c r="E179" i="32" s="1"/>
  <c r="C178" i="32"/>
  <c r="E178" i="32" s="1"/>
  <c r="D177" i="32"/>
  <c r="C177" i="32"/>
  <c r="D176" i="32"/>
  <c r="C176" i="32"/>
  <c r="D175" i="32"/>
  <c r="C175" i="32"/>
  <c r="D174" i="32"/>
  <c r="C174" i="32"/>
  <c r="D173" i="32"/>
  <c r="C173" i="32"/>
  <c r="D172" i="32"/>
  <c r="C172" i="32"/>
  <c r="D171" i="32"/>
  <c r="C171" i="32"/>
  <c r="D170" i="32"/>
  <c r="C170" i="32"/>
  <c r="D169" i="32"/>
  <c r="C169" i="32"/>
  <c r="D168" i="32"/>
  <c r="C168" i="32"/>
  <c r="D167" i="32"/>
  <c r="C167" i="32"/>
  <c r="D166" i="32"/>
  <c r="C166" i="32"/>
  <c r="D165" i="32"/>
  <c r="C165" i="32"/>
  <c r="D164" i="32"/>
  <c r="C164" i="32"/>
  <c r="D163" i="32"/>
  <c r="C163" i="32"/>
  <c r="D162" i="32"/>
  <c r="C162" i="32"/>
  <c r="D161" i="32"/>
  <c r="C161" i="32"/>
  <c r="D160" i="32"/>
  <c r="C160" i="32"/>
  <c r="D159" i="32"/>
  <c r="C159" i="32"/>
  <c r="D158" i="32"/>
  <c r="C158" i="32"/>
  <c r="D157" i="32"/>
  <c r="C157" i="32"/>
  <c r="D156" i="32"/>
  <c r="C156" i="32"/>
  <c r="D155" i="32"/>
  <c r="C155" i="32"/>
  <c r="D154" i="32"/>
  <c r="C154" i="32"/>
  <c r="D153" i="32"/>
  <c r="C153" i="32"/>
  <c r="D152" i="32"/>
  <c r="C152" i="32"/>
  <c r="D151" i="32"/>
  <c r="D25" i="32"/>
  <c r="C184" i="32" s="1"/>
  <c r="D13" i="32"/>
  <c r="E13" i="32" s="1"/>
  <c r="E157" i="33" l="1"/>
  <c r="E161" i="33"/>
  <c r="E165" i="33"/>
  <c r="H165" i="33" s="1"/>
  <c r="D119" i="33" s="1"/>
  <c r="E173" i="33"/>
  <c r="G173" i="33" s="1"/>
  <c r="C127" i="33" s="1"/>
  <c r="E177" i="33"/>
  <c r="G177" i="33" s="1"/>
  <c r="C131" i="33" s="1"/>
  <c r="E169" i="33"/>
  <c r="H169" i="33" s="1"/>
  <c r="D123" i="33" s="1"/>
  <c r="H180" i="32"/>
  <c r="D134" i="32" s="1"/>
  <c r="G180" i="32"/>
  <c r="C134" i="32" s="1"/>
  <c r="AQ105" i="2" s="1"/>
  <c r="BB105" i="2" s="1"/>
  <c r="H180" i="33"/>
  <c r="D134" i="33" s="1"/>
  <c r="BC106" i="2" s="1"/>
  <c r="G180" i="33"/>
  <c r="C134" i="33" s="1"/>
  <c r="AQ106" i="2" s="1"/>
  <c r="BB106" i="2" s="1"/>
  <c r="H161" i="33"/>
  <c r="D115" i="33" s="1"/>
  <c r="G161" i="33"/>
  <c r="C115" i="33" s="1"/>
  <c r="E166" i="33"/>
  <c r="E170" i="33"/>
  <c r="E174" i="33"/>
  <c r="E164" i="32"/>
  <c r="E168" i="32"/>
  <c r="E172" i="32"/>
  <c r="E176" i="32"/>
  <c r="E158" i="32"/>
  <c r="H158" i="32" s="1"/>
  <c r="D112" i="32" s="1"/>
  <c r="E159" i="32"/>
  <c r="H159" i="32" s="1"/>
  <c r="D113" i="32" s="1"/>
  <c r="E163" i="32"/>
  <c r="E167" i="32"/>
  <c r="E171" i="33"/>
  <c r="E175" i="33"/>
  <c r="E175" i="32"/>
  <c r="E162" i="33"/>
  <c r="E163" i="33"/>
  <c r="E167" i="33"/>
  <c r="E153" i="32"/>
  <c r="G153" i="32" s="1"/>
  <c r="C107" i="32" s="1"/>
  <c r="E157" i="32"/>
  <c r="H157" i="32" s="1"/>
  <c r="D111" i="32" s="1"/>
  <c r="E154" i="32"/>
  <c r="G154" i="32" s="1"/>
  <c r="C108" i="32" s="1"/>
  <c r="E156" i="32"/>
  <c r="G156" i="32" s="1"/>
  <c r="C110" i="32" s="1"/>
  <c r="E151" i="33"/>
  <c r="H151" i="33" s="1"/>
  <c r="E159" i="33"/>
  <c r="G159" i="33" s="1"/>
  <c r="C113" i="33" s="1"/>
  <c r="E153" i="33"/>
  <c r="G153" i="33" s="1"/>
  <c r="C107" i="33" s="1"/>
  <c r="D182" i="33"/>
  <c r="E182" i="33" s="1"/>
  <c r="H182" i="33" s="1"/>
  <c r="D136" i="33" s="1"/>
  <c r="E171" i="32"/>
  <c r="C103" i="32"/>
  <c r="D182" i="32"/>
  <c r="E182" i="32" s="1"/>
  <c r="H182" i="32" s="1"/>
  <c r="D136" i="32" s="1"/>
  <c r="AT175" i="2" s="1"/>
  <c r="BC175" i="2" s="1"/>
  <c r="E151" i="32"/>
  <c r="H151" i="32" s="1"/>
  <c r="D105" i="32" s="1"/>
  <c r="E160" i="32"/>
  <c r="H160" i="32" s="1"/>
  <c r="D114" i="32" s="1"/>
  <c r="E184" i="32"/>
  <c r="H184" i="32" s="1"/>
  <c r="D138" i="32" s="1"/>
  <c r="E161" i="32"/>
  <c r="E165" i="32"/>
  <c r="E169" i="32"/>
  <c r="E173" i="32"/>
  <c r="E177" i="32"/>
  <c r="E162" i="32"/>
  <c r="E166" i="32"/>
  <c r="E170" i="32"/>
  <c r="E174" i="32"/>
  <c r="E155" i="32"/>
  <c r="H155" i="32" s="1"/>
  <c r="D109" i="32" s="1"/>
  <c r="E152" i="32"/>
  <c r="H152" i="32" s="1"/>
  <c r="D106" i="32" s="1"/>
  <c r="E160" i="33"/>
  <c r="H160" i="33" s="1"/>
  <c r="D114" i="33" s="1"/>
  <c r="E164" i="33"/>
  <c r="E168" i="33"/>
  <c r="E172" i="33"/>
  <c r="E176" i="33"/>
  <c r="E184" i="33"/>
  <c r="H184" i="33" s="1"/>
  <c r="D138" i="33" s="1"/>
  <c r="G179" i="33"/>
  <c r="C133" i="33" s="1"/>
  <c r="H179" i="33"/>
  <c r="D133" i="33" s="1"/>
  <c r="BC101" i="2" s="1"/>
  <c r="E154" i="33"/>
  <c r="H154" i="33" s="1"/>
  <c r="D108" i="33" s="1"/>
  <c r="E155" i="33"/>
  <c r="G155" i="33" s="1"/>
  <c r="C109" i="33" s="1"/>
  <c r="E149" i="33"/>
  <c r="H149" i="33" s="1"/>
  <c r="E152" i="33"/>
  <c r="H152" i="33" s="1"/>
  <c r="D106" i="33" s="1"/>
  <c r="E156" i="33"/>
  <c r="G156" i="33" s="1"/>
  <c r="C110" i="33" s="1"/>
  <c r="G157" i="33"/>
  <c r="C111" i="33" s="1"/>
  <c r="H157" i="33"/>
  <c r="D111" i="33" s="1"/>
  <c r="H178" i="33"/>
  <c r="D132" i="33" s="1"/>
  <c r="BC95" i="2" s="1"/>
  <c r="G178" i="33"/>
  <c r="C132" i="33" s="1"/>
  <c r="D181" i="33"/>
  <c r="E181" i="33" s="1"/>
  <c r="G181" i="33" s="1"/>
  <c r="C185" i="33"/>
  <c r="E185" i="33" s="1"/>
  <c r="H158" i="33"/>
  <c r="D112" i="33" s="1"/>
  <c r="E25" i="33"/>
  <c r="D183" i="33"/>
  <c r="E183" i="33" s="1"/>
  <c r="H178" i="32"/>
  <c r="D132" i="32" s="1"/>
  <c r="G178" i="32"/>
  <c r="C132" i="32" s="1"/>
  <c r="AQ94" i="2" s="1"/>
  <c r="BB94" i="2" s="1"/>
  <c r="G179" i="32"/>
  <c r="C133" i="32" s="1"/>
  <c r="AQ100" i="2" s="1"/>
  <c r="BB100" i="2" s="1"/>
  <c r="H179" i="32"/>
  <c r="D133" i="32" s="1"/>
  <c r="E25" i="32"/>
  <c r="D181" i="32"/>
  <c r="E181" i="32" s="1"/>
  <c r="D183" i="32"/>
  <c r="E183" i="32" s="1"/>
  <c r="C185" i="32"/>
  <c r="E185" i="32" s="1"/>
  <c r="G165" i="33" l="1"/>
  <c r="C119" i="33" s="1"/>
  <c r="H177" i="33"/>
  <c r="D131" i="33" s="1"/>
  <c r="H173" i="33"/>
  <c r="D127" i="33" s="1"/>
  <c r="G169" i="33"/>
  <c r="C123" i="33" s="1"/>
  <c r="G159" i="32"/>
  <c r="C113" i="32" s="1"/>
  <c r="BB154" i="2"/>
  <c r="AQ189" i="2"/>
  <c r="H175" i="33"/>
  <c r="D129" i="33" s="1"/>
  <c r="G175" i="33"/>
  <c r="C129" i="33" s="1"/>
  <c r="H174" i="33"/>
  <c r="D128" i="33" s="1"/>
  <c r="G174" i="33"/>
  <c r="C128" i="33" s="1"/>
  <c r="H167" i="33"/>
  <c r="D121" i="33" s="1"/>
  <c r="G167" i="33"/>
  <c r="C121" i="33" s="1"/>
  <c r="H176" i="33"/>
  <c r="D130" i="33" s="1"/>
  <c r="G176" i="33"/>
  <c r="C130" i="33" s="1"/>
  <c r="H163" i="33"/>
  <c r="D117" i="33" s="1"/>
  <c r="G163" i="33"/>
  <c r="C117" i="33" s="1"/>
  <c r="H166" i="33"/>
  <c r="D120" i="33" s="1"/>
  <c r="G166" i="33"/>
  <c r="C120" i="33" s="1"/>
  <c r="H172" i="33"/>
  <c r="D126" i="33" s="1"/>
  <c r="G172" i="33"/>
  <c r="C126" i="33" s="1"/>
  <c r="H168" i="33"/>
  <c r="D122" i="33" s="1"/>
  <c r="G168" i="33"/>
  <c r="C122" i="33" s="1"/>
  <c r="AQ373" i="2" s="1"/>
  <c r="BB373" i="2" s="1"/>
  <c r="H164" i="33"/>
  <c r="D118" i="33" s="1"/>
  <c r="G164" i="33"/>
  <c r="C118" i="33" s="1"/>
  <c r="AQ333" i="2" s="1"/>
  <c r="BB333" i="2" s="1"/>
  <c r="H171" i="33"/>
  <c r="D125" i="33" s="1"/>
  <c r="G171" i="33"/>
  <c r="C125" i="33" s="1"/>
  <c r="H162" i="33"/>
  <c r="D116" i="33" s="1"/>
  <c r="G162" i="33"/>
  <c r="C116" i="33" s="1"/>
  <c r="H170" i="33"/>
  <c r="D124" i="33" s="1"/>
  <c r="AT303" i="2" s="1"/>
  <c r="BC303" i="2" s="1"/>
  <c r="G170" i="33"/>
  <c r="C124" i="33" s="1"/>
  <c r="H176" i="32"/>
  <c r="D130" i="32" s="1"/>
  <c r="G176" i="32"/>
  <c r="C130" i="32" s="1"/>
  <c r="H177" i="32"/>
  <c r="D131" i="32" s="1"/>
  <c r="G177" i="32"/>
  <c r="C131" i="32" s="1"/>
  <c r="H168" i="32"/>
  <c r="D122" i="32" s="1"/>
  <c r="G168" i="32"/>
  <c r="C122" i="32" s="1"/>
  <c r="H166" i="32"/>
  <c r="D120" i="32" s="1"/>
  <c r="G166" i="32"/>
  <c r="C120" i="32" s="1"/>
  <c r="H173" i="32"/>
  <c r="D127" i="32" s="1"/>
  <c r="G173" i="32"/>
  <c r="C127" i="32" s="1"/>
  <c r="H171" i="32"/>
  <c r="D125" i="32" s="1"/>
  <c r="G171" i="32"/>
  <c r="C125" i="32" s="1"/>
  <c r="H164" i="32"/>
  <c r="D118" i="32" s="1"/>
  <c r="G164" i="32"/>
  <c r="C118" i="32" s="1"/>
  <c r="H167" i="32"/>
  <c r="D121" i="32" s="1"/>
  <c r="G167" i="32"/>
  <c r="C121" i="32" s="1"/>
  <c r="H174" i="32"/>
  <c r="D128" i="32" s="1"/>
  <c r="G174" i="32"/>
  <c r="C128" i="32" s="1"/>
  <c r="H161" i="32"/>
  <c r="D115" i="32" s="1"/>
  <c r="G161" i="32"/>
  <c r="C115" i="32" s="1"/>
  <c r="H163" i="32"/>
  <c r="D117" i="32" s="1"/>
  <c r="G163" i="32"/>
  <c r="C117" i="32" s="1"/>
  <c r="H162" i="32"/>
  <c r="D116" i="32" s="1"/>
  <c r="G162" i="32"/>
  <c r="C116" i="32" s="1"/>
  <c r="H175" i="32"/>
  <c r="D129" i="32" s="1"/>
  <c r="G175" i="32"/>
  <c r="C129" i="32" s="1"/>
  <c r="H172" i="32"/>
  <c r="D126" i="32" s="1"/>
  <c r="G172" i="32"/>
  <c r="C126" i="32" s="1"/>
  <c r="H169" i="32"/>
  <c r="D123" i="32" s="1"/>
  <c r="AT289" i="2" s="1"/>
  <c r="BC289" i="2" s="1"/>
  <c r="G169" i="32"/>
  <c r="C123" i="32" s="1"/>
  <c r="H165" i="32"/>
  <c r="D119" i="32" s="1"/>
  <c r="G165" i="32"/>
  <c r="C119" i="32" s="1"/>
  <c r="H170" i="32"/>
  <c r="D124" i="32" s="1"/>
  <c r="G170" i="32"/>
  <c r="C124" i="32" s="1"/>
  <c r="D103" i="33"/>
  <c r="D105" i="33"/>
  <c r="AT290" i="2" s="1"/>
  <c r="BC290" i="2" s="1"/>
  <c r="G158" i="32"/>
  <c r="C112" i="32" s="1"/>
  <c r="H153" i="32"/>
  <c r="D107" i="32" s="1"/>
  <c r="H156" i="32"/>
  <c r="D110" i="32" s="1"/>
  <c r="G155" i="32"/>
  <c r="C109" i="32" s="1"/>
  <c r="G152" i="33"/>
  <c r="C106" i="33" s="1"/>
  <c r="H154" i="32"/>
  <c r="D108" i="32" s="1"/>
  <c r="G160" i="32"/>
  <c r="C114" i="32" s="1"/>
  <c r="AQ95" i="2"/>
  <c r="BB95" i="2" s="1"/>
  <c r="AT176" i="2"/>
  <c r="BC176" i="2" s="1"/>
  <c r="G160" i="33"/>
  <c r="C114" i="33" s="1"/>
  <c r="AQ101" i="2"/>
  <c r="BB101" i="2" s="1"/>
  <c r="G151" i="33"/>
  <c r="H153" i="33"/>
  <c r="D107" i="33" s="1"/>
  <c r="G157" i="32"/>
  <c r="C111" i="32" s="1"/>
  <c r="H156" i="33"/>
  <c r="D110" i="33" s="1"/>
  <c r="H159" i="33"/>
  <c r="D113" i="33" s="1"/>
  <c r="G149" i="33"/>
  <c r="G184" i="33"/>
  <c r="C138" i="33" s="1"/>
  <c r="G182" i="33"/>
  <c r="C136" i="33" s="1"/>
  <c r="BB176" i="2" s="1"/>
  <c r="G184" i="32"/>
  <c r="C138" i="32" s="1"/>
  <c r="G151" i="32"/>
  <c r="C105" i="32" s="1"/>
  <c r="G182" i="32"/>
  <c r="C136" i="32" s="1"/>
  <c r="D103" i="32"/>
  <c r="AT189" i="2" s="1"/>
  <c r="BC189" i="2" s="1"/>
  <c r="C186" i="32"/>
  <c r="G152" i="32"/>
  <c r="C106" i="32" s="1"/>
  <c r="D186" i="33"/>
  <c r="H155" i="33"/>
  <c r="D109" i="33" s="1"/>
  <c r="G154" i="33"/>
  <c r="C108" i="33" s="1"/>
  <c r="H185" i="33"/>
  <c r="D139" i="33" s="1"/>
  <c r="BC87" i="2" s="1"/>
  <c r="G185" i="33"/>
  <c r="C139" i="33" s="1"/>
  <c r="H181" i="33"/>
  <c r="D135" i="33" s="1"/>
  <c r="C135" i="33"/>
  <c r="BB169" i="2" s="1"/>
  <c r="C186" i="33"/>
  <c r="E186" i="33"/>
  <c r="H183" i="33"/>
  <c r="D137" i="33" s="1"/>
  <c r="G183" i="33"/>
  <c r="C137" i="33" s="1"/>
  <c r="BB181" i="2" s="1"/>
  <c r="H181" i="32"/>
  <c r="D135" i="32" s="1"/>
  <c r="AT168" i="2" s="1"/>
  <c r="BC168" i="2" s="1"/>
  <c r="G181" i="32"/>
  <c r="C135" i="32" s="1"/>
  <c r="E186" i="32"/>
  <c r="H185" i="32"/>
  <c r="D139" i="32" s="1"/>
  <c r="G185" i="32"/>
  <c r="C139" i="32" s="1"/>
  <c r="D186" i="32"/>
  <c r="H183" i="32"/>
  <c r="D137" i="32" s="1"/>
  <c r="AT180" i="2" s="1"/>
  <c r="BC180" i="2" s="1"/>
  <c r="G183" i="32"/>
  <c r="C137" i="32" s="1"/>
  <c r="AQ343" i="2" l="1"/>
  <c r="BB343" i="2" s="1"/>
  <c r="AT352" i="2"/>
  <c r="BC352" i="2" s="1"/>
  <c r="AT362" i="2"/>
  <c r="BC362" i="2" s="1"/>
  <c r="AT190" i="2"/>
  <c r="BC190" i="2" s="1"/>
  <c r="AT155" i="2"/>
  <c r="AT332" i="2"/>
  <c r="BC332" i="2" s="1"/>
  <c r="AT373" i="2"/>
  <c r="BC373" i="2" s="1"/>
  <c r="AT363" i="2"/>
  <c r="BC363" i="2" s="1"/>
  <c r="AQ313" i="2"/>
  <c r="BB313" i="2" s="1"/>
  <c r="AQ362" i="2"/>
  <c r="BB362" i="2" s="1"/>
  <c r="AQ322" i="2"/>
  <c r="BB322" i="2" s="1"/>
  <c r="AQ372" i="2"/>
  <c r="BB372" i="2" s="1"/>
  <c r="AQ353" i="2"/>
  <c r="BB353" i="2" s="1"/>
  <c r="AT323" i="2"/>
  <c r="BC323" i="2" s="1"/>
  <c r="AT353" i="2"/>
  <c r="BC353" i="2" s="1"/>
  <c r="AT372" i="2"/>
  <c r="BC372" i="2" s="1"/>
  <c r="AT342" i="2"/>
  <c r="BC342" i="2" s="1"/>
  <c r="AQ342" i="2"/>
  <c r="BB342" i="2" s="1"/>
  <c r="AQ312" i="2"/>
  <c r="BB312" i="2" s="1"/>
  <c r="AT322" i="2"/>
  <c r="BC322" i="2" s="1"/>
  <c r="AQ363" i="2"/>
  <c r="BB363" i="2" s="1"/>
  <c r="AQ303" i="2"/>
  <c r="BB303" i="2" s="1"/>
  <c r="AT302" i="2"/>
  <c r="BC302" i="2" s="1"/>
  <c r="AQ332" i="2"/>
  <c r="BB332" i="2" s="1"/>
  <c r="AT312" i="2"/>
  <c r="BC312" i="2" s="1"/>
  <c r="AQ352" i="2"/>
  <c r="BB352" i="2" s="1"/>
  <c r="AQ302" i="2"/>
  <c r="BB302" i="2" s="1"/>
  <c r="C103" i="33"/>
  <c r="AQ190" i="2" s="1"/>
  <c r="C105" i="33"/>
  <c r="AQ290" i="2" s="1"/>
  <c r="BB290" i="2" s="1"/>
  <c r="AT313" i="2"/>
  <c r="BC313" i="2" s="1"/>
  <c r="AQ289" i="2"/>
  <c r="BB289" i="2" s="1"/>
  <c r="AT169" i="2"/>
  <c r="BC169" i="2" s="1"/>
  <c r="AT181" i="2"/>
  <c r="BC181" i="2" s="1"/>
  <c r="AQ87" i="2"/>
  <c r="BB87" i="2" s="1"/>
  <c r="AQ323" i="2"/>
  <c r="BB323" i="2" s="1"/>
  <c r="AT333" i="2"/>
  <c r="BC333" i="2" s="1"/>
  <c r="AT343" i="2"/>
  <c r="BC343" i="2" s="1"/>
  <c r="AQ86" i="2"/>
  <c r="BB86" i="2" s="1"/>
  <c r="C188" i="32"/>
  <c r="C188" i="33"/>
  <c r="D141" i="33"/>
  <c r="H186" i="33"/>
  <c r="G186" i="33"/>
  <c r="G186" i="32"/>
  <c r="H186" i="32"/>
  <c r="C141" i="32"/>
  <c r="D141" i="32"/>
  <c r="BB155" i="2" l="1"/>
  <c r="C141" i="33"/>
  <c r="BC154" i="2"/>
  <c r="BG154" i="2" s="1"/>
  <c r="BB189" i="2"/>
  <c r="BB190" i="2" l="1"/>
  <c r="BC155" i="2"/>
  <c r="BG155" i="2" s="1"/>
  <c r="B60" i="35"/>
  <c r="B52" i="35"/>
  <c r="B50" i="35"/>
  <c r="B49" i="35"/>
  <c r="B43" i="35"/>
  <c r="B25" i="35"/>
  <c r="B23" i="35"/>
  <c r="B22" i="35"/>
  <c r="B16" i="35"/>
  <c r="B24" i="35" s="1"/>
  <c r="B26" i="35" s="1"/>
  <c r="C7" i="35"/>
  <c r="F42" i="35" s="1"/>
  <c r="F37" i="35" l="1"/>
  <c r="F39" i="35"/>
  <c r="B39" i="35"/>
  <c r="F40" i="35"/>
  <c r="B51" i="35"/>
  <c r="B53" i="35" s="1"/>
  <c r="F41" i="35"/>
  <c r="B3" i="35"/>
  <c r="B38" i="35"/>
  <c r="B15" i="35"/>
  <c r="B12" i="35"/>
  <c r="B27" i="35"/>
  <c r="F43" i="35"/>
  <c r="B13" i="35"/>
  <c r="I31" i="35"/>
  <c r="B11" i="35"/>
  <c r="B41" i="35"/>
  <c r="B14" i="35"/>
  <c r="B42" i="35"/>
  <c r="B18" i="35"/>
  <c r="E174" i="15"/>
  <c r="E174" i="14"/>
  <c r="E179" i="13"/>
  <c r="B44" i="35" l="1"/>
  <c r="AV85" i="2"/>
  <c r="B17" i="35"/>
  <c r="B19" i="35" s="1"/>
  <c r="B28" i="35"/>
  <c r="B30" i="35" l="1"/>
  <c r="B34" i="35" s="1"/>
  <c r="B45" i="35"/>
  <c r="B46" i="35" s="1"/>
  <c r="B32" i="35"/>
  <c r="B54" i="35"/>
  <c r="B55" i="35" s="1"/>
  <c r="B59" i="35" s="1"/>
  <c r="B61" i="35" l="1"/>
  <c r="B57" i="35"/>
  <c r="R233" i="12" l="1"/>
  <c r="N106" i="12"/>
  <c r="T252" i="12" l="1"/>
  <c r="R249" i="12"/>
  <c r="D415" i="2" l="1"/>
  <c r="BB174" i="2" l="1"/>
  <c r="BB167" i="2"/>
  <c r="BC85" i="2"/>
  <c r="D157" i="31" l="1"/>
  <c r="K57" i="29" l="1"/>
  <c r="D185" i="31" l="1"/>
  <c r="D184" i="31"/>
  <c r="C180" i="31"/>
  <c r="E180" i="31" s="1"/>
  <c r="C179" i="31"/>
  <c r="E179" i="31" s="1"/>
  <c r="C178" i="31"/>
  <c r="E178" i="31" s="1"/>
  <c r="D177" i="31"/>
  <c r="C177" i="31"/>
  <c r="D176" i="31"/>
  <c r="C176" i="31"/>
  <c r="D175" i="31"/>
  <c r="C175" i="31"/>
  <c r="D174" i="31"/>
  <c r="C174" i="31"/>
  <c r="D173" i="31"/>
  <c r="C173" i="31"/>
  <c r="D172" i="31"/>
  <c r="C172" i="31"/>
  <c r="D171" i="31"/>
  <c r="C171" i="31"/>
  <c r="D170" i="31"/>
  <c r="C170" i="31"/>
  <c r="D169" i="31"/>
  <c r="C169" i="31"/>
  <c r="D168" i="31"/>
  <c r="C168" i="31"/>
  <c r="D167" i="31"/>
  <c r="C167" i="31"/>
  <c r="D166" i="31"/>
  <c r="C166" i="31"/>
  <c r="D165" i="31"/>
  <c r="C165" i="31"/>
  <c r="D164" i="31"/>
  <c r="C164" i="31"/>
  <c r="D163" i="31"/>
  <c r="C163" i="31"/>
  <c r="D162" i="31"/>
  <c r="C162" i="31"/>
  <c r="D161" i="31"/>
  <c r="C161" i="31"/>
  <c r="D160" i="31"/>
  <c r="C160" i="31"/>
  <c r="D159" i="31"/>
  <c r="C159" i="31"/>
  <c r="D158" i="31"/>
  <c r="C158" i="31"/>
  <c r="C157" i="31"/>
  <c r="D156" i="31"/>
  <c r="C156" i="31"/>
  <c r="D155" i="31"/>
  <c r="C155" i="31"/>
  <c r="D154" i="31"/>
  <c r="C154" i="31"/>
  <c r="D153" i="31"/>
  <c r="C153" i="31"/>
  <c r="D152" i="31"/>
  <c r="C152" i="31"/>
  <c r="D151" i="31"/>
  <c r="C151" i="31"/>
  <c r="D25" i="31"/>
  <c r="D183" i="31" s="1"/>
  <c r="E183" i="31" s="1"/>
  <c r="H183" i="31" s="1"/>
  <c r="D137" i="31" s="1"/>
  <c r="D13" i="31"/>
  <c r="E13" i="31" s="1"/>
  <c r="C30" i="30"/>
  <c r="R21" i="30"/>
  <c r="N21" i="30"/>
  <c r="M21" i="30"/>
  <c r="O21" i="30" s="1"/>
  <c r="J18" i="30"/>
  <c r="I16" i="30"/>
  <c r="J15" i="30"/>
  <c r="I14" i="30"/>
  <c r="I5" i="30"/>
  <c r="J4" i="30"/>
  <c r="J21" i="30" s="1"/>
  <c r="Q3" i="30"/>
  <c r="Q21" i="30" s="1"/>
  <c r="I3" i="30"/>
  <c r="D99" i="29"/>
  <c r="K60" i="29"/>
  <c r="C99" i="29" s="1"/>
  <c r="L58" i="29"/>
  <c r="D100" i="29" s="1"/>
  <c r="E100" i="29" s="1"/>
  <c r="L50" i="29"/>
  <c r="D97" i="29" s="1"/>
  <c r="K49" i="29"/>
  <c r="C97" i="29" s="1"/>
  <c r="K48" i="29"/>
  <c r="C95" i="29" s="1"/>
  <c r="L47" i="29"/>
  <c r="D95" i="29" s="1"/>
  <c r="L46" i="29"/>
  <c r="K45" i="29"/>
  <c r="C96" i="29" s="1"/>
  <c r="K44" i="29"/>
  <c r="C94" i="29" s="1"/>
  <c r="L43" i="29"/>
  <c r="D94" i="29" s="1"/>
  <c r="K42" i="29"/>
  <c r="C93" i="29" s="1"/>
  <c r="L41" i="29"/>
  <c r="K40" i="29"/>
  <c r="C27" i="28"/>
  <c r="AQ299" i="2" s="1"/>
  <c r="BB299" i="2" s="1"/>
  <c r="U104" i="24"/>
  <c r="T104" i="24"/>
  <c r="S104" i="24"/>
  <c r="Q104" i="24"/>
  <c r="P104" i="24"/>
  <c r="O104" i="24"/>
  <c r="N104" i="24"/>
  <c r="L104" i="24"/>
  <c r="K104" i="24"/>
  <c r="J104" i="24"/>
  <c r="I104" i="24"/>
  <c r="G104" i="24"/>
  <c r="F104" i="24"/>
  <c r="E104" i="24"/>
  <c r="T107" i="26"/>
  <c r="V30" i="23" s="1"/>
  <c r="S107" i="26"/>
  <c r="U30" i="23" s="1"/>
  <c r="R107" i="26"/>
  <c r="T30" i="23" s="1"/>
  <c r="Q107" i="26"/>
  <c r="P107" i="26"/>
  <c r="R30" i="23" s="1"/>
  <c r="O107" i="26"/>
  <c r="Q30" i="23" s="1"/>
  <c r="N107" i="26"/>
  <c r="P30" i="23" s="1"/>
  <c r="M107" i="26"/>
  <c r="O30" i="23" s="1"/>
  <c r="L107" i="26"/>
  <c r="K107" i="26"/>
  <c r="M30" i="23" s="1"/>
  <c r="J107" i="26"/>
  <c r="L30" i="23" s="1"/>
  <c r="I107" i="26"/>
  <c r="K30" i="23" s="1"/>
  <c r="H107" i="26"/>
  <c r="J30" i="23" s="1"/>
  <c r="F107" i="26"/>
  <c r="E107" i="26"/>
  <c r="G30" i="23" s="1"/>
  <c r="D68" i="26"/>
  <c r="D107" i="26" s="1"/>
  <c r="F30" i="23" s="1"/>
  <c r="E108" i="23"/>
  <c r="H108" i="23" s="1"/>
  <c r="D77" i="23" s="1"/>
  <c r="E107" i="23"/>
  <c r="H107" i="23" s="1"/>
  <c r="D76" i="23" s="1"/>
  <c r="E106" i="23"/>
  <c r="H106" i="23" s="1"/>
  <c r="D75" i="23" s="1"/>
  <c r="E105" i="23"/>
  <c r="G105" i="23" s="1"/>
  <c r="C74" i="23" s="1"/>
  <c r="E104" i="23"/>
  <c r="H104" i="23" s="1"/>
  <c r="D73" i="23" s="1"/>
  <c r="E103" i="23"/>
  <c r="H103" i="23" s="1"/>
  <c r="D72" i="23" s="1"/>
  <c r="E102" i="23"/>
  <c r="H102" i="23" s="1"/>
  <c r="D71" i="23" s="1"/>
  <c r="E101" i="23"/>
  <c r="H101" i="23" s="1"/>
  <c r="D70" i="23" s="1"/>
  <c r="E99" i="23"/>
  <c r="G99" i="23" s="1"/>
  <c r="C68" i="23" s="1"/>
  <c r="E97" i="23"/>
  <c r="H97" i="23" s="1"/>
  <c r="D66" i="23" s="1"/>
  <c r="D117" i="23"/>
  <c r="B23" i="23"/>
  <c r="U907" i="22"/>
  <c r="T907" i="22"/>
  <c r="S907" i="22"/>
  <c r="Q907" i="22"/>
  <c r="P907" i="22"/>
  <c r="O907" i="22"/>
  <c r="N907" i="22"/>
  <c r="L907" i="22"/>
  <c r="K907" i="22"/>
  <c r="J907" i="22"/>
  <c r="I907" i="22"/>
  <c r="G907" i="22"/>
  <c r="F907" i="22"/>
  <c r="E907" i="22"/>
  <c r="D907" i="22"/>
  <c r="C907" i="22"/>
  <c r="P909" i="21"/>
  <c r="O909" i="21"/>
  <c r="G909" i="21"/>
  <c r="E909" i="21"/>
  <c r="U904" i="21"/>
  <c r="U897" i="21"/>
  <c r="U893" i="21"/>
  <c r="U890" i="21"/>
  <c r="U884" i="21"/>
  <c r="U881" i="21"/>
  <c r="U880" i="21"/>
  <c r="U871" i="21"/>
  <c r="U863" i="21"/>
  <c r="U858" i="21"/>
  <c r="U853" i="21"/>
  <c r="U852" i="21"/>
  <c r="U845" i="21"/>
  <c r="U840" i="21"/>
  <c r="U838" i="21"/>
  <c r="U837" i="21"/>
  <c r="U834" i="21"/>
  <c r="U827" i="21"/>
  <c r="U826" i="21"/>
  <c r="U824" i="21"/>
  <c r="U823" i="21"/>
  <c r="U820" i="21"/>
  <c r="U819" i="21"/>
  <c r="U815" i="21"/>
  <c r="U812" i="21"/>
  <c r="U808" i="21"/>
  <c r="U805" i="21"/>
  <c r="U799" i="21"/>
  <c r="U796" i="21"/>
  <c r="U795" i="21"/>
  <c r="U792" i="21"/>
  <c r="T792" i="21"/>
  <c r="Q792" i="21"/>
  <c r="L792" i="21"/>
  <c r="U788" i="21"/>
  <c r="U786" i="21"/>
  <c r="U783" i="21"/>
  <c r="U782" i="21"/>
  <c r="U779" i="21"/>
  <c r="T779" i="21"/>
  <c r="S779" i="21"/>
  <c r="S909" i="21" s="1"/>
  <c r="Q779" i="21"/>
  <c r="N779" i="21"/>
  <c r="N909" i="21" s="1"/>
  <c r="K779" i="21"/>
  <c r="K909" i="21" s="1"/>
  <c r="I779" i="21"/>
  <c r="I909" i="21" s="1"/>
  <c r="G779" i="21"/>
  <c r="C779" i="21"/>
  <c r="U777" i="21"/>
  <c r="U775" i="21"/>
  <c r="U772" i="21"/>
  <c r="U770" i="21"/>
  <c r="U768" i="21"/>
  <c r="U765" i="21"/>
  <c r="U759" i="21"/>
  <c r="U756" i="21"/>
  <c r="U753" i="21"/>
  <c r="U752" i="21"/>
  <c r="U746" i="21"/>
  <c r="U739" i="21"/>
  <c r="U736" i="21"/>
  <c r="U733" i="21"/>
  <c r="U729" i="21"/>
  <c r="U728" i="21"/>
  <c r="U722" i="21"/>
  <c r="U721" i="21"/>
  <c r="U718" i="21"/>
  <c r="U717" i="21"/>
  <c r="U716" i="21"/>
  <c r="U715" i="21"/>
  <c r="U707" i="21"/>
  <c r="U705" i="21"/>
  <c r="U696" i="21"/>
  <c r="U687" i="21"/>
  <c r="U683" i="21"/>
  <c r="U679" i="21"/>
  <c r="U660" i="21"/>
  <c r="U659" i="21"/>
  <c r="U656" i="21"/>
  <c r="U650" i="21"/>
  <c r="U636" i="21"/>
  <c r="U635" i="21"/>
  <c r="U631" i="21"/>
  <c r="U615" i="21"/>
  <c r="U612" i="21"/>
  <c r="U611" i="21"/>
  <c r="U609" i="21"/>
  <c r="U607" i="21"/>
  <c r="U606" i="21"/>
  <c r="U603" i="21"/>
  <c r="U601" i="21"/>
  <c r="U596" i="21"/>
  <c r="U593" i="21"/>
  <c r="U592" i="21"/>
  <c r="U580" i="21"/>
  <c r="U566" i="21"/>
  <c r="U564" i="21"/>
  <c r="U562" i="21"/>
  <c r="U543" i="21"/>
  <c r="U535" i="21"/>
  <c r="U529" i="21"/>
  <c r="U528" i="21"/>
  <c r="U524" i="21"/>
  <c r="U521" i="21"/>
  <c r="U519" i="21"/>
  <c r="U514" i="21"/>
  <c r="U511" i="21"/>
  <c r="U507" i="21"/>
  <c r="U500" i="21"/>
  <c r="U372" i="21"/>
  <c r="U365" i="21"/>
  <c r="U361" i="21"/>
  <c r="U356" i="21"/>
  <c r="U352" i="21"/>
  <c r="U349" i="21"/>
  <c r="U348" i="21"/>
  <c r="U345" i="21"/>
  <c r="U344" i="21"/>
  <c r="U339" i="21"/>
  <c r="U338" i="21"/>
  <c r="U329" i="21"/>
  <c r="U328" i="21"/>
  <c r="U326" i="21"/>
  <c r="U321" i="21"/>
  <c r="U320" i="21"/>
  <c r="U315" i="21"/>
  <c r="U314" i="21"/>
  <c r="U308" i="21"/>
  <c r="U303" i="21"/>
  <c r="U302" i="21"/>
  <c r="U297" i="21"/>
  <c r="U296" i="21"/>
  <c r="U283" i="21"/>
  <c r="U279" i="21"/>
  <c r="U278" i="21"/>
  <c r="U275" i="21"/>
  <c r="U270" i="21"/>
  <c r="U269" i="21"/>
  <c r="U268" i="21"/>
  <c r="U266" i="21"/>
  <c r="U264" i="21"/>
  <c r="U256" i="21"/>
  <c r="U253" i="21"/>
  <c r="U251" i="21"/>
  <c r="U246" i="21"/>
  <c r="T246" i="21"/>
  <c r="Q246" i="21"/>
  <c r="Q909" i="21" s="1"/>
  <c r="L246" i="21"/>
  <c r="L909" i="21" s="1"/>
  <c r="U245" i="21"/>
  <c r="U243" i="21"/>
  <c r="U237" i="21"/>
  <c r="U234" i="21"/>
  <c r="U227" i="21"/>
  <c r="U225" i="21"/>
  <c r="U224" i="21"/>
  <c r="U212" i="21"/>
  <c r="U210" i="21"/>
  <c r="U209" i="21"/>
  <c r="U207" i="21"/>
  <c r="U206" i="21"/>
  <c r="U196" i="21"/>
  <c r="U192" i="21"/>
  <c r="U190" i="21"/>
  <c r="U185" i="21"/>
  <c r="U180" i="21"/>
  <c r="U174" i="21"/>
  <c r="U171" i="21"/>
  <c r="U170" i="21"/>
  <c r="U165" i="21"/>
  <c r="U160" i="21"/>
  <c r="U155" i="21"/>
  <c r="U151" i="21"/>
  <c r="U149" i="21"/>
  <c r="U144" i="21"/>
  <c r="U142" i="21"/>
  <c r="U133" i="21"/>
  <c r="U130" i="21"/>
  <c r="U128" i="21"/>
  <c r="U127" i="21"/>
  <c r="U126" i="21"/>
  <c r="U121" i="21"/>
  <c r="U113" i="21"/>
  <c r="U111" i="21"/>
  <c r="U109" i="21"/>
  <c r="U104" i="21"/>
  <c r="U102" i="21"/>
  <c r="U99" i="21"/>
  <c r="U97" i="21"/>
  <c r="U93" i="21"/>
  <c r="U91" i="21"/>
  <c r="U80" i="21"/>
  <c r="U77" i="21"/>
  <c r="U72" i="21"/>
  <c r="U69" i="21"/>
  <c r="U62" i="21"/>
  <c r="U58" i="21"/>
  <c r="U56" i="21"/>
  <c r="U54" i="21"/>
  <c r="U50" i="21"/>
  <c r="U49" i="21"/>
  <c r="U46" i="21"/>
  <c r="U43" i="21"/>
  <c r="U42" i="21"/>
  <c r="U38" i="21"/>
  <c r="U21" i="21"/>
  <c r="U18" i="21"/>
  <c r="U14" i="21"/>
  <c r="U11" i="21"/>
  <c r="S908" i="20"/>
  <c r="O908" i="20"/>
  <c r="Q906" i="20"/>
  <c r="L906" i="20"/>
  <c r="Q905" i="20"/>
  <c r="L905" i="20"/>
  <c r="U904" i="20"/>
  <c r="Q904" i="20"/>
  <c r="L904" i="20"/>
  <c r="Q903" i="20"/>
  <c r="L903" i="20"/>
  <c r="Q902" i="20"/>
  <c r="L902" i="20"/>
  <c r="Q901" i="20"/>
  <c r="L901" i="20"/>
  <c r="Q900" i="20"/>
  <c r="L900" i="20"/>
  <c r="Q899" i="20"/>
  <c r="L899" i="20"/>
  <c r="Q898" i="20"/>
  <c r="L898" i="20"/>
  <c r="U897" i="20"/>
  <c r="Q897" i="20"/>
  <c r="L897" i="20"/>
  <c r="Q896" i="20"/>
  <c r="L896" i="20"/>
  <c r="Q895" i="20"/>
  <c r="L895" i="20"/>
  <c r="Q894" i="20"/>
  <c r="L894" i="20"/>
  <c r="U893" i="20"/>
  <c r="Q893" i="20"/>
  <c r="L893" i="20"/>
  <c r="Q892" i="20"/>
  <c r="L892" i="20"/>
  <c r="Q891" i="20"/>
  <c r="L891" i="20"/>
  <c r="U890" i="20"/>
  <c r="Q890" i="20"/>
  <c r="L890" i="20"/>
  <c r="Q889" i="20"/>
  <c r="L889" i="20"/>
  <c r="Q888" i="20"/>
  <c r="L888" i="20"/>
  <c r="Q887" i="20"/>
  <c r="L887" i="20"/>
  <c r="Q886" i="20"/>
  <c r="L886" i="20"/>
  <c r="Q885" i="20"/>
  <c r="L885" i="20"/>
  <c r="U884" i="20"/>
  <c r="Q884" i="20"/>
  <c r="L884" i="20"/>
  <c r="Q883" i="20"/>
  <c r="L883" i="20"/>
  <c r="Q882" i="20"/>
  <c r="L882" i="20"/>
  <c r="U881" i="20"/>
  <c r="Q881" i="20"/>
  <c r="L881" i="20"/>
  <c r="U880" i="20"/>
  <c r="Q880" i="20"/>
  <c r="L880" i="20"/>
  <c r="Q879" i="20"/>
  <c r="L879" i="20"/>
  <c r="Q878" i="20"/>
  <c r="L878" i="20"/>
  <c r="Q877" i="20"/>
  <c r="L877" i="20"/>
  <c r="Q876" i="20"/>
  <c r="L876" i="20"/>
  <c r="Q875" i="20"/>
  <c r="L875" i="20"/>
  <c r="Q874" i="20"/>
  <c r="L874" i="20"/>
  <c r="Q873" i="20"/>
  <c r="L873" i="20"/>
  <c r="Q872" i="20"/>
  <c r="L872" i="20"/>
  <c r="U871" i="20"/>
  <c r="Q871" i="20"/>
  <c r="L871" i="20"/>
  <c r="Q870" i="20"/>
  <c r="L870" i="20"/>
  <c r="Q869" i="20"/>
  <c r="L869" i="20"/>
  <c r="Q868" i="20"/>
  <c r="L868" i="20"/>
  <c r="Q867" i="20"/>
  <c r="L867" i="20"/>
  <c r="Q866" i="20"/>
  <c r="L866" i="20"/>
  <c r="Q865" i="20"/>
  <c r="L865" i="20"/>
  <c r="Q864" i="20"/>
  <c r="L864" i="20"/>
  <c r="U863" i="20"/>
  <c r="Q863" i="20"/>
  <c r="L863" i="20"/>
  <c r="Q862" i="20"/>
  <c r="L862" i="20"/>
  <c r="Q861" i="20"/>
  <c r="L861" i="20"/>
  <c r="Q860" i="20"/>
  <c r="L860" i="20"/>
  <c r="Q859" i="20"/>
  <c r="L859" i="20"/>
  <c r="U858" i="20"/>
  <c r="Q858" i="20"/>
  <c r="L858" i="20"/>
  <c r="Q857" i="20"/>
  <c r="L857" i="20"/>
  <c r="Q856" i="20"/>
  <c r="L856" i="20"/>
  <c r="Q855" i="20"/>
  <c r="L855" i="20"/>
  <c r="Q854" i="20"/>
  <c r="L854" i="20"/>
  <c r="U853" i="20"/>
  <c r="Q853" i="20"/>
  <c r="L853" i="20"/>
  <c r="U852" i="20"/>
  <c r="Q852" i="20"/>
  <c r="L852" i="20"/>
  <c r="Q851" i="20"/>
  <c r="L851" i="20"/>
  <c r="Q850" i="20"/>
  <c r="L850" i="20"/>
  <c r="Q849" i="20"/>
  <c r="L849" i="20"/>
  <c r="Q848" i="20"/>
  <c r="L848" i="20"/>
  <c r="Q847" i="20"/>
  <c r="L847" i="20"/>
  <c r="Q846" i="20"/>
  <c r="L846" i="20"/>
  <c r="U845" i="20"/>
  <c r="Q845" i="20"/>
  <c r="L845" i="20"/>
  <c r="Q844" i="20"/>
  <c r="L844" i="20"/>
  <c r="Q843" i="20"/>
  <c r="L843" i="20"/>
  <c r="Q842" i="20"/>
  <c r="L842" i="20"/>
  <c r="Q841" i="20"/>
  <c r="L841" i="20"/>
  <c r="U840" i="20"/>
  <c r="Q840" i="20"/>
  <c r="L840" i="20"/>
  <c r="Q839" i="20"/>
  <c r="L839" i="20"/>
  <c r="U838" i="20"/>
  <c r="Q838" i="20"/>
  <c r="L838" i="20"/>
  <c r="U837" i="20"/>
  <c r="Q837" i="20"/>
  <c r="L837" i="20"/>
  <c r="Q836" i="20"/>
  <c r="L836" i="20"/>
  <c r="Q835" i="20"/>
  <c r="L835" i="20"/>
  <c r="U834" i="20"/>
  <c r="Q834" i="20"/>
  <c r="L834" i="20"/>
  <c r="Q833" i="20"/>
  <c r="L833" i="20"/>
  <c r="Q832" i="20"/>
  <c r="L832" i="20"/>
  <c r="Q831" i="20"/>
  <c r="L831" i="20"/>
  <c r="Q830" i="20"/>
  <c r="L830" i="20"/>
  <c r="Q829" i="20"/>
  <c r="L829" i="20"/>
  <c r="Q828" i="20"/>
  <c r="L828" i="20"/>
  <c r="U827" i="20"/>
  <c r="Q827" i="20"/>
  <c r="L827" i="20"/>
  <c r="U826" i="20"/>
  <c r="Q826" i="20"/>
  <c r="L826" i="20"/>
  <c r="Q825" i="20"/>
  <c r="L825" i="20"/>
  <c r="U824" i="20"/>
  <c r="Q824" i="20"/>
  <c r="L824" i="20"/>
  <c r="U823" i="20"/>
  <c r="Q823" i="20"/>
  <c r="L823" i="20"/>
  <c r="Q822" i="20"/>
  <c r="L822" i="20"/>
  <c r="Q821" i="20"/>
  <c r="L821" i="20"/>
  <c r="U820" i="20"/>
  <c r="Q820" i="20"/>
  <c r="L820" i="20"/>
  <c r="U819" i="20"/>
  <c r="Q819" i="20"/>
  <c r="L819" i="20"/>
  <c r="Q818" i="20"/>
  <c r="L818" i="20"/>
  <c r="Q817" i="20"/>
  <c r="L817" i="20"/>
  <c r="Q816" i="20"/>
  <c r="L816" i="20"/>
  <c r="U815" i="20"/>
  <c r="Q815" i="20"/>
  <c r="L815" i="20"/>
  <c r="Q814" i="20"/>
  <c r="L814" i="20"/>
  <c r="Q813" i="20"/>
  <c r="L813" i="20"/>
  <c r="U812" i="20"/>
  <c r="Q812" i="20"/>
  <c r="L812" i="20"/>
  <c r="Q811" i="20"/>
  <c r="L811" i="20"/>
  <c r="Q810" i="20"/>
  <c r="L810" i="20"/>
  <c r="Q809" i="20"/>
  <c r="L809" i="20"/>
  <c r="U808" i="20"/>
  <c r="Q808" i="20"/>
  <c r="L808" i="20"/>
  <c r="Q807" i="20"/>
  <c r="L807" i="20"/>
  <c r="Q806" i="20"/>
  <c r="L806" i="20"/>
  <c r="U805" i="20"/>
  <c r="Q805" i="20"/>
  <c r="L805" i="20"/>
  <c r="Q804" i="20"/>
  <c r="L804" i="20"/>
  <c r="Q803" i="20"/>
  <c r="L803" i="20"/>
  <c r="Q802" i="20"/>
  <c r="L802" i="20"/>
  <c r="Q801" i="20"/>
  <c r="L801" i="20"/>
  <c r="Q800" i="20"/>
  <c r="L800" i="20"/>
  <c r="U799" i="20"/>
  <c r="Q799" i="20"/>
  <c r="L799" i="20"/>
  <c r="Q798" i="20"/>
  <c r="L798" i="20"/>
  <c r="Q797" i="20"/>
  <c r="L797" i="20"/>
  <c r="U796" i="20"/>
  <c r="Q796" i="20"/>
  <c r="L796" i="20"/>
  <c r="U795" i="20"/>
  <c r="Q795" i="20"/>
  <c r="L795" i="20"/>
  <c r="Q794" i="20"/>
  <c r="L794" i="20"/>
  <c r="Q793" i="20"/>
  <c r="L793" i="20"/>
  <c r="U792" i="20"/>
  <c r="T792" i="20"/>
  <c r="P792" i="20"/>
  <c r="Q792" i="20" s="1"/>
  <c r="K792" i="20"/>
  <c r="L792" i="20" s="1"/>
  <c r="Q791" i="20"/>
  <c r="L791" i="20"/>
  <c r="Q790" i="20"/>
  <c r="L790" i="20"/>
  <c r="Q789" i="20"/>
  <c r="L789" i="20"/>
  <c r="U788" i="20"/>
  <c r="Q788" i="20"/>
  <c r="L788" i="20"/>
  <c r="Q787" i="20"/>
  <c r="L787" i="20"/>
  <c r="U786" i="20"/>
  <c r="Q786" i="20"/>
  <c r="L786" i="20"/>
  <c r="Q785" i="20"/>
  <c r="L785" i="20"/>
  <c r="Q784" i="20"/>
  <c r="L784" i="20"/>
  <c r="U783" i="20"/>
  <c r="Q783" i="20"/>
  <c r="L783" i="20"/>
  <c r="U782" i="20"/>
  <c r="Q782" i="20"/>
  <c r="L782" i="20"/>
  <c r="Q781" i="20"/>
  <c r="L781" i="20"/>
  <c r="Q780" i="20"/>
  <c r="L780" i="20"/>
  <c r="U779" i="20"/>
  <c r="T779" i="20"/>
  <c r="S779" i="20"/>
  <c r="Q779" i="20"/>
  <c r="P779" i="20"/>
  <c r="N779" i="20"/>
  <c r="N908" i="20" s="1"/>
  <c r="J779" i="20"/>
  <c r="J908" i="20" s="1"/>
  <c r="H779" i="20"/>
  <c r="H908" i="20" s="1"/>
  <c r="F779" i="20"/>
  <c r="F908" i="20" s="1"/>
  <c r="C779" i="20"/>
  <c r="Q778" i="20"/>
  <c r="L778" i="20"/>
  <c r="U777" i="20"/>
  <c r="Q777" i="20"/>
  <c r="L777" i="20"/>
  <c r="Q776" i="20"/>
  <c r="L776" i="20"/>
  <c r="U775" i="20"/>
  <c r="Q775" i="20"/>
  <c r="L775" i="20"/>
  <c r="Q774" i="20"/>
  <c r="L774" i="20"/>
  <c r="Q773" i="20"/>
  <c r="L773" i="20"/>
  <c r="U772" i="20"/>
  <c r="Q772" i="20"/>
  <c r="L772" i="20"/>
  <c r="Q771" i="20"/>
  <c r="L771" i="20"/>
  <c r="U770" i="20"/>
  <c r="Q770" i="20"/>
  <c r="L770" i="20"/>
  <c r="Q769" i="20"/>
  <c r="L769" i="20"/>
  <c r="U768" i="20"/>
  <c r="Q768" i="20"/>
  <c r="L768" i="20"/>
  <c r="Q767" i="20"/>
  <c r="L767" i="20"/>
  <c r="Q766" i="20"/>
  <c r="L766" i="20"/>
  <c r="U765" i="20"/>
  <c r="Q765" i="20"/>
  <c r="L765" i="20"/>
  <c r="Q764" i="20"/>
  <c r="L764" i="20"/>
  <c r="Q763" i="20"/>
  <c r="L763" i="20"/>
  <c r="Q762" i="20"/>
  <c r="L762" i="20"/>
  <c r="Q761" i="20"/>
  <c r="L761" i="20"/>
  <c r="Q760" i="20"/>
  <c r="L760" i="20"/>
  <c r="U759" i="20"/>
  <c r="Q759" i="20"/>
  <c r="L759" i="20"/>
  <c r="Q758" i="20"/>
  <c r="L758" i="20"/>
  <c r="Q757" i="20"/>
  <c r="L757" i="20"/>
  <c r="U756" i="20"/>
  <c r="Q756" i="20"/>
  <c r="L756" i="20"/>
  <c r="Q755" i="20"/>
  <c r="L755" i="20"/>
  <c r="Q754" i="20"/>
  <c r="L754" i="20"/>
  <c r="U753" i="20"/>
  <c r="Q753" i="20"/>
  <c r="L753" i="20"/>
  <c r="U752" i="20"/>
  <c r="Q752" i="20"/>
  <c r="L752" i="20"/>
  <c r="Q751" i="20"/>
  <c r="L751" i="20"/>
  <c r="Q750" i="20"/>
  <c r="L750" i="20"/>
  <c r="Q749" i="20"/>
  <c r="L749" i="20"/>
  <c r="Q748" i="20"/>
  <c r="L748" i="20"/>
  <c r="Q747" i="20"/>
  <c r="L747" i="20"/>
  <c r="U746" i="20"/>
  <c r="Q746" i="20"/>
  <c r="L746" i="20"/>
  <c r="Q745" i="20"/>
  <c r="L745" i="20"/>
  <c r="Q744" i="20"/>
  <c r="L744" i="20"/>
  <c r="Q743" i="20"/>
  <c r="L743" i="20"/>
  <c r="Q742" i="20"/>
  <c r="L742" i="20"/>
  <c r="Q741" i="20"/>
  <c r="L741" i="20"/>
  <c r="Q740" i="20"/>
  <c r="L740" i="20"/>
  <c r="U739" i="20"/>
  <c r="Q739" i="20"/>
  <c r="L739" i="20"/>
  <c r="Q738" i="20"/>
  <c r="L738" i="20"/>
  <c r="Q737" i="20"/>
  <c r="L737" i="20"/>
  <c r="U736" i="20"/>
  <c r="Q736" i="20"/>
  <c r="L736" i="20"/>
  <c r="Q735" i="20"/>
  <c r="L735" i="20"/>
  <c r="Q734" i="20"/>
  <c r="L734" i="20"/>
  <c r="U733" i="20"/>
  <c r="Q733" i="20"/>
  <c r="L733" i="20"/>
  <c r="Q732" i="20"/>
  <c r="L732" i="20"/>
  <c r="Q731" i="20"/>
  <c r="L731" i="20"/>
  <c r="Q730" i="20"/>
  <c r="L730" i="20"/>
  <c r="U729" i="20"/>
  <c r="Q729" i="20"/>
  <c r="L729" i="20"/>
  <c r="U728" i="20"/>
  <c r="Q728" i="20"/>
  <c r="L728" i="20"/>
  <c r="Q727" i="20"/>
  <c r="L727" i="20"/>
  <c r="Q726" i="20"/>
  <c r="L726" i="20"/>
  <c r="Q725" i="20"/>
  <c r="L725" i="20"/>
  <c r="Q724" i="20"/>
  <c r="L724" i="20"/>
  <c r="Q723" i="20"/>
  <c r="L723" i="20"/>
  <c r="U722" i="20"/>
  <c r="Q722" i="20"/>
  <c r="L722" i="20"/>
  <c r="U721" i="20"/>
  <c r="Q721" i="20"/>
  <c r="L721" i="20"/>
  <c r="Q720" i="20"/>
  <c r="L720" i="20"/>
  <c r="Q719" i="20"/>
  <c r="L719" i="20"/>
  <c r="U718" i="20"/>
  <c r="Q718" i="20"/>
  <c r="L718" i="20"/>
  <c r="U717" i="20"/>
  <c r="Q717" i="20"/>
  <c r="L717" i="20"/>
  <c r="U716" i="20"/>
  <c r="Q716" i="20"/>
  <c r="L716" i="20"/>
  <c r="U715" i="20"/>
  <c r="Q715" i="20"/>
  <c r="L715" i="20"/>
  <c r="Q714" i="20"/>
  <c r="L714" i="20"/>
  <c r="Q713" i="20"/>
  <c r="L713" i="20"/>
  <c r="Q712" i="20"/>
  <c r="L712" i="20"/>
  <c r="Q711" i="20"/>
  <c r="L711" i="20"/>
  <c r="Q710" i="20"/>
  <c r="L710" i="20"/>
  <c r="Q709" i="20"/>
  <c r="L709" i="20"/>
  <c r="Q708" i="20"/>
  <c r="L708" i="20"/>
  <c r="U707" i="20"/>
  <c r="Q707" i="20"/>
  <c r="L707" i="20"/>
  <c r="Q706" i="20"/>
  <c r="L706" i="20"/>
  <c r="U705" i="20"/>
  <c r="Q705" i="20"/>
  <c r="L705" i="20"/>
  <c r="Q704" i="20"/>
  <c r="L704" i="20"/>
  <c r="Q703" i="20"/>
  <c r="L703" i="20"/>
  <c r="Q702" i="20"/>
  <c r="L702" i="20"/>
  <c r="Q701" i="20"/>
  <c r="L701" i="20"/>
  <c r="Q700" i="20"/>
  <c r="L700" i="20"/>
  <c r="Q699" i="20"/>
  <c r="L699" i="20"/>
  <c r="Q698" i="20"/>
  <c r="L698" i="20"/>
  <c r="Q697" i="20"/>
  <c r="L697" i="20"/>
  <c r="U696" i="20"/>
  <c r="Q696" i="20"/>
  <c r="L696" i="20"/>
  <c r="Q695" i="20"/>
  <c r="L695" i="20"/>
  <c r="Q694" i="20"/>
  <c r="L694" i="20"/>
  <c r="Q693" i="20"/>
  <c r="L693" i="20"/>
  <c r="Q692" i="20"/>
  <c r="L692" i="20"/>
  <c r="Q691" i="20"/>
  <c r="L691" i="20"/>
  <c r="Q690" i="20"/>
  <c r="L690" i="20"/>
  <c r="Q689" i="20"/>
  <c r="L689" i="20"/>
  <c r="Q688" i="20"/>
  <c r="L688" i="20"/>
  <c r="U687" i="20"/>
  <c r="Q687" i="20"/>
  <c r="L687" i="20"/>
  <c r="Q686" i="20"/>
  <c r="L686" i="20"/>
  <c r="Q685" i="20"/>
  <c r="L685" i="20"/>
  <c r="Q684" i="20"/>
  <c r="L684" i="20"/>
  <c r="U683" i="20"/>
  <c r="Q683" i="20"/>
  <c r="L683" i="20"/>
  <c r="Q682" i="20"/>
  <c r="L682" i="20"/>
  <c r="Q681" i="20"/>
  <c r="L681" i="20"/>
  <c r="Q680" i="20"/>
  <c r="L680" i="20"/>
  <c r="U679" i="20"/>
  <c r="Q679" i="20"/>
  <c r="L679" i="20"/>
  <c r="Q678" i="20"/>
  <c r="L678" i="20"/>
  <c r="Q677" i="20"/>
  <c r="L677" i="20"/>
  <c r="Q676" i="20"/>
  <c r="L676" i="20"/>
  <c r="Q675" i="20"/>
  <c r="L675" i="20"/>
  <c r="Q674" i="20"/>
  <c r="L674" i="20"/>
  <c r="Q673" i="20"/>
  <c r="L673" i="20"/>
  <c r="Q672" i="20"/>
  <c r="L672" i="20"/>
  <c r="Q671" i="20"/>
  <c r="L671" i="20"/>
  <c r="Q670" i="20"/>
  <c r="L670" i="20"/>
  <c r="Q669" i="20"/>
  <c r="L669" i="20"/>
  <c r="Q668" i="20"/>
  <c r="L668" i="20"/>
  <c r="Q667" i="20"/>
  <c r="L667" i="20"/>
  <c r="Q666" i="20"/>
  <c r="L666" i="20"/>
  <c r="Q665" i="20"/>
  <c r="L665" i="20"/>
  <c r="Q664" i="20"/>
  <c r="L664" i="20"/>
  <c r="Q663" i="20"/>
  <c r="L663" i="20"/>
  <c r="Q662" i="20"/>
  <c r="L662" i="20"/>
  <c r="Q661" i="20"/>
  <c r="L661" i="20"/>
  <c r="U660" i="20"/>
  <c r="Q660" i="20"/>
  <c r="L660" i="20"/>
  <c r="U659" i="20"/>
  <c r="Q659" i="20"/>
  <c r="L659" i="20"/>
  <c r="Q658" i="20"/>
  <c r="L658" i="20"/>
  <c r="Q657" i="20"/>
  <c r="L657" i="20"/>
  <c r="U656" i="20"/>
  <c r="Q656" i="20"/>
  <c r="L656" i="20"/>
  <c r="Q655" i="20"/>
  <c r="L655" i="20"/>
  <c r="Q654" i="20"/>
  <c r="L654" i="20"/>
  <c r="Q653" i="20"/>
  <c r="L653" i="20"/>
  <c r="Q652" i="20"/>
  <c r="L652" i="20"/>
  <c r="Q651" i="20"/>
  <c r="L651" i="20"/>
  <c r="U650" i="20"/>
  <c r="Q650" i="20"/>
  <c r="L650" i="20"/>
  <c r="Q649" i="20"/>
  <c r="L649" i="20"/>
  <c r="Q648" i="20"/>
  <c r="L648" i="20"/>
  <c r="Q647" i="20"/>
  <c r="L647" i="20"/>
  <c r="Q646" i="20"/>
  <c r="L646" i="20"/>
  <c r="Q645" i="20"/>
  <c r="L645" i="20"/>
  <c r="Q644" i="20"/>
  <c r="L644" i="20"/>
  <c r="Q643" i="20"/>
  <c r="L643" i="20"/>
  <c r="Q642" i="20"/>
  <c r="L642" i="20"/>
  <c r="Q641" i="20"/>
  <c r="L641" i="20"/>
  <c r="Q640" i="20"/>
  <c r="L640" i="20"/>
  <c r="Q639" i="20"/>
  <c r="L639" i="20"/>
  <c r="Q638" i="20"/>
  <c r="L638" i="20"/>
  <c r="Q637" i="20"/>
  <c r="L637" i="20"/>
  <c r="U636" i="20"/>
  <c r="Q636" i="20"/>
  <c r="L636" i="20"/>
  <c r="U635" i="20"/>
  <c r="Q635" i="20"/>
  <c r="L635" i="20"/>
  <c r="Q634" i="20"/>
  <c r="L634" i="20"/>
  <c r="Q633" i="20"/>
  <c r="L633" i="20"/>
  <c r="Q632" i="20"/>
  <c r="L632" i="20"/>
  <c r="U631" i="20"/>
  <c r="Q631" i="20"/>
  <c r="L631" i="20"/>
  <c r="Q630" i="20"/>
  <c r="L630" i="20"/>
  <c r="Q629" i="20"/>
  <c r="L629" i="20"/>
  <c r="Q628" i="20"/>
  <c r="L628" i="20"/>
  <c r="Q627" i="20"/>
  <c r="L627" i="20"/>
  <c r="Q626" i="20"/>
  <c r="L626" i="20"/>
  <c r="Q625" i="20"/>
  <c r="L625" i="20"/>
  <c r="Q624" i="20"/>
  <c r="L624" i="20"/>
  <c r="Q623" i="20"/>
  <c r="L623" i="20"/>
  <c r="Q622" i="20"/>
  <c r="L622" i="20"/>
  <c r="Q621" i="20"/>
  <c r="L621" i="20"/>
  <c r="Q620" i="20"/>
  <c r="L620" i="20"/>
  <c r="Q619" i="20"/>
  <c r="L619" i="20"/>
  <c r="Q618" i="20"/>
  <c r="L618" i="20"/>
  <c r="Q617" i="20"/>
  <c r="L617" i="20"/>
  <c r="Q616" i="20"/>
  <c r="L616" i="20"/>
  <c r="U615" i="20"/>
  <c r="Q615" i="20"/>
  <c r="L615" i="20"/>
  <c r="Q614" i="20"/>
  <c r="L614" i="20"/>
  <c r="Q613" i="20"/>
  <c r="L613" i="20"/>
  <c r="U612" i="20"/>
  <c r="Q612" i="20"/>
  <c r="L612" i="20"/>
  <c r="U611" i="20"/>
  <c r="Q611" i="20"/>
  <c r="L611" i="20"/>
  <c r="Q610" i="20"/>
  <c r="L610" i="20"/>
  <c r="U609" i="20"/>
  <c r="Q609" i="20"/>
  <c r="L609" i="20"/>
  <c r="Q608" i="20"/>
  <c r="L608" i="20"/>
  <c r="U607" i="20"/>
  <c r="Q607" i="20"/>
  <c r="L607" i="20"/>
  <c r="U606" i="20"/>
  <c r="Q606" i="20"/>
  <c r="L606" i="20"/>
  <c r="Q605" i="20"/>
  <c r="L605" i="20"/>
  <c r="Q604" i="20"/>
  <c r="L604" i="20"/>
  <c r="U603" i="20"/>
  <c r="Q603" i="20"/>
  <c r="L603" i="20"/>
  <c r="Q602" i="20"/>
  <c r="L602" i="20"/>
  <c r="U601" i="20"/>
  <c r="Q601" i="20"/>
  <c r="L601" i="20"/>
  <c r="Q600" i="20"/>
  <c r="L600" i="20"/>
  <c r="Q599" i="20"/>
  <c r="L599" i="20"/>
  <c r="Q598" i="20"/>
  <c r="L598" i="20"/>
  <c r="Q597" i="20"/>
  <c r="L597" i="20"/>
  <c r="U596" i="20"/>
  <c r="Q596" i="20"/>
  <c r="L596" i="20"/>
  <c r="Q595" i="20"/>
  <c r="L595" i="20"/>
  <c r="Q594" i="20"/>
  <c r="L594" i="20"/>
  <c r="U593" i="20"/>
  <c r="Q593" i="20"/>
  <c r="L593" i="20"/>
  <c r="U592" i="20"/>
  <c r="Q592" i="20"/>
  <c r="L592" i="20"/>
  <c r="Q591" i="20"/>
  <c r="L591" i="20"/>
  <c r="Q590" i="20"/>
  <c r="L590" i="20"/>
  <c r="Q589" i="20"/>
  <c r="L589" i="20"/>
  <c r="Q588" i="20"/>
  <c r="L588" i="20"/>
  <c r="Q587" i="20"/>
  <c r="L587" i="20"/>
  <c r="Q586" i="20"/>
  <c r="L586" i="20"/>
  <c r="Q585" i="20"/>
  <c r="L585" i="20"/>
  <c r="Q584" i="20"/>
  <c r="L584" i="20"/>
  <c r="Q583" i="20"/>
  <c r="L583" i="20"/>
  <c r="Q582" i="20"/>
  <c r="L582" i="20"/>
  <c r="Q581" i="20"/>
  <c r="L581" i="20"/>
  <c r="U580" i="20"/>
  <c r="Q580" i="20"/>
  <c r="L580" i="20"/>
  <c r="Q579" i="20"/>
  <c r="L579" i="20"/>
  <c r="Q578" i="20"/>
  <c r="L578" i="20"/>
  <c r="Q577" i="20"/>
  <c r="L577" i="20"/>
  <c r="Q576" i="20"/>
  <c r="L576" i="20"/>
  <c r="Q575" i="20"/>
  <c r="L575" i="20"/>
  <c r="Q574" i="20"/>
  <c r="L574" i="20"/>
  <c r="Q573" i="20"/>
  <c r="L573" i="20"/>
  <c r="Q572" i="20"/>
  <c r="L572" i="20"/>
  <c r="Q571" i="20"/>
  <c r="L571" i="20"/>
  <c r="Q570" i="20"/>
  <c r="L570" i="20"/>
  <c r="Q569" i="20"/>
  <c r="L569" i="20"/>
  <c r="Q568" i="20"/>
  <c r="L568" i="20"/>
  <c r="Q567" i="20"/>
  <c r="L567" i="20"/>
  <c r="U566" i="20"/>
  <c r="Q566" i="20"/>
  <c r="L566" i="20"/>
  <c r="Q565" i="20"/>
  <c r="L565" i="20"/>
  <c r="U564" i="20"/>
  <c r="Q564" i="20"/>
  <c r="L564" i="20"/>
  <c r="Q563" i="20"/>
  <c r="L563" i="20"/>
  <c r="U562" i="20"/>
  <c r="Q562" i="20"/>
  <c r="L562" i="20"/>
  <c r="Q561" i="20"/>
  <c r="L561" i="20"/>
  <c r="Q560" i="20"/>
  <c r="L560" i="20"/>
  <c r="Q559" i="20"/>
  <c r="L559" i="20"/>
  <c r="Q558" i="20"/>
  <c r="L558" i="20"/>
  <c r="Q557" i="20"/>
  <c r="L557" i="20"/>
  <c r="Q556" i="20"/>
  <c r="L556" i="20"/>
  <c r="Q555" i="20"/>
  <c r="L555" i="20"/>
  <c r="Q554" i="20"/>
  <c r="L554" i="20"/>
  <c r="Q553" i="20"/>
  <c r="L553" i="20"/>
  <c r="Q552" i="20"/>
  <c r="L552" i="20"/>
  <c r="Q551" i="20"/>
  <c r="L551" i="20"/>
  <c r="Q550" i="20"/>
  <c r="L550" i="20"/>
  <c r="Q549" i="20"/>
  <c r="L549" i="20"/>
  <c r="Q548" i="20"/>
  <c r="L548" i="20"/>
  <c r="Q547" i="20"/>
  <c r="L547" i="20"/>
  <c r="Q546" i="20"/>
  <c r="L546" i="20"/>
  <c r="Q545" i="20"/>
  <c r="L545" i="20"/>
  <c r="Q544" i="20"/>
  <c r="L544" i="20"/>
  <c r="U543" i="20"/>
  <c r="Q543" i="20"/>
  <c r="L543" i="20"/>
  <c r="Q542" i="20"/>
  <c r="L542" i="20"/>
  <c r="Q541" i="20"/>
  <c r="L541" i="20"/>
  <c r="Q540" i="20"/>
  <c r="L540" i="20"/>
  <c r="Q539" i="20"/>
  <c r="L539" i="20"/>
  <c r="Q538" i="20"/>
  <c r="L538" i="20"/>
  <c r="Q537" i="20"/>
  <c r="L537" i="20"/>
  <c r="Q536" i="20"/>
  <c r="L536" i="20"/>
  <c r="U535" i="20"/>
  <c r="Q535" i="20"/>
  <c r="L535" i="20"/>
  <c r="Q534" i="20"/>
  <c r="L534" i="20"/>
  <c r="Q533" i="20"/>
  <c r="L533" i="20"/>
  <c r="Q532" i="20"/>
  <c r="L532" i="20"/>
  <c r="Q531" i="20"/>
  <c r="L531" i="20"/>
  <c r="Q530" i="20"/>
  <c r="L530" i="20"/>
  <c r="U529" i="20"/>
  <c r="Q529" i="20"/>
  <c r="L529" i="20"/>
  <c r="U528" i="20"/>
  <c r="Q528" i="20"/>
  <c r="L528" i="20"/>
  <c r="Q527" i="20"/>
  <c r="L527" i="20"/>
  <c r="Q526" i="20"/>
  <c r="L526" i="20"/>
  <c r="Q525" i="20"/>
  <c r="L525" i="20"/>
  <c r="U524" i="20"/>
  <c r="Q524" i="20"/>
  <c r="L524" i="20"/>
  <c r="Q523" i="20"/>
  <c r="L523" i="20"/>
  <c r="Q522" i="20"/>
  <c r="L522" i="20"/>
  <c r="U521" i="20"/>
  <c r="Q521" i="20"/>
  <c r="L521" i="20"/>
  <c r="Q520" i="20"/>
  <c r="L520" i="20"/>
  <c r="U519" i="20"/>
  <c r="Q519" i="20"/>
  <c r="L519" i="20"/>
  <c r="Q518" i="20"/>
  <c r="L518" i="20"/>
  <c r="Q517" i="20"/>
  <c r="L517" i="20"/>
  <c r="Q516" i="20"/>
  <c r="L516" i="20"/>
  <c r="Q515" i="20"/>
  <c r="L515" i="20"/>
  <c r="U514" i="20"/>
  <c r="Q514" i="20"/>
  <c r="L514" i="20"/>
  <c r="Q513" i="20"/>
  <c r="L513" i="20"/>
  <c r="Q512" i="20"/>
  <c r="L512" i="20"/>
  <c r="U511" i="20"/>
  <c r="Q511" i="20"/>
  <c r="L511" i="20"/>
  <c r="Q510" i="20"/>
  <c r="L510" i="20"/>
  <c r="Q509" i="20"/>
  <c r="L509" i="20"/>
  <c r="Q508" i="20"/>
  <c r="L508" i="20"/>
  <c r="U507" i="20"/>
  <c r="Q507" i="20"/>
  <c r="L507" i="20"/>
  <c r="Q506" i="20"/>
  <c r="L506" i="20"/>
  <c r="Q505" i="20"/>
  <c r="L505" i="20"/>
  <c r="Q504" i="20"/>
  <c r="L504" i="20"/>
  <c r="Q503" i="20"/>
  <c r="L503" i="20"/>
  <c r="Q502" i="20"/>
  <c r="L502" i="20"/>
  <c r="Q501" i="20"/>
  <c r="L501" i="20"/>
  <c r="U500" i="20"/>
  <c r="Q500" i="20"/>
  <c r="L500" i="20"/>
  <c r="Q499" i="20"/>
  <c r="L499" i="20"/>
  <c r="Q498" i="20"/>
  <c r="L498" i="20"/>
  <c r="Q497" i="20"/>
  <c r="L497" i="20"/>
  <c r="Q496" i="20"/>
  <c r="L496" i="20"/>
  <c r="Q495" i="20"/>
  <c r="L495" i="20"/>
  <c r="Q494" i="20"/>
  <c r="L494" i="20"/>
  <c r="Q493" i="20"/>
  <c r="L493" i="20"/>
  <c r="Q492" i="20"/>
  <c r="L492" i="20"/>
  <c r="Q491" i="20"/>
  <c r="L491" i="20"/>
  <c r="Q490" i="20"/>
  <c r="L490" i="20"/>
  <c r="Q489" i="20"/>
  <c r="L489" i="20"/>
  <c r="Q488" i="20"/>
  <c r="L488" i="20"/>
  <c r="Q487" i="20"/>
  <c r="L487" i="20"/>
  <c r="Q486" i="20"/>
  <c r="L486" i="20"/>
  <c r="Q485" i="20"/>
  <c r="L485" i="20"/>
  <c r="Q484" i="20"/>
  <c r="L484" i="20"/>
  <c r="Q483" i="20"/>
  <c r="L483" i="20"/>
  <c r="Q482" i="20"/>
  <c r="L482" i="20"/>
  <c r="Q481" i="20"/>
  <c r="L481" i="20"/>
  <c r="Q480" i="20"/>
  <c r="L480" i="20"/>
  <c r="Q479" i="20"/>
  <c r="L479" i="20"/>
  <c r="Q478" i="20"/>
  <c r="L478" i="20"/>
  <c r="Q477" i="20"/>
  <c r="L477" i="20"/>
  <c r="Q476" i="20"/>
  <c r="L476" i="20"/>
  <c r="Q475" i="20"/>
  <c r="L475" i="20"/>
  <c r="Q474" i="20"/>
  <c r="L474" i="20"/>
  <c r="Q473" i="20"/>
  <c r="L473" i="20"/>
  <c r="Q472" i="20"/>
  <c r="L472" i="20"/>
  <c r="Q471" i="20"/>
  <c r="L471" i="20"/>
  <c r="Q470" i="20"/>
  <c r="L470" i="20"/>
  <c r="Q469" i="20"/>
  <c r="L469" i="20"/>
  <c r="Q468" i="20"/>
  <c r="L468" i="20"/>
  <c r="Q467" i="20"/>
  <c r="L467" i="20"/>
  <c r="Q466" i="20"/>
  <c r="L466" i="20"/>
  <c r="Q465" i="20"/>
  <c r="L465" i="20"/>
  <c r="Q464" i="20"/>
  <c r="L464" i="20"/>
  <c r="Q463" i="20"/>
  <c r="L463" i="20"/>
  <c r="Q462" i="20"/>
  <c r="L462" i="20"/>
  <c r="Q461" i="20"/>
  <c r="L461" i="20"/>
  <c r="Q460" i="20"/>
  <c r="L460" i="20"/>
  <c r="Q459" i="20"/>
  <c r="L459" i="20"/>
  <c r="Q458" i="20"/>
  <c r="L458" i="20"/>
  <c r="Q457" i="20"/>
  <c r="L457" i="20"/>
  <c r="Q456" i="20"/>
  <c r="L456" i="20"/>
  <c r="Q455" i="20"/>
  <c r="L455" i="20"/>
  <c r="Q454" i="20"/>
  <c r="L454" i="20"/>
  <c r="Q453" i="20"/>
  <c r="L453" i="20"/>
  <c r="Q452" i="20"/>
  <c r="L452" i="20"/>
  <c r="Q451" i="20"/>
  <c r="L451" i="20"/>
  <c r="Q450" i="20"/>
  <c r="L450" i="20"/>
  <c r="Q449" i="20"/>
  <c r="L449" i="20"/>
  <c r="Q448" i="20"/>
  <c r="L448" i="20"/>
  <c r="Q447" i="20"/>
  <c r="L447" i="20"/>
  <c r="Q446" i="20"/>
  <c r="L446" i="20"/>
  <c r="Q445" i="20"/>
  <c r="L445" i="20"/>
  <c r="Q444" i="20"/>
  <c r="L444" i="20"/>
  <c r="Q443" i="20"/>
  <c r="L443" i="20"/>
  <c r="Q442" i="20"/>
  <c r="L442" i="20"/>
  <c r="Q441" i="20"/>
  <c r="L441" i="20"/>
  <c r="Q440" i="20"/>
  <c r="L440" i="20"/>
  <c r="Q439" i="20"/>
  <c r="L439" i="20"/>
  <c r="Q438" i="20"/>
  <c r="L438" i="20"/>
  <c r="Q437" i="20"/>
  <c r="L437" i="20"/>
  <c r="Q436" i="20"/>
  <c r="L436" i="20"/>
  <c r="Q435" i="20"/>
  <c r="L435" i="20"/>
  <c r="Q434" i="20"/>
  <c r="L434" i="20"/>
  <c r="Q433" i="20"/>
  <c r="L433" i="20"/>
  <c r="Q432" i="20"/>
  <c r="L432" i="20"/>
  <c r="Q431" i="20"/>
  <c r="L431" i="20"/>
  <c r="Q430" i="20"/>
  <c r="L430" i="20"/>
  <c r="Q429" i="20"/>
  <c r="L429" i="20"/>
  <c r="Q428" i="20"/>
  <c r="L428" i="20"/>
  <c r="Q427" i="20"/>
  <c r="L427" i="20"/>
  <c r="Q426" i="20"/>
  <c r="L426" i="20"/>
  <c r="Q425" i="20"/>
  <c r="L425" i="20"/>
  <c r="Q424" i="20"/>
  <c r="L424" i="20"/>
  <c r="Q423" i="20"/>
  <c r="L423" i="20"/>
  <c r="Q422" i="20"/>
  <c r="L422" i="20"/>
  <c r="Q421" i="20"/>
  <c r="L421" i="20"/>
  <c r="Q420" i="20"/>
  <c r="L420" i="20"/>
  <c r="Q419" i="20"/>
  <c r="L419" i="20"/>
  <c r="Q418" i="20"/>
  <c r="L418" i="20"/>
  <c r="Q417" i="20"/>
  <c r="L417" i="20"/>
  <c r="Q416" i="20"/>
  <c r="L416" i="20"/>
  <c r="Q415" i="20"/>
  <c r="L415" i="20"/>
  <c r="Q414" i="20"/>
  <c r="L414" i="20"/>
  <c r="Q413" i="20"/>
  <c r="L413" i="20"/>
  <c r="Q412" i="20"/>
  <c r="L412" i="20"/>
  <c r="Q411" i="20"/>
  <c r="L411" i="20"/>
  <c r="Q410" i="20"/>
  <c r="L410" i="20"/>
  <c r="Q409" i="20"/>
  <c r="L409" i="20"/>
  <c r="Q408" i="20"/>
  <c r="L408" i="20"/>
  <c r="Q407" i="20"/>
  <c r="L407" i="20"/>
  <c r="Q406" i="20"/>
  <c r="L406" i="20"/>
  <c r="Q405" i="20"/>
  <c r="L405" i="20"/>
  <c r="Q404" i="20"/>
  <c r="L404" i="20"/>
  <c r="Q403" i="20"/>
  <c r="L403" i="20"/>
  <c r="Q402" i="20"/>
  <c r="L402" i="20"/>
  <c r="Q401" i="20"/>
  <c r="L401" i="20"/>
  <c r="Q400" i="20"/>
  <c r="L400" i="20"/>
  <c r="Q399" i="20"/>
  <c r="L399" i="20"/>
  <c r="Q398" i="20"/>
  <c r="L398" i="20"/>
  <c r="Q397" i="20"/>
  <c r="L397" i="20"/>
  <c r="Q396" i="20"/>
  <c r="L396" i="20"/>
  <c r="Q395" i="20"/>
  <c r="L395" i="20"/>
  <c r="Q394" i="20"/>
  <c r="L394" i="20"/>
  <c r="Q393" i="20"/>
  <c r="L393" i="20"/>
  <c r="Q392" i="20"/>
  <c r="L392" i="20"/>
  <c r="Q391" i="20"/>
  <c r="L391" i="20"/>
  <c r="Q390" i="20"/>
  <c r="L390" i="20"/>
  <c r="Q389" i="20"/>
  <c r="L389" i="20"/>
  <c r="Q388" i="20"/>
  <c r="L388" i="20"/>
  <c r="Q387" i="20"/>
  <c r="L387" i="20"/>
  <c r="Q386" i="20"/>
  <c r="L386" i="20"/>
  <c r="Q385" i="20"/>
  <c r="L385" i="20"/>
  <c r="Q384" i="20"/>
  <c r="L384" i="20"/>
  <c r="Q383" i="20"/>
  <c r="L383" i="20"/>
  <c r="Q382" i="20"/>
  <c r="L382" i="20"/>
  <c r="Q381" i="20"/>
  <c r="L381" i="20"/>
  <c r="Q380" i="20"/>
  <c r="L380" i="20"/>
  <c r="Q379" i="20"/>
  <c r="L379" i="20"/>
  <c r="Q378" i="20"/>
  <c r="L378" i="20"/>
  <c r="Q377" i="20"/>
  <c r="L377" i="20"/>
  <c r="Q376" i="20"/>
  <c r="L376" i="20"/>
  <c r="Q375" i="20"/>
  <c r="L375" i="20"/>
  <c r="Q374" i="20"/>
  <c r="L374" i="20"/>
  <c r="Q373" i="20"/>
  <c r="L373" i="20"/>
  <c r="U372" i="20"/>
  <c r="Q372" i="20"/>
  <c r="L372" i="20"/>
  <c r="Q371" i="20"/>
  <c r="L371" i="20"/>
  <c r="Q370" i="20"/>
  <c r="L370" i="20"/>
  <c r="Q369" i="20"/>
  <c r="L369" i="20"/>
  <c r="Q368" i="20"/>
  <c r="L368" i="20"/>
  <c r="Q367" i="20"/>
  <c r="L367" i="20"/>
  <c r="Q366" i="20"/>
  <c r="L366" i="20"/>
  <c r="U365" i="20"/>
  <c r="Q365" i="20"/>
  <c r="L365" i="20"/>
  <c r="Q364" i="20"/>
  <c r="L364" i="20"/>
  <c r="Q363" i="20"/>
  <c r="L363" i="20"/>
  <c r="Q362" i="20"/>
  <c r="L362" i="20"/>
  <c r="U361" i="20"/>
  <c r="Q361" i="20"/>
  <c r="L361" i="20"/>
  <c r="Q360" i="20"/>
  <c r="L360" i="20"/>
  <c r="Q359" i="20"/>
  <c r="L359" i="20"/>
  <c r="Q358" i="20"/>
  <c r="L358" i="20"/>
  <c r="Q357" i="20"/>
  <c r="L357" i="20"/>
  <c r="U356" i="20"/>
  <c r="Q356" i="20"/>
  <c r="L356" i="20"/>
  <c r="Q355" i="20"/>
  <c r="L355" i="20"/>
  <c r="Q354" i="20"/>
  <c r="L354" i="20"/>
  <c r="Q353" i="20"/>
  <c r="L353" i="20"/>
  <c r="U352" i="20"/>
  <c r="Q352" i="20"/>
  <c r="L352" i="20"/>
  <c r="Q351" i="20"/>
  <c r="L351" i="20"/>
  <c r="Q350" i="20"/>
  <c r="L350" i="20"/>
  <c r="U349" i="20"/>
  <c r="Q349" i="20"/>
  <c r="L349" i="20"/>
  <c r="U348" i="20"/>
  <c r="Q348" i="20"/>
  <c r="L348" i="20"/>
  <c r="Q347" i="20"/>
  <c r="L347" i="20"/>
  <c r="Q346" i="20"/>
  <c r="L346" i="20"/>
  <c r="U345" i="20"/>
  <c r="Q345" i="20"/>
  <c r="L345" i="20"/>
  <c r="U344" i="20"/>
  <c r="Q344" i="20"/>
  <c r="L344" i="20"/>
  <c r="Q343" i="20"/>
  <c r="L343" i="20"/>
  <c r="Q342" i="20"/>
  <c r="L342" i="20"/>
  <c r="Q341" i="20"/>
  <c r="L341" i="20"/>
  <c r="Q340" i="20"/>
  <c r="L340" i="20"/>
  <c r="U339" i="20"/>
  <c r="Q339" i="20"/>
  <c r="L339" i="20"/>
  <c r="U338" i="20"/>
  <c r="Q338" i="20"/>
  <c r="L338" i="20"/>
  <c r="Q337" i="20"/>
  <c r="L337" i="20"/>
  <c r="Q336" i="20"/>
  <c r="L336" i="20"/>
  <c r="Q335" i="20"/>
  <c r="L335" i="20"/>
  <c r="Q334" i="20"/>
  <c r="L334" i="20"/>
  <c r="Q333" i="20"/>
  <c r="L333" i="20"/>
  <c r="Q332" i="20"/>
  <c r="L332" i="20"/>
  <c r="Q331" i="20"/>
  <c r="L331" i="20"/>
  <c r="Q330" i="20"/>
  <c r="L330" i="20"/>
  <c r="U329" i="20"/>
  <c r="Q329" i="20"/>
  <c r="L329" i="20"/>
  <c r="U328" i="20"/>
  <c r="Q328" i="20"/>
  <c r="L328" i="20"/>
  <c r="Q327" i="20"/>
  <c r="L327" i="20"/>
  <c r="U326" i="20"/>
  <c r="Q326" i="20"/>
  <c r="L326" i="20"/>
  <c r="Q325" i="20"/>
  <c r="L325" i="20"/>
  <c r="Q324" i="20"/>
  <c r="L324" i="20"/>
  <c r="Q323" i="20"/>
  <c r="L323" i="20"/>
  <c r="Q322" i="20"/>
  <c r="L322" i="20"/>
  <c r="U321" i="20"/>
  <c r="Q321" i="20"/>
  <c r="L321" i="20"/>
  <c r="U320" i="20"/>
  <c r="Q320" i="20"/>
  <c r="L320" i="20"/>
  <c r="Q319" i="20"/>
  <c r="L319" i="20"/>
  <c r="Q318" i="20"/>
  <c r="L318" i="20"/>
  <c r="Q317" i="20"/>
  <c r="L317" i="20"/>
  <c r="Q316" i="20"/>
  <c r="L316" i="20"/>
  <c r="U315" i="20"/>
  <c r="Q315" i="20"/>
  <c r="L315" i="20"/>
  <c r="U314" i="20"/>
  <c r="Q314" i="20"/>
  <c r="L314" i="20"/>
  <c r="Q313" i="20"/>
  <c r="L313" i="20"/>
  <c r="Q312" i="20"/>
  <c r="L312" i="20"/>
  <c r="Q311" i="20"/>
  <c r="L311" i="20"/>
  <c r="Q310" i="20"/>
  <c r="L310" i="20"/>
  <c r="Q309" i="20"/>
  <c r="L309" i="20"/>
  <c r="U308" i="20"/>
  <c r="Q308" i="20"/>
  <c r="L308" i="20"/>
  <c r="Q307" i="20"/>
  <c r="L307" i="20"/>
  <c r="Q306" i="20"/>
  <c r="L306" i="20"/>
  <c r="Q305" i="20"/>
  <c r="L305" i="20"/>
  <c r="Q304" i="20"/>
  <c r="L304" i="20"/>
  <c r="U303" i="20"/>
  <c r="Q303" i="20"/>
  <c r="L303" i="20"/>
  <c r="U302" i="20"/>
  <c r="Q302" i="20"/>
  <c r="L302" i="20"/>
  <c r="Q301" i="20"/>
  <c r="L301" i="20"/>
  <c r="Q300" i="20"/>
  <c r="L300" i="20"/>
  <c r="Q299" i="20"/>
  <c r="L299" i="20"/>
  <c r="Q298" i="20"/>
  <c r="L298" i="20"/>
  <c r="U297" i="20"/>
  <c r="Q297" i="20"/>
  <c r="L297" i="20"/>
  <c r="U296" i="20"/>
  <c r="Q296" i="20"/>
  <c r="L296" i="20"/>
  <c r="Q295" i="20"/>
  <c r="L295" i="20"/>
  <c r="Q294" i="20"/>
  <c r="L294" i="20"/>
  <c r="Q293" i="20"/>
  <c r="L293" i="20"/>
  <c r="Q292" i="20"/>
  <c r="L292" i="20"/>
  <c r="Q291" i="20"/>
  <c r="L291" i="20"/>
  <c r="Q290" i="20"/>
  <c r="L290" i="20"/>
  <c r="Q289" i="20"/>
  <c r="L289" i="20"/>
  <c r="Q288" i="20"/>
  <c r="L288" i="20"/>
  <c r="Q287" i="20"/>
  <c r="L287" i="20"/>
  <c r="Q286" i="20"/>
  <c r="L286" i="20"/>
  <c r="Q285" i="20"/>
  <c r="L285" i="20"/>
  <c r="Q284" i="20"/>
  <c r="L284" i="20"/>
  <c r="U283" i="20"/>
  <c r="Q283" i="20"/>
  <c r="L283" i="20"/>
  <c r="Q282" i="20"/>
  <c r="L282" i="20"/>
  <c r="Q281" i="20"/>
  <c r="L281" i="20"/>
  <c r="Q280" i="20"/>
  <c r="L280" i="20"/>
  <c r="U279" i="20"/>
  <c r="Q279" i="20"/>
  <c r="L279" i="20"/>
  <c r="U278" i="20"/>
  <c r="Q278" i="20"/>
  <c r="L278" i="20"/>
  <c r="Q277" i="20"/>
  <c r="L277" i="20"/>
  <c r="Q276" i="20"/>
  <c r="L276" i="20"/>
  <c r="U275" i="20"/>
  <c r="Q275" i="20"/>
  <c r="L275" i="20"/>
  <c r="Q274" i="20"/>
  <c r="L274" i="20"/>
  <c r="Q273" i="20"/>
  <c r="L273" i="20"/>
  <c r="Q272" i="20"/>
  <c r="L272" i="20"/>
  <c r="Q271" i="20"/>
  <c r="L271" i="20"/>
  <c r="U270" i="20"/>
  <c r="Q270" i="20"/>
  <c r="L270" i="20"/>
  <c r="U269" i="20"/>
  <c r="Q269" i="20"/>
  <c r="L269" i="20"/>
  <c r="U268" i="20"/>
  <c r="Q268" i="20"/>
  <c r="L268" i="20"/>
  <c r="Q267" i="20"/>
  <c r="L267" i="20"/>
  <c r="U266" i="20"/>
  <c r="Q266" i="20"/>
  <c r="L266" i="20"/>
  <c r="Q265" i="20"/>
  <c r="L265" i="20"/>
  <c r="U264" i="20"/>
  <c r="Q264" i="20"/>
  <c r="L264" i="20"/>
  <c r="Q263" i="20"/>
  <c r="L263" i="20"/>
  <c r="Q262" i="20"/>
  <c r="L262" i="20"/>
  <c r="Q261" i="20"/>
  <c r="L261" i="20"/>
  <c r="Q260" i="20"/>
  <c r="L260" i="20"/>
  <c r="Q259" i="20"/>
  <c r="L259" i="20"/>
  <c r="Q258" i="20"/>
  <c r="L258" i="20"/>
  <c r="Q257" i="20"/>
  <c r="L257" i="20"/>
  <c r="U256" i="20"/>
  <c r="Q256" i="20"/>
  <c r="L256" i="20"/>
  <c r="Q255" i="20"/>
  <c r="L255" i="20"/>
  <c r="Q254" i="20"/>
  <c r="L254" i="20"/>
  <c r="U253" i="20"/>
  <c r="Q253" i="20"/>
  <c r="L253" i="20"/>
  <c r="Q252" i="20"/>
  <c r="L252" i="20"/>
  <c r="U251" i="20"/>
  <c r="Q251" i="20"/>
  <c r="L251" i="20"/>
  <c r="Q250" i="20"/>
  <c r="L250" i="20"/>
  <c r="Q249" i="20"/>
  <c r="L249" i="20"/>
  <c r="Q248" i="20"/>
  <c r="L248" i="20"/>
  <c r="Q247" i="20"/>
  <c r="L247" i="20"/>
  <c r="U246" i="20"/>
  <c r="T246" i="20"/>
  <c r="P246" i="20"/>
  <c r="Q246" i="20" s="1"/>
  <c r="K246" i="20"/>
  <c r="K908" i="20" s="1"/>
  <c r="U245" i="20"/>
  <c r="Q245" i="20"/>
  <c r="L245" i="20"/>
  <c r="Q244" i="20"/>
  <c r="L244" i="20"/>
  <c r="U243" i="20"/>
  <c r="Q243" i="20"/>
  <c r="L243" i="20"/>
  <c r="Q242" i="20"/>
  <c r="L242" i="20"/>
  <c r="Q241" i="20"/>
  <c r="L241" i="20"/>
  <c r="Q240" i="20"/>
  <c r="L240" i="20"/>
  <c r="Q239" i="20"/>
  <c r="L239" i="20"/>
  <c r="Q238" i="20"/>
  <c r="L238" i="20"/>
  <c r="U237" i="20"/>
  <c r="Q237" i="20"/>
  <c r="L237" i="20"/>
  <c r="Q236" i="20"/>
  <c r="L236" i="20"/>
  <c r="Q235" i="20"/>
  <c r="L235" i="20"/>
  <c r="U234" i="20"/>
  <c r="Q234" i="20"/>
  <c r="L234" i="20"/>
  <c r="Q233" i="20"/>
  <c r="L233" i="20"/>
  <c r="Q232" i="20"/>
  <c r="L232" i="20"/>
  <c r="Q231" i="20"/>
  <c r="L231" i="20"/>
  <c r="Q230" i="20"/>
  <c r="L230" i="20"/>
  <c r="Q229" i="20"/>
  <c r="L229" i="20"/>
  <c r="Q228" i="20"/>
  <c r="L228" i="20"/>
  <c r="U227" i="20"/>
  <c r="Q227" i="20"/>
  <c r="L227" i="20"/>
  <c r="Q226" i="20"/>
  <c r="L226" i="20"/>
  <c r="U225" i="20"/>
  <c r="Q225" i="20"/>
  <c r="L225" i="20"/>
  <c r="U224" i="20"/>
  <c r="Q224" i="20"/>
  <c r="L224" i="20"/>
  <c r="Q223" i="20"/>
  <c r="L223" i="20"/>
  <c r="Q222" i="20"/>
  <c r="L222" i="20"/>
  <c r="Q221" i="20"/>
  <c r="L221" i="20"/>
  <c r="Q220" i="20"/>
  <c r="L220" i="20"/>
  <c r="Q219" i="20"/>
  <c r="L219" i="20"/>
  <c r="Q218" i="20"/>
  <c r="L218" i="20"/>
  <c r="Q217" i="20"/>
  <c r="L217" i="20"/>
  <c r="Q216" i="20"/>
  <c r="L216" i="20"/>
  <c r="Q215" i="20"/>
  <c r="L215" i="20"/>
  <c r="Q214" i="20"/>
  <c r="L214" i="20"/>
  <c r="Q213" i="20"/>
  <c r="L213" i="20"/>
  <c r="U212" i="20"/>
  <c r="Q212" i="20"/>
  <c r="L212" i="20"/>
  <c r="Q211" i="20"/>
  <c r="L211" i="20"/>
  <c r="U210" i="20"/>
  <c r="Q210" i="20"/>
  <c r="L210" i="20"/>
  <c r="U209" i="20"/>
  <c r="Q209" i="20"/>
  <c r="L209" i="20"/>
  <c r="Q208" i="20"/>
  <c r="L208" i="20"/>
  <c r="U207" i="20"/>
  <c r="Q207" i="20"/>
  <c r="L207" i="20"/>
  <c r="U206" i="20"/>
  <c r="Q206" i="20"/>
  <c r="L206" i="20"/>
  <c r="Q205" i="20"/>
  <c r="L205" i="20"/>
  <c r="Q204" i="20"/>
  <c r="L204" i="20"/>
  <c r="Q203" i="20"/>
  <c r="L203" i="20"/>
  <c r="Q202" i="20"/>
  <c r="L202" i="20"/>
  <c r="Q201" i="20"/>
  <c r="L201" i="20"/>
  <c r="Q200" i="20"/>
  <c r="L200" i="20"/>
  <c r="Q199" i="20"/>
  <c r="L199" i="20"/>
  <c r="Q198" i="20"/>
  <c r="L198" i="20"/>
  <c r="Q197" i="20"/>
  <c r="L197" i="20"/>
  <c r="U196" i="20"/>
  <c r="Q196" i="20"/>
  <c r="L196" i="20"/>
  <c r="Q195" i="20"/>
  <c r="L195" i="20"/>
  <c r="Q194" i="20"/>
  <c r="L194" i="20"/>
  <c r="Q193" i="20"/>
  <c r="L193" i="20"/>
  <c r="U192" i="20"/>
  <c r="Q192" i="20"/>
  <c r="L192" i="20"/>
  <c r="Q191" i="20"/>
  <c r="L191" i="20"/>
  <c r="U190" i="20"/>
  <c r="Q190" i="20"/>
  <c r="L190" i="20"/>
  <c r="Q189" i="20"/>
  <c r="L189" i="20"/>
  <c r="Q188" i="20"/>
  <c r="L188" i="20"/>
  <c r="Q187" i="20"/>
  <c r="L187" i="20"/>
  <c r="Q186" i="20"/>
  <c r="L186" i="20"/>
  <c r="U185" i="20"/>
  <c r="Q185" i="20"/>
  <c r="L185" i="20"/>
  <c r="Q184" i="20"/>
  <c r="L184" i="20"/>
  <c r="Q183" i="20"/>
  <c r="L183" i="20"/>
  <c r="Q182" i="20"/>
  <c r="L182" i="20"/>
  <c r="Q181" i="20"/>
  <c r="L181" i="20"/>
  <c r="U180" i="20"/>
  <c r="Q180" i="20"/>
  <c r="L180" i="20"/>
  <c r="Q179" i="20"/>
  <c r="L179" i="20"/>
  <c r="Q178" i="20"/>
  <c r="L178" i="20"/>
  <c r="Q177" i="20"/>
  <c r="L177" i="20"/>
  <c r="Q176" i="20"/>
  <c r="L176" i="20"/>
  <c r="Q175" i="20"/>
  <c r="L175" i="20"/>
  <c r="U174" i="20"/>
  <c r="Q174" i="20"/>
  <c r="L174" i="20"/>
  <c r="Q173" i="20"/>
  <c r="L173" i="20"/>
  <c r="Q172" i="20"/>
  <c r="L172" i="20"/>
  <c r="U171" i="20"/>
  <c r="Q171" i="20"/>
  <c r="L171" i="20"/>
  <c r="U170" i="20"/>
  <c r="Q170" i="20"/>
  <c r="L170" i="20"/>
  <c r="Q169" i="20"/>
  <c r="L169" i="20"/>
  <c r="Q168" i="20"/>
  <c r="L168" i="20"/>
  <c r="Q167" i="20"/>
  <c r="L167" i="20"/>
  <c r="Q166" i="20"/>
  <c r="L166" i="20"/>
  <c r="U165" i="20"/>
  <c r="Q165" i="20"/>
  <c r="L165" i="20"/>
  <c r="Q164" i="20"/>
  <c r="L164" i="20"/>
  <c r="Q163" i="20"/>
  <c r="L163" i="20"/>
  <c r="Q162" i="20"/>
  <c r="L162" i="20"/>
  <c r="Q161" i="20"/>
  <c r="L161" i="20"/>
  <c r="U160" i="20"/>
  <c r="Q160" i="20"/>
  <c r="L160" i="20"/>
  <c r="Q159" i="20"/>
  <c r="L159" i="20"/>
  <c r="Q158" i="20"/>
  <c r="L158" i="20"/>
  <c r="Q157" i="20"/>
  <c r="L157" i="20"/>
  <c r="Q156" i="20"/>
  <c r="L156" i="20"/>
  <c r="U155" i="20"/>
  <c r="Q155" i="20"/>
  <c r="L155" i="20"/>
  <c r="Q154" i="20"/>
  <c r="L154" i="20"/>
  <c r="Q153" i="20"/>
  <c r="L153" i="20"/>
  <c r="Q152" i="20"/>
  <c r="L152" i="20"/>
  <c r="U151" i="20"/>
  <c r="Q151" i="20"/>
  <c r="L151" i="20"/>
  <c r="Q150" i="20"/>
  <c r="L150" i="20"/>
  <c r="U149" i="20"/>
  <c r="Q149" i="20"/>
  <c r="L149" i="20"/>
  <c r="Q148" i="20"/>
  <c r="L148" i="20"/>
  <c r="Q147" i="20"/>
  <c r="L147" i="20"/>
  <c r="Q146" i="20"/>
  <c r="L146" i="20"/>
  <c r="Q145" i="20"/>
  <c r="L145" i="20"/>
  <c r="U144" i="20"/>
  <c r="Q144" i="20"/>
  <c r="L144" i="20"/>
  <c r="Q143" i="20"/>
  <c r="L143" i="20"/>
  <c r="U142" i="20"/>
  <c r="Q142" i="20"/>
  <c r="L142" i="20"/>
  <c r="Q141" i="20"/>
  <c r="L141" i="20"/>
  <c r="Q140" i="20"/>
  <c r="L140" i="20"/>
  <c r="Q139" i="20"/>
  <c r="L139" i="20"/>
  <c r="Q138" i="20"/>
  <c r="L138" i="20"/>
  <c r="Q137" i="20"/>
  <c r="L137" i="20"/>
  <c r="Q136" i="20"/>
  <c r="L136" i="20"/>
  <c r="Q135" i="20"/>
  <c r="L135" i="20"/>
  <c r="Q134" i="20"/>
  <c r="L134" i="20"/>
  <c r="U133" i="20"/>
  <c r="Q133" i="20"/>
  <c r="L133" i="20"/>
  <c r="Q132" i="20"/>
  <c r="L132" i="20"/>
  <c r="Q131" i="20"/>
  <c r="L131" i="20"/>
  <c r="U130" i="20"/>
  <c r="Q130" i="20"/>
  <c r="L130" i="20"/>
  <c r="Q129" i="20"/>
  <c r="L129" i="20"/>
  <c r="U128" i="20"/>
  <c r="Q128" i="20"/>
  <c r="L128" i="20"/>
  <c r="U127" i="20"/>
  <c r="Q127" i="20"/>
  <c r="L127" i="20"/>
  <c r="U126" i="20"/>
  <c r="Q126" i="20"/>
  <c r="L126" i="20"/>
  <c r="Q125" i="20"/>
  <c r="L125" i="20"/>
  <c r="Q124" i="20"/>
  <c r="L124" i="20"/>
  <c r="Q123" i="20"/>
  <c r="L123" i="20"/>
  <c r="Q122" i="20"/>
  <c r="L122" i="20"/>
  <c r="U121" i="20"/>
  <c r="Q121" i="20"/>
  <c r="L121" i="20"/>
  <c r="Q120" i="20"/>
  <c r="L120" i="20"/>
  <c r="Q119" i="20"/>
  <c r="L119" i="20"/>
  <c r="Q118" i="20"/>
  <c r="L118" i="20"/>
  <c r="Q117" i="20"/>
  <c r="L117" i="20"/>
  <c r="Q116" i="20"/>
  <c r="L116" i="20"/>
  <c r="Q115" i="20"/>
  <c r="L115" i="20"/>
  <c r="Q114" i="20"/>
  <c r="L114" i="20"/>
  <c r="U113" i="20"/>
  <c r="Q113" i="20"/>
  <c r="L113" i="20"/>
  <c r="Q112" i="20"/>
  <c r="L112" i="20"/>
  <c r="U111" i="20"/>
  <c r="Q111" i="20"/>
  <c r="L111" i="20"/>
  <c r="Q110" i="20"/>
  <c r="L110" i="20"/>
  <c r="U109" i="20"/>
  <c r="Q109" i="20"/>
  <c r="L109" i="20"/>
  <c r="Q108" i="20"/>
  <c r="L108" i="20"/>
  <c r="Q107" i="20"/>
  <c r="L107" i="20"/>
  <c r="Q106" i="20"/>
  <c r="L106" i="20"/>
  <c r="Q105" i="20"/>
  <c r="L105" i="20"/>
  <c r="U104" i="20"/>
  <c r="Q104" i="20"/>
  <c r="L104" i="20"/>
  <c r="Q103" i="20"/>
  <c r="L103" i="20"/>
  <c r="U102" i="20"/>
  <c r="Q102" i="20"/>
  <c r="L102" i="20"/>
  <c r="Q101" i="20"/>
  <c r="L101" i="20"/>
  <c r="Q100" i="20"/>
  <c r="L100" i="20"/>
  <c r="U99" i="20"/>
  <c r="Q99" i="20"/>
  <c r="L99" i="20"/>
  <c r="Q98" i="20"/>
  <c r="L98" i="20"/>
  <c r="U97" i="20"/>
  <c r="Q97" i="20"/>
  <c r="L97" i="20"/>
  <c r="Q96" i="20"/>
  <c r="L96" i="20"/>
  <c r="Q95" i="20"/>
  <c r="L95" i="20"/>
  <c r="Q94" i="20"/>
  <c r="L94" i="20"/>
  <c r="U93" i="20"/>
  <c r="Q93" i="20"/>
  <c r="L93" i="20"/>
  <c r="Q92" i="20"/>
  <c r="L92" i="20"/>
  <c r="U91" i="20"/>
  <c r="Q91" i="20"/>
  <c r="L91" i="20"/>
  <c r="Q90" i="20"/>
  <c r="L90" i="20"/>
  <c r="Q89" i="20"/>
  <c r="L89" i="20"/>
  <c r="Q88" i="20"/>
  <c r="L88" i="20"/>
  <c r="Q87" i="20"/>
  <c r="L87" i="20"/>
  <c r="Q86" i="20"/>
  <c r="L86" i="20"/>
  <c r="Q85" i="20"/>
  <c r="L85" i="20"/>
  <c r="Q84" i="20"/>
  <c r="L84" i="20"/>
  <c r="Q83" i="20"/>
  <c r="L83" i="20"/>
  <c r="Q82" i="20"/>
  <c r="L82" i="20"/>
  <c r="Q81" i="20"/>
  <c r="L81" i="20"/>
  <c r="U80" i="20"/>
  <c r="Q80" i="20"/>
  <c r="L80" i="20"/>
  <c r="Q79" i="20"/>
  <c r="L79" i="20"/>
  <c r="Q78" i="20"/>
  <c r="L78" i="20"/>
  <c r="U77" i="20"/>
  <c r="Q77" i="20"/>
  <c r="L77" i="20"/>
  <c r="Q76" i="20"/>
  <c r="L76" i="20"/>
  <c r="Q75" i="20"/>
  <c r="L75" i="20"/>
  <c r="Q74" i="20"/>
  <c r="L74" i="20"/>
  <c r="Q73" i="20"/>
  <c r="L73" i="20"/>
  <c r="U72" i="20"/>
  <c r="Q72" i="20"/>
  <c r="L72" i="20"/>
  <c r="Q71" i="20"/>
  <c r="L71" i="20"/>
  <c r="Q70" i="20"/>
  <c r="L70" i="20"/>
  <c r="U69" i="20"/>
  <c r="Q69" i="20"/>
  <c r="L69" i="20"/>
  <c r="Q68" i="20"/>
  <c r="L68" i="20"/>
  <c r="Q67" i="20"/>
  <c r="L67" i="20"/>
  <c r="Q66" i="20"/>
  <c r="L66" i="20"/>
  <c r="Q65" i="20"/>
  <c r="L65" i="20"/>
  <c r="Q64" i="20"/>
  <c r="L64" i="20"/>
  <c r="Q63" i="20"/>
  <c r="L63" i="20"/>
  <c r="U62" i="20"/>
  <c r="Q62" i="20"/>
  <c r="L62" i="20"/>
  <c r="Q61" i="20"/>
  <c r="L61" i="20"/>
  <c r="Q60" i="20"/>
  <c r="L60" i="20"/>
  <c r="Q59" i="20"/>
  <c r="L59" i="20"/>
  <c r="U58" i="20"/>
  <c r="Q58" i="20"/>
  <c r="L58" i="20"/>
  <c r="Q57" i="20"/>
  <c r="L57" i="20"/>
  <c r="U56" i="20"/>
  <c r="Q56" i="20"/>
  <c r="L56" i="20"/>
  <c r="Q55" i="20"/>
  <c r="L55" i="20"/>
  <c r="U54" i="20"/>
  <c r="Q54" i="20"/>
  <c r="L54" i="20"/>
  <c r="Q53" i="20"/>
  <c r="L53" i="20"/>
  <c r="Q52" i="20"/>
  <c r="L52" i="20"/>
  <c r="Q51" i="20"/>
  <c r="L51" i="20"/>
  <c r="U50" i="20"/>
  <c r="Q50" i="20"/>
  <c r="L50" i="20"/>
  <c r="U49" i="20"/>
  <c r="Q49" i="20"/>
  <c r="L49" i="20"/>
  <c r="Q48" i="20"/>
  <c r="L48" i="20"/>
  <c r="Q47" i="20"/>
  <c r="L47" i="20"/>
  <c r="U46" i="20"/>
  <c r="Q46" i="20"/>
  <c r="L46" i="20"/>
  <c r="Q45" i="20"/>
  <c r="L45" i="20"/>
  <c r="Q44" i="20"/>
  <c r="L44" i="20"/>
  <c r="U43" i="20"/>
  <c r="Q43" i="20"/>
  <c r="L43" i="20"/>
  <c r="U42" i="20"/>
  <c r="Q42" i="20"/>
  <c r="L42" i="20"/>
  <c r="Q41" i="20"/>
  <c r="L41" i="20"/>
  <c r="Q40" i="20"/>
  <c r="L40" i="20"/>
  <c r="Q39" i="20"/>
  <c r="L39" i="20"/>
  <c r="U38" i="20"/>
  <c r="Q38" i="20"/>
  <c r="L38" i="20"/>
  <c r="Q37" i="20"/>
  <c r="L37" i="20"/>
  <c r="Q36" i="20"/>
  <c r="L36" i="20"/>
  <c r="Q35" i="20"/>
  <c r="L35" i="20"/>
  <c r="Q34" i="20"/>
  <c r="L34" i="20"/>
  <c r="Q33" i="20"/>
  <c r="L33" i="20"/>
  <c r="Q32" i="20"/>
  <c r="L32" i="20"/>
  <c r="Q31" i="20"/>
  <c r="L31" i="20"/>
  <c r="Q30" i="20"/>
  <c r="L30" i="20"/>
  <c r="Q29" i="20"/>
  <c r="L29" i="20"/>
  <c r="Q28" i="20"/>
  <c r="L28" i="20"/>
  <c r="Q27" i="20"/>
  <c r="L27" i="20"/>
  <c r="Q26" i="20"/>
  <c r="L26" i="20"/>
  <c r="Q25" i="20"/>
  <c r="L25" i="20"/>
  <c r="Q24" i="20"/>
  <c r="L24" i="20"/>
  <c r="Q23" i="20"/>
  <c r="L23" i="20"/>
  <c r="Q22" i="20"/>
  <c r="L22" i="20"/>
  <c r="U21" i="20"/>
  <c r="Q21" i="20"/>
  <c r="L21" i="20"/>
  <c r="Q20" i="20"/>
  <c r="L20" i="20"/>
  <c r="Q19" i="20"/>
  <c r="L19" i="20"/>
  <c r="U18" i="20"/>
  <c r="Q18" i="20"/>
  <c r="L18" i="20"/>
  <c r="Q17" i="20"/>
  <c r="L17" i="20"/>
  <c r="Q16" i="20"/>
  <c r="L16" i="20"/>
  <c r="Q15" i="20"/>
  <c r="L15" i="20"/>
  <c r="U14" i="20"/>
  <c r="Q14" i="20"/>
  <c r="L14" i="20"/>
  <c r="Q13" i="20"/>
  <c r="L13" i="20"/>
  <c r="Q12" i="20"/>
  <c r="L12" i="20"/>
  <c r="U11" i="20"/>
  <c r="Q11" i="20"/>
  <c r="L11" i="20"/>
  <c r="Q10" i="20"/>
  <c r="L10" i="20"/>
  <c r="Q9" i="20"/>
  <c r="L9" i="20"/>
  <c r="Q8" i="20"/>
  <c r="L8" i="20"/>
  <c r="Q7" i="20"/>
  <c r="L7" i="20"/>
  <c r="C145" i="18"/>
  <c r="G126" i="18"/>
  <c r="C95" i="18" s="1"/>
  <c r="AQ32" i="2" s="1"/>
  <c r="E126" i="18"/>
  <c r="H126" i="18" s="1"/>
  <c r="D95" i="18" s="1"/>
  <c r="AT32" i="2" s="1"/>
  <c r="E125" i="18"/>
  <c r="H125" i="18" s="1"/>
  <c r="D94" i="18" s="1"/>
  <c r="C76" i="18"/>
  <c r="C77" i="18" s="1"/>
  <c r="D77" i="18" s="1"/>
  <c r="E64" i="18"/>
  <c r="G111" i="17"/>
  <c r="G110" i="17"/>
  <c r="G108" i="17"/>
  <c r="G107" i="17"/>
  <c r="D106" i="17"/>
  <c r="F105" i="17"/>
  <c r="F112" i="17" s="1"/>
  <c r="E105" i="17"/>
  <c r="E112" i="17" s="1"/>
  <c r="C105" i="17"/>
  <c r="C112" i="17" s="1"/>
  <c r="G104" i="17"/>
  <c r="G102" i="17"/>
  <c r="G101" i="17"/>
  <c r="F51" i="17"/>
  <c r="E51" i="17"/>
  <c r="D51" i="17"/>
  <c r="C51" i="17"/>
  <c r="G49" i="17"/>
  <c r="G48" i="17"/>
  <c r="G47" i="17"/>
  <c r="G46" i="17"/>
  <c r="G45" i="17"/>
  <c r="G44" i="17"/>
  <c r="F37" i="17"/>
  <c r="E37" i="17"/>
  <c r="G35" i="17"/>
  <c r="G34" i="17"/>
  <c r="G33" i="17"/>
  <c r="G32" i="17"/>
  <c r="G31" i="17"/>
  <c r="G30" i="17"/>
  <c r="G29" i="17"/>
  <c r="G28" i="17"/>
  <c r="G27" i="17"/>
  <c r="G26" i="17"/>
  <c r="G25" i="17"/>
  <c r="D24" i="17"/>
  <c r="D37" i="17" s="1"/>
  <c r="G23" i="17"/>
  <c r="L305" i="16"/>
  <c r="AY212" i="2" s="1"/>
  <c r="L304" i="16"/>
  <c r="L303" i="16"/>
  <c r="L302" i="16"/>
  <c r="AY209" i="2" s="1"/>
  <c r="L301" i="16"/>
  <c r="AY208" i="2" s="1"/>
  <c r="L300" i="16"/>
  <c r="AY207" i="2" s="1"/>
  <c r="L299" i="16"/>
  <c r="AY206" i="2" s="1"/>
  <c r="L298" i="16"/>
  <c r="L295" i="16"/>
  <c r="AY202" i="2" s="1"/>
  <c r="L294" i="16"/>
  <c r="L293" i="16"/>
  <c r="L292" i="16"/>
  <c r="AY199" i="2" s="1"/>
  <c r="L291" i="16"/>
  <c r="AY198" i="2" s="1"/>
  <c r="L287" i="16"/>
  <c r="AY225" i="2" s="1"/>
  <c r="J286" i="16"/>
  <c r="AV406" i="2" s="1"/>
  <c r="J285" i="16"/>
  <c r="L283" i="16"/>
  <c r="AY184" i="2" s="1"/>
  <c r="J283" i="16"/>
  <c r="L282" i="16"/>
  <c r="J282" i="16"/>
  <c r="AV368" i="2" s="1"/>
  <c r="L281" i="16"/>
  <c r="AY358" i="2" s="1"/>
  <c r="J281" i="16"/>
  <c r="AV358" i="2" s="1"/>
  <c r="L280" i="16"/>
  <c r="AY348" i="2" s="1"/>
  <c r="J280" i="16"/>
  <c r="L279" i="16"/>
  <c r="AY338" i="2" s="1"/>
  <c r="J279" i="16"/>
  <c r="L278" i="16"/>
  <c r="J278" i="16"/>
  <c r="AV328" i="2" s="1"/>
  <c r="L277" i="16"/>
  <c r="AY318" i="2" s="1"/>
  <c r="J277" i="16"/>
  <c r="AV318" i="2" s="1"/>
  <c r="L276" i="16"/>
  <c r="AY308" i="2" s="1"/>
  <c r="J276" i="16"/>
  <c r="AV308" i="2" s="1"/>
  <c r="L275" i="16"/>
  <c r="J275" i="16"/>
  <c r="L274" i="16"/>
  <c r="J274" i="16"/>
  <c r="AV283" i="2" s="1"/>
  <c r="L273" i="16"/>
  <c r="AY29" i="2" s="1"/>
  <c r="J273" i="16"/>
  <c r="AV29" i="2" s="1"/>
  <c r="L271" i="16"/>
  <c r="AY277" i="2" s="1"/>
  <c r="L270" i="16"/>
  <c r="AY272" i="2" s="1"/>
  <c r="L269" i="16"/>
  <c r="AY267" i="2" s="1"/>
  <c r="L268" i="16"/>
  <c r="L267" i="16"/>
  <c r="L266" i="16"/>
  <c r="AY252" i="2" s="1"/>
  <c r="L265" i="16"/>
  <c r="AY247" i="2" s="1"/>
  <c r="L264" i="16"/>
  <c r="AY242" i="2" s="1"/>
  <c r="L263" i="16"/>
  <c r="AY236" i="2" s="1"/>
  <c r="L262" i="16"/>
  <c r="L261" i="16"/>
  <c r="AY271" i="2" s="1"/>
  <c r="L260" i="16"/>
  <c r="L259" i="16"/>
  <c r="L258" i="16"/>
  <c r="AY256" i="2" s="1"/>
  <c r="L257" i="16"/>
  <c r="AY251" i="2" s="1"/>
  <c r="L256" i="16"/>
  <c r="AY246" i="2" s="1"/>
  <c r="L255" i="16"/>
  <c r="AY240" i="2" s="1"/>
  <c r="L254" i="16"/>
  <c r="J251" i="16"/>
  <c r="J250" i="16"/>
  <c r="J249" i="16"/>
  <c r="J248" i="16"/>
  <c r="AV336" i="2" s="1"/>
  <c r="J247" i="16"/>
  <c r="AV326" i="2" s="1"/>
  <c r="J246" i="16"/>
  <c r="AV316" i="2" s="1"/>
  <c r="J245" i="16"/>
  <c r="AV306" i="2" s="1"/>
  <c r="J244" i="16"/>
  <c r="AV294" i="2" s="1"/>
  <c r="J243" i="16"/>
  <c r="L241" i="16"/>
  <c r="L240" i="16"/>
  <c r="L239" i="16"/>
  <c r="AY132" i="2" s="1"/>
  <c r="L237" i="16"/>
  <c r="AY130" i="2" s="1"/>
  <c r="L236" i="16"/>
  <c r="AY129" i="2" s="1"/>
  <c r="L235" i="16"/>
  <c r="AY128" i="2" s="1"/>
  <c r="L234" i="16"/>
  <c r="AY127" i="2" s="1"/>
  <c r="L233" i="16"/>
  <c r="J232" i="16"/>
  <c r="J231" i="16"/>
  <c r="J230" i="16"/>
  <c r="AV145" i="2" s="1"/>
  <c r="J228" i="16"/>
  <c r="AV142" i="2" s="1"/>
  <c r="J227" i="16"/>
  <c r="AV144" i="2" s="1"/>
  <c r="J226" i="16"/>
  <c r="AV136" i="2" s="1"/>
  <c r="J225" i="16"/>
  <c r="AV141" i="2" s="1"/>
  <c r="J224" i="16"/>
  <c r="L222" i="16"/>
  <c r="L221" i="16"/>
  <c r="J220" i="16"/>
  <c r="AV245" i="2" s="1"/>
  <c r="J219" i="16"/>
  <c r="AV234" i="2" s="1"/>
  <c r="L217" i="16"/>
  <c r="AY121" i="2" s="1"/>
  <c r="J216" i="16"/>
  <c r="AV114" i="2" s="1"/>
  <c r="L215" i="16"/>
  <c r="AY24" i="2" s="1"/>
  <c r="J214" i="16"/>
  <c r="L212" i="16"/>
  <c r="L211" i="16"/>
  <c r="J209" i="16"/>
  <c r="J208" i="16"/>
  <c r="AV124" i="2" s="1"/>
  <c r="L206" i="16"/>
  <c r="AY35" i="2" s="1"/>
  <c r="L205" i="16"/>
  <c r="AY22" i="2" s="1"/>
  <c r="J204" i="16"/>
  <c r="AV123" i="2" s="1"/>
  <c r="J203" i="16"/>
  <c r="L201" i="16"/>
  <c r="J200" i="16"/>
  <c r="AV390" i="2" s="1"/>
  <c r="N190" i="16"/>
  <c r="N157" i="16"/>
  <c r="L157" i="16"/>
  <c r="N139" i="16"/>
  <c r="L139" i="16"/>
  <c r="J139" i="16"/>
  <c r="L252" i="16" s="1"/>
  <c r="AY381" i="2" s="1"/>
  <c r="N101" i="16"/>
  <c r="G224" i="15"/>
  <c r="E202" i="15"/>
  <c r="G201" i="15"/>
  <c r="E200" i="15"/>
  <c r="E199" i="15"/>
  <c r="G198" i="15"/>
  <c r="G197" i="15"/>
  <c r="G195" i="15"/>
  <c r="G191" i="15"/>
  <c r="G190" i="15"/>
  <c r="G189" i="15"/>
  <c r="G188" i="15"/>
  <c r="G187" i="15"/>
  <c r="G186" i="15"/>
  <c r="G185" i="15"/>
  <c r="G184" i="15"/>
  <c r="G183" i="15"/>
  <c r="G182" i="15"/>
  <c r="G181" i="15"/>
  <c r="G180" i="15"/>
  <c r="G179" i="15"/>
  <c r="AY59" i="2" s="1"/>
  <c r="G178" i="15"/>
  <c r="E173" i="15"/>
  <c r="E172" i="15"/>
  <c r="E171" i="15"/>
  <c r="E170" i="15"/>
  <c r="E169" i="15"/>
  <c r="E168" i="15"/>
  <c r="E167" i="15"/>
  <c r="E166" i="15"/>
  <c r="E165" i="15"/>
  <c r="E164" i="15"/>
  <c r="E163" i="15"/>
  <c r="E162" i="15"/>
  <c r="E161" i="15"/>
  <c r="E160" i="15"/>
  <c r="E159" i="15"/>
  <c r="C150" i="15"/>
  <c r="C149" i="15"/>
  <c r="C141" i="15"/>
  <c r="C140" i="15"/>
  <c r="C139" i="15"/>
  <c r="E123" i="15"/>
  <c r="D121" i="15"/>
  <c r="D122" i="15" s="1"/>
  <c r="E57" i="15"/>
  <c r="E49" i="15"/>
  <c r="G224" i="14"/>
  <c r="E202" i="14"/>
  <c r="G201" i="14"/>
  <c r="E200" i="14"/>
  <c r="E199" i="14"/>
  <c r="G198" i="14"/>
  <c r="G197" i="14"/>
  <c r="G195" i="14"/>
  <c r="G191" i="14"/>
  <c r="G190" i="14"/>
  <c r="G189" i="14"/>
  <c r="G188" i="14"/>
  <c r="G187" i="14"/>
  <c r="G186" i="14"/>
  <c r="G185" i="14"/>
  <c r="G184" i="14"/>
  <c r="G183" i="14"/>
  <c r="G182" i="14"/>
  <c r="G181" i="14"/>
  <c r="G180" i="14"/>
  <c r="G179" i="14"/>
  <c r="G178" i="14"/>
  <c r="E173" i="14"/>
  <c r="E172" i="14"/>
  <c r="E171" i="14"/>
  <c r="E170" i="14"/>
  <c r="E169" i="14"/>
  <c r="E168" i="14"/>
  <c r="E167" i="14"/>
  <c r="E166" i="14"/>
  <c r="E165" i="14"/>
  <c r="E164" i="14"/>
  <c r="E163" i="14"/>
  <c r="E162" i="14"/>
  <c r="E161" i="14"/>
  <c r="E160" i="14"/>
  <c r="E159" i="14"/>
  <c r="C150" i="14"/>
  <c r="C149" i="14"/>
  <c r="C141" i="14"/>
  <c r="C140" i="14"/>
  <c r="C139" i="14"/>
  <c r="E123" i="14"/>
  <c r="D121" i="14"/>
  <c r="D122" i="14" s="1"/>
  <c r="E57" i="14"/>
  <c r="E49" i="14"/>
  <c r="G229" i="13"/>
  <c r="E207" i="13"/>
  <c r="E205" i="13"/>
  <c r="E204" i="13"/>
  <c r="G183" i="13"/>
  <c r="E178" i="13"/>
  <c r="E177" i="13"/>
  <c r="E176" i="13"/>
  <c r="E174" i="13"/>
  <c r="E173" i="13"/>
  <c r="E172" i="13"/>
  <c r="E171" i="13"/>
  <c r="E170" i="13"/>
  <c r="E169" i="13"/>
  <c r="E168" i="13"/>
  <c r="E167" i="13"/>
  <c r="E166" i="13"/>
  <c r="E165" i="13"/>
  <c r="E164" i="13"/>
  <c r="C155" i="13"/>
  <c r="C154" i="13"/>
  <c r="C146" i="13"/>
  <c r="C145" i="13"/>
  <c r="C144" i="13"/>
  <c r="E128" i="13"/>
  <c r="D126" i="13"/>
  <c r="D127" i="13" s="1"/>
  <c r="G127" i="13" s="1"/>
  <c r="G128" i="13" s="1"/>
  <c r="E61" i="13"/>
  <c r="E53" i="13"/>
  <c r="E63" i="13" s="1"/>
  <c r="M253" i="12"/>
  <c r="I253" i="12"/>
  <c r="AA252" i="12"/>
  <c r="V251" i="12"/>
  <c r="AA251" i="12" s="1"/>
  <c r="V250" i="12"/>
  <c r="AA250" i="12" s="1"/>
  <c r="AA248" i="12"/>
  <c r="AA247" i="12"/>
  <c r="AC247" i="12" s="1"/>
  <c r="N217" i="12" s="1"/>
  <c r="AT146" i="2" s="1"/>
  <c r="N244" i="12"/>
  <c r="U243" i="12"/>
  <c r="N243" i="12"/>
  <c r="L243" i="12"/>
  <c r="F243" i="12"/>
  <c r="U242" i="12"/>
  <c r="N242" i="12"/>
  <c r="L242" i="12"/>
  <c r="U241" i="12"/>
  <c r="R241" i="12"/>
  <c r="N241" i="12"/>
  <c r="L241" i="12"/>
  <c r="U240" i="12"/>
  <c r="R240" i="12"/>
  <c r="N240" i="12"/>
  <c r="L240" i="12"/>
  <c r="U239" i="12"/>
  <c r="N239" i="12"/>
  <c r="L239" i="12"/>
  <c r="U238" i="12"/>
  <c r="L238" i="12"/>
  <c r="U237" i="12"/>
  <c r="R237" i="12"/>
  <c r="L237" i="12"/>
  <c r="U236" i="12"/>
  <c r="L236" i="12"/>
  <c r="U235" i="12"/>
  <c r="L235" i="12"/>
  <c r="U234" i="12"/>
  <c r="L234" i="12"/>
  <c r="Z233" i="12"/>
  <c r="U233" i="12"/>
  <c r="L233" i="12"/>
  <c r="M223" i="12"/>
  <c r="F220" i="12"/>
  <c r="L197" i="12"/>
  <c r="Y246" i="12" s="1"/>
  <c r="AA246" i="12" s="1"/>
  <c r="N186" i="12"/>
  <c r="X241" i="12" s="1"/>
  <c r="N185" i="12"/>
  <c r="X240" i="12" s="1"/>
  <c r="N184" i="12"/>
  <c r="X239" i="12" s="1"/>
  <c r="N183" i="12"/>
  <c r="X238" i="12" s="1"/>
  <c r="N182" i="12"/>
  <c r="X237" i="12" s="1"/>
  <c r="N181" i="12"/>
  <c r="X236" i="12" s="1"/>
  <c r="N180" i="12"/>
  <c r="X235" i="12" s="1"/>
  <c r="N179" i="12"/>
  <c r="X234" i="12" s="1"/>
  <c r="N178" i="12"/>
  <c r="X233" i="12" s="1"/>
  <c r="L177" i="12"/>
  <c r="W245" i="12" s="1"/>
  <c r="W253" i="12" s="1"/>
  <c r="L173" i="12"/>
  <c r="N173" i="12" s="1"/>
  <c r="L161" i="12"/>
  <c r="N161" i="12" s="1"/>
  <c r="O150" i="12"/>
  <c r="O152" i="12" s="1"/>
  <c r="N150" i="12"/>
  <c r="N152" i="12" s="1"/>
  <c r="L150" i="12"/>
  <c r="L152" i="12" s="1"/>
  <c r="J150" i="12"/>
  <c r="J152" i="12" s="1"/>
  <c r="H150" i="12"/>
  <c r="H152" i="12" s="1"/>
  <c r="G150" i="12"/>
  <c r="G152" i="12" s="1"/>
  <c r="O132" i="12"/>
  <c r="N132" i="12"/>
  <c r="M94" i="12"/>
  <c r="N82" i="12"/>
  <c r="O78" i="12" s="1"/>
  <c r="J82" i="12"/>
  <c r="L78" i="12" s="1"/>
  <c r="G82" i="12"/>
  <c r="H78" i="12" s="1"/>
  <c r="N66" i="12"/>
  <c r="N50" i="12"/>
  <c r="L50" i="12"/>
  <c r="H50" i="12"/>
  <c r="J49" i="12"/>
  <c r="F241" i="12" s="1"/>
  <c r="J48" i="12"/>
  <c r="F240" i="12" s="1"/>
  <c r="J47" i="12"/>
  <c r="F239" i="12" s="1"/>
  <c r="J46" i="12"/>
  <c r="F238" i="12" s="1"/>
  <c r="J45" i="12"/>
  <c r="F237" i="12" s="1"/>
  <c r="J44" i="12"/>
  <c r="F236" i="12" s="1"/>
  <c r="J43" i="12"/>
  <c r="F235" i="12" s="1"/>
  <c r="J42" i="12"/>
  <c r="F234" i="12" s="1"/>
  <c r="J41" i="12"/>
  <c r="N36" i="12"/>
  <c r="J36" i="12"/>
  <c r="H36" i="12"/>
  <c r="L35" i="12"/>
  <c r="J241" i="12" s="1"/>
  <c r="L34" i="12"/>
  <c r="J240" i="12" s="1"/>
  <c r="L33" i="12"/>
  <c r="J239" i="12" s="1"/>
  <c r="L32" i="12"/>
  <c r="J238" i="12" s="1"/>
  <c r="L31" i="12"/>
  <c r="J237" i="12" s="1"/>
  <c r="L30" i="12"/>
  <c r="J236" i="12" s="1"/>
  <c r="L29" i="12"/>
  <c r="J235" i="12" s="1"/>
  <c r="L28" i="12"/>
  <c r="J234" i="12" s="1"/>
  <c r="L27" i="12"/>
  <c r="J233" i="12" s="1"/>
  <c r="R146" i="11"/>
  <c r="L123" i="11" s="1"/>
  <c r="O146" i="11"/>
  <c r="G146" i="11"/>
  <c r="R144" i="11"/>
  <c r="O144" i="11"/>
  <c r="L144" i="11"/>
  <c r="I144" i="11"/>
  <c r="R143" i="11"/>
  <c r="L120" i="11" s="1"/>
  <c r="O143" i="11"/>
  <c r="L143" i="11"/>
  <c r="I143" i="11"/>
  <c r="R142" i="11"/>
  <c r="L119" i="11" s="1"/>
  <c r="O142" i="11"/>
  <c r="L142" i="11"/>
  <c r="I142" i="11"/>
  <c r="R141" i="11"/>
  <c r="L118" i="11" s="1"/>
  <c r="O141" i="11"/>
  <c r="L141" i="11"/>
  <c r="I141" i="11"/>
  <c r="R140" i="11"/>
  <c r="L117" i="11" s="1"/>
  <c r="O140" i="11"/>
  <c r="L140" i="11"/>
  <c r="I140" i="11"/>
  <c r="R139" i="11"/>
  <c r="L116" i="11" s="1"/>
  <c r="O139" i="11"/>
  <c r="L139" i="11"/>
  <c r="I139" i="11"/>
  <c r="R138" i="11"/>
  <c r="L115" i="11" s="1"/>
  <c r="O138" i="11"/>
  <c r="L138" i="11"/>
  <c r="I138" i="11"/>
  <c r="R137" i="11"/>
  <c r="L114" i="11" s="1"/>
  <c r="O137" i="11"/>
  <c r="L137" i="11"/>
  <c r="I137" i="11"/>
  <c r="R136" i="11"/>
  <c r="L113" i="11" s="1"/>
  <c r="O136" i="11"/>
  <c r="L136" i="11"/>
  <c r="I136" i="11"/>
  <c r="S135" i="11"/>
  <c r="N112" i="11" s="1"/>
  <c r="N135" i="11"/>
  <c r="R135" i="11" s="1"/>
  <c r="L112" i="11" s="1"/>
  <c r="AQ37" i="2" s="1"/>
  <c r="S134" i="11"/>
  <c r="N111" i="11" s="1"/>
  <c r="S133" i="11"/>
  <c r="N110" i="11" s="1"/>
  <c r="S132" i="11"/>
  <c r="N109" i="11" s="1"/>
  <c r="F132" i="11"/>
  <c r="R132" i="11" s="1"/>
  <c r="L109" i="11" s="1"/>
  <c r="AQ228" i="2" s="1"/>
  <c r="S131" i="11"/>
  <c r="N108" i="11" s="1"/>
  <c r="F131" i="11"/>
  <c r="R131" i="11" s="1"/>
  <c r="L108" i="11" s="1"/>
  <c r="AQ78" i="2" s="1"/>
  <c r="L121" i="11"/>
  <c r="K101" i="11"/>
  <c r="N88" i="11"/>
  <c r="K77" i="11"/>
  <c r="K62" i="11"/>
  <c r="K134" i="11" s="1"/>
  <c r="K53" i="11"/>
  <c r="K39" i="11"/>
  <c r="H133" i="11" s="1"/>
  <c r="K28" i="11"/>
  <c r="F145" i="11" s="1"/>
  <c r="R145" i="11" s="1"/>
  <c r="L122" i="11" s="1"/>
  <c r="AQ229" i="2" s="1"/>
  <c r="P129" i="10"/>
  <c r="M129" i="10"/>
  <c r="R126" i="10"/>
  <c r="K126" i="10"/>
  <c r="S126" i="10" s="1"/>
  <c r="R125" i="10"/>
  <c r="K125" i="10"/>
  <c r="S125" i="10" s="1"/>
  <c r="R124" i="10"/>
  <c r="K124" i="10"/>
  <c r="S124" i="10" s="1"/>
  <c r="N95" i="10" s="1"/>
  <c r="AT140" i="2" s="1"/>
  <c r="N123" i="10"/>
  <c r="L123" i="10"/>
  <c r="R123" i="10" s="1"/>
  <c r="L94" i="10" s="1"/>
  <c r="K123" i="10"/>
  <c r="O122" i="10"/>
  <c r="N122" i="10"/>
  <c r="L122" i="10"/>
  <c r="K122" i="10"/>
  <c r="R121" i="10"/>
  <c r="N121" i="10"/>
  <c r="S121" i="10" s="1"/>
  <c r="R120" i="10"/>
  <c r="N120" i="10"/>
  <c r="K120" i="10"/>
  <c r="S119" i="10"/>
  <c r="O119" i="10"/>
  <c r="R119" i="10" s="1"/>
  <c r="R118" i="10"/>
  <c r="N118" i="10"/>
  <c r="S118" i="10" s="1"/>
  <c r="R117" i="10"/>
  <c r="K117" i="10"/>
  <c r="R116" i="10"/>
  <c r="N116" i="10"/>
  <c r="S116" i="10" s="1"/>
  <c r="S115" i="10"/>
  <c r="O115" i="10"/>
  <c r="L115" i="10"/>
  <c r="Q114" i="10"/>
  <c r="S114" i="10" s="1"/>
  <c r="N85" i="10" s="1"/>
  <c r="AT81" i="2" s="1"/>
  <c r="L114" i="10"/>
  <c r="R114" i="10" s="1"/>
  <c r="L85" i="10" s="1"/>
  <c r="AQ81" i="2" s="1"/>
  <c r="Q113" i="10"/>
  <c r="N113" i="10"/>
  <c r="J113" i="10"/>
  <c r="R113" i="10" s="1"/>
  <c r="L84" i="10" s="1"/>
  <c r="AQ42" i="2" s="1"/>
  <c r="C113" i="10"/>
  <c r="Q112" i="10"/>
  <c r="N112" i="10"/>
  <c r="L112" i="10"/>
  <c r="J112" i="10"/>
  <c r="S111" i="10"/>
  <c r="L111" i="10"/>
  <c r="J111" i="10"/>
  <c r="S110" i="10"/>
  <c r="L110" i="10"/>
  <c r="J110" i="10"/>
  <c r="S109" i="10"/>
  <c r="J109" i="10"/>
  <c r="R109" i="10" s="1"/>
  <c r="S107" i="10"/>
  <c r="J107" i="10"/>
  <c r="K59" i="10"/>
  <c r="K51" i="10"/>
  <c r="J31" i="10"/>
  <c r="M59" i="9"/>
  <c r="N58" i="9"/>
  <c r="L58" i="9"/>
  <c r="N57" i="9"/>
  <c r="L57" i="9"/>
  <c r="AQ125" i="2" s="1"/>
  <c r="N55" i="9"/>
  <c r="AT125" i="2" s="1"/>
  <c r="L54" i="9"/>
  <c r="AQ183" i="2" s="1"/>
  <c r="N50" i="9"/>
  <c r="L50" i="9"/>
  <c r="AQ142" i="2" s="1"/>
  <c r="N49" i="9"/>
  <c r="L49" i="9"/>
  <c r="N48" i="9"/>
  <c r="L48" i="9"/>
  <c r="AQ140" i="2" s="1"/>
  <c r="N47" i="9"/>
  <c r="L47" i="9"/>
  <c r="N52" i="9"/>
  <c r="AT380" i="2" s="1"/>
  <c r="AA370" i="8"/>
  <c r="Z370" i="8"/>
  <c r="AC369" i="8"/>
  <c r="AB369" i="8"/>
  <c r="AC368" i="8"/>
  <c r="AB368" i="8"/>
  <c r="Z368" i="8"/>
  <c r="AC367" i="8"/>
  <c r="AB367" i="8"/>
  <c r="M284" i="8" s="1"/>
  <c r="AQ359" i="2" s="1"/>
  <c r="Z367" i="8"/>
  <c r="AC366" i="8"/>
  <c r="AB366" i="8"/>
  <c r="M283" i="8" s="1"/>
  <c r="AQ349" i="2" s="1"/>
  <c r="Z366" i="8"/>
  <c r="AC365" i="8"/>
  <c r="AB365" i="8"/>
  <c r="M282" i="8" s="1"/>
  <c r="AQ339" i="2" s="1"/>
  <c r="Z365" i="8"/>
  <c r="AC364" i="8"/>
  <c r="AB364" i="8"/>
  <c r="Z364" i="8"/>
  <c r="AC363" i="8"/>
  <c r="AB363" i="8"/>
  <c r="M280" i="8" s="1"/>
  <c r="AQ319" i="2" s="1"/>
  <c r="Z363" i="8"/>
  <c r="AC362" i="8"/>
  <c r="AB362" i="8"/>
  <c r="M279" i="8" s="1"/>
  <c r="AQ309" i="2" s="1"/>
  <c r="Z362" i="8"/>
  <c r="AC361" i="8"/>
  <c r="AB361" i="8"/>
  <c r="M278" i="8" s="1"/>
  <c r="AQ297" i="2" s="1"/>
  <c r="Z361" i="8"/>
  <c r="AC360" i="8"/>
  <c r="AB360" i="8"/>
  <c r="Z360" i="8"/>
  <c r="AC359" i="8"/>
  <c r="O276" i="8" s="1"/>
  <c r="AT412" i="2" s="1"/>
  <c r="AB359" i="8"/>
  <c r="M276" i="8" s="1"/>
  <c r="AQ408" i="2" s="1"/>
  <c r="AA359" i="8"/>
  <c r="Z359" i="8"/>
  <c r="AC358" i="8"/>
  <c r="O275" i="8" s="1"/>
  <c r="AT228" i="2" s="1"/>
  <c r="AB358" i="8"/>
  <c r="AA358" i="8"/>
  <c r="AC357" i="8"/>
  <c r="O274" i="8" s="1"/>
  <c r="AT75" i="2" s="1"/>
  <c r="AB357" i="8"/>
  <c r="AA357" i="8"/>
  <c r="AC356" i="8"/>
  <c r="AB356" i="8"/>
  <c r="AA356" i="8"/>
  <c r="AC355" i="8"/>
  <c r="O272" i="8" s="1"/>
  <c r="AT67" i="2" s="1"/>
  <c r="AB355" i="8"/>
  <c r="AA355" i="8"/>
  <c r="AC354" i="8"/>
  <c r="O271" i="8" s="1"/>
  <c r="AT63" i="2" s="1"/>
  <c r="AB354" i="8"/>
  <c r="AA354" i="8"/>
  <c r="AC353" i="8"/>
  <c r="O270" i="8" s="1"/>
  <c r="AT57" i="2" s="1"/>
  <c r="AB353" i="8"/>
  <c r="AA353" i="8"/>
  <c r="AC352" i="8"/>
  <c r="AB352" i="8"/>
  <c r="AA352" i="8"/>
  <c r="AC351" i="8"/>
  <c r="AB351" i="8"/>
  <c r="AA351" i="8"/>
  <c r="AC350" i="8"/>
  <c r="O267" i="8" s="1"/>
  <c r="AT44" i="2" s="1"/>
  <c r="AB350" i="8"/>
  <c r="AA350" i="8"/>
  <c r="AC349" i="8"/>
  <c r="AB349" i="8"/>
  <c r="M266" i="8" s="1"/>
  <c r="AQ400" i="2" s="1"/>
  <c r="Z349" i="8"/>
  <c r="AC348" i="8"/>
  <c r="AB348" i="8"/>
  <c r="AC347" i="8"/>
  <c r="O264" i="8" s="1"/>
  <c r="AT377" i="2" s="1"/>
  <c r="BC377" i="2" s="1"/>
  <c r="AB347" i="8"/>
  <c r="M264" i="8" s="1"/>
  <c r="Y347" i="8"/>
  <c r="Y370" i="8" s="1"/>
  <c r="AC346" i="8"/>
  <c r="O263" i="8" s="1"/>
  <c r="X346" i="8"/>
  <c r="AB346" i="8" s="1"/>
  <c r="M263" i="8" s="1"/>
  <c r="AQ368" i="2" s="1"/>
  <c r="AC345" i="8"/>
  <c r="O262" i="8" s="1"/>
  <c r="X345" i="8"/>
  <c r="AB345" i="8" s="1"/>
  <c r="M262" i="8" s="1"/>
  <c r="AQ358" i="2" s="1"/>
  <c r="AC344" i="8"/>
  <c r="O261" i="8" s="1"/>
  <c r="X344" i="8"/>
  <c r="AB344" i="8" s="1"/>
  <c r="M261" i="8" s="1"/>
  <c r="AQ348" i="2" s="1"/>
  <c r="AC343" i="8"/>
  <c r="O260" i="8" s="1"/>
  <c r="X343" i="8"/>
  <c r="AB343" i="8" s="1"/>
  <c r="M260" i="8" s="1"/>
  <c r="AQ338" i="2" s="1"/>
  <c r="AC342" i="8"/>
  <c r="O259" i="8" s="1"/>
  <c r="X342" i="8"/>
  <c r="AB342" i="8" s="1"/>
  <c r="M259" i="8" s="1"/>
  <c r="AQ328" i="2" s="1"/>
  <c r="AC341" i="8"/>
  <c r="O258" i="8" s="1"/>
  <c r="X341" i="8"/>
  <c r="AB341" i="8" s="1"/>
  <c r="M258" i="8" s="1"/>
  <c r="AQ318" i="2" s="1"/>
  <c r="AC340" i="8"/>
  <c r="O257" i="8" s="1"/>
  <c r="X340" i="8"/>
  <c r="AB340" i="8" s="1"/>
  <c r="M257" i="8" s="1"/>
  <c r="AQ308" i="2" s="1"/>
  <c r="AC339" i="8"/>
  <c r="O256" i="8" s="1"/>
  <c r="X339" i="8"/>
  <c r="AC338" i="8"/>
  <c r="AB338" i="8"/>
  <c r="AB337" i="8"/>
  <c r="W337" i="8"/>
  <c r="AC337" i="8" s="1"/>
  <c r="O254" i="8" s="1"/>
  <c r="AT390" i="2" s="1"/>
  <c r="AB336" i="8"/>
  <c r="M253" i="8" s="1"/>
  <c r="W336" i="8"/>
  <c r="AC336" i="8" s="1"/>
  <c r="O253" i="8" s="1"/>
  <c r="AT411" i="2" s="1"/>
  <c r="AB335" i="8"/>
  <c r="M252" i="8" s="1"/>
  <c r="W335" i="8"/>
  <c r="AC334" i="8"/>
  <c r="O251" i="8" s="1"/>
  <c r="V334" i="8"/>
  <c r="AB334" i="8" s="1"/>
  <c r="M251" i="8" s="1"/>
  <c r="AQ76" i="2" s="1"/>
  <c r="AC333" i="8"/>
  <c r="O250" i="8" s="1"/>
  <c r="V333" i="8"/>
  <c r="AB333" i="8" s="1"/>
  <c r="M250" i="8" s="1"/>
  <c r="AQ72" i="2" s="1"/>
  <c r="AC332" i="8"/>
  <c r="O249" i="8" s="1"/>
  <c r="V332" i="8"/>
  <c r="AB332" i="8" s="1"/>
  <c r="M249" i="8" s="1"/>
  <c r="AQ68" i="2" s="1"/>
  <c r="AC331" i="8"/>
  <c r="O248" i="8" s="1"/>
  <c r="V331" i="8"/>
  <c r="AB331" i="8" s="1"/>
  <c r="M248" i="8" s="1"/>
  <c r="AQ64" i="2" s="1"/>
  <c r="AC330" i="8"/>
  <c r="V330" i="8"/>
  <c r="AB330" i="8" s="1"/>
  <c r="M247" i="8" s="1"/>
  <c r="AQ58" i="2" s="1"/>
  <c r="AC329" i="8"/>
  <c r="O246" i="8" s="1"/>
  <c r="V329" i="8"/>
  <c r="AB329" i="8" s="1"/>
  <c r="M246" i="8" s="1"/>
  <c r="AQ54" i="2" s="1"/>
  <c r="AC328" i="8"/>
  <c r="O245" i="8" s="1"/>
  <c r="V328" i="8"/>
  <c r="AB328" i="8" s="1"/>
  <c r="M245" i="8" s="1"/>
  <c r="AQ50" i="2" s="1"/>
  <c r="AC327" i="8"/>
  <c r="O244" i="8" s="1"/>
  <c r="V327" i="8"/>
  <c r="AB327" i="8" s="1"/>
  <c r="M244" i="8" s="1"/>
  <c r="AQ45" i="2" s="1"/>
  <c r="T323" i="8"/>
  <c r="R323" i="8"/>
  <c r="Q323" i="8"/>
  <c r="AB323" i="8" s="1"/>
  <c r="M240" i="8" s="1"/>
  <c r="P323" i="8"/>
  <c r="M323" i="8"/>
  <c r="T322" i="8"/>
  <c r="R322" i="8"/>
  <c r="Q322" i="8"/>
  <c r="AB322" i="8" s="1"/>
  <c r="M239" i="8" s="1"/>
  <c r="AQ71" i="2" s="1"/>
  <c r="P322" i="8"/>
  <c r="M322" i="8"/>
  <c r="AB321" i="8"/>
  <c r="M238" i="8" s="1"/>
  <c r="AQ67" i="2" s="1"/>
  <c r="T321" i="8"/>
  <c r="AC321" i="8" s="1"/>
  <c r="O238" i="8" s="1"/>
  <c r="AT66" i="2" s="1"/>
  <c r="T320" i="8"/>
  <c r="R320" i="8"/>
  <c r="Q320" i="8"/>
  <c r="AB320" i="8" s="1"/>
  <c r="M237" i="8" s="1"/>
  <c r="AQ63" i="2" s="1"/>
  <c r="P320" i="8"/>
  <c r="R318" i="8"/>
  <c r="Q318" i="8"/>
  <c r="AB318" i="8" s="1"/>
  <c r="M235" i="8" s="1"/>
  <c r="AQ57" i="2" s="1"/>
  <c r="P318" i="8"/>
  <c r="T317" i="8"/>
  <c r="R317" i="8"/>
  <c r="Q317" i="8"/>
  <c r="AB317" i="8" s="1"/>
  <c r="M234" i="8" s="1"/>
  <c r="AQ53" i="2" s="1"/>
  <c r="P317" i="8"/>
  <c r="M317" i="8"/>
  <c r="T316" i="8"/>
  <c r="R316" i="8"/>
  <c r="Q316" i="8"/>
  <c r="AB316" i="8" s="1"/>
  <c r="M233" i="8" s="1"/>
  <c r="AQ49" i="2" s="1"/>
  <c r="P316" i="8"/>
  <c r="M316" i="8"/>
  <c r="AB315" i="8"/>
  <c r="M232" i="8" s="1"/>
  <c r="AQ44" i="2" s="1"/>
  <c r="T315" i="8"/>
  <c r="R315" i="8"/>
  <c r="P315" i="8"/>
  <c r="M315" i="8"/>
  <c r="AC314" i="8"/>
  <c r="S314" i="8"/>
  <c r="AB314" i="8" s="1"/>
  <c r="M231" i="8" s="1"/>
  <c r="AQ391" i="2" s="1"/>
  <c r="AC313" i="8"/>
  <c r="O230" i="8" s="1"/>
  <c r="AC312" i="8"/>
  <c r="O229" i="8" s="1"/>
  <c r="O312" i="8"/>
  <c r="AB312" i="8" s="1"/>
  <c r="M229" i="8" s="1"/>
  <c r="AQ226" i="2" s="1"/>
  <c r="AC311" i="8"/>
  <c r="O228" i="8" s="1"/>
  <c r="O311" i="8"/>
  <c r="L311" i="8"/>
  <c r="AC310" i="8"/>
  <c r="O227" i="8" s="1"/>
  <c r="S310" i="8"/>
  <c r="AB310" i="8" s="1"/>
  <c r="M227" i="8" s="1"/>
  <c r="AQ69" i="2" s="1"/>
  <c r="AC309" i="8"/>
  <c r="O226" i="8" s="1"/>
  <c r="S309" i="8"/>
  <c r="Q309" i="8"/>
  <c r="O309" i="8"/>
  <c r="L309" i="8"/>
  <c r="AC308" i="8"/>
  <c r="O225" i="8" s="1"/>
  <c r="S308" i="8"/>
  <c r="Q308" i="8"/>
  <c r="O308" i="8"/>
  <c r="L308" i="8"/>
  <c r="AC307" i="8"/>
  <c r="O224" i="8" s="1"/>
  <c r="S307" i="8"/>
  <c r="Q307" i="8"/>
  <c r="O307" i="8"/>
  <c r="AC305" i="8"/>
  <c r="O222" i="8" s="1"/>
  <c r="Q305" i="8"/>
  <c r="O305" i="8"/>
  <c r="AC304" i="8"/>
  <c r="O221" i="8" s="1"/>
  <c r="S304" i="8"/>
  <c r="Q304" i="8"/>
  <c r="O304" i="8"/>
  <c r="L304" i="8"/>
  <c r="AC303" i="8"/>
  <c r="O220" i="8" s="1"/>
  <c r="S303" i="8"/>
  <c r="Q303" i="8"/>
  <c r="O303" i="8"/>
  <c r="L303" i="8"/>
  <c r="M285" i="8"/>
  <c r="AQ369" i="2" s="1"/>
  <c r="M281" i="8"/>
  <c r="AQ329" i="2" s="1"/>
  <c r="M277" i="8"/>
  <c r="AQ285" i="2" s="1"/>
  <c r="O273" i="8"/>
  <c r="AT71" i="2" s="1"/>
  <c r="O269" i="8"/>
  <c r="AT53" i="2" s="1"/>
  <c r="O268" i="8"/>
  <c r="AT49" i="2" s="1"/>
  <c r="M254" i="8"/>
  <c r="O247" i="8"/>
  <c r="O231" i="8"/>
  <c r="I213" i="8"/>
  <c r="H183" i="8"/>
  <c r="V181" i="8"/>
  <c r="Q171" i="8"/>
  <c r="M171" i="8"/>
  <c r="M168" i="8"/>
  <c r="Q168" i="8" s="1"/>
  <c r="M165" i="8"/>
  <c r="Q158" i="8"/>
  <c r="P158" i="8"/>
  <c r="O158" i="8"/>
  <c r="M158" i="8"/>
  <c r="L158" i="8"/>
  <c r="M134" i="8"/>
  <c r="O132" i="8" s="1"/>
  <c r="U99" i="8"/>
  <c r="T99" i="8"/>
  <c r="S99" i="8"/>
  <c r="R99" i="8"/>
  <c r="Q99" i="8"/>
  <c r="O99" i="8"/>
  <c r="M99" i="8"/>
  <c r="L99" i="8"/>
  <c r="T84" i="8"/>
  <c r="S82" i="8"/>
  <c r="R82" i="8"/>
  <c r="Q82" i="8"/>
  <c r="P82" i="8"/>
  <c r="O82" i="8"/>
  <c r="M82" i="8"/>
  <c r="L82" i="8"/>
  <c r="T79" i="8"/>
  <c r="T78" i="8"/>
  <c r="T76" i="8"/>
  <c r="T73" i="8"/>
  <c r="Q59" i="8"/>
  <c r="Q65" i="8" s="1"/>
  <c r="P59" i="8"/>
  <c r="P65" i="8" s="1"/>
  <c r="O59" i="8"/>
  <c r="O65" i="8" s="1"/>
  <c r="M59" i="8"/>
  <c r="M65" i="8" s="1"/>
  <c r="L59" i="8"/>
  <c r="L65" i="8" s="1"/>
  <c r="O40" i="8"/>
  <c r="O44" i="8" s="1"/>
  <c r="M40" i="8"/>
  <c r="M44" i="8" s="1"/>
  <c r="L40" i="8"/>
  <c r="L44" i="8" s="1"/>
  <c r="N74" i="7"/>
  <c r="AT366" i="2" s="1"/>
  <c r="N73" i="7"/>
  <c r="AT356" i="2" s="1"/>
  <c r="N72" i="7"/>
  <c r="N71" i="7"/>
  <c r="AT346" i="2" s="1"/>
  <c r="N70" i="7"/>
  <c r="AT336" i="2" s="1"/>
  <c r="N69" i="7"/>
  <c r="AT326" i="2" s="1"/>
  <c r="N68" i="7"/>
  <c r="N67" i="7"/>
  <c r="AT306" i="2" s="1"/>
  <c r="N66" i="7"/>
  <c r="AT294" i="2" s="1"/>
  <c r="L64" i="7"/>
  <c r="L63" i="7"/>
  <c r="L62" i="7"/>
  <c r="AQ66" i="2" s="1"/>
  <c r="L59" i="7"/>
  <c r="AQ62" i="2" s="1"/>
  <c r="L58" i="7"/>
  <c r="L57" i="7"/>
  <c r="L56" i="7"/>
  <c r="AQ48" i="2" s="1"/>
  <c r="L55" i="7"/>
  <c r="AQ46" i="2" s="1"/>
  <c r="L54" i="7"/>
  <c r="G49" i="7"/>
  <c r="N65" i="7"/>
  <c r="L72" i="6"/>
  <c r="AT77" i="2" s="1"/>
  <c r="L71" i="6"/>
  <c r="L70" i="6"/>
  <c r="L69" i="6"/>
  <c r="AT65" i="2" s="1"/>
  <c r="L67" i="6"/>
  <c r="AT59" i="2" s="1"/>
  <c r="L66" i="6"/>
  <c r="L65" i="6"/>
  <c r="J64" i="6"/>
  <c r="J63" i="6"/>
  <c r="AQ366" i="2" s="1"/>
  <c r="J62" i="6"/>
  <c r="J61" i="6"/>
  <c r="J60" i="6"/>
  <c r="AQ326" i="2" s="1"/>
  <c r="J59" i="6"/>
  <c r="AQ336" i="2" s="1"/>
  <c r="J58" i="6"/>
  <c r="AQ316" i="2" s="1"/>
  <c r="J57" i="6"/>
  <c r="AQ306" i="2" s="1"/>
  <c r="J56" i="6"/>
  <c r="AQ294" i="2" s="1"/>
  <c r="J55" i="6"/>
  <c r="AQ281" i="2" s="1"/>
  <c r="G49" i="6"/>
  <c r="G34" i="6"/>
  <c r="L299" i="5"/>
  <c r="AB298" i="5"/>
  <c r="AA298" i="5"/>
  <c r="X298" i="5"/>
  <c r="W298" i="5"/>
  <c r="AB297" i="5"/>
  <c r="AA297" i="5"/>
  <c r="X297" i="5"/>
  <c r="W297" i="5"/>
  <c r="AE297" i="5" s="1"/>
  <c r="K245" i="5" s="1"/>
  <c r="AQ272" i="2" s="1"/>
  <c r="AF296" i="5"/>
  <c r="M244" i="5" s="1"/>
  <c r="AT267" i="2" s="1"/>
  <c r="AB296" i="5"/>
  <c r="AA296" i="5"/>
  <c r="AE296" i="5" s="1"/>
  <c r="K244" i="5" s="1"/>
  <c r="AQ267" i="2" s="1"/>
  <c r="AB295" i="5"/>
  <c r="AF295" i="5" s="1"/>
  <c r="M243" i="5" s="1"/>
  <c r="AA295" i="5"/>
  <c r="AE295" i="5" s="1"/>
  <c r="AB294" i="5"/>
  <c r="AA294" i="5"/>
  <c r="X294" i="5"/>
  <c r="W294" i="5"/>
  <c r="AB293" i="5"/>
  <c r="AA293" i="5"/>
  <c r="X293" i="5"/>
  <c r="AF293" i="5" s="1"/>
  <c r="M241" i="5" s="1"/>
  <c r="AT252" i="2" s="1"/>
  <c r="W293" i="5"/>
  <c r="AB292" i="5"/>
  <c r="AA292" i="5"/>
  <c r="X292" i="5"/>
  <c r="AF292" i="5" s="1"/>
  <c r="M240" i="5" s="1"/>
  <c r="AT247" i="2" s="1"/>
  <c r="W292" i="5"/>
  <c r="AB291" i="5"/>
  <c r="AF291" i="5" s="1"/>
  <c r="M239" i="5" s="1"/>
  <c r="AT242" i="2" s="1"/>
  <c r="AA291" i="5"/>
  <c r="AE291" i="5" s="1"/>
  <c r="K239" i="5" s="1"/>
  <c r="AQ242" i="2" s="1"/>
  <c r="AB290" i="5"/>
  <c r="AA290" i="5"/>
  <c r="X290" i="5"/>
  <c r="W290" i="5"/>
  <c r="AF289" i="5"/>
  <c r="AE289" i="5"/>
  <c r="AB288" i="5"/>
  <c r="AF288" i="5" s="1"/>
  <c r="M236" i="5" s="1"/>
  <c r="AT276" i="2" s="1"/>
  <c r="AA288" i="5"/>
  <c r="AE288" i="5" s="1"/>
  <c r="K236" i="5" s="1"/>
  <c r="AQ276" i="2" s="1"/>
  <c r="AB287" i="5"/>
  <c r="AF287" i="5" s="1"/>
  <c r="M235" i="5" s="1"/>
  <c r="AT271" i="2" s="1"/>
  <c r="AA287" i="5"/>
  <c r="AE287" i="5" s="1"/>
  <c r="K235" i="5" s="1"/>
  <c r="AQ271" i="2" s="1"/>
  <c r="AB286" i="5"/>
  <c r="AF286" i="5" s="1"/>
  <c r="M234" i="5" s="1"/>
  <c r="AT266" i="2" s="1"/>
  <c r="AA286" i="5"/>
  <c r="AE286" i="5" s="1"/>
  <c r="K234" i="5" s="1"/>
  <c r="AQ266" i="2" s="1"/>
  <c r="AB285" i="5"/>
  <c r="AF285" i="5" s="1"/>
  <c r="M233" i="5" s="1"/>
  <c r="AT261" i="2" s="1"/>
  <c r="AA285" i="5"/>
  <c r="AE285" i="5" s="1"/>
  <c r="K233" i="5" s="1"/>
  <c r="AQ261" i="2" s="1"/>
  <c r="AB284" i="5"/>
  <c r="AF284" i="5" s="1"/>
  <c r="M232" i="5" s="1"/>
  <c r="AT256" i="2" s="1"/>
  <c r="AA284" i="5"/>
  <c r="AE284" i="5" s="1"/>
  <c r="K232" i="5" s="1"/>
  <c r="AQ256" i="2" s="1"/>
  <c r="AB283" i="5"/>
  <c r="AF283" i="5" s="1"/>
  <c r="M231" i="5" s="1"/>
  <c r="AA283" i="5"/>
  <c r="AE283" i="5" s="1"/>
  <c r="K231" i="5" s="1"/>
  <c r="AQ251" i="2" s="1"/>
  <c r="AB282" i="5"/>
  <c r="AF282" i="5" s="1"/>
  <c r="M230" i="5" s="1"/>
  <c r="AT246" i="2" s="1"/>
  <c r="AA282" i="5"/>
  <c r="AE282" i="5" s="1"/>
  <c r="K230" i="5" s="1"/>
  <c r="AQ246" i="2" s="1"/>
  <c r="AB281" i="5"/>
  <c r="AA281" i="5"/>
  <c r="R281" i="5"/>
  <c r="Q281" i="5"/>
  <c r="AB280" i="5"/>
  <c r="AF280" i="5" s="1"/>
  <c r="M228" i="5" s="1"/>
  <c r="AT235" i="2" s="1"/>
  <c r="AA280" i="5"/>
  <c r="AE280" i="5" s="1"/>
  <c r="K228" i="5" s="1"/>
  <c r="AQ235" i="2" s="1"/>
  <c r="AF279" i="5"/>
  <c r="AE279" i="5"/>
  <c r="AB278" i="5"/>
  <c r="AA278" i="5"/>
  <c r="Z278" i="5"/>
  <c r="Y278" i="5"/>
  <c r="AB277" i="5"/>
  <c r="AA277" i="5"/>
  <c r="Z277" i="5"/>
  <c r="Y277" i="5"/>
  <c r="AB276" i="5"/>
  <c r="AF276" i="5" s="1"/>
  <c r="M224" i="5" s="1"/>
  <c r="AT265" i="2" s="1"/>
  <c r="AA276" i="5"/>
  <c r="AE276" i="5" s="1"/>
  <c r="K224" i="5" s="1"/>
  <c r="AQ265" i="2" s="1"/>
  <c r="AF275" i="5"/>
  <c r="M223" i="5" s="1"/>
  <c r="AE275" i="5"/>
  <c r="K223" i="5" s="1"/>
  <c r="AB274" i="5"/>
  <c r="AA274" i="5"/>
  <c r="Z274" i="5"/>
  <c r="Y274" i="5"/>
  <c r="AB273" i="5"/>
  <c r="AA273" i="5"/>
  <c r="Z273" i="5"/>
  <c r="Y273" i="5"/>
  <c r="AB272" i="5"/>
  <c r="AA272" i="5"/>
  <c r="Z272" i="5"/>
  <c r="Y272" i="5"/>
  <c r="AB271" i="5"/>
  <c r="AF271" i="5" s="1"/>
  <c r="M219" i="5" s="1"/>
  <c r="AA271" i="5"/>
  <c r="AE271" i="5" s="1"/>
  <c r="K219" i="5" s="1"/>
  <c r="AQ239" i="2" s="1"/>
  <c r="AB270" i="5"/>
  <c r="AA270" i="5"/>
  <c r="Z270" i="5"/>
  <c r="Y270" i="5"/>
  <c r="AF269" i="5"/>
  <c r="AE269" i="5"/>
  <c r="AE268" i="5"/>
  <c r="K247" i="5" s="1"/>
  <c r="AD268" i="5"/>
  <c r="AB268" i="5"/>
  <c r="Z268" i="5"/>
  <c r="X268" i="5"/>
  <c r="V268" i="5"/>
  <c r="T268" i="5"/>
  <c r="R268" i="5"/>
  <c r="O268" i="5"/>
  <c r="K268" i="5"/>
  <c r="AF267" i="5"/>
  <c r="M216" i="5" s="1"/>
  <c r="AT224" i="2" s="1"/>
  <c r="AD267" i="5"/>
  <c r="AC267" i="5"/>
  <c r="AE267" i="5" s="1"/>
  <c r="K216" i="5" s="1"/>
  <c r="AQ224" i="2" s="1"/>
  <c r="AB266" i="5"/>
  <c r="AF266" i="5" s="1"/>
  <c r="M215" i="5" s="1"/>
  <c r="AT225" i="2" s="1"/>
  <c r="AA266" i="5"/>
  <c r="AE266" i="5" s="1"/>
  <c r="K215" i="5" s="1"/>
  <c r="AQ225" i="2" s="1"/>
  <c r="AF265" i="5"/>
  <c r="AE265" i="5"/>
  <c r="K214" i="5" s="1"/>
  <c r="AQ222" i="2" s="1"/>
  <c r="AF264" i="5"/>
  <c r="AE264" i="5"/>
  <c r="K213" i="5" s="1"/>
  <c r="AQ221" i="2" s="1"/>
  <c r="AF263" i="5"/>
  <c r="M212" i="5" s="1"/>
  <c r="AE263" i="5"/>
  <c r="K212" i="5" s="1"/>
  <c r="AQ220" i="2" s="1"/>
  <c r="V262" i="5"/>
  <c r="V299" i="5" s="1"/>
  <c r="U262" i="5"/>
  <c r="T262" i="5"/>
  <c r="S262" i="5"/>
  <c r="O262" i="5"/>
  <c r="M262" i="5"/>
  <c r="K262" i="5"/>
  <c r="I262" i="5"/>
  <c r="AF261" i="5"/>
  <c r="M210" i="5" s="1"/>
  <c r="AT218" i="2" s="1"/>
  <c r="AE261" i="5"/>
  <c r="K210" i="5" s="1"/>
  <c r="AQ218" i="2" s="1"/>
  <c r="Y259" i="5"/>
  <c r="U259" i="5"/>
  <c r="S259" i="5"/>
  <c r="Q259" i="5"/>
  <c r="Q299" i="5" s="1"/>
  <c r="M259" i="5"/>
  <c r="I259" i="5"/>
  <c r="I299" i="5" s="1"/>
  <c r="AC258" i="5"/>
  <c r="AE258" i="5" s="1"/>
  <c r="K243" i="5"/>
  <c r="M214" i="5"/>
  <c r="AT222" i="2" s="1"/>
  <c r="M213" i="5"/>
  <c r="M191" i="5"/>
  <c r="L191" i="5"/>
  <c r="K191" i="5"/>
  <c r="I191" i="5"/>
  <c r="H191" i="5"/>
  <c r="M169" i="5"/>
  <c r="K169" i="5"/>
  <c r="I169" i="5"/>
  <c r="H169" i="5"/>
  <c r="K146" i="5"/>
  <c r="M135" i="5"/>
  <c r="Z259" i="5" s="1"/>
  <c r="K130" i="5"/>
  <c r="M128" i="5" s="1"/>
  <c r="K109" i="5"/>
  <c r="M98" i="5"/>
  <c r="K93" i="5"/>
  <c r="M92" i="5" s="1"/>
  <c r="L58" i="4"/>
  <c r="J58" i="4"/>
  <c r="L57" i="4"/>
  <c r="L59" i="4"/>
  <c r="AT216" i="2" s="1"/>
  <c r="L55" i="4"/>
  <c r="L54" i="4"/>
  <c r="J54" i="4"/>
  <c r="AQ14" i="2" s="1"/>
  <c r="L53" i="4"/>
  <c r="J53" i="4"/>
  <c r="H44" i="4"/>
  <c r="H30" i="4"/>
  <c r="J55" i="4" s="1"/>
  <c r="K143" i="3"/>
  <c r="N141" i="3"/>
  <c r="AO412" i="2" s="1"/>
  <c r="N140" i="3"/>
  <c r="AO410" i="2" s="1"/>
  <c r="N139" i="3"/>
  <c r="AO277" i="2" s="1"/>
  <c r="N138" i="3"/>
  <c r="AO276" i="2" s="1"/>
  <c r="N137" i="3"/>
  <c r="N136" i="3"/>
  <c r="N135" i="3"/>
  <c r="N134" i="3"/>
  <c r="AO270" i="2" s="1"/>
  <c r="N133" i="3"/>
  <c r="N132" i="3"/>
  <c r="AO266" i="2" s="1"/>
  <c r="N131" i="3"/>
  <c r="AO265" i="2" s="1"/>
  <c r="N130" i="3"/>
  <c r="N129" i="3"/>
  <c r="N128" i="3"/>
  <c r="N127" i="3"/>
  <c r="AO257" i="2" s="1"/>
  <c r="N126" i="3"/>
  <c r="AO256" i="2" s="1"/>
  <c r="N125" i="3"/>
  <c r="AO255" i="2" s="1"/>
  <c r="N124" i="3"/>
  <c r="AO252" i="2" s="1"/>
  <c r="N123" i="3"/>
  <c r="AO251" i="2" s="1"/>
  <c r="N122" i="3"/>
  <c r="AO250" i="2" s="1"/>
  <c r="N121" i="3"/>
  <c r="AO247" i="2" s="1"/>
  <c r="N120" i="3"/>
  <c r="N119" i="3"/>
  <c r="AO245" i="2" s="1"/>
  <c r="N118" i="3"/>
  <c r="AO242" i="2" s="1"/>
  <c r="N117" i="3"/>
  <c r="AO240" i="2" s="1"/>
  <c r="N116" i="3"/>
  <c r="AO239" i="2" s="1"/>
  <c r="N115" i="3"/>
  <c r="AO236" i="2" s="1"/>
  <c r="N114" i="3"/>
  <c r="AO235" i="2" s="1"/>
  <c r="L112" i="3"/>
  <c r="AN407" i="2" s="1"/>
  <c r="L111" i="3"/>
  <c r="AN410" i="2" s="1"/>
  <c r="L110" i="3"/>
  <c r="AN231" i="2" s="1"/>
  <c r="L109" i="3"/>
  <c r="AN230" i="2" s="1"/>
  <c r="L108" i="3"/>
  <c r="AN225" i="2" s="1"/>
  <c r="L107" i="3"/>
  <c r="AN224" i="2" s="1"/>
  <c r="L105" i="3"/>
  <c r="AN222" i="2" s="1"/>
  <c r="L104" i="3"/>
  <c r="AN221" i="2" s="1"/>
  <c r="L103" i="3"/>
  <c r="AN220" i="2" s="1"/>
  <c r="L102" i="3"/>
  <c r="L101" i="3"/>
  <c r="AN218" i="2" s="1"/>
  <c r="N113" i="3"/>
  <c r="AO234" i="2" s="1"/>
  <c r="H40" i="3"/>
  <c r="AI422" i="2"/>
  <c r="AK422" i="2" s="1"/>
  <c r="AI421" i="2"/>
  <c r="AK421" i="2" s="1"/>
  <c r="AI420" i="2"/>
  <c r="AI416" i="2"/>
  <c r="AK416" i="2" s="1"/>
  <c r="E415" i="2"/>
  <c r="AK412" i="2"/>
  <c r="AJ412" i="2"/>
  <c r="BB412" i="2" s="1"/>
  <c r="AS411" i="2"/>
  <c r="AK411" i="2"/>
  <c r="AJ411" i="2"/>
  <c r="BB411" i="2" s="1"/>
  <c r="AS410" i="2"/>
  <c r="AP410" i="2"/>
  <c r="AK410" i="2"/>
  <c r="AJ410" i="2"/>
  <c r="AK408" i="2"/>
  <c r="BC408" i="2" s="1"/>
  <c r="AJ408" i="2"/>
  <c r="AS407" i="2"/>
  <c r="AP407" i="2"/>
  <c r="AK407" i="2"/>
  <c r="AJ407" i="2"/>
  <c r="AU406" i="2"/>
  <c r="AS406" i="2"/>
  <c r="AP406" i="2"/>
  <c r="AK406" i="2"/>
  <c r="AJ406" i="2"/>
  <c r="AP402" i="2"/>
  <c r="AK402" i="2"/>
  <c r="BC402" i="2" s="1"/>
  <c r="AJ402" i="2"/>
  <c r="AP401" i="2"/>
  <c r="AK401" i="2"/>
  <c r="BC401" i="2" s="1"/>
  <c r="AJ401" i="2"/>
  <c r="AK400" i="2"/>
  <c r="BC400" i="2" s="1"/>
  <c r="AJ400" i="2"/>
  <c r="AP399" i="2"/>
  <c r="AK399" i="2"/>
  <c r="BC399" i="2" s="1"/>
  <c r="AJ399" i="2"/>
  <c r="AS398" i="2"/>
  <c r="AK398" i="2"/>
  <c r="AJ398" i="2"/>
  <c r="BB398" i="2" s="1"/>
  <c r="AS397" i="2"/>
  <c r="AK397" i="2"/>
  <c r="AJ397" i="2"/>
  <c r="BB397" i="2" s="1"/>
  <c r="AP396" i="2"/>
  <c r="AK396" i="2"/>
  <c r="BC396" i="2" s="1"/>
  <c r="AJ396" i="2"/>
  <c r="AP395" i="2"/>
  <c r="AK395" i="2"/>
  <c r="BC395" i="2" s="1"/>
  <c r="AJ395" i="2"/>
  <c r="AP394" i="2"/>
  <c r="AK394" i="2"/>
  <c r="BC394" i="2" s="1"/>
  <c r="AJ394" i="2"/>
  <c r="AP392" i="2"/>
  <c r="AK392" i="2"/>
  <c r="BC392" i="2" s="1"/>
  <c r="AJ392" i="2"/>
  <c r="AY391" i="2"/>
  <c r="AX391" i="2"/>
  <c r="AP391" i="2"/>
  <c r="AK391" i="2"/>
  <c r="AJ391" i="2"/>
  <c r="AU390" i="2"/>
  <c r="AS390" i="2"/>
  <c r="AK390" i="2"/>
  <c r="AJ390" i="2"/>
  <c r="AQ386" i="2"/>
  <c r="AP386" i="2"/>
  <c r="AK386" i="2"/>
  <c r="BC386" i="2" s="1"/>
  <c r="AJ386" i="2"/>
  <c r="AS384" i="2"/>
  <c r="AK384" i="2"/>
  <c r="AJ384" i="2"/>
  <c r="BB384" i="2" s="1"/>
  <c r="AK383" i="2"/>
  <c r="AJ383" i="2"/>
  <c r="BB383" i="2" s="1"/>
  <c r="AS382" i="2"/>
  <c r="AK382" i="2"/>
  <c r="AJ382" i="2"/>
  <c r="BB382" i="2" s="1"/>
  <c r="AX381" i="2"/>
  <c r="AT381" i="2"/>
  <c r="AS381" i="2"/>
  <c r="AP381" i="2"/>
  <c r="AK381" i="2"/>
  <c r="AJ381" i="2"/>
  <c r="AS380" i="2"/>
  <c r="AK380" i="2"/>
  <c r="AJ380" i="2"/>
  <c r="BB380" i="2" s="1"/>
  <c r="BB377" i="2"/>
  <c r="AS377" i="2"/>
  <c r="AT376" i="2"/>
  <c r="AS376" i="2"/>
  <c r="AK376" i="2"/>
  <c r="AJ376" i="2"/>
  <c r="BB376" i="2" s="1"/>
  <c r="BC370" i="2"/>
  <c r="AK369" i="2"/>
  <c r="AJ369" i="2"/>
  <c r="AY368" i="2"/>
  <c r="AX368" i="2"/>
  <c r="AU368" i="2"/>
  <c r="AS368" i="2"/>
  <c r="AP368" i="2"/>
  <c r="AK368" i="2"/>
  <c r="AJ368" i="2"/>
  <c r="AS367" i="2"/>
  <c r="AP367" i="2"/>
  <c r="AK367" i="2"/>
  <c r="AJ367" i="2"/>
  <c r="AV366" i="2"/>
  <c r="AU366" i="2"/>
  <c r="AS366" i="2"/>
  <c r="AP366" i="2"/>
  <c r="AK366" i="2"/>
  <c r="AJ366" i="2"/>
  <c r="BC360" i="2"/>
  <c r="AK359" i="2"/>
  <c r="AJ359" i="2"/>
  <c r="AX358" i="2"/>
  <c r="AU358" i="2"/>
  <c r="AS358" i="2"/>
  <c r="AP358" i="2"/>
  <c r="AK358" i="2"/>
  <c r="AJ358" i="2"/>
  <c r="AS357" i="2"/>
  <c r="AP357" i="2"/>
  <c r="AK357" i="2"/>
  <c r="AJ357" i="2"/>
  <c r="AV356" i="2"/>
  <c r="AU356" i="2"/>
  <c r="AS356" i="2"/>
  <c r="AQ356" i="2"/>
  <c r="AP356" i="2"/>
  <c r="AK356" i="2"/>
  <c r="AJ356" i="2"/>
  <c r="BC350" i="2"/>
  <c r="AK349" i="2"/>
  <c r="AJ349" i="2"/>
  <c r="AX348" i="2"/>
  <c r="AV348" i="2"/>
  <c r="AU348" i="2"/>
  <c r="AS348" i="2"/>
  <c r="AP348" i="2"/>
  <c r="AK348" i="2"/>
  <c r="AJ348" i="2"/>
  <c r="AS347" i="2"/>
  <c r="AP347" i="2"/>
  <c r="AK347" i="2"/>
  <c r="AJ347" i="2"/>
  <c r="AV346" i="2"/>
  <c r="AU346" i="2"/>
  <c r="AS346" i="2"/>
  <c r="AQ346" i="2"/>
  <c r="AP346" i="2"/>
  <c r="AK346" i="2"/>
  <c r="AJ346" i="2"/>
  <c r="BC340" i="2"/>
  <c r="AK339" i="2"/>
  <c r="AJ339" i="2"/>
  <c r="AX338" i="2"/>
  <c r="AV338" i="2"/>
  <c r="AU338" i="2"/>
  <c r="AS338" i="2"/>
  <c r="AP338" i="2"/>
  <c r="AK338" i="2"/>
  <c r="AJ338" i="2"/>
  <c r="AS337" i="2"/>
  <c r="AP337" i="2"/>
  <c r="AK337" i="2"/>
  <c r="AJ337" i="2"/>
  <c r="AU336" i="2"/>
  <c r="AS336" i="2"/>
  <c r="AP336" i="2"/>
  <c r="AK336" i="2"/>
  <c r="AJ336" i="2"/>
  <c r="BC330" i="2"/>
  <c r="AK329" i="2"/>
  <c r="AJ329" i="2"/>
  <c r="AY328" i="2"/>
  <c r="AX328" i="2"/>
  <c r="AU328" i="2"/>
  <c r="AS328" i="2"/>
  <c r="AP328" i="2"/>
  <c r="AK328" i="2"/>
  <c r="AJ328" i="2"/>
  <c r="AS327" i="2"/>
  <c r="AP327" i="2"/>
  <c r="AK327" i="2"/>
  <c r="AJ327" i="2"/>
  <c r="AU326" i="2"/>
  <c r="AS326" i="2"/>
  <c r="AP326" i="2"/>
  <c r="AK326" i="2"/>
  <c r="AJ326" i="2"/>
  <c r="BC320" i="2"/>
  <c r="AK319" i="2"/>
  <c r="AJ319" i="2"/>
  <c r="AX318" i="2"/>
  <c r="AU318" i="2"/>
  <c r="AS318" i="2"/>
  <c r="AP318" i="2"/>
  <c r="AK318" i="2"/>
  <c r="AJ318" i="2"/>
  <c r="AS317" i="2"/>
  <c r="AP317" i="2"/>
  <c r="AK317" i="2"/>
  <c r="AJ317" i="2"/>
  <c r="AU316" i="2"/>
  <c r="AT316" i="2"/>
  <c r="AS316" i="2"/>
  <c r="AP316" i="2"/>
  <c r="AK316" i="2"/>
  <c r="AJ316" i="2"/>
  <c r="BC310" i="2"/>
  <c r="AK309" i="2"/>
  <c r="AJ309" i="2"/>
  <c r="AX308" i="2"/>
  <c r="AU308" i="2"/>
  <c r="AS308" i="2"/>
  <c r="AP308" i="2"/>
  <c r="AK308" i="2"/>
  <c r="AJ308" i="2"/>
  <c r="AY307" i="2"/>
  <c r="AX307" i="2"/>
  <c r="AS307" i="2"/>
  <c r="AP307" i="2"/>
  <c r="AK307" i="2"/>
  <c r="AJ307" i="2"/>
  <c r="AU306" i="2"/>
  <c r="AS306" i="2"/>
  <c r="AP306" i="2"/>
  <c r="AK306" i="2"/>
  <c r="AJ306" i="2"/>
  <c r="BC300" i="2"/>
  <c r="AT298" i="2"/>
  <c r="BC298" i="2" s="1"/>
  <c r="AK297" i="2"/>
  <c r="AJ297" i="2"/>
  <c r="AY296" i="2"/>
  <c r="AX296" i="2"/>
  <c r="AV296" i="2"/>
  <c r="AU296" i="2"/>
  <c r="AS296" i="2"/>
  <c r="AP296" i="2"/>
  <c r="AK296" i="2"/>
  <c r="AJ296" i="2"/>
  <c r="AS295" i="2"/>
  <c r="AP295" i="2"/>
  <c r="AK295" i="2"/>
  <c r="AJ295" i="2"/>
  <c r="AU294" i="2"/>
  <c r="AS294" i="2"/>
  <c r="AP294" i="2"/>
  <c r="AK294" i="2"/>
  <c r="AJ294" i="2"/>
  <c r="BC287" i="2"/>
  <c r="BC286" i="2"/>
  <c r="AK285" i="2"/>
  <c r="AJ285" i="2"/>
  <c r="AV284" i="2"/>
  <c r="AU284" i="2"/>
  <c r="AP284" i="2"/>
  <c r="AK284" i="2"/>
  <c r="AJ284" i="2"/>
  <c r="AY283" i="2"/>
  <c r="AX283" i="2"/>
  <c r="AU283" i="2"/>
  <c r="AS283" i="2"/>
  <c r="AP283" i="2"/>
  <c r="AK283" i="2"/>
  <c r="AJ283" i="2"/>
  <c r="AY282" i="2"/>
  <c r="AX282" i="2"/>
  <c r="AV282" i="2"/>
  <c r="AU282" i="2"/>
  <c r="AS282" i="2"/>
  <c r="AP282" i="2"/>
  <c r="AK282" i="2"/>
  <c r="AJ282" i="2"/>
  <c r="AS281" i="2"/>
  <c r="AP281" i="2"/>
  <c r="AK281" i="2"/>
  <c r="AJ281" i="2"/>
  <c r="BD280" i="2"/>
  <c r="AK280" i="2"/>
  <c r="AJ280" i="2"/>
  <c r="BD279" i="2"/>
  <c r="AK279" i="2"/>
  <c r="AJ279" i="2"/>
  <c r="BD278" i="2"/>
  <c r="AK278" i="2"/>
  <c r="AJ278" i="2"/>
  <c r="AX277" i="2"/>
  <c r="AS277" i="2"/>
  <c r="AP277" i="2"/>
  <c r="AK277" i="2"/>
  <c r="AJ277" i="2"/>
  <c r="AY276" i="2"/>
  <c r="AX276" i="2"/>
  <c r="AS276" i="2"/>
  <c r="AP276" i="2"/>
  <c r="AK276" i="2"/>
  <c r="AJ276" i="2"/>
  <c r="AS275" i="2"/>
  <c r="AP275" i="2"/>
  <c r="AO275" i="2"/>
  <c r="AK275" i="2"/>
  <c r="AJ275" i="2"/>
  <c r="BD274" i="2"/>
  <c r="AK274" i="2"/>
  <c r="AJ274" i="2"/>
  <c r="BD273" i="2"/>
  <c r="AK273" i="2"/>
  <c r="AJ273" i="2"/>
  <c r="AX272" i="2"/>
  <c r="AS272" i="2"/>
  <c r="AP272" i="2"/>
  <c r="AO272" i="2"/>
  <c r="AK272" i="2"/>
  <c r="AJ272" i="2"/>
  <c r="AX271" i="2"/>
  <c r="AS271" i="2"/>
  <c r="AP271" i="2"/>
  <c r="AO271" i="2"/>
  <c r="AK271" i="2"/>
  <c r="AJ271" i="2"/>
  <c r="AS270" i="2"/>
  <c r="AP270" i="2"/>
  <c r="AK270" i="2"/>
  <c r="AJ270" i="2"/>
  <c r="BD269" i="2"/>
  <c r="AK269" i="2"/>
  <c r="AJ269" i="2"/>
  <c r="BD268" i="2"/>
  <c r="AK268" i="2"/>
  <c r="AJ268" i="2"/>
  <c r="AX267" i="2"/>
  <c r="AS267" i="2"/>
  <c r="AP267" i="2"/>
  <c r="AO267" i="2"/>
  <c r="AK267" i="2"/>
  <c r="AJ267" i="2"/>
  <c r="AY266" i="2"/>
  <c r="AX266" i="2"/>
  <c r="AS266" i="2"/>
  <c r="AP266" i="2"/>
  <c r="AK266" i="2"/>
  <c r="AJ266" i="2"/>
  <c r="AS265" i="2"/>
  <c r="AP265" i="2"/>
  <c r="AK265" i="2"/>
  <c r="AJ265" i="2"/>
  <c r="BD264" i="2"/>
  <c r="AK264" i="2"/>
  <c r="AJ264" i="2"/>
  <c r="BD263" i="2"/>
  <c r="AK263" i="2"/>
  <c r="AJ263" i="2"/>
  <c r="AY262" i="2"/>
  <c r="AX262" i="2"/>
  <c r="AT262" i="2"/>
  <c r="AS262" i="2"/>
  <c r="AQ262" i="2"/>
  <c r="AP262" i="2"/>
  <c r="AO262" i="2"/>
  <c r="AK262" i="2"/>
  <c r="AJ262" i="2"/>
  <c r="AY261" i="2"/>
  <c r="AX261" i="2"/>
  <c r="AS261" i="2"/>
  <c r="AP261" i="2"/>
  <c r="AO261" i="2"/>
  <c r="AK261" i="2"/>
  <c r="AJ261" i="2"/>
  <c r="AS260" i="2"/>
  <c r="AP260" i="2"/>
  <c r="AO260" i="2"/>
  <c r="AK260" i="2"/>
  <c r="AJ260" i="2"/>
  <c r="BD259" i="2"/>
  <c r="AK259" i="2"/>
  <c r="AJ259" i="2"/>
  <c r="BD258" i="2"/>
  <c r="AK258" i="2"/>
  <c r="AJ258" i="2"/>
  <c r="AY257" i="2"/>
  <c r="AX257" i="2"/>
  <c r="AS257" i="2"/>
  <c r="AP257" i="2"/>
  <c r="AK257" i="2"/>
  <c r="AJ257" i="2"/>
  <c r="AX256" i="2"/>
  <c r="AS256" i="2"/>
  <c r="AP256" i="2"/>
  <c r="AK256" i="2"/>
  <c r="AJ256" i="2"/>
  <c r="AS255" i="2"/>
  <c r="AP255" i="2"/>
  <c r="AK255" i="2"/>
  <c r="AJ255" i="2"/>
  <c r="BD254" i="2"/>
  <c r="AK254" i="2"/>
  <c r="AJ254" i="2"/>
  <c r="BD253" i="2"/>
  <c r="AK253" i="2"/>
  <c r="AJ253" i="2"/>
  <c r="AX252" i="2"/>
  <c r="AS252" i="2"/>
  <c r="AP252" i="2"/>
  <c r="AK252" i="2"/>
  <c r="AJ252" i="2"/>
  <c r="AX251" i="2"/>
  <c r="AT251" i="2"/>
  <c r="AS251" i="2"/>
  <c r="AP251" i="2"/>
  <c r="AK251" i="2"/>
  <c r="AJ251" i="2"/>
  <c r="AS250" i="2"/>
  <c r="AP250" i="2"/>
  <c r="AK250" i="2"/>
  <c r="AJ250" i="2"/>
  <c r="BD249" i="2"/>
  <c r="AK249" i="2"/>
  <c r="AJ249" i="2"/>
  <c r="BD248" i="2"/>
  <c r="AK248" i="2"/>
  <c r="AJ248" i="2"/>
  <c r="AX247" i="2"/>
  <c r="AS247" i="2"/>
  <c r="AP247" i="2"/>
  <c r="AK247" i="2"/>
  <c r="AJ247" i="2"/>
  <c r="AX246" i="2"/>
  <c r="AS246" i="2"/>
  <c r="AP246" i="2"/>
  <c r="AO246" i="2"/>
  <c r="AK246" i="2"/>
  <c r="AJ246" i="2"/>
  <c r="AU245" i="2"/>
  <c r="AS245" i="2"/>
  <c r="AP245" i="2"/>
  <c r="AK245" i="2"/>
  <c r="AJ245" i="2"/>
  <c r="BD244" i="2"/>
  <c r="AK244" i="2"/>
  <c r="AJ244" i="2"/>
  <c r="BD243" i="2"/>
  <c r="AK243" i="2"/>
  <c r="AJ243" i="2"/>
  <c r="AX242" i="2"/>
  <c r="AS242" i="2"/>
  <c r="AP242" i="2"/>
  <c r="AK242" i="2"/>
  <c r="AJ242" i="2"/>
  <c r="AQ241" i="2"/>
  <c r="BB241" i="2" s="1"/>
  <c r="AX240" i="2"/>
  <c r="AS240" i="2"/>
  <c r="AP240" i="2"/>
  <c r="AK240" i="2"/>
  <c r="AJ240" i="2"/>
  <c r="AT239" i="2"/>
  <c r="AS239" i="2"/>
  <c r="AP239" i="2"/>
  <c r="AK239" i="2"/>
  <c r="AJ239" i="2"/>
  <c r="BD238" i="2"/>
  <c r="AK238" i="2"/>
  <c r="AJ238" i="2"/>
  <c r="BD237" i="2"/>
  <c r="AK237" i="2"/>
  <c r="AJ237" i="2"/>
  <c r="AX236" i="2"/>
  <c r="AS236" i="2"/>
  <c r="AP236" i="2"/>
  <c r="AK236" i="2"/>
  <c r="AJ236" i="2"/>
  <c r="AY235" i="2"/>
  <c r="AX235" i="2"/>
  <c r="AS235" i="2"/>
  <c r="AP235" i="2"/>
  <c r="AK235" i="2"/>
  <c r="AJ235" i="2"/>
  <c r="AU234" i="2"/>
  <c r="AS234" i="2"/>
  <c r="AP234" i="2"/>
  <c r="AK234" i="2"/>
  <c r="AJ234" i="2"/>
  <c r="AK233" i="2"/>
  <c r="AJ233" i="2"/>
  <c r="AK232" i="2"/>
  <c r="AJ232" i="2"/>
  <c r="AK231" i="2"/>
  <c r="BC231" i="2" s="1"/>
  <c r="AJ231" i="2"/>
  <c r="AK230" i="2"/>
  <c r="BC230" i="2" s="1"/>
  <c r="AJ230" i="2"/>
  <c r="AS229" i="2"/>
  <c r="AP229" i="2"/>
  <c r="AK229" i="2"/>
  <c r="AJ229" i="2"/>
  <c r="AP228" i="2"/>
  <c r="AK228" i="2"/>
  <c r="AJ228" i="2"/>
  <c r="AS227" i="2"/>
  <c r="AP227" i="2"/>
  <c r="AK227" i="2"/>
  <c r="AJ227" i="2"/>
  <c r="AS226" i="2"/>
  <c r="AP226" i="2"/>
  <c r="AK226" i="2"/>
  <c r="AJ226" i="2"/>
  <c r="AX225" i="2"/>
  <c r="AS225" i="2"/>
  <c r="AP225" i="2"/>
  <c r="AK225" i="2"/>
  <c r="AJ225" i="2"/>
  <c r="AU224" i="2"/>
  <c r="AS224" i="2"/>
  <c r="AP224" i="2"/>
  <c r="AK224" i="2"/>
  <c r="AJ224" i="2"/>
  <c r="AS222" i="2"/>
  <c r="AP222" i="2"/>
  <c r="AK222" i="2"/>
  <c r="AJ222" i="2"/>
  <c r="AT221" i="2"/>
  <c r="AS221" i="2"/>
  <c r="AP221" i="2"/>
  <c r="AK221" i="2"/>
  <c r="AJ221" i="2"/>
  <c r="AT220" i="2"/>
  <c r="AS220" i="2"/>
  <c r="AP220" i="2"/>
  <c r="AS219" i="2"/>
  <c r="AP219" i="2"/>
  <c r="AN219" i="2"/>
  <c r="AK219" i="2"/>
  <c r="AJ219" i="2"/>
  <c r="AS218" i="2"/>
  <c r="AP218" i="2"/>
  <c r="AK218" i="2"/>
  <c r="AJ218" i="2"/>
  <c r="AK217" i="2"/>
  <c r="BC217" i="2" s="1"/>
  <c r="AJ217" i="2"/>
  <c r="BB217" i="2" s="1"/>
  <c r="AS216" i="2"/>
  <c r="AQ216" i="2"/>
  <c r="AP216" i="2"/>
  <c r="AK216" i="2"/>
  <c r="AJ216" i="2"/>
  <c r="AK214" i="2"/>
  <c r="AJ214" i="2"/>
  <c r="BG213" i="2"/>
  <c r="BF213" i="2"/>
  <c r="AK213" i="2"/>
  <c r="AJ213" i="2"/>
  <c r="AX212" i="2"/>
  <c r="AK212" i="2"/>
  <c r="AJ212" i="2"/>
  <c r="BB212" i="2" s="1"/>
  <c r="AY211" i="2"/>
  <c r="AX211" i="2"/>
  <c r="AK211" i="2"/>
  <c r="AJ211" i="2"/>
  <c r="BB211" i="2" s="1"/>
  <c r="AY210" i="2"/>
  <c r="AX210" i="2"/>
  <c r="AK210" i="2"/>
  <c r="AJ210" i="2"/>
  <c r="BB210" i="2" s="1"/>
  <c r="AX209" i="2"/>
  <c r="AK209" i="2"/>
  <c r="AJ209" i="2"/>
  <c r="BB209" i="2" s="1"/>
  <c r="AX208" i="2"/>
  <c r="AK208" i="2"/>
  <c r="AJ208" i="2"/>
  <c r="BB208" i="2" s="1"/>
  <c r="AX207" i="2"/>
  <c r="AK207" i="2"/>
  <c r="AJ207" i="2"/>
  <c r="BB207" i="2" s="1"/>
  <c r="AX206" i="2"/>
  <c r="AK206" i="2"/>
  <c r="AJ206" i="2"/>
  <c r="BB206" i="2" s="1"/>
  <c r="AX205" i="2"/>
  <c r="AK205" i="2"/>
  <c r="AJ205" i="2"/>
  <c r="BB205" i="2" s="1"/>
  <c r="AX202" i="2"/>
  <c r="AK202" i="2"/>
  <c r="AJ202" i="2"/>
  <c r="BB202" i="2" s="1"/>
  <c r="AY201" i="2"/>
  <c r="AX201" i="2"/>
  <c r="AK201" i="2"/>
  <c r="AJ201" i="2"/>
  <c r="BB201" i="2" s="1"/>
  <c r="AY200" i="2"/>
  <c r="AX200" i="2"/>
  <c r="AK200" i="2"/>
  <c r="AJ200" i="2"/>
  <c r="BB200" i="2" s="1"/>
  <c r="AX199" i="2"/>
  <c r="AK199" i="2"/>
  <c r="AJ199" i="2"/>
  <c r="BB199" i="2" s="1"/>
  <c r="AX198" i="2"/>
  <c r="AK198" i="2"/>
  <c r="AJ198" i="2"/>
  <c r="BB198" i="2" s="1"/>
  <c r="AX197" i="2"/>
  <c r="AK197" i="2"/>
  <c r="AJ197" i="2"/>
  <c r="BB197" i="2" s="1"/>
  <c r="BF196" i="2"/>
  <c r="AK196" i="2"/>
  <c r="AJ196" i="2"/>
  <c r="AK195" i="2"/>
  <c r="AJ195" i="2"/>
  <c r="AK194" i="2"/>
  <c r="BC194" i="2" s="1"/>
  <c r="AJ194" i="2"/>
  <c r="BB194" i="2" s="1"/>
  <c r="AK193" i="2"/>
  <c r="BC193" i="2" s="1"/>
  <c r="AJ193" i="2"/>
  <c r="BB193" i="2" s="1"/>
  <c r="AK192" i="2"/>
  <c r="AJ192" i="2"/>
  <c r="AU191" i="2"/>
  <c r="AK191" i="2"/>
  <c r="BC191" i="2" s="1"/>
  <c r="AJ191" i="2"/>
  <c r="AS185" i="2"/>
  <c r="AK185" i="2"/>
  <c r="AJ185" i="2"/>
  <c r="BB185" i="2" s="1"/>
  <c r="AX184" i="2"/>
  <c r="AV184" i="2"/>
  <c r="AU184" i="2"/>
  <c r="AS184" i="2"/>
  <c r="AK184" i="2"/>
  <c r="AJ184" i="2"/>
  <c r="AT183" i="2"/>
  <c r="AS183" i="2"/>
  <c r="AP183" i="2"/>
  <c r="AK183" i="2"/>
  <c r="AJ183" i="2"/>
  <c r="AK178" i="2"/>
  <c r="AJ178" i="2"/>
  <c r="AK177" i="2"/>
  <c r="AJ177" i="2"/>
  <c r="AK173" i="2"/>
  <c r="AJ173" i="2"/>
  <c r="AK172" i="2"/>
  <c r="AJ172" i="2"/>
  <c r="AK171" i="2"/>
  <c r="AJ171" i="2"/>
  <c r="AK166" i="2"/>
  <c r="AJ166" i="2"/>
  <c r="AK165" i="2"/>
  <c r="AJ165" i="2"/>
  <c r="AK164" i="2"/>
  <c r="AJ164" i="2"/>
  <c r="AK163" i="2"/>
  <c r="AJ163" i="2"/>
  <c r="AK162" i="2"/>
  <c r="AJ162" i="2"/>
  <c r="AP160" i="2"/>
  <c r="AK160" i="2"/>
  <c r="BC160" i="2" s="1"/>
  <c r="AJ160" i="2"/>
  <c r="AS158" i="2"/>
  <c r="AP158" i="2"/>
  <c r="AJ158" i="2"/>
  <c r="AK157" i="2"/>
  <c r="BC157" i="2" s="1"/>
  <c r="AJ157" i="2"/>
  <c r="BB157" i="2" s="1"/>
  <c r="AS152" i="2"/>
  <c r="AK152" i="2"/>
  <c r="AJ152" i="2"/>
  <c r="AS150" i="2"/>
  <c r="AM150" i="2"/>
  <c r="AK149" i="2"/>
  <c r="AJ149" i="2"/>
  <c r="AV148" i="2"/>
  <c r="AU148" i="2"/>
  <c r="AS148" i="2"/>
  <c r="AP148" i="2"/>
  <c r="AK148" i="2"/>
  <c r="AJ148" i="2"/>
  <c r="AV147" i="2"/>
  <c r="AU147" i="2"/>
  <c r="AS147" i="2"/>
  <c r="AP147" i="2"/>
  <c r="AK147" i="2"/>
  <c r="AJ147" i="2"/>
  <c r="AV146" i="2"/>
  <c r="AU146" i="2"/>
  <c r="AS146" i="2"/>
  <c r="AK146" i="2"/>
  <c r="AJ146" i="2"/>
  <c r="AU145" i="2"/>
  <c r="AS145" i="2"/>
  <c r="AP145" i="2"/>
  <c r="AK145" i="2"/>
  <c r="AJ145" i="2"/>
  <c r="AU144" i="2"/>
  <c r="AK144" i="2"/>
  <c r="AJ144" i="2"/>
  <c r="AU142" i="2"/>
  <c r="AS142" i="2"/>
  <c r="AP142" i="2"/>
  <c r="AK142" i="2"/>
  <c r="AJ142" i="2"/>
  <c r="AU141" i="2"/>
  <c r="AS141" i="2"/>
  <c r="AQ141" i="2"/>
  <c r="AP141" i="2"/>
  <c r="AK141" i="2"/>
  <c r="AJ141" i="2"/>
  <c r="AS140" i="2"/>
  <c r="AP140" i="2"/>
  <c r="AK140" i="2"/>
  <c r="AJ140" i="2"/>
  <c r="AS139" i="2"/>
  <c r="AP139" i="2"/>
  <c r="AK139" i="2"/>
  <c r="AJ139" i="2"/>
  <c r="AS138" i="2"/>
  <c r="AP138" i="2"/>
  <c r="AK138" i="2"/>
  <c r="AJ138" i="2"/>
  <c r="AS137" i="2"/>
  <c r="AQ137" i="2"/>
  <c r="AP137" i="2"/>
  <c r="AK137" i="2"/>
  <c r="AJ137" i="2"/>
  <c r="AU136" i="2"/>
  <c r="AP136" i="2"/>
  <c r="AK136" i="2"/>
  <c r="BC136" i="2" s="1"/>
  <c r="AJ136" i="2"/>
  <c r="AK135" i="2"/>
  <c r="BC135" i="2" s="1"/>
  <c r="AJ135" i="2"/>
  <c r="BB135" i="2" s="1"/>
  <c r="AY134" i="2"/>
  <c r="AX134" i="2"/>
  <c r="AK134" i="2"/>
  <c r="AJ134" i="2"/>
  <c r="BB134" i="2" s="1"/>
  <c r="AY133" i="2"/>
  <c r="AX133" i="2"/>
  <c r="AK133" i="2"/>
  <c r="AJ133" i="2"/>
  <c r="BB133" i="2" s="1"/>
  <c r="AX132" i="2"/>
  <c r="AK132" i="2"/>
  <c r="AJ132" i="2"/>
  <c r="BB132" i="2" s="1"/>
  <c r="AX130" i="2"/>
  <c r="AK130" i="2"/>
  <c r="AJ130" i="2"/>
  <c r="BB130" i="2" s="1"/>
  <c r="AX129" i="2"/>
  <c r="AK129" i="2"/>
  <c r="AJ129" i="2"/>
  <c r="BB129" i="2" s="1"/>
  <c r="AX128" i="2"/>
  <c r="AK128" i="2"/>
  <c r="AJ128" i="2"/>
  <c r="BB128" i="2" s="1"/>
  <c r="AX127" i="2"/>
  <c r="AK127" i="2"/>
  <c r="AJ127" i="2"/>
  <c r="BB127" i="2" s="1"/>
  <c r="AY126" i="2"/>
  <c r="AX126" i="2"/>
  <c r="AK126" i="2"/>
  <c r="AJ126" i="2"/>
  <c r="BB126" i="2" s="1"/>
  <c r="AS125" i="2"/>
  <c r="AP125" i="2"/>
  <c r="AK125" i="2"/>
  <c r="AJ125" i="2"/>
  <c r="AU124" i="2"/>
  <c r="AK124" i="2"/>
  <c r="BC124" i="2" s="1"/>
  <c r="AJ124" i="2"/>
  <c r="AU123" i="2"/>
  <c r="AK123" i="2"/>
  <c r="AJ123" i="2"/>
  <c r="AK122" i="2"/>
  <c r="BC122" i="2" s="1"/>
  <c r="AJ122" i="2"/>
  <c r="BB122" i="2" s="1"/>
  <c r="AX121" i="2"/>
  <c r="AK121" i="2"/>
  <c r="AJ121" i="2"/>
  <c r="BB121" i="2" s="1"/>
  <c r="AK120" i="2"/>
  <c r="BC120" i="2" s="1"/>
  <c r="AJ120" i="2"/>
  <c r="BB120" i="2" s="1"/>
  <c r="AK119" i="2"/>
  <c r="BC119" i="2" s="1"/>
  <c r="AJ119" i="2"/>
  <c r="BB119" i="2" s="1"/>
  <c r="AK118" i="2"/>
  <c r="BC118" i="2" s="1"/>
  <c r="AJ118" i="2"/>
  <c r="BB118" i="2" s="1"/>
  <c r="AK117" i="2"/>
  <c r="BC117" i="2" s="1"/>
  <c r="AJ117" i="2"/>
  <c r="BB117" i="2" s="1"/>
  <c r="AK116" i="2"/>
  <c r="BC116" i="2" s="1"/>
  <c r="AJ116" i="2"/>
  <c r="BB116" i="2" s="1"/>
  <c r="AU114" i="2"/>
  <c r="AK114" i="2"/>
  <c r="BC114" i="2" s="1"/>
  <c r="AJ114" i="2"/>
  <c r="AU113" i="2"/>
  <c r="AK113" i="2"/>
  <c r="BC113" i="2" s="1"/>
  <c r="AJ113" i="2"/>
  <c r="AV112" i="2"/>
  <c r="AU112" i="2"/>
  <c r="AK112" i="2"/>
  <c r="AJ112" i="2"/>
  <c r="AK111" i="2"/>
  <c r="BC111" i="2" s="1"/>
  <c r="AJ111" i="2"/>
  <c r="BB111" i="2" s="1"/>
  <c r="AK110" i="2"/>
  <c r="BC110" i="2" s="1"/>
  <c r="AJ110" i="2"/>
  <c r="BB110" i="2" s="1"/>
  <c r="AK109" i="2"/>
  <c r="AJ109" i="2"/>
  <c r="BB109" i="2" s="1"/>
  <c r="AK108" i="2"/>
  <c r="BC108" i="2" s="1"/>
  <c r="AJ108" i="2"/>
  <c r="BB108" i="2" s="1"/>
  <c r="AK103" i="2"/>
  <c r="AJ103" i="2"/>
  <c r="AK102" i="2"/>
  <c r="AJ102" i="2"/>
  <c r="AK98" i="2"/>
  <c r="AJ98" i="2"/>
  <c r="AK97" i="2"/>
  <c r="AJ97" i="2"/>
  <c r="AK96" i="2"/>
  <c r="AJ96" i="2"/>
  <c r="AI92" i="2"/>
  <c r="AK92" i="2" s="1"/>
  <c r="AH92" i="2"/>
  <c r="AJ92" i="2" s="1"/>
  <c r="AI91" i="2"/>
  <c r="AK91" i="2" s="1"/>
  <c r="AH91" i="2"/>
  <c r="AJ91" i="2" s="1"/>
  <c r="AI90" i="2"/>
  <c r="AK90" i="2" s="1"/>
  <c r="AH90" i="2"/>
  <c r="AJ90" i="2" s="1"/>
  <c r="AK89" i="2"/>
  <c r="AJ89" i="2"/>
  <c r="AK88" i="2"/>
  <c r="AJ88" i="2"/>
  <c r="AK83" i="2"/>
  <c r="AJ83" i="2"/>
  <c r="AK82" i="2"/>
  <c r="AJ82" i="2"/>
  <c r="AS81" i="2"/>
  <c r="AP81" i="2"/>
  <c r="AK81" i="2"/>
  <c r="AJ81" i="2"/>
  <c r="AP78" i="2"/>
  <c r="AK78" i="2"/>
  <c r="BC78" i="2" s="1"/>
  <c r="AJ78" i="2"/>
  <c r="AS77" i="2"/>
  <c r="AP77" i="2"/>
  <c r="AK77" i="2"/>
  <c r="AJ77" i="2"/>
  <c r="AP76" i="2"/>
  <c r="AK76" i="2"/>
  <c r="BC76" i="2" s="1"/>
  <c r="AJ76" i="2"/>
  <c r="AQ75" i="2"/>
  <c r="AP75" i="2"/>
  <c r="AK75" i="2"/>
  <c r="AJ75" i="2"/>
  <c r="AS74" i="2"/>
  <c r="AQ74" i="2"/>
  <c r="AP74" i="2"/>
  <c r="AK74" i="2"/>
  <c r="AJ74" i="2"/>
  <c r="AT73" i="2"/>
  <c r="AS73" i="2"/>
  <c r="AP73" i="2"/>
  <c r="AK73" i="2"/>
  <c r="AJ73" i="2"/>
  <c r="AP72" i="2"/>
  <c r="AK72" i="2"/>
  <c r="BC72" i="2" s="1"/>
  <c r="AJ72" i="2"/>
  <c r="AP71" i="2"/>
  <c r="AK71" i="2"/>
  <c r="AJ71" i="2"/>
  <c r="AS70" i="2"/>
  <c r="AP70" i="2"/>
  <c r="AK70" i="2"/>
  <c r="AJ70" i="2"/>
  <c r="AT69" i="2"/>
  <c r="AS69" i="2"/>
  <c r="AP69" i="2"/>
  <c r="AK69" i="2"/>
  <c r="AJ69" i="2"/>
  <c r="AP68" i="2"/>
  <c r="AK68" i="2"/>
  <c r="BC68" i="2" s="1"/>
  <c r="AJ68" i="2"/>
  <c r="AP67" i="2"/>
  <c r="AK67" i="2"/>
  <c r="AJ67" i="2"/>
  <c r="AS66" i="2"/>
  <c r="AP66" i="2"/>
  <c r="AK66" i="2"/>
  <c r="AJ66" i="2"/>
  <c r="AS65" i="2"/>
  <c r="AP65" i="2"/>
  <c r="AK65" i="2"/>
  <c r="AJ65" i="2"/>
  <c r="AP64" i="2"/>
  <c r="AK64" i="2"/>
  <c r="BC64" i="2" s="1"/>
  <c r="AJ64" i="2"/>
  <c r="AP63" i="2"/>
  <c r="AK63" i="2"/>
  <c r="AJ63" i="2"/>
  <c r="AS62" i="2"/>
  <c r="AP62" i="2"/>
  <c r="AK62" i="2"/>
  <c r="AJ62" i="2"/>
  <c r="AS59" i="2"/>
  <c r="AP59" i="2"/>
  <c r="AK59" i="2"/>
  <c r="AJ59" i="2"/>
  <c r="AP58" i="2"/>
  <c r="AK58" i="2"/>
  <c r="BC58" i="2" s="1"/>
  <c r="AJ58" i="2"/>
  <c r="AP57" i="2"/>
  <c r="AK57" i="2"/>
  <c r="AJ57" i="2"/>
  <c r="AS56" i="2"/>
  <c r="AQ56" i="2"/>
  <c r="AP56" i="2"/>
  <c r="AK56" i="2"/>
  <c r="AJ56" i="2"/>
  <c r="AT55" i="2"/>
  <c r="AS55" i="2"/>
  <c r="AP55" i="2"/>
  <c r="AK55" i="2"/>
  <c r="AJ55" i="2"/>
  <c r="AP54" i="2"/>
  <c r="AK54" i="2"/>
  <c r="BC54" i="2" s="1"/>
  <c r="AJ54" i="2"/>
  <c r="AP53" i="2"/>
  <c r="AK53" i="2"/>
  <c r="AJ53" i="2"/>
  <c r="AS52" i="2"/>
  <c r="AQ52" i="2"/>
  <c r="AP52" i="2"/>
  <c r="AK52" i="2"/>
  <c r="AJ52" i="2"/>
  <c r="AT51" i="2"/>
  <c r="AS51" i="2"/>
  <c r="AP51" i="2"/>
  <c r="AK51" i="2"/>
  <c r="AJ51" i="2"/>
  <c r="AP50" i="2"/>
  <c r="AK50" i="2"/>
  <c r="BC50" i="2" s="1"/>
  <c r="AJ50" i="2"/>
  <c r="AP49" i="2"/>
  <c r="AK49" i="2"/>
  <c r="AJ49" i="2"/>
  <c r="AS48" i="2"/>
  <c r="AP48" i="2"/>
  <c r="AK48" i="2"/>
  <c r="AJ48" i="2"/>
  <c r="AK47" i="2"/>
  <c r="BC47" i="2" s="1"/>
  <c r="AJ47" i="2"/>
  <c r="BB47" i="2" s="1"/>
  <c r="AP46" i="2"/>
  <c r="AK46" i="2"/>
  <c r="BC46" i="2" s="1"/>
  <c r="AJ46" i="2"/>
  <c r="AP45" i="2"/>
  <c r="AK45" i="2"/>
  <c r="BC45" i="2" s="1"/>
  <c r="AJ45" i="2"/>
  <c r="AP44" i="2"/>
  <c r="AK44" i="2"/>
  <c r="AJ44" i="2"/>
  <c r="AS43" i="2"/>
  <c r="AQ43" i="2"/>
  <c r="AP43" i="2"/>
  <c r="AK43" i="2"/>
  <c r="AJ43" i="2"/>
  <c r="AS42" i="2"/>
  <c r="AP42" i="2"/>
  <c r="AK42" i="2"/>
  <c r="AJ42" i="2"/>
  <c r="AP37" i="2"/>
  <c r="AK37" i="2"/>
  <c r="BC37" i="2" s="1"/>
  <c r="AJ37" i="2"/>
  <c r="BB37" i="2" s="1"/>
  <c r="AY36" i="2"/>
  <c r="AX36" i="2"/>
  <c r="AK36" i="2"/>
  <c r="AJ36" i="2"/>
  <c r="BB36" i="2" s="1"/>
  <c r="AX35" i="2"/>
  <c r="AK35" i="2"/>
  <c r="AJ35" i="2"/>
  <c r="AK33" i="2"/>
  <c r="AJ33" i="2"/>
  <c r="AK32" i="2"/>
  <c r="AJ32" i="2"/>
  <c r="AK31" i="2"/>
  <c r="BC31" i="2" s="1"/>
  <c r="AJ31" i="2"/>
  <c r="AK30" i="2"/>
  <c r="BC30" i="2" s="1"/>
  <c r="AJ30" i="2"/>
  <c r="AX29" i="2"/>
  <c r="AU29" i="2"/>
  <c r="AK29" i="2"/>
  <c r="AJ29" i="2"/>
  <c r="AU28" i="2"/>
  <c r="AK28" i="2"/>
  <c r="AJ28" i="2"/>
  <c r="AK27" i="2"/>
  <c r="BC27" i="2" s="1"/>
  <c r="AJ27" i="2"/>
  <c r="BB27" i="2" s="1"/>
  <c r="AK26" i="2"/>
  <c r="BC26" i="2" s="1"/>
  <c r="AJ26" i="2"/>
  <c r="BB26" i="2" s="1"/>
  <c r="AV25" i="2"/>
  <c r="AU25" i="2"/>
  <c r="AK25" i="2"/>
  <c r="BC25" i="2" s="1"/>
  <c r="AJ25" i="2"/>
  <c r="AX24" i="2"/>
  <c r="AK24" i="2"/>
  <c r="AJ24" i="2"/>
  <c r="BB24" i="2" s="1"/>
  <c r="AY23" i="2"/>
  <c r="AX23" i="2"/>
  <c r="AK23" i="2"/>
  <c r="AJ23" i="2"/>
  <c r="BB23" i="2" s="1"/>
  <c r="AX22" i="2"/>
  <c r="AK22" i="2"/>
  <c r="AJ22" i="2"/>
  <c r="AK21" i="2"/>
  <c r="BC21" i="2" s="1"/>
  <c r="AJ21" i="2"/>
  <c r="BB21" i="2" s="1"/>
  <c r="AK19" i="2"/>
  <c r="BC19" i="2" s="1"/>
  <c r="AJ19" i="2"/>
  <c r="BB19" i="2" s="1"/>
  <c r="AK18" i="2"/>
  <c r="BC18" i="2" s="1"/>
  <c r="AJ18" i="2"/>
  <c r="BB18" i="2" s="1"/>
  <c r="AJ17" i="2"/>
  <c r="BB17" i="2" s="1"/>
  <c r="AP16" i="2"/>
  <c r="AK16" i="2"/>
  <c r="BC16" i="2" s="1"/>
  <c r="AJ16" i="2"/>
  <c r="AQ15" i="2"/>
  <c r="AP15" i="2"/>
  <c r="AK15" i="2"/>
  <c r="BC15" i="2" s="1"/>
  <c r="AJ15" i="2"/>
  <c r="AP14" i="2"/>
  <c r="AK14" i="2"/>
  <c r="BC14" i="2" s="1"/>
  <c r="AJ14" i="2"/>
  <c r="AK13" i="2"/>
  <c r="BC13" i="2" s="1"/>
  <c r="AJ13" i="2"/>
  <c r="BB13" i="2" s="1"/>
  <c r="AK11" i="2"/>
  <c r="BC11" i="2" s="1"/>
  <c r="AJ11" i="2"/>
  <c r="AK10" i="2"/>
  <c r="BC10" i="2" s="1"/>
  <c r="AJ10" i="2"/>
  <c r="AK8" i="2"/>
  <c r="BC8" i="2" s="1"/>
  <c r="AJ8" i="2"/>
  <c r="AY205" i="2" l="1"/>
  <c r="BC204" i="2"/>
  <c r="BG204" i="2" s="1"/>
  <c r="AF273" i="5"/>
  <c r="M221" i="5" s="1"/>
  <c r="AT250" i="2" s="1"/>
  <c r="AE290" i="5"/>
  <c r="K238" i="5" s="1"/>
  <c r="AQ236" i="2" s="1"/>
  <c r="AE270" i="5"/>
  <c r="K218" i="5" s="1"/>
  <c r="AQ234" i="2" s="1"/>
  <c r="AE272" i="5"/>
  <c r="K220" i="5" s="1"/>
  <c r="AQ245" i="2" s="1"/>
  <c r="AF272" i="5"/>
  <c r="M220" i="5" s="1"/>
  <c r="AT245" i="2" s="1"/>
  <c r="AF274" i="5"/>
  <c r="M222" i="5" s="1"/>
  <c r="AT255" i="2" s="1"/>
  <c r="AF277" i="5"/>
  <c r="M225" i="5" s="1"/>
  <c r="AT270" i="2" s="1"/>
  <c r="O169" i="5"/>
  <c r="O165" i="5" s="1"/>
  <c r="AD299" i="5"/>
  <c r="AE273" i="5"/>
  <c r="K221" i="5" s="1"/>
  <c r="AQ250" i="2" s="1"/>
  <c r="AQ260" i="2"/>
  <c r="BB260" i="2" s="1"/>
  <c r="AQ223" i="2"/>
  <c r="BB223" i="2" s="1"/>
  <c r="AF290" i="5"/>
  <c r="M238" i="5" s="1"/>
  <c r="AT236" i="2" s="1"/>
  <c r="AT260" i="2"/>
  <c r="BC260" i="2" s="1"/>
  <c r="BC223" i="2"/>
  <c r="AF278" i="5"/>
  <c r="M226" i="5" s="1"/>
  <c r="AT275" i="2" s="1"/>
  <c r="BC275" i="2" s="1"/>
  <c r="AF281" i="5"/>
  <c r="M229" i="5" s="1"/>
  <c r="AT240" i="2" s="1"/>
  <c r="AE293" i="5"/>
  <c r="K241" i="5" s="1"/>
  <c r="AQ252" i="2" s="1"/>
  <c r="W370" i="8"/>
  <c r="AB311" i="8"/>
  <c r="M228" i="8" s="1"/>
  <c r="AQ399" i="2" s="1"/>
  <c r="L76" i="11"/>
  <c r="S112" i="10"/>
  <c r="N83" i="10" s="1"/>
  <c r="AT139" i="2" s="1"/>
  <c r="R112" i="10"/>
  <c r="L83" i="10" s="1"/>
  <c r="AQ139" i="2" s="1"/>
  <c r="N92" i="10"/>
  <c r="AT398" i="2" s="1"/>
  <c r="BC398" i="2" s="1"/>
  <c r="BD398" i="2" s="1"/>
  <c r="R115" i="10"/>
  <c r="L86" i="10" s="1"/>
  <c r="AQ283" i="2" s="1"/>
  <c r="N97" i="10"/>
  <c r="AT142" i="2" s="1"/>
  <c r="BC142" i="2" s="1"/>
  <c r="S122" i="10"/>
  <c r="N93" i="10" s="1"/>
  <c r="AT138" i="2" s="1"/>
  <c r="BC138" i="2" s="1"/>
  <c r="N96" i="10"/>
  <c r="AT141" i="2" s="1"/>
  <c r="BC141" i="2" s="1"/>
  <c r="R111" i="10"/>
  <c r="L82" i="10" s="1"/>
  <c r="AQ396" i="2" s="1"/>
  <c r="BB396" i="2" s="1"/>
  <c r="BE396" i="2" s="1"/>
  <c r="Q129" i="10"/>
  <c r="AB304" i="8"/>
  <c r="M221" i="8" s="1"/>
  <c r="AQ55" i="2" s="1"/>
  <c r="BB55" i="2" s="1"/>
  <c r="J59" i="4"/>
  <c r="J61" i="4" s="1"/>
  <c r="BB11" i="2"/>
  <c r="BG11" i="2" s="1"/>
  <c r="BC17" i="2"/>
  <c r="BG17" i="2" s="1"/>
  <c r="L246" i="20"/>
  <c r="AF270" i="5"/>
  <c r="M218" i="5" s="1"/>
  <c r="AT234" i="2" s="1"/>
  <c r="AE274" i="5"/>
  <c r="K222" i="5" s="1"/>
  <c r="AQ255" i="2" s="1"/>
  <c r="BB255" i="2" s="1"/>
  <c r="AF294" i="5"/>
  <c r="M242" i="5" s="1"/>
  <c r="AT257" i="2" s="1"/>
  <c r="AF297" i="5"/>
  <c r="M245" i="5" s="1"/>
  <c r="AT272" i="2" s="1"/>
  <c r="BC272" i="2" s="1"/>
  <c r="L52" i="9"/>
  <c r="L59" i="9" s="1"/>
  <c r="AC315" i="8"/>
  <c r="O232" i="8" s="1"/>
  <c r="AT43" i="2" s="1"/>
  <c r="BC43" i="2" s="1"/>
  <c r="R110" i="10"/>
  <c r="L81" i="10" s="1"/>
  <c r="AQ395" i="2" s="1"/>
  <c r="BB395" i="2" s="1"/>
  <c r="N89" i="10"/>
  <c r="AT384" i="2" s="1"/>
  <c r="BC384" i="2" s="1"/>
  <c r="BE384" i="2" s="1"/>
  <c r="C92" i="17"/>
  <c r="U299" i="5"/>
  <c r="M107" i="5"/>
  <c r="R370" i="8"/>
  <c r="AC318" i="8"/>
  <c r="O235" i="8" s="1"/>
  <c r="AT56" i="2" s="1"/>
  <c r="BC56" i="2" s="1"/>
  <c r="L90" i="10"/>
  <c r="AQ381" i="2" s="1"/>
  <c r="S137" i="11"/>
  <c r="N114" i="11" s="1"/>
  <c r="AT295" i="2" s="1"/>
  <c r="BC295" i="2" s="1"/>
  <c r="S143" i="11"/>
  <c r="N120" i="11" s="1"/>
  <c r="AT357" i="2" s="1"/>
  <c r="BC357" i="2" s="1"/>
  <c r="G145" i="11"/>
  <c r="S145" i="11" s="1"/>
  <c r="N122" i="11" s="1"/>
  <c r="AT229" i="2" s="1"/>
  <c r="BC229" i="2" s="1"/>
  <c r="R122" i="10"/>
  <c r="L93" i="10" s="1"/>
  <c r="AQ138" i="2" s="1"/>
  <c r="R299" i="5"/>
  <c r="AE278" i="5"/>
  <c r="K226" i="5" s="1"/>
  <c r="AQ275" i="2" s="1"/>
  <c r="BB275" i="2" s="1"/>
  <c r="AE294" i="5"/>
  <c r="K242" i="5" s="1"/>
  <c r="AQ257" i="2" s="1"/>
  <c r="BB257" i="2" s="1"/>
  <c r="AB305" i="8"/>
  <c r="M222" i="8" s="1"/>
  <c r="AQ59" i="2" s="1"/>
  <c r="BB59" i="2" s="1"/>
  <c r="N87" i="10"/>
  <c r="AT382" i="2" s="1"/>
  <c r="BC382" i="2" s="1"/>
  <c r="BE382" i="2" s="1"/>
  <c r="S120" i="10"/>
  <c r="N91" i="10" s="1"/>
  <c r="AT397" i="2" s="1"/>
  <c r="BC397" i="2" s="1"/>
  <c r="BE397" i="2" s="1"/>
  <c r="D420" i="2"/>
  <c r="AK420" i="2" s="1"/>
  <c r="N75" i="7"/>
  <c r="AT281" i="2"/>
  <c r="AA299" i="5"/>
  <c r="G32" i="7"/>
  <c r="I49" i="7" s="1"/>
  <c r="G24" i="17"/>
  <c r="G37" i="17" s="1"/>
  <c r="C116" i="17" s="1"/>
  <c r="O191" i="5"/>
  <c r="O187" i="5" s="1"/>
  <c r="AF268" i="5"/>
  <c r="M247" i="5" s="1"/>
  <c r="AT184" i="2" s="1"/>
  <c r="BC184" i="2" s="1"/>
  <c r="AC335" i="8"/>
  <c r="O252" i="8" s="1"/>
  <c r="AT227" i="2" s="1"/>
  <c r="BC227" i="2" s="1"/>
  <c r="L210" i="16"/>
  <c r="K4" i="30"/>
  <c r="S21" i="30"/>
  <c r="L129" i="10"/>
  <c r="J210" i="16"/>
  <c r="AV28" i="2" s="1"/>
  <c r="BB28" i="2" s="1"/>
  <c r="AV113" i="2"/>
  <c r="BB113" i="2" s="1"/>
  <c r="AQ136" i="2"/>
  <c r="BB136" i="2" s="1"/>
  <c r="H94" i="3"/>
  <c r="J92" i="3" s="1"/>
  <c r="M299" i="5"/>
  <c r="S313" i="8"/>
  <c r="AB313" i="8" s="1"/>
  <c r="M230" i="8" s="1"/>
  <c r="AQ282" i="2" s="1"/>
  <c r="BB282" i="2" s="1"/>
  <c r="AB307" i="8"/>
  <c r="M224" i="8" s="1"/>
  <c r="AQ65" i="2" s="1"/>
  <c r="BB65" i="2" s="1"/>
  <c r="X370" i="8"/>
  <c r="G51" i="17"/>
  <c r="M145" i="5"/>
  <c r="AF259" i="5"/>
  <c r="M208" i="5" s="1"/>
  <c r="AT158" i="2" s="1"/>
  <c r="BC158" i="2" s="1"/>
  <c r="T299" i="5"/>
  <c r="AE281" i="5"/>
  <c r="K229" i="5" s="1"/>
  <c r="AQ240" i="2" s="1"/>
  <c r="BB240" i="2" s="1"/>
  <c r="AB339" i="8"/>
  <c r="M256" i="8" s="1"/>
  <c r="AQ296" i="2" s="1"/>
  <c r="BB296" i="2" s="1"/>
  <c r="L147" i="11"/>
  <c r="S138" i="11"/>
  <c r="N115" i="11" s="1"/>
  <c r="AT307" i="2" s="1"/>
  <c r="BC307" i="2" s="1"/>
  <c r="S140" i="11"/>
  <c r="N117" i="11" s="1"/>
  <c r="AT327" i="2" s="1"/>
  <c r="BC327" i="2" s="1"/>
  <c r="S144" i="11"/>
  <c r="N121" i="11" s="1"/>
  <c r="AT367" i="2" s="1"/>
  <c r="BC367" i="2" s="1"/>
  <c r="N147" i="11"/>
  <c r="J253" i="16"/>
  <c r="AV224" i="2" s="1"/>
  <c r="BB224" i="2" s="1"/>
  <c r="P908" i="20"/>
  <c r="L779" i="20"/>
  <c r="L908" i="20" s="1"/>
  <c r="AF262" i="5"/>
  <c r="M211" i="5" s="1"/>
  <c r="AT219" i="2" s="1"/>
  <c r="BC219" i="2" s="1"/>
  <c r="I49" i="6"/>
  <c r="N59" i="9"/>
  <c r="O147" i="11"/>
  <c r="G105" i="17"/>
  <c r="G112" i="17" s="1"/>
  <c r="L75" i="7"/>
  <c r="M325" i="8"/>
  <c r="AC325" i="8" s="1"/>
  <c r="O242" i="8" s="1"/>
  <c r="AT410" i="2" s="1"/>
  <c r="BC410" i="2" s="1"/>
  <c r="O129" i="10"/>
  <c r="T908" i="20"/>
  <c r="L61" i="4"/>
  <c r="O299" i="5"/>
  <c r="AB308" i="8"/>
  <c r="M225" i="8" s="1"/>
  <c r="AQ73" i="2" s="1"/>
  <c r="BB73" i="2" s="1"/>
  <c r="AB309" i="8"/>
  <c r="M226" i="8" s="1"/>
  <c r="AQ77" i="2" s="1"/>
  <c r="BB77" i="2" s="1"/>
  <c r="AC323" i="8"/>
  <c r="O240" i="8" s="1"/>
  <c r="AT74" i="2" s="1"/>
  <c r="BC74" i="2" s="1"/>
  <c r="S113" i="10"/>
  <c r="N84" i="10" s="1"/>
  <c r="AT42" i="2" s="1"/>
  <c r="BC42" i="2" s="1"/>
  <c r="N129" i="10"/>
  <c r="C37" i="17"/>
  <c r="Q908" i="20"/>
  <c r="T909" i="21"/>
  <c r="I21" i="30"/>
  <c r="I23" i="30" s="1"/>
  <c r="C23" i="23"/>
  <c r="V23" i="23"/>
  <c r="D36" i="23" s="1"/>
  <c r="L23" i="23"/>
  <c r="U23" i="23"/>
  <c r="K23" i="23"/>
  <c r="T23" i="23"/>
  <c r="J23" i="23"/>
  <c r="D45" i="23" s="1"/>
  <c r="C109" i="23" s="1"/>
  <c r="R23" i="23"/>
  <c r="E52" i="23" s="1"/>
  <c r="D116" i="23" s="1"/>
  <c r="H23" i="23"/>
  <c r="F23" i="23"/>
  <c r="D23" i="23"/>
  <c r="O23" i="23"/>
  <c r="E49" i="23" s="1"/>
  <c r="D113" i="23" s="1"/>
  <c r="P23" i="23"/>
  <c r="Q23" i="23"/>
  <c r="E51" i="23" s="1"/>
  <c r="D115" i="23" s="1"/>
  <c r="M23" i="23"/>
  <c r="D48" i="23" s="1"/>
  <c r="C112" i="23" s="1"/>
  <c r="H30" i="23"/>
  <c r="G25" i="23"/>
  <c r="D35" i="23"/>
  <c r="B28" i="23"/>
  <c r="L143" i="3"/>
  <c r="M188" i="8"/>
  <c r="J212" i="8" s="1"/>
  <c r="I183" i="8"/>
  <c r="AE259" i="5"/>
  <c r="K208" i="5" s="1"/>
  <c r="AB299" i="5"/>
  <c r="T370" i="8"/>
  <c r="K147" i="11"/>
  <c r="R134" i="11"/>
  <c r="L111" i="11" s="1"/>
  <c r="AQ402" i="2" s="1"/>
  <c r="BB402" i="2" s="1"/>
  <c r="BE402" i="2" s="1"/>
  <c r="I147" i="11"/>
  <c r="S299" i="5"/>
  <c r="AE262" i="5"/>
  <c r="K211" i="5" s="1"/>
  <c r="AQ219" i="2" s="1"/>
  <c r="BB219" i="2" s="1"/>
  <c r="AE277" i="5"/>
  <c r="K225" i="5" s="1"/>
  <c r="AQ270" i="2" s="1"/>
  <c r="BB270" i="2" s="1"/>
  <c r="AE292" i="5"/>
  <c r="K240" i="5" s="1"/>
  <c r="AQ247" i="2" s="1"/>
  <c r="BB247" i="2" s="1"/>
  <c r="J73" i="6"/>
  <c r="T82" i="8"/>
  <c r="U84" i="8" s="1"/>
  <c r="AC317" i="8"/>
  <c r="O234" i="8" s="1"/>
  <c r="AT52" i="2" s="1"/>
  <c r="BC52" i="2" s="1"/>
  <c r="AC322" i="8"/>
  <c r="O239" i="8" s="1"/>
  <c r="J129" i="10"/>
  <c r="F147" i="11"/>
  <c r="S139" i="11"/>
  <c r="N116" i="11" s="1"/>
  <c r="AT317" i="2" s="1"/>
  <c r="BC317" i="2" s="1"/>
  <c r="S141" i="11"/>
  <c r="N118" i="11" s="1"/>
  <c r="AT337" i="2" s="1"/>
  <c r="BC337" i="2" s="1"/>
  <c r="AB303" i="8"/>
  <c r="AC320" i="8"/>
  <c r="K129" i="10"/>
  <c r="S117" i="10"/>
  <c r="N88" i="10" s="1"/>
  <c r="AT383" i="2" s="1"/>
  <c r="BC383" i="2" s="1"/>
  <c r="BD383" i="2" s="1"/>
  <c r="S146" i="11"/>
  <c r="N123" i="11" s="1"/>
  <c r="AT185" i="2" s="1"/>
  <c r="BC185" i="2" s="1"/>
  <c r="U908" i="20"/>
  <c r="N143" i="3"/>
  <c r="W299" i="5"/>
  <c r="AE298" i="5"/>
  <c r="K246" i="5" s="1"/>
  <c r="AQ277" i="2" s="1"/>
  <c r="BB277" i="2" s="1"/>
  <c r="X299" i="5"/>
  <c r="L73" i="6"/>
  <c r="P324" i="8"/>
  <c r="AC324" i="8" s="1"/>
  <c r="O241" i="8" s="1"/>
  <c r="AT226" i="2" s="1"/>
  <c r="BC226" i="2" s="1"/>
  <c r="O324" i="8"/>
  <c r="AB324" i="8" s="1"/>
  <c r="M241" i="8" s="1"/>
  <c r="AQ227" i="2" s="1"/>
  <c r="BB227" i="2" s="1"/>
  <c r="AC316" i="8"/>
  <c r="O233" i="8" s="1"/>
  <c r="AT48" i="2" s="1"/>
  <c r="BC48" i="2" s="1"/>
  <c r="L325" i="8"/>
  <c r="AB325" i="8" s="1"/>
  <c r="M242" i="8" s="1"/>
  <c r="AQ410" i="2" s="1"/>
  <c r="BB410" i="2" s="1"/>
  <c r="S123" i="10"/>
  <c r="N94" i="10" s="1"/>
  <c r="AT137" i="2" s="1"/>
  <c r="BC137" i="2" s="1"/>
  <c r="R133" i="11"/>
  <c r="L110" i="11" s="1"/>
  <c r="AQ401" i="2" s="1"/>
  <c r="BB401" i="2" s="1"/>
  <c r="BE401" i="2" s="1"/>
  <c r="H147" i="11"/>
  <c r="U909" i="21"/>
  <c r="Z299" i="5"/>
  <c r="AC299" i="5"/>
  <c r="AF298" i="5"/>
  <c r="M246" i="5" s="1"/>
  <c r="AT277" i="2" s="1"/>
  <c r="BC277" i="2" s="1"/>
  <c r="Y299" i="5"/>
  <c r="Q370" i="8"/>
  <c r="L80" i="10"/>
  <c r="AQ394" i="2" s="1"/>
  <c r="BB394" i="2" s="1"/>
  <c r="L52" i="11"/>
  <c r="S136" i="11"/>
  <c r="N113" i="11" s="1"/>
  <c r="AT282" i="2" s="1"/>
  <c r="BC282" i="2" s="1"/>
  <c r="K207" i="5"/>
  <c r="V370" i="8"/>
  <c r="E46" i="18"/>
  <c r="D127" i="18" s="1"/>
  <c r="E51" i="18"/>
  <c r="D140" i="18" s="1"/>
  <c r="G125" i="18"/>
  <c r="C94" i="18" s="1"/>
  <c r="G147" i="11"/>
  <c r="K299" i="5"/>
  <c r="R107" i="10"/>
  <c r="E59" i="14"/>
  <c r="G55" i="14" s="1"/>
  <c r="G152" i="14" s="1"/>
  <c r="G223" i="14" s="1"/>
  <c r="D58" i="18"/>
  <c r="C139" i="18" s="1"/>
  <c r="D47" i="18"/>
  <c r="E61" i="18"/>
  <c r="D142" i="18" s="1"/>
  <c r="L100" i="11"/>
  <c r="S142" i="11"/>
  <c r="G108" i="23"/>
  <c r="C77" i="23" s="1"/>
  <c r="D47" i="23"/>
  <c r="C111" i="23" s="1"/>
  <c r="H105" i="23"/>
  <c r="D74" i="23" s="1"/>
  <c r="H99" i="23"/>
  <c r="D68" i="23" s="1"/>
  <c r="G101" i="23"/>
  <c r="C70" i="23" s="1"/>
  <c r="G102" i="23"/>
  <c r="C71" i="23" s="1"/>
  <c r="G97" i="23"/>
  <c r="C66" i="23" s="1"/>
  <c r="G103" i="23"/>
  <c r="C72" i="23" s="1"/>
  <c r="G106" i="23"/>
  <c r="C75" i="23" s="1"/>
  <c r="G104" i="23"/>
  <c r="C73" i="23" s="1"/>
  <c r="G107" i="23"/>
  <c r="C76" i="23" s="1"/>
  <c r="E65" i="18"/>
  <c r="D65" i="18"/>
  <c r="D52" i="18"/>
  <c r="C141" i="18" s="1"/>
  <c r="D59" i="18"/>
  <c r="C140" i="18" s="1"/>
  <c r="E60" i="18"/>
  <c r="D141" i="18" s="1"/>
  <c r="D45" i="18"/>
  <c r="C127" i="18" s="1"/>
  <c r="E62" i="18"/>
  <c r="D143" i="18" s="1"/>
  <c r="K43" i="18"/>
  <c r="AV88" i="2"/>
  <c r="AY171" i="2"/>
  <c r="AY164" i="2"/>
  <c r="E59" i="15"/>
  <c r="G45" i="15" s="1"/>
  <c r="E145" i="15" s="1"/>
  <c r="G210" i="15" s="1"/>
  <c r="AY65" i="2"/>
  <c r="BC65" i="2" s="1"/>
  <c r="E215" i="14"/>
  <c r="AV281" i="2"/>
  <c r="BB281" i="2" s="1"/>
  <c r="AV381" i="2"/>
  <c r="G100" i="29"/>
  <c r="H100" i="29"/>
  <c r="D79" i="29" s="1"/>
  <c r="H180" i="31"/>
  <c r="D134" i="31" s="1"/>
  <c r="G180" i="31"/>
  <c r="C134" i="31" s="1"/>
  <c r="AQ104" i="2" s="1"/>
  <c r="BB104" i="2" s="1"/>
  <c r="BG104" i="2" s="1"/>
  <c r="D182" i="31"/>
  <c r="E182" i="31" s="1"/>
  <c r="H182" i="31" s="1"/>
  <c r="D136" i="31" s="1"/>
  <c r="AT174" i="2" s="1"/>
  <c r="BC174" i="2" s="1"/>
  <c r="D181" i="31"/>
  <c r="E181" i="31" s="1"/>
  <c r="H181" i="31" s="1"/>
  <c r="D135" i="31" s="1"/>
  <c r="AT167" i="2" s="1"/>
  <c r="BC167" i="2" s="1"/>
  <c r="BF167" i="2" s="1"/>
  <c r="E169" i="31"/>
  <c r="E173" i="31"/>
  <c r="E177" i="31"/>
  <c r="C184" i="31"/>
  <c r="E184" i="31" s="1"/>
  <c r="G184" i="31" s="1"/>
  <c r="C138" i="31" s="1"/>
  <c r="E25" i="31"/>
  <c r="C185" i="31"/>
  <c r="E185" i="31" s="1"/>
  <c r="H185" i="31" s="1"/>
  <c r="D139" i="31" s="1"/>
  <c r="AT179" i="2"/>
  <c r="BC179" i="2" s="1"/>
  <c r="E163" i="31"/>
  <c r="E167" i="31"/>
  <c r="C91" i="29"/>
  <c r="E91" i="29" s="1"/>
  <c r="D92" i="29"/>
  <c r="C92" i="29"/>
  <c r="E215" i="15"/>
  <c r="AY177" i="2"/>
  <c r="AY162" i="2"/>
  <c r="AV103" i="2"/>
  <c r="AV90" i="2"/>
  <c r="AV82" i="2"/>
  <c r="AY123" i="2"/>
  <c r="BC123" i="2" s="1"/>
  <c r="AY145" i="2"/>
  <c r="AY224" i="2"/>
  <c r="BC224" i="2" s="1"/>
  <c r="AY234" i="2"/>
  <c r="AY51" i="2"/>
  <c r="BC51" i="2" s="1"/>
  <c r="G46" i="14"/>
  <c r="E146" i="14" s="1"/>
  <c r="G211" i="14" s="1"/>
  <c r="G49" i="14"/>
  <c r="E66" i="14" s="1"/>
  <c r="G122" i="14"/>
  <c r="G123" i="14" s="1"/>
  <c r="AV43" i="2"/>
  <c r="BB43" i="2" s="1"/>
  <c r="AY146" i="2"/>
  <c r="BC146" i="2" s="1"/>
  <c r="AY183" i="2"/>
  <c r="BC183" i="2" s="1"/>
  <c r="AY144" i="2"/>
  <c r="BC144" i="2" s="1"/>
  <c r="AY109" i="2"/>
  <c r="BC109" i="2" s="1"/>
  <c r="BG109" i="2" s="1"/>
  <c r="AY390" i="2"/>
  <c r="BC390" i="2" s="1"/>
  <c r="AY112" i="2"/>
  <c r="BC112" i="2" s="1"/>
  <c r="AV391" i="2"/>
  <c r="BB391" i="2" s="1"/>
  <c r="BG157" i="2"/>
  <c r="AX415" i="2"/>
  <c r="AS415" i="2"/>
  <c r="AJ9" i="2"/>
  <c r="AH415" i="2"/>
  <c r="AO415" i="2"/>
  <c r="AN415" i="2"/>
  <c r="AP415" i="2"/>
  <c r="AK9" i="2"/>
  <c r="AI415" i="2"/>
  <c r="BB318" i="2"/>
  <c r="AU415" i="2"/>
  <c r="AY153" i="2"/>
  <c r="G57" i="15"/>
  <c r="G47" i="15"/>
  <c r="E147" i="15" s="1"/>
  <c r="G212" i="15" s="1"/>
  <c r="G46" i="15"/>
  <c r="E146" i="15" s="1"/>
  <c r="G211" i="15" s="1"/>
  <c r="G54" i="15"/>
  <c r="G151" i="15" s="1"/>
  <c r="G222" i="15" s="1"/>
  <c r="G49" i="15"/>
  <c r="G41" i="15"/>
  <c r="E141" i="15" s="1"/>
  <c r="AV31" i="2"/>
  <c r="BB31" i="2" s="1"/>
  <c r="BF31" i="2" s="1"/>
  <c r="AV96" i="2"/>
  <c r="G122" i="15"/>
  <c r="G123" i="15" s="1"/>
  <c r="AV35" i="2"/>
  <c r="BB35" i="2" s="1"/>
  <c r="AV22" i="2"/>
  <c r="BB22" i="2" s="1"/>
  <c r="AV8" i="2"/>
  <c r="AV10" i="2"/>
  <c r="BB10" i="2" s="1"/>
  <c r="BG10" i="2" s="1"/>
  <c r="AV62" i="2"/>
  <c r="BB62" i="2" s="1"/>
  <c r="AV56" i="2"/>
  <c r="BB56" i="2" s="1"/>
  <c r="AV48" i="2"/>
  <c r="BB48" i="2" s="1"/>
  <c r="E220" i="13"/>
  <c r="AV30" i="2"/>
  <c r="G57" i="13"/>
  <c r="G155" i="13" s="1"/>
  <c r="G226" i="13" s="1"/>
  <c r="G47" i="13"/>
  <c r="E148" i="13" s="1"/>
  <c r="G213" i="13" s="1"/>
  <c r="G45" i="13"/>
  <c r="E146" i="13" s="1"/>
  <c r="G211" i="13" s="1"/>
  <c r="G58" i="13"/>
  <c r="G156" i="13" s="1"/>
  <c r="G227" i="13" s="1"/>
  <c r="E67" i="13"/>
  <c r="G56" i="13"/>
  <c r="G154" i="13" s="1"/>
  <c r="G46" i="13"/>
  <c r="E147" i="13" s="1"/>
  <c r="G212" i="13" s="1"/>
  <c r="G53" i="13"/>
  <c r="G44" i="13"/>
  <c r="E145" i="13" s="1"/>
  <c r="G210" i="13" s="1"/>
  <c r="G50" i="13"/>
  <c r="E151" i="13" s="1"/>
  <c r="G216" i="13" s="1"/>
  <c r="G59" i="13"/>
  <c r="G157" i="13" s="1"/>
  <c r="G228" i="13" s="1"/>
  <c r="G61" i="13"/>
  <c r="G51" i="13"/>
  <c r="E152" i="13" s="1"/>
  <c r="G43" i="13"/>
  <c r="E144" i="13" s="1"/>
  <c r="G209" i="13" s="1"/>
  <c r="G49" i="13"/>
  <c r="E150" i="13" s="1"/>
  <c r="G215" i="13" s="1"/>
  <c r="G48" i="13"/>
  <c r="E149" i="13" s="1"/>
  <c r="G214" i="13" s="1"/>
  <c r="BB229" i="2"/>
  <c r="BC210" i="2"/>
  <c r="BF210" i="2" s="1"/>
  <c r="BB66" i="2"/>
  <c r="BB72" i="2"/>
  <c r="BC391" i="2"/>
  <c r="D28" i="28"/>
  <c r="C30" i="28"/>
  <c r="AA243" i="12"/>
  <c r="AC243" i="12" s="1"/>
  <c r="N213" i="12" s="1"/>
  <c r="AT407" i="2" s="1"/>
  <c r="BC407" i="2" s="1"/>
  <c r="C89" i="18"/>
  <c r="D89" i="18" s="1"/>
  <c r="J50" i="12"/>
  <c r="G244" i="12" s="1"/>
  <c r="G253" i="12" s="1"/>
  <c r="AA242" i="12"/>
  <c r="AC242" i="12" s="1"/>
  <c r="N212" i="12" s="1"/>
  <c r="AT406" i="2" s="1"/>
  <c r="BC406" i="2" s="1"/>
  <c r="N253" i="12"/>
  <c r="L253" i="12"/>
  <c r="AC251" i="12"/>
  <c r="N219" i="12" s="1"/>
  <c r="AT148" i="2" s="1"/>
  <c r="BC148" i="2" s="1"/>
  <c r="AB251" i="12"/>
  <c r="L219" i="12" s="1"/>
  <c r="AQ148" i="2" s="1"/>
  <c r="BB148" i="2" s="1"/>
  <c r="AB250" i="12"/>
  <c r="L218" i="12" s="1"/>
  <c r="AQ147" i="2" s="1"/>
  <c r="BB147" i="2" s="1"/>
  <c r="AC250" i="12"/>
  <c r="N218" i="12" s="1"/>
  <c r="AT147" i="2" s="1"/>
  <c r="BC147" i="2" s="1"/>
  <c r="X253" i="12"/>
  <c r="J253" i="12"/>
  <c r="AB246" i="12"/>
  <c r="L216" i="12" s="1"/>
  <c r="AQ83" i="2" s="1"/>
  <c r="BB83" i="2" s="1"/>
  <c r="AC246" i="12"/>
  <c r="N216" i="12" s="1"/>
  <c r="F233" i="12"/>
  <c r="F253" i="12" s="1"/>
  <c r="AA237" i="12"/>
  <c r="AB237" i="12" s="1"/>
  <c r="L207" i="12" s="1"/>
  <c r="AQ327" i="2" s="1"/>
  <c r="BB327" i="2" s="1"/>
  <c r="AA245" i="12"/>
  <c r="AB247" i="12"/>
  <c r="L217" i="12" s="1"/>
  <c r="L36" i="12"/>
  <c r="H244" i="12" s="1"/>
  <c r="AA241" i="12"/>
  <c r="AC241" i="12" s="1"/>
  <c r="N211" i="12" s="1"/>
  <c r="AT368" i="2" s="1"/>
  <c r="BC368" i="2" s="1"/>
  <c r="AA240" i="12"/>
  <c r="AB240" i="12" s="1"/>
  <c r="L210" i="12" s="1"/>
  <c r="AQ357" i="2" s="1"/>
  <c r="BB357" i="2" s="1"/>
  <c r="BC380" i="2"/>
  <c r="BE380" i="2" s="1"/>
  <c r="BB58" i="2"/>
  <c r="BB123" i="2"/>
  <c r="BC127" i="2"/>
  <c r="BG127" i="2" s="1"/>
  <c r="BB285" i="2"/>
  <c r="BC63" i="2"/>
  <c r="BC75" i="2"/>
  <c r="BB146" i="2"/>
  <c r="BB144" i="2"/>
  <c r="BC140" i="2"/>
  <c r="BC139" i="2"/>
  <c r="BB386" i="2"/>
  <c r="BD386" i="2" s="1"/>
  <c r="BC53" i="2"/>
  <c r="BF122" i="2"/>
  <c r="BB49" i="2"/>
  <c r="BB52" i="2"/>
  <c r="BC29" i="2"/>
  <c r="BB69" i="2"/>
  <c r="BC133" i="2"/>
  <c r="BF133" i="2" s="1"/>
  <c r="BC205" i="2"/>
  <c r="BF205" i="2" s="1"/>
  <c r="BC207" i="2"/>
  <c r="BG207" i="2" s="1"/>
  <c r="BC209" i="2"/>
  <c r="BG209" i="2" s="1"/>
  <c r="BB222" i="2"/>
  <c r="BC236" i="2"/>
  <c r="BB309" i="2"/>
  <c r="BB42" i="2"/>
  <c r="BC24" i="2"/>
  <c r="BB44" i="2"/>
  <c r="BB235" i="2"/>
  <c r="BC201" i="2"/>
  <c r="BG201" i="2" s="1"/>
  <c r="BC228" i="2"/>
  <c r="BB356" i="2"/>
  <c r="BB329" i="2"/>
  <c r="BB369" i="2"/>
  <c r="BB64" i="2"/>
  <c r="BC130" i="2"/>
  <c r="BF130" i="2" s="1"/>
  <c r="BD217" i="2"/>
  <c r="BG26" i="2"/>
  <c r="BB54" i="2"/>
  <c r="BC71" i="2"/>
  <c r="BB216" i="2"/>
  <c r="BB271" i="2"/>
  <c r="BB338" i="2"/>
  <c r="BB399" i="2"/>
  <c r="BE399" i="2" s="1"/>
  <c r="BB32" i="2"/>
  <c r="BB57" i="2"/>
  <c r="BB81" i="2"/>
  <c r="BB230" i="2"/>
  <c r="BE230" i="2" s="1"/>
  <c r="BB267" i="2"/>
  <c r="BC221" i="2"/>
  <c r="BC225" i="2"/>
  <c r="BC32" i="2"/>
  <c r="BB63" i="2"/>
  <c r="BB67" i="2"/>
  <c r="BC202" i="2"/>
  <c r="BF202" i="2" s="1"/>
  <c r="BB250" i="2"/>
  <c r="BB336" i="2"/>
  <c r="AA249" i="12"/>
  <c r="R239" i="12"/>
  <c r="AA239" i="12" s="1"/>
  <c r="R238" i="12"/>
  <c r="AA238" i="12" s="1"/>
  <c r="AC238" i="12" s="1"/>
  <c r="N208" i="12" s="1"/>
  <c r="AT338" i="2" s="1"/>
  <c r="BC338" i="2" s="1"/>
  <c r="R236" i="12"/>
  <c r="AA236" i="12" s="1"/>
  <c r="AB236" i="12" s="1"/>
  <c r="L206" i="12" s="1"/>
  <c r="R235" i="12"/>
  <c r="AA235" i="12" s="1"/>
  <c r="AC235" i="12" s="1"/>
  <c r="N205" i="12" s="1"/>
  <c r="AT308" i="2" s="1"/>
  <c r="BC308" i="2" s="1"/>
  <c r="R234" i="12"/>
  <c r="AA234" i="12" s="1"/>
  <c r="AC234" i="12" s="1"/>
  <c r="N204" i="12" s="1"/>
  <c r="AT296" i="2" s="1"/>
  <c r="BC296" i="2" s="1"/>
  <c r="E151" i="31"/>
  <c r="G151" i="31" s="1"/>
  <c r="C105" i="31" s="1"/>
  <c r="E155" i="31"/>
  <c r="G155" i="31" s="1"/>
  <c r="C109" i="31" s="1"/>
  <c r="E159" i="31"/>
  <c r="H159" i="31" s="1"/>
  <c r="D113" i="31" s="1"/>
  <c r="E161" i="31"/>
  <c r="E165" i="31"/>
  <c r="E153" i="31"/>
  <c r="G153" i="31" s="1"/>
  <c r="C107" i="31" s="1"/>
  <c r="E157" i="31"/>
  <c r="G157" i="31" s="1"/>
  <c r="C111" i="31" s="1"/>
  <c r="E154" i="31"/>
  <c r="H154" i="31" s="1"/>
  <c r="D108" i="31" s="1"/>
  <c r="E158" i="31"/>
  <c r="H158" i="31" s="1"/>
  <c r="D112" i="31" s="1"/>
  <c r="E160" i="31"/>
  <c r="H160" i="31" s="1"/>
  <c r="D114" i="31" s="1"/>
  <c r="E152" i="31"/>
  <c r="G152" i="31" s="1"/>
  <c r="C106" i="31" s="1"/>
  <c r="E156" i="31"/>
  <c r="G156" i="31" s="1"/>
  <c r="C110" i="31" s="1"/>
  <c r="E176" i="31"/>
  <c r="E170" i="31"/>
  <c r="E174" i="31"/>
  <c r="E172" i="31"/>
  <c r="E171" i="31"/>
  <c r="E175" i="31"/>
  <c r="E164" i="31"/>
  <c r="E168" i="31"/>
  <c r="E162" i="31"/>
  <c r="E166" i="31"/>
  <c r="E150" i="31"/>
  <c r="G150" i="31" s="1"/>
  <c r="C104" i="31" s="1"/>
  <c r="H178" i="31"/>
  <c r="D132" i="31" s="1"/>
  <c r="G178" i="31"/>
  <c r="C132" i="31" s="1"/>
  <c r="AQ93" i="2" s="1"/>
  <c r="BB93" i="2" s="1"/>
  <c r="H179" i="31"/>
  <c r="D133" i="31" s="1"/>
  <c r="G179" i="31"/>
  <c r="C133" i="31" s="1"/>
  <c r="AQ99" i="2" s="1"/>
  <c r="BB99" i="2" s="1"/>
  <c r="G183" i="31"/>
  <c r="C137" i="31" s="1"/>
  <c r="BB179" i="2" s="1"/>
  <c r="BC73" i="2"/>
  <c r="BB114" i="2"/>
  <c r="BC129" i="2"/>
  <c r="BG129" i="2" s="1"/>
  <c r="BC208" i="2"/>
  <c r="BG208" i="2" s="1"/>
  <c r="BC35" i="2"/>
  <c r="BB50" i="2"/>
  <c r="BC69" i="2"/>
  <c r="BG120" i="2"/>
  <c r="BC218" i="2"/>
  <c r="BB246" i="2"/>
  <c r="BC270" i="2"/>
  <c r="BB358" i="2"/>
  <c r="BC211" i="2"/>
  <c r="BG211" i="2" s="1"/>
  <c r="BB221" i="2"/>
  <c r="BC261" i="2"/>
  <c r="BC23" i="2"/>
  <c r="BB228" i="2"/>
  <c r="BC247" i="2"/>
  <c r="BB261" i="2"/>
  <c r="BB15" i="2"/>
  <c r="BB124" i="2"/>
  <c r="BB265" i="2"/>
  <c r="BC57" i="2"/>
  <c r="BG119" i="2"/>
  <c r="BB139" i="2"/>
  <c r="BB142" i="2"/>
  <c r="BC220" i="2"/>
  <c r="BB226" i="2"/>
  <c r="BB262" i="2"/>
  <c r="BB349" i="2"/>
  <c r="BB266" i="2"/>
  <c r="BB68" i="2"/>
  <c r="BC77" i="2"/>
  <c r="BC81" i="2"/>
  <c r="BG116" i="2"/>
  <c r="BF19" i="2"/>
  <c r="BC36" i="2"/>
  <c r="BB183" i="2"/>
  <c r="BB236" i="2"/>
  <c r="BB252" i="2"/>
  <c r="BB297" i="2"/>
  <c r="BB348" i="2"/>
  <c r="BG135" i="2"/>
  <c r="BF135" i="2"/>
  <c r="BF157" i="2"/>
  <c r="BB25" i="2"/>
  <c r="BG25" i="2" s="1"/>
  <c r="BB45" i="2"/>
  <c r="BB76" i="2"/>
  <c r="BF116" i="2"/>
  <c r="BF119" i="2"/>
  <c r="BC132" i="2"/>
  <c r="BG132" i="2" s="1"/>
  <c r="BC67" i="2"/>
  <c r="BB71" i="2"/>
  <c r="BC128" i="2"/>
  <c r="BF128" i="2" s="1"/>
  <c r="BC198" i="2"/>
  <c r="BG198" i="2" s="1"/>
  <c r="BG122" i="2"/>
  <c r="BB245" i="2"/>
  <c r="BB158" i="2"/>
  <c r="BE217" i="2"/>
  <c r="BB251" i="2"/>
  <c r="BC121" i="2"/>
  <c r="BF121" i="2" s="1"/>
  <c r="BF120" i="2"/>
  <c r="BB220" i="2"/>
  <c r="BG18" i="2"/>
  <c r="BF18" i="2"/>
  <c r="BC22" i="2"/>
  <c r="BC59" i="2"/>
  <c r="BB272" i="2"/>
  <c r="BC257" i="2"/>
  <c r="BG37" i="2"/>
  <c r="BC55" i="2"/>
  <c r="BB70" i="2"/>
  <c r="BB140" i="2"/>
  <c r="BB231" i="2"/>
  <c r="BE231" i="2" s="1"/>
  <c r="BB239" i="2"/>
  <c r="BB125" i="2"/>
  <c r="BB141" i="2"/>
  <c r="BB46" i="2"/>
  <c r="BF46" i="2" s="1"/>
  <c r="C78" i="17" s="1"/>
  <c r="BC134" i="2"/>
  <c r="BG134" i="2" s="1"/>
  <c r="BB137" i="2"/>
  <c r="BB138" i="2"/>
  <c r="BC200" i="2"/>
  <c r="BG200" i="2" s="1"/>
  <c r="BC206" i="2"/>
  <c r="BG206" i="2" s="1"/>
  <c r="BC216" i="2"/>
  <c r="BB242" i="2"/>
  <c r="BC245" i="2"/>
  <c r="BC381" i="2"/>
  <c r="BB390" i="2"/>
  <c r="BB408" i="2"/>
  <c r="BC126" i="2"/>
  <c r="BG126" i="2" s="1"/>
  <c r="BB14" i="2"/>
  <c r="BC66" i="2"/>
  <c r="BB78" i="2"/>
  <c r="BF78" i="2" s="1"/>
  <c r="BC125" i="2"/>
  <c r="BC199" i="2"/>
  <c r="BG199" i="2" s="1"/>
  <c r="BB234" i="2"/>
  <c r="BC239" i="2"/>
  <c r="BC271" i="2"/>
  <c r="BB283" i="2"/>
  <c r="BC265" i="2"/>
  <c r="BB316" i="2"/>
  <c r="BB368" i="2"/>
  <c r="BB400" i="2"/>
  <c r="BE400" i="2" s="1"/>
  <c r="BC411" i="2"/>
  <c r="BC222" i="2"/>
  <c r="BC256" i="2"/>
  <c r="BC266" i="2"/>
  <c r="BB326" i="2"/>
  <c r="BB346" i="2"/>
  <c r="BB276" i="2"/>
  <c r="BB319" i="2"/>
  <c r="BB339" i="2"/>
  <c r="BB366" i="2"/>
  <c r="BC376" i="2"/>
  <c r="BE376" i="2" s="1"/>
  <c r="BB225" i="2"/>
  <c r="BC242" i="2"/>
  <c r="BC246" i="2"/>
  <c r="BC255" i="2"/>
  <c r="BB256" i="2"/>
  <c r="BB359" i="2"/>
  <c r="BG21" i="2"/>
  <c r="BF21" i="2"/>
  <c r="BG47" i="2"/>
  <c r="BF47" i="2"/>
  <c r="C66" i="17" s="1"/>
  <c r="BG13" i="2"/>
  <c r="BF13" i="2"/>
  <c r="BB53" i="2"/>
  <c r="BB29" i="2"/>
  <c r="BC44" i="2"/>
  <c r="BF108" i="2"/>
  <c r="BB75" i="2"/>
  <c r="BC235" i="2"/>
  <c r="BF27" i="2"/>
  <c r="BB218" i="2"/>
  <c r="BG27" i="2"/>
  <c r="BB74" i="2"/>
  <c r="BG111" i="2"/>
  <c r="BF111" i="2"/>
  <c r="BG110" i="2"/>
  <c r="BF110" i="2"/>
  <c r="BG19" i="2"/>
  <c r="BF26" i="2"/>
  <c r="BC49" i="2"/>
  <c r="BC252" i="2"/>
  <c r="BC276" i="2"/>
  <c r="BB112" i="2"/>
  <c r="BB308" i="2"/>
  <c r="BC240" i="2"/>
  <c r="BC267" i="2"/>
  <c r="BB306" i="2"/>
  <c r="BC250" i="2"/>
  <c r="BC251" i="2"/>
  <c r="BC262" i="2"/>
  <c r="BB328" i="2"/>
  <c r="BC412" i="2"/>
  <c r="BB294" i="2"/>
  <c r="L61" i="29"/>
  <c r="D101" i="29" s="1"/>
  <c r="E101" i="29" s="1"/>
  <c r="E99" i="29"/>
  <c r="E94" i="29"/>
  <c r="G94" i="29" s="1"/>
  <c r="C73" i="29" s="1"/>
  <c r="E96" i="29"/>
  <c r="G96" i="29" s="1"/>
  <c r="C75" i="29" s="1"/>
  <c r="AQ166" i="2" s="1"/>
  <c r="BB166" i="2" s="1"/>
  <c r="E95" i="29"/>
  <c r="G95" i="29" s="1"/>
  <c r="C74" i="29" s="1"/>
  <c r="AQ98" i="2" s="1"/>
  <c r="BB98" i="2" s="1"/>
  <c r="E97" i="29"/>
  <c r="G97" i="29" s="1"/>
  <c r="L55" i="29"/>
  <c r="D145" i="18"/>
  <c r="E145" i="18" s="1"/>
  <c r="K55" i="29"/>
  <c r="E117" i="23"/>
  <c r="G117" i="23" s="1"/>
  <c r="C86" i="23" s="1"/>
  <c r="BC212" i="2"/>
  <c r="BG212" i="2" s="1"/>
  <c r="AC248" i="12"/>
  <c r="N220" i="12" s="1"/>
  <c r="AB252" i="12"/>
  <c r="L221" i="12" s="1"/>
  <c r="AC252" i="12"/>
  <c r="N221" i="12" s="1"/>
  <c r="AB248" i="12"/>
  <c r="BB160" i="2" l="1"/>
  <c r="BG160" i="2" s="1"/>
  <c r="AQ159" i="2"/>
  <c r="BB159" i="2" s="1"/>
  <c r="BG158" i="2" s="1"/>
  <c r="BE223" i="2"/>
  <c r="BD223" i="2"/>
  <c r="O237" i="8"/>
  <c r="AT62" i="2" s="1"/>
  <c r="BC62" i="2" s="1"/>
  <c r="AT70" i="2"/>
  <c r="BC70" i="2" s="1"/>
  <c r="BC60" i="2"/>
  <c r="M370" i="8"/>
  <c r="BF17" i="2"/>
  <c r="BF11" i="2"/>
  <c r="BC234" i="2"/>
  <c r="BD234" i="2" s="1"/>
  <c r="G39" i="15"/>
  <c r="E139" i="15" s="1"/>
  <c r="G204" i="15" s="1"/>
  <c r="BB381" i="2"/>
  <c r="BD381" i="2" s="1"/>
  <c r="G52" i="15"/>
  <c r="G149" i="15" s="1"/>
  <c r="M248" i="5"/>
  <c r="G59" i="15"/>
  <c r="S147" i="11"/>
  <c r="E54" i="23"/>
  <c r="D54" i="23"/>
  <c r="E63" i="15"/>
  <c r="M55" i="29"/>
  <c r="E63" i="14"/>
  <c r="G39" i="14"/>
  <c r="E139" i="14" s="1"/>
  <c r="G204" i="14" s="1"/>
  <c r="G42" i="14"/>
  <c r="E142" i="14" s="1"/>
  <c r="G207" i="14" s="1"/>
  <c r="AY316" i="2" s="1"/>
  <c r="BC316" i="2" s="1"/>
  <c r="G47" i="14"/>
  <c r="E147" i="14" s="1"/>
  <c r="G212" i="14" s="1"/>
  <c r="G52" i="14"/>
  <c r="G149" i="14" s="1"/>
  <c r="G43" i="14"/>
  <c r="E143" i="14" s="1"/>
  <c r="G208" i="14" s="1"/>
  <c r="E63" i="18"/>
  <c r="D144" i="18" s="1"/>
  <c r="D57" i="18"/>
  <c r="C138" i="18" s="1"/>
  <c r="AE299" i="5"/>
  <c r="G44" i="14"/>
  <c r="E144" i="14" s="1"/>
  <c r="G209" i="14" s="1"/>
  <c r="G53" i="14"/>
  <c r="G150" i="14" s="1"/>
  <c r="G221" i="14" s="1"/>
  <c r="G57" i="14"/>
  <c r="G59" i="14" s="1"/>
  <c r="G54" i="14"/>
  <c r="G151" i="14" s="1"/>
  <c r="G222" i="14" s="1"/>
  <c r="E50" i="18"/>
  <c r="D139" i="18" s="1"/>
  <c r="E139" i="18" s="1"/>
  <c r="G40" i="14"/>
  <c r="E140" i="14" s="1"/>
  <c r="G205" i="14" s="1"/>
  <c r="G45" i="14"/>
  <c r="E145" i="14" s="1"/>
  <c r="G210" i="14" s="1"/>
  <c r="G44" i="15"/>
  <c r="E144" i="15" s="1"/>
  <c r="G209" i="15" s="1"/>
  <c r="G41" i="14"/>
  <c r="E141" i="14" s="1"/>
  <c r="G206" i="14" s="1"/>
  <c r="S370" i="8"/>
  <c r="E23" i="23"/>
  <c r="M28" i="23"/>
  <c r="E40" i="23" s="1"/>
  <c r="D112" i="23" s="1"/>
  <c r="E112" i="23" s="1"/>
  <c r="V28" i="23"/>
  <c r="L28" i="23"/>
  <c r="F28" i="23"/>
  <c r="U28" i="23"/>
  <c r="K28" i="23"/>
  <c r="D28" i="23"/>
  <c r="T28" i="23"/>
  <c r="J28" i="23"/>
  <c r="AL90" i="2" s="1"/>
  <c r="C28" i="23"/>
  <c r="R28" i="23"/>
  <c r="D44" i="23" s="1"/>
  <c r="C116" i="23" s="1"/>
  <c r="E116" i="23" s="1"/>
  <c r="Q28" i="23"/>
  <c r="D43" i="23" s="1"/>
  <c r="C115" i="23" s="1"/>
  <c r="E115" i="23" s="1"/>
  <c r="P28" i="23"/>
  <c r="H28" i="23"/>
  <c r="G23" i="23" s="1"/>
  <c r="E34" i="23" s="1"/>
  <c r="D98" i="23" s="1"/>
  <c r="O28" i="23"/>
  <c r="D41" i="23" s="1"/>
  <c r="C113" i="23" s="1"/>
  <c r="E113" i="23" s="1"/>
  <c r="G28" i="23"/>
  <c r="L124" i="11"/>
  <c r="L370" i="8"/>
  <c r="AF299" i="5"/>
  <c r="D56" i="18"/>
  <c r="C137" i="18" s="1"/>
  <c r="R147" i="11"/>
  <c r="D53" i="18"/>
  <c r="C142" i="18" s="1"/>
  <c r="E142" i="18" s="1"/>
  <c r="R129" i="10"/>
  <c r="L78" i="10"/>
  <c r="AM149" i="2"/>
  <c r="N119" i="11"/>
  <c r="N124" i="11" s="1"/>
  <c r="K248" i="5"/>
  <c r="AQ16" i="2"/>
  <c r="BB16" i="2" s="1"/>
  <c r="S129" i="10"/>
  <c r="AB370" i="8"/>
  <c r="M220" i="8"/>
  <c r="E127" i="18"/>
  <c r="H127" i="18" s="1"/>
  <c r="D96" i="18" s="1"/>
  <c r="AT149" i="2" s="1"/>
  <c r="BE383" i="2"/>
  <c r="O370" i="8"/>
  <c r="P370" i="8"/>
  <c r="AC370" i="8"/>
  <c r="O287" i="8"/>
  <c r="C98" i="23"/>
  <c r="H117" i="23"/>
  <c r="D86" i="23" s="1"/>
  <c r="AT83" i="2" s="1"/>
  <c r="BC83" i="2" s="1"/>
  <c r="E50" i="23"/>
  <c r="D114" i="23" s="1"/>
  <c r="D46" i="23"/>
  <c r="C110" i="23" s="1"/>
  <c r="E141" i="18"/>
  <c r="H141" i="18" s="1"/>
  <c r="D110" i="18" s="1"/>
  <c r="AT164" i="2" s="1"/>
  <c r="E140" i="18"/>
  <c r="E48" i="18"/>
  <c r="D55" i="18"/>
  <c r="C144" i="18" s="1"/>
  <c r="E49" i="18"/>
  <c r="D138" i="18" s="1"/>
  <c r="D54" i="18"/>
  <c r="G40" i="15"/>
  <c r="E140" i="15" s="1"/>
  <c r="G205" i="15" s="1"/>
  <c r="G43" i="15"/>
  <c r="E143" i="15" s="1"/>
  <c r="G208" i="15" s="1"/>
  <c r="G55" i="15"/>
  <c r="G152" i="15" s="1"/>
  <c r="G223" i="15" s="1"/>
  <c r="G53" i="15"/>
  <c r="G150" i="15" s="1"/>
  <c r="G221" i="15" s="1"/>
  <c r="G42" i="15"/>
  <c r="E142" i="15" s="1"/>
  <c r="G207" i="15" s="1"/>
  <c r="G217" i="13"/>
  <c r="G101" i="29"/>
  <c r="H101" i="29"/>
  <c r="D80" i="29" s="1"/>
  <c r="AT299" i="2" s="1"/>
  <c r="BF104" i="2"/>
  <c r="H172" i="31"/>
  <c r="D126" i="31" s="1"/>
  <c r="G172" i="31"/>
  <c r="C126" i="31" s="1"/>
  <c r="H164" i="31"/>
  <c r="D118" i="31" s="1"/>
  <c r="G164" i="31"/>
  <c r="C118" i="31" s="1"/>
  <c r="H167" i="31"/>
  <c r="D121" i="31" s="1"/>
  <c r="G167" i="31"/>
  <c r="C121" i="31" s="1"/>
  <c r="H177" i="31"/>
  <c r="D131" i="31" s="1"/>
  <c r="G177" i="31"/>
  <c r="C131" i="31" s="1"/>
  <c r="H175" i="31"/>
  <c r="D129" i="31" s="1"/>
  <c r="G175" i="31"/>
  <c r="C129" i="31" s="1"/>
  <c r="H163" i="31"/>
  <c r="D117" i="31" s="1"/>
  <c r="G163" i="31"/>
  <c r="C117" i="31" s="1"/>
  <c r="H173" i="31"/>
  <c r="D127" i="31" s="1"/>
  <c r="G173" i="31"/>
  <c r="C127" i="31" s="1"/>
  <c r="H171" i="31"/>
  <c r="D125" i="31" s="1"/>
  <c r="G171" i="31"/>
  <c r="C125" i="31" s="1"/>
  <c r="H169" i="31"/>
  <c r="D123" i="31" s="1"/>
  <c r="G169" i="31"/>
  <c r="C123" i="31" s="1"/>
  <c r="H174" i="31"/>
  <c r="D128" i="31" s="1"/>
  <c r="G174" i="31"/>
  <c r="C128" i="31" s="1"/>
  <c r="H166" i="31"/>
  <c r="D120" i="31" s="1"/>
  <c r="G166" i="31"/>
  <c r="C120" i="31" s="1"/>
  <c r="H170" i="31"/>
  <c r="D124" i="31" s="1"/>
  <c r="G170" i="31"/>
  <c r="C124" i="31" s="1"/>
  <c r="H162" i="31"/>
  <c r="D116" i="31" s="1"/>
  <c r="G162" i="31"/>
  <c r="C116" i="31" s="1"/>
  <c r="H176" i="31"/>
  <c r="D130" i="31" s="1"/>
  <c r="G176" i="31"/>
  <c r="C130" i="31" s="1"/>
  <c r="H165" i="31"/>
  <c r="D119" i="31" s="1"/>
  <c r="G165" i="31"/>
  <c r="C119" i="31" s="1"/>
  <c r="G181" i="31"/>
  <c r="C135" i="31" s="1"/>
  <c r="H168" i="31"/>
  <c r="D122" i="31" s="1"/>
  <c r="G168" i="31"/>
  <c r="C122" i="31" s="1"/>
  <c r="H161" i="31"/>
  <c r="D115" i="31" s="1"/>
  <c r="G161" i="31"/>
  <c r="C115" i="31" s="1"/>
  <c r="BG167" i="2"/>
  <c r="AM152" i="2"/>
  <c r="AT187" i="2"/>
  <c r="BC187" i="2" s="1"/>
  <c r="G182" i="31"/>
  <c r="C136" i="31" s="1"/>
  <c r="D186" i="31"/>
  <c r="C186" i="31"/>
  <c r="G185" i="31"/>
  <c r="C139" i="31" s="1"/>
  <c r="AQ85" i="2" s="1"/>
  <c r="BB85" i="2" s="1"/>
  <c r="BF85" i="2" s="1"/>
  <c r="BG179" i="2"/>
  <c r="BF99" i="2"/>
  <c r="BG99" i="2"/>
  <c r="BG174" i="2"/>
  <c r="BF174" i="2"/>
  <c r="BF93" i="2"/>
  <c r="BG93" i="2"/>
  <c r="E92" i="29"/>
  <c r="G92" i="29" s="1"/>
  <c r="C71" i="29" s="1"/>
  <c r="E93" i="29"/>
  <c r="AY336" i="2"/>
  <c r="BC336" i="2" s="1"/>
  <c r="AY356" i="2"/>
  <c r="BC356" i="2" s="1"/>
  <c r="AY294" i="2"/>
  <c r="BC294" i="2" s="1"/>
  <c r="G220" i="14"/>
  <c r="BC9" i="2"/>
  <c r="AK415" i="2"/>
  <c r="BB9" i="2"/>
  <c r="AJ415" i="2"/>
  <c r="BF14" i="2"/>
  <c r="BG136" i="2"/>
  <c r="BB8" i="2"/>
  <c r="BF8" i="2" s="1"/>
  <c r="BD394" i="2"/>
  <c r="BE394" i="2"/>
  <c r="BE390" i="2"/>
  <c r="BD390" i="2"/>
  <c r="BF179" i="2"/>
  <c r="G206" i="15"/>
  <c r="AY306" i="2" s="1"/>
  <c r="BC306" i="2" s="1"/>
  <c r="G220" i="15"/>
  <c r="G153" i="15"/>
  <c r="AY346" i="2"/>
  <c r="BC346" i="2" s="1"/>
  <c r="E66" i="15"/>
  <c r="BB30" i="2"/>
  <c r="BF30" i="2" s="1"/>
  <c r="E158" i="13"/>
  <c r="G225" i="13"/>
  <c r="G230" i="13" s="1"/>
  <c r="G158" i="13"/>
  <c r="G218" i="13" s="1"/>
  <c r="E70" i="13"/>
  <c r="G63" i="13"/>
  <c r="AB242" i="12"/>
  <c r="L212" i="12" s="1"/>
  <c r="AQ406" i="2" s="1"/>
  <c r="BB406" i="2" s="1"/>
  <c r="BD406" i="2" s="1"/>
  <c r="AB243" i="12"/>
  <c r="L213" i="12" s="1"/>
  <c r="AQ407" i="2" s="1"/>
  <c r="BB407" i="2" s="1"/>
  <c r="BD407" i="2" s="1"/>
  <c r="BG144" i="2"/>
  <c r="AQ317" i="2"/>
  <c r="BB317" i="2" s="1"/>
  <c r="AC237" i="12"/>
  <c r="N207" i="12" s="1"/>
  <c r="AT328" i="2" s="1"/>
  <c r="BC328" i="2" s="1"/>
  <c r="BG210" i="2"/>
  <c r="BF109" i="2"/>
  <c r="BD380" i="2"/>
  <c r="BE275" i="2"/>
  <c r="BF139" i="2"/>
  <c r="BF127" i="2"/>
  <c r="BE245" i="2"/>
  <c r="AT241" i="2"/>
  <c r="BC241" i="2" s="1"/>
  <c r="BD240" i="2" s="1"/>
  <c r="D30" i="28"/>
  <c r="AB241" i="12"/>
  <c r="L211" i="12" s="1"/>
  <c r="AQ367" i="2" s="1"/>
  <c r="BB367" i="2" s="1"/>
  <c r="BG147" i="2"/>
  <c r="AC245" i="12"/>
  <c r="N215" i="12" s="1"/>
  <c r="AB245" i="12"/>
  <c r="L215" i="12" s="1"/>
  <c r="AQ82" i="2" s="1"/>
  <c r="BB82" i="2" s="1"/>
  <c r="AC240" i="12"/>
  <c r="N210" i="12" s="1"/>
  <c r="AT358" i="2" s="1"/>
  <c r="BC358" i="2" s="1"/>
  <c r="H253" i="12"/>
  <c r="AA244" i="12"/>
  <c r="BD382" i="2"/>
  <c r="BF144" i="2"/>
  <c r="BE266" i="2"/>
  <c r="BG69" i="2"/>
  <c r="D73" i="17" s="1"/>
  <c r="BE386" i="2"/>
  <c r="BF129" i="2"/>
  <c r="BF10" i="2"/>
  <c r="BD399" i="2"/>
  <c r="BF142" i="2"/>
  <c r="BF126" i="2"/>
  <c r="BE256" i="2"/>
  <c r="BD236" i="2"/>
  <c r="BG139" i="2"/>
  <c r="BE235" i="2"/>
  <c r="BF146" i="2"/>
  <c r="BE221" i="2"/>
  <c r="BF81" i="2"/>
  <c r="BE260" i="2"/>
  <c r="BD219" i="2"/>
  <c r="BG133" i="2"/>
  <c r="BD266" i="2"/>
  <c r="BF201" i="2"/>
  <c r="BG42" i="2"/>
  <c r="BE398" i="2"/>
  <c r="BD216" i="2"/>
  <c r="BG32" i="2"/>
  <c r="BE255" i="2"/>
  <c r="BE277" i="2"/>
  <c r="BF32" i="2"/>
  <c r="BG202" i="2"/>
  <c r="BF207" i="2"/>
  <c r="BE225" i="2"/>
  <c r="BF209" i="2"/>
  <c r="BE267" i="2"/>
  <c r="BE247" i="2"/>
  <c r="BG125" i="2"/>
  <c r="BD261" i="2"/>
  <c r="BD221" i="2"/>
  <c r="BG205" i="2"/>
  <c r="BD396" i="2"/>
  <c r="BD402" i="2"/>
  <c r="BG43" i="2"/>
  <c r="BF134" i="2"/>
  <c r="BF37" i="2"/>
  <c r="BE224" i="2"/>
  <c r="BF224" i="2" s="1"/>
  <c r="BD401" i="2"/>
  <c r="BE257" i="2"/>
  <c r="BD239" i="2"/>
  <c r="BD230" i="2"/>
  <c r="BF42" i="2"/>
  <c r="BE219" i="2"/>
  <c r="BD265" i="2"/>
  <c r="BD260" i="2"/>
  <c r="BD245" i="2"/>
  <c r="BF22" i="2"/>
  <c r="BD252" i="2"/>
  <c r="BG142" i="2"/>
  <c r="BE222" i="2"/>
  <c r="BD271" i="2"/>
  <c r="BG81" i="2"/>
  <c r="BG73" i="2"/>
  <c r="BG48" i="2"/>
  <c r="BG14" i="2"/>
  <c r="BD242" i="2"/>
  <c r="BG52" i="2"/>
  <c r="BF52" i="2"/>
  <c r="C68" i="17" s="1"/>
  <c r="BG130" i="2"/>
  <c r="BG77" i="2"/>
  <c r="D77" i="17" s="1"/>
  <c r="BE270" i="2"/>
  <c r="AC236" i="12"/>
  <c r="N206" i="12" s="1"/>
  <c r="AT318" i="2" s="1"/>
  <c r="BC318" i="2" s="1"/>
  <c r="BF73" i="2"/>
  <c r="BD256" i="2"/>
  <c r="BF66" i="2"/>
  <c r="C73" i="17" s="1"/>
  <c r="BG141" i="2"/>
  <c r="BG59" i="2"/>
  <c r="D69" i="17" s="1"/>
  <c r="BD231" i="2"/>
  <c r="BE239" i="2"/>
  <c r="BF77" i="2"/>
  <c r="BD224" i="2"/>
  <c r="BD270" i="2"/>
  <c r="BF211" i="2"/>
  <c r="BG46" i="2"/>
  <c r="BE410" i="2"/>
  <c r="BD400" i="2"/>
  <c r="BD251" i="2"/>
  <c r="BF62" i="2"/>
  <c r="C71" i="17" s="1"/>
  <c r="BG78" i="2"/>
  <c r="BD225" i="2"/>
  <c r="BD272" i="2"/>
  <c r="T253" i="12"/>
  <c r="AB235" i="12"/>
  <c r="L205" i="12" s="1"/>
  <c r="AQ307" i="2" s="1"/>
  <c r="BB307" i="2" s="1"/>
  <c r="AB238" i="12"/>
  <c r="L208" i="12" s="1"/>
  <c r="AQ337" i="2" s="1"/>
  <c r="BB337" i="2" s="1"/>
  <c r="AB234" i="12"/>
  <c r="L204" i="12" s="1"/>
  <c r="AQ295" i="2" s="1"/>
  <c r="BB295" i="2" s="1"/>
  <c r="N118" i="12"/>
  <c r="AB239" i="12"/>
  <c r="L209" i="12" s="1"/>
  <c r="AQ347" i="2" s="1"/>
  <c r="BB347" i="2" s="1"/>
  <c r="AC239" i="12"/>
  <c r="N209" i="12" s="1"/>
  <c r="AT348" i="2" s="1"/>
  <c r="BC348" i="2" s="1"/>
  <c r="AC249" i="12"/>
  <c r="N222" i="12" s="1"/>
  <c r="AT152" i="2" s="1"/>
  <c r="AB249" i="12"/>
  <c r="L222" i="12" s="1"/>
  <c r="G159" i="31"/>
  <c r="C113" i="31" s="1"/>
  <c r="H155" i="31"/>
  <c r="D109" i="31" s="1"/>
  <c r="H151" i="31"/>
  <c r="D105" i="31" s="1"/>
  <c r="H156" i="31"/>
  <c r="D110" i="31" s="1"/>
  <c r="G154" i="31"/>
  <c r="C108" i="31" s="1"/>
  <c r="G158" i="31"/>
  <c r="C112" i="31" s="1"/>
  <c r="H157" i="31"/>
  <c r="D111" i="31" s="1"/>
  <c r="G160" i="31"/>
  <c r="C114" i="31" s="1"/>
  <c r="AQ288" i="2" s="1"/>
  <c r="H184" i="31"/>
  <c r="D138" i="31" s="1"/>
  <c r="H153" i="31"/>
  <c r="D107" i="31" s="1"/>
  <c r="H150" i="31"/>
  <c r="D104" i="31" s="1"/>
  <c r="AT153" i="2" s="1"/>
  <c r="H152" i="31"/>
  <c r="D106" i="31" s="1"/>
  <c r="BF70" i="2"/>
  <c r="BF25" i="2"/>
  <c r="BE262" i="2"/>
  <c r="BF125" i="2"/>
  <c r="BD410" i="2"/>
  <c r="BF141" i="2"/>
  <c r="BE236" i="2"/>
  <c r="BE272" i="2"/>
  <c r="BE261" i="2"/>
  <c r="BD222" i="2"/>
  <c r="BF69" i="2"/>
  <c r="BD247" i="2"/>
  <c r="BF136" i="2"/>
  <c r="BG123" i="2"/>
  <c r="BF147" i="2"/>
  <c r="BD397" i="2"/>
  <c r="BG148" i="2"/>
  <c r="BG22" i="2"/>
  <c r="BD376" i="2"/>
  <c r="BD255" i="2"/>
  <c r="BD277" i="2"/>
  <c r="BD246" i="2"/>
  <c r="BG62" i="2"/>
  <c r="BG56" i="2"/>
  <c r="C76" i="29"/>
  <c r="AQ173" i="2" s="1"/>
  <c r="BB173" i="2" s="1"/>
  <c r="BC188" i="2"/>
  <c r="E186" i="31"/>
  <c r="BE246" i="2"/>
  <c r="BG31" i="2"/>
  <c r="BF140" i="2"/>
  <c r="BG140" i="2"/>
  <c r="BD220" i="2"/>
  <c r="BE220" i="2"/>
  <c r="BE242" i="2"/>
  <c r="BF206" i="2"/>
  <c r="BD267" i="2"/>
  <c r="BE265" i="2"/>
  <c r="BD275" i="2"/>
  <c r="BF59" i="2"/>
  <c r="BF43" i="2"/>
  <c r="BF148" i="2"/>
  <c r="BE271" i="2"/>
  <c r="BF56" i="2"/>
  <c r="C69" i="17" s="1"/>
  <c r="BG66" i="2"/>
  <c r="BF138" i="2"/>
  <c r="BG138" i="2"/>
  <c r="BF123" i="2"/>
  <c r="BG121" i="2"/>
  <c r="BF198" i="2"/>
  <c r="BE251" i="2"/>
  <c r="BD257" i="2"/>
  <c r="BD395" i="2"/>
  <c r="BE395" i="2"/>
  <c r="BF132" i="2"/>
  <c r="BF200" i="2"/>
  <c r="BF199" i="2"/>
  <c r="BE252" i="2"/>
  <c r="BE216" i="2"/>
  <c r="BF48" i="2"/>
  <c r="C67" i="17" s="1"/>
  <c r="BD384" i="2"/>
  <c r="BD235" i="2"/>
  <c r="BG128" i="2"/>
  <c r="BG146" i="2"/>
  <c r="BD250" i="2"/>
  <c r="BE250" i="2"/>
  <c r="BD262" i="2"/>
  <c r="BD218" i="2"/>
  <c r="BE218" i="2"/>
  <c r="BF55" i="2"/>
  <c r="BG55" i="2"/>
  <c r="D68" i="17" s="1"/>
  <c r="BG35" i="2"/>
  <c r="BF35" i="2"/>
  <c r="BG70" i="2"/>
  <c r="BG112" i="2"/>
  <c r="BF112" i="2"/>
  <c r="BG74" i="2"/>
  <c r="BF74" i="2"/>
  <c r="C77" i="17" s="1"/>
  <c r="BE412" i="2"/>
  <c r="BD412" i="2"/>
  <c r="BE276" i="2"/>
  <c r="BD276" i="2"/>
  <c r="BG65" i="2"/>
  <c r="D71" i="17" s="1"/>
  <c r="BF65" i="2"/>
  <c r="AN419" i="2"/>
  <c r="H94" i="29"/>
  <c r="H97" i="29"/>
  <c r="H95" i="29"/>
  <c r="D74" i="29" s="1"/>
  <c r="AT98" i="2" s="1"/>
  <c r="BC98" i="2" s="1"/>
  <c r="D102" i="29"/>
  <c r="H96" i="29"/>
  <c r="D75" i="29" s="1"/>
  <c r="AT166" i="2" s="1"/>
  <c r="BC166" i="2" s="1"/>
  <c r="H99" i="29"/>
  <c r="D78" i="29" s="1"/>
  <c r="G99" i="29"/>
  <c r="C78" i="29" s="1"/>
  <c r="AQ84" i="2" s="1"/>
  <c r="C102" i="29"/>
  <c r="AQ92" i="2"/>
  <c r="BB92" i="2" s="1"/>
  <c r="G145" i="18"/>
  <c r="C114" i="18" s="1"/>
  <c r="H145" i="18"/>
  <c r="D114" i="18" s="1"/>
  <c r="AT82" i="2" s="1"/>
  <c r="BC82" i="2" s="1"/>
  <c r="H91" i="29"/>
  <c r="G91" i="29"/>
  <c r="C70" i="29" s="1"/>
  <c r="BF212" i="2"/>
  <c r="AT150" i="2"/>
  <c r="L220" i="12"/>
  <c r="BF160" i="2" l="1"/>
  <c r="BF158" i="2"/>
  <c r="BF60" i="2"/>
  <c r="BG60" i="2"/>
  <c r="BE234" i="2"/>
  <c r="BE381" i="2"/>
  <c r="G225" i="14"/>
  <c r="E28" i="23"/>
  <c r="AY326" i="2"/>
  <c r="BC326" i="2" s="1"/>
  <c r="AM164" i="2"/>
  <c r="BC164" i="2" s="1"/>
  <c r="AY366" i="2"/>
  <c r="BC366" i="2" s="1"/>
  <c r="G153" i="14"/>
  <c r="E219" i="14" s="1"/>
  <c r="E225" i="14" s="1"/>
  <c r="E39" i="23"/>
  <c r="D111" i="23" s="1"/>
  <c r="E111" i="23" s="1"/>
  <c r="AL96" i="2"/>
  <c r="E138" i="18"/>
  <c r="G138" i="18" s="1"/>
  <c r="C107" i="18" s="1"/>
  <c r="AQ102" i="2" s="1"/>
  <c r="E144" i="18"/>
  <c r="G144" i="18" s="1"/>
  <c r="C113" i="18" s="1"/>
  <c r="AQ162" i="2" s="1"/>
  <c r="BB162" i="2" s="1"/>
  <c r="G127" i="18"/>
  <c r="C96" i="18" s="1"/>
  <c r="AQ149" i="2" s="1"/>
  <c r="BB149" i="2" s="1"/>
  <c r="AL88" i="2"/>
  <c r="E37" i="23"/>
  <c r="D109" i="23" s="1"/>
  <c r="E109" i="23" s="1"/>
  <c r="K32" i="23"/>
  <c r="AL103" i="2" s="1"/>
  <c r="E153" i="14"/>
  <c r="AM162" i="2"/>
  <c r="E38" i="23"/>
  <c r="D110" i="23" s="1"/>
  <c r="D42" i="23"/>
  <c r="C114" i="23" s="1"/>
  <c r="E114" i="23" s="1"/>
  <c r="G114" i="23" s="1"/>
  <c r="C83" i="23" s="1"/>
  <c r="AQ178" i="2" s="1"/>
  <c r="BB178" i="2" s="1"/>
  <c r="E98" i="23"/>
  <c r="G98" i="23" s="1"/>
  <c r="C67" i="23" s="1"/>
  <c r="AQ33" i="2" s="1"/>
  <c r="AL33" i="2"/>
  <c r="H142" i="18"/>
  <c r="D111" i="18" s="1"/>
  <c r="AT177" i="2" s="1"/>
  <c r="G142" i="18"/>
  <c r="C111" i="18" s="1"/>
  <c r="AQ177" i="2" s="1"/>
  <c r="BB177" i="2" s="1"/>
  <c r="AT347" i="2"/>
  <c r="BC347" i="2" s="1"/>
  <c r="AQ392" i="2"/>
  <c r="BB392" i="2" s="1"/>
  <c r="M287" i="8"/>
  <c r="AQ51" i="2"/>
  <c r="BB51" i="2" s="1"/>
  <c r="BC149" i="2"/>
  <c r="AQ341" i="2"/>
  <c r="BB341" i="2" s="1"/>
  <c r="AQ351" i="2"/>
  <c r="BB351" i="2" s="1"/>
  <c r="H112" i="23"/>
  <c r="D81" i="23" s="1"/>
  <c r="AT89" i="2" s="1"/>
  <c r="BC89" i="2" s="1"/>
  <c r="G112" i="23"/>
  <c r="C81" i="23" s="1"/>
  <c r="AQ89" i="2" s="1"/>
  <c r="BB89" i="2" s="1"/>
  <c r="H111" i="23"/>
  <c r="D80" i="23" s="1"/>
  <c r="AT97" i="2" s="1"/>
  <c r="BC97" i="2" s="1"/>
  <c r="G111" i="23"/>
  <c r="C80" i="23" s="1"/>
  <c r="AQ97" i="2" s="1"/>
  <c r="BB97" i="2" s="1"/>
  <c r="H113" i="23"/>
  <c r="D82" i="23" s="1"/>
  <c r="AT165" i="2" s="1"/>
  <c r="BC165" i="2" s="1"/>
  <c r="G113" i="23"/>
  <c r="C82" i="23" s="1"/>
  <c r="AQ165" i="2" s="1"/>
  <c r="BB165" i="2" s="1"/>
  <c r="H109" i="23"/>
  <c r="D78" i="23" s="1"/>
  <c r="AT91" i="2" s="1"/>
  <c r="BC91" i="2" s="1"/>
  <c r="G109" i="23"/>
  <c r="C78" i="23" s="1"/>
  <c r="AQ91" i="2" s="1"/>
  <c r="BB91" i="2" s="1"/>
  <c r="E110" i="23"/>
  <c r="G115" i="23"/>
  <c r="C84" i="23" s="1"/>
  <c r="AQ172" i="2" s="1"/>
  <c r="BB172" i="2" s="1"/>
  <c r="H115" i="23"/>
  <c r="D84" i="23" s="1"/>
  <c r="AT172" i="2" s="1"/>
  <c r="BC172" i="2" s="1"/>
  <c r="H116" i="23"/>
  <c r="D85" i="23" s="1"/>
  <c r="AT163" i="2" s="1"/>
  <c r="BC163" i="2" s="1"/>
  <c r="G116" i="23"/>
  <c r="C85" i="23" s="1"/>
  <c r="AQ163" i="2" s="1"/>
  <c r="BB163" i="2" s="1"/>
  <c r="G141" i="18"/>
  <c r="C110" i="18" s="1"/>
  <c r="AQ164" i="2" s="1"/>
  <c r="BB164" i="2" s="1"/>
  <c r="H140" i="18"/>
  <c r="D109" i="18" s="1"/>
  <c r="AT88" i="2" s="1"/>
  <c r="BC88" i="2" s="1"/>
  <c r="G140" i="18"/>
  <c r="C109" i="18" s="1"/>
  <c r="AQ88" i="2" s="1"/>
  <c r="AL102" i="2"/>
  <c r="AM177" i="2"/>
  <c r="H138" i="18"/>
  <c r="D107" i="18" s="1"/>
  <c r="AT102" i="2" s="1"/>
  <c r="BC102" i="2" s="1"/>
  <c r="H139" i="18"/>
  <c r="D108" i="18" s="1"/>
  <c r="AT96" i="2" s="1"/>
  <c r="BC96" i="2" s="1"/>
  <c r="G139" i="18"/>
  <c r="C108" i="18" s="1"/>
  <c r="AQ96" i="2" s="1"/>
  <c r="C143" i="18"/>
  <c r="E143" i="18" s="1"/>
  <c r="E66" i="18"/>
  <c r="D137" i="18"/>
  <c r="E137" i="18" s="1"/>
  <c r="D66" i="18"/>
  <c r="AT331" i="2"/>
  <c r="BC331" i="2" s="1"/>
  <c r="AT321" i="2"/>
  <c r="BC321" i="2" s="1"/>
  <c r="G225" i="15"/>
  <c r="E153" i="15"/>
  <c r="AQ331" i="2"/>
  <c r="BB331" i="2" s="1"/>
  <c r="AT311" i="2"/>
  <c r="BC311" i="2" s="1"/>
  <c r="AT351" i="2"/>
  <c r="BC351" i="2" s="1"/>
  <c r="AT361" i="2"/>
  <c r="BC361" i="2" s="1"/>
  <c r="AT371" i="2"/>
  <c r="BC371" i="2" s="1"/>
  <c r="AQ301" i="2"/>
  <c r="BB301" i="2" s="1"/>
  <c r="AQ311" i="2"/>
  <c r="BB311" i="2" s="1"/>
  <c r="AQ361" i="2"/>
  <c r="BB361" i="2" s="1"/>
  <c r="AQ321" i="2"/>
  <c r="BB321" i="2" s="1"/>
  <c r="AT301" i="2"/>
  <c r="BC301" i="2" s="1"/>
  <c r="AT341" i="2"/>
  <c r="BC341" i="2" s="1"/>
  <c r="AT288" i="2"/>
  <c r="BC288" i="2" s="1"/>
  <c r="AQ371" i="2"/>
  <c r="BB371" i="2" s="1"/>
  <c r="BC153" i="2"/>
  <c r="AT84" i="2"/>
  <c r="BC84" i="2" s="1"/>
  <c r="BG85" i="2"/>
  <c r="AQ151" i="2"/>
  <c r="BB151" i="2" s="1"/>
  <c r="H92" i="29"/>
  <c r="D71" i="29" s="1"/>
  <c r="AT151" i="2" s="1"/>
  <c r="AM151" i="2"/>
  <c r="AL186" i="2" s="1"/>
  <c r="BB288" i="2"/>
  <c r="BB84" i="2"/>
  <c r="E102" i="29"/>
  <c r="G93" i="29" s="1"/>
  <c r="C72" i="29" s="1"/>
  <c r="AQ300" i="2" s="1"/>
  <c r="I153" i="14"/>
  <c r="G213" i="14"/>
  <c r="G215" i="14" s="1"/>
  <c r="BB153" i="2"/>
  <c r="BG8" i="2"/>
  <c r="BG9" i="2"/>
  <c r="BF9" i="2"/>
  <c r="BB188" i="2"/>
  <c r="BC152" i="2"/>
  <c r="E219" i="15"/>
  <c r="E225" i="15" s="1"/>
  <c r="G213" i="15"/>
  <c r="G215" i="15" s="1"/>
  <c r="I153" i="15"/>
  <c r="BG30" i="2"/>
  <c r="BE407" i="2"/>
  <c r="E224" i="13"/>
  <c r="E230" i="13" s="1"/>
  <c r="AY281" i="2"/>
  <c r="BC281" i="2" s="1"/>
  <c r="G220" i="13"/>
  <c r="I158" i="13"/>
  <c r="BE406" i="2"/>
  <c r="AQ152" i="2"/>
  <c r="O116" i="12"/>
  <c r="BE240" i="2"/>
  <c r="AB244" i="12"/>
  <c r="L214" i="12" s="1"/>
  <c r="BB145" i="2" s="1"/>
  <c r="AC244" i="12"/>
  <c r="N214" i="12" s="1"/>
  <c r="AT145" i="2" s="1"/>
  <c r="BC145" i="2" s="1"/>
  <c r="C65" i="17"/>
  <c r="C79" i="17" s="1"/>
  <c r="AA233" i="12"/>
  <c r="R253" i="12"/>
  <c r="D76" i="29"/>
  <c r="AT173" i="2" s="1"/>
  <c r="BC173" i="2" s="1"/>
  <c r="D73" i="29"/>
  <c r="AT92" i="2" s="1"/>
  <c r="BC92" i="2" s="1"/>
  <c r="G186" i="31"/>
  <c r="C141" i="31"/>
  <c r="H186" i="31"/>
  <c r="D141" i="31"/>
  <c r="D70" i="29"/>
  <c r="AQ150" i="2"/>
  <c r="BC150" i="2"/>
  <c r="BG149" i="2" l="1"/>
  <c r="AM178" i="2"/>
  <c r="AL192" i="2" s="1"/>
  <c r="BB192" i="2" s="1"/>
  <c r="BB96" i="2"/>
  <c r="BF96" i="2" s="1"/>
  <c r="H144" i="18"/>
  <c r="D113" i="18" s="1"/>
  <c r="AT162" i="2" s="1"/>
  <c r="BC162" i="2" s="1"/>
  <c r="BG162" i="2" s="1"/>
  <c r="BB88" i="2"/>
  <c r="BG88" i="2" s="1"/>
  <c r="BF149" i="2"/>
  <c r="AM192" i="2"/>
  <c r="BC192" i="2" s="1"/>
  <c r="D55" i="23"/>
  <c r="C100" i="23" s="1"/>
  <c r="E55" i="23"/>
  <c r="D100" i="23" s="1"/>
  <c r="D118" i="23" s="1"/>
  <c r="BB33" i="2"/>
  <c r="H98" i="23"/>
  <c r="D67" i="23" s="1"/>
  <c r="AT33" i="2" s="1"/>
  <c r="BC33" i="2" s="1"/>
  <c r="H114" i="23"/>
  <c r="D83" i="23" s="1"/>
  <c r="AT178" i="2" s="1"/>
  <c r="BF51" i="2"/>
  <c r="BG51" i="2"/>
  <c r="D67" i="17" s="1"/>
  <c r="D79" i="17" s="1"/>
  <c r="E79" i="17" s="1"/>
  <c r="BE392" i="2"/>
  <c r="BD392" i="2"/>
  <c r="BG164" i="2"/>
  <c r="H110" i="23"/>
  <c r="D79" i="23" s="1"/>
  <c r="AT103" i="2" s="1"/>
  <c r="BC103" i="2" s="1"/>
  <c r="G110" i="23"/>
  <c r="C79" i="23" s="1"/>
  <c r="AQ103" i="2" s="1"/>
  <c r="BB103" i="2" s="1"/>
  <c r="BF164" i="2"/>
  <c r="BB102" i="2"/>
  <c r="BC177" i="2"/>
  <c r="C129" i="18"/>
  <c r="C136" i="18"/>
  <c r="C134" i="18"/>
  <c r="C135" i="18"/>
  <c r="C131" i="18"/>
  <c r="C133" i="18"/>
  <c r="D67" i="18"/>
  <c r="C132" i="18"/>
  <c r="C128" i="18"/>
  <c r="C130" i="18"/>
  <c r="H137" i="18"/>
  <c r="D106" i="18" s="1"/>
  <c r="AT90" i="2" s="1"/>
  <c r="BC90" i="2" s="1"/>
  <c r="G137" i="18"/>
  <c r="C106" i="18" s="1"/>
  <c r="AQ90" i="2" s="1"/>
  <c r="BB90" i="2" s="1"/>
  <c r="D136" i="18"/>
  <c r="D128" i="18"/>
  <c r="D130" i="18"/>
  <c r="D131" i="18"/>
  <c r="D133" i="18"/>
  <c r="D135" i="18"/>
  <c r="D134" i="18"/>
  <c r="D129" i="18"/>
  <c r="D132" i="18"/>
  <c r="E67" i="18"/>
  <c r="G143" i="18"/>
  <c r="C112" i="18" s="1"/>
  <c r="AQ171" i="2" s="1"/>
  <c r="BB171" i="2" s="1"/>
  <c r="H143" i="18"/>
  <c r="D112" i="18" s="1"/>
  <c r="AT171" i="2" s="1"/>
  <c r="BC171" i="2" s="1"/>
  <c r="AY28" i="2"/>
  <c r="BF82" i="2"/>
  <c r="BB186" i="2"/>
  <c r="H93" i="29"/>
  <c r="H102" i="29" s="1"/>
  <c r="BC151" i="2"/>
  <c r="BF151" i="2" s="1"/>
  <c r="BB300" i="2"/>
  <c r="BG82" i="2"/>
  <c r="BG153" i="2"/>
  <c r="BB152" i="2"/>
  <c r="BF152" i="2" s="1"/>
  <c r="BG145" i="2"/>
  <c r="BF145" i="2"/>
  <c r="AB233" i="12"/>
  <c r="AA253" i="12"/>
  <c r="AC233" i="12"/>
  <c r="G102" i="29"/>
  <c r="C82" i="29"/>
  <c r="BB184" i="2"/>
  <c r="BB150" i="2"/>
  <c r="BG183" i="2" l="1"/>
  <c r="C94" i="17"/>
  <c r="C117" i="17" s="1"/>
  <c r="L170" i="16"/>
  <c r="N174" i="16" s="1"/>
  <c r="BC178" i="2"/>
  <c r="BF177" i="2" s="1"/>
  <c r="BF88" i="2"/>
  <c r="D56" i="23"/>
  <c r="BG96" i="2"/>
  <c r="J102" i="29"/>
  <c r="BF162" i="2"/>
  <c r="E56" i="23"/>
  <c r="BF33" i="2"/>
  <c r="BG33" i="2"/>
  <c r="AM415" i="2"/>
  <c r="E133" i="18"/>
  <c r="G133" i="18" s="1"/>
  <c r="C102" i="18" s="1"/>
  <c r="AQ340" i="2" s="1"/>
  <c r="BB340" i="2" s="1"/>
  <c r="BF183" i="2"/>
  <c r="BF90" i="2"/>
  <c r="C118" i="23"/>
  <c r="E100" i="23"/>
  <c r="BG171" i="2"/>
  <c r="E135" i="18"/>
  <c r="H135" i="18" s="1"/>
  <c r="D104" i="18" s="1"/>
  <c r="AT359" i="2" s="1"/>
  <c r="BC359" i="2" s="1"/>
  <c r="D146" i="18"/>
  <c r="BF171" i="2"/>
  <c r="BG90" i="2"/>
  <c r="AL415" i="2"/>
  <c r="E131" i="18"/>
  <c r="E130" i="18"/>
  <c r="E136" i="18"/>
  <c r="BG102" i="2"/>
  <c r="BF102" i="2"/>
  <c r="E134" i="18"/>
  <c r="E128" i="18"/>
  <c r="C146" i="18"/>
  <c r="E129" i="18"/>
  <c r="E132" i="18"/>
  <c r="BC28" i="2"/>
  <c r="BG28" i="2" s="1"/>
  <c r="D72" i="29"/>
  <c r="BG151" i="2"/>
  <c r="BG152" i="2"/>
  <c r="N203" i="12"/>
  <c r="AC253" i="12"/>
  <c r="L203" i="12"/>
  <c r="AB253" i="12"/>
  <c r="BG150" i="2"/>
  <c r="BF150" i="2"/>
  <c r="L194" i="16" l="1"/>
  <c r="Q193" i="16" s="1"/>
  <c r="L290" i="16"/>
  <c r="BG177" i="2"/>
  <c r="AM419" i="2"/>
  <c r="H133" i="18"/>
  <c r="D102" i="18" s="1"/>
  <c r="AT339" i="2" s="1"/>
  <c r="BC339" i="2" s="1"/>
  <c r="BE336" i="2" s="1"/>
  <c r="E118" i="23"/>
  <c r="G100" i="23" s="1"/>
  <c r="H100" i="23"/>
  <c r="G135" i="18"/>
  <c r="C104" i="18" s="1"/>
  <c r="AQ360" i="2" s="1"/>
  <c r="BB360" i="2" s="1"/>
  <c r="G129" i="18"/>
  <c r="C98" i="18" s="1"/>
  <c r="AQ298" i="2" s="1"/>
  <c r="BB298" i="2" s="1"/>
  <c r="H129" i="18"/>
  <c r="D98" i="18" s="1"/>
  <c r="AT297" i="2" s="1"/>
  <c r="BC297" i="2" s="1"/>
  <c r="G136" i="18"/>
  <c r="C105" i="18" s="1"/>
  <c r="AQ370" i="2" s="1"/>
  <c r="BB370" i="2" s="1"/>
  <c r="H136" i="18"/>
  <c r="D105" i="18" s="1"/>
  <c r="AT369" i="2" s="1"/>
  <c r="BC369" i="2" s="1"/>
  <c r="G132" i="18"/>
  <c r="C101" i="18" s="1"/>
  <c r="AQ330" i="2" s="1"/>
  <c r="BB330" i="2" s="1"/>
  <c r="H132" i="18"/>
  <c r="D101" i="18" s="1"/>
  <c r="AT329" i="2" s="1"/>
  <c r="BC329" i="2" s="1"/>
  <c r="H128" i="18"/>
  <c r="E146" i="18"/>
  <c r="G128" i="18" s="1"/>
  <c r="H130" i="18"/>
  <c r="D99" i="18" s="1"/>
  <c r="AT309" i="2" s="1"/>
  <c r="BC309" i="2" s="1"/>
  <c r="G130" i="18"/>
  <c r="C99" i="18" s="1"/>
  <c r="AQ310" i="2" s="1"/>
  <c r="BB310" i="2" s="1"/>
  <c r="G134" i="18"/>
  <c r="C103" i="18" s="1"/>
  <c r="AQ350" i="2" s="1"/>
  <c r="BB350" i="2" s="1"/>
  <c r="H134" i="18"/>
  <c r="D103" i="18" s="1"/>
  <c r="AT349" i="2" s="1"/>
  <c r="BC349" i="2" s="1"/>
  <c r="H131" i="18"/>
  <c r="D100" i="18" s="1"/>
  <c r="AT319" i="2" s="1"/>
  <c r="BC319" i="2" s="1"/>
  <c r="G131" i="18"/>
  <c r="C100" i="18" s="1"/>
  <c r="AQ320" i="2" s="1"/>
  <c r="BB320" i="2" s="1"/>
  <c r="BF28" i="2"/>
  <c r="BC299" i="2"/>
  <c r="D82" i="29"/>
  <c r="AT283" i="2"/>
  <c r="N223" i="12"/>
  <c r="AQ284" i="2"/>
  <c r="L223" i="12"/>
  <c r="BD294" i="2" l="1"/>
  <c r="AY197" i="2"/>
  <c r="L306" i="16"/>
  <c r="AV191" i="2"/>
  <c r="J306" i="16"/>
  <c r="BD356" i="2"/>
  <c r="BE356" i="2"/>
  <c r="BD326" i="2"/>
  <c r="BE326" i="2"/>
  <c r="BE346" i="2"/>
  <c r="BD346" i="2"/>
  <c r="BD366" i="2"/>
  <c r="BE366" i="2"/>
  <c r="BD316" i="2"/>
  <c r="BE316" i="2"/>
  <c r="BE306" i="2"/>
  <c r="BD306" i="2"/>
  <c r="BD336" i="2"/>
  <c r="BE294" i="2"/>
  <c r="D69" i="23"/>
  <c r="H118" i="23"/>
  <c r="C69" i="23"/>
  <c r="G118" i="23"/>
  <c r="D97" i="18"/>
  <c r="H146" i="18"/>
  <c r="G146" i="18"/>
  <c r="C97" i="18"/>
  <c r="BB284" i="2"/>
  <c r="BC283" i="2"/>
  <c r="BB191" i="2" l="1"/>
  <c r="BF194" i="2" s="1"/>
  <c r="AV415" i="2"/>
  <c r="BC197" i="2"/>
  <c r="AY415" i="2"/>
  <c r="AQ287" i="2"/>
  <c r="BB287" i="2" s="1"/>
  <c r="C88" i="23"/>
  <c r="AT285" i="2"/>
  <c r="BC285" i="2" s="1"/>
  <c r="D88" i="23"/>
  <c r="C117" i="18"/>
  <c r="AQ286" i="2"/>
  <c r="AT284" i="2"/>
  <c r="D117" i="18"/>
  <c r="BG197" i="2" l="1"/>
  <c r="BF197" i="2"/>
  <c r="BC284" i="2"/>
  <c r="BC415" i="2" s="1"/>
  <c r="AT415" i="2"/>
  <c r="BB286" i="2"/>
  <c r="BE281" i="2" l="1"/>
  <c r="BE415" i="2" s="1"/>
  <c r="BD281" i="2"/>
  <c r="BB415" i="2"/>
  <c r="BD415" i="2"/>
  <c r="BD417" i="2" l="1"/>
  <c r="BE417" i="2"/>
  <c r="BF193" i="2" s="1"/>
  <c r="BG193" i="2" l="1"/>
  <c r="L195" i="16" s="1"/>
  <c r="BE419" i="2"/>
  <c r="BD419" i="2"/>
  <c r="C115" i="17" l="1"/>
  <c r="C118" i="17" s="1"/>
  <c r="BF214" i="2"/>
  <c r="BF415" i="2" s="1"/>
  <c r="BG214" i="2"/>
  <c r="BG415" i="2" s="1"/>
  <c r="N192" i="16" l="1"/>
  <c r="Q195" i="16"/>
  <c r="AQ415" i="2" l="1"/>
  <c r="AQ417"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37" authorId="0" shapeId="0" xr:uid="{00000000-0006-0000-0100-000001000000}">
      <text>
        <r>
          <rPr>
            <b/>
            <sz val="8"/>
            <color indexed="81"/>
            <rFont val="Tahoma"/>
            <family val="2"/>
          </rPr>
          <t>LGC:</t>
        </r>
        <r>
          <rPr>
            <sz val="8"/>
            <color indexed="81"/>
            <rFont val="Tahoma"/>
            <family val="2"/>
          </rPr>
          <t xml:space="preserve">
Negative NPO should be reported as a prepaid expense per GASB codification P20.113</t>
        </r>
      </text>
    </comment>
    <comment ref="C47" authorId="0" shapeId="0" xr:uid="{00000000-0006-0000-0100-000002000000}">
      <text>
        <r>
          <rPr>
            <b/>
            <sz val="8"/>
            <color indexed="81"/>
            <rFont val="Tahoma"/>
            <family val="2"/>
          </rPr>
          <t>LGC:</t>
        </r>
        <r>
          <rPr>
            <sz val="8"/>
            <color indexed="81"/>
            <rFont val="Tahoma"/>
            <family val="2"/>
          </rPr>
          <t xml:space="preserve">
At this time there are no material amounts for this category, but if material non-depreciable assets do exist (in addition to land) they must be separately disclosed.</t>
        </r>
      </text>
    </comment>
    <comment ref="C157" authorId="0" shapeId="0" xr:uid="{00000000-0006-0000-0100-000003000000}">
      <text>
        <r>
          <rPr>
            <b/>
            <sz val="8"/>
            <color indexed="81"/>
            <rFont val="Tahoma"/>
            <family val="2"/>
          </rPr>
          <t>LGC:</t>
        </r>
        <r>
          <rPr>
            <sz val="8"/>
            <color indexed="81"/>
            <rFont val="Tahoma"/>
            <family val="2"/>
          </rPr>
          <t xml:space="preserve">
Previously treated as the prepaid portion of deferred revenue. Reported as unearned revenue in both modified and full accrual.</t>
        </r>
      </text>
    </comment>
    <comment ref="AL183" authorId="0" shapeId="0" xr:uid="{00000000-0006-0000-0100-000004000000}">
      <text>
        <r>
          <rPr>
            <b/>
            <sz val="8"/>
            <color indexed="81"/>
            <rFont val="Tahoma"/>
            <family val="2"/>
          </rPr>
          <t>LGC:</t>
        </r>
        <r>
          <rPr>
            <sz val="8"/>
            <color indexed="81"/>
            <rFont val="Tahoma"/>
            <family val="2"/>
          </rPr>
          <t xml:space="preserve">
Effect to equity for long-term debt.</t>
        </r>
      </text>
    </comment>
    <comment ref="AM183" authorId="0" shapeId="0" xr:uid="{00000000-0006-0000-0100-000005000000}">
      <text>
        <r>
          <rPr>
            <b/>
            <sz val="8"/>
            <color indexed="81"/>
            <rFont val="Tahoma"/>
            <family val="2"/>
          </rPr>
          <t>LGC:</t>
        </r>
        <r>
          <rPr>
            <sz val="8"/>
            <color indexed="81"/>
            <rFont val="Tahoma"/>
            <family val="2"/>
          </rPr>
          <t xml:space="preserve">
Effect to equity for net of capital asset entries (gross assets less
 accum deprec).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37" authorId="0" shapeId="0" xr:uid="{00000000-0006-0000-0200-000001000000}">
      <text>
        <r>
          <rPr>
            <b/>
            <sz val="8"/>
            <color indexed="81"/>
            <rFont val="Tahoma"/>
            <family val="2"/>
          </rPr>
          <t>LGC:</t>
        </r>
        <r>
          <rPr>
            <sz val="8"/>
            <color indexed="81"/>
            <rFont val="Tahoma"/>
            <family val="2"/>
          </rPr>
          <t xml:space="preserve">
Significant items, subject to management control, that meet one of the criteria of 1)unusual in nature, or 2) infrequent in occurrence - not reasonably expected to recur in the foreseeable future.)</t>
        </r>
      </text>
    </comment>
    <comment ref="C38" authorId="0" shapeId="0" xr:uid="{00000000-0006-0000-0200-000002000000}">
      <text>
        <r>
          <rPr>
            <b/>
            <sz val="8"/>
            <color indexed="81"/>
            <rFont val="Tahoma"/>
            <family val="2"/>
          </rPr>
          <t>LGC:</t>
        </r>
        <r>
          <rPr>
            <sz val="8"/>
            <color indexed="81"/>
            <rFont val="Tahoma"/>
            <family val="2"/>
          </rPr>
          <t xml:space="preserve">
Significant events that must be both unusual in nature and infrequent in occurrence</t>
        </r>
      </text>
    </comment>
    <comment ref="C91" authorId="0" shapeId="0" xr:uid="{00000000-0006-0000-0200-000003000000}">
      <text>
        <r>
          <rPr>
            <b/>
            <sz val="8"/>
            <color indexed="81"/>
            <rFont val="Tahoma"/>
            <family val="2"/>
          </rPr>
          <t>LGC:</t>
        </r>
        <r>
          <rPr>
            <sz val="8"/>
            <color indexed="81"/>
            <rFont val="Tahoma"/>
            <family val="2"/>
          </rPr>
          <t xml:space="preserve">
Significant items, subject to management control, that meet one of the criteria of 1)unusual in nature, or 2) infrequent in occurrence - not reasonably expected to recur in the foreseeable future.)</t>
        </r>
      </text>
    </comment>
    <comment ref="C92" authorId="0" shapeId="0" xr:uid="{00000000-0006-0000-0200-000004000000}">
      <text>
        <r>
          <rPr>
            <b/>
            <sz val="8"/>
            <color indexed="81"/>
            <rFont val="Tahoma"/>
            <family val="2"/>
          </rPr>
          <t>LGC:</t>
        </r>
        <r>
          <rPr>
            <sz val="8"/>
            <color indexed="81"/>
            <rFont val="Tahoma"/>
            <family val="2"/>
          </rPr>
          <t xml:space="preserve">
Significant events that must be both unusual in nature and infrequent in occurrence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D42" authorId="0" shapeId="0" xr:uid="{00000000-0006-0000-0700-000001000000}">
      <text>
        <r>
          <rPr>
            <b/>
            <sz val="8"/>
            <color indexed="81"/>
            <rFont val="Tahoma"/>
            <family val="2"/>
          </rPr>
          <t>LGC:</t>
        </r>
        <r>
          <rPr>
            <sz val="8"/>
            <color indexed="81"/>
            <rFont val="Tahoma"/>
            <family val="2"/>
          </rPr>
          <t xml:space="preserve">
Assumes that this was recorded as an other 
financing source since it is a special item.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69" authorId="0" shapeId="0" xr:uid="{00000000-0006-0000-0900-000001000000}">
      <text>
        <r>
          <rPr>
            <b/>
            <sz val="8"/>
            <color indexed="81"/>
            <rFont val="Tahoma"/>
            <family val="2"/>
          </rPr>
          <t>LGC:</t>
        </r>
        <r>
          <rPr>
            <sz val="8"/>
            <color indexed="81"/>
            <rFont val="Tahoma"/>
            <family val="2"/>
          </rPr>
          <t xml:space="preserve">
The deferred charge is amortized over the shorter of the life of the old debt or the new debt.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B57" authorId="0" shapeId="0" xr:uid="{00000000-0006-0000-0A00-000001000000}">
      <text>
        <r>
          <rPr>
            <b/>
            <sz val="8"/>
            <color indexed="81"/>
            <rFont val="Tahoma"/>
            <family val="2"/>
          </rPr>
          <t>LGC:</t>
        </r>
        <r>
          <rPr>
            <sz val="8"/>
            <color indexed="81"/>
            <rFont val="Tahoma"/>
            <family val="2"/>
          </rPr>
          <t xml:space="preserve">
Recognizing an expenditure at the time of purchase.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33" authorId="0" shapeId="0" xr:uid="{00000000-0006-0000-0C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increases equity.</t>
        </r>
      </text>
    </comment>
    <comment ref="C136" authorId="0" shapeId="0" xr:uid="{00000000-0006-0000-0C00-000002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18" authorId="0" shapeId="0" xr:uid="{00000000-0006-0000-0C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24" authorId="0" shapeId="0" xr:uid="{00000000-0006-0000-0C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28" authorId="0" shapeId="0" xr:uid="{00000000-0006-0000-0D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 equity.</t>
        </r>
      </text>
    </comment>
    <comment ref="C131" authorId="0" shapeId="0" xr:uid="{00000000-0006-0000-0D00-000002000000}">
      <text>
        <r>
          <rPr>
            <b/>
            <sz val="8"/>
            <color indexed="81"/>
            <rFont val="Tahoma"/>
            <family val="2"/>
          </rPr>
          <t>LGC:</t>
        </r>
        <r>
          <rPr>
            <sz val="8"/>
            <color indexed="81"/>
            <rFont val="Tahoma"/>
            <family val="2"/>
          </rPr>
          <t xml:space="preserve">
This services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13" authorId="0" shapeId="0" xr:uid="{00000000-0006-0000-0D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19" authorId="0" shapeId="0" xr:uid="{00000000-0006-0000-0D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28" authorId="0" shapeId="0" xr:uid="{00000000-0006-0000-0E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 equity.</t>
        </r>
      </text>
    </comment>
    <comment ref="C131" authorId="0" shapeId="0" xr:uid="{00000000-0006-0000-0E00-000002000000}">
      <text>
        <r>
          <rPr>
            <b/>
            <sz val="8"/>
            <color indexed="81"/>
            <rFont val="Tahoma"/>
            <family val="2"/>
          </rPr>
          <t>LGC:</t>
        </r>
        <r>
          <rPr>
            <sz val="8"/>
            <color indexed="81"/>
            <rFont val="Tahoma"/>
            <family val="2"/>
          </rPr>
          <t xml:space="preserve">
This services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13" authorId="0" shapeId="0" xr:uid="{00000000-0006-0000-0E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19" authorId="0" shapeId="0" xr:uid="{00000000-0006-0000-0E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04" authorId="0" shapeId="0" xr:uid="{0A0C8A9A-C470-40A7-830D-127B251EE2C6}">
      <text>
        <r>
          <rPr>
            <b/>
            <sz val="9"/>
            <color indexed="81"/>
            <rFont val="Tahoma"/>
            <family val="2"/>
          </rPr>
          <t>Becky Dzingeleski:</t>
        </r>
        <r>
          <rPr>
            <sz val="9"/>
            <color indexed="81"/>
            <rFont val="Tahoma"/>
            <family val="2"/>
          </rPr>
          <t xml:space="preserve">
confirmed from CMC GASBS 68 tables from RSD - Allocations Tab</t>
        </r>
      </text>
    </comment>
  </commentList>
</comments>
</file>

<file path=xl/sharedStrings.xml><?xml version="1.0" encoding="utf-8"?>
<sst xmlns="http://schemas.openxmlformats.org/spreadsheetml/2006/main" count="12124" uniqueCount="4216">
  <si>
    <t>The carrying value of an asset must be adjusted if its service utility has been significantly impaired. This example addresses the most common, physical damage. To meet the requirements of GASB 42 both of the following must be true: 1) magnitude of decline in service utility is significant; and 2) it is unexpected. This entry will calculate the capital asset impairment loss (or gain if an insurance recovery was received) when pysical damage occurs using the restoration cost approach.  Within that approach, the damage ratio can be calculated by the replacment cost method or the deflator method depending on what information is known. If replacement cost in current dollars is not known, then the restoration cost can be deflated to the year of acquisition. Deflation factors can be computed if the inflation factor per year is known or obtained from the internet by using engineering construction indexes or the consumer price index and selecting factors for the date of acquisition of the impaired asset.</t>
  </si>
  <si>
    <t>Restoration expenditures or insurance recovery may occur in another fiscal year. In that case, the impairment loss is recorded in the year of the loss and the recovery would be recorded as as a gain (miscellaneous revenue or extrarodinary gain) depending on the magnitude of the amount.</t>
  </si>
  <si>
    <t>Assets physically damaged during the year from accidents or natural causes which have been or are planned to be restored:</t>
  </si>
  <si>
    <t>Vehicle +</t>
  </si>
  <si>
    <t xml:space="preserve">What is the original cost at the beginning of the year for assets physically damaged during current year? </t>
  </si>
  <si>
    <t>What is the accumulated depreciation at the beginning of the year for the assets damaged in a. above?</t>
  </si>
  <si>
    <t>What is the depreciation expense for the current year up to the
 date of the damage for the assets above?</t>
  </si>
  <si>
    <t>Net book value of capital assets damaged</t>
  </si>
  <si>
    <r>
      <t xml:space="preserve">Method 1 - </t>
    </r>
    <r>
      <rPr>
        <sz val="10"/>
        <color indexed="10"/>
        <rFont val="Arial"/>
        <family val="2"/>
      </rPr>
      <t>know current year amounts earned</t>
    </r>
  </si>
  <si>
    <r>
      <t>Method 2 -</t>
    </r>
    <r>
      <rPr>
        <sz val="10"/>
        <color indexed="10"/>
        <rFont val="Arial"/>
        <family val="2"/>
      </rPr>
      <t xml:space="preserve"> know current year amounts taken</t>
    </r>
  </si>
  <si>
    <r>
      <t xml:space="preserve">Enter the amount of </t>
    </r>
    <r>
      <rPr>
        <u/>
        <sz val="10"/>
        <rFont val="Arial"/>
        <family val="2"/>
      </rPr>
      <t>current year collections</t>
    </r>
    <r>
      <rPr>
        <sz val="10"/>
        <rFont val="Arial"/>
        <family val="2"/>
      </rPr>
      <t xml:space="preserve"> in the function where the proceeds will be/have been expended. The sum of the amounts entered must equal the calculated amount for current collections.</t>
    </r>
  </si>
  <si>
    <t>n</t>
  </si>
  <si>
    <t>o</t>
  </si>
  <si>
    <t>Final Entry for Conversion Worksheet   [Entry C.1]</t>
  </si>
  <si>
    <t>Determination of Proportionate Participation</t>
  </si>
  <si>
    <t>$</t>
  </si>
  <si>
    <t>%</t>
  </si>
  <si>
    <t>Internal Charges</t>
  </si>
  <si>
    <t>Governmental Activities:</t>
  </si>
  <si>
    <t>Culture and recreation</t>
  </si>
  <si>
    <t>Total Governmental Activities</t>
  </si>
  <si>
    <t>Business-type Activities:</t>
  </si>
  <si>
    <t>Water and sewer</t>
  </si>
  <si>
    <t>Electric</t>
  </si>
  <si>
    <t>Total Business-type Activities</t>
  </si>
  <si>
    <t>Total Internal Charges</t>
  </si>
  <si>
    <t>External Charges</t>
  </si>
  <si>
    <t>Total Charges for Services</t>
  </si>
  <si>
    <t>Expenses for services provided externally</t>
  </si>
  <si>
    <t>Equip +</t>
  </si>
  <si>
    <t>Furniture</t>
  </si>
  <si>
    <t>Indicate any amounts from step a. that would qualify as a special item.</t>
  </si>
  <si>
    <t>What is the net book values of any assets donated from or transferred in from the Enterprise Funds or an Internal Service Fund accounted for in Business-type activities included in the amount for step a. above?</t>
  </si>
  <si>
    <t>9.</t>
  </si>
  <si>
    <t>J</t>
  </si>
  <si>
    <r>
      <t xml:space="preserve">What is the </t>
    </r>
    <r>
      <rPr>
        <u/>
        <sz val="10"/>
        <rFont val="Arial"/>
        <family val="2"/>
      </rPr>
      <t>"material" amount of loss</t>
    </r>
    <r>
      <rPr>
        <sz val="10"/>
        <rFont val="Arial"/>
        <family val="2"/>
      </rPr>
      <t xml:space="preserve"> on disposal that should be reclassified as an expense to General Government  </t>
    </r>
    <r>
      <rPr>
        <sz val="8"/>
        <color indexed="10"/>
        <rFont val="Arial"/>
        <family val="2"/>
      </rPr>
      <t>(Enter as a positive number. Miscellaneous revenue will be adjusted in this entry.)</t>
    </r>
  </si>
  <si>
    <r>
      <t xml:space="preserve">Reclassify material losses in the sale of capital assets.   </t>
    </r>
    <r>
      <rPr>
        <b/>
        <sz val="8"/>
        <rFont val="Arial"/>
        <family val="2"/>
      </rPr>
      <t>(Entry initially generated as F.1 from Tab F.Other Cap Asset Entries)</t>
    </r>
  </si>
  <si>
    <r>
      <t xml:space="preserve">What is the </t>
    </r>
    <r>
      <rPr>
        <u/>
        <sz val="10"/>
        <rFont val="Arial"/>
        <family val="2"/>
      </rPr>
      <t>"material" amount of loss</t>
    </r>
    <r>
      <rPr>
        <sz val="10"/>
        <rFont val="Arial"/>
        <family val="2"/>
      </rPr>
      <t xml:space="preserve"> on disposal that meets the criteria to be reported as a special expense item.</t>
    </r>
    <r>
      <rPr>
        <sz val="10"/>
        <color indexed="10"/>
        <rFont val="Arial"/>
        <family val="2"/>
      </rPr>
      <t xml:space="preserve"> </t>
    </r>
    <r>
      <rPr>
        <sz val="8"/>
        <color indexed="10"/>
        <rFont val="Arial"/>
        <family val="2"/>
      </rPr>
      <t>(Enter as a positive number - Miscellaneous revenue will be adjusted in this entry.)</t>
    </r>
    <r>
      <rPr>
        <sz val="10"/>
        <rFont val="Arial"/>
        <family val="2"/>
      </rPr>
      <t xml:space="preserve"> </t>
    </r>
  </si>
  <si>
    <t>L.10</t>
  </si>
  <si>
    <r>
      <t xml:space="preserve">General Government </t>
    </r>
    <r>
      <rPr>
        <sz val="8"/>
        <color indexed="10"/>
        <rFont val="Arial"/>
        <family val="2"/>
      </rPr>
      <t>(expense)</t>
    </r>
  </si>
  <si>
    <r>
      <t xml:space="preserve">Miscellaneous revenue </t>
    </r>
    <r>
      <rPr>
        <sz val="8"/>
        <color indexed="10"/>
        <rFont val="Arial"/>
        <family val="2"/>
      </rPr>
      <t>(Adjusts journal entry F.1 created earlier)</t>
    </r>
  </si>
  <si>
    <t>Reclassifies material losses on sale of cap assets as expense of Gen Govt or records as special exp item</t>
  </si>
  <si>
    <r>
      <t xml:space="preserve">Special item - expense </t>
    </r>
    <r>
      <rPr>
        <sz val="8"/>
        <color indexed="10"/>
        <rFont val="Arial"/>
        <family val="2"/>
      </rPr>
      <t>(Loss on sale or disposal of assets)</t>
    </r>
  </si>
  <si>
    <t>Accumulated depreciation - Other improvements</t>
  </si>
  <si>
    <t>Accumulated depreciation - Vehicles &amp; motorized equipment</t>
  </si>
  <si>
    <t>Accumulated depreciation - Infrastructure</t>
  </si>
  <si>
    <t>Special Item</t>
  </si>
  <si>
    <t>Description</t>
  </si>
  <si>
    <t>Balance Sheet Accounts</t>
  </si>
  <si>
    <t xml:space="preserve"> </t>
  </si>
  <si>
    <t>Restricted cash</t>
  </si>
  <si>
    <t>Taxes receivable</t>
  </si>
  <si>
    <t>Accounts receivable</t>
  </si>
  <si>
    <t>Due from other funds</t>
  </si>
  <si>
    <t>Due from other governments</t>
  </si>
  <si>
    <t>Due from component unit</t>
  </si>
  <si>
    <t>Inventories</t>
  </si>
  <si>
    <t>Prepaid items</t>
  </si>
  <si>
    <t>Due to other funds</t>
  </si>
  <si>
    <t>Customer deposits</t>
  </si>
  <si>
    <t>Intergovernmental payable</t>
  </si>
  <si>
    <t>General obligation bonds</t>
  </si>
  <si>
    <t>Bond anticipation notes</t>
  </si>
  <si>
    <t>The workbook is color-coded.  Blue cells are calculated numbers and are protected and locked.  Yellow cells are those that need data entered by the user.  However, every yellow cell may not be applicable to your unit and can be left blank. The tan sections on the summary worksheet are those accounts that have multiple rows included for one account to be summed at the end of the conversion process. The purple rows are proof totals.</t>
  </si>
  <si>
    <t>Printing:</t>
  </si>
  <si>
    <t>+</t>
  </si>
  <si>
    <t>-</t>
  </si>
  <si>
    <t>Special legislation for restriction of earnings for Register of Deeds</t>
  </si>
  <si>
    <r>
      <t xml:space="preserve">What was the </t>
    </r>
    <r>
      <rPr>
        <u/>
        <sz val="10"/>
        <rFont val="Arial"/>
        <family val="2"/>
      </rPr>
      <t>net</t>
    </r>
    <r>
      <rPr>
        <sz val="10"/>
        <rFont val="Arial"/>
        <family val="2"/>
      </rPr>
      <t xml:space="preserve"> amount of transfers between the governmental funds and the internal service funds whose predominant user is governmental?</t>
    </r>
  </si>
  <si>
    <t>Note:</t>
  </si>
  <si>
    <t>Equipment &amp; Furniture</t>
  </si>
  <si>
    <t>Accum. Depreciation - Equipment &amp; Furniture</t>
  </si>
  <si>
    <t>Capital grants &amp; contributions</t>
  </si>
  <si>
    <t>General government - operating grants &amp; contributions</t>
  </si>
  <si>
    <t>Transportation - operating grants &amp; contributions</t>
  </si>
  <si>
    <t>Economic &amp; physical development - operating grants &amp; contributions</t>
  </si>
  <si>
    <t>Environmental protection - operating grants &amp; contributions</t>
  </si>
  <si>
    <t>Human services - operating grants &amp; contributions</t>
  </si>
  <si>
    <t>Accounts in tan have multiple</t>
  </si>
  <si>
    <t>Manually Posted</t>
  </si>
  <si>
    <t>Entries</t>
  </si>
  <si>
    <t>As Needed</t>
  </si>
  <si>
    <t>Preliminary judgment made on which funds are major and which are non-major before conversion worksheet is done. Reconfirmed if any adjusting entries for modified accrual are made.</t>
  </si>
  <si>
    <r>
      <t xml:space="preserve">K.1 - K.3 Internal Service Fund Allocation: </t>
    </r>
    <r>
      <rPr>
        <sz val="10"/>
        <rFont val="Arial"/>
        <family val="2"/>
      </rPr>
      <t xml:space="preserve">There are worksheets for three internal service funds, </t>
    </r>
    <r>
      <rPr>
        <u/>
        <sz val="10"/>
        <rFont val="Arial"/>
        <family val="2"/>
      </rPr>
      <t>each of which must serve governmental funds as the primary beneficiary</t>
    </r>
    <r>
      <rPr>
        <sz val="10"/>
        <rFont val="Arial"/>
        <family val="2"/>
      </rPr>
      <t xml:space="preserve">. If enterprise funds are the primary beneficiary then they should be entered in the Business type conversion worksheet elsewhere on the website. </t>
    </r>
  </si>
  <si>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adjustments can be made.</t>
  </si>
  <si>
    <t>Consolidate transfers to arrive at net transfers to business type activities.</t>
  </si>
  <si>
    <t xml:space="preserve">Eliminate interfund balances for receivables and payables between governmental funds. </t>
  </si>
  <si>
    <t>Fund Balance</t>
  </si>
  <si>
    <t>Please be aware that in addition to posting to the conversion worksheets, capital assets and depreciation must be added to the unit's permanent accounts for recording capital assets in order to have proper beginning balances for next year's statements.</t>
  </si>
  <si>
    <t>Worksheet A</t>
  </si>
  <si>
    <t>Unrestricted intergovernmental</t>
  </si>
  <si>
    <t>Journal entry for conversion worksheet to reclassify revenue to functional categories:   [Entry  A.1]</t>
  </si>
  <si>
    <t>WORK SECTION for ENTRY</t>
  </si>
  <si>
    <t xml:space="preserve">Credit </t>
  </si>
  <si>
    <t xml:space="preserve">be presented as such in the General Revenue section of the Statement of Activities. </t>
  </si>
  <si>
    <t>Revenue Reclassification by Function</t>
  </si>
  <si>
    <t>The work section of this worksheet following section F compiles the data for the final entries in section F. Entry F.1 is for disposals; entry F.2 is to record the revenue when assets are donated to the unit; entry F.3 is to reclassify capital outlay expenditures to the proper function when title to the asset is not held by the county. The work section is not defined in the initial print range but provides the components of the final entry. Print ranges can be modified if it needs to be printed.</t>
  </si>
  <si>
    <t>Public safety - Capital grants and contributions</t>
  </si>
  <si>
    <t>Transportation - Charges for services</t>
  </si>
  <si>
    <t>Transportation - Operating grants and contributions</t>
  </si>
  <si>
    <t>Transportation - Capital grants and contributions</t>
  </si>
  <si>
    <t>Environmental protection - Charges for services</t>
  </si>
  <si>
    <t>Environmental protection - Operating grants and contributions</t>
  </si>
  <si>
    <t>What are the adjustments to expenses and liabilities for claims and judgments ?</t>
  </si>
  <si>
    <t xml:space="preserve"> Payments</t>
  </si>
  <si>
    <t>New claims</t>
  </si>
  <si>
    <r>
      <t xml:space="preserve">What was the balance at the end of the </t>
    </r>
    <r>
      <rPr>
        <u/>
        <sz val="10"/>
        <rFont val="Arial"/>
        <family val="2"/>
      </rPr>
      <t>prior year</t>
    </r>
    <r>
      <rPr>
        <sz val="10"/>
        <rFont val="Arial"/>
        <family val="2"/>
      </rPr>
      <t xml:space="preserve"> for claims and judgments?</t>
    </r>
  </si>
  <si>
    <t>Restricted for Capital Projects</t>
  </si>
  <si>
    <t>GASB 34 - Allocation of Internal Service Funds (Fund #1)</t>
  </si>
  <si>
    <t>GASB 34 - Allocation of Internal Service Funds (Fund #2)</t>
  </si>
  <si>
    <t>GASB 34 - Allocation of Internal Service Funds (Fund #3)</t>
  </si>
  <si>
    <r>
      <t xml:space="preserve"> </t>
    </r>
    <r>
      <rPr>
        <sz val="8"/>
        <color indexed="10"/>
        <rFont val="Arial"/>
        <family val="2"/>
      </rPr>
      <t>Eliminates intra-governmental</t>
    </r>
  </si>
  <si>
    <t xml:space="preserve">Closes out inter-activity </t>
  </si>
  <si>
    <t>balance account</t>
  </si>
  <si>
    <t>accounts to internal</t>
  </si>
  <si>
    <t>The journal entry for the conversion worksheet, to reclassify these expenditures as capital assets, will be automatically created.</t>
  </si>
  <si>
    <t>Determine the asset categories for which the expenditures noted in Section A were made and enter amounts by asset class. The total amount for section A and B should be equal.</t>
  </si>
  <si>
    <t>a.</t>
  </si>
  <si>
    <t xml:space="preserve">What is the original cost at the beginning of the year for an asset sold during current year? </t>
  </si>
  <si>
    <t>b.</t>
  </si>
  <si>
    <t>This workbook is designed to calculate the government-wide numbers for all governmental -type activities, including any internal service funds deemed to be primarily governmental in nature.  A separate workbook is available to calculate the government-wide numbers for all business-type activities.</t>
  </si>
  <si>
    <t>Specific Instructions:</t>
  </si>
  <si>
    <t>Enter the amount of debt related to capital assets.
Enter as a positive number.</t>
  </si>
  <si>
    <r>
      <t>The information collected in this worksheet will provide the specific information that must be input into Worksheet L. Section</t>
    </r>
    <r>
      <rPr>
        <sz val="10"/>
        <rFont val="Times New Roman"/>
        <family val="1"/>
      </rPr>
      <t xml:space="preserve"> I</t>
    </r>
    <r>
      <rPr>
        <sz val="10"/>
        <rFont val="Arial"/>
        <family val="2"/>
      </rPr>
      <t>. Entering these final numbers into worksheet L should complete the conversion process.</t>
    </r>
  </si>
  <si>
    <t>Major Funds</t>
  </si>
  <si>
    <t>Non-major Governmental Funds</t>
  </si>
  <si>
    <t xml:space="preserve">Total </t>
  </si>
  <si>
    <t>Allowance for uncollectible accounts</t>
  </si>
  <si>
    <t>Allowance for uncollectible interest</t>
  </si>
  <si>
    <t>Allowance for uncollectible tax accounts</t>
  </si>
  <si>
    <t>Cultural &amp; Recreation</t>
  </si>
  <si>
    <t>Capital Outlay</t>
  </si>
  <si>
    <t>Dr</t>
  </si>
  <si>
    <t>Cr</t>
  </si>
  <si>
    <t>Accum. Depreciation - Improvements</t>
  </si>
  <si>
    <t>Accum. Depreciation - Infrastructure</t>
  </si>
  <si>
    <t>Ref</t>
  </si>
  <si>
    <t>Leave this section blank if a separate account(s) entitled "Due to/from fiduciary funds" has been used at the fund level.</t>
  </si>
  <si>
    <t xml:space="preserve">What is the amount in "Due from other funds" that is due from fiduciary funds ? </t>
  </si>
  <si>
    <r>
      <t xml:space="preserve">Assumptions were made in journal entry F.1 </t>
    </r>
    <r>
      <rPr>
        <i/>
        <sz val="10"/>
        <rFont val="Arial"/>
        <family val="2"/>
      </rPr>
      <t>(from Tab F.Other Capital Asset Entries)</t>
    </r>
    <r>
      <rPr>
        <sz val="10"/>
        <rFont val="Arial"/>
        <family val="2"/>
      </rPr>
      <t xml:space="preserve"> that all sales/disposals of capital assets resulted in gains to miscellaneous revenue. If however a material loss occurred, it should be reclassified as a General Government expense. </t>
    </r>
    <r>
      <rPr>
        <i/>
        <sz val="10"/>
        <rFont val="Arial"/>
        <family val="2"/>
      </rPr>
      <t>(Question #131 from Implementation Guide 1.)</t>
    </r>
    <r>
      <rPr>
        <sz val="10"/>
        <rFont val="Arial"/>
        <family val="2"/>
      </rPr>
      <t xml:space="preserve"> For material losses, complete the question in section </t>
    </r>
    <r>
      <rPr>
        <sz val="11"/>
        <rFont val="Times New Roman"/>
        <family val="1"/>
      </rPr>
      <t>I.</t>
    </r>
    <r>
      <rPr>
        <sz val="10"/>
        <rFont val="Arial"/>
        <family val="2"/>
      </rPr>
      <t xml:space="preserve"> below. Indicate the amount of the loss that qualifies as a General Government expense and any material portion that meets the criteria for a special expense.</t>
    </r>
  </si>
  <si>
    <t>Accrued interest receivable on taxes</t>
  </si>
  <si>
    <t>Due to other governments</t>
  </si>
  <si>
    <t>Change in pension obligation during the year</t>
  </si>
  <si>
    <t>Net change in value over the year</t>
  </si>
  <si>
    <t>Transfers in</t>
  </si>
  <si>
    <t>Transfers out</t>
  </si>
  <si>
    <t xml:space="preserve">   Transfers in</t>
  </si>
  <si>
    <t xml:space="preserve">   Transfers out</t>
  </si>
  <si>
    <t>Unallocated amounts for operating accounts</t>
  </si>
  <si>
    <t>Allocation of profit or loss</t>
  </si>
  <si>
    <t>See Memo # 964 for the proper classification of revenue sources to operating, capital or charges for service.</t>
  </si>
  <si>
    <t xml:space="preserve">See Memos # 949 and # 964 for a discussion of the proper recognition of revenue under modified accrual and full accrual for GASB 33 and 34. </t>
  </si>
  <si>
    <r>
      <t xml:space="preserve">What is the amount of payables -"Advances from other funds" due to the business type activities from the governmental activities?  </t>
    </r>
    <r>
      <rPr>
        <sz val="8"/>
        <color indexed="10"/>
        <rFont val="Arial"/>
        <family val="2"/>
      </rPr>
      <t>Follow the directions in step 1 above - entering the number from the Conversion worksheet - exclude fiduciary funds portion.</t>
    </r>
  </si>
  <si>
    <r>
      <t xml:space="preserve">Reclassify inter-activity receivables and payables to internal balances </t>
    </r>
    <r>
      <rPr>
        <sz val="10"/>
        <rFont val="Arial"/>
        <family val="2"/>
      </rPr>
      <t xml:space="preserve">(transactions between governmental type and business type activities.) </t>
    </r>
    <r>
      <rPr>
        <b/>
        <sz val="10"/>
        <rFont val="Arial"/>
        <family val="2"/>
      </rPr>
      <t xml:space="preserve">  </t>
    </r>
    <r>
      <rPr>
        <b/>
        <sz val="8"/>
        <color indexed="10"/>
        <rFont val="Arial"/>
        <family val="2"/>
      </rPr>
      <t>Note: Due to/from Fiduciary funds are not included here.  It is best to separately classify them at the fund level but if that was not done, then complete Section D below.</t>
    </r>
  </si>
  <si>
    <t>Reclassify receivables and payables to the fiduciary funds from governmental activities.</t>
  </si>
  <si>
    <t>Interfund receivables and payables between the governmental funds must be eliminated so as not to overstate the assets and liabilities for governmental activities. There are four accounts which are affected, "due to/from" and "advances to/from."  Interfund receivables and payables to fiduciary funds are treated as external parties at the government-wide level. They are best reported in a separate account entitled due to/from fiduciary funds on the fund's Balance Sheet. If receivables/payables from fiduciary funds have not already been recorded on a separate line, complete the questions in Section D.</t>
  </si>
  <si>
    <r>
      <t xml:space="preserve">Special Item - gain (loss) on sale of asset </t>
    </r>
    <r>
      <rPr>
        <sz val="10"/>
        <rFont val="Wingdings 2"/>
        <family val="1"/>
        <charset val="2"/>
      </rPr>
      <t xml:space="preserve"> </t>
    </r>
    <r>
      <rPr>
        <sz val="12"/>
        <rFont val="Wingdings 2"/>
        <family val="1"/>
        <charset val="2"/>
      </rPr>
      <t xml:space="preserve"> l</t>
    </r>
  </si>
  <si>
    <t xml:space="preserve">Expenditures recorded under the modified accrual basis of accounting for the purchase or construction of capital assets must be reported as additions to capital assets under the full accrual basis of accounting on the government-wide statements. The capital assets acquired in these transactions will be added to the amounts previously recorded when the Capital Assets were entered on the conversion worksheet. Note that all expenditures for capital assets may not have been coded as capital outlay so a careful review of expenditures is needed to find all transactions related to capital assets such as expenditures for land or infrastructure coded as street improvements. </t>
  </si>
  <si>
    <r>
      <t xml:space="preserve">What was the amount of new debt issued by category for all governmental funds?  </t>
    </r>
    <r>
      <rPr>
        <b/>
        <sz val="10"/>
        <color indexed="10"/>
        <rFont val="Arial"/>
        <family val="2"/>
      </rPr>
      <t>(Exclude refunding bonds.)</t>
    </r>
  </si>
  <si>
    <r>
      <t>Review the governmental funds and record the information regarding bond refunding including the new debt, the old debt, the payment to the escrow agent,  and any issuance costs.</t>
    </r>
    <r>
      <rPr>
        <i/>
        <sz val="8"/>
        <rFont val="Arial"/>
        <family val="2"/>
      </rPr>
      <t xml:space="preserve"> </t>
    </r>
    <r>
      <rPr>
        <i/>
        <sz val="9"/>
        <rFont val="Arial"/>
        <family val="2"/>
      </rPr>
      <t>(If there were multiple refundings in the year, combine the numbers.)</t>
    </r>
  </si>
  <si>
    <r>
      <t xml:space="preserve">Enter net book value of traded asset calculated above into the cell for the asset class for the newly acquired asset?  </t>
    </r>
    <r>
      <rPr>
        <sz val="10"/>
        <color indexed="10"/>
        <rFont val="Arial"/>
        <family val="2"/>
      </rPr>
      <t>(</t>
    </r>
    <r>
      <rPr>
        <i/>
        <sz val="10"/>
        <color indexed="10"/>
        <rFont val="Arial"/>
        <family val="2"/>
      </rPr>
      <t>typically it will be the same asset class as the old asset but it may be a different class.)</t>
    </r>
    <r>
      <rPr>
        <i/>
        <sz val="10"/>
        <rFont val="Arial"/>
        <family val="2"/>
      </rPr>
      <t xml:space="preserve"> </t>
    </r>
  </si>
  <si>
    <t xml:space="preserve">What is the amount of installment purchases/COPs payable that will be due and payable within one year? </t>
  </si>
  <si>
    <t>Worksheets K.1-3 only handled internal service funds if the governmental activities were the primary users. For those internal service funds where the business type activity was the primary user and the allocation entries were created in the business type conversion worksheet, those entries applying to governmental activities must be entered in Section H below.</t>
  </si>
  <si>
    <t>Improvements other than buildings</t>
  </si>
  <si>
    <t>Recording Depreciation Expense</t>
  </si>
  <si>
    <t xml:space="preserve">Note that any revenue items or other financing sources qualifying as "special" or "extraordinary" as defined by GASB 34 will have to </t>
  </si>
  <si>
    <r>
      <t xml:space="preserve">Special item  </t>
    </r>
    <r>
      <rPr>
        <i/>
        <sz val="10"/>
        <rFont val="Arial"/>
        <family val="2"/>
      </rPr>
      <t>(revenue)</t>
    </r>
  </si>
  <si>
    <t>Accrued interest payable</t>
  </si>
  <si>
    <t>Beginning fund balance</t>
  </si>
  <si>
    <t>Interest expense</t>
  </si>
  <si>
    <t>What was the interest activity for debt over the year?</t>
  </si>
  <si>
    <t>Major Fund #4</t>
  </si>
  <si>
    <t>Education</t>
  </si>
  <si>
    <t>Education - charge for service</t>
  </si>
  <si>
    <t>Education - operating grants &amp; contributions</t>
  </si>
  <si>
    <t>Education - capital grants &amp; contributions</t>
  </si>
  <si>
    <t xml:space="preserve">Education </t>
  </si>
  <si>
    <t>Education-operating grants &amp; contributions</t>
  </si>
  <si>
    <t>Education-capital grants &amp; contributions</t>
  </si>
  <si>
    <t>Net Proceeds of New Debt Issue:</t>
  </si>
  <si>
    <t>Reacquisition cost:</t>
  </si>
  <si>
    <t>This workbook is mapped using cell references.  Any addition of columns and/or rows will alter the formulas and corrupt the data.  There are columns and rows placed in the program in areas where we felt that you may need to add additional text and data. Using these columns and rows will help prevent the altering of formulas and cell references. In most cases they are named "other" funds or "other" accounts, etc. They should be obvious.</t>
  </si>
  <si>
    <t>This workbook has been provided as a tool to facilitate your unit's conversion to the full accrual statements required by GASB 34. In preparation of this workbook, the staff of the LGC has assumed that the user has a good working knowledge of Excel.  The LGC's staff will provide accounting support for use of this workbook; however, we cannot give detailed instruction in the use of Excel.</t>
  </si>
  <si>
    <t>Environmental Protection</t>
  </si>
  <si>
    <t>Debt Service</t>
  </si>
  <si>
    <t>Principal retirement</t>
  </si>
  <si>
    <t>Interest and fees</t>
  </si>
  <si>
    <t>* In this scenario the governmental activities, as primary beneficiary, will have a balance payable to the business type activity of $304 which will be posted to the internal balance account to avoid an elimination entry later.</t>
  </si>
  <si>
    <r>
      <t xml:space="preserve">What was the prior year internal balance entry for the internal service fund allocation for governmental type activity? </t>
    </r>
    <r>
      <rPr>
        <sz val="8"/>
        <color indexed="10"/>
        <rFont val="Arial"/>
        <family val="2"/>
      </rPr>
      <t>Indicate sign - this amount will be negative if government activities owe (have a balance payable to) business type activities, and positive if government type activities have a balance receivable from business type activities.</t>
    </r>
  </si>
  <si>
    <t>General government</t>
  </si>
  <si>
    <t xml:space="preserve">Environmental protection </t>
  </si>
  <si>
    <t>m</t>
  </si>
  <si>
    <t>A.1</t>
  </si>
  <si>
    <t>A.2</t>
  </si>
  <si>
    <t>B.1</t>
  </si>
  <si>
    <t>B.2</t>
  </si>
  <si>
    <t>C.1</t>
  </si>
  <si>
    <t>D.1</t>
  </si>
  <si>
    <t>Special item - revenue</t>
  </si>
  <si>
    <t>Notes 1 &amp; 2  ---  Data is entered</t>
  </si>
  <si>
    <t>Note 4 -- Entry A.1  from</t>
  </si>
  <si>
    <t>Special item - expenditure</t>
  </si>
  <si>
    <t>Total of new debt</t>
  </si>
  <si>
    <t>Human services</t>
  </si>
  <si>
    <t>Claims and judgments</t>
  </si>
  <si>
    <t>Debt Service -principal retirement</t>
  </si>
  <si>
    <t>Installment purchases/COPs</t>
  </si>
  <si>
    <t>Adjustments to Other Asset Accounts</t>
  </si>
  <si>
    <t xml:space="preserve">Beginning </t>
  </si>
  <si>
    <t>Balance</t>
  </si>
  <si>
    <t>Current year</t>
  </si>
  <si>
    <t>Earned</t>
  </si>
  <si>
    <t>Used</t>
  </si>
  <si>
    <t xml:space="preserve">Ending </t>
  </si>
  <si>
    <t xml:space="preserve">Transportation </t>
  </si>
  <si>
    <t xml:space="preserve">Human services </t>
  </si>
  <si>
    <t xml:space="preserve">Cultural and recreation </t>
  </si>
  <si>
    <t>Restricted for Cultural and Recreation</t>
  </si>
  <si>
    <t>Restricted for Education</t>
  </si>
  <si>
    <t xml:space="preserve">Special assessments receivable </t>
  </si>
  <si>
    <t>Miscellaneous liabilities</t>
  </si>
  <si>
    <r>
      <t>Local option sales taxes…………………</t>
    </r>
    <r>
      <rPr>
        <sz val="8"/>
        <color indexed="10"/>
        <rFont val="Arial"/>
        <family val="2"/>
      </rPr>
      <t>(General)</t>
    </r>
  </si>
  <si>
    <r>
      <t>Unrestricted intergovernmental..</t>
    </r>
    <r>
      <rPr>
        <sz val="10"/>
        <color indexed="10"/>
        <rFont val="Arial"/>
        <family val="2"/>
      </rPr>
      <t>(</t>
    </r>
    <r>
      <rPr>
        <sz val="8"/>
        <color indexed="10"/>
        <rFont val="Arial"/>
        <family val="2"/>
      </rPr>
      <t>Typically general)</t>
    </r>
  </si>
  <si>
    <r>
      <t>Restricted intergovernmental…………...</t>
    </r>
    <r>
      <rPr>
        <sz val="8"/>
        <color indexed="10"/>
        <rFont val="Arial"/>
        <family val="2"/>
      </rPr>
      <t>(Program)</t>
    </r>
  </si>
  <si>
    <t>Contract retainage</t>
  </si>
  <si>
    <t>Accounts payable &amp; accrued liabilities</t>
  </si>
  <si>
    <t>Includes penalties</t>
  </si>
  <si>
    <t>Add any additional assessments made in the current year in the cell to the right.</t>
  </si>
  <si>
    <r>
      <t xml:space="preserve">OFS - Premium on debt issued </t>
    </r>
    <r>
      <rPr>
        <sz val="8"/>
        <color indexed="10"/>
        <rFont val="Arial"/>
        <family val="2"/>
      </rPr>
      <t>- other financing source</t>
    </r>
  </si>
  <si>
    <r>
      <t xml:space="preserve">Debt service </t>
    </r>
    <r>
      <rPr>
        <sz val="10"/>
        <rFont val="Arial"/>
        <family val="2"/>
      </rPr>
      <t>- bond issuance cost</t>
    </r>
  </si>
  <si>
    <r>
      <t>Debt service</t>
    </r>
    <r>
      <rPr>
        <sz val="8"/>
        <color indexed="10"/>
        <rFont val="Arial"/>
        <family val="2"/>
      </rPr>
      <t xml:space="preserve"> </t>
    </r>
    <r>
      <rPr>
        <sz val="10"/>
        <rFont val="Arial"/>
        <family val="2"/>
      </rPr>
      <t>- advance refunding escrow</t>
    </r>
  </si>
  <si>
    <r>
      <t>Premium on debt issued</t>
    </r>
    <r>
      <rPr>
        <sz val="8"/>
        <color indexed="10"/>
        <rFont val="Arial"/>
        <family val="2"/>
      </rPr>
      <t>- liability</t>
    </r>
  </si>
  <si>
    <t>liabilities</t>
  </si>
  <si>
    <r>
      <t>Debt service</t>
    </r>
    <r>
      <rPr>
        <sz val="10"/>
        <rFont val="Arial"/>
        <family val="2"/>
      </rPr>
      <t xml:space="preserve"> - advance refunding escrow</t>
    </r>
  </si>
  <si>
    <r>
      <t xml:space="preserve">The first worksheet is the "summary" sheet titled </t>
    </r>
    <r>
      <rPr>
        <b/>
        <sz val="10"/>
        <rFont val="Arial"/>
        <family val="2"/>
      </rPr>
      <t>"Conversion Worksheet."</t>
    </r>
    <r>
      <rPr>
        <sz val="10"/>
        <rFont val="Arial"/>
        <family val="2"/>
      </rPr>
      <t xml:space="preserve"> This is the sheet to which all the other sheets post. It is also the sheet where you will begin your data entry. The far most left columns are the trial balance columns. Please enter your adjusted pre-closing trial balance numbers here. We have assumed that you have prepared your fund statements at this point and that the trial balance is adjusted to reflect any changes that are needed to be made at the fund level. The</t>
    </r>
    <r>
      <rPr>
        <u/>
        <sz val="10"/>
        <rFont val="Arial"/>
        <family val="2"/>
      </rPr>
      <t xml:space="preserve"> prior year's ending balances</t>
    </r>
    <r>
      <rPr>
        <sz val="10"/>
        <rFont val="Arial"/>
        <family val="2"/>
      </rPr>
      <t xml:space="preserve"> for capital assets and long-term liabilities must also be manually posted to the "Capital Assets and Long-term Debt" column.  </t>
    </r>
  </si>
  <si>
    <t>Donations of capital assets received by the unit:</t>
  </si>
  <si>
    <t>Capital assets received by the unit as donations:</t>
  </si>
  <si>
    <t xml:space="preserve">   </t>
  </si>
  <si>
    <r>
      <t xml:space="preserve">Entry for Conversion worksheet to record changes in assets.  (Entry </t>
    </r>
    <r>
      <rPr>
        <b/>
        <sz val="10"/>
        <rFont val="Times New Roman"/>
        <family val="1"/>
      </rPr>
      <t>I.1</t>
    </r>
    <r>
      <rPr>
        <b/>
        <sz val="10"/>
        <rFont val="Arial"/>
        <family val="2"/>
      </rPr>
      <t>)</t>
    </r>
  </si>
  <si>
    <t>Investments</t>
  </si>
  <si>
    <r>
      <t xml:space="preserve">Special Assessments - Assessment results in </t>
    </r>
    <r>
      <rPr>
        <b/>
        <u/>
        <sz val="10"/>
        <rFont val="Arial"/>
        <family val="2"/>
      </rPr>
      <t>ownership of an asset</t>
    </r>
    <r>
      <rPr>
        <b/>
        <sz val="10"/>
        <rFont val="Arial"/>
        <family val="2"/>
      </rPr>
      <t xml:space="preserve">  - </t>
    </r>
    <r>
      <rPr>
        <b/>
        <sz val="9"/>
        <rFont val="Arial"/>
        <family val="2"/>
      </rPr>
      <t xml:space="preserve"> (Miscellaneous Revenue for Modified Accrual)
                                                                                                           (Program Revenue - Capital grants &amp; contributions for Full Accrual)</t>
    </r>
  </si>
  <si>
    <t>Governmental Activities</t>
  </si>
  <si>
    <t xml:space="preserve">  Land</t>
  </si>
  <si>
    <t xml:space="preserve">  Other non-depreciable assets</t>
  </si>
  <si>
    <t xml:space="preserve">  Buildings</t>
  </si>
  <si>
    <t xml:space="preserve">  Improvements other than buildings</t>
  </si>
  <si>
    <t xml:space="preserve">  Equipment</t>
  </si>
  <si>
    <t>Reclassification, elimination and consolidation entries are in worksheets K and L including the required Internal Service Fund entries in worksheet K.1, K.2, and K.3.</t>
  </si>
  <si>
    <t>One column on the govt funds</t>
  </si>
  <si>
    <t>Grand total of major + non-major funds   --   computed</t>
  </si>
  <si>
    <t>statement   --   computed</t>
  </si>
  <si>
    <t>NW Capital Project</t>
  </si>
  <si>
    <r>
      <t xml:space="preserve">The conversion journal entry in section J. will reverse the beginning and ending of year deferral in the trial balance. </t>
    </r>
    <r>
      <rPr>
        <b/>
        <sz val="10"/>
        <rFont val="Arial"/>
        <family val="2"/>
      </rPr>
      <t xml:space="preserve">It is posted only to the conversion worksheet, not to the general ledger or accounting system. </t>
    </r>
  </si>
  <si>
    <t>Complete section B of the worksheet indicating the functional and categorical reclassifications of the amounts in Section A., then the entry required for the Conversion worksheet will be created in Section C.  Any items that qualify for the definitions of special items or extraordinary items should be reported separately in order to be properly reported on the Statement of Activities. See definitions in the comment fields - place cursor over the field with a red triangle in the corner.</t>
  </si>
  <si>
    <t>Indicate to which function the net change in inventory reserve apply. The sum of the amounts below must equal the amount in the net change field above.</t>
  </si>
  <si>
    <t>Purchases method</t>
  </si>
  <si>
    <t>Change in reserve for Inventory</t>
  </si>
  <si>
    <t>Change in reserve for prepaid expense</t>
  </si>
  <si>
    <t>Change in reserve for inventory</t>
  </si>
  <si>
    <t>Change in Reserve for prepaid expense</t>
  </si>
  <si>
    <t>Other L.T. Liability 2</t>
  </si>
  <si>
    <t>Other L.T. Liability 1</t>
  </si>
  <si>
    <t>There are asset accounts that may not be recorded on the fund statements which will be required to be reported in the government-wide financial statements. These assets include such items as equity interests in joint ventures, advance funding of pension costs, and prepaid expenses and inventory when the purchases method is used. If the consumption method was used, no entry is required, but if the purchases method was used an adjustment must be made if the amount is material. If inventories or prepaid expenses are not recorded in the fund financial statements because they are not material, they are assumed not to be material to the government-wide statements. The results will need to be posted to the unit's permanent accounts to properly reflect next year's beginning balances.</t>
  </si>
  <si>
    <t>Restricted for Register of Deeds</t>
  </si>
  <si>
    <t>Proof Totals:</t>
  </si>
  <si>
    <r>
      <t xml:space="preserve">Full accrual Beginning net equity + change in net equity - </t>
    </r>
    <r>
      <rPr>
        <sz val="8"/>
        <rFont val="Arial"/>
        <family val="2"/>
      </rPr>
      <t>(from conversion worksheet)</t>
    </r>
  </si>
  <si>
    <t>Human Resources</t>
  </si>
  <si>
    <t>Culture and Recreation</t>
  </si>
  <si>
    <t>Identify the proper asset class to which the depreciation should be recorded in section B. below.</t>
  </si>
  <si>
    <t>The data provided in sections A. and B. will provide the information to create the proper entry for the conversion worksheet.</t>
  </si>
  <si>
    <t>Indicate to which function the new claims and judgments listed in step 2 apply. The sum of the amounts below must equal the amount in the corresponding step above. Indicate to which function the payment was charged in step 3. Indicate to which function any adjustments noted in step 4 should be recorded. Indicate any amounts that should be reported as special or extraordinary items.</t>
  </si>
  <si>
    <r>
      <t xml:space="preserve">Indicate the amount of </t>
    </r>
    <r>
      <rPr>
        <u/>
        <sz val="10"/>
        <rFont val="Arial"/>
        <family val="2"/>
      </rPr>
      <t>payments</t>
    </r>
    <r>
      <rPr>
        <sz val="10"/>
        <rFont val="Arial"/>
        <family val="2"/>
      </rPr>
      <t xml:space="preserve"> made on other long-term liabilities.</t>
    </r>
  </si>
  <si>
    <r>
      <t xml:space="preserve">Ending balance for other long-term liabilities for the current year. - </t>
    </r>
    <r>
      <rPr>
        <sz val="8"/>
        <color indexed="10"/>
        <rFont val="Arial"/>
        <family val="2"/>
      </rPr>
      <t>calculated</t>
    </r>
  </si>
  <si>
    <t>Interfund balances between governmental funds must be eliminated for purposes of presenting the government-wide Statements. Only those net balances between governmental and business type activities will remain and they will be classified as internal balances. Interfund transfers  must be consolidated to arrive at net transfers between governmental and business type activities. Reclassifications to programs or to current versus long-term assets and liabilities may also be necessary. These are the final steps to produce the trial balance that will become the government-wide statements. Entries are posted only to the conversion worksheet.</t>
  </si>
  <si>
    <t>What is the accumulated depreciation at the beginning of the year for the asset sold in a. above?</t>
  </si>
  <si>
    <t>c.</t>
  </si>
  <si>
    <r>
      <t>Of any assets donated above, what is the net book value (</t>
    </r>
    <r>
      <rPr>
        <i/>
        <sz val="10"/>
        <rFont val="Arial"/>
        <family val="2"/>
      </rPr>
      <t>cost less total accum. deprec. for all asset classes)</t>
    </r>
    <r>
      <rPr>
        <sz val="10"/>
        <rFont val="Arial"/>
        <family val="2"/>
      </rPr>
      <t xml:space="preserve"> of any assets </t>
    </r>
    <r>
      <rPr>
        <b/>
        <sz val="10"/>
        <rFont val="Arial"/>
        <family val="2"/>
      </rPr>
      <t>donated to</t>
    </r>
    <r>
      <rPr>
        <sz val="10"/>
        <rFont val="Arial"/>
        <family val="2"/>
      </rPr>
      <t xml:space="preserve"> the Enterprise Funds or an Internal Service Fund reported in Business-type activities?</t>
    </r>
  </si>
  <si>
    <t>This amount will be classified as a "transfer in" for the governmental activities column. It should also be included as a reconciling item to the fund statements.</t>
  </si>
  <si>
    <t xml:space="preserve">Adjustments to Other Liability and Expense Accounts </t>
  </si>
  <si>
    <t>Work Section for Conversion entry J</t>
  </si>
  <si>
    <t>Reclassify any interest expense or investment income that should be related to a specific program.</t>
  </si>
  <si>
    <t>Other financing source - sale of capital assets</t>
  </si>
  <si>
    <r>
      <t xml:space="preserve">OFS - Sale of capital assets </t>
    </r>
    <r>
      <rPr>
        <sz val="8"/>
        <color indexed="10"/>
        <rFont val="Arial"/>
        <family val="2"/>
      </rPr>
      <t>- other financing source</t>
    </r>
  </si>
  <si>
    <t>Advance funding of pension occurs when the benefit plan has a negative net pension obligation. A net pension obligation (liability - which is the normal case) should be addressed in worksheet J.</t>
  </si>
  <si>
    <t>Indicate to which function the net change in prepaid expenses applies. The sum of the amounts below must equal the amount in the net change field above .</t>
  </si>
  <si>
    <t>Eliminate the "doubling up effect" that may occur with inter-function activities when expenditures have been recorded twice.</t>
  </si>
  <si>
    <t>Due from fiduciary funds</t>
  </si>
  <si>
    <t>Due to fiduciary funds</t>
  </si>
  <si>
    <t>Journal entry for conversion worksheet to record additions and reductions in outstanding debt.   [Entry J.1]</t>
  </si>
  <si>
    <t>Reclassification of</t>
  </si>
  <si>
    <t>Revenues by Function</t>
  </si>
  <si>
    <r>
      <t xml:space="preserve">Conversion worksheet: </t>
    </r>
    <r>
      <rPr>
        <sz val="10"/>
        <rFont val="Arial"/>
        <family val="2"/>
      </rPr>
      <t xml:space="preserve">includes trial balances for all governmental funds, columns for prior year capital assets and long-term debt balances, and columns for posting the various reclassification, conversion, elimination and consolidation entries resulting in the final numbers for governmental activities for the statements. </t>
    </r>
  </si>
  <si>
    <t>This workbook is set up in a series of worksheets that address the various entries required to convert from modified to full accrual. Some entries must be initially recorded, some are simple reclassifications, and others are allocations to programs or functions. The workbook is based on the premise of answering a series of questions for those areas where modified and full accrual differ in their treatment of a transaction. The answers to these questions will generate accounting entries which are automatically mapped or linked to the conversion worksheet. Many entries are recorded only in this conversion worksheet and are not to be recorded in the general ledger but some effect permanent accounts like capital assets, depreciation, and liabilities. These entries must be posted to the unit's ledger accounts in order to properly reflect the beginning balances for the next year. In each case, the specific instructions to the individual worksheets indicate whether an entry to the permanent accounts is required.</t>
  </si>
  <si>
    <t>8.</t>
  </si>
  <si>
    <r>
      <t xml:space="preserve">General Government </t>
    </r>
    <r>
      <rPr>
        <sz val="8"/>
        <color indexed="10"/>
        <rFont val="Arial"/>
        <family val="2"/>
      </rPr>
      <t>- expense</t>
    </r>
  </si>
  <si>
    <r>
      <t>Other revenues not previously covered that require adjustment from modified to full accrual -</t>
    </r>
    <r>
      <rPr>
        <sz val="10"/>
        <rFont val="Arial"/>
        <family val="2"/>
      </rPr>
      <t xml:space="preserve"> </t>
    </r>
    <r>
      <rPr>
        <sz val="8"/>
        <rFont val="Arial"/>
        <family val="2"/>
      </rPr>
      <t>including misc. charges, services &amp; fees</t>
    </r>
  </si>
  <si>
    <t>Final Entry for Conversion Worksheet   [Entry B.1 and B.2]</t>
  </si>
  <si>
    <t>Entry A</t>
  </si>
  <si>
    <t>Entry E</t>
  </si>
  <si>
    <t>Entry F</t>
  </si>
  <si>
    <t>Entry G</t>
  </si>
  <si>
    <t>Other program 1 - charge for service</t>
  </si>
  <si>
    <t>Other program 1 - operating grants &amp; contributions</t>
  </si>
  <si>
    <t>Other program 1 - capital grants &amp; contributions</t>
  </si>
  <si>
    <t>Operating grants and contributions</t>
  </si>
  <si>
    <t>Capital grants and contributions</t>
  </si>
  <si>
    <t>Cultural and recreation</t>
  </si>
  <si>
    <t>Human Services</t>
  </si>
  <si>
    <t>Total program revenues</t>
  </si>
  <si>
    <t>General government - Charges for services</t>
  </si>
  <si>
    <t>General government - Operating grants and contributions</t>
  </si>
  <si>
    <t>d.</t>
  </si>
  <si>
    <t>Building</t>
  </si>
  <si>
    <t>Improvement</t>
  </si>
  <si>
    <t>Vehicles +</t>
  </si>
  <si>
    <t>Mot. Equip</t>
  </si>
  <si>
    <t>Miscellaneous Revenue</t>
  </si>
  <si>
    <t>Net book value of capital assets sold</t>
  </si>
  <si>
    <t>Gain / loss qualifying as special item</t>
  </si>
  <si>
    <t>Gain / loss on sale of assets</t>
  </si>
  <si>
    <t>The journal entry for the conversion worksheet, to reclassify these expenditures and other financing sources to increases and decreases in the proper liability accounts will be automatically created.</t>
  </si>
  <si>
    <t>What was the accrued interest at the end of the year under full accrual?</t>
  </si>
  <si>
    <t>Entry H</t>
  </si>
  <si>
    <t>Both amounts should be net of estimated uncollectible amounts.</t>
  </si>
  <si>
    <t>This amount will be classified as a "transfer out" for the governmental activities column, it should also be included as a reconciling item to the fund statements.</t>
  </si>
  <si>
    <t>OFU - Transfer Out</t>
  </si>
  <si>
    <t>OFS - Transfer In</t>
  </si>
  <si>
    <t>Permits and fess</t>
  </si>
  <si>
    <r>
      <t xml:space="preserve">WORK SECTION - </t>
    </r>
    <r>
      <rPr>
        <sz val="11"/>
        <rFont val="Arial"/>
        <family val="2"/>
      </rPr>
      <t>Entries for each step above</t>
    </r>
    <r>
      <rPr>
        <b/>
        <sz val="11"/>
        <rFont val="Arial"/>
        <family val="2"/>
      </rPr>
      <t>.</t>
    </r>
  </si>
  <si>
    <t>General government - charge for service</t>
  </si>
  <si>
    <t>Public Safety - charge for service</t>
  </si>
  <si>
    <t>Transportation - charge for service</t>
  </si>
  <si>
    <t>Economic &amp; physical development - charge for service</t>
  </si>
  <si>
    <t>Environmental protection - charge for service</t>
  </si>
  <si>
    <t>Human services - charge for service</t>
  </si>
  <si>
    <t>Cultural and recreation - charge for service</t>
  </si>
  <si>
    <t>j</t>
  </si>
  <si>
    <t>k</t>
  </si>
  <si>
    <t>Public Safety - capital grants &amp; contributions</t>
  </si>
  <si>
    <t>Transportation - capital grants and contributions</t>
  </si>
  <si>
    <r>
      <t>Governmental funds have the option to record inventories and prepaid expenses using the purchases method; i.e. recognizing an expenditure at the time of purchase rather than based on consumption. GASB 34 requires that inventories and prepaid expenses be accounted for as assets regardless of their treatment in the fund financial statements</t>
    </r>
    <r>
      <rPr>
        <sz val="10"/>
        <rFont val="Arial"/>
        <family val="2"/>
      </rPr>
      <t xml:space="preserve"> </t>
    </r>
    <r>
      <rPr>
        <u/>
        <sz val="10"/>
        <rFont val="Arial"/>
        <family val="2"/>
      </rPr>
      <t>if material</t>
    </r>
    <r>
      <rPr>
        <sz val="10"/>
        <rFont val="Arial"/>
        <family val="2"/>
      </rPr>
      <t>. Therefore balances remaining in inventories or prepaid expenses must be recorded as assets for the government-wide statements and the corresponding expenditures must be reduced.</t>
    </r>
  </si>
  <si>
    <r>
      <t xml:space="preserve">Misc. Revenue - </t>
    </r>
    <r>
      <rPr>
        <sz val="8"/>
        <color indexed="10"/>
        <rFont val="Arial"/>
        <family val="2"/>
      </rPr>
      <t>[Net Income (loss) in joint venture]</t>
    </r>
  </si>
  <si>
    <r>
      <t>Misc. Rev</t>
    </r>
    <r>
      <rPr>
        <sz val="8"/>
        <color indexed="10"/>
        <rFont val="Arial"/>
        <family val="2"/>
      </rPr>
      <t>-Net Inc/(loss) in joint venture</t>
    </r>
  </si>
  <si>
    <t xml:space="preserve">Compensated absences earned during the current period must be reported as an expense under full accrual accounting. This may be a number that is not easily determined. Typically, you will know the beginning and ending balances and either the leave earned during the current year (Method 1) or the leave used during the current year (Method 2).  Choose ONE of the tables below in Section A. Enter the data in the yellow fields. The cells in blue with the red caption will be calculated. The information must be entered by function in order to calculate functional expense for the current year and prior years. This data will provide the information to create the entry to record current year expense and  the entry to eliminate expenditures related to prior years. (Choose only one method, if data is entered into both tables the resulting entry will be overstated.) </t>
  </si>
  <si>
    <t>Under the full accrual basis of accounting, accrued interest on uncollected taxes should be recognized as revenue after adjusting for uncollectible amounts. It may be necessary to estimate the amount of that receivable. Penalties that are known at year-end should already be recorded in taxes receivable. Penalties related to discoveries should be recorded when the discovery occurs.</t>
  </si>
  <si>
    <r>
      <t xml:space="preserve">Compensated Absences - What are current and prior year expenses under full accrual?   </t>
    </r>
    <r>
      <rPr>
        <b/>
        <sz val="10"/>
        <color indexed="10"/>
        <rFont val="Arial"/>
        <family val="2"/>
      </rPr>
      <t xml:space="preserve">(Choose Method 1 </t>
    </r>
    <r>
      <rPr>
        <b/>
        <u/>
        <sz val="10"/>
        <color indexed="10"/>
        <rFont val="Arial"/>
        <family val="2"/>
      </rPr>
      <t>or</t>
    </r>
    <r>
      <rPr>
        <b/>
        <sz val="10"/>
        <color indexed="10"/>
        <rFont val="Arial"/>
        <family val="2"/>
      </rPr>
      <t xml:space="preserve">  2)</t>
    </r>
  </si>
  <si>
    <r>
      <t xml:space="preserve">Debt Service: </t>
    </r>
    <r>
      <rPr>
        <sz val="10"/>
        <rFont val="Arial"/>
        <family val="2"/>
      </rPr>
      <t>converts debt service expenditures to the proper reductions in liability accounts.</t>
    </r>
  </si>
  <si>
    <r>
      <t xml:space="preserve">Debt Issues: </t>
    </r>
    <r>
      <rPr>
        <sz val="10"/>
        <rFont val="Arial"/>
        <family val="2"/>
      </rPr>
      <t>addresses all other debt transactions including new debt issues, refunding, and amortization.</t>
    </r>
  </si>
  <si>
    <r>
      <t xml:space="preserve">Other Asset Entries: </t>
    </r>
    <r>
      <rPr>
        <sz val="10"/>
        <rFont val="Arial"/>
        <family val="2"/>
      </rPr>
      <t>addresses the asset accounts, equity interest in joint venture, prepaid expenses, inventory, and advance funding of pensions.</t>
    </r>
  </si>
  <si>
    <r>
      <t xml:space="preserve">Most of the workbook is protected to prevent accidental changes in formulas and the mapping of cells.  The </t>
    </r>
    <r>
      <rPr>
        <b/>
        <sz val="10"/>
        <rFont val="Arial"/>
        <family val="2"/>
      </rPr>
      <t xml:space="preserve">password </t>
    </r>
    <r>
      <rPr>
        <sz val="10"/>
        <rFont val="Arial"/>
        <family val="2"/>
      </rPr>
      <t>to unlock the workbook is</t>
    </r>
    <r>
      <rPr>
        <b/>
        <sz val="10"/>
        <rFont val="Arial"/>
        <family val="2"/>
      </rPr>
      <t xml:space="preserve"> gasb34</t>
    </r>
    <r>
      <rPr>
        <sz val="10"/>
        <rFont val="Arial"/>
        <family val="2"/>
      </rPr>
      <t xml:space="preserve"> (must be entered in lower case, no spaces).  Only users with advanced Excel skills should attempt to change the workbook by releasing the protection.</t>
    </r>
  </si>
  <si>
    <t xml:space="preserve">What expenditures classified as "capital outlay" were spent for assets where the county does not hold title to the asset, (e.g. school construction)? </t>
  </si>
  <si>
    <t>If positive, an excess charge will be allocated; if negative, a loss or undercharge will be allocated to the functions that used the service.</t>
  </si>
  <si>
    <t>Entry must balance !</t>
  </si>
  <si>
    <t>Internal balances  *</t>
  </si>
  <si>
    <t>Net</t>
  </si>
  <si>
    <t>Unexpended</t>
  </si>
  <si>
    <t>Unearned</t>
  </si>
  <si>
    <t>Restricted</t>
  </si>
  <si>
    <t>Governmental Activities By Function</t>
  </si>
  <si>
    <t>Cash</t>
  </si>
  <si>
    <t>Income</t>
  </si>
  <si>
    <t>Economic and physical development</t>
  </si>
  <si>
    <t>Debt service</t>
  </si>
  <si>
    <t>Accounts</t>
  </si>
  <si>
    <t>Business Type Activities</t>
  </si>
  <si>
    <t>Receivable</t>
  </si>
  <si>
    <t>Payable</t>
  </si>
  <si>
    <t>Water</t>
  </si>
  <si>
    <t>Sewer</t>
  </si>
  <si>
    <t>Solid Waste</t>
  </si>
  <si>
    <t>Parking</t>
  </si>
  <si>
    <t xml:space="preserve">   Net OPEB liability</t>
  </si>
  <si>
    <r>
      <t xml:space="preserve">What was the amount of the net OPEB obligation at the beginning of the year? If multiple benefit plans are involved enter the sum of all plans. </t>
    </r>
    <r>
      <rPr>
        <sz val="8"/>
        <color indexed="10"/>
        <rFont val="Arial"/>
        <family val="2"/>
      </rPr>
      <t>(Beginning balances for Governmntal Funds only were recorded in Columns AF &amp; AG in the main Conversion Worksheet.)</t>
    </r>
  </si>
  <si>
    <r>
      <t xml:space="preserve">Enter the cost by function for the increment above, e.g. for Retirees Healthcare. If plans exist covering employees then their respective function should be charged. The total for the detail in step 3 must equal the amount in step 2. </t>
    </r>
    <r>
      <rPr>
        <sz val="8"/>
        <color indexed="10"/>
        <rFont val="Arial"/>
        <family val="2"/>
      </rPr>
      <t>(If the change above is negative, the sum of step 3 should also be negative.)</t>
    </r>
  </si>
  <si>
    <t>Other program 2</t>
  </si>
  <si>
    <t>Total of incremental net OPEB costs</t>
  </si>
  <si>
    <t>t</t>
  </si>
  <si>
    <t>Expenses need to be accrued for those liabilities incurred during the period which are not normally paid with current available resources. This includes items such as compensated absences, claims and judgments, landfill closure and post-closure costs, the net pension cost of unit managed benefit plans, any other postemployment benefits or other long-term liabilities. The results will need to be posted to permanent accounts for next year's beginning balances.</t>
  </si>
  <si>
    <r>
      <t xml:space="preserve">The net pension obligation has always been calculated for the note disclosure if the unit had an actuarial study performed. If material, most units also recorded the amount in the General Long Term Debt account. The beginning balance was recorded earlier when the capital assets and long term debt accounts were recorded. The information to be recorded in Section C is the incremental change in the current year. If the pension obligation has been advance funded, please complete the questions on the Worksheet </t>
    </r>
    <r>
      <rPr>
        <sz val="11"/>
        <rFont val="Times New Roman"/>
        <family val="1"/>
      </rPr>
      <t>I</t>
    </r>
    <r>
      <rPr>
        <sz val="10"/>
        <rFont val="Arial"/>
        <family val="2"/>
      </rPr>
      <t xml:space="preserve"> and leave this section blank.</t>
    </r>
  </si>
  <si>
    <r>
      <t xml:space="preserve">The other post-employment benefits (OPEB) may be calculated through an actuarial study or by calculations using the alternative method.  All units must record the amount in their General Long Term Debt account, if the benefits are offered. The information to be recorded here is the incremental change in the current year, based on beginning and ending computed liabilities.  If the OPEB obligation has been advance funded, please complete the questions on the Worksheet </t>
    </r>
    <r>
      <rPr>
        <sz val="11"/>
        <rFont val="Times New Roman"/>
        <family val="1"/>
      </rPr>
      <t>I</t>
    </r>
    <r>
      <rPr>
        <sz val="10"/>
        <rFont val="Arial"/>
        <family val="2"/>
      </rPr>
      <t xml:space="preserve"> and leave this section blank.</t>
    </r>
  </si>
  <si>
    <r>
      <t xml:space="preserve">Other Liability &amp; Expenses: </t>
    </r>
    <r>
      <rPr>
        <sz val="10"/>
        <rFont val="Arial"/>
        <family val="2"/>
      </rPr>
      <t>addresses compensated absences, claims &amp; judgments, net pension obligation, net OPEB liability and other long-term liabilities.</t>
    </r>
  </si>
  <si>
    <r>
      <t xml:space="preserve">OFS - Installment purchases/COPS </t>
    </r>
    <r>
      <rPr>
        <sz val="8"/>
        <color indexed="10"/>
        <rFont val="Arial"/>
        <family val="2"/>
      </rPr>
      <t>(proceeds)</t>
    </r>
  </si>
  <si>
    <r>
      <t xml:space="preserve">OFS - Premiums on debt issued </t>
    </r>
    <r>
      <rPr>
        <sz val="8"/>
        <color indexed="10"/>
        <rFont val="Arial"/>
        <family val="2"/>
      </rPr>
      <t>- other financing source</t>
    </r>
  </si>
  <si>
    <r>
      <t xml:space="preserve">Discounts on debt issued </t>
    </r>
    <r>
      <rPr>
        <sz val="8"/>
        <color indexed="10"/>
        <rFont val="Arial"/>
        <family val="2"/>
      </rPr>
      <t>- contra-liability</t>
    </r>
  </si>
  <si>
    <r>
      <t>OFU - Discount on debt issued -</t>
    </r>
    <r>
      <rPr>
        <sz val="8"/>
        <color indexed="10"/>
        <rFont val="Arial"/>
        <family val="2"/>
      </rPr>
      <t xml:space="preserve"> other financing use</t>
    </r>
  </si>
  <si>
    <r>
      <t xml:space="preserve">Premium on debt issued </t>
    </r>
    <r>
      <rPr>
        <sz val="8"/>
        <color indexed="10"/>
        <rFont val="Arial"/>
        <family val="2"/>
      </rPr>
      <t>- liability</t>
    </r>
  </si>
  <si>
    <r>
      <t>OFS - Capital leases</t>
    </r>
    <r>
      <rPr>
        <sz val="8"/>
        <color indexed="10"/>
        <rFont val="Arial"/>
        <family val="2"/>
      </rPr>
      <t xml:space="preserve"> (proceeds)</t>
    </r>
  </si>
  <si>
    <r>
      <t>OFS - Installment purchases/COPS</t>
    </r>
    <r>
      <rPr>
        <sz val="8"/>
        <color indexed="10"/>
        <rFont val="Arial"/>
        <family val="2"/>
      </rPr>
      <t xml:space="preserve"> (proceeds)</t>
    </r>
  </si>
  <si>
    <r>
      <t xml:space="preserve">OFS - Bond issued </t>
    </r>
    <r>
      <rPr>
        <sz val="8"/>
        <color indexed="10"/>
        <rFont val="Arial"/>
        <family val="2"/>
      </rPr>
      <t>(proceeds)</t>
    </r>
  </si>
  <si>
    <r>
      <t>General Instructions:</t>
    </r>
    <r>
      <rPr>
        <sz val="10"/>
        <rFont val="Arial"/>
        <family val="2"/>
      </rPr>
      <t xml:space="preserve"> synopsis and general guidelines for use of the workbook. </t>
    </r>
  </si>
  <si>
    <r>
      <t xml:space="preserve">Property taxes:  </t>
    </r>
    <r>
      <rPr>
        <sz val="10"/>
        <rFont val="Arial"/>
        <family val="2"/>
      </rPr>
      <t>addresses the prior year and current year revenue recognition for ad valorem taxes.</t>
    </r>
  </si>
  <si>
    <r>
      <t xml:space="preserve">Other revenues: </t>
    </r>
    <r>
      <rPr>
        <sz val="10"/>
        <rFont val="Arial"/>
        <family val="2"/>
      </rPr>
      <t>addresses the prior year and current year revenue recognition for all other revenue.</t>
    </r>
  </si>
  <si>
    <t>Reclassify capital outlay expenditures where county does not hold title to assets:</t>
  </si>
  <si>
    <t>What is the depreciation expense for the current year up to the
 date of sale for the assets above?</t>
  </si>
  <si>
    <t>Indicate revenue account to which items were recorded?</t>
  </si>
  <si>
    <t xml:space="preserve">What is the original cost at the beginning of the year for assets traded-in during current year? </t>
  </si>
  <si>
    <t>What is the accumulated depreciation at the beginning of the year for the assets traded-in a. above?</t>
  </si>
  <si>
    <t>What is the depreciation expense for the current year up to the
 date of trade-in for the asset above?</t>
  </si>
  <si>
    <t>Net book value of capital assets traded</t>
  </si>
  <si>
    <t>Review the various governmental funds, including capital projects, and identify capital outlay expenditures that should be capitalized and recorded as capital assets in the county's permanent records . Accumulate by function for entry to Section A below. The amount for capital outlay for schools or other parties where title to the property is not held by the county will be excluded from this entry and reclassified as a functional expenditure in worksheet F.</t>
  </si>
  <si>
    <r>
      <t xml:space="preserve">* Special item - Subject to management control and unusual in nature (possessing a high degree of abnormality and clearly unrelated to ordinary or typical activity) </t>
    </r>
    <r>
      <rPr>
        <i/>
        <u/>
        <sz val="10"/>
        <rFont val="Arial"/>
        <family val="2"/>
      </rPr>
      <t>or</t>
    </r>
    <r>
      <rPr>
        <i/>
        <sz val="10"/>
        <rFont val="Arial"/>
        <family val="2"/>
      </rPr>
      <t xml:space="preserve"> infrequent in occurrence; should be a material amount to justify such treatment. </t>
    </r>
  </si>
  <si>
    <t>Determine the function / program to which the revenue applies for those revenues which are program specific. Note that special assessments in section F. and G. have additional questions regarding new levies for the current year and current year collections.</t>
  </si>
  <si>
    <t xml:space="preserve">Conversion entries to convert from modified accrual to full accrual are generated from the worksheets B through J. </t>
  </si>
  <si>
    <r>
      <t xml:space="preserve">What was the amount of transfers between governmental funds? The amount transferred in and out will be the same.  </t>
    </r>
    <r>
      <rPr>
        <sz val="8"/>
        <rFont val="Arial"/>
        <family val="2"/>
      </rPr>
      <t>(Includes General fund, special revenue funds, capital projects, debt service, and permanent funds)</t>
    </r>
    <r>
      <rPr>
        <sz val="10"/>
        <rFont val="Arial"/>
        <family val="2"/>
      </rPr>
      <t>.</t>
    </r>
  </si>
  <si>
    <t>Consolidation, Elimination and Reclassification Entries</t>
  </si>
  <si>
    <t>L.1</t>
  </si>
  <si>
    <t>OFS - Transfers in</t>
  </si>
  <si>
    <t>OFU - Transfers out</t>
  </si>
  <si>
    <t>L.2</t>
  </si>
  <si>
    <t>L.3</t>
  </si>
  <si>
    <r>
      <t xml:space="preserve">   activity</t>
    </r>
    <r>
      <rPr>
        <sz val="10"/>
        <rFont val="Arial"/>
        <family val="2"/>
      </rPr>
      <t xml:space="preserve"> </t>
    </r>
  </si>
  <si>
    <t>E.1</t>
  </si>
  <si>
    <t>Calculated   -        Do not enter data into both tables !</t>
  </si>
  <si>
    <t>Expenditures for prior years</t>
  </si>
  <si>
    <t>Expenditures for this year</t>
  </si>
  <si>
    <t xml:space="preserve">   Accrued vacation/compensated absences</t>
  </si>
  <si>
    <t>Internal balances</t>
  </si>
  <si>
    <r>
      <t xml:space="preserve">   Investment Earnings - </t>
    </r>
    <r>
      <rPr>
        <sz val="8"/>
        <color indexed="10"/>
        <rFont val="Arial"/>
        <family val="2"/>
      </rPr>
      <t>General revenue</t>
    </r>
  </si>
  <si>
    <t>Economic &amp; physical development - capital grants &amp; contributions</t>
  </si>
  <si>
    <t>Environmental protection - capital grants &amp; contributions</t>
  </si>
  <si>
    <t>Reclasses external</t>
  </si>
  <si>
    <t>receivables &amp; payables</t>
  </si>
  <si>
    <t>of interfunction activity</t>
  </si>
  <si>
    <t>Eliminates doubling up effect</t>
  </si>
  <si>
    <t>Reclass program revenue</t>
  </si>
  <si>
    <t>not adjusted previously</t>
  </si>
  <si>
    <t>Record internal service</t>
  </si>
  <si>
    <t xml:space="preserve">fund allocation where </t>
  </si>
  <si>
    <t>business type is dominant</t>
  </si>
  <si>
    <t>Classify for liquidity</t>
  </si>
  <si>
    <t>General government -operating grants &amp; contributions</t>
  </si>
  <si>
    <t>Public Safety-operating grants &amp; contributions</t>
  </si>
  <si>
    <t>Transportation-operating grants &amp; contributions</t>
  </si>
  <si>
    <t>Economic &amp; physical development-operating grts &amp; contrib.</t>
  </si>
  <si>
    <t>Environmental protection-operating grants &amp; contributions</t>
  </si>
  <si>
    <t>Human services-operating grants &amp; contributions</t>
  </si>
  <si>
    <t>Cultural and recreation-operating grants &amp; contributions</t>
  </si>
  <si>
    <t>Other program 1-operating grants &amp; contributions</t>
  </si>
  <si>
    <t>General government-capital grants &amp; contributions</t>
  </si>
  <si>
    <t>Public Safety-capital grants &amp; contributions</t>
  </si>
  <si>
    <t>Transportation-capital grants &amp; contributions</t>
  </si>
  <si>
    <r>
      <t xml:space="preserve">The Predominant Activity Type is 
(business or governmental):  --  </t>
    </r>
    <r>
      <rPr>
        <sz val="8"/>
        <color indexed="10"/>
        <rFont val="Arial"/>
        <family val="2"/>
      </rPr>
      <t xml:space="preserve">automatic calculation   </t>
    </r>
  </si>
  <si>
    <t>Environmental protection - Capital grants and contributions</t>
  </si>
  <si>
    <t>Economic and physical development - Charges for services</t>
  </si>
  <si>
    <t>Pre-closing trial balance entered at the function level for each governmental fund (for the fund balance number - use ending fund balance from prior year).</t>
  </si>
  <si>
    <t>Economic and physical development - Operating grants and contributions</t>
  </si>
  <si>
    <t>Economic and physical development - Capital grants and contributions</t>
  </si>
  <si>
    <t>Cultural and recreation - Charges for services</t>
  </si>
  <si>
    <t>Cultural and recreation - Operating grants and contributions</t>
  </si>
  <si>
    <t>Cultural and recreation - Capital grants and contributions</t>
  </si>
  <si>
    <t>Other Improvements</t>
  </si>
  <si>
    <t>Vehicles &amp; Motorized Equipment</t>
  </si>
  <si>
    <t>Accumulated depreciation - Buildings</t>
  </si>
  <si>
    <r>
      <t>Complete section A below indicating the amount of revenue in all governmental funds which should be noted as program specific on the Statement of Activities.  Note that items that are classified as special or extraordinary at the fund level typically will be classified as such when viewed at the government-wide level although there could be</t>
    </r>
    <r>
      <rPr>
        <sz val="10"/>
        <rFont val="Arial"/>
        <family val="2"/>
      </rPr>
      <t xml:space="preserve"> </t>
    </r>
    <r>
      <rPr>
        <u/>
        <sz val="10"/>
        <rFont val="Arial"/>
        <family val="2"/>
      </rPr>
      <t>rare occurrences</t>
    </r>
    <r>
      <rPr>
        <sz val="10"/>
        <rFont val="Arial"/>
        <family val="2"/>
      </rPr>
      <t xml:space="preserve"> when special and/or extraordinary items at the fund level will not be treated as such on the government-wide statements.</t>
    </r>
  </si>
  <si>
    <r>
      <t xml:space="preserve">Were there any </t>
    </r>
    <r>
      <rPr>
        <u/>
        <sz val="10"/>
        <rFont val="Arial"/>
        <family val="2"/>
      </rPr>
      <t>adjustments</t>
    </r>
    <r>
      <rPr>
        <sz val="10"/>
        <rFont val="Arial"/>
        <family val="2"/>
      </rPr>
      <t xml:space="preserve"> in the current year for prior year claims?  
</t>
    </r>
    <r>
      <rPr>
        <sz val="8"/>
        <color indexed="10"/>
        <rFont val="Arial"/>
        <family val="2"/>
      </rPr>
      <t>Please enter reductions as negative amounts and increases as positive amounts.</t>
    </r>
  </si>
  <si>
    <r>
      <t xml:space="preserve">Were there any </t>
    </r>
    <r>
      <rPr>
        <u/>
        <sz val="10"/>
        <rFont val="Arial"/>
        <family val="2"/>
      </rPr>
      <t>adjustments</t>
    </r>
    <r>
      <rPr>
        <sz val="10"/>
        <rFont val="Arial"/>
        <family val="2"/>
      </rPr>
      <t xml:space="preserve"> to these account balances during the year? </t>
    </r>
    <r>
      <rPr>
        <sz val="8"/>
        <color indexed="10"/>
        <rFont val="Arial"/>
        <family val="2"/>
      </rPr>
      <t xml:space="preserve"> Please enter reductions as negative amounts and increases as positive amounts.</t>
    </r>
  </si>
  <si>
    <t>A</t>
  </si>
  <si>
    <t>B</t>
  </si>
  <si>
    <t>C</t>
  </si>
  <si>
    <t>D</t>
  </si>
  <si>
    <t>E</t>
  </si>
  <si>
    <t>F</t>
  </si>
  <si>
    <t>G</t>
  </si>
  <si>
    <t>H</t>
  </si>
  <si>
    <t>I</t>
  </si>
  <si>
    <t>From Section Above</t>
  </si>
  <si>
    <t>General government - capital grants &amp; contributions</t>
  </si>
  <si>
    <t>l</t>
  </si>
  <si>
    <t>Public Safety - operating grants &amp; contributions</t>
  </si>
  <si>
    <t>Installment purchases/COPS</t>
  </si>
  <si>
    <t>H.1</t>
  </si>
  <si>
    <t>OFS - Sale of capital assets</t>
  </si>
  <si>
    <t>Deferred Charges - refunding</t>
  </si>
  <si>
    <t xml:space="preserve">Deferred Charges - refunding </t>
  </si>
  <si>
    <t>Premium - GO Bonds</t>
  </si>
  <si>
    <t>J.1</t>
  </si>
  <si>
    <t xml:space="preserve">   Notes and loans payable</t>
  </si>
  <si>
    <t>Notes and loans payable</t>
  </si>
  <si>
    <r>
      <t xml:space="preserve">   Fund balance - </t>
    </r>
    <r>
      <rPr>
        <sz val="8"/>
        <color indexed="10"/>
        <rFont val="Arial"/>
        <family val="2"/>
      </rPr>
      <t>Beginning balance</t>
    </r>
  </si>
  <si>
    <t xml:space="preserve">   Interest and fees </t>
  </si>
  <si>
    <t>What is the amount of interfund receivables and payables between governmental funds in the "advances to/from" account?  This is the amount only between governmental funds. Do not include any advances to/from between governmental and enterprise funds.</t>
  </si>
  <si>
    <t>Economic &amp; physical development-capital grts &amp; cont.</t>
  </si>
  <si>
    <t>Environmental protection-capital grants &amp; contributions</t>
  </si>
  <si>
    <t>Human services-capital grants &amp; contributions</t>
  </si>
  <si>
    <t>Cultural and recreation-capital grants &amp; contributions</t>
  </si>
  <si>
    <r>
      <t>k</t>
    </r>
    <r>
      <rPr>
        <sz val="10"/>
        <rFont val="Arial"/>
        <family val="2"/>
      </rPr>
      <t xml:space="preserve"> </t>
    </r>
    <r>
      <rPr>
        <b/>
        <sz val="10"/>
        <rFont val="Arial"/>
        <family val="2"/>
      </rPr>
      <t>The method used throughout this worksheet differs from the GAAFR</t>
    </r>
    <r>
      <rPr>
        <sz val="10"/>
        <rFont val="Arial"/>
        <family val="2"/>
      </rPr>
      <t xml:space="preserve"> by using beginning fund balance rather than ending balance. This method generates a calculation for beginning equity on the full accrual basis of accounting.</t>
    </r>
  </si>
  <si>
    <r>
      <t>k</t>
    </r>
    <r>
      <rPr>
        <sz val="12"/>
        <rFont val="Wingdings 2"/>
        <family val="1"/>
        <charset val="2"/>
      </rPr>
      <t xml:space="preserve"> </t>
    </r>
    <r>
      <rPr>
        <b/>
        <sz val="10"/>
        <rFont val="Arial"/>
        <family val="2"/>
      </rPr>
      <t>The method used throughout this worksheet</t>
    </r>
    <r>
      <rPr>
        <sz val="10"/>
        <rFont val="Arial"/>
        <family val="2"/>
      </rPr>
      <t xml:space="preserve"> </t>
    </r>
    <r>
      <rPr>
        <b/>
        <sz val="10"/>
        <rFont val="Arial"/>
        <family val="2"/>
      </rPr>
      <t>differs from the GAAFR</t>
    </r>
    <r>
      <rPr>
        <sz val="10"/>
        <rFont val="Arial"/>
        <family val="2"/>
      </rPr>
      <t xml:space="preserve"> by using beginning fund balance rather than ending balance. This method generates a calculation for beginning equity on the full accrual basis of accounting.</t>
    </r>
  </si>
  <si>
    <t xml:space="preserve">Capital Assets &amp; Long-term Debt accounts are those previously carried in the General Fixed Asset Account Group (GFAAG) and the General Long Term Debt Account Group (GLTDAG) plus the respective accumulated depreciation and the category of infrastructure (according to the phased implementation rules of GASB 34). </t>
  </si>
  <si>
    <r>
      <t xml:space="preserve">The amounts recorded are the ending balances from the prior year (this year's beginning balances.) </t>
    </r>
    <r>
      <rPr>
        <b/>
        <sz val="10"/>
        <rFont val="Arial"/>
        <family val="2"/>
      </rPr>
      <t>Current year activity will be recorded in a later step.</t>
    </r>
  </si>
  <si>
    <t>Please note that the numbers in this column will not be included in the reconciliation from modified to full accrual.</t>
  </si>
  <si>
    <r>
      <t xml:space="preserve">Revenue by function : </t>
    </r>
    <r>
      <rPr>
        <sz val="10"/>
        <rFont val="Arial"/>
        <family val="2"/>
      </rPr>
      <t>allocates revenue to the proper government-wide financial statement categories (Charges for Services, Operating Grants and contributions, and Capital grants and contributions) and their respective programs/functions for presentation on the Statement of Activities. Note that these reclassification entries only change the presentation of revenue and will not be a factor in the reconciliation from modified to full accrual.</t>
    </r>
  </si>
  <si>
    <t>Loss on disposal of assets (or transfer out)</t>
  </si>
  <si>
    <t>*  This amount will become the reconciling amount to be entered in Section C, steps 1 &amp; 2 for the next year. In subsequent years the amount for Section C becomes cumulative, with year 1's balance added to year 2 etc. over time.</t>
  </si>
  <si>
    <t>Accum. Depreciation - Buildings</t>
  </si>
  <si>
    <t>-- Computed --</t>
  </si>
  <si>
    <r>
      <t xml:space="preserve">What was the balance at the end of the </t>
    </r>
    <r>
      <rPr>
        <u/>
        <sz val="10"/>
        <rFont val="Arial"/>
        <family val="2"/>
      </rPr>
      <t>prior year</t>
    </r>
    <r>
      <rPr>
        <sz val="10"/>
        <rFont val="Arial"/>
        <family val="2"/>
      </rPr>
      <t xml:space="preserve"> for other long-term liabilities?</t>
    </r>
  </si>
  <si>
    <t>General Instructions for Use</t>
  </si>
  <si>
    <t>K.</t>
  </si>
  <si>
    <t>L.</t>
  </si>
  <si>
    <t>M.</t>
  </si>
  <si>
    <t>What was discount on the new debt?</t>
  </si>
  <si>
    <t>What was the premium on the new debt?</t>
  </si>
  <si>
    <t>Payments to Escrow Agent:</t>
  </si>
  <si>
    <t xml:space="preserve">Indicate the function to which the expenditures in 1 above apply. </t>
  </si>
  <si>
    <t>Cultural and recreational</t>
  </si>
  <si>
    <r>
      <t>Compute the adjustment to the expenses in the functional categories by multiplying the proportionate participation percentage determined in Step A</t>
    </r>
    <r>
      <rPr>
        <b/>
        <i/>
        <sz val="10"/>
        <rFont val="Arial"/>
        <family val="2"/>
      </rPr>
      <t xml:space="preserve"> </t>
    </r>
    <r>
      <rPr>
        <b/>
        <sz val="10"/>
        <rFont val="Arial"/>
        <family val="2"/>
      </rPr>
      <t>by the amount of profit or loss to be allocated as calculated in Step D</t>
    </r>
    <r>
      <rPr>
        <b/>
        <i/>
        <sz val="10"/>
        <rFont val="Arial"/>
        <family val="2"/>
      </rPr>
      <t>.</t>
    </r>
  </si>
  <si>
    <t>Charges for services</t>
  </si>
  <si>
    <t>Amount</t>
  </si>
  <si>
    <t>Restricted intergovernmental</t>
  </si>
  <si>
    <t>Sales &amp; Services</t>
  </si>
  <si>
    <t>Debit</t>
  </si>
  <si>
    <t>Credit</t>
  </si>
  <si>
    <t>Total revenue to be reclassified</t>
  </si>
  <si>
    <t>*</t>
  </si>
  <si>
    <t>1.</t>
  </si>
  <si>
    <t>2.</t>
  </si>
  <si>
    <t>3.</t>
  </si>
  <si>
    <t>Working Column</t>
  </si>
  <si>
    <r>
      <t>Depreciation for shared capital assets should be allocated over the functions/programs based on usage, square footage, etc. Depreciation for capital assets that essentially serve all functions can be reported as a separate line entitled "unallocated depreciation" or charged to General Government</t>
    </r>
    <r>
      <rPr>
        <sz val="10"/>
        <rFont val="Arial"/>
        <family val="2"/>
      </rPr>
      <t xml:space="preserve">.  Unallocated depreciation should be a rare exception. The depreciation on infrastructure must follow the same principles and be charged to the function where repairs and maintenance are charged, e.g., the depreciation on streets would be charged to Transportation. Please remember that depreciation must be posted to the unit's permanent accounts in order to correctly reflect next year's beginning balances, but will not be shown in the fund statements. </t>
    </r>
  </si>
  <si>
    <r>
      <t xml:space="preserve">Eliminations - Consolidations: </t>
    </r>
    <r>
      <rPr>
        <sz val="10"/>
        <rFont val="Arial"/>
        <family val="2"/>
      </rPr>
      <t>addresses</t>
    </r>
    <r>
      <rPr>
        <b/>
        <sz val="10"/>
        <rFont val="Arial"/>
        <family val="2"/>
      </rPr>
      <t xml:space="preserve"> </t>
    </r>
    <r>
      <rPr>
        <sz val="10"/>
        <rFont val="Arial"/>
        <family val="2"/>
      </rPr>
      <t>all elimination and consolidation entries related to interfund payables, receivables, transfers, creates the entries for recording the current portion of long-term liabilities, and records internal service funds for which business-type activities are the predominant user.</t>
    </r>
  </si>
  <si>
    <r>
      <t>Specific Instructions</t>
    </r>
    <r>
      <rPr>
        <sz val="10"/>
        <rFont val="Arial"/>
        <family val="2"/>
      </rPr>
      <t xml:space="preserve"> - </t>
    </r>
    <r>
      <rPr>
        <sz val="9"/>
        <rFont val="Arial"/>
        <family val="2"/>
      </rPr>
      <t>continued</t>
    </r>
  </si>
  <si>
    <r>
      <t xml:space="preserve">What was the prior year internal balance entry for internal service funds allocation for business type activity? </t>
    </r>
    <r>
      <rPr>
        <sz val="8"/>
        <color indexed="10"/>
        <rFont val="Arial"/>
        <family val="2"/>
      </rPr>
      <t>Indicate sign - this amount will be negative if business type activities owe (have a balance payable to) government type activities and positive if business type activities have a balance receivable from government type activities.</t>
    </r>
  </si>
  <si>
    <r>
      <t>Miscellaneous general revenue [</t>
    </r>
    <r>
      <rPr>
        <i/>
        <sz val="10"/>
        <rFont val="Arial"/>
        <family val="2"/>
      </rPr>
      <t xml:space="preserve">gain (loss) on sale] </t>
    </r>
    <r>
      <rPr>
        <sz val="12"/>
        <rFont val="Wingdings 2"/>
        <family val="1"/>
        <charset val="2"/>
      </rPr>
      <t xml:space="preserve"> k</t>
    </r>
  </si>
  <si>
    <t>Sales of assets are assumed to generate gains which post to miscellaneous revenue. If losses result the number will appear as a debit. Material losses should be reported as a General Government expense unless they qualify as a "special" item expense. Reclassification of these material losses will be made during the final stages in worksheet L - entry L.10.</t>
  </si>
  <si>
    <t>Special items are assumed to be gains and posted as such. If a loss results then the amount posted will be a debit.</t>
  </si>
  <si>
    <r>
      <t xml:space="preserve">Miscellaneous general revenue </t>
    </r>
    <r>
      <rPr>
        <sz val="8"/>
        <color indexed="10"/>
        <rFont val="Arial"/>
        <family val="2"/>
      </rPr>
      <t>(gain or loss on sale)</t>
    </r>
  </si>
  <si>
    <r>
      <t xml:space="preserve">Miscellaneous revenue  </t>
    </r>
    <r>
      <rPr>
        <i/>
        <sz val="10"/>
        <rFont val="Arial"/>
        <family val="2"/>
      </rPr>
      <t>(</t>
    </r>
    <r>
      <rPr>
        <sz val="8"/>
        <color indexed="10"/>
        <rFont val="Arial"/>
        <family val="2"/>
      </rPr>
      <t>fund statements)</t>
    </r>
  </si>
  <si>
    <t>Entry for Conversion worksheet to record depreciation expense.       [Entry D.1]</t>
  </si>
  <si>
    <t>Journal entry for conversion worksheet to capitalize capital outlay expenditures.   [Entry E.1]</t>
  </si>
  <si>
    <t>Miscellaneous revenue</t>
  </si>
  <si>
    <t xml:space="preserve">Miscellaneous revenue </t>
  </si>
  <si>
    <t>F.2</t>
  </si>
  <si>
    <t>F.1</t>
  </si>
  <si>
    <t>G.1</t>
  </si>
  <si>
    <t>G.2</t>
  </si>
  <si>
    <t>G.3</t>
  </si>
  <si>
    <r>
      <t xml:space="preserve">Entry for conversion worksheet to record reductions in outstanding debt and interest expense and liability. </t>
    </r>
    <r>
      <rPr>
        <b/>
        <sz val="8"/>
        <rFont val="Arial"/>
        <family val="2"/>
      </rPr>
      <t>[Entry G.1, G.2 &amp; G.3]</t>
    </r>
  </si>
  <si>
    <t>Entry for conversion worksheet to record additions to outstanding debt and all refunding activity.   [Entry H.1]</t>
  </si>
  <si>
    <t>Other program 1-capital grants &amp; contributions</t>
  </si>
  <si>
    <t>lines to which entries are posted.</t>
  </si>
  <si>
    <t>A.</t>
  </si>
  <si>
    <t>B.</t>
  </si>
  <si>
    <t>4.</t>
  </si>
  <si>
    <t>5.</t>
  </si>
  <si>
    <t xml:space="preserve">Unearned revenue  </t>
  </si>
  <si>
    <t>Sample workbooks are available for Carolina County, City of Dogwood, and Carolina Board of Education. Refer to the proper workbook for your particular unit type. Please note that in some cases immaterial amounts have been used to demonstrate a transaction in the three examples above.  For your statements, determine materiality by the proper criteria and please do not be mislead by the small amounts in our examples.</t>
  </si>
  <si>
    <t>Education - Charges for services</t>
  </si>
  <si>
    <t>Education - Operating grants and contributions</t>
  </si>
  <si>
    <t>Education - Capital grants and contributions</t>
  </si>
  <si>
    <t>Accum. Depreciation - other asset class 1</t>
  </si>
  <si>
    <t>Accum. Depreciation - other asset class 2</t>
  </si>
  <si>
    <t>from Section A above</t>
  </si>
  <si>
    <t>from Section B above</t>
  </si>
  <si>
    <t>from the Conversion worksheet</t>
  </si>
  <si>
    <t>If proceeds received then treat transaction as a sale and enter in section A. above</t>
  </si>
  <si>
    <r>
      <t xml:space="preserve">Controlled Substance Abuse Tax  </t>
    </r>
    <r>
      <rPr>
        <b/>
        <sz val="9"/>
        <rFont val="Arial"/>
        <family val="2"/>
      </rPr>
      <t>(Restricted governmental for Modified Accrual  --  Public Safety - operating for Full Accrual)</t>
    </r>
  </si>
  <si>
    <r>
      <t xml:space="preserve">Telecommunications Tax  </t>
    </r>
    <r>
      <rPr>
        <b/>
        <sz val="9"/>
        <rFont val="Arial"/>
        <family val="2"/>
      </rPr>
      <t>(Unrestricted governmental for Modified Accrual  --  Unrestricted - General for Full Accrual)</t>
    </r>
  </si>
  <si>
    <r>
      <t xml:space="preserve">Special Assessments - No new asset on unit's books -  </t>
    </r>
    <r>
      <rPr>
        <b/>
        <sz val="9"/>
        <rFont val="Arial"/>
        <family val="2"/>
      </rPr>
      <t>(Miscellaneous revenue for Modified Accrual)
                                                                                                 (Program revenue - charge for service for Full Accrual)</t>
    </r>
  </si>
  <si>
    <t>Other long-term debt #1</t>
  </si>
  <si>
    <t>Restricted for Economic Development</t>
  </si>
  <si>
    <t>Restricted for Other restrictions #1</t>
  </si>
  <si>
    <t>Restricted for Other restrictions #2</t>
  </si>
  <si>
    <t>Restricted for Other restrictions #3</t>
  </si>
  <si>
    <r>
      <t xml:space="preserve">What is debt related to capital assets </t>
    </r>
    <r>
      <rPr>
        <u/>
        <sz val="10"/>
        <rFont val="Arial"/>
        <family val="2"/>
      </rPr>
      <t>excluding unexpended debt proceeds</t>
    </r>
    <r>
      <rPr>
        <sz val="10"/>
        <rFont val="Arial"/>
        <family val="2"/>
      </rPr>
      <t>?</t>
    </r>
  </si>
  <si>
    <t xml:space="preserve">        Government-wide Statement</t>
  </si>
  <si>
    <t>Compute if not separately disclosed</t>
  </si>
  <si>
    <t>K.1</t>
  </si>
  <si>
    <t>Other program 1 - Charges for services</t>
  </si>
  <si>
    <t>Other program 1 - Operating grants and contributions</t>
  </si>
  <si>
    <t>Other program 1 - Capital grants and contributions</t>
  </si>
  <si>
    <t>* Interest is typically a general revenue but if earned on investments legally restricted for a specific program it will follow the initial revenue source as in this capital grant.</t>
  </si>
  <si>
    <t>Taxes - ad valorem*</t>
  </si>
  <si>
    <t>Taxes - Ad valorem*</t>
  </si>
  <si>
    <t xml:space="preserve">Work Section to compile numbers for entry in Section E - </t>
  </si>
  <si>
    <r>
      <t xml:space="preserve">Sale of assets:          </t>
    </r>
    <r>
      <rPr>
        <b/>
        <sz val="10"/>
        <color indexed="17"/>
        <rFont val="Arial"/>
        <family val="2"/>
      </rPr>
      <t/>
    </r>
  </si>
  <si>
    <t>Adjust Other Revenues From Modified Accrual to Full Accrual</t>
  </si>
  <si>
    <t>Enter the amounts as positive numbers in the debit or credit columns for the internal balance and the functions noted below. This entry was generated in the internal service fund allocation worksheet for business type activities elsewhere on the website. The entry must balance. If multiple internal service funds exist with dominant user of business type, please add the entries together to arrive at the net debit or credit.</t>
  </si>
  <si>
    <t>Notes:</t>
  </si>
  <si>
    <t>What is the amount of interfund receivables and payables between governmental funds in the "due to/from account"?  This is the amount only between governmental funds. Do not include any due to/due froms between governmental and enterprise funds.</t>
  </si>
  <si>
    <t>Major Fund #3</t>
  </si>
  <si>
    <t>Capital Reserve</t>
  </si>
  <si>
    <t>Fire District</t>
  </si>
  <si>
    <t>School Capital Project</t>
  </si>
  <si>
    <t>Other Non-Major #2</t>
  </si>
  <si>
    <t>Other long-term debt #2</t>
  </si>
  <si>
    <t>Other long-term debt liabilities - What are adjustments to expenses and liabilities?</t>
  </si>
  <si>
    <r>
      <t xml:space="preserve">What was the amount of </t>
    </r>
    <r>
      <rPr>
        <u/>
        <sz val="10"/>
        <rFont val="Arial"/>
        <family val="2"/>
      </rPr>
      <t>new claims</t>
    </r>
    <r>
      <rPr>
        <sz val="10"/>
        <rFont val="Arial"/>
        <family val="2"/>
      </rPr>
      <t xml:space="preserve"> incurred during this current year?</t>
    </r>
  </si>
  <si>
    <t>Adjustments</t>
  </si>
  <si>
    <t xml:space="preserve">OFS - Transfers in </t>
  </si>
  <si>
    <r>
      <t xml:space="preserve">OFS - Installment purchase/COPS </t>
    </r>
    <r>
      <rPr>
        <sz val="8"/>
        <color indexed="10"/>
        <rFont val="Arial"/>
        <family val="2"/>
      </rPr>
      <t>(proceeds)</t>
    </r>
  </si>
  <si>
    <t>It is assumed that the balance at the beginning of the year for construction in progress for projects that were completed during the year has been reclassified to the appropriate category.</t>
  </si>
  <si>
    <t>Entry prepared assuming that Special Assessments were charged appropriately to program revenue in worksheet A.</t>
  </si>
  <si>
    <t xml:space="preserve">Any expenditures during the year on completed projects at year end should be recorded in the appropriate category rather than in construction in progress. </t>
  </si>
  <si>
    <t>Enter the  function which paid the amount above. For the amount for the Law Enforcement Officer's Separation Allowance, the  Public Safety function would have made the overpayment. If multiple functions contribute to other plans, the overpayment may be prorated based on total payments. The sum of these amounts must equal the  amount in the change in pension obligation field above.</t>
  </si>
  <si>
    <r>
      <t xml:space="preserve">Indicate the amount of </t>
    </r>
    <r>
      <rPr>
        <u/>
        <sz val="10"/>
        <rFont val="Arial"/>
        <family val="2"/>
      </rPr>
      <t>payments</t>
    </r>
    <r>
      <rPr>
        <sz val="10"/>
        <rFont val="Arial"/>
        <family val="2"/>
      </rPr>
      <t xml:space="preserve"> made on claims &amp; judgments during current year.</t>
    </r>
  </si>
  <si>
    <t>Calculated based on mark-up, e.g. if mark up is 10% then cost for revenue of $330 is $300.</t>
  </si>
  <si>
    <t xml:space="preserve">Adjustment to
Governmental
Activities  </t>
  </si>
  <si>
    <t>Adjustment to
Business-type
Activities</t>
  </si>
  <si>
    <t>Total Allocations</t>
  </si>
  <si>
    <t>Cash &amp; cash equivalents</t>
  </si>
  <si>
    <t>Vehicles</t>
  </si>
  <si>
    <t xml:space="preserve">   Buildings - Accum. Depreciation</t>
  </si>
  <si>
    <t xml:space="preserve">   Equipment - Accum. Depreciation</t>
  </si>
  <si>
    <t xml:space="preserve">   Vehicles - Accum. Depreciation</t>
  </si>
  <si>
    <t xml:space="preserve">   Accounts Payable</t>
  </si>
  <si>
    <t xml:space="preserve">   Charges for service - General government</t>
  </si>
  <si>
    <t xml:space="preserve">   Direct expenses - General government</t>
  </si>
  <si>
    <t>General government expenditures</t>
  </si>
  <si>
    <t>Public safety expenditures</t>
  </si>
  <si>
    <t>Transportation expenditures</t>
  </si>
  <si>
    <t>Environmental protection expenditures</t>
  </si>
  <si>
    <t>Culture and recreation expenditures</t>
  </si>
  <si>
    <t>Business-type Activities Adjustments:</t>
  </si>
  <si>
    <t>Water and sewer expenses</t>
  </si>
  <si>
    <t>Electric expenses</t>
  </si>
  <si>
    <t>Charges to external customers</t>
  </si>
  <si>
    <t>Intangible Asset - Advance Funding of Pension - (net negative pension obligation. -  Net pension liability found on Worksheet J.)</t>
  </si>
  <si>
    <t>Based on the computation in 5.b above. Enter the gain or loss against the proper accounts below:</t>
  </si>
  <si>
    <r>
      <t xml:space="preserve">If there is a </t>
    </r>
    <r>
      <rPr>
        <b/>
        <sz val="10"/>
        <rFont val="Arial"/>
        <family val="2"/>
      </rPr>
      <t>net gain</t>
    </r>
    <r>
      <rPr>
        <sz val="10"/>
        <rFont val="Arial"/>
        <family val="2"/>
      </rPr>
      <t xml:space="preserve">, is it an extraordinary gain or miscellaneous revenue? </t>
    </r>
    <r>
      <rPr>
        <b/>
        <sz val="10"/>
        <color indexed="10"/>
        <rFont val="Arial"/>
        <family val="2"/>
      </rPr>
      <t>Can only be one, not both</t>
    </r>
    <r>
      <rPr>
        <sz val="10"/>
        <rFont val="Arial"/>
        <family val="2"/>
      </rPr>
      <t>.</t>
    </r>
  </si>
  <si>
    <t>Extraordinary gain</t>
  </si>
  <si>
    <r>
      <t xml:space="preserve">If there is a </t>
    </r>
    <r>
      <rPr>
        <b/>
        <sz val="10"/>
        <rFont val="Arial"/>
        <family val="2"/>
      </rPr>
      <t>net loss</t>
    </r>
    <r>
      <rPr>
        <sz val="10"/>
        <rFont val="Arial"/>
        <family val="2"/>
      </rPr>
      <t xml:space="preserve">, is it an extraordinary loss or a program expense? (GASB definition for extraordinary loss can be found in the authoritative literature.) </t>
    </r>
    <r>
      <rPr>
        <b/>
        <sz val="10"/>
        <color indexed="10"/>
        <rFont val="Arial"/>
        <family val="2"/>
      </rPr>
      <t>Enter amount as negative number.</t>
    </r>
  </si>
  <si>
    <t>Extraordinary loss</t>
  </si>
  <si>
    <t xml:space="preserve">Total for 6a and 6b above </t>
  </si>
  <si>
    <t>Final Entry to Conversion Worksheet for sales, disposals, donations to the unit of capital assets and asset impairment loss:   [Entry F.1, 2, 3 &amp; 4]</t>
  </si>
  <si>
    <t>F.4</t>
  </si>
  <si>
    <t>OFS - Insurance recovery</t>
  </si>
  <si>
    <t>Extraordinary gain/ioss</t>
  </si>
  <si>
    <t>Total of F.1, F.2, F.3 and F.4</t>
  </si>
  <si>
    <t>--------------------     Asset  impairment Loss  Entry     --------------------</t>
  </si>
  <si>
    <r>
      <t xml:space="preserve">In order to present the net cost per function in the Statement of Activities, any "doubling up" of expenditures or revenues must be eliminated. This occurs when administrative activities such as printing, data processing, accounting staff, etc. are accounted for in function/fund #1 and charged out or allocated to other functions or funds </t>
    </r>
    <r>
      <rPr>
        <u/>
        <sz val="10"/>
        <rFont val="Arial"/>
        <family val="2"/>
      </rPr>
      <t>where the payment for the service is treated as revenue in function #1.</t>
    </r>
    <r>
      <rPr>
        <sz val="10"/>
        <rFont val="Arial"/>
        <family val="2"/>
      </rPr>
      <t xml:space="preserve"> In this scenario, the expenditures are presented twice and the revenues are overstated for governmental activities. In this case, the costs should be presented in the functions that were charged and the revenue and expense in function/fund #1 must be eliminated. </t>
    </r>
    <r>
      <rPr>
        <b/>
        <sz val="10"/>
        <rFont val="Arial"/>
        <family val="2"/>
      </rPr>
      <t>IF THE PAYMENTS FROM THE USERS ARE TREATED AS A REIMBURSEMENT</t>
    </r>
    <r>
      <rPr>
        <sz val="10"/>
        <rFont val="Arial"/>
        <family val="2"/>
      </rPr>
      <t xml:space="preserve"> </t>
    </r>
    <r>
      <rPr>
        <b/>
        <sz val="10"/>
        <rFont val="Arial"/>
        <family val="2"/>
      </rPr>
      <t>(the expenditure in function/fund #1 is reduced by payment from the user function),  NO ADJUSTMENT IS NECESSARY.</t>
    </r>
    <r>
      <rPr>
        <sz val="10"/>
        <rFont val="Arial"/>
        <family val="2"/>
      </rPr>
      <t xml:space="preserve"> The entry created will reduce revenues and expenses in function/fund #1 for the expenditure amount allocated to other functions. Profits or losses are presumed to be immaterial in this entry. If material, any profit or loss must be allocated back to the functions using the service by a manual entry to the worksheet.</t>
    </r>
  </si>
  <si>
    <t>Capital assets, all governmental activities</t>
  </si>
  <si>
    <t>Gross Capital</t>
  </si>
  <si>
    <t>Net Capital Assets</t>
  </si>
  <si>
    <t>Accum.</t>
  </si>
  <si>
    <t xml:space="preserve">Net Capital </t>
  </si>
  <si>
    <t xml:space="preserve">  Unmerited liabilities related to debt</t>
  </si>
  <si>
    <t xml:space="preserve">  Unmerited assets related to debt</t>
  </si>
  <si>
    <t>K.1-3</t>
  </si>
  <si>
    <t>Other enterprise #1</t>
  </si>
  <si>
    <t>Other enterprise #2</t>
  </si>
  <si>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adjustments can be made.</t>
  </si>
  <si>
    <t>Must be manually posted to business type worksheet elsewhere on the website.</t>
  </si>
  <si>
    <r>
      <t xml:space="preserve">From the financial records, indicate the appropriate program classification to which the revenue should be reclassified.
</t>
    </r>
    <r>
      <rPr>
        <sz val="10"/>
        <rFont val="Arial"/>
        <family val="2"/>
      </rPr>
      <t>The total of Section B must agree to the total of Section A above.</t>
    </r>
  </si>
  <si>
    <t>Assets</t>
  </si>
  <si>
    <t>Liabilities</t>
  </si>
  <si>
    <t>The staff has tried to anticipate the most likely scenarios for governments in North Carolina . However, it is impossible for us to anticipate every unique situation that exists in our local governments. If you need assistance with your particular data, please call and we will make every attempt to help you enter the data into the workbook. However, some instances will exist for which the workbook will not make the necessary calculation. The "manual entry" columns on the summary worksheet are there for this purpose. The user can determine the necessary entry and post it in these columns to the appropriate accounts. Be especially aware of extraordinary and special items that have not been handled elsewhere in the workbook.</t>
  </si>
  <si>
    <t xml:space="preserve">In addition to the elimination and consolidation entries made below, it may be necessary to record manual entries in the "Other Miscellaneous Entries As Needed" column. These would be conversion or reclassification entries that are unique for your unit which have not been previously handled throughout the workbook. This is especially true of any special or extraordinary revenue or expense items. The special and extraordinary item accounts are at the end of the trial balance in the Conversion Worksheet. Remember that any manual entries posted to these columns must have balanced debits and credits.  </t>
  </si>
  <si>
    <r>
      <t xml:space="preserve">Cross-referencing has been used throughout the workbook to tie together relevant numbers and or comments to better clarify an entry. In each case we have used the following denotation </t>
    </r>
    <r>
      <rPr>
        <sz val="11"/>
        <rFont val="Wingdings 2"/>
        <family val="1"/>
        <charset val="2"/>
      </rPr>
      <t>j k l</t>
    </r>
    <r>
      <rPr>
        <sz val="10"/>
        <rFont val="Arial"/>
        <family val="2"/>
      </rPr>
      <t xml:space="preserve"> (circled numbers) which uses the font type "Wingdings2." If your computer does not support this font you may see Greek alphabetic characters or some other notation. We apologize for any confusion but notes and numbers will still cross-reference consistently by whatever character your computer displays.</t>
    </r>
  </si>
  <si>
    <t>What is the amount of other long-term debt #1 that will be due and payable within one year?</t>
  </si>
  <si>
    <t>What is the amount of other long-term debt #2 that will be due and payable within one year?</t>
  </si>
  <si>
    <t xml:space="preserve">What is the amount of Bonds payable that will be due and payable within one year? </t>
  </si>
  <si>
    <t>What is the amount of notes payable that will be due and payable within one year?</t>
  </si>
  <si>
    <r>
      <t xml:space="preserve">Classify current portion of long-term liabilities.   </t>
    </r>
    <r>
      <rPr>
        <b/>
        <sz val="8"/>
        <color indexed="10"/>
        <rFont val="Arial"/>
        <family val="2"/>
      </rPr>
      <t>(Leave the cell blank if account does not apply or classification has been handled previously.)</t>
    </r>
  </si>
  <si>
    <t>presentation</t>
  </si>
  <si>
    <t>Other long-term liability #1</t>
  </si>
  <si>
    <t>Other long-term liability #2</t>
  </si>
  <si>
    <t>Notes payable</t>
  </si>
  <si>
    <t>Bonds payable</t>
  </si>
  <si>
    <t>COPs payable</t>
  </si>
  <si>
    <t>Claims payable</t>
  </si>
  <si>
    <t>Claims payable - current</t>
  </si>
  <si>
    <t>COPs payable - current</t>
  </si>
  <si>
    <t>Bonds payable - current</t>
  </si>
  <si>
    <t>Notes payable - current</t>
  </si>
  <si>
    <t>Capital leases - current</t>
  </si>
  <si>
    <t>Other long-term liability #2 - current</t>
  </si>
  <si>
    <t>Other long-term liability #1 - current</t>
  </si>
  <si>
    <t xml:space="preserve">What are net capital assets (capital assets less accumulated depreciation.) </t>
  </si>
  <si>
    <t>Restricted for:</t>
  </si>
  <si>
    <t>Capital projects</t>
  </si>
  <si>
    <t>Economic Development</t>
  </si>
  <si>
    <t>Other restrictions #1</t>
  </si>
  <si>
    <t>Other restrictions #2</t>
  </si>
  <si>
    <t>Unrestricted:</t>
  </si>
  <si>
    <t>Sales that qualify as a "special item" for statement presentation:*</t>
  </si>
  <si>
    <r>
      <t>General Government [</t>
    </r>
    <r>
      <rPr>
        <i/>
        <sz val="8"/>
        <rFont val="Arial"/>
        <family val="2"/>
      </rPr>
      <t>Loss on disposal</t>
    </r>
    <r>
      <rPr>
        <sz val="10"/>
        <rFont val="Arial"/>
        <family val="2"/>
      </rPr>
      <t>]</t>
    </r>
  </si>
  <si>
    <r>
      <t>General Government…….</t>
    </r>
    <r>
      <rPr>
        <sz val="8"/>
        <color indexed="10"/>
        <rFont val="Arial"/>
        <family val="2"/>
      </rPr>
      <t>loss on disposal</t>
    </r>
  </si>
  <si>
    <t>Retiring, scrapping or donating Capital assets:</t>
  </si>
  <si>
    <r>
      <t xml:space="preserve">Retiring, scrapping and donating capital assets (with no proceeds): </t>
    </r>
    <r>
      <rPr>
        <b/>
        <sz val="12"/>
        <rFont val="Arial"/>
        <family val="2"/>
      </rPr>
      <t xml:space="preserve"> </t>
    </r>
    <r>
      <rPr>
        <b/>
        <sz val="12"/>
        <rFont val="Wingdings 2"/>
        <family val="1"/>
        <charset val="2"/>
      </rPr>
      <t>j</t>
    </r>
    <r>
      <rPr>
        <b/>
        <sz val="10"/>
        <rFont val="Arial"/>
        <family val="2"/>
      </rPr>
      <t xml:space="preserve">   </t>
    </r>
  </si>
  <si>
    <t xml:space="preserve">j  </t>
  </si>
  <si>
    <t xml:space="preserve">Record any entries from Internal Service Fund Allocation where the Business type activity was dominant. </t>
  </si>
  <si>
    <t>What is the amount in "Due to other funds" that is due to fiduciary funds?</t>
  </si>
  <si>
    <t>Interest Expense</t>
  </si>
  <si>
    <t>Internal balance</t>
  </si>
  <si>
    <t>---  Computed  ---</t>
  </si>
  <si>
    <t>There may be instances in the individual worksheets where negative debits or credits are generated in an entry and we did not create formulas to reclassify as a positive number. If this occurs do not be alarmed, it will be corrected in the final columns of the Conversion Worksheet.</t>
  </si>
  <si>
    <t>Indicate to which function the new "other liabilities" listed in step 2 apply. The sum of the amounts below must equal the amount in the corresponding step above. Indicate to which function the payment was charged in step 3. Indicate to which function any adjustments noted in step 4 should be recorded. Indicate any amounts that should be reported as special or extraordinary items.</t>
  </si>
  <si>
    <t>p</t>
  </si>
  <si>
    <t>q</t>
  </si>
  <si>
    <t>r</t>
  </si>
  <si>
    <t>s</t>
  </si>
  <si>
    <t>Final Entry for Conversion Worksheet   [Entry L.1 to L.9]</t>
  </si>
  <si>
    <t>consolidation entries - Worksheets K &amp; L</t>
  </si>
  <si>
    <t>Other financing source - Sale of assets</t>
  </si>
  <si>
    <t>Class #1</t>
  </si>
  <si>
    <t>Class #2</t>
  </si>
  <si>
    <t>Other asset class #1</t>
  </si>
  <si>
    <t>Other asset class #2</t>
  </si>
  <si>
    <t>Indicate amount of revenue recorded for sale.</t>
  </si>
  <si>
    <t>Entry B</t>
  </si>
  <si>
    <t>Entry C</t>
  </si>
  <si>
    <t>Entry D</t>
  </si>
  <si>
    <t>Totals</t>
  </si>
  <si>
    <t>Other non-depreciable assets</t>
  </si>
  <si>
    <t>What was the amount outstanding for the old debt at the time it was refunded?</t>
  </si>
  <si>
    <t>Units may elect to amortize the discount or premium on bonds and the deferred charge (loss) on refunding using the straight-line method or the effective interest rate amortization method.</t>
  </si>
  <si>
    <t>Review all governmental funds for sales of assets. For those items that meet the definition of a special item* enter the amounts by asset class for each question in section A.1. Typically there would not be more than one sale that qualified under the definition of special item. Enter the amounts under the proper asset class.</t>
  </si>
  <si>
    <t>Other</t>
  </si>
  <si>
    <t>Other asset</t>
  </si>
  <si>
    <t>For those items sold that qualify as a regular sale of assets, enter the amounts by asset class for each question in section A.2</t>
  </si>
  <si>
    <t>Trade-in of Capital assets:</t>
  </si>
  <si>
    <t xml:space="preserve">What is the original cost at the beginning of the year for assets sold during current year? </t>
  </si>
  <si>
    <t>What is the amount of claims payable that will be due and payable within one year?</t>
  </si>
  <si>
    <t>Determine the proportionate participation of each function by matching the charge for service with the functional category and determine which activity primarily benefits from the internal service fund - governmental or business type in Step A. If business type activity is determined as the primary beneficiary, please delete data from this form and enter it in the business type worksheet provided on the website.</t>
  </si>
  <si>
    <t>Internal balances *</t>
  </si>
  <si>
    <t>From fund Statement of Revenues, Expenses, and</t>
  </si>
  <si>
    <t>Beginning fund balance from fund statement</t>
  </si>
  <si>
    <t>Sales and services</t>
  </si>
  <si>
    <t>F.</t>
  </si>
  <si>
    <t>G.</t>
  </si>
  <si>
    <t>Other taxes and licenses</t>
  </si>
  <si>
    <t>Intergovernmental - restricted</t>
  </si>
  <si>
    <t>Intergovernmental - unrestricted</t>
  </si>
  <si>
    <t>Other revenue 1</t>
  </si>
  <si>
    <t>Other revenue 2</t>
  </si>
  <si>
    <t>Operating Accounts - Expenditures</t>
  </si>
  <si>
    <t>Other financing sources (uses)</t>
  </si>
  <si>
    <t>Special item</t>
  </si>
  <si>
    <t>Extraordinary item</t>
  </si>
  <si>
    <t>Other program 1</t>
  </si>
  <si>
    <t>See Memos # 949 and #964 for discussion of the proper recognition of revenue under modified accrual and full accrual for GASB 33 and 34.</t>
  </si>
  <si>
    <t>Investment in joint venture</t>
  </si>
  <si>
    <t>Net investment in joint venture</t>
  </si>
  <si>
    <t>Equity in joint ventures is defined by GASB 14 and should be recorded as an asset if there is an underlying contract which creates an explicit, measurable equity interest. The increase (or decrease) will be recognized as revenue (or loss) on the Statement of Activities.</t>
  </si>
  <si>
    <t>I.1</t>
  </si>
  <si>
    <t>Fund balance</t>
  </si>
  <si>
    <t>Other Enterprise 1</t>
  </si>
  <si>
    <t>Other Enterprise 2</t>
  </si>
  <si>
    <t>Other enterprise 1</t>
  </si>
  <si>
    <t>Other enterprise 2</t>
  </si>
  <si>
    <r>
      <t xml:space="preserve">What was the amount of capital outlay to be capitalized by function in all governmental funds? </t>
    </r>
    <r>
      <rPr>
        <b/>
        <i/>
        <sz val="10"/>
        <color indexed="10"/>
        <rFont val="Arial"/>
        <family val="2"/>
      </rPr>
      <t xml:space="preserve"> This includes expenditures related to impairment losses.</t>
    </r>
  </si>
  <si>
    <r>
      <t xml:space="preserve">Identify assets by function and calculate the annual depreciation in section A below. For those items that are shared and no clear allocation method is available, place those figures into General Government or the unallocated depreciation line </t>
    </r>
    <r>
      <rPr>
        <sz val="8"/>
        <rFont val="Arial"/>
        <family val="2"/>
      </rPr>
      <t xml:space="preserve">(use of "unallocated depreciation" will typically be the exception). </t>
    </r>
  </si>
  <si>
    <r>
      <t xml:space="preserve">Compute and record asset impairment loss or gain per GASB Statement 42 for physical damage:   </t>
    </r>
    <r>
      <rPr>
        <b/>
        <sz val="10"/>
        <color indexed="10"/>
        <rFont val="Arial"/>
        <family val="2"/>
      </rPr>
      <t>(Asset must have been restored or be planned for restoration otherwise asset is written off.)</t>
    </r>
  </si>
  <si>
    <t xml:space="preserve">Revenues must be adjusted to the full accrual basis of accounting on the Statement of Activities. Under modified accrual, taxes must be both measurable and available (for full accrual they are measurable and earned.)  This means that some revenue received in the current year may have actually  been earned in the prior year and some revenue deferred for the current year due to unavailability may actually be earned for full accrual. Taxes collected in advance of the period the taxes are intended to finance will be "unearned revenue" under both full and modified accrual. Estimates for uncollectibles is the same for both methods, if material.  </t>
  </si>
  <si>
    <r>
      <t xml:space="preserve">Piped Natural Gas Tax  </t>
    </r>
    <r>
      <rPr>
        <b/>
        <sz val="9"/>
        <rFont val="Arial"/>
        <family val="2"/>
      </rPr>
      <t xml:space="preserve"> (Unrestricted intergovernmental for Modified Accrual  --  Unrestricted - General for Full Accrual)</t>
    </r>
  </si>
  <si>
    <t>Cultural and Recreation</t>
  </si>
  <si>
    <t>What is (or was) the restoration cost ? (Amount would have been included in the capital outlay entry - Tab E - if spent in the same fiscal year.)</t>
  </si>
  <si>
    <r>
      <t xml:space="preserve">Answer either a. or b. </t>
    </r>
    <r>
      <rPr>
        <sz val="10"/>
        <rFont val="Arial"/>
        <family val="2"/>
      </rPr>
      <t>below,</t>
    </r>
    <r>
      <rPr>
        <sz val="10"/>
        <color indexed="10"/>
        <rFont val="Arial"/>
        <family val="2"/>
      </rPr>
      <t xml:space="preserve"> </t>
    </r>
    <r>
      <rPr>
        <b/>
        <sz val="10"/>
        <color indexed="10"/>
        <rFont val="Arial"/>
        <family val="2"/>
      </rPr>
      <t>but not both</t>
    </r>
    <r>
      <rPr>
        <sz val="10"/>
        <rFont val="Arial"/>
        <family val="2"/>
      </rPr>
      <t xml:space="preserve"> - (either the replacement cost method or the deflation factor method is used to calculate loss.)</t>
    </r>
  </si>
  <si>
    <t>What is the replacement cost for a new asset of the type damaged in 1a. Above?</t>
  </si>
  <si>
    <t>Restoration cost ratio</t>
  </si>
  <si>
    <t>based on replacement cost</t>
  </si>
  <si>
    <t xml:space="preserve">either or </t>
  </si>
  <si>
    <t>What is the appropriate deflation factor to use if replacement cost is not known?</t>
  </si>
  <si>
    <t>Deflated restoration cost</t>
  </si>
  <si>
    <t>based on deflation factor</t>
  </si>
  <si>
    <t>Impairment Loss Calculation</t>
  </si>
  <si>
    <t>3a. Replacement cost method</t>
  </si>
  <si>
    <t xml:space="preserve"> 3.b  Deflator method</t>
  </si>
  <si>
    <t>Indicate to which asset class the loss in 3a or 3b should be credited. Should be same class as that indicated in 1 above.</t>
  </si>
  <si>
    <t>Equipment and Furniture</t>
  </si>
  <si>
    <t>Vehicles and Motorized Equipment</t>
  </si>
  <si>
    <t>Indicate insurance recovery amount if received in this fiscal year?</t>
  </si>
  <si>
    <t>Other financing source - insurance recovery</t>
  </si>
  <si>
    <t>Net Gain / loss on insurance recovery</t>
  </si>
  <si>
    <t>Asset Impariment Loss - continued</t>
  </si>
  <si>
    <r>
      <t>Note</t>
    </r>
    <r>
      <rPr>
        <sz val="10"/>
        <rFont val="Arial"/>
        <family val="2"/>
      </rPr>
      <t xml:space="preserve">: </t>
    </r>
    <r>
      <rPr>
        <i/>
        <sz val="10"/>
        <rFont val="Arial"/>
        <family val="2"/>
      </rPr>
      <t>If the composite method is used for computing depreciation and useful life, no gain or loss should be recognized. The proceeds received upon the asset's removal reduces the amount that would have been charged to accumulated depreciation. For the case where the composite method is used, adjust accumulated depreciation such that gain/loss computes as zero ($0).</t>
    </r>
  </si>
  <si>
    <t>Total of principal payments</t>
  </si>
  <si>
    <t>Accrued interest receivable</t>
  </si>
  <si>
    <t>What is the accumulated depreciation at the beginning of the year for the assets sold in a. above?</t>
  </si>
  <si>
    <t>Adjust Debt Service Expenditures Under Modified Accrual to Full Accrual</t>
  </si>
  <si>
    <t>Review the various governmental funds and identify debt service expenditures that should be recorded as a reduction to a liability as principal is paid down. Enter information in Section A below.</t>
  </si>
  <si>
    <t>Enter the amount of principal paid as debt service in all governmental funds for the categories below?</t>
  </si>
  <si>
    <t>What was the amount of debt service paid by category of debt for all governmental funds?</t>
  </si>
  <si>
    <t>Used*</t>
  </si>
  <si>
    <t>Earned*</t>
  </si>
  <si>
    <t>F.3</t>
  </si>
  <si>
    <t>Capital outlay</t>
  </si>
  <si>
    <t>What was the amount to be capitalized by asset class?</t>
  </si>
  <si>
    <r>
      <t xml:space="preserve">Infrastructure </t>
    </r>
    <r>
      <rPr>
        <i/>
        <sz val="8"/>
        <rFont val="Arial"/>
        <family val="2"/>
      </rPr>
      <t>(e.g. street improvements)</t>
    </r>
  </si>
  <si>
    <t>Other debt not issued for capital, including hospital debt</t>
  </si>
  <si>
    <t>Register of Deeds</t>
  </si>
  <si>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minor adjustments can be made.</t>
  </si>
  <si>
    <r>
      <t xml:space="preserve">     Proof Total - </t>
    </r>
    <r>
      <rPr>
        <sz val="8"/>
        <color indexed="10"/>
        <rFont val="Arial"/>
        <family val="2"/>
      </rPr>
      <t>(debits and credits should balance)</t>
    </r>
  </si>
  <si>
    <t>What are the accrued investment earnings at the end of the current year?</t>
  </si>
  <si>
    <t>Indicate by amount the appropriate full accrual revenue classification. The sum of amounts in step 3 must equal the amount in step 2.</t>
  </si>
  <si>
    <t>What was the amount of the net negative pension obligation at the beginning of the year. If multiple benefit plans are involved enter the sum of all plans.</t>
  </si>
  <si>
    <t>Intangible asset - advance funding of pension</t>
  </si>
  <si>
    <t>Proceeds of New Debt:</t>
  </si>
  <si>
    <t>H.</t>
  </si>
  <si>
    <t>J.</t>
  </si>
  <si>
    <t>What was the accrued investment earnings at the end of the prior year?</t>
  </si>
  <si>
    <t>Entry J</t>
  </si>
  <si>
    <t>Any investment earnings that should be reclassified as program revenue will be adjusted in worksheet L.</t>
  </si>
  <si>
    <t>Fund balance - beginning</t>
  </si>
  <si>
    <t>What is the amount of the unit's equity interest in all joint ventures at the end of the prior year (beginning balance.)</t>
  </si>
  <si>
    <t>What is the amount of the unit's equity interest in all joint ventures at the end of the current year (ending balance.)</t>
  </si>
  <si>
    <r>
      <t xml:space="preserve">Equity interest in joint ventures  -  </t>
    </r>
    <r>
      <rPr>
        <b/>
        <sz val="8"/>
        <rFont val="Arial"/>
        <family val="2"/>
      </rPr>
      <t xml:space="preserve">( Underlying contract creates explicit, measurable equity interest - otherwise note disclosure only) </t>
    </r>
  </si>
  <si>
    <t>Total of pension over funding</t>
  </si>
  <si>
    <t>Special and extraordinary items</t>
  </si>
  <si>
    <t>Extraordinary item - expenditure</t>
  </si>
  <si>
    <t>Extraordinary item - revenue</t>
  </si>
  <si>
    <r>
      <t>Miscellaneous……………………</t>
    </r>
    <r>
      <rPr>
        <sz val="8"/>
        <color indexed="10"/>
        <rFont val="Arial"/>
        <family val="2"/>
      </rPr>
      <t>(Typically general)</t>
    </r>
  </si>
  <si>
    <t>Transfers that occur during the year between governmental funds and between enterprise funds must be eliminated. Only transfers between governmental and enterprise funds remain. Transfers to/from discretely presented component units should now be reported as revenue and expenditures in the appropriate governmental fund and will not need reclassification. The transfers between governmental funds and the internal service funds must be eliminated for any internal service fund that has been consolidated with the governmental activities. After these entries, the remaining transfers should be those between business type activities or fiduciary funds.</t>
  </si>
  <si>
    <t>Revenues are reclassified from the summary levels in the fund statements to the classification required for the Statement of Activities in Worksheet A. A separate worksheet on the website is available to assist with this allocation.</t>
  </si>
  <si>
    <t>C.</t>
  </si>
  <si>
    <t>Ad Valorem taxes:</t>
  </si>
  <si>
    <t>Accrued interest rec. on ad valorem - "beginning of year"</t>
  </si>
  <si>
    <t>Adjust Capital Outlay Expenditures Under Modified Accrual to Full Accrual</t>
  </si>
  <si>
    <t>Environmental protection</t>
  </si>
  <si>
    <t xml:space="preserve">3. </t>
  </si>
  <si>
    <t>D.</t>
  </si>
  <si>
    <t>Vehicles and motorized equipment</t>
  </si>
  <si>
    <t>Equipment</t>
  </si>
  <si>
    <t>Infrastructure</t>
  </si>
  <si>
    <t>Land</t>
  </si>
  <si>
    <t>Buildings</t>
  </si>
  <si>
    <t>Other Improvement</t>
  </si>
  <si>
    <t>Construction in Progress</t>
  </si>
  <si>
    <t>Economic and Physical Development</t>
  </si>
  <si>
    <t>Economic &amp; physical development</t>
  </si>
  <si>
    <t>Adjust Other Capital Asset Entries to Full Accrual</t>
  </si>
  <si>
    <t>Depreciation</t>
  </si>
  <si>
    <t xml:space="preserve">Other </t>
  </si>
  <si>
    <t>Trade-in of capital assets.</t>
  </si>
  <si>
    <t>Vehicles &amp; motorized equip.</t>
  </si>
  <si>
    <t>N/A</t>
  </si>
  <si>
    <t>E.</t>
  </si>
  <si>
    <t>Construction in progress</t>
  </si>
  <si>
    <t>Record permanent balance sheet accounts.</t>
  </si>
  <si>
    <t>Enter unallocated amounts</t>
  </si>
  <si>
    <t xml:space="preserve">Interest expense </t>
  </si>
  <si>
    <t xml:space="preserve">As previously stated, revenues that result in the ownership of a capital asset are classified as capital. If no capital asset results, the revenue should be classified as operating. </t>
  </si>
  <si>
    <r>
      <t xml:space="preserve">Extraordinary item  </t>
    </r>
    <r>
      <rPr>
        <i/>
        <sz val="10"/>
        <rFont val="Arial"/>
        <family val="2"/>
      </rPr>
      <t>(revenue)</t>
    </r>
  </si>
  <si>
    <t>What is the depreciation expense for the current year up to the date of sale for the asset above?</t>
  </si>
  <si>
    <t>Improvements</t>
  </si>
  <si>
    <t>Vehicles + Mot. Equip</t>
  </si>
  <si>
    <t>…. Automatically computed ….</t>
  </si>
  <si>
    <t>Advances from other funds</t>
  </si>
  <si>
    <t>Advances to other funds</t>
  </si>
  <si>
    <t>What is the current year annual amortization for deferred charge (loss) from refunding?</t>
  </si>
  <si>
    <t>Indicate the amount of any distributions during the current year that were recognized as revenue under modified accrual.</t>
  </si>
  <si>
    <t>Net change for the year</t>
  </si>
  <si>
    <t>Net Change amount</t>
  </si>
  <si>
    <t>Net Change Amount</t>
  </si>
  <si>
    <t>What was the amount of the Reserve for Prepaid Expenses at the end of the prior year?</t>
  </si>
  <si>
    <t>What was the amount of Reserve for Prepaid Expenses at the end of the current year?</t>
  </si>
  <si>
    <t>Change in reserve for prepaid expenses</t>
  </si>
  <si>
    <t>Change in reserve for inventories</t>
  </si>
  <si>
    <t>Review the governmental funds for expenditures made during the year for claims &amp; judgments. Enter the payment amounts in section B.1 below. Also, determine additions to claims &amp; judgments from management. Enter the amounts of the new liability by function in section B.2.</t>
  </si>
  <si>
    <t>Review the governmental funds to determine the amount of interest paid under modified accrual. Also estimate the amount of accrued interest payable at the beginning of the year and for the end of the year under the full accrual basis of accounting.</t>
  </si>
  <si>
    <t>What was the amount of the pension obligation at the end of the year. If multiple benefit plans are involved enter the sum of all plans.</t>
  </si>
  <si>
    <t>Accum. Depreciation - Vehicles + Mot. Equip</t>
  </si>
  <si>
    <t>Fund Equity - Beginning</t>
  </si>
  <si>
    <r>
      <t xml:space="preserve">Miscellaneous revenue </t>
    </r>
    <r>
      <rPr>
        <sz val="8"/>
        <color indexed="10"/>
        <rFont val="Arial"/>
        <family val="2"/>
      </rPr>
      <t>- not program specific</t>
    </r>
  </si>
  <si>
    <r>
      <t xml:space="preserve">What is the amount of expenditures incurred and revenues collected that is truly a cost of the user function, e.g. services such as data processing, printing, accounting, garage, etc. </t>
    </r>
    <r>
      <rPr>
        <u/>
        <sz val="10"/>
        <rFont val="Arial"/>
        <family val="2"/>
      </rPr>
      <t>For this entry to be required, revenue has been recorded in the function providing the service</t>
    </r>
    <r>
      <rPr>
        <sz val="10"/>
        <rFont val="Arial"/>
        <family val="2"/>
      </rPr>
      <t xml:space="preserve">. Indicate the amount by function below. Include charges to and revenues collected from business type activities. </t>
    </r>
    <r>
      <rPr>
        <sz val="8"/>
        <color indexed="10"/>
        <rFont val="Arial"/>
        <family val="2"/>
      </rPr>
      <t>Assumption is that expenditures and revenue are equal and there is no material profit or loss to be allocated</t>
    </r>
    <r>
      <rPr>
        <sz val="10"/>
        <rFont val="Arial"/>
        <family val="2"/>
      </rPr>
      <t xml:space="preserve">.  </t>
    </r>
    <r>
      <rPr>
        <b/>
        <sz val="8"/>
        <color indexed="10"/>
        <rFont val="Arial"/>
        <family val="2"/>
      </rPr>
      <t>If reimbursement method was used, leave this section blank</t>
    </r>
    <r>
      <rPr>
        <sz val="10"/>
        <rFont val="Arial"/>
        <family val="2"/>
      </rPr>
      <t>.</t>
    </r>
  </si>
  <si>
    <t>Enter the dollar amount of revenues paid by each function to the internal service fund. The percentage of total internal charges will be automatically calculated. This will provide the information to determine the primary activity type. The activity which is the primary beneficiary will be the activity to which balance sheet accounts are recorded later in the entry.</t>
  </si>
  <si>
    <t>Accumulated depreciation - Other asset class #1</t>
  </si>
  <si>
    <t>Accumulated depreciation - Other asset class #2</t>
  </si>
  <si>
    <t>6.</t>
  </si>
  <si>
    <t>Entry A.1</t>
  </si>
  <si>
    <t>Entry A.2</t>
  </si>
  <si>
    <t xml:space="preserve">Debit </t>
  </si>
  <si>
    <t>General obligation bonds payable</t>
  </si>
  <si>
    <t>Bond anticipation notes payable</t>
  </si>
  <si>
    <t>Installment purchases/COPs payable</t>
  </si>
  <si>
    <t>Review the governmental funds for additions to the various debt categories which would have been recorded as an other financing source - debt proceeds. Enter information in Section B below. New issuance of refunding bonds will be handled in section B.</t>
  </si>
  <si>
    <t>Debt Issues and Other Debt Related Transactions</t>
  </si>
  <si>
    <t>Enter the face amount of newly issued debt and any discount, premium or issuance cost for all governmental funds by the categories below?</t>
  </si>
  <si>
    <t>What was issuance cost for new debt?</t>
  </si>
  <si>
    <t>Complete the questions below regarding bond refunding.</t>
  </si>
  <si>
    <t>Old Debt:</t>
  </si>
  <si>
    <t xml:space="preserve">    Unamortized liabilities related to capital debt</t>
  </si>
  <si>
    <r>
      <t xml:space="preserve">What is the fair value of </t>
    </r>
    <r>
      <rPr>
        <u/>
        <sz val="10"/>
        <rFont val="Arial"/>
        <family val="2"/>
      </rPr>
      <t>all</t>
    </r>
    <r>
      <rPr>
        <sz val="10"/>
        <rFont val="Arial"/>
        <family val="2"/>
      </rPr>
      <t xml:space="preserve"> the assets donated to the unit?  Enter the amounts in the appropriate asset class.</t>
    </r>
  </si>
  <si>
    <r>
      <t xml:space="preserve">The following entries will be done in two stages. The first journal entry will reverse the beginning of year entry and restate fund balance. The second entry will reverse the ending balance and recognize revenue on the full accrual basis. </t>
    </r>
    <r>
      <rPr>
        <b/>
        <sz val="10"/>
        <rFont val="Arial"/>
        <family val="2"/>
      </rPr>
      <t>It is posted only to the conversion worksheet, not to the general ledger or accounting system.</t>
    </r>
    <r>
      <rPr>
        <sz val="10"/>
        <rFont val="Arial"/>
        <family val="2"/>
      </rPr>
      <t xml:space="preserve"> Unearned revenue for prepaid taxes at year end will not be adjusted.</t>
    </r>
  </si>
  <si>
    <t>L.4</t>
  </si>
  <si>
    <t>L.5</t>
  </si>
  <si>
    <t xml:space="preserve">Transportation - charge for service </t>
  </si>
  <si>
    <t>L.6</t>
  </si>
  <si>
    <t>Compensated absences - current</t>
  </si>
  <si>
    <t>L.7</t>
  </si>
  <si>
    <t>Capital related</t>
  </si>
  <si>
    <t>Operating</t>
  </si>
  <si>
    <t xml:space="preserve">General government </t>
  </si>
  <si>
    <t>L.8</t>
  </si>
  <si>
    <t>Human services - capital grants &amp; contributions</t>
  </si>
  <si>
    <t>Cultural and recreation - capital grants &amp; contributions</t>
  </si>
  <si>
    <t>Accrued interest rec. on ad valorem - "end of year"</t>
  </si>
  <si>
    <t>Indicate the annual depreciation expense by function:</t>
  </si>
  <si>
    <t>Indicate the appropriate asset class for the depreciation amount computed in section A above.</t>
  </si>
  <si>
    <t>Investment earnings</t>
  </si>
  <si>
    <t>Workbook Contents:</t>
  </si>
  <si>
    <t>School debt for assets to which the county does not hold title</t>
  </si>
  <si>
    <t>Community college debt for assets to which the county does not hold title</t>
  </si>
  <si>
    <t>Note 5: Conversion and annual accruals</t>
  </si>
  <si>
    <t>Note 6: Reclassifications, eliminations, and</t>
  </si>
  <si>
    <r>
      <t xml:space="preserve">Capital Outlay </t>
    </r>
    <r>
      <rPr>
        <i/>
        <sz val="9"/>
        <rFont val="Arial"/>
        <family val="2"/>
      </rPr>
      <t>(capital projects)</t>
    </r>
  </si>
  <si>
    <t>Other asset class 1</t>
  </si>
  <si>
    <t>Other asset class 2</t>
  </si>
  <si>
    <t>Other sales of assets that do not qualify as special items:</t>
  </si>
  <si>
    <t>Liabilities payable from restricted assets</t>
  </si>
  <si>
    <t>Compensated absences payable</t>
  </si>
  <si>
    <t>Operating Accounts - Revenues</t>
  </si>
  <si>
    <t>General Government</t>
  </si>
  <si>
    <t>Charges for Services</t>
  </si>
  <si>
    <t>Conversion Entries</t>
  </si>
  <si>
    <t>Total</t>
  </si>
  <si>
    <t>Statement of</t>
  </si>
  <si>
    <t>Activities</t>
  </si>
  <si>
    <t>Permits and Fees</t>
  </si>
  <si>
    <t>Investment Earnings</t>
  </si>
  <si>
    <t>Miscellaneous</t>
  </si>
  <si>
    <t>General Fund</t>
  </si>
  <si>
    <t xml:space="preserve">Dr </t>
  </si>
  <si>
    <t>Emergency Telephone</t>
  </si>
  <si>
    <t>Subtotal Non-Major</t>
  </si>
  <si>
    <t>Governmental Funds</t>
  </si>
  <si>
    <r>
      <t xml:space="preserve">Ending balance for claims &amp; judgments for the current year. </t>
    </r>
    <r>
      <rPr>
        <sz val="8"/>
        <color indexed="10"/>
        <rFont val="Arial"/>
        <family val="2"/>
      </rPr>
      <t>- calculated</t>
    </r>
  </si>
  <si>
    <t>From the financial records, determine the amount in the following categories that must be reclassified to functional revenues, special or extraordinary items.  Also, include any items that were special or extraordinary items at the fund level that will be general revenues in the government-wide statements.</t>
  </si>
  <si>
    <t>Investment earnings*</t>
  </si>
  <si>
    <t xml:space="preserve">   Accrued vacation/Compensated absences</t>
  </si>
  <si>
    <t xml:space="preserve">   Claims and judgments</t>
  </si>
  <si>
    <t xml:space="preserve">   Bonds, notes and loans payable</t>
  </si>
  <si>
    <t xml:space="preserve">    Entries must net to zero.</t>
  </si>
  <si>
    <t>Expenditures for capital outlay where title is held by other parties must be reclassified as a functional expenditure. A prime example of this situation is the expenditure for school construction where the Board of Education holds title to the property. In Section E, indicate the amount of capital outlay that must be reclassified and indicate the function to which it should be charged.</t>
  </si>
  <si>
    <t>Complete explanations and instructions are presented on each of the worksheets following the Conversion Worksheet. A brief synopsis is presented below.</t>
  </si>
  <si>
    <t>Cultural and recreation - operating grants &amp; contributions</t>
  </si>
  <si>
    <t>Current year collections</t>
  </si>
  <si>
    <r>
      <t xml:space="preserve">Misc. Rev. </t>
    </r>
    <r>
      <rPr>
        <sz val="8"/>
        <color indexed="10"/>
        <rFont val="Arial"/>
        <family val="2"/>
      </rPr>
      <t>not program specific</t>
    </r>
  </si>
  <si>
    <r>
      <t xml:space="preserve">What is the amount of payables -"due to other funds" due to the business type activities from the governmental activities? </t>
    </r>
    <r>
      <rPr>
        <sz val="8"/>
        <color indexed="10"/>
        <rFont val="Arial"/>
        <family val="2"/>
      </rPr>
      <t>Follow the directions in step 1 above - entering the number from the Conversion worksheet - exclude fiduciary funds portion.</t>
    </r>
  </si>
  <si>
    <r>
      <t xml:space="preserve">What is the amount of receivables-"Advances to other funds" due to the governmental activities from business type activities?  </t>
    </r>
    <r>
      <rPr>
        <sz val="8"/>
        <color indexed="10"/>
        <rFont val="Arial"/>
        <family val="2"/>
      </rPr>
      <t>Follow the directions in step 1 above - entering the number from the Conversion worksheet - exclude fiduciary funds portion.</t>
    </r>
  </si>
  <si>
    <r>
      <t xml:space="preserve"> If the</t>
    </r>
    <r>
      <rPr>
        <b/>
        <sz val="9"/>
        <color indexed="10"/>
        <rFont val="Arial"/>
        <family val="2"/>
      </rPr>
      <t xml:space="preserve"> predominant activity is business type</t>
    </r>
    <r>
      <rPr>
        <sz val="9"/>
        <color indexed="10"/>
        <rFont val="Arial"/>
        <family val="2"/>
      </rPr>
      <t xml:space="preserve">, please copy your numbers into the business type activities worksheet contained in the conversion worksheet for business type activities and </t>
    </r>
    <r>
      <rPr>
        <b/>
        <u/>
        <sz val="9"/>
        <color indexed="10"/>
        <rFont val="Arial"/>
        <family val="2"/>
      </rPr>
      <t>delete</t>
    </r>
    <r>
      <rPr>
        <sz val="9"/>
        <color indexed="10"/>
        <rFont val="Arial"/>
        <family val="2"/>
      </rPr>
      <t xml:space="preserve"> them here. </t>
    </r>
  </si>
  <si>
    <t>General government - Capital grants and contributions</t>
  </si>
  <si>
    <t>Public safety - Charges for services</t>
  </si>
  <si>
    <t>Public safety - Operating grants and contributions</t>
  </si>
  <si>
    <t>What is the face amount of the new debt issued?</t>
  </si>
  <si>
    <t>What is the current year annual amortization for discounts?</t>
  </si>
  <si>
    <t>What is the current year annual amortization for premiums?</t>
  </si>
  <si>
    <t>Bond issuance costs</t>
  </si>
  <si>
    <t>Advance refunding escrow</t>
  </si>
  <si>
    <t>What was the payment to the escrow agent to defease old debt?</t>
  </si>
  <si>
    <t>7.</t>
  </si>
  <si>
    <t>Unamortized
Discount =</t>
  </si>
  <si>
    <t>Unamortized
Premium =</t>
  </si>
  <si>
    <t>Were there any additional payments to the escrow agent charged to debt service?</t>
  </si>
  <si>
    <t xml:space="preserve">Deferred Charge - refunding </t>
  </si>
  <si>
    <t>OFU - Payment to escrow agent</t>
  </si>
  <si>
    <t>Reclassifications and</t>
  </si>
  <si>
    <t>Eliminations</t>
  </si>
  <si>
    <r>
      <t>Charges for Services</t>
    </r>
    <r>
      <rPr>
        <b/>
        <sz val="10"/>
        <color indexed="10"/>
        <rFont val="Arial"/>
        <family val="2"/>
      </rPr>
      <t xml:space="preserve"> *</t>
    </r>
  </si>
  <si>
    <r>
      <t xml:space="preserve">Special items </t>
    </r>
    <r>
      <rPr>
        <sz val="8"/>
        <color indexed="10"/>
        <rFont val="Arial"/>
        <family val="2"/>
      </rPr>
      <t>- government-wide</t>
    </r>
  </si>
  <si>
    <r>
      <t xml:space="preserve">Extraordinary items </t>
    </r>
    <r>
      <rPr>
        <sz val="8"/>
        <color indexed="10"/>
        <rFont val="Arial"/>
        <family val="2"/>
      </rPr>
      <t>- government-wide</t>
    </r>
  </si>
  <si>
    <r>
      <t xml:space="preserve">Special item </t>
    </r>
    <r>
      <rPr>
        <sz val="8"/>
        <color indexed="10"/>
        <rFont val="Arial"/>
        <family val="2"/>
      </rPr>
      <t>- fund statements</t>
    </r>
  </si>
  <si>
    <r>
      <t xml:space="preserve">Extraordinary item </t>
    </r>
    <r>
      <rPr>
        <sz val="8"/>
        <color indexed="10"/>
        <rFont val="Arial"/>
        <family val="2"/>
      </rPr>
      <t xml:space="preserve"> - fund statements</t>
    </r>
  </si>
  <si>
    <r>
      <t>*</t>
    </r>
    <r>
      <rPr>
        <sz val="9"/>
        <rFont val="Arial"/>
        <family val="2"/>
      </rPr>
      <t xml:space="preserve">  would include sales and services and permits and fees</t>
    </r>
  </si>
  <si>
    <t>Govt-wide</t>
  </si>
  <si>
    <t>Unrestricted</t>
  </si>
  <si>
    <r>
      <t xml:space="preserve">What was the amount of the net pension obligation at the beginning of the year. If multiple benefit plans are involved enter the sum of all plans. </t>
    </r>
    <r>
      <rPr>
        <sz val="8"/>
        <color indexed="10"/>
        <rFont val="Arial"/>
        <family val="2"/>
      </rPr>
      <t>(Beginning balances were recorded in Columns V &amp; W in the main Conversion Worksheet.)</t>
    </r>
  </si>
  <si>
    <t>Working</t>
  </si>
  <si>
    <t>Subtotal</t>
  </si>
  <si>
    <t>Adjust Property Tax Revenue From Modified Accrual to Full Accrual</t>
  </si>
  <si>
    <t>Fund Balance - beginning</t>
  </si>
  <si>
    <t>Enter the amount of the new levy in the function below where the proceeds will be/have been expended. The sum below, must equal the amount listed in step 2 above.</t>
  </si>
  <si>
    <t xml:space="preserve">Add any additional assessments made in the current year in the cell to the right. </t>
  </si>
  <si>
    <r>
      <t xml:space="preserve">What is the amount of compensated absences that will be due and payable within one year?    </t>
    </r>
    <r>
      <rPr>
        <sz val="8"/>
        <color indexed="10"/>
        <rFont val="Arial"/>
        <family val="2"/>
      </rPr>
      <t>(Use of the</t>
    </r>
    <r>
      <rPr>
        <sz val="10"/>
        <rFont val="Arial"/>
        <family val="2"/>
      </rPr>
      <t xml:space="preserve"> </t>
    </r>
    <r>
      <rPr>
        <sz val="8"/>
        <color indexed="10"/>
        <rFont val="Arial"/>
        <family val="2"/>
      </rPr>
      <t>FIFO assumption will be based on average leave taken over the years. Typically, use of the LIFO method will not have a current portion.)</t>
    </r>
  </si>
  <si>
    <t xml:space="preserve">  Vehicles and other motorized equipment</t>
  </si>
  <si>
    <t xml:space="preserve">  Infrastructure</t>
  </si>
  <si>
    <t xml:space="preserve">  Asset class 1</t>
  </si>
  <si>
    <t xml:space="preserve">  Asset class 2</t>
  </si>
  <si>
    <t xml:space="preserve">  Construction in progress</t>
  </si>
  <si>
    <t>Net fixed assets</t>
  </si>
  <si>
    <t>Capital debt calculation</t>
  </si>
  <si>
    <t xml:space="preserve">  Total capital debt, gross</t>
  </si>
  <si>
    <t>Add:</t>
  </si>
  <si>
    <t>Total capital debt</t>
  </si>
  <si>
    <t>Capital assets net of related debt</t>
  </si>
  <si>
    <t>Landfill or</t>
  </si>
  <si>
    <t>Business Type</t>
  </si>
  <si>
    <t>Water and</t>
  </si>
  <si>
    <t>Other Business</t>
  </si>
  <si>
    <t xml:space="preserve">Internal </t>
  </si>
  <si>
    <t>Sewer Fund</t>
  </si>
  <si>
    <t>Fund</t>
  </si>
  <si>
    <t>Type Fund</t>
  </si>
  <si>
    <t>Service Fund</t>
  </si>
  <si>
    <t>Total fixed assets, all business-type activities</t>
  </si>
  <si>
    <t xml:space="preserve">Less: </t>
  </si>
  <si>
    <t xml:space="preserve">  Accumulated depreciation, 6/30/02</t>
  </si>
  <si>
    <t>Less:</t>
  </si>
  <si>
    <t xml:space="preserve">  Unspent proceeds of debt</t>
  </si>
  <si>
    <t>Operating Grants &amp; Contributions</t>
  </si>
  <si>
    <t>Capital Grants &amp; Contributions</t>
  </si>
  <si>
    <t>Public Safety</t>
  </si>
  <si>
    <t>Transportation</t>
  </si>
  <si>
    <t xml:space="preserve">Enter the amount of the new levy in the function below where the proceeds will be/have been expended. The sum below must equal the amount in step 2. </t>
  </si>
  <si>
    <t>Review the different revenue accounts - any amounts earned but not available under modified accrual should be adjusted if not previously covered in this worksheet or in the Property Taxes Revenue worksheet ( Worksheet B.) Any amount not earned at year end would not be adjusted.</t>
  </si>
  <si>
    <t>Indicate the amount by program/function for interest expense or investment earnings that should be included with program cost or revenue due to being integral to the operation or required by a third party restriction. If the investment earnings were classified as anything other than general revenues in worksheet A no additional entry to adjust revenue is necessary on this worksheet.</t>
  </si>
  <si>
    <t>I.</t>
  </si>
  <si>
    <t>L.9</t>
  </si>
  <si>
    <t>Restricted for capital projects</t>
  </si>
  <si>
    <t>Restricted for Debt Service</t>
  </si>
  <si>
    <t>Restricted for Transportation</t>
  </si>
  <si>
    <t>Restricted for Public Safety</t>
  </si>
  <si>
    <t>Other transactions affecting capital assets must also be adjusted from their treatment under modified accrual to full accrual for the government-wide financial statements. This covers the  disposal of assets such as the sales, trade-ins or the scrapping of fully depreciated assets, and the donations of capital assets. Please be aware that in addition to posting to the conversion worksheets, capital assets eventually must be added to the unit's permanent accounts for recording capital assets in order to have proper beginning balances for next year's statements.  (Capital assets acquired through leases should have been recorded in the capital outlay worksheet; the debt side of the entry will be made later. Depreciation expense was calculated in a previous worksheet.)</t>
  </si>
  <si>
    <t>Cash and cash equivalents</t>
  </si>
  <si>
    <t>Intangible asset - advance funding of pension obligation</t>
  </si>
  <si>
    <r>
      <t xml:space="preserve">Inventory </t>
    </r>
    <r>
      <rPr>
        <sz val="10"/>
        <rFont val="Arial"/>
        <family val="2"/>
      </rPr>
      <t>- if recorded at the fund level using the purchases method</t>
    </r>
  </si>
  <si>
    <r>
      <t xml:space="preserve">Sum of amounts in step 2. </t>
    </r>
    <r>
      <rPr>
        <sz val="8"/>
        <color indexed="10"/>
        <rFont val="Arial"/>
        <family val="2"/>
      </rPr>
      <t>- calculated</t>
    </r>
    <r>
      <rPr>
        <sz val="10"/>
        <rFont val="Arial"/>
        <family val="2"/>
      </rPr>
      <t xml:space="preserve"> </t>
    </r>
  </si>
  <si>
    <r>
      <t xml:space="preserve">Amount to be allocated </t>
    </r>
    <r>
      <rPr>
        <sz val="8"/>
        <color indexed="10"/>
        <rFont val="Arial"/>
        <family val="2"/>
      </rPr>
      <t xml:space="preserve"> - calculated</t>
    </r>
  </si>
  <si>
    <r>
      <t xml:space="preserve">Enter the amount of the </t>
    </r>
    <r>
      <rPr>
        <u/>
        <sz val="10"/>
        <rFont val="Arial"/>
        <family val="2"/>
      </rPr>
      <t>current year collections</t>
    </r>
    <r>
      <rPr>
        <sz val="10"/>
        <rFont val="Arial"/>
        <family val="2"/>
      </rPr>
      <t xml:space="preserve"> in the function where the proceeds will be/have been expended. The sum of the amounts entered must equal the calculated amount for current collections. </t>
    </r>
  </si>
  <si>
    <t>The journal entry will reverse the original entry in the trial balance and credit an entry by function and revenue category. It is posted only to the conversion worksheet not to the general ledger or accounting system.</t>
  </si>
  <si>
    <t>Cultural &amp; recreation</t>
  </si>
  <si>
    <t>Unallocated depreciation</t>
  </si>
  <si>
    <t>Annual</t>
  </si>
  <si>
    <t>Expense</t>
  </si>
  <si>
    <r>
      <t>Sales &amp; services…………….</t>
    </r>
    <r>
      <rPr>
        <sz val="8"/>
        <color indexed="10"/>
        <rFont val="Arial"/>
        <family val="2"/>
      </rPr>
      <t>(Charges for services)</t>
    </r>
  </si>
  <si>
    <r>
      <t>Taxes - Ad valorem    …………………...</t>
    </r>
    <r>
      <rPr>
        <sz val="8"/>
        <color indexed="10"/>
        <rFont val="Arial"/>
        <family val="2"/>
      </rPr>
      <t>(General)</t>
    </r>
  </si>
  <si>
    <r>
      <t>Other taxes &amp; licenses…………………..</t>
    </r>
    <r>
      <rPr>
        <sz val="8"/>
        <color indexed="10"/>
        <rFont val="Arial"/>
        <family val="2"/>
      </rPr>
      <t>(General)</t>
    </r>
  </si>
  <si>
    <r>
      <t>Permits and fees…………….</t>
    </r>
    <r>
      <rPr>
        <sz val="8"/>
        <color indexed="10"/>
        <rFont val="Arial"/>
        <family val="2"/>
      </rPr>
      <t>(Charges for services)</t>
    </r>
  </si>
  <si>
    <r>
      <t>Investment earnings……………..</t>
    </r>
    <r>
      <rPr>
        <sz val="8"/>
        <color indexed="10"/>
        <rFont val="Arial"/>
        <family val="2"/>
      </rPr>
      <t>(Typically general)</t>
    </r>
  </si>
  <si>
    <t>Modified Accrual Revenue Class</t>
  </si>
  <si>
    <t>Public safety</t>
  </si>
  <si>
    <r>
      <t xml:space="preserve">OFS - Bonds issued </t>
    </r>
    <r>
      <rPr>
        <sz val="8"/>
        <color indexed="10"/>
        <rFont val="Arial"/>
        <family val="2"/>
      </rPr>
      <t>(proceeds)</t>
    </r>
  </si>
  <si>
    <t xml:space="preserve">OFS - Premiums on debt issued </t>
  </si>
  <si>
    <t>OFU - Discounts on debt issued</t>
  </si>
  <si>
    <t>OFU - Payments to escrow agent</t>
  </si>
  <si>
    <t>Retiring/scrapping or donating assets is a matter of removing those amounts from the capital asset accounts including removing the related accumulated depreciation. Enter amounts by asset class in section C.</t>
  </si>
  <si>
    <r>
      <t xml:space="preserve">Final entry for Conversion worksheet - [Entry K.1]  - </t>
    </r>
    <r>
      <rPr>
        <sz val="10"/>
        <rFont val="Arial"/>
        <family val="2"/>
      </rPr>
      <t>Posted to the Reclassification &amp; Elimination Column</t>
    </r>
  </si>
  <si>
    <t xml:space="preserve">    Economic &amp; physical development</t>
  </si>
  <si>
    <t>Permanent balance sheet accounts</t>
  </si>
  <si>
    <t>Compensated absences</t>
  </si>
  <si>
    <t>Claims &amp; Judgments</t>
  </si>
  <si>
    <t>What was accrued interest at the beginning of the year under full accrual?</t>
  </si>
  <si>
    <t>Face</t>
  </si>
  <si>
    <t>Discount</t>
  </si>
  <si>
    <t>Premium</t>
  </si>
  <si>
    <r>
      <t xml:space="preserve">Discount - GO Bonds </t>
    </r>
    <r>
      <rPr>
        <sz val="8"/>
        <color indexed="10"/>
        <rFont val="Arial"/>
        <family val="2"/>
      </rPr>
      <t>- contra-liability</t>
    </r>
  </si>
  <si>
    <t xml:space="preserve">Work Section </t>
  </si>
  <si>
    <t>Debt service - interest and fees</t>
  </si>
  <si>
    <t>Other Misc Entries</t>
  </si>
  <si>
    <t>The user should download a blank workbook appropriate for his/her unit of government and save it permanently on a local computer. It would be best to then make another copy for the current year's data. If for whatever reason the current file becomes corrupted, the user should reload the blank copy from their local computer (or download another from the web) and begin again. For maximum protection, users should save their work frequently as they enter data.</t>
  </si>
  <si>
    <t>Computer Software</t>
  </si>
  <si>
    <t>Accum. Depreciation - computer software</t>
  </si>
  <si>
    <t>Accum Depreciation - asset class 1</t>
  </si>
  <si>
    <t>Restricted for Stabilization by State Statute</t>
  </si>
  <si>
    <t>Stabilization by State statute</t>
  </si>
  <si>
    <t>Restricted for Stabilization by State statute</t>
  </si>
  <si>
    <t>Other Non-Major #3</t>
  </si>
  <si>
    <t>Reserved for Stabilization of State Statute</t>
  </si>
  <si>
    <t>Emergency Telephone System and Fire District Special Revenue Funds *</t>
  </si>
  <si>
    <t>Northwest Capital Projects Fund *, **</t>
  </si>
  <si>
    <t>**</t>
  </si>
  <si>
    <r>
      <t xml:space="preserve">Receivables </t>
    </r>
    <r>
      <rPr>
        <b/>
        <sz val="10"/>
        <color indexed="10"/>
        <rFont val="Arial"/>
        <family val="2"/>
      </rPr>
      <t>*</t>
    </r>
  </si>
  <si>
    <r>
      <t xml:space="preserve">Payables </t>
    </r>
    <r>
      <rPr>
        <b/>
        <sz val="10"/>
        <color indexed="10"/>
        <rFont val="Arial"/>
        <family val="2"/>
      </rPr>
      <t>**</t>
    </r>
  </si>
  <si>
    <t>Deferred Outflows of Resources</t>
  </si>
  <si>
    <t>Unavailable revenue</t>
  </si>
  <si>
    <t>Unavailable revenue (ad valorem tax) - "beginning of year"</t>
  </si>
  <si>
    <t>Unavailable revenue (ad valorem tax) - "end of year"</t>
  </si>
  <si>
    <t>Unavailable Revenues*</t>
  </si>
  <si>
    <r>
      <t xml:space="preserve">Indicate the amount of special assessments included in unavailable revenue utilizing the modified accrual basis of accounting at the end of the </t>
    </r>
    <r>
      <rPr>
        <u/>
        <sz val="10"/>
        <rFont val="Arial"/>
        <family val="2"/>
      </rPr>
      <t>current year</t>
    </r>
    <r>
      <rPr>
        <sz val="10"/>
        <rFont val="Arial"/>
        <family val="2"/>
      </rPr>
      <t>.</t>
    </r>
  </si>
  <si>
    <t>Net Investment in Capital Assets</t>
  </si>
  <si>
    <t>Less Net Investment in Capital Assets</t>
  </si>
  <si>
    <t>Net investment in capital assets</t>
  </si>
  <si>
    <t>Receivables offset by unavailable revenues should not be included in the Receivable column.</t>
  </si>
  <si>
    <t>Calculation of Net Position-Governmental Activities</t>
  </si>
  <si>
    <t>Calculation of Net Position</t>
  </si>
  <si>
    <t>Total Net Position</t>
  </si>
  <si>
    <t>Less Restricted Net Position</t>
  </si>
  <si>
    <t>The balances remaining after eliminating the activity between governmental funds should be the activity between governmental activities and business-type activities. These reciprocal balances between activity types must be eliminated and reclassified as internal balances. The numbers for the entry will be pulled from the Conversion worksheet by going to the appropriate account and looking for the balance reported in the Statement of Net Position column. Once the entries in Section C and D have posted to the worksheet, all of these accounts should have a zero balance and an "internal balance" account should remain with the net difference.</t>
  </si>
  <si>
    <t xml:space="preserve">The Statement of Net Position should be presented in order of liquidity and the current portion of long-term liabilities such as bonds and notes payable, compensated liabilities, and other long-term liabilities must be identified separately. For compensated absences, this will depend on the assumption of FIFO or LIFO as the method for computing leave to be taken. For the FIFO method, typically the estimate will be based on expected leave or average leave taken over the last several years. Indicate the amount to be paid from current resources in Section F below. If the LIFO method is used, the assumption is made that typically employees take leave as it is earned and that there is no current portion. If the portion payable and due within one year for other liability accounts has been handled elsewhere, the question can be left blank. </t>
  </si>
  <si>
    <r>
      <t xml:space="preserve">Fund balance must be reclassified to the net position categories required for the presentation on the government-wide statements. Data for this entry is entered manually to avoid circular logic. </t>
    </r>
    <r>
      <rPr>
        <b/>
        <sz val="10"/>
        <rFont val="Arial"/>
        <family val="2"/>
      </rPr>
      <t>It should be one of the last steps performed.</t>
    </r>
    <r>
      <rPr>
        <sz val="10"/>
        <rFont val="Arial"/>
        <family val="2"/>
      </rPr>
      <t xml:space="preserve"> Worksheet M has been presented to help you calculate the correct amounts to entered into Section J. below.</t>
    </r>
  </si>
  <si>
    <r>
      <t xml:space="preserve">What is the amount of receivables -"due from other funds" due to the governmental activities from business type activities? </t>
    </r>
    <r>
      <rPr>
        <sz val="8"/>
        <color indexed="10"/>
        <rFont val="Arial"/>
        <family val="2"/>
      </rPr>
      <t>Go to the conversion worksheet and look at the balance in the Statement of Net Position column for this account. Enter the amount (less any portion for fiduciary funds) in the box to the right.</t>
    </r>
  </si>
  <si>
    <t>Net position - unrestricted</t>
  </si>
  <si>
    <r>
      <t xml:space="preserve">Reclassify fund balance to net position.    </t>
    </r>
    <r>
      <rPr>
        <b/>
        <sz val="8"/>
        <color indexed="10"/>
        <rFont val="Arial"/>
        <family val="2"/>
      </rPr>
      <t xml:space="preserve"> (See worksheet M for assistance with computation of this entry.) </t>
    </r>
  </si>
  <si>
    <r>
      <t>Total net position</t>
    </r>
    <r>
      <rPr>
        <sz val="10"/>
        <rFont val="Arial"/>
        <family val="2"/>
      </rPr>
      <t xml:space="preserve"> ……….  </t>
    </r>
    <r>
      <rPr>
        <sz val="8"/>
        <rFont val="Arial"/>
        <family val="2"/>
      </rPr>
      <t>(from entries above)</t>
    </r>
  </si>
  <si>
    <t xml:space="preserve">Classifies net position and maps to the Statement of Net Position Column </t>
  </si>
  <si>
    <t>Determine the proportionate participation of each function by matching the charge for service with the functional category and determine which activity primarily benefits from the internal service fund - governmental or business-type in Step A. If business type activity is determined as the primary beneficiary, please delete data from this form and enter it in the business-type worksheet provided on the website.</t>
  </si>
  <si>
    <t>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funds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t>
  </si>
  <si>
    <r>
      <t xml:space="preserve">Adjust for the prior year's internal balance in Step C. This adjusts beginning net position to match the government-wide presentation. </t>
    </r>
    <r>
      <rPr>
        <sz val="13"/>
        <rFont val="Wingdings 2"/>
        <family val="1"/>
        <charset val="2"/>
      </rPr>
      <t>k</t>
    </r>
    <r>
      <rPr>
        <sz val="10"/>
        <rFont val="Arial"/>
        <family val="2"/>
      </rPr>
      <t xml:space="preserve"> 
</t>
    </r>
  </si>
  <si>
    <t>Section D is the actual allocation of the residual profit or loss computation. These are the amounts that will be included in your reconciliation from the fund balance on the fund statements to the government-wide net position amount.</t>
  </si>
  <si>
    <t>Record the trial balance for permanent balance sheet accounts of the internal service fund. Amounts should be ending balances except for net position (fund balance.) It should be recorded at the beginning amount for the fiscal year. In step 2 enter the amounts for those items which should be eliminated when allocating the Internal Service fund's net profit or loss. In step 3 enter the amount for "Change in Net Position" from the income statement.</t>
  </si>
  <si>
    <r>
      <t xml:space="preserve">   Net position - </t>
    </r>
    <r>
      <rPr>
        <sz val="8"/>
        <color indexed="10"/>
        <rFont val="Arial"/>
        <family val="2"/>
      </rPr>
      <t>Beginning balance</t>
    </r>
  </si>
  <si>
    <t>From fund Statement of Net Position at end of year</t>
  </si>
  <si>
    <t>Changes in Net Position</t>
  </si>
  <si>
    <r>
      <t xml:space="preserve">Enter the fund's "change in net position"    </t>
    </r>
    <r>
      <rPr>
        <sz val="8"/>
        <rFont val="Arial"/>
        <family val="2"/>
      </rPr>
      <t>Enter a positive amount for income; enter a negative amount for a loss.</t>
    </r>
  </si>
  <si>
    <t>From fund Statement of Revenues, Expenses, and Changes in Net Position</t>
  </si>
  <si>
    <r>
      <t xml:space="preserve">Adjust beginning net position (fund balance) for prior year consolidation of internal service funds. (This amount will be the Internal balance amount created from last year's final entry for this fund.) 
</t>
    </r>
    <r>
      <rPr>
        <b/>
        <sz val="10"/>
        <color indexed="10"/>
        <rFont val="Arial"/>
        <family val="2"/>
      </rPr>
      <t>This will not be an issue in year 1 of implementation. It will only be required in later years.</t>
    </r>
  </si>
  <si>
    <r>
      <t xml:space="preserve">What was the prior year internal balance entry for the internal service fund allocation for governmental type activity? </t>
    </r>
    <r>
      <rPr>
        <sz val="8"/>
        <color indexed="10"/>
        <rFont val="Arial"/>
        <family val="2"/>
      </rPr>
      <t>Indicate sign - this amount will be negative if government activities owe (have a balance payable to) business type activities, and positive if government type activities have a balance receivable from business-type activities.</t>
    </r>
  </si>
  <si>
    <t xml:space="preserve">For other long term liabilities, the incremental changes will need to be recorded charging the expense to the corresponding function. For counties with landfills in the general fund who have a liability for post-closure cost, use the other liability accounts in Section E.  The function to be affected for the changes is the function in which the unit accounts for the landfill. </t>
  </si>
  <si>
    <t>What is the current year annual amortization for prepaid insurance costs?</t>
  </si>
  <si>
    <t>Amortize deferred charges and prepaid insurance costs for the current year.</t>
  </si>
  <si>
    <t>Deferred Charges - prepaid insurance cost</t>
  </si>
  <si>
    <t xml:space="preserve">Trade-ins of equipment or vehicles should also be recorded and treated similarly to sales of assets. Any expenditure made as part of the trade-in transaction was recorded with the capital outlay entry. Now we must remove the old asset from the capital asset accounts and adjust the true cost of the newly acquired asset.  Enter the amounts by asset class in section B of the worksheet below. For question d, please enter the net book value of the old asset in the cell for the asset class of the new asset, e.g., if a vehicle is traded for another vehicle then the number would be placed in the field for the same asset class "vehicles", however if a vehicle is traded for equipment place the number in the asset class of the new asset "equipment". Trading across asset classes will be rare but the worksheet should accommodate the entry. </t>
  </si>
  <si>
    <t>Donations of assets and transfers in from an enterprise or internal service fund reported as business-type activity are not recorded in the fund statements; however, this data would have been picked up previously in the capital asset note under additions. For reporting on the government-wide statements, the donations must be reflected as revenue and as an increase to the specific asset account. The revenue amount will be reflected in "miscellaneous general revenues" or as a special item if appropriate. The transfers in of capital assets from business type activities must be reported as transfers.  Enter amounts in section D below.</t>
  </si>
  <si>
    <t xml:space="preserve">Also be aware that some expenditures may fall below the capitalization threshold that the Governing Board has set for your unit. If certain purchases fall below the capitalization threshold,  a legitimate balance may remain in Capital Outlay after this adjustment. For example, if the unit has chosen $1,000 as the minimum for capitalization, then any items purchased costing less than that amount would remain as an expenditure with no addition made to the various capital asset accounts. Only those items above the unit's capitalization threshold would be adjusted and reported as capital assets in the government-wide statement of net position.  </t>
  </si>
  <si>
    <r>
      <t xml:space="preserve">Indicate the amount of special assessments included in unavailable revenue utilizing the modified accrual basis of accounting at the end of the </t>
    </r>
    <r>
      <rPr>
        <u/>
        <sz val="10"/>
        <rFont val="Arial"/>
        <family val="2"/>
      </rPr>
      <t>prior year</t>
    </r>
    <r>
      <rPr>
        <sz val="10"/>
        <rFont val="Arial"/>
        <family val="2"/>
      </rPr>
      <t>.</t>
    </r>
  </si>
  <si>
    <t>Net Position</t>
  </si>
  <si>
    <r>
      <t xml:space="preserve">Net Position Calculation: </t>
    </r>
    <r>
      <rPr>
        <sz val="10"/>
        <rFont val="Arial"/>
        <family val="2"/>
      </rPr>
      <t>facilitates the determination of the net position equity section. The resulting numbers are not mapped but are provided for manual entry into worksheet L to avoid circular logic.</t>
    </r>
  </si>
  <si>
    <r>
      <t>Program revenues must be reclassified for presentation on the Statement of Activities to report</t>
    </r>
    <r>
      <rPr>
        <sz val="10"/>
        <rFont val="Arial"/>
        <family val="2"/>
      </rPr>
      <t xml:space="preserve"> revenues by function (program)</t>
    </r>
    <r>
      <rPr>
        <sz val="10"/>
        <rFont val="Arial"/>
        <family val="2"/>
      </rPr>
      <t xml:space="preserve">. Ad valorem taxes and other revenues that will be classified as general revenue will not be affected in this entry. These program revenues will be categorized into charges for services, operating grants and contributions, and capital grants and contributions. In order for grants or contributions to be classified as capital in nature, the </t>
    </r>
    <r>
      <rPr>
        <u/>
        <sz val="10"/>
        <rFont val="Arial"/>
        <family val="2"/>
      </rPr>
      <t>unit must own the asset</t>
    </r>
    <r>
      <rPr>
        <sz val="10"/>
        <rFont val="Arial"/>
        <family val="2"/>
      </rPr>
      <t>. Grants that can be considered either operating or capital at the recipient's discretion are classified as operating grants.</t>
    </r>
  </si>
  <si>
    <t>What was the amount in unavailable tax receipts at the beginning of the year?  -  (Exclude prepaid taxes.)
What was the amount of accrued interest receivable on tax receipts at the beginning of the year?</t>
  </si>
  <si>
    <t>In addition to ad valorem taxes, other revenues must be adjusted to reflect the full accrual basis of accounting on the Statement of Activities. The availability criteria is not considered for revenue recognition under full accrual accounting.  This means that some unavailable revenue at year end under modified accrual will be recognized as revenue under full accrual on the Statement of Activities. Also, revenues recorded under modified accrual in the current year which were unavailable from the prior year were already recognized as revenue under full accrual in the prior year. Receipts that have not been earned at year end will not be recognized as revenue under the full accrual basis of accounting.</t>
  </si>
  <si>
    <t>It is presumed that unavailable revenues not recorded on the fund's modified accrual statements because of materiality, will not be material on the government-wide statements. A work section, presented in this spreadsheet following the final entry, shows the individual entries for each section in Worksheet C. It is not included in the normal print range. If you wish to print the work section, you will need to adjust the print range.</t>
  </si>
  <si>
    <t>Determine ending balance from prior fiscal year (or beginning of year balances) in unavailable revenue for each revenue source below. Enter the amount in question 1 of each section below.</t>
  </si>
  <si>
    <t>Determine end of current year balances for unavailable revenue for all revenue sources listed below. Enter those amounts for question 2 in each section below.</t>
  </si>
  <si>
    <r>
      <t xml:space="preserve">Alcoholic Beverage Tax  </t>
    </r>
    <r>
      <rPr>
        <b/>
        <sz val="9"/>
        <rFont val="Arial"/>
        <family val="2"/>
      </rPr>
      <t xml:space="preserve"> (Unrestricted intergovernmental for Modified Accrual -- Unrestricted - General for Full Accrual)</t>
    </r>
  </si>
  <si>
    <r>
      <t xml:space="preserve">Indicate the amount of alcoholic beverage tax included in unavailable revenue utilizing the modified accrual basis of accounting at the end of the </t>
    </r>
    <r>
      <rPr>
        <u/>
        <sz val="10"/>
        <rFont val="Arial"/>
        <family val="2"/>
      </rPr>
      <t>prior year</t>
    </r>
    <r>
      <rPr>
        <sz val="10"/>
        <rFont val="Arial"/>
        <family val="2"/>
      </rPr>
      <t>.</t>
    </r>
  </si>
  <si>
    <r>
      <t xml:space="preserve">Indicate the amount of alcoholic beverage tax included in unavailable revenue utilizing the modified accrual basis of accounting at the end of the </t>
    </r>
    <r>
      <rPr>
        <u/>
        <sz val="10"/>
        <rFont val="Arial"/>
        <family val="2"/>
      </rPr>
      <t>current year.</t>
    </r>
  </si>
  <si>
    <r>
      <t xml:space="preserve">Indicate the amount of piped natural gas tax included in unavailable revenue utilizing the modified accrual basis of accounting at the end of the </t>
    </r>
    <r>
      <rPr>
        <u/>
        <sz val="10"/>
        <rFont val="Arial"/>
        <family val="2"/>
      </rPr>
      <t>prior year</t>
    </r>
    <r>
      <rPr>
        <sz val="10"/>
        <rFont val="Arial"/>
        <family val="2"/>
      </rPr>
      <t>.</t>
    </r>
  </si>
  <si>
    <r>
      <t xml:space="preserve">Indicate the amount of piped natural gas tax included in unavailable revenue utilizing the modified accrual basis of accounting at the end of the </t>
    </r>
    <r>
      <rPr>
        <u/>
        <sz val="10"/>
        <rFont val="Arial"/>
        <family val="2"/>
      </rPr>
      <t>current year</t>
    </r>
    <r>
      <rPr>
        <sz val="10"/>
        <rFont val="Arial"/>
        <family val="2"/>
      </rPr>
      <t>.</t>
    </r>
  </si>
  <si>
    <r>
      <t xml:space="preserve">Indicate the amount of controlled substance tax included in unavailable revenue utilizing the modified accrual basis of accounting at the end of the </t>
    </r>
    <r>
      <rPr>
        <u/>
        <sz val="10"/>
        <rFont val="Arial"/>
        <family val="2"/>
      </rPr>
      <t>prior year</t>
    </r>
    <r>
      <rPr>
        <sz val="10"/>
        <rFont val="Arial"/>
        <family val="2"/>
      </rPr>
      <t>.</t>
    </r>
  </si>
  <si>
    <r>
      <t xml:space="preserve">Indicate the amount of controlled substance tax included in unavailable revenue utilizing the modified accrual basis of accounting at the end of the </t>
    </r>
    <r>
      <rPr>
        <u/>
        <sz val="10"/>
        <rFont val="Arial"/>
        <family val="2"/>
      </rPr>
      <t>current year</t>
    </r>
    <r>
      <rPr>
        <sz val="10"/>
        <rFont val="Arial"/>
        <family val="2"/>
      </rPr>
      <t>.</t>
    </r>
  </si>
  <si>
    <r>
      <t xml:space="preserve">Indicate the amount of Telecommunications tax included in unavailable revenue utilizing the modified accrual basis of accounting at the end of the </t>
    </r>
    <r>
      <rPr>
        <u/>
        <sz val="10"/>
        <rFont val="Arial"/>
        <family val="2"/>
      </rPr>
      <t>prior year</t>
    </r>
    <r>
      <rPr>
        <sz val="10"/>
        <rFont val="Arial"/>
        <family val="2"/>
      </rPr>
      <t>.</t>
    </r>
  </si>
  <si>
    <r>
      <t xml:space="preserve">Indicate the amount of Telecommunications tax included in unavailable revenue utilizing the modified accrual basis of accounting at the end of the </t>
    </r>
    <r>
      <rPr>
        <u/>
        <sz val="10"/>
        <rFont val="Arial"/>
        <family val="2"/>
      </rPr>
      <t>current year</t>
    </r>
    <r>
      <rPr>
        <sz val="10"/>
        <rFont val="Arial"/>
        <family val="2"/>
      </rPr>
      <t>.</t>
    </r>
  </si>
  <si>
    <r>
      <t xml:space="preserve">Franchise Utilities Tax   </t>
    </r>
    <r>
      <rPr>
        <b/>
        <sz val="9"/>
        <rFont val="Arial"/>
        <family val="2"/>
      </rPr>
      <t>(Unrestricted governmental for Modified Accrual  --  Unrestricted - General for Full Accrual)</t>
    </r>
    <r>
      <rPr>
        <b/>
        <sz val="10"/>
        <rFont val="Arial"/>
        <family val="2"/>
      </rPr>
      <t xml:space="preserve">    </t>
    </r>
  </si>
  <si>
    <r>
      <t xml:space="preserve">Indicate the amount of franchise utilities tax included in unavailable revenue utilizing the modified accrual basis of accounting at the end of the </t>
    </r>
    <r>
      <rPr>
        <u/>
        <sz val="10"/>
        <rFont val="Arial"/>
        <family val="2"/>
      </rPr>
      <t>prior year</t>
    </r>
    <r>
      <rPr>
        <sz val="10"/>
        <rFont val="Arial"/>
        <family val="2"/>
      </rPr>
      <t>.</t>
    </r>
  </si>
  <si>
    <r>
      <t xml:space="preserve">Indicate the amount of franchise utilities tax included in unavailable revenue utilizing the modified accrual basis of accounting at the end of the </t>
    </r>
    <r>
      <rPr>
        <u/>
        <sz val="10"/>
        <rFont val="Arial"/>
        <family val="2"/>
      </rPr>
      <t>current year</t>
    </r>
    <r>
      <rPr>
        <sz val="10"/>
        <rFont val="Arial"/>
        <family val="2"/>
      </rPr>
      <t>.</t>
    </r>
  </si>
  <si>
    <r>
      <t xml:space="preserve">See Memo #934 for further discussion of depreciation particularly as related to long lived assets like infrastructure. Note that infrastructure previously held does not have to be recorded in year 1 of implementation, for governments implementing in 2002 (phase 1) or 2003 (phase II). These phase I and II governments had 4 years to get all their existing infrastructure properly recorded.  Governments implementing in 2004 (phase III) were not required to record their old infrastructure. </t>
    </r>
    <r>
      <rPr>
        <b/>
        <sz val="10"/>
        <color indexed="10"/>
        <rFont val="Arial"/>
        <family val="2"/>
      </rPr>
      <t>All governments must begin to record new additions to infrastructure in year 1 of implementation.</t>
    </r>
  </si>
  <si>
    <t>Review the accounts for deferred charges from refunding and prepaid insurance cost and any discounts or premiums that must be amortized over the life of the debt. Indicate the amount for the annual expense.</t>
  </si>
  <si>
    <t>Prepaid</t>
  </si>
  <si>
    <t xml:space="preserve"> Insurance</t>
  </si>
  <si>
    <t>Debt service - prepaid insurance cost</t>
  </si>
  <si>
    <t>Prepaid insurance costs</t>
  </si>
  <si>
    <t>Debt service - prepaid insurance costs</t>
  </si>
  <si>
    <t>Deferred Charges - Prepaid insurance cost</t>
  </si>
  <si>
    <r>
      <t>Prepaid expenses  -</t>
    </r>
    <r>
      <rPr>
        <sz val="10"/>
        <rFont val="Arial"/>
        <family val="2"/>
      </rPr>
      <t xml:space="preserve"> if recorded at the fund level using the purchases method.  This does not include prepaid insurance costs associated with bond refundings.  </t>
    </r>
  </si>
  <si>
    <t>Fund balance must be reclassified to a Net Position presentation for the government-wide statements. This worksheet will assist you in the calculation of the numbers that must be entered manually into worksheet L. Worksheet L creates the entry that posts to the conversion worksheet to reclassify net position. It was not automatically generated in order to avoid circular logic. This step will be one of the last performed in finalizing data in the conversion worksheet.</t>
  </si>
  <si>
    <t>Restricted Net Position - Data From Fund Statements</t>
  </si>
  <si>
    <t>Position</t>
  </si>
  <si>
    <t>Unamortized Prepaid Insurance Cost =</t>
  </si>
  <si>
    <t>What was the amount of any unamortized discount, premium or prepaid insurance cost on the old debt?</t>
  </si>
  <si>
    <t>Determine beginning of year balances for unavailable (previously non-cash deferred revenue) revenue and accrued interest receivable of ad valorem taxes. Enter those amounts in section A below.</t>
  </si>
  <si>
    <t>Determine end of year balances for unavailable (previously non-cash deferred revenue) revenue and accrued interest receivable on ad valorem taxes. Enter those amounts in section B below.</t>
  </si>
  <si>
    <t>What was amount in unavailable tax receipts at the end of the year?  -  (Exclude prepaid taxes.)
What was the amount of accrued interest receivable on tax receipts at the end of the year?</t>
  </si>
  <si>
    <t>Debt activity under the modified accrual basis of accounting is treated as an expenditure or as an other financing source - debt proceeds. For the full accrual basis of accounting used on the government-wide statements, these debt service expenditures must be adjusted to report the reduction in the principal balance for the permanent liability account. New debt issued during the year will be addressed in Schedule H. Interest expense will be determined by the period the debt is outstanding rather than by the cash payment. Refunding bonds will also be addressed in Schedule H. Please note that these adjustments to debt accounts must be posted to the unit's permanent accounts for debt in order to have proper beginning balances for next year.</t>
  </si>
  <si>
    <t>The issuance of debt needs to be reflected in the proper liability accounts rather than as other financing sources in order to prepare the government-wide Statement of Net Position. Also, corresponding transactions for premiums, discounts, and prepaid insurance costs must be adjusted from other financing uses to assets, liabilities, contra-liabilities, and deferred inflows of resources. Refunding bonds must also be adjusted to the proper permanent accounts. Refunding bonds and their corresponding defeased debt will be handled together in the same section below. Prepaid insurance costs and deferred charges must be amortized over the life of any debt issued from the year of implementation forward to correctly state expenses on the Statement of Activities. All bond issuance costs, other than prepaid insurance, are to be expensed.  The unit's permanent accounts will need to be adjusted to properly reflect next year's beginning balances for debt related accounts.</t>
  </si>
  <si>
    <r>
      <t xml:space="preserve">Adjust beginning net position (fund balance) for prior year consolidation(s) of internal service funds. (This amount will be the Internal balance amount created from last year's final entry for this fund and will become cumulative over time.) 
</t>
    </r>
    <r>
      <rPr>
        <b/>
        <sz val="10"/>
        <color indexed="10"/>
        <rFont val="Arial"/>
        <family val="2"/>
      </rPr>
      <t>This will not be an issue in year 1 of implementation. It will only be required in later years.</t>
    </r>
  </si>
  <si>
    <t xml:space="preserve">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 </t>
  </si>
  <si>
    <t>Section D is the actual allocation of the residual profit or loss computation. These are the amounts that will be included in your reconciliation from the fund balance to the government-wide net position amount.</t>
  </si>
  <si>
    <t>From fund Statement of Net position at end of year</t>
  </si>
  <si>
    <t>Unrestricted Net Position</t>
  </si>
  <si>
    <t>Change in Net Position</t>
  </si>
  <si>
    <t>Proof totals for Net Position</t>
  </si>
  <si>
    <t xml:space="preserve">     Change in net position</t>
  </si>
  <si>
    <t xml:space="preserve">     Reclassification to net position</t>
  </si>
  <si>
    <t>Deferred Inflows of Resources</t>
  </si>
  <si>
    <t>Unavailable revenue (previously non-cash deferred revenue). Unearned revenues ( from cash receipts) typically found below</t>
  </si>
  <si>
    <t>Capital asset data pulled from the St. of Net Position Column in Conversion Worksheet</t>
  </si>
  <si>
    <t>Payables are included in the payables column up to the amount that will not make row for Restricted Net Position negative</t>
  </si>
  <si>
    <t>Deferred Outflows Of Resources</t>
  </si>
  <si>
    <t>Deferred Inflows Of Resources</t>
  </si>
  <si>
    <t>Pension Expense</t>
  </si>
  <si>
    <t>Agency Number</t>
  </si>
  <si>
    <t>Agency</t>
  </si>
  <si>
    <t>Net Pension Liability - End of Year</t>
  </si>
  <si>
    <t>Differences Between Expected And Actual Experience</t>
  </si>
  <si>
    <t>Net Difference Between Projected And Actual Investment Earnings On Plan Investments</t>
  </si>
  <si>
    <t>Changes Of Assumptions</t>
  </si>
  <si>
    <t>Changes In Proportion And Differences Between Employer Contributions And Proportional Share Of Contributions</t>
  </si>
  <si>
    <t>Proportional Share Of Pension Expense</t>
  </si>
  <si>
    <t>Net Amortization Of Deferred Amounts From Changes In Proportion And Differences Between Employer Contributions And Proportional Share Of Contributions</t>
  </si>
  <si>
    <t>Total Employer Pension Expense</t>
  </si>
  <si>
    <t>Eastern Band Of Cherokee Indians</t>
  </si>
  <si>
    <t>Misenheimer, Village Of</t>
  </si>
  <si>
    <t>Piedmont Triad Airport Authority</t>
  </si>
  <si>
    <t>Sparta, Town Of</t>
  </si>
  <si>
    <t>Yancey County</t>
  </si>
  <si>
    <t>Yancey Soil &amp; Water Conservation District</t>
  </si>
  <si>
    <t>Burnsville, Town Of</t>
  </si>
  <si>
    <t>Martin-Tyrell-Washington D.H.D</t>
  </si>
  <si>
    <t xml:space="preserve">Toe River District Health Department </t>
  </si>
  <si>
    <t>Appalachian District Health Department</t>
  </si>
  <si>
    <t>Alamance County</t>
  </si>
  <si>
    <t>Burlington, City Of</t>
  </si>
  <si>
    <t>Mebane, Town Of</t>
  </si>
  <si>
    <t>Graham, City Of</t>
  </si>
  <si>
    <t>Elon College, Town Of</t>
  </si>
  <si>
    <t>Haw River, Town Of</t>
  </si>
  <si>
    <t>Alamance, Village Of</t>
  </si>
  <si>
    <t>Green Level, Town Of</t>
  </si>
  <si>
    <t>Alexander County</t>
  </si>
  <si>
    <t>Alexander County Health Department</t>
  </si>
  <si>
    <t>Alexander County Library</t>
  </si>
  <si>
    <t>Alexander County Welfare Department</t>
  </si>
  <si>
    <t>Taylorsville, Town Of</t>
  </si>
  <si>
    <t>Alleghany County</t>
  </si>
  <si>
    <t>Northwestern Regional Library</t>
  </si>
  <si>
    <t>Sparta A.B.C. Board</t>
  </si>
  <si>
    <t>Anson County</t>
  </si>
  <si>
    <t>Wadesboro, Town Of</t>
  </si>
  <si>
    <t>Wadesboro Housing Authority</t>
  </si>
  <si>
    <t>Wadesboro A.B.C. Board</t>
  </si>
  <si>
    <t>Lilesville, Town Of</t>
  </si>
  <si>
    <t>Polkton, Town Of</t>
  </si>
  <si>
    <t>Peachland, Town Of</t>
  </si>
  <si>
    <t>Ansonville, Town Of</t>
  </si>
  <si>
    <t>Morven, Town Of</t>
  </si>
  <si>
    <t>Ashe County</t>
  </si>
  <si>
    <t>WEST JEFFERSON ABC BOARD</t>
  </si>
  <si>
    <t>Jefferson, Town Of</t>
  </si>
  <si>
    <t>West Jefferson, Town Of</t>
  </si>
  <si>
    <t>Avery County</t>
  </si>
  <si>
    <t>Avery-Mitchell-Yancey Dist. Library</t>
  </si>
  <si>
    <t>Banner Elk, Town Of</t>
  </si>
  <si>
    <t>High Country Municipal A.B.C. Board</t>
  </si>
  <si>
    <t>Newland, Town Of</t>
  </si>
  <si>
    <t>Beech Mountain, Town Of</t>
  </si>
  <si>
    <t>Elk Park, Town Of</t>
  </si>
  <si>
    <t>Sugar Mountain, Town Of</t>
  </si>
  <si>
    <t>Beaufort County</t>
  </si>
  <si>
    <t>Beaufort County A.B.C. Board</t>
  </si>
  <si>
    <t>B.H.M. Regional Library</t>
  </si>
  <si>
    <t>Washington, City Of</t>
  </si>
  <si>
    <t>Aurora, Town Of</t>
  </si>
  <si>
    <t>Belhaven, Town Of</t>
  </si>
  <si>
    <t>Washington Park, Town Of</t>
  </si>
  <si>
    <t>Chocowinity, Town Of</t>
  </si>
  <si>
    <t>Bertie County</t>
  </si>
  <si>
    <t>Bertie County A.B.C. Board</t>
  </si>
  <si>
    <t>Albemarle Regional Library</t>
  </si>
  <si>
    <t>Bertie-Martin Regional Jail Comm</t>
  </si>
  <si>
    <t>Aulander, Town Of</t>
  </si>
  <si>
    <t>Windsor, Town Of</t>
  </si>
  <si>
    <t>Colerain, Town Of</t>
  </si>
  <si>
    <t>Lewiston-Woodville, Town Of</t>
  </si>
  <si>
    <t>Bladen County</t>
  </si>
  <si>
    <t>Elizabethtown, Town Of</t>
  </si>
  <si>
    <t>Elizabethtown A.B.C. Board</t>
  </si>
  <si>
    <t>Southeastern Economic Develop. Com</t>
  </si>
  <si>
    <t>White Lake, Town Of</t>
  </si>
  <si>
    <t>Clarkton, Town Of</t>
  </si>
  <si>
    <t>Bladenboro, Town Of</t>
  </si>
  <si>
    <t>Brunswick County</t>
  </si>
  <si>
    <t>Leland, Town Of</t>
  </si>
  <si>
    <t>Brunswick County Health Department</t>
  </si>
  <si>
    <t>Brunswick County A.B.C. Board</t>
  </si>
  <si>
    <t>Calabash A.B.C. Board</t>
  </si>
  <si>
    <t>Cape Fear Council Of Governments</t>
  </si>
  <si>
    <t>Brunswick County Tourism Develop. Authority</t>
  </si>
  <si>
    <t>Calabash, Town Of</t>
  </si>
  <si>
    <t>Southport, City Of</t>
  </si>
  <si>
    <t>Northwest, City Of</t>
  </si>
  <si>
    <t>Holden Beach, Town Of</t>
  </si>
  <si>
    <t>Southport A.B.C. Board</t>
  </si>
  <si>
    <t>Belville, Town Of</t>
  </si>
  <si>
    <t>Oak Island, Town Of</t>
  </si>
  <si>
    <t>Carolina Shores, Town of</t>
  </si>
  <si>
    <t>TOWN OF NAVASSA</t>
  </si>
  <si>
    <t>Oak Island A.B.C. Board</t>
  </si>
  <si>
    <t>St. James, Town Of</t>
  </si>
  <si>
    <t>Sunset Beach, Town Of</t>
  </si>
  <si>
    <t>Sunset Beach A.B.C. Board</t>
  </si>
  <si>
    <t>Caswell Beach, Town Of</t>
  </si>
  <si>
    <t>Shallotte A.B.C. Board</t>
  </si>
  <si>
    <t>Ocean Isle Beach, Town Of</t>
  </si>
  <si>
    <t>Ocean Isle A.B.C. Board</t>
  </si>
  <si>
    <t>Boiling Spring Lakes, City Of</t>
  </si>
  <si>
    <t>Boiling Spring Lakes A.B.C. Board</t>
  </si>
  <si>
    <t>Shallotte, Town Of</t>
  </si>
  <si>
    <t>Bald Head Island, Village Of</t>
  </si>
  <si>
    <t>Buncombe County</t>
  </si>
  <si>
    <t>Land-Of-Sky Regional Council</t>
  </si>
  <si>
    <t>Woodfin ABC Commission</t>
  </si>
  <si>
    <t>Western NC Regional Air Pollution Control</t>
  </si>
  <si>
    <t>Metro Sewerage Dist Of Buncombe County</t>
  </si>
  <si>
    <t>Woodfin Sanitary Water &amp; Sewer District</t>
  </si>
  <si>
    <t>Biltmore Forest, Town Of</t>
  </si>
  <si>
    <t>WESTERN HIGHLAND AREA AUTHORITY</t>
  </si>
  <si>
    <t>West Buncombe Fire Department</t>
  </si>
  <si>
    <t>Asheville, City Of</t>
  </si>
  <si>
    <t>Asheville A.B.C. Board</t>
  </si>
  <si>
    <t>Asheville Regional Airport Authority</t>
  </si>
  <si>
    <t>Skyland Volunteer Fire Department</t>
  </si>
  <si>
    <t>Weaverville, Town Of</t>
  </si>
  <si>
    <t>Weaverville A.B.C. Board</t>
  </si>
  <si>
    <t>Black Mountain, Town Of</t>
  </si>
  <si>
    <t>Black Mountain A.B.C. Board</t>
  </si>
  <si>
    <t>Montreat, Town Of</t>
  </si>
  <si>
    <t>Woodfin, Town Of</t>
  </si>
  <si>
    <t>Burke County</t>
  </si>
  <si>
    <t>Burke-Catawba Dist. Confinement Fa</t>
  </si>
  <si>
    <t>Burke County Health Department</t>
  </si>
  <si>
    <t xml:space="preserve">Burke County Tourism Development Authority </t>
  </si>
  <si>
    <t>Valdese, Town Of</t>
  </si>
  <si>
    <t>Valdese Housing Authority</t>
  </si>
  <si>
    <t>Rutherford College, Town of</t>
  </si>
  <si>
    <t>Morganton A.B.C. Board</t>
  </si>
  <si>
    <t>Drexel, Town Of</t>
  </si>
  <si>
    <t>Morganton, City Of</t>
  </si>
  <si>
    <t>Morganton Housing Authority</t>
  </si>
  <si>
    <t>Glen Alpine, Town Of</t>
  </si>
  <si>
    <t>Hildebrand, Town Of</t>
  </si>
  <si>
    <t>Connelly Springs, Town Of</t>
  </si>
  <si>
    <t>Cabarrus County</t>
  </si>
  <si>
    <t>Water &amp; Sewer Authority Of Cabarrus County</t>
  </si>
  <si>
    <t>Cabarrus Co. Public Health Auth</t>
  </si>
  <si>
    <t>Cabarrus Co. Tourism Auth</t>
  </si>
  <si>
    <t>Concord, City Of</t>
  </si>
  <si>
    <t>Concord A.B.C. Board</t>
  </si>
  <si>
    <t>Mount Pleasant, Town Of</t>
  </si>
  <si>
    <t>Mt. Pleasant A.B.C. Board</t>
  </si>
  <si>
    <t>Kannapolis, Town Of</t>
  </si>
  <si>
    <t>Midland, Town of</t>
  </si>
  <si>
    <t>Caldwell County</t>
  </si>
  <si>
    <t>Granite Falls, Town Of</t>
  </si>
  <si>
    <t>Granite Falls A.B.C. Board</t>
  </si>
  <si>
    <t>Sawmills, Town Of</t>
  </si>
  <si>
    <t>Lenoir Housing Authority</t>
  </si>
  <si>
    <t>Hudson, Town Of</t>
  </si>
  <si>
    <t>Harrisburg, Town Of</t>
  </si>
  <si>
    <t>Lenoir, City Of</t>
  </si>
  <si>
    <t>Lenoir A.B.C. Board</t>
  </si>
  <si>
    <t>Cajah's Mountain, Town Of</t>
  </si>
  <si>
    <t>Camden County</t>
  </si>
  <si>
    <t>Camden County A.B.C. Board</t>
  </si>
  <si>
    <t>Carteret County</t>
  </si>
  <si>
    <t>Carteret County A.B.C. Board</t>
  </si>
  <si>
    <t>Western Cartert Interlocal Agency</t>
  </si>
  <si>
    <t>Morehead City, Town Of</t>
  </si>
  <si>
    <t>Newport, Town Of</t>
  </si>
  <si>
    <t>Beaufort, Town Of</t>
  </si>
  <si>
    <t>Beaufort Housing Authority</t>
  </si>
  <si>
    <t>Pine Knoll Shores, Town Of</t>
  </si>
  <si>
    <t>Emerald Isle, Town Of</t>
  </si>
  <si>
    <t>Indian Beach, Town Of</t>
  </si>
  <si>
    <t>Cape Carteret, Town Of</t>
  </si>
  <si>
    <t>Atlantic Beach, Town Of</t>
  </si>
  <si>
    <t>Cedar Point, Town Of</t>
  </si>
  <si>
    <t>Caswell County</t>
  </si>
  <si>
    <t>Caswell County A.B.C. Board</t>
  </si>
  <si>
    <t>Yanceyville, Town Of</t>
  </si>
  <si>
    <t>Catawba County</t>
  </si>
  <si>
    <t>Catawba County A.B.C. Board</t>
  </si>
  <si>
    <t>Hickory, City Of</t>
  </si>
  <si>
    <t>Hickory/Conover Tourism Dev. Authority</t>
  </si>
  <si>
    <t>Hickory Housing Authority</t>
  </si>
  <si>
    <t>Western Piedmont Council of Governments</t>
  </si>
  <si>
    <t>Western Piedmont Regional Transit Authority</t>
  </si>
  <si>
    <t>Claremont, Town Of</t>
  </si>
  <si>
    <t>Maiden, Town Of</t>
  </si>
  <si>
    <t>Long View, Town Of</t>
  </si>
  <si>
    <t>Conover, Town Of</t>
  </si>
  <si>
    <t>Brookford, Town Of</t>
  </si>
  <si>
    <t>Newton, Town Of</t>
  </si>
  <si>
    <t>Catawba, Town Of</t>
  </si>
  <si>
    <t>Chatham County</t>
  </si>
  <si>
    <t>Chatham County Housing Authority</t>
  </si>
  <si>
    <t>Chatham County A.B.C. Board</t>
  </si>
  <si>
    <t>Goldston-Gulf Sanitary District</t>
  </si>
  <si>
    <t>Siler City, Town Of</t>
  </si>
  <si>
    <t>Siler City A.B.C. Board</t>
  </si>
  <si>
    <t>Pittsboro, Town Of</t>
  </si>
  <si>
    <t>Cherokee County</t>
  </si>
  <si>
    <t>Nantahala Regional Library</t>
  </si>
  <si>
    <t>Murphy, Town Of</t>
  </si>
  <si>
    <t>Murphy A.B.C. Board</t>
  </si>
  <si>
    <t>Andrews, Town Of</t>
  </si>
  <si>
    <t>Chowan County</t>
  </si>
  <si>
    <t>Chowan County A.B.C. Board</t>
  </si>
  <si>
    <t>Albemarle Regional Plan. &amp; Develop. Com</t>
  </si>
  <si>
    <t>Edenton, Town Of</t>
  </si>
  <si>
    <t>The New Edenton Housing Authority</t>
  </si>
  <si>
    <t>Clay County</t>
  </si>
  <si>
    <t>Cleveland County</t>
  </si>
  <si>
    <t>Cleveland County Sanitary District</t>
  </si>
  <si>
    <t>Shelby, City Of</t>
  </si>
  <si>
    <t>Shelby A.B.C. Board</t>
  </si>
  <si>
    <t>Kings Mountain, City Of</t>
  </si>
  <si>
    <t>Kings Mountain A.B.C. Board</t>
  </si>
  <si>
    <t>Boiling Springs, Town Of</t>
  </si>
  <si>
    <t>Lawndale, Town Of</t>
  </si>
  <si>
    <t>Grover, Town Of</t>
  </si>
  <si>
    <t>Columbus County</t>
  </si>
  <si>
    <t>Whiteville Housing Authority</t>
  </si>
  <si>
    <t>Whiteville, City Of</t>
  </si>
  <si>
    <t>TOWN OF BOLTON</t>
  </si>
  <si>
    <t>Whiteville A.B.C. Board</t>
  </si>
  <si>
    <t>Brunswick, Town Of</t>
  </si>
  <si>
    <t>Lake Waccamaw A.B.C. Board</t>
  </si>
  <si>
    <t>Fair Bluff, Town Of</t>
  </si>
  <si>
    <t>Chadbourn, Town Of</t>
  </si>
  <si>
    <t>Tabor City, Town Of</t>
  </si>
  <si>
    <t>Lake Woccamaw, Town Of</t>
  </si>
  <si>
    <t>Craven County</t>
  </si>
  <si>
    <t>First Craven Sanitary District</t>
  </si>
  <si>
    <t>Craven County A.B.C. Board</t>
  </si>
  <si>
    <t>Craven-Pamlico-Carteret Regional Library</t>
  </si>
  <si>
    <t>Craven County Airport Authority</t>
  </si>
  <si>
    <t>Neuse River Council Of Governments</t>
  </si>
  <si>
    <t>Coastal Regional Waste Management Authority</t>
  </si>
  <si>
    <t>New Bern, City Of</t>
  </si>
  <si>
    <t>Trent Woods, Town Of</t>
  </si>
  <si>
    <t>Havelock, City Of</t>
  </si>
  <si>
    <t>River Bend, Town Of</t>
  </si>
  <si>
    <t>Vanceboro, Town Of</t>
  </si>
  <si>
    <t>Bridgeton, Town Of</t>
  </si>
  <si>
    <t>Cove City, Town Of</t>
  </si>
  <si>
    <t>Cumberland County</t>
  </si>
  <si>
    <t>Westarea Volunteer Fire Department</t>
  </si>
  <si>
    <t>Cumberland County A.B.C. Board</t>
  </si>
  <si>
    <t>Cumberland Memorial Auditorium Com</t>
  </si>
  <si>
    <t>Fayetteville, City Of</t>
  </si>
  <si>
    <t>Fayetteville Metro. Housing Authority</t>
  </si>
  <si>
    <t>Fayetteville Public Works Commission</t>
  </si>
  <si>
    <t>Stedman, Town Of</t>
  </si>
  <si>
    <t>Hope Mills, Town Of</t>
  </si>
  <si>
    <t>Wade, Town Of</t>
  </si>
  <si>
    <t>Linden, Town Of</t>
  </si>
  <si>
    <t>Spring Lake, Town Of</t>
  </si>
  <si>
    <t>Falcon, Town Of</t>
  </si>
  <si>
    <t>Eastover, Town Of</t>
  </si>
  <si>
    <t>Currituck County</t>
  </si>
  <si>
    <t>Currituck County A.B.C. Board</t>
  </si>
  <si>
    <t>Dare County</t>
  </si>
  <si>
    <t>Dare County Tourism Board</t>
  </si>
  <si>
    <t>Dare County A.B.C. Board</t>
  </si>
  <si>
    <t>Nags Head, Town Of</t>
  </si>
  <si>
    <t>Kill Devil Hills, Town Of</t>
  </si>
  <si>
    <t>Manteo, Town Of</t>
  </si>
  <si>
    <t>Southern Shores, Town Of</t>
  </si>
  <si>
    <t>Kitty Hawk, Town Of</t>
  </si>
  <si>
    <t>Duck, Town Of</t>
  </si>
  <si>
    <t>Davidson County</t>
  </si>
  <si>
    <t>Thomasville, City Of</t>
  </si>
  <si>
    <t>Thomasville Housing Authority</t>
  </si>
  <si>
    <t>Lexington A.B.C. Board</t>
  </si>
  <si>
    <t>Denton, Town Of</t>
  </si>
  <si>
    <t>Lexington, City Of</t>
  </si>
  <si>
    <t>TOWN OF MIDWAY</t>
  </si>
  <si>
    <t>Davie County</t>
  </si>
  <si>
    <t>Davie Soil &amp; Water Conservation District</t>
  </si>
  <si>
    <t>Mocksville, Town Of</t>
  </si>
  <si>
    <t>Bermuda Run, Town Of</t>
  </si>
  <si>
    <t>Cooleemee A.B.C. Board</t>
  </si>
  <si>
    <t>Cooleemee, Town Of</t>
  </si>
  <si>
    <t>Duplin County</t>
  </si>
  <si>
    <t>Beulaville, Town Of</t>
  </si>
  <si>
    <t>Kenansville, Town Of</t>
  </si>
  <si>
    <t>Kenansville A.B.C. Board</t>
  </si>
  <si>
    <t>Warsaw, Town Of</t>
  </si>
  <si>
    <t>Warsaw A.B.C. Board</t>
  </si>
  <si>
    <t>Faison, Town Of</t>
  </si>
  <si>
    <t>Wallace, Town Of</t>
  </si>
  <si>
    <t>Wallace A.B.C. Board</t>
  </si>
  <si>
    <t>Rose Hill, Town Of</t>
  </si>
  <si>
    <t>Calypso, Town Of</t>
  </si>
  <si>
    <t>Teachey, Town Of</t>
  </si>
  <si>
    <t>Magnolia, Town Of</t>
  </si>
  <si>
    <t>Durham County</t>
  </si>
  <si>
    <t>Parkwood Fire Department</t>
  </si>
  <si>
    <t>Durham County A.B.C. Board</t>
  </si>
  <si>
    <t>Alliance Behavioral Healthcare</t>
  </si>
  <si>
    <t>Durham, City Of</t>
  </si>
  <si>
    <t>Durham Convention and Visitors Bureau</t>
  </si>
  <si>
    <t>Triangle J Council Of Governments</t>
  </si>
  <si>
    <t>Edgecombe County</t>
  </si>
  <si>
    <t>Edgecombe County A.B.C. Board</t>
  </si>
  <si>
    <t>Edgecombe-Nash Memorial Library</t>
  </si>
  <si>
    <t>Tarboro, Town Of</t>
  </si>
  <si>
    <t>Tarboro Redevelopment Commission</t>
  </si>
  <si>
    <t>Rocky Mount, City Of</t>
  </si>
  <si>
    <t>Rocky Mount-Wilson Airport Authority</t>
  </si>
  <si>
    <t>Pinetops, Town Of</t>
  </si>
  <si>
    <t>Rocky Mount Housing Authority</t>
  </si>
  <si>
    <t>Macclesfield, Town Of</t>
  </si>
  <si>
    <t>Princeville, Town Of</t>
  </si>
  <si>
    <t>Forsyth County</t>
  </si>
  <si>
    <t>Airport Commission Of Forsyth County</t>
  </si>
  <si>
    <t>Piedmont Triad Regional Council</t>
  </si>
  <si>
    <t>Winston-Salem, City Of</t>
  </si>
  <si>
    <t>Winston-Salem Housing Authority</t>
  </si>
  <si>
    <t>Kernersville, Town Of</t>
  </si>
  <si>
    <t>Rural Hall, Town Of</t>
  </si>
  <si>
    <t>Clemmons,  Village Of</t>
  </si>
  <si>
    <t>Clemmons Fire Department</t>
  </si>
  <si>
    <t>Lewisville, Town Of</t>
  </si>
  <si>
    <t>Walkertown, Town Of</t>
  </si>
  <si>
    <t>Tobaccoville,  Village Of</t>
  </si>
  <si>
    <t>Franklin County</t>
  </si>
  <si>
    <t>Franklinton, Town Of</t>
  </si>
  <si>
    <t>Franklinton A.B.C. Board</t>
  </si>
  <si>
    <t>Louisburg, Town Of</t>
  </si>
  <si>
    <t>Louisburg A.B.C. Board</t>
  </si>
  <si>
    <t>Bunn, Town Of</t>
  </si>
  <si>
    <t>Bunn A.B.C. Board</t>
  </si>
  <si>
    <t>Youngsville, Town Of</t>
  </si>
  <si>
    <t>Gaston County</t>
  </si>
  <si>
    <t>Stanley, Town Of</t>
  </si>
  <si>
    <t>Mcadenville, Town Of</t>
  </si>
  <si>
    <t>Gastonia, City Of</t>
  </si>
  <si>
    <t>Gastonia A.B.C. Board</t>
  </si>
  <si>
    <t>Gaston Co. Economic Dev. Commission</t>
  </si>
  <si>
    <t>Belmont, City Of</t>
  </si>
  <si>
    <t>Belmont Housing Authority</t>
  </si>
  <si>
    <t>Cramerton, Town Of</t>
  </si>
  <si>
    <t>Cherryville, City Of</t>
  </si>
  <si>
    <t>Cherryville A.B.C. Board</t>
  </si>
  <si>
    <t>Dallas, Town Of</t>
  </si>
  <si>
    <t>Lowell, Town Of</t>
  </si>
  <si>
    <t>Bessemer City, City Of</t>
  </si>
  <si>
    <t>BESSEMER CITY A.B.C. BOARD</t>
  </si>
  <si>
    <t>Ranlo, Town Of</t>
  </si>
  <si>
    <t>Mt. Holly, City Of</t>
  </si>
  <si>
    <t>Gates County</t>
  </si>
  <si>
    <t>Gates County A.B.C. Board</t>
  </si>
  <si>
    <t>Graham County</t>
  </si>
  <si>
    <t>Graham County Health Department</t>
  </si>
  <si>
    <t>Robbinsville, Town of</t>
  </si>
  <si>
    <t>Granville County</t>
  </si>
  <si>
    <t>Granville County A.B.C. Board</t>
  </si>
  <si>
    <t>Granville County Hospital</t>
  </si>
  <si>
    <t>Granville-Vance Health District</t>
  </si>
  <si>
    <t>South Granville Water and Sewer Authority</t>
  </si>
  <si>
    <t>Oxford, City Of</t>
  </si>
  <si>
    <t>Oxford Housing Authority</t>
  </si>
  <si>
    <t>Stovall, Town Of</t>
  </si>
  <si>
    <t>Creedmoor, City Of</t>
  </si>
  <si>
    <t>Butner, Town Of</t>
  </si>
  <si>
    <t>Greene County</t>
  </si>
  <si>
    <t>Maury Sanitary Land District</t>
  </si>
  <si>
    <t>Greene County A.B.C. Board</t>
  </si>
  <si>
    <t>Neuse Regional Library - Greene County</t>
  </si>
  <si>
    <t>Hookerton, Town Of</t>
  </si>
  <si>
    <t>Snow Hill, Town Of</t>
  </si>
  <si>
    <t>Walstonburg, Town Of</t>
  </si>
  <si>
    <t>Guilford, County Of</t>
  </si>
  <si>
    <t>Guil-Rand Fire Department</t>
  </si>
  <si>
    <t>Pinecroft-Sedgefield Fire District</t>
  </si>
  <si>
    <t>Alamance Community Fire Dist.,Inc</t>
  </si>
  <si>
    <t>Greensboro, City Of</t>
  </si>
  <si>
    <t>Piedmont Triad Regional Water Authority</t>
  </si>
  <si>
    <t>Greensboro A.B.C. Board</t>
  </si>
  <si>
    <t>Guilford Fire District</t>
  </si>
  <si>
    <t>High Point, City Of</t>
  </si>
  <si>
    <t>High Point A.B.C. Board</t>
  </si>
  <si>
    <t>Jamestown, Town Of</t>
  </si>
  <si>
    <t>Gibsonville, Town Of</t>
  </si>
  <si>
    <t>Gibsonville A.B.C. Board</t>
  </si>
  <si>
    <t>Oak Ridge, Town Of</t>
  </si>
  <si>
    <t>Colfax Volunteer Fire Department</t>
  </si>
  <si>
    <t>Summerfield, Town Of</t>
  </si>
  <si>
    <t>Summerfield Fire District</t>
  </si>
  <si>
    <t>Halifax County</t>
  </si>
  <si>
    <t>Halifax County A.B.C. Board</t>
  </si>
  <si>
    <t>Halifax County Tourism Development Authority</t>
  </si>
  <si>
    <t>Roanoke Rapids Sanitary District</t>
  </si>
  <si>
    <t>Enfield, Town Of</t>
  </si>
  <si>
    <t>Roanoke Rapids, City Of</t>
  </si>
  <si>
    <t>Weldon, Town Of</t>
  </si>
  <si>
    <t>Scotland Neck, Town Of</t>
  </si>
  <si>
    <t>Hobgood, Town Of</t>
  </si>
  <si>
    <t>Littleton, Town Of</t>
  </si>
  <si>
    <t>Harnett County</t>
  </si>
  <si>
    <t>Dunn, Town Of</t>
  </si>
  <si>
    <t>Dunn Housing Authority</t>
  </si>
  <si>
    <t>Dunn A.B.C. Board</t>
  </si>
  <si>
    <t>Lillington, Town Of</t>
  </si>
  <si>
    <t>Erwin, Town Of</t>
  </si>
  <si>
    <t>Coats, Town Of</t>
  </si>
  <si>
    <t>Angier A.B.C. Board</t>
  </si>
  <si>
    <t>Angier, Town Of</t>
  </si>
  <si>
    <t>Haywood County</t>
  </si>
  <si>
    <t>Haywood Medical Center</t>
  </si>
  <si>
    <t>Junaluska Sanitary District</t>
  </si>
  <si>
    <t>Waynesville, Town Of</t>
  </si>
  <si>
    <t>Waynesville A.B.C. Board</t>
  </si>
  <si>
    <t>Maggie Valley, Town Of</t>
  </si>
  <si>
    <t>Maggie Valley A.B.C. Board</t>
  </si>
  <si>
    <t>Maggie Valley Sanitary District</t>
  </si>
  <si>
    <t>Canton, Town Of</t>
  </si>
  <si>
    <t>Canton A.B.C. Board</t>
  </si>
  <si>
    <t>Henderson County</t>
  </si>
  <si>
    <t>Hendersonville, City Of</t>
  </si>
  <si>
    <t>Hendersonville Water Commission</t>
  </si>
  <si>
    <t>Hendersonville A.B.C. Board</t>
  </si>
  <si>
    <t>Laurel Park, Town Of</t>
  </si>
  <si>
    <t>Laurel Park A.B.C. Board</t>
  </si>
  <si>
    <t>Flat Rock, Village Of</t>
  </si>
  <si>
    <t>Blue Ridge Fire Department</t>
  </si>
  <si>
    <t>Fletcher, Town Of</t>
  </si>
  <si>
    <t>Fletcher A.B.C. Board</t>
  </si>
  <si>
    <t>Mills River, Town Of</t>
  </si>
  <si>
    <t>Hertford County</t>
  </si>
  <si>
    <t>Hertford County A.B.C. Board</t>
  </si>
  <si>
    <t>Hertford County Public Health Authority</t>
  </si>
  <si>
    <t>Ahoskie, Town Of</t>
  </si>
  <si>
    <t>Murfreesboro, Town Of</t>
  </si>
  <si>
    <t>Winton, Town Of</t>
  </si>
  <si>
    <t>Cofield, Town Of</t>
  </si>
  <si>
    <t>Hoke County</t>
  </si>
  <si>
    <t>Hoke County A.B.C. Board</t>
  </si>
  <si>
    <t>Raeford, Town Of</t>
  </si>
  <si>
    <t>Hyde County</t>
  </si>
  <si>
    <t>Hyde County A.B.C. Board</t>
  </si>
  <si>
    <t>Ocracoke Sanitary District</t>
  </si>
  <si>
    <t>Iredell County</t>
  </si>
  <si>
    <t>Greater Statesville Development Co</t>
  </si>
  <si>
    <t>Statesville, City Of</t>
  </si>
  <si>
    <t>Statesville A.B.C. Board</t>
  </si>
  <si>
    <t>Mooresville, City Of</t>
  </si>
  <si>
    <t>Mooresville Housing Authority</t>
  </si>
  <si>
    <t>Mooresville A.B.C. Board</t>
  </si>
  <si>
    <t>Troutman, Town Of</t>
  </si>
  <si>
    <t>MI Connection Communications System</t>
  </si>
  <si>
    <t>Jackson County</t>
  </si>
  <si>
    <t>Tuckaseigee Water And Sewer Auth</t>
  </si>
  <si>
    <t>Fontana Regional Library</t>
  </si>
  <si>
    <t>Southwestern Plan. &amp; Econ. Dev. Co</t>
  </si>
  <si>
    <t>Smoky Mountain Mental Health Center</t>
  </si>
  <si>
    <t>Sylva, Town Of</t>
  </si>
  <si>
    <t>Johnston County</t>
  </si>
  <si>
    <t>Benson Housing Authority</t>
  </si>
  <si>
    <t>Johnston County A.B.C. Board</t>
  </si>
  <si>
    <t>Johnston County Public Library</t>
  </si>
  <si>
    <t>Archer Lodge, Town Of</t>
  </si>
  <si>
    <t>Smithfield, Town Of</t>
  </si>
  <si>
    <t>Smithfield Housing Authority</t>
  </si>
  <si>
    <t>Selma, Town Of</t>
  </si>
  <si>
    <t>Micro, Town of</t>
  </si>
  <si>
    <t>Selma Housing Authority</t>
  </si>
  <si>
    <t>Clayton, Town Of</t>
  </si>
  <si>
    <t>Benson, Town Of</t>
  </si>
  <si>
    <t>Four Oaks, Town Of</t>
  </si>
  <si>
    <t>Pine Level, Town Of</t>
  </si>
  <si>
    <t>Kenly, Town Of</t>
  </si>
  <si>
    <t>Princeton, Town Of</t>
  </si>
  <si>
    <t>Wilson's Mills, Town Of</t>
  </si>
  <si>
    <t>Jones County</t>
  </si>
  <si>
    <t>Jones County A.B.C. Board</t>
  </si>
  <si>
    <t>Neuse Regional Library - Jones County</t>
  </si>
  <si>
    <t>Pollocksville, Town Of</t>
  </si>
  <si>
    <t>Maysville, Town Of</t>
  </si>
  <si>
    <t>Lee County</t>
  </si>
  <si>
    <t>Sanford, City Of</t>
  </si>
  <si>
    <t>Sanford A.B.C. Board</t>
  </si>
  <si>
    <t>Broadway, Town Of</t>
  </si>
  <si>
    <t>Lenoir County</t>
  </si>
  <si>
    <t>Lenoir County A.B.C. Board</t>
  </si>
  <si>
    <t>Neuse Regional Library</t>
  </si>
  <si>
    <t>Kinston, City Of</t>
  </si>
  <si>
    <t>Global Transpark Development Comm</t>
  </si>
  <si>
    <t>Kinston Housing Authority</t>
  </si>
  <si>
    <t>Kinston-Lenoir County Library</t>
  </si>
  <si>
    <t>Pink Hill, Town Of</t>
  </si>
  <si>
    <t>Lagrange, Town Of</t>
  </si>
  <si>
    <t>Lincoln County</t>
  </si>
  <si>
    <t>Lincoln County A.B.C. Board</t>
  </si>
  <si>
    <t>Lincolnton, City Of</t>
  </si>
  <si>
    <t>Lincolnton Housing Authority</t>
  </si>
  <si>
    <t>Lincolnton A.B.C. Board</t>
  </si>
  <si>
    <t>Macon County</t>
  </si>
  <si>
    <t>Franklin, Town Of</t>
  </si>
  <si>
    <t>Highlands A.B.C. Board</t>
  </si>
  <si>
    <t>Highlands, Town Of</t>
  </si>
  <si>
    <t>Madison County</t>
  </si>
  <si>
    <t>Mars Hill, Town Of</t>
  </si>
  <si>
    <t>Marshall, Town Of</t>
  </si>
  <si>
    <t>Hot Springs Housing Authority</t>
  </si>
  <si>
    <t>Martin County</t>
  </si>
  <si>
    <t>Martin County Travel &amp; Tourism Authority</t>
  </si>
  <si>
    <t>Martin County A B C Board</t>
  </si>
  <si>
    <t>Williamston, City Of</t>
  </si>
  <si>
    <t>Williamston Housing Authority</t>
  </si>
  <si>
    <t>Oak City, Town Of</t>
  </si>
  <si>
    <t>Hamilton, Town Of</t>
  </si>
  <si>
    <t>Jamesville, Town Of</t>
  </si>
  <si>
    <t>Robersonville, Town Of</t>
  </si>
  <si>
    <t>Robersonville Housing Authority</t>
  </si>
  <si>
    <t>Pleasant Garden Fire Department</t>
  </si>
  <si>
    <t>Marion, Town Of</t>
  </si>
  <si>
    <t>Marion A.B.C. Board</t>
  </si>
  <si>
    <t>Old Fort, Town Of</t>
  </si>
  <si>
    <t>Mecklenburg County</t>
  </si>
  <si>
    <t>Charlott Housing Authority</t>
  </si>
  <si>
    <t>Mecklenburg County A.B.C. Board</t>
  </si>
  <si>
    <t>Charlotte-Mecklenburg Public Libra</t>
  </si>
  <si>
    <t>Mecklenburg County Ems Agency</t>
  </si>
  <si>
    <t>Centralina Council Of Governments</t>
  </si>
  <si>
    <t>Charlotte, City Of</t>
  </si>
  <si>
    <t>Charlotte Fire Ret Sys Board of Trust</t>
  </si>
  <si>
    <t>Pineville, Town Of</t>
  </si>
  <si>
    <t>Mint Hill, Town Of</t>
  </si>
  <si>
    <t>Huntersville, Town Of</t>
  </si>
  <si>
    <t>Cornelius, Town Of</t>
  </si>
  <si>
    <t>Stallings, Town Of</t>
  </si>
  <si>
    <t>Matthews, Town Of</t>
  </si>
  <si>
    <t>Davidson, Town Of</t>
  </si>
  <si>
    <t>Mitchell County</t>
  </si>
  <si>
    <t>Mitchell Soil &amp; Water Conserv. District</t>
  </si>
  <si>
    <t>Spruce Pine, Town Of</t>
  </si>
  <si>
    <t>Bakersville, Town Of</t>
  </si>
  <si>
    <t>Montgomery County</t>
  </si>
  <si>
    <t>Montgomery-Municipal A.B.C. Board</t>
  </si>
  <si>
    <t>Star, Town Of</t>
  </si>
  <si>
    <t>Troy, Town Of</t>
  </si>
  <si>
    <t>Biscoe, Town Of</t>
  </si>
  <si>
    <t>Candor, Town Of</t>
  </si>
  <si>
    <t>Mount Gilead, Town Of</t>
  </si>
  <si>
    <t>Moore County</t>
  </si>
  <si>
    <t>Taylortown, Town Of</t>
  </si>
  <si>
    <t>Moore County A.B.C. Board</t>
  </si>
  <si>
    <t>Moore County Tourism Develop. Auth.</t>
  </si>
  <si>
    <t>Moore County Airport Authority</t>
  </si>
  <si>
    <t>Southern Pines, Town Of</t>
  </si>
  <si>
    <t>Cameron, Town Of</t>
  </si>
  <si>
    <t>Vass, Town Of</t>
  </si>
  <si>
    <t>Aberdeen, Town Of</t>
  </si>
  <si>
    <t>Robbins, Town Of</t>
  </si>
  <si>
    <t>Pinehurst, Village Of</t>
  </si>
  <si>
    <t>Pinebluff, Town Of</t>
  </si>
  <si>
    <t>Whispering Pines, Village Of</t>
  </si>
  <si>
    <t>Foxfire Village</t>
  </si>
  <si>
    <t>Carthage, Town Of</t>
  </si>
  <si>
    <t>Nash County</t>
  </si>
  <si>
    <t>Nash County A.B.C. Board</t>
  </si>
  <si>
    <t>Braswell Memorial Library</t>
  </si>
  <si>
    <t>Spring Hope, Town Of</t>
  </si>
  <si>
    <t>Nashville, Town Of</t>
  </si>
  <si>
    <t>Middlesex, Town Of</t>
  </si>
  <si>
    <t>Whitakers, Town Of</t>
  </si>
  <si>
    <t>Bailey, Town Of</t>
  </si>
  <si>
    <t>Sharpsburg, Town of</t>
  </si>
  <si>
    <t>New Hanover County</t>
  </si>
  <si>
    <t>New Hanover Airport Authority</t>
  </si>
  <si>
    <t>Wilmington Housing Authority</t>
  </si>
  <si>
    <t>New Hanover County A.B.C. Board</t>
  </si>
  <si>
    <t>Cape Fear Public Utility Authority</t>
  </si>
  <si>
    <t>Lower Cape Fear Water &amp; Sewer Auth</t>
  </si>
  <si>
    <t>Wrightsville Beach, Town Of</t>
  </si>
  <si>
    <t>Cape Fear Public Transportation Authority</t>
  </si>
  <si>
    <t>Coastal Care</t>
  </si>
  <si>
    <t>Carolina Beach, Town Of</t>
  </si>
  <si>
    <t>Wilmington, City Of</t>
  </si>
  <si>
    <t>Kure Beach, Town Of</t>
  </si>
  <si>
    <t>Northampton County</t>
  </si>
  <si>
    <t>Northampton County A.B.C. Board</t>
  </si>
  <si>
    <t>Rich Square, Town Of</t>
  </si>
  <si>
    <t>Choanoke Public Transportation Authority</t>
  </si>
  <si>
    <t>Woodland, Town Of</t>
  </si>
  <si>
    <t>Garysburg, Town Of</t>
  </si>
  <si>
    <t>Conway, Town Of</t>
  </si>
  <si>
    <t>Gaston, Town Of</t>
  </si>
  <si>
    <t>Jackson, Town Of</t>
  </si>
  <si>
    <t>Severn, Town Of</t>
  </si>
  <si>
    <t>Seaboard, Town Of</t>
  </si>
  <si>
    <t>Onslow County</t>
  </si>
  <si>
    <t>Onslow County A.B.C. Board</t>
  </si>
  <si>
    <t>Onslow Water &amp; Sewage Authority</t>
  </si>
  <si>
    <t>Jacksonville, City Of</t>
  </si>
  <si>
    <t>Swansboro, Town Of</t>
  </si>
  <si>
    <t>Holly Ridge, Town Of</t>
  </si>
  <si>
    <t>Holly Ridge Housing Authority</t>
  </si>
  <si>
    <t>Richlands, Town Of</t>
  </si>
  <si>
    <t>North Topsail Beach, Town Of</t>
  </si>
  <si>
    <t>Orange County</t>
  </si>
  <si>
    <t>Orange County A.B.C. Board</t>
  </si>
  <si>
    <t>Orange Water &amp; Sewer Authority</t>
  </si>
  <si>
    <t>Chapel Hill, Town Of</t>
  </si>
  <si>
    <t>Carrboro, Town Of</t>
  </si>
  <si>
    <t>Hillsborough, Town Of</t>
  </si>
  <si>
    <t>Pamlico County</t>
  </si>
  <si>
    <t>Bayboro, Town Of</t>
  </si>
  <si>
    <t>Oriental, Town Of</t>
  </si>
  <si>
    <t>Bay River Metro Sewerage District</t>
  </si>
  <si>
    <t>Pasquotank County</t>
  </si>
  <si>
    <t>Pasquotank-Camden Ambulance Service</t>
  </si>
  <si>
    <t>Pasquotank County A.B.C Board</t>
  </si>
  <si>
    <t>East Albemarle Regional Library</t>
  </si>
  <si>
    <t>Albemarle District Jail Commission</t>
  </si>
  <si>
    <t>Albemarle Hospital Authority</t>
  </si>
  <si>
    <t>Elizabeth City</t>
  </si>
  <si>
    <t>Elizabeth-Pasquotank Co Airport Au</t>
  </si>
  <si>
    <t>Elizabeth City - Pasquotank Co. Tourism Dev. Auth.</t>
  </si>
  <si>
    <t>Pasquotank-Camden Library</t>
  </si>
  <si>
    <t>Elizabeth-Pasquotank Co Ind Dev Co</t>
  </si>
  <si>
    <t>Pender County</t>
  </si>
  <si>
    <t>Pender County A.B.C. Board</t>
  </si>
  <si>
    <t>Burgaw, Town Of</t>
  </si>
  <si>
    <t>Topsail Beach, Town Of</t>
  </si>
  <si>
    <t>Surf City</t>
  </si>
  <si>
    <t>Perquimans County</t>
  </si>
  <si>
    <t>Hertford, Town Of</t>
  </si>
  <si>
    <t>Hertford Housing Authority</t>
  </si>
  <si>
    <t>Hertford A.B.C. Board</t>
  </si>
  <si>
    <t>Winfall, Town Of</t>
  </si>
  <si>
    <t>Person County</t>
  </si>
  <si>
    <t>Person County A.B.C. Board</t>
  </si>
  <si>
    <t>Roxboro, City Of</t>
  </si>
  <si>
    <t>Pitt County</t>
  </si>
  <si>
    <t>Pitt-Greenville Convention &amp; Visitors Authority</t>
  </si>
  <si>
    <t>Pitt County A.B.C. Board</t>
  </si>
  <si>
    <t>Sheppard Memorial Library</t>
  </si>
  <si>
    <t>Greenville, City Of</t>
  </si>
  <si>
    <t>Greenville Utilities Commission</t>
  </si>
  <si>
    <t>Greenville Housing Authority</t>
  </si>
  <si>
    <t>Farmville, City Of</t>
  </si>
  <si>
    <t>Farmville Housing Authority</t>
  </si>
  <si>
    <t>Grifton, Town Of</t>
  </si>
  <si>
    <t>Bethel, Town Of</t>
  </si>
  <si>
    <t>Winterville, Town Of</t>
  </si>
  <si>
    <t>Ayden, Town Of</t>
  </si>
  <si>
    <t>Ayden Housing Authority</t>
  </si>
  <si>
    <t>Grimesland, Town Of</t>
  </si>
  <si>
    <t>Simpson, Village Of</t>
  </si>
  <si>
    <t>Fountain, Town of</t>
  </si>
  <si>
    <t>Polk County</t>
  </si>
  <si>
    <t>Tryon, Town Of</t>
  </si>
  <si>
    <t>Columbus, Town Of</t>
  </si>
  <si>
    <t>Saluda, Town Of</t>
  </si>
  <si>
    <t>Randolph County</t>
  </si>
  <si>
    <t>Asheboro A.B.C. Board</t>
  </si>
  <si>
    <t>Asheboro, City Of</t>
  </si>
  <si>
    <t>Asheboro Housing Authority</t>
  </si>
  <si>
    <t>Randleman, City Of</t>
  </si>
  <si>
    <t>Randleman Housing Authority</t>
  </si>
  <si>
    <t>Randleman A.B.C. Board</t>
  </si>
  <si>
    <t>Liberty, Town Of</t>
  </si>
  <si>
    <t>Liberty A.B.C. Board</t>
  </si>
  <si>
    <t>Ramseur, Town Of</t>
  </si>
  <si>
    <t>Archdale, City Of</t>
  </si>
  <si>
    <t>Trinity, City Of</t>
  </si>
  <si>
    <t>Richmond County</t>
  </si>
  <si>
    <t>Sandhill Regional Library</t>
  </si>
  <si>
    <t>Rockingham, City Of</t>
  </si>
  <si>
    <t>Rockingham Housing Authority</t>
  </si>
  <si>
    <t>Hamlet A.B.C. Board</t>
  </si>
  <si>
    <t>Hamlet, City Of</t>
  </si>
  <si>
    <t>Rockingham A.B.C. Board</t>
  </si>
  <si>
    <t>Ellerbe, Town Of</t>
  </si>
  <si>
    <t>Robeson County</t>
  </si>
  <si>
    <t>Lumber River Council Of Governments</t>
  </si>
  <si>
    <t>Robeson County Housing Authority</t>
  </si>
  <si>
    <t>Robeson County Public Library</t>
  </si>
  <si>
    <t>Lumberton, City Of</t>
  </si>
  <si>
    <t>Lumberton A.B.C. Board</t>
  </si>
  <si>
    <t>Lumberton Airport Commission</t>
  </si>
  <si>
    <t>Fairmont, Town Of</t>
  </si>
  <si>
    <t>Fairmont Housing Authority</t>
  </si>
  <si>
    <t>St. Pauls, Town Of</t>
  </si>
  <si>
    <t>Saint Paul's A.B.C. Board</t>
  </si>
  <si>
    <t>Maxton, Town Of</t>
  </si>
  <si>
    <t>Maxton A.B.C. Board</t>
  </si>
  <si>
    <t>Pembroke, Town Of</t>
  </si>
  <si>
    <t>Pembroke Housing Authority</t>
  </si>
  <si>
    <t>Rowland, Town Of</t>
  </si>
  <si>
    <t>Red Springs, Town of</t>
  </si>
  <si>
    <t>Red Springs A.B.C. Board</t>
  </si>
  <si>
    <t>Rockingham County</t>
  </si>
  <si>
    <t>Reidsville, Town Of</t>
  </si>
  <si>
    <t>New Reidsville Housing Authority</t>
  </si>
  <si>
    <t>Reidsville A.B.C. Board</t>
  </si>
  <si>
    <t>Mayodan, Town Of</t>
  </si>
  <si>
    <t>Stoneville, Town Of</t>
  </si>
  <si>
    <t>Madison, Town Of</t>
  </si>
  <si>
    <t>Madison A.B.C. Board</t>
  </si>
  <si>
    <t>Madison-Mayodan Recreation Comm</t>
  </si>
  <si>
    <t>Eden, City Of</t>
  </si>
  <si>
    <t>Eden A.B.C. Board</t>
  </si>
  <si>
    <t>Rowan County</t>
  </si>
  <si>
    <t>Rowan County Housing Authority</t>
  </si>
  <si>
    <t>Rowan County A.B.C. Board</t>
  </si>
  <si>
    <t>Rowan Soil and Water Conservation. Dist</t>
  </si>
  <si>
    <t>Salisbury, City Of</t>
  </si>
  <si>
    <t>Salisbury Housing Authority</t>
  </si>
  <si>
    <t>East Spencer, Town Of</t>
  </si>
  <si>
    <t>East Spencer Housing Authority</t>
  </si>
  <si>
    <t>Spencer, Town Of</t>
  </si>
  <si>
    <t>China Grove, Town Of</t>
  </si>
  <si>
    <t>Landis, Town Of</t>
  </si>
  <si>
    <t>Granite Quarry, Town Of</t>
  </si>
  <si>
    <t>Rockwell, Town Of</t>
  </si>
  <si>
    <t>Faith, Town Of</t>
  </si>
  <si>
    <t>Cleveland, Town Of</t>
  </si>
  <si>
    <t>Rutherford County</t>
  </si>
  <si>
    <t>Broad River Water Authority</t>
  </si>
  <si>
    <t>Rutherford-Polk-Mc Dowell D.H.D</t>
  </si>
  <si>
    <t>Forest City A.B.C. Board</t>
  </si>
  <si>
    <t>Isothermal Planning &amp; Develop Comm</t>
  </si>
  <si>
    <t>Forest City</t>
  </si>
  <si>
    <t>Forest City Housing Authority</t>
  </si>
  <si>
    <t>Spindale, Town Of</t>
  </si>
  <si>
    <t>Lake Lure, Town Of</t>
  </si>
  <si>
    <t>Rutherfordton, Town Of</t>
  </si>
  <si>
    <t>Rutherfordton A.B.C. Board</t>
  </si>
  <si>
    <t>Ellenboro, Town Of</t>
  </si>
  <si>
    <t>Sampson County</t>
  </si>
  <si>
    <t>J.C. Holliday Memorial Library</t>
  </si>
  <si>
    <t>Clinton, City Of</t>
  </si>
  <si>
    <t>Clinton A.B.C. Board</t>
  </si>
  <si>
    <t>Salemburg, Town Of</t>
  </si>
  <si>
    <t>Newton Grove, Town Of</t>
  </si>
  <si>
    <t>Roseboro A.B.C. Board</t>
  </si>
  <si>
    <t>Garland, Town Of</t>
  </si>
  <si>
    <t>Turkey, Town Of</t>
  </si>
  <si>
    <t>Roseboro, Town Of</t>
  </si>
  <si>
    <t>Autryville, Town Of</t>
  </si>
  <si>
    <t>Scotland County</t>
  </si>
  <si>
    <t>Scotland County A.B.C. Board</t>
  </si>
  <si>
    <t>Laurinburg-Maxton Airport Commission</t>
  </si>
  <si>
    <t>Laurinburg, City Of</t>
  </si>
  <si>
    <t>Laurenburg Housing Authority</t>
  </si>
  <si>
    <t>Wagram, Town Of</t>
  </si>
  <si>
    <t>Gibson, Town Of</t>
  </si>
  <si>
    <t>Stanly County</t>
  </si>
  <si>
    <t>Albemarle, City Of</t>
  </si>
  <si>
    <t>Albemarle A.B.C. Board</t>
  </si>
  <si>
    <t>Norwood, Town Of</t>
  </si>
  <si>
    <t>Norwood A.B.C. Board</t>
  </si>
  <si>
    <t>Locust, City Of</t>
  </si>
  <si>
    <t>Oakboro, Town Of</t>
  </si>
  <si>
    <t>Badin, Town Of</t>
  </si>
  <si>
    <t>Stanfield, Town Of</t>
  </si>
  <si>
    <t>Stokes County</t>
  </si>
  <si>
    <t>Walnut Cove, Town Of</t>
  </si>
  <si>
    <t>Walnut Cove A.B.C. Board</t>
  </si>
  <si>
    <t>King, Town Of</t>
  </si>
  <si>
    <t>Surry County</t>
  </si>
  <si>
    <t>Pilot Mountain A.B.C. Board</t>
  </si>
  <si>
    <t>Yadkin Valley Sewer Authority</t>
  </si>
  <si>
    <t>Pilot Mountain, Town Of</t>
  </si>
  <si>
    <t>Dobson, Town Of</t>
  </si>
  <si>
    <t>Dobson A.B.C. Board</t>
  </si>
  <si>
    <t>Mount Airy, Town Of</t>
  </si>
  <si>
    <t>Mt. Airy Alcoholic Board Of Control</t>
  </si>
  <si>
    <t>Elkin, Town Of</t>
  </si>
  <si>
    <t>Elkin A.B.C. Board</t>
  </si>
  <si>
    <t>Swain County</t>
  </si>
  <si>
    <t>Bryson City, Town Of</t>
  </si>
  <si>
    <t>Bryson City A.B.C. Board</t>
  </si>
  <si>
    <t>Transylvania County</t>
  </si>
  <si>
    <t>Brevard, City Of</t>
  </si>
  <si>
    <t>Brevard A.B.C. Board</t>
  </si>
  <si>
    <t>Tyrrell County</t>
  </si>
  <si>
    <t>Tyrrell County A.B.C. Board</t>
  </si>
  <si>
    <t>Columbia, Town Of</t>
  </si>
  <si>
    <t>Union County</t>
  </si>
  <si>
    <t>Monroe, City Of</t>
  </si>
  <si>
    <t>Monroe Housing Authority</t>
  </si>
  <si>
    <t>Monroe A.B.C. Board</t>
  </si>
  <si>
    <t>Marshville, Town Of</t>
  </si>
  <si>
    <t>TOWN OF MINERAL SPRINGS</t>
  </si>
  <si>
    <t>Wingate, Town Of</t>
  </si>
  <si>
    <t>Waxhaw, Town Of</t>
  </si>
  <si>
    <t>Waxhaw A.B.C. Board</t>
  </si>
  <si>
    <t>Indian Trail, Town Of</t>
  </si>
  <si>
    <t>Unionville, Town of</t>
  </si>
  <si>
    <t>Weddington, Town Of</t>
  </si>
  <si>
    <t>Marvin, Village Of</t>
  </si>
  <si>
    <t>Wesley Chapel, Village Of</t>
  </si>
  <si>
    <t>Vance County</t>
  </si>
  <si>
    <t>Vance County A.B.C. Board</t>
  </si>
  <si>
    <t>Kerr-Tar Regional Council Of Governments</t>
  </si>
  <si>
    <t>Kerr-Area Transportation Authority</t>
  </si>
  <si>
    <t>Henderson, City Of</t>
  </si>
  <si>
    <t>Wake County</t>
  </si>
  <si>
    <t>Holly Springs, Town Of</t>
  </si>
  <si>
    <t>Rolesville, Town Of</t>
  </si>
  <si>
    <t>Wake County A.B.C. Board</t>
  </si>
  <si>
    <t>Morrisville, Town Of</t>
  </si>
  <si>
    <t>Wake County Housing Authority</t>
  </si>
  <si>
    <t>Bayleaf Fire Department</t>
  </si>
  <si>
    <t>Electricities Of N.C., Inc</t>
  </si>
  <si>
    <t>Raleigh, City Of</t>
  </si>
  <si>
    <t>Durham Highway Fire Protection Age</t>
  </si>
  <si>
    <t>Raleigh Housing Authority</t>
  </si>
  <si>
    <t>Raleigh-Durham Airport Authority</t>
  </si>
  <si>
    <t>Cary, Town Of</t>
  </si>
  <si>
    <t>Centennial Authority, The</t>
  </si>
  <si>
    <t>Wendell, Town Of</t>
  </si>
  <si>
    <t>Zebulon, Town Of</t>
  </si>
  <si>
    <t>Garner, Town Of</t>
  </si>
  <si>
    <t>Garner Fire Department</t>
  </si>
  <si>
    <t>Fuquay-Varina, Town Of</t>
  </si>
  <si>
    <t>Apex, Town Of</t>
  </si>
  <si>
    <t>Wake Forest, Town Of</t>
  </si>
  <si>
    <t>Knightdale, Town Of</t>
  </si>
  <si>
    <t>Warren County</t>
  </si>
  <si>
    <t>Warren County A.B.C. Board</t>
  </si>
  <si>
    <t>Norlina, Town Of</t>
  </si>
  <si>
    <t>Warrenton, Town Of</t>
  </si>
  <si>
    <t>Washington County</t>
  </si>
  <si>
    <t>Washington County A.B.C. Board</t>
  </si>
  <si>
    <t>Pettigrew Regional Library</t>
  </si>
  <si>
    <t>Plymouth, Town Of</t>
  </si>
  <si>
    <t>Plymouth Housing Authority</t>
  </si>
  <si>
    <t>Roper, Town Of</t>
  </si>
  <si>
    <t>Creswell, Town Of</t>
  </si>
  <si>
    <t>Watauga County</t>
  </si>
  <si>
    <t>Region D Council Of Governments</t>
  </si>
  <si>
    <t>Blowing Rock Tourism Development Authority</t>
  </si>
  <si>
    <t>Watauga County Tourism Develop. Auth.</t>
  </si>
  <si>
    <t>Boone, Town Of</t>
  </si>
  <si>
    <t>Blowing Rock, Town Of</t>
  </si>
  <si>
    <t>Blowing Rock A.B.C. Board</t>
  </si>
  <si>
    <t>Seven Devils, Town Of</t>
  </si>
  <si>
    <t>Wayne County</t>
  </si>
  <si>
    <t>Fork Township Sanitary District</t>
  </si>
  <si>
    <t>Eastern Carolina Reg. Housing Auth</t>
  </si>
  <si>
    <t>Wayne County A.B.C. Board</t>
  </si>
  <si>
    <t>Southern Wayne Sanitary District</t>
  </si>
  <si>
    <t>Eastern Wayne Sanitary District</t>
  </si>
  <si>
    <t>Goldsboro, City Of</t>
  </si>
  <si>
    <t>Mount Olive, Town Of</t>
  </si>
  <si>
    <t>Mount Olive Housing Authority</t>
  </si>
  <si>
    <t>Fremont, Town Of</t>
  </si>
  <si>
    <t>Pikeville, Town Of</t>
  </si>
  <si>
    <t>Walnut Creek, Village Of</t>
  </si>
  <si>
    <t>Wilkes County</t>
  </si>
  <si>
    <t>Appalachian Regional Library</t>
  </si>
  <si>
    <t>North Wilkesboro, Town Of</t>
  </si>
  <si>
    <t>North Wilkesboro A.B.C. Board</t>
  </si>
  <si>
    <t>Wilkesboro, Town Of</t>
  </si>
  <si>
    <t>Wilkesboro A.B.C. Board</t>
  </si>
  <si>
    <t>Wilson County</t>
  </si>
  <si>
    <t>Wilson County Tourism Develop. Authority</t>
  </si>
  <si>
    <t>Wilson County A.B.C. Board</t>
  </si>
  <si>
    <t>Wilson, City Of</t>
  </si>
  <si>
    <t>Wilson Economic Development Council</t>
  </si>
  <si>
    <t>City of Wilson Cemetery Commission</t>
  </si>
  <si>
    <t>Stantonsburg, Town Of</t>
  </si>
  <si>
    <t>Black Creek, Town Of</t>
  </si>
  <si>
    <t>Lucama, Town Of</t>
  </si>
  <si>
    <t>Elm City, Town Of</t>
  </si>
  <si>
    <t>Yadkin County</t>
  </si>
  <si>
    <t>Yadkinville, Town Of</t>
  </si>
  <si>
    <t>Jonesville, Town Of</t>
  </si>
  <si>
    <t>East Bend, Town Of</t>
  </si>
  <si>
    <t>Boonville, Town Of</t>
  </si>
  <si>
    <t>N.C. Association Of County Comm</t>
  </si>
  <si>
    <t>N.C. League Of Municipalities</t>
  </si>
  <si>
    <t>TOTAL</t>
  </si>
  <si>
    <t>GASB 68 Entries - LGERS</t>
  </si>
  <si>
    <t>Agency Name (select from drop-down list)</t>
  </si>
  <si>
    <t>Net Pension Liability</t>
  </si>
  <si>
    <t>debit</t>
  </si>
  <si>
    <t>credit</t>
  </si>
  <si>
    <t>Deferred Outflow - Measurement Period Contributions</t>
  </si>
  <si>
    <r>
      <t xml:space="preserve">Entry for Conversion worksheet to record proportionate share of net pensions liability, pension expense, and deferred outflows and deferred inflows of resources related to pensions.  (Entry </t>
    </r>
    <r>
      <rPr>
        <b/>
        <sz val="10"/>
        <rFont val="Times New Roman"/>
        <family val="1"/>
      </rPr>
      <t>N1</t>
    </r>
    <r>
      <rPr>
        <b/>
        <sz val="10"/>
        <rFont val="Arial"/>
        <family val="2"/>
      </rPr>
      <t>)</t>
    </r>
  </si>
  <si>
    <t>Governmental Activities allocation percentage</t>
  </si>
  <si>
    <t>County Name</t>
  </si>
  <si>
    <t>GASB 68 Entries - ROD</t>
  </si>
  <si>
    <t>Select your county from the drop down list in the highlighted cell.</t>
  </si>
  <si>
    <r>
      <t xml:space="preserve">Entry for Conversion worksheet to record proportionate share of net pensions liability, pension expense, and deferred outflows and deferred inflows of resources related to pensions.  (Entry </t>
    </r>
    <r>
      <rPr>
        <b/>
        <sz val="10"/>
        <rFont val="Times New Roman"/>
        <family val="1"/>
      </rPr>
      <t>N2</t>
    </r>
    <r>
      <rPr>
        <b/>
        <sz val="10"/>
        <rFont val="Arial"/>
        <family val="2"/>
      </rPr>
      <t>)</t>
    </r>
  </si>
  <si>
    <t>GASB 68 Entries - FRSWPF</t>
  </si>
  <si>
    <t>This worksheet prepares the journal entry to record the entity's proportionate share of the net pension expense and related revenue of the Firefighters' and Rescue Squad Workers' Pension Fund (FRSWPF) in accordance with GASB 68.  Note that the FRSWPF is a special funding situation in which the State makes contributions on behalf of employers participating in the plan, and that the employers therefore record no pension liability, deferred outlfows, or deferred inflows.  Participating employers should record their proportionate share of the pension expense and the related revenue for the support provided by the State.</t>
  </si>
  <si>
    <t xml:space="preserve">     Revenue - Support from the State</t>
  </si>
  <si>
    <r>
      <t xml:space="preserve">Entry for Conversion worksheet to record proportionate share of net pension expense and revenue related to support received from the State.  (Entry </t>
    </r>
    <r>
      <rPr>
        <b/>
        <sz val="10"/>
        <rFont val="Times New Roman"/>
        <family val="1"/>
      </rPr>
      <t>N3</t>
    </r>
    <r>
      <rPr>
        <b/>
        <sz val="10"/>
        <rFont val="Arial"/>
        <family val="2"/>
      </rPr>
      <t>)</t>
    </r>
  </si>
  <si>
    <t>Pensions - Current Year Contributions</t>
  </si>
  <si>
    <t>Deferred Outflows for LGERS pension contributions made during the year.</t>
  </si>
  <si>
    <t>What is the allocation percentage for governmental activities?</t>
  </si>
  <si>
    <t>Deferred Outflows for ROD pension contributions made during the year.</t>
  </si>
  <si>
    <t>Deferred outflows - pensions</t>
  </si>
  <si>
    <t>N.1</t>
  </si>
  <si>
    <t>N.2</t>
  </si>
  <si>
    <t>N.3</t>
  </si>
  <si>
    <t>Enterprise Funds - pension allocation percentage</t>
  </si>
  <si>
    <t>Total (should = 100%)</t>
  </si>
  <si>
    <t>General Government allocation percentage</t>
  </si>
  <si>
    <t>Public Safety allocation percentage</t>
  </si>
  <si>
    <t>Transportation allocation percentage</t>
  </si>
  <si>
    <t>Economic and Physical Development allocation percentage</t>
  </si>
  <si>
    <t>Enviromental Protection allocation percentage</t>
  </si>
  <si>
    <t>Human Services allocation percentage</t>
  </si>
  <si>
    <t>Cultural and Recreation allocation percentage</t>
  </si>
  <si>
    <t>Education allocation percentage</t>
  </si>
  <si>
    <t>Other program 1 allocation percentage</t>
  </si>
  <si>
    <t>(percentages entered in this section should be percentages of the whole government, not percentages of the Governmental Activities)</t>
  </si>
  <si>
    <t>Total (should = Governmental Activities Allocation)</t>
  </si>
  <si>
    <t>Pension Expense - Governmental Activities</t>
  </si>
  <si>
    <t>Pension Expense - Public Safety</t>
  </si>
  <si>
    <t>Pension Expense - Transportation</t>
  </si>
  <si>
    <t>Pension Expense - Economic and Physical Development</t>
  </si>
  <si>
    <t>Pension Expense - Environmental Protection</t>
  </si>
  <si>
    <t>Pension Expense - Cultural and Recreation</t>
  </si>
  <si>
    <t>Pension Expense - Other program 1</t>
  </si>
  <si>
    <t>Working Subtotal</t>
  </si>
  <si>
    <t>Work Section for Conversion entry N1</t>
  </si>
  <si>
    <t>Work Section for Conversion entry N2</t>
  </si>
  <si>
    <t>Enter the appropriate allocations</t>
  </si>
  <si>
    <t>Entry to reclassify out of pension expense and into deferred outflows - pensions</t>
  </si>
  <si>
    <t>From J</t>
  </si>
  <si>
    <t>Enter the number of your FRSWPF plan eligible employees for the current fiscal year</t>
  </si>
  <si>
    <t>Current fiscal year FRSWPF eligible employees</t>
  </si>
  <si>
    <t>Current fiscal year FRSWPF pension expense per eligible employee</t>
  </si>
  <si>
    <t>K. 1-3</t>
  </si>
  <si>
    <t xml:space="preserve">Contributions made to the LGERS pension plan on the full accrual basis subsequent to the measurement date are presented as deferred outflows of resources.  The contributions made for the current fiscal year should be allocated among all applicable functions or departments.  </t>
  </si>
  <si>
    <t>What is the amount of contributions made to LGERS for the curernt fiscal year?</t>
  </si>
  <si>
    <t>What is the amount of contributions made to ROD in the current fiscal year?</t>
  </si>
  <si>
    <t xml:space="preserve">What is the addition to the LEO net pension obligation for the year?   </t>
  </si>
  <si>
    <t>Mebane</t>
  </si>
  <si>
    <t>Additional Agency Name (if applicable)</t>
  </si>
  <si>
    <t>No additional agency chosen</t>
  </si>
  <si>
    <t>Current Proportional Share</t>
  </si>
  <si>
    <t>Prior Proportional Share</t>
  </si>
  <si>
    <t>Change in Proportional Share</t>
  </si>
  <si>
    <t>ORBIT Unit Contributions to Plan in Measurement Year</t>
  </si>
  <si>
    <t>Net Pension Liability BOY</t>
  </si>
  <si>
    <t>Net Pension Liability EOY</t>
  </si>
  <si>
    <t>Total Employer Pension Expense*</t>
  </si>
  <si>
    <t>CURRENT YEAR</t>
  </si>
  <si>
    <t>Total All Employer Agencies</t>
  </si>
  <si>
    <t>PRIOR YEAR</t>
  </si>
  <si>
    <t>Net Pension Asset</t>
  </si>
  <si>
    <t>Deferred Outlfow - Net Difference Between Projected and Actual Investment Earnings on Plan Investments - All Years</t>
  </si>
  <si>
    <t>AVERY COUNTY FIRE COMMISSION</t>
  </si>
  <si>
    <t>DUPLIN COUNTY TOURISM DEVELOPMENT AUTHORITY</t>
  </si>
  <si>
    <t>Aberdeen</t>
  </si>
  <si>
    <t>Ahoskie</t>
  </si>
  <si>
    <t>Alamance</t>
  </si>
  <si>
    <t>Albemarle</t>
  </si>
  <si>
    <t>Andrews</t>
  </si>
  <si>
    <t>Angier</t>
  </si>
  <si>
    <t>Ansonville</t>
  </si>
  <si>
    <t>Apex</t>
  </si>
  <si>
    <t>Archdale</t>
  </si>
  <si>
    <t>Archer Lodge</t>
  </si>
  <si>
    <t>Asheboro</t>
  </si>
  <si>
    <t>Asheville</t>
  </si>
  <si>
    <t>Atlantic Beach</t>
  </si>
  <si>
    <t>Aulander</t>
  </si>
  <si>
    <t>Aurora</t>
  </si>
  <si>
    <t>Autryville</t>
  </si>
  <si>
    <t>Ayden</t>
  </si>
  <si>
    <t>Badin</t>
  </si>
  <si>
    <t>Bailey</t>
  </si>
  <si>
    <t>Bakersville</t>
  </si>
  <si>
    <t>Bald Head Island</t>
  </si>
  <si>
    <t>Banner Elk</t>
  </si>
  <si>
    <t>Bayboro</t>
  </si>
  <si>
    <t>Beaufort</t>
  </si>
  <si>
    <t>Beech Mountain</t>
  </si>
  <si>
    <t>Belhaven</t>
  </si>
  <si>
    <t>Belmont</t>
  </si>
  <si>
    <t>Belville</t>
  </si>
  <si>
    <t>Benson</t>
  </si>
  <si>
    <t>Bermuda Run</t>
  </si>
  <si>
    <t>Bessemer City</t>
  </si>
  <si>
    <t>Bessemer City ABC Board</t>
  </si>
  <si>
    <t>Bethel</t>
  </si>
  <si>
    <t>Beulaville</t>
  </si>
  <si>
    <t>Biltmore Forest</t>
  </si>
  <si>
    <t>Biscoe</t>
  </si>
  <si>
    <t>Black Creek</t>
  </si>
  <si>
    <t>Black Mountain</t>
  </si>
  <si>
    <t>Bladenboro</t>
  </si>
  <si>
    <t>Blowing Rock</t>
  </si>
  <si>
    <t>Boiling Springs</t>
  </si>
  <si>
    <t>Bolton</t>
  </si>
  <si>
    <t>Boone</t>
  </si>
  <si>
    <t>Boonville</t>
  </si>
  <si>
    <t>Brevard</t>
  </si>
  <si>
    <t>Bridgeton</t>
  </si>
  <si>
    <t>Broadway</t>
  </si>
  <si>
    <t>Brookford</t>
  </si>
  <si>
    <t>Brunswick</t>
  </si>
  <si>
    <t>Bryson City</t>
  </si>
  <si>
    <t>Bunn</t>
  </si>
  <si>
    <t>Burgaw</t>
  </si>
  <si>
    <t>Burlington</t>
  </si>
  <si>
    <t>Burnsville</t>
  </si>
  <si>
    <t>Butner</t>
  </si>
  <si>
    <t>Calabash</t>
  </si>
  <si>
    <t>Calypso</t>
  </si>
  <si>
    <t>Cameron</t>
  </si>
  <si>
    <t>Candor</t>
  </si>
  <si>
    <t>Canton</t>
  </si>
  <si>
    <t>Cape Carteret</t>
  </si>
  <si>
    <t>Carolina Beach</t>
  </si>
  <si>
    <t>Carolina Shores</t>
  </si>
  <si>
    <t>Carrboro</t>
  </si>
  <si>
    <t>Carthage</t>
  </si>
  <si>
    <t>Cary</t>
  </si>
  <si>
    <t>Caswell Beach</t>
  </si>
  <si>
    <t>Catawba</t>
  </si>
  <si>
    <t>Cedar Point</t>
  </si>
  <si>
    <t>Chadbourn</t>
  </si>
  <si>
    <t>Chapel Hill</t>
  </si>
  <si>
    <t>Charlotte</t>
  </si>
  <si>
    <t>Cherryville</t>
  </si>
  <si>
    <t>China Grove</t>
  </si>
  <si>
    <t>Chocowinity</t>
  </si>
  <si>
    <t>Claremont</t>
  </si>
  <si>
    <t>Clarkton</t>
  </si>
  <si>
    <t>Clayton</t>
  </si>
  <si>
    <t>Clemmons</t>
  </si>
  <si>
    <t>Cleveland</t>
  </si>
  <si>
    <t>Clinton</t>
  </si>
  <si>
    <t>Coats</t>
  </si>
  <si>
    <t>Cofield</t>
  </si>
  <si>
    <t>Colerain</t>
  </si>
  <si>
    <t>Columbia</t>
  </si>
  <si>
    <t>Columbus</t>
  </si>
  <si>
    <t>Concord</t>
  </si>
  <si>
    <t>Connelly Springs</t>
  </si>
  <si>
    <t>Conover</t>
  </si>
  <si>
    <t>Conway</t>
  </si>
  <si>
    <t>Cooleemee</t>
  </si>
  <si>
    <t>Cornelius</t>
  </si>
  <si>
    <t>Cove City</t>
  </si>
  <si>
    <t>Cramerton</t>
  </si>
  <si>
    <t>Creedmoor</t>
  </si>
  <si>
    <t>Creswell</t>
  </si>
  <si>
    <t>Dallas</t>
  </si>
  <si>
    <t>Davidson</t>
  </si>
  <si>
    <t>Denton</t>
  </si>
  <si>
    <t>Dobson</t>
  </si>
  <si>
    <t>Drexel</t>
  </si>
  <si>
    <t>Duck</t>
  </si>
  <si>
    <t>Dunn</t>
  </si>
  <si>
    <t>Duplin County Tourism Development Authority</t>
  </si>
  <si>
    <t>Durham</t>
  </si>
  <si>
    <t>East Bend</t>
  </si>
  <si>
    <t>East Spencer</t>
  </si>
  <si>
    <t>Eastover</t>
  </si>
  <si>
    <t>Eden</t>
  </si>
  <si>
    <t>Edenton</t>
  </si>
  <si>
    <t>Elizabethtown</t>
  </si>
  <si>
    <t>Elk Park</t>
  </si>
  <si>
    <t>Elkin</t>
  </si>
  <si>
    <t>Ellenboro</t>
  </si>
  <si>
    <t>Ellerbe</t>
  </si>
  <si>
    <t>Elm City</t>
  </si>
  <si>
    <t>Emerald Isle</t>
  </si>
  <si>
    <t>Enfield</t>
  </si>
  <si>
    <t>Erwin</t>
  </si>
  <si>
    <t>Fair Bluff</t>
  </si>
  <si>
    <t>Fairmont</t>
  </si>
  <si>
    <t>Faison</t>
  </si>
  <si>
    <t>Faith</t>
  </si>
  <si>
    <t>Falcon</t>
  </si>
  <si>
    <t>Farmville</t>
  </si>
  <si>
    <t>Fayetteville</t>
  </si>
  <si>
    <t>Flat Rock</t>
  </si>
  <si>
    <t>Fletcher</t>
  </si>
  <si>
    <t>Four Oaks</t>
  </si>
  <si>
    <t>Franklin</t>
  </si>
  <si>
    <t>Franklinton</t>
  </si>
  <si>
    <t>Fremont</t>
  </si>
  <si>
    <t>Fuquay-Varina</t>
  </si>
  <si>
    <t>Garland</t>
  </si>
  <si>
    <t>Garner</t>
  </si>
  <si>
    <t>Garysburg</t>
  </si>
  <si>
    <t>Gaston</t>
  </si>
  <si>
    <t>Gastonia</t>
  </si>
  <si>
    <t>Gibson</t>
  </si>
  <si>
    <t>Gibsonville</t>
  </si>
  <si>
    <t>Glen Alpine</t>
  </si>
  <si>
    <t>Goldsboro</t>
  </si>
  <si>
    <t>Graham</t>
  </si>
  <si>
    <t>Granite Falls</t>
  </si>
  <si>
    <t>Granite Quarry</t>
  </si>
  <si>
    <t>Green Level</t>
  </si>
  <si>
    <t>Greensboro</t>
  </si>
  <si>
    <t>Greenville</t>
  </si>
  <si>
    <t>Grifton</t>
  </si>
  <si>
    <t>Grimesland</t>
  </si>
  <si>
    <t>Grover</t>
  </si>
  <si>
    <t>Guilford County</t>
  </si>
  <si>
    <t>Hamilton</t>
  </si>
  <si>
    <t>Hamlet</t>
  </si>
  <si>
    <t>Harrisburg</t>
  </si>
  <si>
    <t>Havelock</t>
  </si>
  <si>
    <t>Haw River</t>
  </si>
  <si>
    <t>Henderson</t>
  </si>
  <si>
    <t>Hendersonville</t>
  </si>
  <si>
    <t>Hertford</t>
  </si>
  <si>
    <t>Hickory</t>
  </si>
  <si>
    <t>Highlands</t>
  </si>
  <si>
    <t>Hillsborough</t>
  </si>
  <si>
    <t>Hobgood</t>
  </si>
  <si>
    <t>Holden Beach</t>
  </si>
  <si>
    <t>Holly Ridge</t>
  </si>
  <si>
    <t>Holly Springs</t>
  </si>
  <si>
    <t>Hookerton</t>
  </si>
  <si>
    <t>Hope Mills</t>
  </si>
  <si>
    <t>Hudson</t>
  </si>
  <si>
    <t>Huntersville</t>
  </si>
  <si>
    <t>Indian Beach</t>
  </si>
  <si>
    <t>Indian Trail</t>
  </si>
  <si>
    <t>Jackson</t>
  </si>
  <si>
    <t>Jacksonville</t>
  </si>
  <si>
    <t>Jamestown</t>
  </si>
  <si>
    <t>Jamesville</t>
  </si>
  <si>
    <t>Jefferson</t>
  </si>
  <si>
    <t>Jonesville</t>
  </si>
  <si>
    <t>Kannapolis</t>
  </si>
  <si>
    <t>Kenansville</t>
  </si>
  <si>
    <t>Kenly</t>
  </si>
  <si>
    <t>Kernersville</t>
  </si>
  <si>
    <t>Kill Devil Hills</t>
  </si>
  <si>
    <t>King</t>
  </si>
  <si>
    <t>Kinston</t>
  </si>
  <si>
    <t>Kitty Hawk</t>
  </si>
  <si>
    <t>Knightdale</t>
  </si>
  <si>
    <t>Kure Beach</t>
  </si>
  <si>
    <t>Lagrange</t>
  </si>
  <si>
    <t>Lake Lure</t>
  </si>
  <si>
    <t>Landis</t>
  </si>
  <si>
    <t>Laurel Park</t>
  </si>
  <si>
    <t>Laurinburg</t>
  </si>
  <si>
    <t>Lawndale</t>
  </si>
  <si>
    <t>Leland</t>
  </si>
  <si>
    <t>Lenoir</t>
  </si>
  <si>
    <t>Lewisville</t>
  </si>
  <si>
    <t>Lexington</t>
  </si>
  <si>
    <t>Liberty</t>
  </si>
  <si>
    <t>Lilesville</t>
  </si>
  <si>
    <t>Lillington</t>
  </si>
  <si>
    <t>Lincolnton</t>
  </si>
  <si>
    <t>Linden</t>
  </si>
  <si>
    <t>Littleton</t>
  </si>
  <si>
    <t>Locust</t>
  </si>
  <si>
    <t>Louisburg</t>
  </si>
  <si>
    <t>Lowell</t>
  </si>
  <si>
    <t>Lucama</t>
  </si>
  <si>
    <t>Lumberton</t>
  </si>
  <si>
    <t>Macclesfield</t>
  </si>
  <si>
    <t>Madison</t>
  </si>
  <si>
    <t>Maggie Valley</t>
  </si>
  <si>
    <t>Magnolia</t>
  </si>
  <si>
    <t>Maiden</t>
  </si>
  <si>
    <t>Manteo</t>
  </si>
  <si>
    <t>Marion</t>
  </si>
  <si>
    <t>Mars Hill</t>
  </si>
  <si>
    <t>Marshall</t>
  </si>
  <si>
    <t>Marshville</t>
  </si>
  <si>
    <t>Marvin</t>
  </si>
  <si>
    <t>Matthews</t>
  </si>
  <si>
    <t>Maxton</t>
  </si>
  <si>
    <t>Mayodan</t>
  </si>
  <si>
    <t>Maysville</t>
  </si>
  <si>
    <t>Mcadenville</t>
  </si>
  <si>
    <t>Micro</t>
  </si>
  <si>
    <t>Middlesex</t>
  </si>
  <si>
    <t>Midland</t>
  </si>
  <si>
    <t>Midway</t>
  </si>
  <si>
    <t>Mills River</t>
  </si>
  <si>
    <t>Mineral Springs</t>
  </si>
  <si>
    <t>Mint Hill</t>
  </si>
  <si>
    <t>Misenheimer</t>
  </si>
  <si>
    <t>Mocksville</t>
  </si>
  <si>
    <t>Monroe</t>
  </si>
  <si>
    <t>Montreat</t>
  </si>
  <si>
    <t>Mooresville</t>
  </si>
  <si>
    <t>Morehead City</t>
  </si>
  <si>
    <t>Morganton</t>
  </si>
  <si>
    <t>Morrisville</t>
  </si>
  <si>
    <t>Morven</t>
  </si>
  <si>
    <t>Mount Gilead</t>
  </si>
  <si>
    <t>Mount Olive</t>
  </si>
  <si>
    <t>Mount Pleasant</t>
  </si>
  <si>
    <t>Murfreesboro</t>
  </si>
  <si>
    <t>Murphy</t>
  </si>
  <si>
    <t>Nags Head</t>
  </si>
  <si>
    <t>Nashville</t>
  </si>
  <si>
    <t>Navassa</t>
  </si>
  <si>
    <t>Newland</t>
  </si>
  <si>
    <t>Newport</t>
  </si>
  <si>
    <t>Newton</t>
  </si>
  <si>
    <t>Newton Grove</t>
  </si>
  <si>
    <t>Norlina</t>
  </si>
  <si>
    <t>North Topsail Beach</t>
  </si>
  <si>
    <t>North Wilkesboro</t>
  </si>
  <si>
    <t>Northwest</t>
  </si>
  <si>
    <t>Norwood</t>
  </si>
  <si>
    <t>Oak City</t>
  </si>
  <si>
    <t>Oak Island</t>
  </si>
  <si>
    <t>Oak Ridge</t>
  </si>
  <si>
    <t>Oakboro</t>
  </si>
  <si>
    <t>Ocean Isle Beach</t>
  </si>
  <si>
    <t>Old Fort</t>
  </si>
  <si>
    <t>Oriental</t>
  </si>
  <si>
    <t>Oxford</t>
  </si>
  <si>
    <t>Peachland</t>
  </si>
  <si>
    <t>Pembroke</t>
  </si>
  <si>
    <t>Pikeville</t>
  </si>
  <si>
    <t>Pilot Mountain</t>
  </si>
  <si>
    <t>Pine Knoll Shores</t>
  </si>
  <si>
    <t>Pine Level</t>
  </si>
  <si>
    <t>Pinebluff</t>
  </si>
  <si>
    <t>Pinehurst</t>
  </si>
  <si>
    <t>Pinetops</t>
  </si>
  <si>
    <t>Pineville</t>
  </si>
  <si>
    <t>Pink Hill</t>
  </si>
  <si>
    <t>Pittsboro</t>
  </si>
  <si>
    <t>Plymouth</t>
  </si>
  <si>
    <t>Polkton</t>
  </si>
  <si>
    <t>Pollocksville</t>
  </si>
  <si>
    <t>Princeton</t>
  </si>
  <si>
    <t>Princeville</t>
  </si>
  <si>
    <t>Raeford</t>
  </si>
  <si>
    <t>Raleigh</t>
  </si>
  <si>
    <t>Ramseur</t>
  </si>
  <si>
    <t>Randleman</t>
  </si>
  <si>
    <t>Ranlo</t>
  </si>
  <si>
    <t>Red Springs</t>
  </si>
  <si>
    <t>Reidsville</t>
  </si>
  <si>
    <t>Rich Square</t>
  </si>
  <si>
    <t>Richlands</t>
  </si>
  <si>
    <t>River Bend</t>
  </si>
  <si>
    <t>Robbins</t>
  </si>
  <si>
    <t>Robbinsville</t>
  </si>
  <si>
    <t>Robersonville</t>
  </si>
  <si>
    <t>Rockingham</t>
  </si>
  <si>
    <t>Rockwell</t>
  </si>
  <si>
    <t>Rolesville</t>
  </si>
  <si>
    <t>Roper</t>
  </si>
  <si>
    <t>Rose Hill</t>
  </si>
  <si>
    <t>Roseboro</t>
  </si>
  <si>
    <t>Rowland</t>
  </si>
  <si>
    <t>Roxboro</t>
  </si>
  <si>
    <t>Rural Hall</t>
  </si>
  <si>
    <t>Rutherford College</t>
  </si>
  <si>
    <t>Rutherfordton</t>
  </si>
  <si>
    <t>Salemburg</t>
  </si>
  <si>
    <t>Salisbury</t>
  </si>
  <si>
    <t>Saluda</t>
  </si>
  <si>
    <t>Sanford</t>
  </si>
  <si>
    <t>Sawmills</t>
  </si>
  <si>
    <t>Scotland Neck</t>
  </si>
  <si>
    <t>Seaboard</t>
  </si>
  <si>
    <t>Selma</t>
  </si>
  <si>
    <t>Seven Devils</t>
  </si>
  <si>
    <t>Severn</t>
  </si>
  <si>
    <t>Shallotte</t>
  </si>
  <si>
    <t>Sharpsburg</t>
  </si>
  <si>
    <t>Shelby</t>
  </si>
  <si>
    <t>Siler City</t>
  </si>
  <si>
    <t>Simpson</t>
  </si>
  <si>
    <t>Smithfield</t>
  </si>
  <si>
    <t>Snow Hill</t>
  </si>
  <si>
    <t>Southern Pines</t>
  </si>
  <si>
    <t>Southern Shores</t>
  </si>
  <si>
    <t>Southport</t>
  </si>
  <si>
    <t>Sparta</t>
  </si>
  <si>
    <t>Spencer</t>
  </si>
  <si>
    <t>Spindale</t>
  </si>
  <si>
    <t>Spring Hope</t>
  </si>
  <si>
    <t>Spring Lake</t>
  </si>
  <si>
    <t>Spruce Pine</t>
  </si>
  <si>
    <t>Stallings</t>
  </si>
  <si>
    <t>Stanfield</t>
  </si>
  <si>
    <t>Stanley</t>
  </si>
  <si>
    <t>Stantonsburg</t>
  </si>
  <si>
    <t>Star</t>
  </si>
  <si>
    <t>Statesville</t>
  </si>
  <si>
    <t>Stedman</t>
  </si>
  <si>
    <t>Stoneville</t>
  </si>
  <si>
    <t>Stovall</t>
  </si>
  <si>
    <t>Sugar Mountain</t>
  </si>
  <si>
    <t>Summerfield</t>
  </si>
  <si>
    <t>Sunset Beach</t>
  </si>
  <si>
    <t>Swansboro</t>
  </si>
  <si>
    <t>Sylva</t>
  </si>
  <si>
    <t>Tabor City</t>
  </si>
  <si>
    <t>Tarboro</t>
  </si>
  <si>
    <t>Taylorsville</t>
  </si>
  <si>
    <t>Taylortown</t>
  </si>
  <si>
    <t>Teachey</t>
  </si>
  <si>
    <t>Thomasville</t>
  </si>
  <si>
    <t>Tobaccoville</t>
  </si>
  <si>
    <t>Topsail Beach</t>
  </si>
  <si>
    <t>Trent Woods</t>
  </si>
  <si>
    <t>Trinity</t>
  </si>
  <si>
    <t>Troutman</t>
  </si>
  <si>
    <t>Troy</t>
  </si>
  <si>
    <t>Tryon</t>
  </si>
  <si>
    <t>Turkey</t>
  </si>
  <si>
    <t>Unionville</t>
  </si>
  <si>
    <t>Valdese</t>
  </si>
  <si>
    <t>Vanceboro</t>
  </si>
  <si>
    <t>Vass</t>
  </si>
  <si>
    <t>Wade</t>
  </si>
  <si>
    <t>Wadesboro</t>
  </si>
  <si>
    <t>Wagram</t>
  </si>
  <si>
    <t>Wake Forest</t>
  </si>
  <si>
    <t>Walkertown</t>
  </si>
  <si>
    <t>Wallace</t>
  </si>
  <si>
    <t>Walnut Cove</t>
  </si>
  <si>
    <t>Walnut Creek</t>
  </si>
  <si>
    <t>Walstonburg</t>
  </si>
  <si>
    <t>Warrenton</t>
  </si>
  <si>
    <t>Warsaw</t>
  </si>
  <si>
    <t>Washington</t>
  </si>
  <si>
    <t>Washington Park</t>
  </si>
  <si>
    <t>Waxhaw</t>
  </si>
  <si>
    <t>Waynesville</t>
  </si>
  <si>
    <t>Weaverville</t>
  </si>
  <si>
    <t>Weddington</t>
  </si>
  <si>
    <t>Weldon</t>
  </si>
  <si>
    <t>Wendell</t>
  </si>
  <si>
    <t>Wesley Chapel</t>
  </si>
  <si>
    <t>West Jefferson</t>
  </si>
  <si>
    <t>Western Highland Area Authority</t>
  </si>
  <si>
    <t>Whispering Pines</t>
  </si>
  <si>
    <t>Whitakers</t>
  </si>
  <si>
    <t>White Lake</t>
  </si>
  <si>
    <t>Whiteville</t>
  </si>
  <si>
    <t>Wilkesboro</t>
  </si>
  <si>
    <t>Williamston</t>
  </si>
  <si>
    <t>Wilmington</t>
  </si>
  <si>
    <t>Wilson</t>
  </si>
  <si>
    <t>Windsor</t>
  </si>
  <si>
    <t>Winfall</t>
  </si>
  <si>
    <t>Wingate</t>
  </si>
  <si>
    <t>Winston-Salem</t>
  </si>
  <si>
    <t>Winterville</t>
  </si>
  <si>
    <t>Winton</t>
  </si>
  <si>
    <t>Woodfin</t>
  </si>
  <si>
    <t>Woodland</t>
  </si>
  <si>
    <t>Wrightsville Beach</t>
  </si>
  <si>
    <t>Yadkinville</t>
  </si>
  <si>
    <t>Yanceyville</t>
  </si>
  <si>
    <t>Youngsville</t>
  </si>
  <si>
    <t>Zebulon</t>
  </si>
  <si>
    <t>YADKIN</t>
  </si>
  <si>
    <t>COUNTY</t>
  </si>
  <si>
    <t>CY Contributions</t>
  </si>
  <si>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</si>
  <si>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</si>
  <si>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</si>
  <si>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</si>
  <si>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</si>
  <si>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</si>
  <si>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</si>
  <si>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</si>
  <si>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</si>
  <si>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</si>
  <si>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</si>
  <si>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</si>
  <si>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</si>
  <si>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</si>
  <si>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</si>
  <si>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</si>
  <si>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</si>
  <si>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</si>
  <si>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</si>
  <si>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</si>
  <si>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</si>
  <si>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</si>
  <si>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</si>
  <si>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</si>
  <si>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</si>
  <si>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</si>
  <si>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</si>
  <si>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</si>
  <si>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</si>
  <si>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</si>
  <si>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</si>
  <si>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</si>
  <si>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</si>
  <si>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</si>
  <si>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</si>
  <si>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</si>
  <si>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</si>
  <si>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</si>
  <si>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</si>
  <si>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</si>
  <si>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</si>
  <si>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</si>
  <si>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</si>
  <si>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 CO</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</si>
  <si>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</si>
  <si>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</si>
  <si>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</si>
  <si>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</si>
  <si>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</si>
  <si>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</si>
  <si>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</si>
  <si>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</si>
  <si>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</si>
  <si>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</si>
  <si>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</si>
  <si>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</si>
  <si>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</si>
  <si>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</si>
  <si>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</si>
  <si>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</si>
  <si>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</si>
  <si>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</si>
  <si>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</si>
  <si>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</si>
  <si>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</si>
  <si>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</si>
  <si>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</si>
  <si>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</si>
  <si>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</si>
  <si>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</si>
  <si>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</si>
  <si>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</si>
  <si>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</si>
  <si>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</si>
  <si>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</si>
  <si>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</si>
  <si>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</si>
  <si>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</si>
  <si>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</si>
  <si>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</si>
  <si>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</si>
  <si>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</si>
  <si>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</si>
  <si>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</si>
  <si>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</si>
  <si>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</si>
  <si>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</si>
  <si>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</si>
  <si>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</si>
  <si>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</si>
  <si>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</si>
  <si>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</si>
  <si>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</si>
  <si>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</si>
  <si>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</si>
  <si>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</si>
  <si>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</si>
  <si>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</si>
  <si>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YANCEY</t>
  </si>
  <si>
    <t>Net pension asset - LGERS</t>
  </si>
  <si>
    <t>Net pension asset - ROD</t>
  </si>
  <si>
    <t>Net pension liability - LGERS</t>
  </si>
  <si>
    <t>Net pension obligation - LEO</t>
  </si>
  <si>
    <t>Deferred outflows - pensions - ROD</t>
  </si>
  <si>
    <t>Deferred outflows - pensions - LGERS</t>
  </si>
  <si>
    <t>Adjustment to Beginning Fund Equity for Pension Accts</t>
  </si>
  <si>
    <t>Capital Assets, Long-term Debt</t>
  </si>
  <si>
    <t>Carolina County</t>
  </si>
  <si>
    <t>9xxxy</t>
  </si>
  <si>
    <t>CAROLINA COUNTY</t>
  </si>
  <si>
    <t>Net Pension obligation (LEO)</t>
  </si>
  <si>
    <t>source : LGERS GASB 68 FYE2017 - Client</t>
  </si>
  <si>
    <t>Contributions - July 1, 2015 through June 30, 2016</t>
  </si>
  <si>
    <t>Net Pension Liability - Beginning of the Year</t>
  </si>
  <si>
    <t>THE EASTERN BAND OF CHEROKEE INDIANS</t>
  </si>
  <si>
    <t>VILLAGE OF MISENHEIMER</t>
  </si>
  <si>
    <t>PIEDMONT TRIAD AIRPORT AUTHORITY</t>
  </si>
  <si>
    <t>TOWN OF SPARTA</t>
  </si>
  <si>
    <t>YANCEY COUNTY</t>
  </si>
  <si>
    <t>YANCEY SOIL &amp; WATER CONS</t>
  </si>
  <si>
    <t>TOWN OF BURNSVILLE</t>
  </si>
  <si>
    <t>MARTIN-TYRRELL-WASHINGTON DIST HEALTH DEPT</t>
  </si>
  <si>
    <t>ALBEMARLE REGIONAL HEALTH SERVICES</t>
  </si>
  <si>
    <t>TOE RIVER HEALTH DISTRICT</t>
  </si>
  <si>
    <t>APPALACHIAN DISTRICT HEALTH DEPT</t>
  </si>
  <si>
    <t>ALAMANCE COUNTY</t>
  </si>
  <si>
    <t>CITY OF BURLINGTON</t>
  </si>
  <si>
    <t>CITY OF MEBANE</t>
  </si>
  <si>
    <t>ALAMANCE MUNICIPAL ABC BOARD</t>
  </si>
  <si>
    <t>CITY OF GRAHAM</t>
  </si>
  <si>
    <t>TOWN OF ELON</t>
  </si>
  <si>
    <t>TOWN OF HAW RIVER</t>
  </si>
  <si>
    <t>VILLAGE OF ALAMANCE</t>
  </si>
  <si>
    <t>TOWN OF GREEN LEVEL</t>
  </si>
  <si>
    <t>ALEXANDER COUNTY</t>
  </si>
  <si>
    <t>ALEXANDER COUNTY HEALTH DEPT</t>
  </si>
  <si>
    <t>ALEXANDER COUNTY PUBLIC LIBRARY</t>
  </si>
  <si>
    <t>ALEXANDER COUNTY DEPT OF S S</t>
  </si>
  <si>
    <t>TOWN OF TAYLORSVILLE</t>
  </si>
  <si>
    <t>ALLEGHANY COUNTY</t>
  </si>
  <si>
    <t>NORTHWESTERN REGIONAL LIBRARY</t>
  </si>
  <si>
    <t>TOWN OF SPARTA ABC BOARD</t>
  </si>
  <si>
    <t>ANSON COUNTY</t>
  </si>
  <si>
    <t>TOWN OF WADESBORO</t>
  </si>
  <si>
    <t>WADESBORO HOUSING AUTHORITY</t>
  </si>
  <si>
    <t>WADESBORO ABC BOARD</t>
  </si>
  <si>
    <t>TOWN OF LILESVILLE</t>
  </si>
  <si>
    <t>TOWN OF POLKTON</t>
  </si>
  <si>
    <t>TOWN OF PEACHLAND</t>
  </si>
  <si>
    <t>TOWN OF ANSONVILLE</t>
  </si>
  <si>
    <t>TOWN OF MORVEN</t>
  </si>
  <si>
    <t>ASHE COUNTY</t>
  </si>
  <si>
    <t>TOWN OF JEFFERSON</t>
  </si>
  <si>
    <t>TOWN OF WEST JEFFERSON</t>
  </si>
  <si>
    <t>AVERY COUNTY</t>
  </si>
  <si>
    <t>AVERY-MITCHELL-YANCEY REG LIBRARY</t>
  </si>
  <si>
    <t>TOWN OF BANNER ELK</t>
  </si>
  <si>
    <t>HIGH COUNTRY ABC BOARD</t>
  </si>
  <si>
    <t>TOWN OF NEWLAND</t>
  </si>
  <si>
    <t>TOWN OF BEECH MOUNTAIN</t>
  </si>
  <si>
    <t>TOWN OF ELK PARK</t>
  </si>
  <si>
    <t>TOWN OF SUGAR MOUNTAIN</t>
  </si>
  <si>
    <t>COUNTY OF BEAUFORT</t>
  </si>
  <si>
    <t>BEAUFORT COUNTY ABC BOARD</t>
  </si>
  <si>
    <t>B H M REGIONAL LIBRARY</t>
  </si>
  <si>
    <t>MIDEAST COMMISSION</t>
  </si>
  <si>
    <t>CITY OF WASHINGTON</t>
  </si>
  <si>
    <t>TOWN OF AURORA</t>
  </si>
  <si>
    <t>TOWN OF BELHAVEN</t>
  </si>
  <si>
    <t>TOWN OF WASHINGTON PARK</t>
  </si>
  <si>
    <t>TOWN OF CHOCOWINITY</t>
  </si>
  <si>
    <t>BERTIE COUNTY</t>
  </si>
  <si>
    <t>BERTIE COUNTY ABC BOARD</t>
  </si>
  <si>
    <t>ALBEMARLE REGIONAL LIBRARY</t>
  </si>
  <si>
    <t>BERTIE-MARTIN REGIONAL JAIL COMM</t>
  </si>
  <si>
    <t>TOWN OF AULANDER</t>
  </si>
  <si>
    <t>TOWN OF WINDSOR</t>
  </si>
  <si>
    <t>TOWN OF COLERAIN</t>
  </si>
  <si>
    <t>TOWN OF LEWISTON WOODVILLE</t>
  </si>
  <si>
    <t>BLADEN COUNTY</t>
  </si>
  <si>
    <t>TOWN OF ELIZABETHTOWN</t>
  </si>
  <si>
    <t>ELIZABETHTOWN ABC BOARD</t>
  </si>
  <si>
    <t>SOUTH EASTERN ECONOMIC DEVELOPMENT COMM</t>
  </si>
  <si>
    <t>TOWN OF WHITE LAKE</t>
  </si>
  <si>
    <t>TOWN OF CLARKTON</t>
  </si>
  <si>
    <t>TOWN OF BLADENBORO</t>
  </si>
  <si>
    <t>BRUNSWICK COUNTY</t>
  </si>
  <si>
    <t>TOWN OF LELAND</t>
  </si>
  <si>
    <t>BRUNSWICK CO HEALTH DEPT</t>
  </si>
  <si>
    <t>BRUNSWICK COUNTY ABC BOARD</t>
  </si>
  <si>
    <t>BRUNSWICK CO DEPT OF SOCIAL SERVICES</t>
  </si>
  <si>
    <t>CALABASH ABC BOARD</t>
  </si>
  <si>
    <t>CAPE FEAR COUNCIL OF GOVERNMENTS</t>
  </si>
  <si>
    <t>BRUNSWICK COUNTY TOURISM AUTHORITY</t>
  </si>
  <si>
    <t>TOWN OF CALABASH</t>
  </si>
  <si>
    <t>CITY OF SOUTHPORT</t>
  </si>
  <si>
    <t>CITY OF NORTHWEST</t>
  </si>
  <si>
    <t>SOUTHEAST BRUNSWICK SANITARY DISTRICT</t>
  </si>
  <si>
    <t>TOWN OF HOLDEN BEACH</t>
  </si>
  <si>
    <t>CITY OF SOUTHPORT ABC BOARD</t>
  </si>
  <si>
    <t>TOWN OF BELVILLE</t>
  </si>
  <si>
    <t>TOWN OF OAK ISLAND</t>
  </si>
  <si>
    <t>TOWN OF CAROLINA SHORES</t>
  </si>
  <si>
    <t>OAK ISLAND ABC BD</t>
  </si>
  <si>
    <t>TOWN OF ST JAMES</t>
  </si>
  <si>
    <t>TOWN OF SUNSET BEACH</t>
  </si>
  <si>
    <t>BRUNSWICK REGIONAL WATER AND SEWER H2GO</t>
  </si>
  <si>
    <t>TOWN OF SUNSET BEACH ABC BOARD</t>
  </si>
  <si>
    <t>TOWN OF CASWELL BEACH</t>
  </si>
  <si>
    <t>SHALLOTTE ABC BOARD</t>
  </si>
  <si>
    <t>TOWN OF OCEAN ISLE BEACH</t>
  </si>
  <si>
    <t>OCEAN ISLE BEACH ABC BOARD</t>
  </si>
  <si>
    <t>CITY OF BOILING SPRG LAKES</t>
  </si>
  <si>
    <t>BOILING SPRING LAKES ABC BOARD</t>
  </si>
  <si>
    <t>TOWN OF SHALLOTTE</t>
  </si>
  <si>
    <t>VILLAGE OF BALD HEAD ISLAND</t>
  </si>
  <si>
    <t>BUNCOMBE COUNTY</t>
  </si>
  <si>
    <t>LAND-OF-SKY REGIONAL COUNCIL</t>
  </si>
  <si>
    <t>WOODFIN ABC COMMISSION</t>
  </si>
  <si>
    <t>WESTERN AIR POLLUTION CTL</t>
  </si>
  <si>
    <t>METRO SEWERAGE DIST OF BUNCOMBE COUNTY</t>
  </si>
  <si>
    <t>WOODFIN SANITARY WATER AND SEWER DIST</t>
  </si>
  <si>
    <t>TOWN OF BILTMORE FOREST</t>
  </si>
  <si>
    <t>WEST BUNCOMBE FIRE DEPT</t>
  </si>
  <si>
    <t>CITY OF ASHEVILLE</t>
  </si>
  <si>
    <t>ASHEVILLE ABC BOARD</t>
  </si>
  <si>
    <t>ASHEVILLE REGIONAL AIRPORT AUTHORITY</t>
  </si>
  <si>
    <t>SKYLAND VOL FIRE DEPT</t>
  </si>
  <si>
    <t>TOWN OF WEAVERVILLE</t>
  </si>
  <si>
    <t>WEAVERVILLE ABC BOARD</t>
  </si>
  <si>
    <t>TOWN OF BLACK MOUNTAIN</t>
  </si>
  <si>
    <t>BLACK MTN ABC BOARD</t>
  </si>
  <si>
    <t>TOWN OF MONTREAT</t>
  </si>
  <si>
    <t>TOWN OF WOODFIN</t>
  </si>
  <si>
    <t>BURKE COUNTY</t>
  </si>
  <si>
    <t>BURKE-CATAWBA DIST CONFINEMENT</t>
  </si>
  <si>
    <t>BURKE CO HEALTH DEPT</t>
  </si>
  <si>
    <t>BURKE CO DEPT OF SOCIAL SERVICES</t>
  </si>
  <si>
    <t>BURKE COUNTY TOURISM DEV. AUTHORITY</t>
  </si>
  <si>
    <t>TOWN OF VALDESE</t>
  </si>
  <si>
    <t>VALDESE HOUSING AUTHORITY</t>
  </si>
  <si>
    <t>TOWN OF RUTHERFORD COLLEGE</t>
  </si>
  <si>
    <t>MORGANTON ABC BOARD</t>
  </si>
  <si>
    <t>TOWN OF DREXEL</t>
  </si>
  <si>
    <t>CITY OF MORGANTON</t>
  </si>
  <si>
    <t>MORGANTON HOUSING AUTHORITY</t>
  </si>
  <si>
    <t>TOWN OF GLEN ALPINE</t>
  </si>
  <si>
    <t>TOWN OF HILDEBRAN</t>
  </si>
  <si>
    <t>TOWN OF CONNELLY SPRINGS</t>
  </si>
  <si>
    <t>CABARRUS COUNTY</t>
  </si>
  <si>
    <t>WATER &amp; SEWER AUTH CABARRUS CNTY</t>
  </si>
  <si>
    <t>CABARRUS CO PUBLIC HEALTH AUTH</t>
  </si>
  <si>
    <t>CABARRUS COUNTY TOURISM AUTHORITY</t>
  </si>
  <si>
    <t>CITY OF CONCORD</t>
  </si>
  <si>
    <t>CONCORD ABC BOARD</t>
  </si>
  <si>
    <t>TOWN OF MOUNT PLEASANT</t>
  </si>
  <si>
    <t>MT PLEASANT ABC BOARD</t>
  </si>
  <si>
    <t>CITY OF KANNAPOLIS</t>
  </si>
  <si>
    <t>TOWN OF MIDLAND</t>
  </si>
  <si>
    <t>CALDWELL COUNTY</t>
  </si>
  <si>
    <t>TOWN OF GRANITE FALLS</t>
  </si>
  <si>
    <t>GRANITE FALLS ABC BOARD</t>
  </si>
  <si>
    <t>TOWN OF SAWMILLS</t>
  </si>
  <si>
    <t>LENOIR HOUSING AUTHORITY</t>
  </si>
  <si>
    <t>TOWN OF HUDSON</t>
  </si>
  <si>
    <t>TOWN OF HARRISBURG</t>
  </si>
  <si>
    <t>CITY OF LENOIR</t>
  </si>
  <si>
    <t>CITY OF LENOIR ABC BRD</t>
  </si>
  <si>
    <t>TOWN OF CAJAH'S MOUNTAIN</t>
  </si>
  <si>
    <t>CAMDEN COUNTY</t>
  </si>
  <si>
    <t>CAMDEN COUNTY ABC BOARD</t>
  </si>
  <si>
    <t>CARTERET COUNTY</t>
  </si>
  <si>
    <t>CARTERET COUNTY ABC BOARD</t>
  </si>
  <si>
    <t>WESTERN CARTERET INTERLOCAL COOPERATION AGENCY</t>
  </si>
  <si>
    <t>TOWN OF MOREHEAD CITY</t>
  </si>
  <si>
    <t>TOWN OF NEWPORT</t>
  </si>
  <si>
    <t>TOWN OF BEAUFORT</t>
  </si>
  <si>
    <t>BEAUFORT HOUSING AUTH</t>
  </si>
  <si>
    <t>TOWN OF PINE KNOLL SHORES</t>
  </si>
  <si>
    <t>TOWN OF EMERALD ISLE</t>
  </si>
  <si>
    <t>TOWN OF INDIAN BEACH</t>
  </si>
  <si>
    <t>TOWN OF CAPE CARTERET</t>
  </si>
  <si>
    <t>TOWN OF ATLANTIC BEACH</t>
  </si>
  <si>
    <t>TOWN OF CEDAR POINT</t>
  </si>
  <si>
    <t>CASWELL COUNTY</t>
  </si>
  <si>
    <t>CASWELL COUNTY ABC BOARD</t>
  </si>
  <si>
    <t>CASWELL CO DEPT OF SOCIAL SERVICES</t>
  </si>
  <si>
    <t>TOWN OF YANCEYVILLE</t>
  </si>
  <si>
    <t>CATAWBA COUNTY</t>
  </si>
  <si>
    <t>CATAWBA COUNTY ABC BOARD</t>
  </si>
  <si>
    <t>CITY OF HICKORY</t>
  </si>
  <si>
    <t>HICKORY CONOVER TOURISM DEV AUTH</t>
  </si>
  <si>
    <t>HICKORY PUBLIC HOUSING AUTHORITY</t>
  </si>
  <si>
    <t>WESTERN PIEDMONT COUNCIL OF GVMTS</t>
  </si>
  <si>
    <t>WESTERN PIEDMONT REGIONAL TRANSIT AUTHORITY</t>
  </si>
  <si>
    <t>CITY OF CLAREMONT</t>
  </si>
  <si>
    <t>TOWN OF MAIDEN</t>
  </si>
  <si>
    <t>THE TOWN OF LONGVIEW</t>
  </si>
  <si>
    <t>TOWN OF CONOVER</t>
  </si>
  <si>
    <t>TOWN OF BROOKFORD</t>
  </si>
  <si>
    <t>CITY OF NEWTON</t>
  </si>
  <si>
    <t>TOWN OF CATAWBA</t>
  </si>
  <si>
    <t>CHATHAM COUNTY</t>
  </si>
  <si>
    <t>CHATHAM CO HOUSING AUTH</t>
  </si>
  <si>
    <t>CHATHAM COUNTY ABC BOARD</t>
  </si>
  <si>
    <t>GOLDSTON-GULF SANITARY DISTRICT</t>
  </si>
  <si>
    <t>TOWN OF SILER CITY</t>
  </si>
  <si>
    <t>SILER CITY ABC BOARD</t>
  </si>
  <si>
    <t>TOWN OF PITTSBORO</t>
  </si>
  <si>
    <t>CHEROKEE COUNTY</t>
  </si>
  <si>
    <t>NANTAHALA REGIONAL LIBRARY</t>
  </si>
  <si>
    <t>TOWN OF MURPHY</t>
  </si>
  <si>
    <t>MURPHY ABC BOARD</t>
  </si>
  <si>
    <t>TOWN OF ANDREWS</t>
  </si>
  <si>
    <t>CHOWAN COUNTY</t>
  </si>
  <si>
    <t>CHOWAN COUNTY ABC BOARD</t>
  </si>
  <si>
    <t>ALBEMARLE REGNL PLANNING &amp; DEVELOPMENT COMM</t>
  </si>
  <si>
    <t>TOWN OF EDENTON</t>
  </si>
  <si>
    <t>THE NEW EDENTON HOUSING AUTH</t>
  </si>
  <si>
    <t>CLAY COUNTY</t>
  </si>
  <si>
    <t>CLEVELAND COUNTY</t>
  </si>
  <si>
    <t>CLEVELAND CO SANITARY DIST</t>
  </si>
  <si>
    <t>CITY OF SHELBY</t>
  </si>
  <si>
    <t>SHELBY ABC BOARD</t>
  </si>
  <si>
    <t>CITY OF KINGS MOUNTAIN</t>
  </si>
  <si>
    <t>KINGS MOUNTAIN ABC BOARD</t>
  </si>
  <si>
    <t>TOWN OF BOILING SPRINGS</t>
  </si>
  <si>
    <t>TOWN OF LAWNDALE</t>
  </si>
  <si>
    <t>TOWN OF GROVER</t>
  </si>
  <si>
    <t>COLUMBUS COUNTY</t>
  </si>
  <si>
    <t>WHITEVILLE HOUSING AUTHORITY</t>
  </si>
  <si>
    <t>CITY OF WHITEVILLE</t>
  </si>
  <si>
    <t>WHITEVILLE ABC BOARD</t>
  </si>
  <si>
    <t>TOWN OF BRUNSWICK</t>
  </si>
  <si>
    <t>LAKE WACCAMAW ABC BOARD</t>
  </si>
  <si>
    <t>TOWN OF FAIR BLUFF</t>
  </si>
  <si>
    <t>TOWN OF CHADBOURN</t>
  </si>
  <si>
    <t>WEST COLUMBUS ABC BOARD</t>
  </si>
  <si>
    <t>TOWN OF TABOR CITY</t>
  </si>
  <si>
    <t>TOWN OF LAKE WACCAMAW</t>
  </si>
  <si>
    <t>CRAVEN COUNTY</t>
  </si>
  <si>
    <t>FIRST CRAVEN SANITARY DIST</t>
  </si>
  <si>
    <t>CRAVEN CO ABC BD</t>
  </si>
  <si>
    <t>CRAVEN-PAMLICO-CARTERET REGIONAL LIBRARY</t>
  </si>
  <si>
    <t>COASTAL CAROLINA REGIONAL AIRPORT</t>
  </si>
  <si>
    <t>NEUSE RIVER COUNCIL OF GOVERNMENTS</t>
  </si>
  <si>
    <t>COASTAL REGIONAL SOLID WASTE MNGT AUTH</t>
  </si>
  <si>
    <t>EAST CAROLINA BEHAVORIAL HEALTHCARE</t>
  </si>
  <si>
    <t>CITY OF NEW BERN</t>
  </si>
  <si>
    <t>TRILLIUM HEALTH RESOURCES</t>
  </si>
  <si>
    <t>TOWN OF TRENT WOODS</t>
  </si>
  <si>
    <t>CITY OF HAVELOCK</t>
  </si>
  <si>
    <t>TOWN OF RIVER BEND</t>
  </si>
  <si>
    <t>TOWN OF VANCEBORO</t>
  </si>
  <si>
    <t>TOWN OF BRIDGETON</t>
  </si>
  <si>
    <t>TOWN OF COVE CITY</t>
  </si>
  <si>
    <t>CUMBERLAND COUNTY</t>
  </si>
  <si>
    <t>WESTAREA VOLUNTEER FIRE DEPT</t>
  </si>
  <si>
    <t>CUMBERLAND CO ABC BOARD</t>
  </si>
  <si>
    <t>MID-CAROLINA COUNCIL OF GOVERNMENTS</t>
  </si>
  <si>
    <t>CUMBERLAND MEMORIAL AUDITORIUM COM</t>
  </si>
  <si>
    <t>CITY OF FAYETTEVILLE</t>
  </si>
  <si>
    <t>FAYETTEVILLE METROPOLITAN HOUSING AUTH</t>
  </si>
  <si>
    <t>PUBLIC WORKS COMM CTY OF FAYETTEVILLE</t>
  </si>
  <si>
    <t>TOWN OF STEDMAN</t>
  </si>
  <si>
    <t>TOWN OF HOPE MILLS</t>
  </si>
  <si>
    <t>TOWN OF WADE</t>
  </si>
  <si>
    <t>TOWN OF LINDEN</t>
  </si>
  <si>
    <t>TOWN OF SPRING LAKE</t>
  </si>
  <si>
    <t>TOWN OF FALCON</t>
  </si>
  <si>
    <t>TOWN OF EASTOVER</t>
  </si>
  <si>
    <t>CURRITUCK COUNTY</t>
  </si>
  <si>
    <t>CURRITUCK CO ABC BOARD</t>
  </si>
  <si>
    <t>DARE COUNTY</t>
  </si>
  <si>
    <t>DARE COUNTY TOURISM BOARD</t>
  </si>
  <si>
    <t>DARE COUNTY ABC BOARD</t>
  </si>
  <si>
    <t>TOWN OF NAGS HEAD</t>
  </si>
  <si>
    <t>TOWN OF KILL DEVIL HILLS</t>
  </si>
  <si>
    <t>TOWN OF MANTEO</t>
  </si>
  <si>
    <t>TOWN OF SOUTHERN SHORES</t>
  </si>
  <si>
    <t>TOWN OF KITTY HAWK</t>
  </si>
  <si>
    <t>TOWN OF DUCK</t>
  </si>
  <si>
    <t>DAVIDSON COUNTY</t>
  </si>
  <si>
    <t>CITY OF THOMASVILLE</t>
  </si>
  <si>
    <t>THOMASVILLE HOUSING AUTHORITY</t>
  </si>
  <si>
    <t>LEXINGTON ABC BOARD</t>
  </si>
  <si>
    <t>TOWN OF DENTON</t>
  </si>
  <si>
    <t>CITY OF LEXINGTON</t>
  </si>
  <si>
    <t>DAVIE COUNTY</t>
  </si>
  <si>
    <t>DAVIE SOIL AND WATER CONSERVATION DIST</t>
  </si>
  <si>
    <t>TOWN OF MOCKSVILLE</t>
  </si>
  <si>
    <t>TOWN OF BERMUDA RUN</t>
  </si>
  <si>
    <t>COOLEEMEE ABC BOARD</t>
  </si>
  <si>
    <t>TOWN OF COOLEEMEE</t>
  </si>
  <si>
    <t>DUPLIN COUNTY</t>
  </si>
  <si>
    <t>EASTPOINTE HUMAN SERVICES</t>
  </si>
  <si>
    <t>TOWN OF BEULAVILLE</t>
  </si>
  <si>
    <t>TOWN OF KENANSVILLE</t>
  </si>
  <si>
    <t>KENANSVILLE ABC BOARD</t>
  </si>
  <si>
    <t>TOWN OF WARSAW</t>
  </si>
  <si>
    <t>WARSAW ABC BOARD</t>
  </si>
  <si>
    <t>TOWN OF FAISON</t>
  </si>
  <si>
    <t>TOWN OF WALLACE</t>
  </si>
  <si>
    <t>WALLACE ABC BD</t>
  </si>
  <si>
    <t>TOWN OF ROSE HILL</t>
  </si>
  <si>
    <t>TOWN OF CALYPSO</t>
  </si>
  <si>
    <t>TOWN OF TEACHEY</t>
  </si>
  <si>
    <t>TOWN OF MAGNOLIA</t>
  </si>
  <si>
    <t>DURHAM COUNTY</t>
  </si>
  <si>
    <t>PARKWOOD FIRE DEPARTMENT</t>
  </si>
  <si>
    <t>DURHAM COUNTY ABC BOARD</t>
  </si>
  <si>
    <t>ALLIANCE BEHAVIORAL HEALTHCRE</t>
  </si>
  <si>
    <t>CITY OF DURHAM</t>
  </si>
  <si>
    <t>DURHAM CONVENTION &amp; VISITORS BUREAU</t>
  </si>
  <si>
    <t>TRIANGLE J COUNCIL OF GOVERNMENTS</t>
  </si>
  <si>
    <t>EDGECOMBE COUNTY</t>
  </si>
  <si>
    <t>EDGECOMBE COUNTY ABC BOARD</t>
  </si>
  <si>
    <t>EDGECOMBE COUNTY MEMORIAL LIBRARY</t>
  </si>
  <si>
    <t>UPPER COASTAL PLAIN COUNCIL OF GOVERNMENTS</t>
  </si>
  <si>
    <t>TOWN OF TARBORO</t>
  </si>
  <si>
    <t>TARBORO REDEVELOPMENT COMMISSION</t>
  </si>
  <si>
    <t>CITY OF ROCKY MOUNT</t>
  </si>
  <si>
    <t>ROCKY MOUNT-WILSON AIRPORT AUTHORITY</t>
  </si>
  <si>
    <t>TOWN OF PINETOPS</t>
  </si>
  <si>
    <t>ROCKY MT HOUSING AUTHORITY</t>
  </si>
  <si>
    <t>TOWN OF MACCLESFIELD</t>
  </si>
  <si>
    <t>TOWN OF PRINCEVILLE</t>
  </si>
  <si>
    <t>FORSYTH COUNTY</t>
  </si>
  <si>
    <t>AIRPORT COMMISSION OF FORSYTH COUNTY</t>
  </si>
  <si>
    <t>PIEDMONT TRIAD REGIONAL COUNCIL</t>
  </si>
  <si>
    <t>CENTERPOINT HUMAN SERVICES</t>
  </si>
  <si>
    <t>CITY OF WINSTON-SALEM</t>
  </si>
  <si>
    <t>WINSTON-SALEM HOUSING AUTHORITY</t>
  </si>
  <si>
    <t>TRIAD MUNICIPAL ABC BOARD</t>
  </si>
  <si>
    <t>TOWN OF KERNERSVILLE</t>
  </si>
  <si>
    <t>TOWN OF RURAL HALL</t>
  </si>
  <si>
    <t>VILLAGE OF CLEMMONS</t>
  </si>
  <si>
    <t>CLEMMONS FIRE DEPARTMENT</t>
  </si>
  <si>
    <t>TOWN OF LEWISVILLE</t>
  </si>
  <si>
    <t>TOWN OF WALKERTOWN</t>
  </si>
  <si>
    <t>VILLAGE OF TOBACCOVILLE</t>
  </si>
  <si>
    <t>FRANKLIN COUNTY</t>
  </si>
  <si>
    <t>TOWN OF FRANKLINTON</t>
  </si>
  <si>
    <t>FRANKLINTON ABC BOARD</t>
  </si>
  <si>
    <t>TOWN OF LOUISBURG</t>
  </si>
  <si>
    <t>LOUISBURG ABC BOARD</t>
  </si>
  <si>
    <t>TOWN OF BUNN</t>
  </si>
  <si>
    <t>ABC BOARD - TOWN OF BUNN</t>
  </si>
  <si>
    <t>TOWN OF YOUNGSVILLE</t>
  </si>
  <si>
    <t>GASTON COUNTY</t>
  </si>
  <si>
    <t>TOWN OF STANLEY</t>
  </si>
  <si>
    <t>PARTNERS BEHAVIORAL HEALTH MANAGEMENT</t>
  </si>
  <si>
    <t>TOWN OF MCADENVILLE</t>
  </si>
  <si>
    <t>CITY OF GASTONIA</t>
  </si>
  <si>
    <t>GASTONIA ABC BOARD</t>
  </si>
  <si>
    <t>GASTON COUNTY ECONOMIC DEV. COMMISSION</t>
  </si>
  <si>
    <t>CITY OF BELMONT</t>
  </si>
  <si>
    <t>BELMONT HOUSING AUTHORITY</t>
  </si>
  <si>
    <t>TOWN OF CRAMERTON</t>
  </si>
  <si>
    <t>CITY OF CHERRYVILLE</t>
  </si>
  <si>
    <t>CHERRYVILLE ABC BOARD</t>
  </si>
  <si>
    <t>TOWN OF DALLAS</t>
  </si>
  <si>
    <t>CITY OF LOWELL</t>
  </si>
  <si>
    <t>BESSEMER CITY</t>
  </si>
  <si>
    <t>TOWN OF RANLO</t>
  </si>
  <si>
    <t>CITY OF MOUNT HOLLY</t>
  </si>
  <si>
    <t>COUNTY OF GATES</t>
  </si>
  <si>
    <t>GATES COUNTY ABC BOARD</t>
  </si>
  <si>
    <t>GRAHAM COUNTY</t>
  </si>
  <si>
    <t>GRAHAM CO HEALTH DEPT</t>
  </si>
  <si>
    <t>GRAHAM COUNTY DEPT OF S S</t>
  </si>
  <si>
    <t>TOWN OF ROBBINSVILLE</t>
  </si>
  <si>
    <t>GRANVILLE COUNTY</t>
  </si>
  <si>
    <t>GRANVILLE CO ABC BD</t>
  </si>
  <si>
    <t>GRANVILLE COUNTY HOSPITAL</t>
  </si>
  <si>
    <t>GRANVILLE-VANCE HEALTH DIST</t>
  </si>
  <si>
    <t>SOUTH GRANVILLE WATER AND SEWER AUTHORITY</t>
  </si>
  <si>
    <t>CITY OF OXFORD</t>
  </si>
  <si>
    <t>OXFORD HOUSING AUTHORITY</t>
  </si>
  <si>
    <t>TOWN OF STOVALL</t>
  </si>
  <si>
    <t>CITY OF CREEDMOOR</t>
  </si>
  <si>
    <t>TOWN OF BUTNER</t>
  </si>
  <si>
    <t>GREENE COUNTY</t>
  </si>
  <si>
    <t>MAURY SANITARY LAND DISTRICT</t>
  </si>
  <si>
    <t>GREENE COUNTY ABC BOARD</t>
  </si>
  <si>
    <t>NEUSE REGIONAL LIBRARY-GREENE COUNTY</t>
  </si>
  <si>
    <t>TOWN OF HOOKERTON</t>
  </si>
  <si>
    <t>TOWN OF SNOW HILL</t>
  </si>
  <si>
    <t>TOWN OF WALSTONBURG</t>
  </si>
  <si>
    <t>GUILFORD COUNTY</t>
  </si>
  <si>
    <t>GUIL-RAND FIRE DEPARTMENT</t>
  </si>
  <si>
    <t>PINECROFT-SEDGEFIELD FIRE DIST INC</t>
  </si>
  <si>
    <t>ALAMANCE COMM FIRE DIST</t>
  </si>
  <si>
    <t>CITY OF GREENSBORO</t>
  </si>
  <si>
    <t>PIEDMONT TRIAD REG WATER AUTH</t>
  </si>
  <si>
    <t>GREENSBORO ABC BD</t>
  </si>
  <si>
    <t>GUILFORD FIRE DISTRICT # 13 INC</t>
  </si>
  <si>
    <t>CITY OF HIGH POINT</t>
  </si>
  <si>
    <t>HIGH POINT ABC BD</t>
  </si>
  <si>
    <t>TOWN OF JAMESTOWN</t>
  </si>
  <si>
    <t>TOWN OF GIBSONVILLE</t>
  </si>
  <si>
    <t>GIBSONVILLE ABC BOARD</t>
  </si>
  <si>
    <t>TOWN OF OAK RIDGE</t>
  </si>
  <si>
    <t>COLFAX VOLUNTEER FIRE DEPARTMENT</t>
  </si>
  <si>
    <t>TOWN OF SUMMERFIELD</t>
  </si>
  <si>
    <t>SUMMERFIELD FIRE DISTRICT</t>
  </si>
  <si>
    <t>HALIFAX COUNTY</t>
  </si>
  <si>
    <t>HALIFAX COUNTY ABC BOARD</t>
  </si>
  <si>
    <t>HALIFAX COUNTY TOURISM DEVELOPMENT AUTHORITY</t>
  </si>
  <si>
    <t>ROANOKE RAPIDS SANITARY DISTRICT</t>
  </si>
  <si>
    <t>TOWN OF ENFIELD</t>
  </si>
  <si>
    <t>CITY OF ROANOKE RAPIDS</t>
  </si>
  <si>
    <t>TOWN OF WELDON</t>
  </si>
  <si>
    <t>TOWN OF SCOTLAND NECK</t>
  </si>
  <si>
    <t>TOWN OF HOBGOOD</t>
  </si>
  <si>
    <t>TOWN OF LITTLETON</t>
  </si>
  <si>
    <t>HARNETT COUNTY</t>
  </si>
  <si>
    <t>CITY OF DUNN</t>
  </si>
  <si>
    <t>DUNN HOUSING AUTHORITY</t>
  </si>
  <si>
    <t>DUNN ABC BOARD</t>
  </si>
  <si>
    <t>TOWN OF LILLINGTON</t>
  </si>
  <si>
    <t>TOWN OF ERWIN</t>
  </si>
  <si>
    <t>TOWN OF COATS</t>
  </si>
  <si>
    <t>TOWN OF ANGIER ABC BOARD</t>
  </si>
  <si>
    <t>TOWN OF ANGIER</t>
  </si>
  <si>
    <t>HAYWOOD MEDICAL CENTER</t>
  </si>
  <si>
    <t>JUNALUSKA SANITARY DISTRICT</t>
  </si>
  <si>
    <t>TOWN OF WAYNESVILLE</t>
  </si>
  <si>
    <t>WAYNESVILLE ABC BOARD</t>
  </si>
  <si>
    <t>TOWN OF MAGGIE VALLEY</t>
  </si>
  <si>
    <t>MAGGIE VALLEY ABC BOARD</t>
  </si>
  <si>
    <t>MAGGIE VALLEY SANITARY DIST</t>
  </si>
  <si>
    <t>TOWN OF CANTON</t>
  </si>
  <si>
    <t>CANTON ABC BOARD</t>
  </si>
  <si>
    <t>COUNTY OF HENDERSON</t>
  </si>
  <si>
    <t>CITY OF HENDERSONVILLE</t>
  </si>
  <si>
    <t>HENDERSONVILLE WATER COMMISSION</t>
  </si>
  <si>
    <t>HENDERSONVILLE ABC BD</t>
  </si>
  <si>
    <t>TOWN OF LAUREL PARK</t>
  </si>
  <si>
    <t>LAUREL PARK ABC BOARD</t>
  </si>
  <si>
    <t>THE VILLAGE OF FLAT ROCK</t>
  </si>
  <si>
    <t>BLUE RIDGE FIRE DEPARTMENT</t>
  </si>
  <si>
    <t>TOWN OF FLETCHER</t>
  </si>
  <si>
    <t>FLETCHER ABC BOARD</t>
  </si>
  <si>
    <t>TOWN OF MILLS RIVER</t>
  </si>
  <si>
    <t>HERTFORD COUNTY</t>
  </si>
  <si>
    <t>HERTFORD COUNTY ABC BOARD</t>
  </si>
  <si>
    <t>HERTFORD COUNTY PUBLIC HEALTH AUTHORITY</t>
  </si>
  <si>
    <t>TOWN OF AHOSKIE</t>
  </si>
  <si>
    <t>TOWN OF MURFREESBORO</t>
  </si>
  <si>
    <t>TOWN OF WINTON</t>
  </si>
  <si>
    <t>TOWN OF COFIELD</t>
  </si>
  <si>
    <t>HOKE COUNTY</t>
  </si>
  <si>
    <t>HOKE COUNTY ABC BOARD</t>
  </si>
  <si>
    <t>TOWN OF RAEFORD</t>
  </si>
  <si>
    <t>HYDE COUNTY</t>
  </si>
  <si>
    <t>HYDE COUNTY ABC BOARD</t>
  </si>
  <si>
    <t>OCRACOKE SANITARY DIST</t>
  </si>
  <si>
    <t>IREDELL COUNTY</t>
  </si>
  <si>
    <t>GREATER STATESVILLE DEVELOPMENT CORP</t>
  </si>
  <si>
    <t>CITY OF STATESVILLE</t>
  </si>
  <si>
    <t>STATESVILLE ABC BOARD</t>
  </si>
  <si>
    <t>CITY OF MOORESVILLE</t>
  </si>
  <si>
    <t>MOORESVILLE HOUSING AUTHORITY</t>
  </si>
  <si>
    <t>MOORESVILLE ABC BOARD</t>
  </si>
  <si>
    <t>TOWN OF TROUTMAN</t>
  </si>
  <si>
    <t>MI CONNECTION COMMUNICATIONS SYSTEM</t>
  </si>
  <si>
    <t>JACKSON COUNTY</t>
  </si>
  <si>
    <t>TUCKASEIGEE WATER AUTHORITY</t>
  </si>
  <si>
    <t>FONTANA REGIONAL LIBRARY</t>
  </si>
  <si>
    <t>SOUTHWESTERN NC PLANNING &amp; ECON.DEV.COMMIS.</t>
  </si>
  <si>
    <t>SMOKY MOUNTAIN M H C</t>
  </si>
  <si>
    <t>TOWN OF SYLVA</t>
  </si>
  <si>
    <t>JACKSON COUNTY ABC BOARD</t>
  </si>
  <si>
    <t>JOHNSTON COUNTY</t>
  </si>
  <si>
    <t>BENSON HOUSING AUTHORITY</t>
  </si>
  <si>
    <t>JOHNSTON COUNTY ABC BOARD</t>
  </si>
  <si>
    <t>PUBLIC LIBRARY OF JOHNSTON CO AND SMITHFIELD</t>
  </si>
  <si>
    <t>TOWN OF ARCHER LODGE</t>
  </si>
  <si>
    <t>JOHNSTON HEALTH CENTER</t>
  </si>
  <si>
    <t>TOWN OF SMITHFIELD</t>
  </si>
  <si>
    <t>SMITHFIELD HOUSING AUTHORITY</t>
  </si>
  <si>
    <t>TOWN OF SELMA</t>
  </si>
  <si>
    <t>TOWN OF MICRO</t>
  </si>
  <si>
    <t>SELMA HOUSING AUTHORITY</t>
  </si>
  <si>
    <t>TOWN OF CLAYTON</t>
  </si>
  <si>
    <t>TOWN OF BENSON</t>
  </si>
  <si>
    <t>TOWN OF FOUR OAKS</t>
  </si>
  <si>
    <t>TOWN OF PINE LEVEL</t>
  </si>
  <si>
    <t>TOWN OF KENLY</t>
  </si>
  <si>
    <t>TOWN OF PRINCETON</t>
  </si>
  <si>
    <t>TOWN OF WILSON'S MILLS</t>
  </si>
  <si>
    <t>JONES COUNTY</t>
  </si>
  <si>
    <t>JONES COUNTY ABC BOARD</t>
  </si>
  <si>
    <t>NEUSE REGIONAL LIBRARY-JONES COUNTY</t>
  </si>
  <si>
    <t>TOWN OF POLLOCKSVILLE</t>
  </si>
  <si>
    <t>TOWN OF MAYSVILLE</t>
  </si>
  <si>
    <t>LEE COUNTY</t>
  </si>
  <si>
    <t>CITY OF SANFORD</t>
  </si>
  <si>
    <t>SANFORD ABC BOARD</t>
  </si>
  <si>
    <t>TOWN OF BROADWAY</t>
  </si>
  <si>
    <t>LENOIR COUNTY</t>
  </si>
  <si>
    <t>LENOIR COUNTY ABC BOARD</t>
  </si>
  <si>
    <t>NEUSE REGIONAL LIBRARY</t>
  </si>
  <si>
    <t>CITY OF KINSTON</t>
  </si>
  <si>
    <t>GLOBAL TRANSPARK DEVELOPMENT COMM</t>
  </si>
  <si>
    <t>HOUSING AUTH FOR THE CTY OF KINSTON</t>
  </si>
  <si>
    <t>KINSTON-LENOIR CO PUB LIBRARY</t>
  </si>
  <si>
    <t>TOWN OF PINK HILL</t>
  </si>
  <si>
    <t>TOWN OF LAGRANGE</t>
  </si>
  <si>
    <t>LINCOLN COUNTY</t>
  </si>
  <si>
    <t>LINCOLN COUNTY ABC BOARD</t>
  </si>
  <si>
    <t>CITY OF LINCOLNTON</t>
  </si>
  <si>
    <t>LINCOLNTON HOUSING AUTHORITY</t>
  </si>
  <si>
    <t>TOWN OF LINCOLNTON ABC BOARD</t>
  </si>
  <si>
    <t>MACON COUNTY</t>
  </si>
  <si>
    <t>TOWN OF FRANKLIN</t>
  </si>
  <si>
    <t>HIGHLANDS ABC BOARD</t>
  </si>
  <si>
    <t>TOWN OF HIGHLANDS</t>
  </si>
  <si>
    <t>MADISON COUNTY</t>
  </si>
  <si>
    <t>TOWN OF MARS HILL</t>
  </si>
  <si>
    <t>TOWN OF MARSHALL</t>
  </si>
  <si>
    <t>HOT SPRINGS HOUSING AUTHORITY</t>
  </si>
  <si>
    <t>MARTIN COUNTY</t>
  </si>
  <si>
    <t>MARTIN CO TRAVEL &amp; TOURISM AUTH</t>
  </si>
  <si>
    <t>MARTIN COUNTY ABC BOARD</t>
  </si>
  <si>
    <t>TOWN OF WILLIAMSTON</t>
  </si>
  <si>
    <t>WILLIAMSTON HOUSING AUTHORITY</t>
  </si>
  <si>
    <t>TOWN OF OAK CITY</t>
  </si>
  <si>
    <t>TOWN OF HAMILTON</t>
  </si>
  <si>
    <t>TOWN OF JAMESVILLE</t>
  </si>
  <si>
    <t>TOWN OF ROBERSONVILLE</t>
  </si>
  <si>
    <t>ROBERSONVILLE HOUSING AUTHORITY</t>
  </si>
  <si>
    <t>MCDOWELL COUNTY</t>
  </si>
  <si>
    <t>PLEASANT GARDEN FIRE DEPT</t>
  </si>
  <si>
    <t>TOWN OF MARION</t>
  </si>
  <si>
    <t>MARION ABC BOARD</t>
  </si>
  <si>
    <t>TOWN OF OLD FORT</t>
  </si>
  <si>
    <t>MECKLENBURG COUNTY</t>
  </si>
  <si>
    <t>CHARLOTTE HOUSING AUTHORITY</t>
  </si>
  <si>
    <t>MECKLENBURG COUNTY ABC BOARD</t>
  </si>
  <si>
    <t>CHARLOTTE MECKLENBURG PUBLIC LIBRARY</t>
  </si>
  <si>
    <t>MECKLENBURG EMER MED SVCS AGCY</t>
  </si>
  <si>
    <t>CENTRALINA COUNCIL OF GOVERNMENTS</t>
  </si>
  <si>
    <t>CITY OF CHARLOTTE</t>
  </si>
  <si>
    <t>CHARLOTTE REGIONAL VISITORS AUTHORITY</t>
  </si>
  <si>
    <t>CHARLOTTE FIREMEN'S RET SYS</t>
  </si>
  <si>
    <t>TOWN OF PINEVILLE</t>
  </si>
  <si>
    <t>TOWN OF MINT HILL</t>
  </si>
  <si>
    <t>TOWN OF HUNTERSVILLE</t>
  </si>
  <si>
    <t>TOWN OF CORNELIUS</t>
  </si>
  <si>
    <t>TOWN OF STALLINGS</t>
  </si>
  <si>
    <t>TOWN OF MATTHEWS</t>
  </si>
  <si>
    <t>TOWN OF DAVIDSON</t>
  </si>
  <si>
    <t>MITCHELL COUNTY</t>
  </si>
  <si>
    <t>MITCHELL SOIL &amp; WATER CONSERVATION DIST</t>
  </si>
  <si>
    <t>TOWN OF SPRUCE PINE</t>
  </si>
  <si>
    <t>TOWN OF BAKERSVILLE</t>
  </si>
  <si>
    <t>MONTGOMERY COUNTY</t>
  </si>
  <si>
    <t>MONTGOMERY-MUNICIPAL ABC BOARD</t>
  </si>
  <si>
    <t>TOWN OF STAR</t>
  </si>
  <si>
    <t>TOWN OF TROY</t>
  </si>
  <si>
    <t>TOWN OF BISCOE</t>
  </si>
  <si>
    <t>TOWN OF CANDOR</t>
  </si>
  <si>
    <t>TOWN OF MOUNT GILEAD</t>
  </si>
  <si>
    <t>MOORE COUNTY</t>
  </si>
  <si>
    <t>TOWN OF TAYLORTOWN</t>
  </si>
  <si>
    <t>MOORE COUNTY ABC BOARD</t>
  </si>
  <si>
    <t>MOORE COUNTY TOURISM DEVELOPMENT AUTHORITY</t>
  </si>
  <si>
    <t>MOORE COUNTY AIRPORT AUTHORITY</t>
  </si>
  <si>
    <t>TOWN OF SOUTHERN PINES</t>
  </si>
  <si>
    <t>TOWN OF CAMERON</t>
  </si>
  <si>
    <t>SANDHILLS CENTER</t>
  </si>
  <si>
    <t>TOWN OF VASS</t>
  </si>
  <si>
    <t>TOWN OF ABERDEEN</t>
  </si>
  <si>
    <t>TOWN OF ROBBINS</t>
  </si>
  <si>
    <t>VILLAGE OF PINEHURST</t>
  </si>
  <si>
    <t>TOWN OF PINEBLUFF</t>
  </si>
  <si>
    <t>VILLAGE OF WHISPERING PINES</t>
  </si>
  <si>
    <t>FOXFIRE VILLAGE</t>
  </si>
  <si>
    <t>TOWN OF CARTHAGE</t>
  </si>
  <si>
    <t>NASH COUNTY</t>
  </si>
  <si>
    <t>NASH COUNTY ABC BOARD</t>
  </si>
  <si>
    <t>BRASWELL MEMORIAL LIBRARY</t>
  </si>
  <si>
    <t>TOWN OF SPRING HOPE</t>
  </si>
  <si>
    <t>TOWN OF NASHVILLE</t>
  </si>
  <si>
    <t>TOWN OF MIDDLESEX</t>
  </si>
  <si>
    <t>TOWN OF WHITAKERS</t>
  </si>
  <si>
    <t>TOWN OF BAILEY</t>
  </si>
  <si>
    <t>TOWN OF SHARPSBURG</t>
  </si>
  <si>
    <t>NEW HANOVER COUNTY</t>
  </si>
  <si>
    <t>NEW HANOVER AIRPORT AUTH</t>
  </si>
  <si>
    <t>HOUSING AUTH OF THE CITY OF WILMINGTON</t>
  </si>
  <si>
    <t>NEW HANOVER COUNTY ABC BOARD</t>
  </si>
  <si>
    <t>CAPE FEAR PUBLIC UTILITY AUTHORITY</t>
  </si>
  <si>
    <t>LOWER CAPE FEAR WATER &amp; SEWER AUTH</t>
  </si>
  <si>
    <t>TOWN OF WRIGHTSVILLE BEACH</t>
  </si>
  <si>
    <t>CAPE FEAR PUBLIC TRANSPORTATION AUTHORITY</t>
  </si>
  <si>
    <t>COASTALCARE</t>
  </si>
  <si>
    <t>TOWN OF CAROLINA BEACH</t>
  </si>
  <si>
    <t>CITY OF WILMINGTON</t>
  </si>
  <si>
    <t>TOWN OF KURE BEACH</t>
  </si>
  <si>
    <t>NORTHAMPTON COUNTY</t>
  </si>
  <si>
    <t>NORTHAMPTON COUNTY ABC BOARD</t>
  </si>
  <si>
    <t>TOWN OF RICH SQUARE</t>
  </si>
  <si>
    <t>CHOANOKE PUBLIC TRANSPORTATION AUTH</t>
  </si>
  <si>
    <t>TOWN OF WOODLAND</t>
  </si>
  <si>
    <t>TOWN OF GARYSBURG</t>
  </si>
  <si>
    <t>TOWN OF CONWAY</t>
  </si>
  <si>
    <t>TOWN OF GASTON</t>
  </si>
  <si>
    <t>TOWN OF JACKSON</t>
  </si>
  <si>
    <t>TOWN OF SEVERN</t>
  </si>
  <si>
    <t>TOWN OF SEABOARD</t>
  </si>
  <si>
    <t>ONSLOW COUNTY</t>
  </si>
  <si>
    <t>ONSLOW COUNTY ABC BOARD</t>
  </si>
  <si>
    <t>ONSLOW WATER &amp; SEWER AUTHORITY</t>
  </si>
  <si>
    <t>CITY OF JACKSONVILLE</t>
  </si>
  <si>
    <t>TOWN OF SWANSBORO</t>
  </si>
  <si>
    <t>TOWN OF HOLLY RIDGE</t>
  </si>
  <si>
    <t>HOLLY RIDGE HOUSING AUTHORITY</t>
  </si>
  <si>
    <t>TOWN OF RICHLANDS</t>
  </si>
  <si>
    <t>TOWN OF N TOPSAIL BEACH</t>
  </si>
  <si>
    <t>ORANGE COUNTY</t>
  </si>
  <si>
    <t>ORANGE COUNTY ABC BOARD</t>
  </si>
  <si>
    <t>ORANGE WATER AND SEWER AUTHORITY</t>
  </si>
  <si>
    <t>TOWN OF CHAPEL HILL</t>
  </si>
  <si>
    <t>TOWN OF CARRBORO</t>
  </si>
  <si>
    <t>TOWN OF HILLSBOROUGH</t>
  </si>
  <si>
    <t>PAMLICO COUNTY</t>
  </si>
  <si>
    <t>TOWN OF BAYBORO</t>
  </si>
  <si>
    <t>TOWN OF ORIENTAL</t>
  </si>
  <si>
    <t>BAY RIVER METRO SEWERAGE DISTRICT</t>
  </si>
  <si>
    <t>PASQUOTANK COUNTY</t>
  </si>
  <si>
    <t>PASQUOTANK-CAMDEN AMBULANCE SERVICE</t>
  </si>
  <si>
    <t>PASQUOTANK CO ABC BOARD</t>
  </si>
  <si>
    <t>EAST ALBEMARLE REGIONAL LIBRARY</t>
  </si>
  <si>
    <t>ALBEMARLE DISTRICT JAIL COMMISSION</t>
  </si>
  <si>
    <t>ALBEMARLE HOSPITAL AUTHORITY</t>
  </si>
  <si>
    <t>ELIZABETH CITY</t>
  </si>
  <si>
    <t>ELIZABETH CITY-PASQUOTANK CO AIRPORT AUTH</t>
  </si>
  <si>
    <t>ELIZABETH CITY PASQUOTANK COUNTY TDA</t>
  </si>
  <si>
    <t>PASQUOTANK-CAMDEN LIBRARY</t>
  </si>
  <si>
    <t>ELIZABETH CTY-PASQUOTANK CO INDUSTRL DEVELOPMENT C</t>
  </si>
  <si>
    <t>PENDER COUNTY</t>
  </si>
  <si>
    <t>PENDER COUNTY ABC BOARD</t>
  </si>
  <si>
    <t>TOWN OF BURGAW</t>
  </si>
  <si>
    <t>TOWN OF TOPSAIL BEACH</t>
  </si>
  <si>
    <t>TOWN OF SURF CITY</t>
  </si>
  <si>
    <t>PERQUIMANS COUNTY</t>
  </si>
  <si>
    <t>TOWN OF HERTFORD</t>
  </si>
  <si>
    <t>HERTFORD HOUSING AUTH</t>
  </si>
  <si>
    <t>TOWN OF HERTFORD ABC BOARD</t>
  </si>
  <si>
    <t>TOWN OF WINFALL</t>
  </si>
  <si>
    <t>PERSON COUNTY</t>
  </si>
  <si>
    <t>PERSON CO ABC BD</t>
  </si>
  <si>
    <t>CITY OF ROXBORO</t>
  </si>
  <si>
    <t>PITT COUNTY</t>
  </si>
  <si>
    <t>PITT-GREENVILLE CONV &amp; VISTORS</t>
  </si>
  <si>
    <t>PITT COUNTY ABC BOARD</t>
  </si>
  <si>
    <t>SHEPPARD MEMORIAL LIBRARY</t>
  </si>
  <si>
    <t>CONTENNEA METROPOLITAN SEWERAGE DIST</t>
  </si>
  <si>
    <t>CITY OF GREENVILLE</t>
  </si>
  <si>
    <t>GREENVILLE UTILITIES COMMISSION</t>
  </si>
  <si>
    <t>GREENVILLE HOUSING AUTHORITY</t>
  </si>
  <si>
    <t>TOWN OF FARMVILLE</t>
  </si>
  <si>
    <t>FARMVILLE HOUSING AUTHORITY</t>
  </si>
  <si>
    <t>TOWN OF GRIFTON</t>
  </si>
  <si>
    <t>TOWN OF BETHEL</t>
  </si>
  <si>
    <t>TOWN OF WINTERVILLE</t>
  </si>
  <si>
    <t>TOWN OF AYDEN</t>
  </si>
  <si>
    <t>AYDEN HOUSING AUTHORITY</t>
  </si>
  <si>
    <t>TOWN OF GRIMESLAND</t>
  </si>
  <si>
    <t>VILLAGE OF SIMPSON</t>
  </si>
  <si>
    <t>FOUNTAIN, TOWN OF</t>
  </si>
  <si>
    <t>POLK COUNTY</t>
  </si>
  <si>
    <t>TOWN OF TRYON</t>
  </si>
  <si>
    <t>TOWN OF COLUMBUS</t>
  </si>
  <si>
    <t>CITY OF SALUDA</t>
  </si>
  <si>
    <t>RANDOLPH COUNTY</t>
  </si>
  <si>
    <t>ASHEBORO ABC BOARD</t>
  </si>
  <si>
    <t>CITY OF ASHEBORO</t>
  </si>
  <si>
    <t>ASHEBORO HOUSING AUTH</t>
  </si>
  <si>
    <t>CITY OF RANDLEMAN</t>
  </si>
  <si>
    <t>CITY OF RANDLEMAN HOUSING AUTHORITY</t>
  </si>
  <si>
    <t>CITY OF RANDLEMAN ABC BOARD</t>
  </si>
  <si>
    <t>TOWN OF LIBERTY</t>
  </si>
  <si>
    <t>LIBERTY ABC BOARD</t>
  </si>
  <si>
    <t>TOWN OF RAMSEUR</t>
  </si>
  <si>
    <t>CITY OF ARCHDALE</t>
  </si>
  <si>
    <t>CITY OF TRINITY</t>
  </si>
  <si>
    <t>RICHMOND COUNTY</t>
  </si>
  <si>
    <t>SANDHILL REGIONAL LIBRARY</t>
  </si>
  <si>
    <t>CITY OF ROCKINGHAM</t>
  </si>
  <si>
    <t>ROCKINGHAM HOUSING AUTHORITY</t>
  </si>
  <si>
    <t>HAMLET ABC BOARD</t>
  </si>
  <si>
    <t>CITY OF HAMLET</t>
  </si>
  <si>
    <t>CITY OF ROCKINGHAM ABC BOARD</t>
  </si>
  <si>
    <t>TOWN OF ELLERBE</t>
  </si>
  <si>
    <t>COUNTY OF ROBESON</t>
  </si>
  <si>
    <t>LUMBER RIVER COUNCIL OF GOVERNMENTS</t>
  </si>
  <si>
    <t>ROBESON COUNTY HOUSING AUTHORITY</t>
  </si>
  <si>
    <t>ROBESON COUNTY PUBLIC LIBRARY</t>
  </si>
  <si>
    <t>CITY OF LUMBERTON</t>
  </si>
  <si>
    <t>LUMBERTON ABC BOARD</t>
  </si>
  <si>
    <t>LUMBERTON AIRPORT COMM</t>
  </si>
  <si>
    <t>TOWN OF FAIRMONT</t>
  </si>
  <si>
    <t>FAIRMONT HOUSING AUTHORITY</t>
  </si>
  <si>
    <t>TOWN OF ST PAULS</t>
  </si>
  <si>
    <t>ST PAUL'S BRD OF ALCOHOLIC CTL</t>
  </si>
  <si>
    <t>TOWN OF MAXTON</t>
  </si>
  <si>
    <t>TOWN OF PARKTON</t>
  </si>
  <si>
    <t>MAXTON ABC BOARD</t>
  </si>
  <si>
    <t>TOWN OF PEMBROKE</t>
  </si>
  <si>
    <t>PEMBROKE HOUSING AUTHORITY</t>
  </si>
  <si>
    <t>TOWN OF ROWLAND</t>
  </si>
  <si>
    <t>TOWN OF RED SPRINGS</t>
  </si>
  <si>
    <t>RED SPRINGS ABC BOARD</t>
  </si>
  <si>
    <t>ROCKINGHAM COUNTY</t>
  </si>
  <si>
    <t>CITY OF REIDSVILLE</t>
  </si>
  <si>
    <t>THE NEW REIDSVILLE HOUSING AUTH</t>
  </si>
  <si>
    <t>REIDSVILLE ABC BOARD</t>
  </si>
  <si>
    <t>TOWN OF MAYODAN</t>
  </si>
  <si>
    <t>TOWN OF STONEVILLE</t>
  </si>
  <si>
    <t>TOWN OF MADISON</t>
  </si>
  <si>
    <t>MADISON ABC BOARD</t>
  </si>
  <si>
    <t>MADISON-MAYODAN RECREATION COMM</t>
  </si>
  <si>
    <t>CITY OF EDEN</t>
  </si>
  <si>
    <t>EDEN ABC BOARD</t>
  </si>
  <si>
    <t>ROWAN COUNTY</t>
  </si>
  <si>
    <t>ROWAN CONVENTION &amp; VISTORS BUREAU</t>
  </si>
  <si>
    <t>ROWAN CO HOUSING AUTHORITY</t>
  </si>
  <si>
    <t>ROWAN COUNTY ABC BOARD</t>
  </si>
  <si>
    <t>ROWAN CO SOIL &amp; WATER CONV DIST</t>
  </si>
  <si>
    <t>CITY OF SALISBURY</t>
  </si>
  <si>
    <t>HOUSING AUTH OF THE CTY OF SALISBURY</t>
  </si>
  <si>
    <t>TOWN OF EAST SPENCER</t>
  </si>
  <si>
    <t>EAST SPENCER HOUSING AUTHORITY</t>
  </si>
  <si>
    <t>TOWN OF SPENCER</t>
  </si>
  <si>
    <t>TOWN OF CHINA GROVE</t>
  </si>
  <si>
    <t>TOWN OF LANDIS</t>
  </si>
  <si>
    <t>TOWN OF GRANITE QUARRY</t>
  </si>
  <si>
    <t>TOWN OF ROCKWELL</t>
  </si>
  <si>
    <t>TOWN OF FAITH</t>
  </si>
  <si>
    <t>TOWN OF CLEVELAND</t>
  </si>
  <si>
    <t>RUTHERFORD COUNTY</t>
  </si>
  <si>
    <t>BROAD RIVER WATER AUTHORITY</t>
  </si>
  <si>
    <t>RUTHERFORD POLK MCDOWELL DIST BRD OF HEALTH</t>
  </si>
  <si>
    <t>FOREST CITY ABC BOARD 168</t>
  </si>
  <si>
    <t>ISOTHERMAL PLANNING AND DEV COMM</t>
  </si>
  <si>
    <t>TOWN OF FOREST CITY</t>
  </si>
  <si>
    <t>FOREST CITY HOUSING AUTHORITY</t>
  </si>
  <si>
    <t>TOWN OF SPINDALE</t>
  </si>
  <si>
    <t>TOWN OF LAKE LURE</t>
  </si>
  <si>
    <t>TOWN OF RUTHERFORDTON</t>
  </si>
  <si>
    <t>TOWN OF RUTHERFORDTON ABC BRD</t>
  </si>
  <si>
    <t>TOWN OF ELLENBORO</t>
  </si>
  <si>
    <t>SAMPSON COUNTY</t>
  </si>
  <si>
    <t>J C HOLIDAY MEM LIBRARY</t>
  </si>
  <si>
    <t>CITY OF CLINTON</t>
  </si>
  <si>
    <t>CLINTON ABC BOARD</t>
  </si>
  <si>
    <t>TOWN OF SALEMBURG</t>
  </si>
  <si>
    <t>TOWN OF NEWTON GROVE</t>
  </si>
  <si>
    <t>ROSEBORO ABC BOARD</t>
  </si>
  <si>
    <t>TOWN OF GARLAND</t>
  </si>
  <si>
    <t>TOWN OF TURKEY</t>
  </si>
  <si>
    <t>TOWN OF ROSEBORO</t>
  </si>
  <si>
    <t>TOWN OF AUTRYVILLE</t>
  </si>
  <si>
    <t>SCOTLAND COUNTY</t>
  </si>
  <si>
    <t>SCOTLAND COUNTY ABC BOARD</t>
  </si>
  <si>
    <t>LAURINBURG-MAXTON AIRPORT COMMISSION</t>
  </si>
  <si>
    <t>CITY OF LAURINBURG</t>
  </si>
  <si>
    <t>LAURINBURG HOUSING AUTHORITY</t>
  </si>
  <si>
    <t>TOWN OF WAGRAM</t>
  </si>
  <si>
    <t>TOWN OF GIBSON</t>
  </si>
  <si>
    <t>STANLY COUNTY</t>
  </si>
  <si>
    <t>CITY OF ALBEMARLE</t>
  </si>
  <si>
    <t>ALBEMARLE ABC BOARD</t>
  </si>
  <si>
    <t>TOWN OF NORWOOD</t>
  </si>
  <si>
    <t>NORWOOD ABC BD</t>
  </si>
  <si>
    <t>CITY OF LOCUST</t>
  </si>
  <si>
    <t>TOWN OF OAKBORO</t>
  </si>
  <si>
    <t>TOWN OF BADIN</t>
  </si>
  <si>
    <t>TOWN OF STANFIELD</t>
  </si>
  <si>
    <t>STOKES COUNTY</t>
  </si>
  <si>
    <t>TOWN OF WALNUT COVE</t>
  </si>
  <si>
    <t>WALNUT COVE ABC BOARD</t>
  </si>
  <si>
    <t>CITY OF KING</t>
  </si>
  <si>
    <t>SURRY COUNTY</t>
  </si>
  <si>
    <t>YADKIN VALLEY ABC BOARD</t>
  </si>
  <si>
    <t>PILOT MOUNTAIN ABC BOARD</t>
  </si>
  <si>
    <t>YADKIN VALLEY SEWER AUTHORITY</t>
  </si>
  <si>
    <t>TOWN OF PILOT MOUNTAIN</t>
  </si>
  <si>
    <t>TOWN OF DOBSON</t>
  </si>
  <si>
    <t>DOBSON ABC BD</t>
  </si>
  <si>
    <t>CITY OF MOUNT AIRY</t>
  </si>
  <si>
    <t>MOUNT AIRY ALCOHOLIC BOARD OF CONTROL</t>
  </si>
  <si>
    <t>TOWN OF ELKIN</t>
  </si>
  <si>
    <t>ELKIN ABC BOARD</t>
  </si>
  <si>
    <t>SWAIN COUNTY</t>
  </si>
  <si>
    <t>TOWN OF BRYSON CITY</t>
  </si>
  <si>
    <t>BRYSON CITY ABC BOARD</t>
  </si>
  <si>
    <t>TRANSYLVANIA COUNTY</t>
  </si>
  <si>
    <t>CITY OF BREVARD</t>
  </si>
  <si>
    <t>BREVARD ABC BOARD</t>
  </si>
  <si>
    <t>TYRRELL COUNTY</t>
  </si>
  <si>
    <t>TYRRELL CO ABC BOARD</t>
  </si>
  <si>
    <t>TOWN OF COLUMBIA</t>
  </si>
  <si>
    <t>UNION COUNTY</t>
  </si>
  <si>
    <t>CITY OF MONROE</t>
  </si>
  <si>
    <t>CITY OF MONROE HOUSING AUTHORITY</t>
  </si>
  <si>
    <t>INDIAN TRAIL ABC BOARD</t>
  </si>
  <si>
    <t>MONROE ABC BOARD</t>
  </si>
  <si>
    <t>TOWN OF MARSHVILLE</t>
  </si>
  <si>
    <t>TOWN OF WINGATE</t>
  </si>
  <si>
    <t>TOWN OF WAXHAW</t>
  </si>
  <si>
    <t>WAXHAW ABC BOARD</t>
  </si>
  <si>
    <t>TOWN OF INDIAN TRAIL</t>
  </si>
  <si>
    <t>TOWN OF UNIONVILLE</t>
  </si>
  <si>
    <t>TOWN OF WEDDINGTON</t>
  </si>
  <si>
    <t>VILLAGE OF MARVIN</t>
  </si>
  <si>
    <t>VILLAGE OF WESLEY CHAPEL</t>
  </si>
  <si>
    <t>VANCE COUNTY</t>
  </si>
  <si>
    <t>VANCE COUNTY ABC BD</t>
  </si>
  <si>
    <t>KERR-TAR REGIONAL COUNCIL OF GOVTS</t>
  </si>
  <si>
    <t>KERR AREA TRANSPORTATION AUTHORITY</t>
  </si>
  <si>
    <t>CITY OF HENDERSON</t>
  </si>
  <si>
    <t>WAKE COUNTY</t>
  </si>
  <si>
    <t>TOWN OF HOLLY SPRINGS</t>
  </si>
  <si>
    <t>TOWN OF ROLESVILLE</t>
  </si>
  <si>
    <t>WAKE COUNTY ABC BOARD</t>
  </si>
  <si>
    <t>TOWN OF MORRISVILLE</t>
  </si>
  <si>
    <t>HOUSING AUTHORITY OF THE COUNTY OF WAKE</t>
  </si>
  <si>
    <t>BAYLEAF FIRE DEPARTMENT</t>
  </si>
  <si>
    <t>ELECTRICITIES OF NC</t>
  </si>
  <si>
    <t>CITY OF RALEIGH</t>
  </si>
  <si>
    <t>DURHAM HWY FIRE PROTECTION ASSOC</t>
  </si>
  <si>
    <t>CITY OF RALEIGH HOUSING AUTHORITY</t>
  </si>
  <si>
    <t>RALEIGH-DURHAM AIRPORT AUTHORITY</t>
  </si>
  <si>
    <t>TOWN OF CARY</t>
  </si>
  <si>
    <t>CENTENNIAL AUTHORITY</t>
  </si>
  <si>
    <t>TOWN OF WENDELL</t>
  </si>
  <si>
    <t>TOWN OF ZEBULON</t>
  </si>
  <si>
    <t>TOWN OF GARNER</t>
  </si>
  <si>
    <t>GARNER FIRE DEPT</t>
  </si>
  <si>
    <t>TOWN OF FUQUAY-VARINA</t>
  </si>
  <si>
    <t>TOWN OF APEX</t>
  </si>
  <si>
    <t>TOWN OF WAKE FOREST</t>
  </si>
  <si>
    <t>TOWN OF KNIGHTDALE</t>
  </si>
  <si>
    <t>WARREN COUNTY</t>
  </si>
  <si>
    <t>WARREN COUNTY ABC BOARD</t>
  </si>
  <si>
    <t>TOWN OF NORLINA</t>
  </si>
  <si>
    <t>TOWN OF WARRENTON</t>
  </si>
  <si>
    <t>WASHINGTON COUNTY</t>
  </si>
  <si>
    <t>WASHINGTON COUNTY ABC BOARD</t>
  </si>
  <si>
    <t>PETTIGREW REGIONAL LIBRARY</t>
  </si>
  <si>
    <t>TOWN OF PLYMOUTH</t>
  </si>
  <si>
    <t>PLYMOUTH HOUSING AUTHORITY</t>
  </si>
  <si>
    <t>TOWN OF ROPER</t>
  </si>
  <si>
    <t>TOWN OF CRESWELL</t>
  </si>
  <si>
    <t>WATAUGA COUNTY</t>
  </si>
  <si>
    <t>REGION D COUNCIL OF GOVERNMENTS</t>
  </si>
  <si>
    <t>BLOWING ROCK TOURISM DEVELOPMENT AUTHORITY</t>
  </si>
  <si>
    <t>WATAUGA COUNTY DISTRICT U TDA</t>
  </si>
  <si>
    <t>TOWN OF BOONE</t>
  </si>
  <si>
    <t>TOWN OF BLOWING ROCK</t>
  </si>
  <si>
    <t>BLOWING ROCK ABC BD</t>
  </si>
  <si>
    <t>TOWN OF SEVEN DEVILS</t>
  </si>
  <si>
    <t>WAYNE COUNTY</t>
  </si>
  <si>
    <t>FORK TOWNSHIP SANITARY DIST</t>
  </si>
  <si>
    <t>EASTERN CAROLINA REG'L HOUSING AUTH</t>
  </si>
  <si>
    <t>WAYNE COUNTY ABC BOARD</t>
  </si>
  <si>
    <t>SOUTHERN WAYNE SANITARY DISTRICT</t>
  </si>
  <si>
    <t>EASTERN WAYNE SANITARY DIST</t>
  </si>
  <si>
    <t>CITY OF GOLDSBORO</t>
  </si>
  <si>
    <t>HOUSING AUTHORITY OF GOLDSBORO</t>
  </si>
  <si>
    <t>TOWN OF MOUNT OLIVE</t>
  </si>
  <si>
    <t>MT OLIVE HOUSING AUTHORITY</t>
  </si>
  <si>
    <t>TOWN OF FREMONT</t>
  </si>
  <si>
    <t>TOWN OF PIKEVILLE</t>
  </si>
  <si>
    <t>VILLAGE OF WALNUT CREEK</t>
  </si>
  <si>
    <t>WILKES COUNTY</t>
  </si>
  <si>
    <t>APPALACHIAN REGIONAL LIBRARY</t>
  </si>
  <si>
    <t>TOWN OF N WILKESBORO</t>
  </si>
  <si>
    <t>TOWN OF N WILKESBORO ABC BOARD</t>
  </si>
  <si>
    <t>TOWN OF WILKESBORO</t>
  </si>
  <si>
    <t>WILKESBORO ABC BOARD</t>
  </si>
  <si>
    <t>WILSON COUNTY</t>
  </si>
  <si>
    <t>WILSON COUNTY TOURISM DEVELOPMENT AUTH</t>
  </si>
  <si>
    <t>WILSON COUNTY ABC BOARD</t>
  </si>
  <si>
    <t>CITY OF WILSON</t>
  </si>
  <si>
    <t>WILSON ECONOMIC DEV COUNCIL</t>
  </si>
  <si>
    <t>CITY OF WILSON CEMETERY COMMISSION</t>
  </si>
  <si>
    <t>TOWN OF STANTONSBURG</t>
  </si>
  <si>
    <t>TOWN OF BLACK CREEK</t>
  </si>
  <si>
    <t>TOWN OF LUCAMA</t>
  </si>
  <si>
    <t>TOWN OF ELM CITY</t>
  </si>
  <si>
    <t>YADKIN COUNTY</t>
  </si>
  <si>
    <t>TOWN OF YADKINVILLE</t>
  </si>
  <si>
    <t>TOWN OF JONESVILLE</t>
  </si>
  <si>
    <t>TOWN OF EAST BEND</t>
  </si>
  <si>
    <t>TOWN OF BOONVILLE</t>
  </si>
  <si>
    <t>N C ASSOC OF CO COMMISSIONERS</t>
  </si>
  <si>
    <t>N C LEAGUE OF MUNICIPALITIES</t>
  </si>
  <si>
    <t>Alamance Municipal ABC Board</t>
  </si>
  <si>
    <t>Albemarle Regional Health Services</t>
  </si>
  <si>
    <t>Brunswick County Dept of Social Services</t>
  </si>
  <si>
    <t>Brunswick Regional Water and Sewer H2GO</t>
  </si>
  <si>
    <t>Burke County Dept of Social Services</t>
  </si>
  <si>
    <t>Caswell County Dept of Social Services</t>
  </si>
  <si>
    <t>Centerpoint Human Services</t>
  </si>
  <si>
    <t>Charlotte Regional Visitors Authority</t>
  </si>
  <si>
    <t>Contennea Metro Sewer District</t>
  </si>
  <si>
    <t>East Carolina Behavorial Healthcare</t>
  </si>
  <si>
    <t>Eastpointe Human Services</t>
  </si>
  <si>
    <t>Goldsboro Housing Authority</t>
  </si>
  <si>
    <t>Graham County Dept of Social Services</t>
  </si>
  <si>
    <t>Indian Trail ABC Board</t>
  </si>
  <si>
    <t>Jackson County ABC Board</t>
  </si>
  <si>
    <t>Johnston Health Center</t>
  </si>
  <si>
    <t>McDowell County</t>
  </si>
  <si>
    <t>Mid-Carolina Council of Governments</t>
  </si>
  <si>
    <t>Mideast Commission</t>
  </si>
  <si>
    <t>Mineral Springs, Town of</t>
  </si>
  <si>
    <t>Parkton, Town of</t>
  </si>
  <si>
    <t>Partners Behavioral Health Management</t>
  </si>
  <si>
    <t>Rowan Convention and Visitors Bureau</t>
  </si>
  <si>
    <t>Sandhills Center</t>
  </si>
  <si>
    <t>Southeast Brunswick Sanitary District</t>
  </si>
  <si>
    <t>Triad Municipal ABC Board</t>
  </si>
  <si>
    <t>Trillium Health Resources</t>
  </si>
  <si>
    <t>Upper Coastal Plain Council of Governments</t>
  </si>
  <si>
    <t>West Columbus ABC Board</t>
  </si>
  <si>
    <t>Yadkin Valley ABC Board</t>
  </si>
  <si>
    <t>To select your agency from the drop down list, click in cell C13 and choose your unit name.</t>
  </si>
  <si>
    <t>Total Plan - FYE 2017</t>
  </si>
  <si>
    <t>Beginning DO(DI) for Earnings</t>
  </si>
  <si>
    <t>Beginning NPL</t>
  </si>
  <si>
    <t>Ending NPL</t>
  </si>
  <si>
    <t>Pension Expense - Actuary</t>
  </si>
  <si>
    <t>Beginning DO - Experience</t>
  </si>
  <si>
    <t>Beginning DO - Earnings</t>
  </si>
  <si>
    <t>Beginning DO - Assumptions</t>
  </si>
  <si>
    <t>Beginning DO - Employer proportions</t>
  </si>
  <si>
    <t>Beginning DI - Experience</t>
  </si>
  <si>
    <t>Beginning DI - Earnings</t>
  </si>
  <si>
    <t>Beginning DI - Assumptions</t>
  </si>
  <si>
    <t>Beginning DI - Employer Proportions</t>
  </si>
  <si>
    <t>Ending DO - Experience</t>
  </si>
  <si>
    <t>Ending DO - Earnings</t>
  </si>
  <si>
    <t>Ending DO - Assumptions</t>
  </si>
  <si>
    <t>Ending DO - Employer proportions</t>
  </si>
  <si>
    <t>Ending DI - Experience</t>
  </si>
  <si>
    <t>Ending DI - Earnings</t>
  </si>
  <si>
    <t>Ending DI - Assumptions</t>
  </si>
  <si>
    <t>Ending DI - Employer Proportions</t>
  </si>
  <si>
    <t>Beginning DO - Contributions subsequent to PY measurement date</t>
  </si>
  <si>
    <t>Pension Expense - Measurement period contributions b/w Actuary and Agency</t>
  </si>
  <si>
    <t>Pension Expense - Rounding</t>
  </si>
  <si>
    <t xml:space="preserve">Deferred Outflow - Differences Between Expected and Actual Experience </t>
  </si>
  <si>
    <t xml:space="preserve">Deferred Outflow - Changes in Assumptions </t>
  </si>
  <si>
    <t xml:space="preserve">Deferred Outflow - Changes in Proportion and Differences Between Employer Contributions and Proportionate Share of Contributions </t>
  </si>
  <si>
    <t xml:space="preserve">Deferred Inflow - Differences Between Expected and Actual Experience </t>
  </si>
  <si>
    <t xml:space="preserve">Deferred Inflow - Net Difference Between Projected and Actual Investment Earnings on Plan Investments </t>
  </si>
  <si>
    <t xml:space="preserve">Deferred Inflow - Changes in Assumptions </t>
  </si>
  <si>
    <t>Deferred Inflow - Changes in Proportion and Differences Between Employer Contributions and Proportionate Share of Contributions</t>
  </si>
  <si>
    <t>Total pension liability - LEO</t>
  </si>
  <si>
    <t>Net Pension Asset BOY</t>
  </si>
  <si>
    <t>Net Pension Asset EOY</t>
  </si>
  <si>
    <t>Net Pension Liability(Asset) BOY</t>
  </si>
  <si>
    <t>Net Pension Liability(Asset) EOY</t>
  </si>
  <si>
    <t>Beginning NPA</t>
  </si>
  <si>
    <t>Ending NPA</t>
  </si>
  <si>
    <t>Pension Expense - Human Resources</t>
  </si>
  <si>
    <t>Pension Expense - Education</t>
  </si>
  <si>
    <t>GASB 73 Entries - LEO</t>
  </si>
  <si>
    <t>Enter amounts below from the actuarial report.</t>
  </si>
  <si>
    <t>Total Pension Liability - Beginning of Year</t>
  </si>
  <si>
    <t>Total Pension Liability - End of Year</t>
  </si>
  <si>
    <t>From "Reconciliation of Total Pension Liability" table in Actuary Report</t>
  </si>
  <si>
    <t>From "Pension Expense" table in Actuary Report</t>
  </si>
  <si>
    <t>From "Amortization of the Change due to the Difference between Expected and Actual Experience" table in Actuary Report</t>
  </si>
  <si>
    <t>From "Amortization of the Change due to Assumption Changes" table in Actuary Report</t>
  </si>
  <si>
    <t>Enter amounts below per your financial records</t>
  </si>
  <si>
    <t>Ending total pension liability</t>
  </si>
  <si>
    <t>Deferred outflows of resources - Difference b/w Expected and Actual Experience BEG ($0 in year 1)</t>
  </si>
  <si>
    <t>Deferred outflows of resources - Difference b/w Expected and Actual Experience END</t>
  </si>
  <si>
    <t>Deferred inflows of resources - Difference b/w Expected and Actual Experience BEG ($0 in year 1)</t>
  </si>
  <si>
    <t>Deferred inflows of resources - Difference b/w Expected and Actual Experience END</t>
  </si>
  <si>
    <t>Deferred outflows of resources - Change of Assumptions BEG ($0 in year 1)</t>
  </si>
  <si>
    <t>Deferred outflows of resources - Change of Assumptions END</t>
  </si>
  <si>
    <t>Deferred inflows of resources - Change of Assumptions BEG ($0 in year 1)</t>
  </si>
  <si>
    <t>Deferred inflows of resources - Change of Assumptions END</t>
  </si>
  <si>
    <t>Deferred outflows of resources - Employer benefit payments for the measurement period (in year 1, record to Fund Balance Restatement)</t>
  </si>
  <si>
    <t>To record current year activity from actuary report</t>
  </si>
  <si>
    <t>Deferred outflows of resources - employer benefit payments after the measurement date thru FYE</t>
  </si>
  <si>
    <t>To record deferred outflows of resources for benefit payments subsequent to measurement date</t>
  </si>
  <si>
    <t>Deferred outflows of resources - Pension administration costs subsequent to the measurement date thru FYE</t>
  </si>
  <si>
    <t>To record deferred outflows of resources for administration costs subsequent to the measurement date</t>
  </si>
  <si>
    <t>Entry for Conversion worksheet to record total pension liability, pension expense, and deferred outflows and deferred inflows of resources related to pensions.  (Entry O1)</t>
  </si>
  <si>
    <t>Deferred Outflow - Benefit Payments and Administrative Costs subsequent to the measurement date</t>
  </si>
  <si>
    <t>Work Section for Conversion entry O1</t>
  </si>
  <si>
    <t>O.1</t>
  </si>
  <si>
    <t>Amount to reclassify out of pension contributions - governmental activities and into deferred outflows - pensions</t>
  </si>
  <si>
    <t>GASB 75 Entries - OPEB</t>
  </si>
  <si>
    <t>From prior year.  Should be $0 in year 1 of GASB 75 implementation.</t>
  </si>
  <si>
    <t>OPEB Expense</t>
  </si>
  <si>
    <t>Ending total OPEB liability</t>
  </si>
  <si>
    <t>Deferred outflows of resources -OPEB administration costs subsequent to the measurement date thru FYE</t>
  </si>
  <si>
    <t>(Note:  Percentages entered in the section below should equal the Governmental Activities allocation percentage in Cell D13.)</t>
  </si>
  <si>
    <t>General Government OPEB contributions/benefit payments</t>
  </si>
  <si>
    <t>Public Safety OPEB contributions/benefit payment</t>
  </si>
  <si>
    <t>Transportation OPEB contributions/benefit payment</t>
  </si>
  <si>
    <t>Economic and Physical Development OPEB contributions/benefit payment</t>
  </si>
  <si>
    <t>Enviromental Protection  OPEB contributions/benefit payment</t>
  </si>
  <si>
    <t>Human Services OPEB contributions/benefit payment</t>
  </si>
  <si>
    <t>Cultural and Recreation OPEB contributions/benefit payment</t>
  </si>
  <si>
    <t>Education OPEB contributions/benefit payment</t>
  </si>
  <si>
    <t>Other program 1 OPEB contributions/benefit payment</t>
  </si>
  <si>
    <t>Total (should = Governmental Activities Allocation Above)</t>
  </si>
  <si>
    <t>Deferred inflows of resources - Earnings BEG ($0 in year 1)</t>
  </si>
  <si>
    <t>Deferred outflows of resources - Earnings BEG ($0 in year 1)</t>
  </si>
  <si>
    <t>Deferred inflows of resources - Earnings END</t>
  </si>
  <si>
    <t>Deferred outflows of resources - Earnings END</t>
  </si>
  <si>
    <t>General Government OPEB Administration costs</t>
  </si>
  <si>
    <t>Public Safety OPEB Administration costs</t>
  </si>
  <si>
    <t>Transportation OPEB Administration costs</t>
  </si>
  <si>
    <t>Economic and Physical Development OPEB Administration costs</t>
  </si>
  <si>
    <t>Environmental Protection OPEB Administration costs</t>
  </si>
  <si>
    <t>Human Services OPEB Administration costs</t>
  </si>
  <si>
    <t>Cultural andReceation OPEB Administration costs</t>
  </si>
  <si>
    <t>Eduucation OPEB Administration costs</t>
  </si>
  <si>
    <t>Other program 1 OPEB Administration costs</t>
  </si>
  <si>
    <t xml:space="preserve">1. Determine the appropriate allocations for your government based upon your OPEB plan.  Percentages used here are for illustrative purposes ONLY. </t>
  </si>
  <si>
    <t>Allocation of OPEB Expenses, Current year Contributions/Benefits Paid, and Administrative Costs</t>
  </si>
  <si>
    <t>Note:  May need to allocate if have more than one Enterprise Fund.</t>
  </si>
  <si>
    <t>OPEB administration costs incurred subsequent to the measurement date through the end of your FYE (i.e. June 30, 2018)</t>
  </si>
  <si>
    <t>Beginning total OPEB liability (in year 1, record to Net Position Restatement)</t>
  </si>
  <si>
    <t>Deferred Outflow - Difference between projected and actual investment earnings</t>
  </si>
  <si>
    <t>Deferred Inflow - Difference between projected and actual investment earnings</t>
  </si>
  <si>
    <t>Prior year Outflow/(Inflow) Deferred Balance - Difference b/w Expected and Actual Experience</t>
  </si>
  <si>
    <t>Prior year Outflow/(Inflow) Deferred Balance - Assumption Changes</t>
  </si>
  <si>
    <t>Prior year Outflow/(Inflow) Deferred Balance - Investments Earnings</t>
  </si>
  <si>
    <t>OPEB Expense (includes administrative expenses)</t>
  </si>
  <si>
    <t>Deferred Outflow - Administrative Costs made subsequent to the measurement date</t>
  </si>
  <si>
    <t>Measurement date 6/30/2017</t>
  </si>
  <si>
    <t>Recognition period - 5.00 years</t>
  </si>
  <si>
    <t>Total Deferred Outflows of Resources</t>
  </si>
  <si>
    <t>Total Deferred Inflows of Resources</t>
  </si>
  <si>
    <t>TOWN OF SEAGROVE</t>
  </si>
  <si>
    <t>BEAUFORT COUNTY</t>
  </si>
  <si>
    <t>WESTERN NC REGIONAL AIR QUALITY</t>
  </si>
  <si>
    <t>WATER &amp; SEWER AUTH OF CABARRUS CNTY</t>
  </si>
  <si>
    <t>CLEVELAND COUNTY WATER</t>
  </si>
  <si>
    <t>THOMASVILLE ABC BOARD</t>
  </si>
  <si>
    <t>GATES COUNTY</t>
  </si>
  <si>
    <t>GRANVILLE-VANCE PUBLIC HEALTH</t>
  </si>
  <si>
    <t>HAYWOOD COUNTY</t>
  </si>
  <si>
    <t>HAYWOOD COUNTY TOURISM DEVELOPMENT AUTHORITY</t>
  </si>
  <si>
    <t>VAYA HEALTH</t>
  </si>
  <si>
    <t>WILMINGTON HOUSING AUTHORITY</t>
  </si>
  <si>
    <t>ROBESON COUNTY</t>
  </si>
  <si>
    <t>LOCUST ABC BOARD</t>
  </si>
  <si>
    <t>WAKE COUNTY HOUSING AUTHORITY</t>
  </si>
  <si>
    <t>Alamance Comm Fire Dist</t>
  </si>
  <si>
    <t>Albemarle ABC Board</t>
  </si>
  <si>
    <t>Albemarle Regnl Planning &amp; Development Comm</t>
  </si>
  <si>
    <t>Alexander County Dept Of S S</t>
  </si>
  <si>
    <t>Alexander County Health Dept</t>
  </si>
  <si>
    <t>Alexander County Public Library</t>
  </si>
  <si>
    <t>Alliance Behavioral Healthcre</t>
  </si>
  <si>
    <t>Angier ABC Board</t>
  </si>
  <si>
    <t>Appalachian District Health Dept</t>
  </si>
  <si>
    <t>Asheboro ABC Board</t>
  </si>
  <si>
    <t>Asheboro Housing Auth</t>
  </si>
  <si>
    <t>Asheville ABC Board</t>
  </si>
  <si>
    <t>Avery County Fire Commission</t>
  </si>
  <si>
    <t>Avery-Mitchell-Yancey Reg Library</t>
  </si>
  <si>
    <t>B H M Regional Library</t>
  </si>
  <si>
    <t>Beaufort County ABC Board</t>
  </si>
  <si>
    <t>Beaufort Housing Auth</t>
  </si>
  <si>
    <t>Bertie County ABC Board</t>
  </si>
  <si>
    <t>Black Mtn ABC Board</t>
  </si>
  <si>
    <t>Blowing Rock ABC Bd</t>
  </si>
  <si>
    <t>Boiling Sprg Lakes</t>
  </si>
  <si>
    <t>Boiling Spring Lakes ABC Board</t>
  </si>
  <si>
    <t>Brevard ABC Board</t>
  </si>
  <si>
    <t>Brunswick Co Dept Of Social Services</t>
  </si>
  <si>
    <t>Brunswick Co Health Dept</t>
  </si>
  <si>
    <t>Brunswick County ABC Board</t>
  </si>
  <si>
    <t>Brunswick County Tourism Authority</t>
  </si>
  <si>
    <t>Brunswick Regional Water And Sewer H2Go</t>
  </si>
  <si>
    <t>Bryson City ABC Board</t>
  </si>
  <si>
    <t>Bunn ABC Board</t>
  </si>
  <si>
    <t>Burke Co Dept Of Social Services</t>
  </si>
  <si>
    <t>Burke Co Health Dept</t>
  </si>
  <si>
    <t>Burke County Tourism Dev. Authority</t>
  </si>
  <si>
    <t>Burke-Catawba Dist Confinement</t>
  </si>
  <si>
    <t>Cabarrus Co Public Health Auth</t>
  </si>
  <si>
    <t>Cabarrus County Tourism Authority</t>
  </si>
  <si>
    <t>Cajah'S Mountain</t>
  </si>
  <si>
    <t>Calabash ABC Board</t>
  </si>
  <si>
    <t>Camden County ABC Board</t>
  </si>
  <si>
    <t>Canton ABC Board</t>
  </si>
  <si>
    <t>Carteret County ABC Board</t>
  </si>
  <si>
    <t>Caswell Co Dept Of Social Services</t>
  </si>
  <si>
    <t>Caswell County ABC Board</t>
  </si>
  <si>
    <t>Catawba County ABC Board</t>
  </si>
  <si>
    <t>Centennial Authority</t>
  </si>
  <si>
    <t>Charlotte Firemen'S Ret Sys</t>
  </si>
  <si>
    <t>Charlotte Housing Authority</t>
  </si>
  <si>
    <t>Charlotte Mecklenburg Public Library</t>
  </si>
  <si>
    <t>Chatham Co Housing Auth</t>
  </si>
  <si>
    <t>Chatham County ABC Board</t>
  </si>
  <si>
    <t>Cherryville ABC Board</t>
  </si>
  <si>
    <t>Choanoke Public Transportation Auth</t>
  </si>
  <si>
    <t>Chowan County Abc Board</t>
  </si>
  <si>
    <t>Cleveland County Water</t>
  </si>
  <si>
    <t>Clinton ABC Board</t>
  </si>
  <si>
    <t>Coastal Carolina Regional Airport</t>
  </si>
  <si>
    <t>Coastal Regional Solid Waste Mngt Auth</t>
  </si>
  <si>
    <t>Concord ABC Board</t>
  </si>
  <si>
    <t>Contennea Metropolitan Sewerage Dist</t>
  </si>
  <si>
    <t>Cooleemee ABC Board</t>
  </si>
  <si>
    <t>County Of Henderson</t>
  </si>
  <si>
    <t>Craven Co ABC Bd</t>
  </si>
  <si>
    <t>Cumberland Co ABC Board</t>
  </si>
  <si>
    <t>Currituck Co ABC Board</t>
  </si>
  <si>
    <t>Dare County ABC Board</t>
  </si>
  <si>
    <t>Davie Soil And Water Conservation Dist</t>
  </si>
  <si>
    <t>Dobson ABC Bd</t>
  </si>
  <si>
    <t>Dunn ABC Board</t>
  </si>
  <si>
    <t>Durham Convention &amp; Visitors Bureau</t>
  </si>
  <si>
    <t>Durham County ABC Board</t>
  </si>
  <si>
    <t>Durham Hwy Fire Protection Assoc</t>
  </si>
  <si>
    <t>Eastern Carolina Reg'L Housing Auth</t>
  </si>
  <si>
    <t>Eastern Wayne Sanitary Dist</t>
  </si>
  <si>
    <t>Eden ABC Board</t>
  </si>
  <si>
    <t>Edgecombe County ABC Board</t>
  </si>
  <si>
    <t>Edgecombe County Memorial Library</t>
  </si>
  <si>
    <t>Electricities Of Nc</t>
  </si>
  <si>
    <t>Elizabeth City Pasquotank County Tda</t>
  </si>
  <si>
    <t>Elizabeth City-Pasquotank Co Airport Auth</t>
  </si>
  <si>
    <t>Elizabeth Cty-Pasquotank Co Industrl Development C</t>
  </si>
  <si>
    <t>Elizabethtown ABC Board</t>
  </si>
  <si>
    <t>Elon</t>
  </si>
  <si>
    <t>Fayetteville Metropolitan Housing Auth</t>
  </si>
  <si>
    <t>First Craven Sanitary Dist</t>
  </si>
  <si>
    <t>Fletcher ABC Board</t>
  </si>
  <si>
    <t>Forest City ABC Board 168</t>
  </si>
  <si>
    <t>Fork Township Sanitary Dist</t>
  </si>
  <si>
    <t>Fountain, Town Of</t>
  </si>
  <si>
    <t>Franklinton ABC Board</t>
  </si>
  <si>
    <t>Garner Fire Dept</t>
  </si>
  <si>
    <t>Gaston County Economic Dev. Commission</t>
  </si>
  <si>
    <t>Gastonia ABC Board</t>
  </si>
  <si>
    <t>Gates County ABC Board</t>
  </si>
  <si>
    <t>Gibsonville ABC Board</t>
  </si>
  <si>
    <t>Graham Co Health Dept</t>
  </si>
  <si>
    <t>Graham County Dept Of S S</t>
  </si>
  <si>
    <t>Granite Falls ABC Board</t>
  </si>
  <si>
    <t>Granville Co ABC Bd</t>
  </si>
  <si>
    <t>Granville-Vance Public Health</t>
  </si>
  <si>
    <t>Greater Statesville Development Corp</t>
  </si>
  <si>
    <t>Greene County ABC Board</t>
  </si>
  <si>
    <t>Greensboro ABC Bd</t>
  </si>
  <si>
    <t>Guilford Fire District # 13 Inc</t>
  </si>
  <si>
    <t>Halifax County ABC Board</t>
  </si>
  <si>
    <t>Hamlet ABC Board</t>
  </si>
  <si>
    <t>Haywood County Tourism Development Authority</t>
  </si>
  <si>
    <t>Hendersonville ABC Bd</t>
  </si>
  <si>
    <t>Hertford ABC Board</t>
  </si>
  <si>
    <t>Hertford County ABC Board</t>
  </si>
  <si>
    <t>Hertford Housing Auth</t>
  </si>
  <si>
    <t>Hickory Conover Tourism Dev Auth</t>
  </si>
  <si>
    <t>Hickory Public Housing Authority</t>
  </si>
  <si>
    <t>High Country ABC Board</t>
  </si>
  <si>
    <t>High Point ABC Bd</t>
  </si>
  <si>
    <t>Highlands ABC Board</t>
  </si>
  <si>
    <t>HighPoint</t>
  </si>
  <si>
    <t>Hildebran</t>
  </si>
  <si>
    <t>Hoke County ABC Board</t>
  </si>
  <si>
    <t>Housing Auth For The Cty Of Kinston</t>
  </si>
  <si>
    <t>Housing Auth Of The Cty Of Salisbury</t>
  </si>
  <si>
    <t>Housing Authority Of Goldsboro</t>
  </si>
  <si>
    <t>Hyde County ABC Board</t>
  </si>
  <si>
    <t>Isothermal Planning And Dev Comm</t>
  </si>
  <si>
    <t>J C Holiday Mem Library</t>
  </si>
  <si>
    <t>Johnston County ABC Board</t>
  </si>
  <si>
    <t>Jones County ABC Board</t>
  </si>
  <si>
    <t>Kenansville ABC Board</t>
  </si>
  <si>
    <t>Kerr Area Transportation Authority</t>
  </si>
  <si>
    <t>Kerr-Tar Regional Council Of Govts</t>
  </si>
  <si>
    <t>Kings Mountain ABC Board</t>
  </si>
  <si>
    <t>KingsMountain</t>
  </si>
  <si>
    <t>Kinston-Lenoir Co Pub Library</t>
  </si>
  <si>
    <t>Lake Waccamaw</t>
  </si>
  <si>
    <t>Lake Waccamaw ABC Board</t>
  </si>
  <si>
    <t>Laurel Park ABC Board</t>
  </si>
  <si>
    <t>Laurinburg Housing Authority</t>
  </si>
  <si>
    <t>Lenoir County ABC Board</t>
  </si>
  <si>
    <t>LenoirABCBoard</t>
  </si>
  <si>
    <t>Lewiston Woodville</t>
  </si>
  <si>
    <t>Lexington ABC Board</t>
  </si>
  <si>
    <t>Liberty ABC Board</t>
  </si>
  <si>
    <t>Lincoln County ABC Board</t>
  </si>
  <si>
    <t>Lincolnton ABC Board</t>
  </si>
  <si>
    <t>Locust ABC Board</t>
  </si>
  <si>
    <t>Longview</t>
  </si>
  <si>
    <t>Louisburg ABC Board</t>
  </si>
  <si>
    <t>Lumberton ABC Board</t>
  </si>
  <si>
    <t>Lumberton Airport Comm</t>
  </si>
  <si>
    <t>Madison ABC Board</t>
  </si>
  <si>
    <t>Maggie Valley ABC Board</t>
  </si>
  <si>
    <t>Maggie Valley Sanitary Dist</t>
  </si>
  <si>
    <t>Marion ABC Board</t>
  </si>
  <si>
    <t>Martin Co Travel &amp; Tourism Auth</t>
  </si>
  <si>
    <t>Martin County ABC Board</t>
  </si>
  <si>
    <t>Martin-Tyrrell-Washington Dist Health Dept</t>
  </si>
  <si>
    <t>Maxton ABC Board</t>
  </si>
  <si>
    <t>Mcdowell County</t>
  </si>
  <si>
    <t>Mecklenburg County ABC Board</t>
  </si>
  <si>
    <t>Mecklenburg Emer Med Svcs Agcy</t>
  </si>
  <si>
    <t>Mi Connection Communications System</t>
  </si>
  <si>
    <t>Mid-Carolina Council Of Governments</t>
  </si>
  <si>
    <t>Mitchell Soil &amp; Water Conservation Dist</t>
  </si>
  <si>
    <t>Monroe ABC Board</t>
  </si>
  <si>
    <t>MonroeHousingAuthority</t>
  </si>
  <si>
    <t>Montgomery-Municipal ABC Board</t>
  </si>
  <si>
    <t>Moore County ABC Board</t>
  </si>
  <si>
    <t>Moore County Tourism Development Authority</t>
  </si>
  <si>
    <t>Mooresville ABC Board</t>
  </si>
  <si>
    <t>Morganton ABC Board</t>
  </si>
  <si>
    <t>Mount Airy Alcoholic Board Of Control</t>
  </si>
  <si>
    <t>MountAiry</t>
  </si>
  <si>
    <t>MountHolly</t>
  </si>
  <si>
    <t>Mt Olive Housing Authority</t>
  </si>
  <si>
    <t>Mt Pleasant ABC Board</t>
  </si>
  <si>
    <t>Murphy ABC Board</t>
  </si>
  <si>
    <t>N C Assoc Of Co Commissioners</t>
  </si>
  <si>
    <t>N C League Of Municipalities</t>
  </si>
  <si>
    <t>Nash County ABC Board</t>
  </si>
  <si>
    <t>Neuse Regional Library-Greene County</t>
  </si>
  <si>
    <t>Neuse Regional Library-Jones County</t>
  </si>
  <si>
    <t>New Edenton Housing Auth</t>
  </si>
  <si>
    <t>New Hanover Airport Auth</t>
  </si>
  <si>
    <t>New Hanover County ABC Board</t>
  </si>
  <si>
    <t>New Reidsville Housing Auth</t>
  </si>
  <si>
    <t>NewBern</t>
  </si>
  <si>
    <t>North Wilkesboro ABC Board</t>
  </si>
  <si>
    <t>Northampton County ABC Board</t>
  </si>
  <si>
    <t>Norwood ABC Bd</t>
  </si>
  <si>
    <t>Oak Island ABC Bd</t>
  </si>
  <si>
    <t>Ocean Isle Beach ABC Board</t>
  </si>
  <si>
    <t>Ocracoke Sanitary Dist</t>
  </si>
  <si>
    <t>Onslow County ABC Board</t>
  </si>
  <si>
    <t>Onslow Water &amp; Sewer Authority</t>
  </si>
  <si>
    <t>Orange County ABC Board</t>
  </si>
  <si>
    <t>Orange Water And Sewer Authority</t>
  </si>
  <si>
    <t>Parkton</t>
  </si>
  <si>
    <t>Pasquotank Co ABC Board</t>
  </si>
  <si>
    <t>Pender County ABC Board</t>
  </si>
  <si>
    <t>Person Co ABC Bd</t>
  </si>
  <si>
    <t>Piedmont Triad Reg Water Auth</t>
  </si>
  <si>
    <t>Pilot Mountain ABC Board</t>
  </si>
  <si>
    <t>Pinecroft-Sedgefield Fire Dist Inc</t>
  </si>
  <si>
    <t>Pitt County ABC Board</t>
  </si>
  <si>
    <t>Pitt-Greenville Conv &amp; Vistors</t>
  </si>
  <si>
    <t>Pleasant Garden Fire Dept</t>
  </si>
  <si>
    <t>Public Library Of Johnston Co And Smithfield</t>
  </si>
  <si>
    <t>Public Works Comm Cty Of Fayetteville</t>
  </si>
  <si>
    <t>RaleighHousingAuthority</t>
  </si>
  <si>
    <t>RandlemanABCBoard</t>
  </si>
  <si>
    <t>RandlemanHousingAuthority</t>
  </si>
  <si>
    <t>Red Springs ABC Board</t>
  </si>
  <si>
    <t>Reidsville ABC Board</t>
  </si>
  <si>
    <t>RoanokeRapids</t>
  </si>
  <si>
    <t>RockinghamABCBoard</t>
  </si>
  <si>
    <t>Rocky Mt Housing Authority</t>
  </si>
  <si>
    <t>RockyMount</t>
  </si>
  <si>
    <t>Roseboro ABC Board</t>
  </si>
  <si>
    <t>Rowan Co Housing Authority</t>
  </si>
  <si>
    <t>Rowan Co Soil &amp; Water Conv Dist</t>
  </si>
  <si>
    <t>Rowan Convention &amp; Vistors Bureau</t>
  </si>
  <si>
    <t>Rowan County ABC Board</t>
  </si>
  <si>
    <t>Rutherford Polk Mcdowell Dist Brd Of Health</t>
  </si>
  <si>
    <t>Rutherfordton ABC Brd</t>
  </si>
  <si>
    <t>Sanford ABC Board</t>
  </si>
  <si>
    <t>Scotland County ABC Board</t>
  </si>
  <si>
    <t>Seagrove</t>
  </si>
  <si>
    <t>Shallotte ABC Board</t>
  </si>
  <si>
    <t>Shelby ABC Board</t>
  </si>
  <si>
    <t>Siler City ABC Board</t>
  </si>
  <si>
    <t>Skyland Vol Fire Dept</t>
  </si>
  <si>
    <t>South Eastern Economic Development Comm</t>
  </si>
  <si>
    <t>South Granville Water And Sewer Authority</t>
  </si>
  <si>
    <t>SouthportABCBoard</t>
  </si>
  <si>
    <t>Southwestern Nc Planning &amp; Econ.Dev.Commis.</t>
  </si>
  <si>
    <t>Sparta ABC Board</t>
  </si>
  <si>
    <t>St James</t>
  </si>
  <si>
    <t>St Pauls</t>
  </si>
  <si>
    <t>St Paul'S Brd Of Alcoholic Ctl</t>
  </si>
  <si>
    <t>Statesville ABC Board</t>
  </si>
  <si>
    <t>Sunset Beach ABC Board</t>
  </si>
  <si>
    <t>Thomasville ABC Board</t>
  </si>
  <si>
    <t>Toe River Health District</t>
  </si>
  <si>
    <t>Tuckaseigee Water Authority</t>
  </si>
  <si>
    <t>Tyrrell Co ABC Board</t>
  </si>
  <si>
    <t>Upper Coastal Plain Council Of Governments</t>
  </si>
  <si>
    <t>Vance County ABC Bd</t>
  </si>
  <si>
    <t>Vaya Health</t>
  </si>
  <si>
    <t>Wadesboro ABC Board</t>
  </si>
  <si>
    <t>Wake County ABC Board</t>
  </si>
  <si>
    <t>Wallace ABC Bd</t>
  </si>
  <si>
    <t>Walnut Cove ABC Board</t>
  </si>
  <si>
    <t>Warren County ABC Board</t>
  </si>
  <si>
    <t>Warsaw ABC Board</t>
  </si>
  <si>
    <t>Washington County ABC Board</t>
  </si>
  <si>
    <t>Watauga County District U Tda</t>
  </si>
  <si>
    <t>Water &amp; Sewer Auth Of Cabarrus Cnty</t>
  </si>
  <si>
    <t>Waxhaw ABC Board</t>
  </si>
  <si>
    <t>Wayne County ABC Board</t>
  </si>
  <si>
    <t>Waynesville ABC Board</t>
  </si>
  <si>
    <t>Weaverville ABC Board</t>
  </si>
  <si>
    <t>West Buncombe Fire Dept</t>
  </si>
  <si>
    <t>West Jefferson ABC Board</t>
  </si>
  <si>
    <t>Westarea Volunteer Fire Dept</t>
  </si>
  <si>
    <t>Western Carteret Interlocal Cooperation Agency</t>
  </si>
  <si>
    <t>Western Nc Regional Air Quality</t>
  </si>
  <si>
    <t>Western Piedmont Council Of Gvmts</t>
  </si>
  <si>
    <t>Whiteville ABC Board</t>
  </si>
  <si>
    <t>Wilkesboro ABC Board</t>
  </si>
  <si>
    <t>Wilson Cemetery Commission</t>
  </si>
  <si>
    <t>Wilson County ABC Board</t>
  </si>
  <si>
    <t>Wilson County Tourism Development Auth</t>
  </si>
  <si>
    <t>Wilson Economic Dev Council</t>
  </si>
  <si>
    <t>Wilson'S Mills</t>
  </si>
  <si>
    <t>Woodfin Sanitary Water And Sewer Dist</t>
  </si>
  <si>
    <t>Yancey Soil &amp; Water Cons</t>
  </si>
  <si>
    <t>Contributions to plan</t>
  </si>
  <si>
    <t xml:space="preserve">                   -    </t>
  </si>
  <si>
    <t>Public Safety OPEB Expense</t>
  </si>
  <si>
    <t>Transportation OPEB Expense</t>
  </si>
  <si>
    <t>Economic and Physical Development OPEB Expense</t>
  </si>
  <si>
    <t>Environmental Protection OPEB Expense</t>
  </si>
  <si>
    <t>Cultural and Recreation OPEB Expense</t>
  </si>
  <si>
    <t>Education OPEB Expense</t>
  </si>
  <si>
    <t>Other program 1 OPEB Expense</t>
  </si>
  <si>
    <t>Employer contributions for Measurement Period</t>
  </si>
  <si>
    <t>Current year Outflow/(Inflow) Deferred Balance - Difference b/w Expected and Actual Experience</t>
  </si>
  <si>
    <t>Current year Outflow/(Inflow) Deferred Balance - Assumption Changes</t>
  </si>
  <si>
    <t>Current year Outflow/(Inflow) Deferred Balance - Investments Earnings</t>
  </si>
  <si>
    <t>Enter amounts below per your financial records.  [Note:   Entries reclassify governmental activities portion of current year activitity out of OPEB contributions and administrative costs into Deferred Outflows - OPEB]</t>
  </si>
  <si>
    <t>.</t>
  </si>
  <si>
    <t>Recognition period - 3.00 years</t>
  </si>
  <si>
    <t xml:space="preserve">Total Benefit Payments </t>
  </si>
  <si>
    <t>Net OPEB obligation</t>
  </si>
  <si>
    <t>As part of GASB 73 implementation, the beginning balance of the LEO net pension obligation will be restated in the fiscal year.  See tab O for GASB 73 entries for the LEO pension plan.</t>
  </si>
  <si>
    <r>
      <t xml:space="preserve">What was the amount of the net OPEB obligation at the end of the year? If multiple benefit plans are involved enter the sum of all plans. </t>
    </r>
    <r>
      <rPr>
        <sz val="8"/>
        <color indexed="10"/>
        <rFont val="Arial"/>
        <family val="2"/>
      </rPr>
      <t>Only include the portion related to Governmental Funds.</t>
    </r>
  </si>
  <si>
    <t>Change in OPEB obligation during the year</t>
  </si>
  <si>
    <t>Note:  The number entered below should not include volunteers.  The number entered below should also exclude employees who were not eligible to participate in the FRSWPF plan during FY 2018.</t>
  </si>
  <si>
    <t>Education OPEB Administration costs</t>
  </si>
  <si>
    <t>Entries from Worksheets B - J, N1-N3, O, and P</t>
  </si>
  <si>
    <t>OPEB - Current Year Contributions</t>
  </si>
  <si>
    <t>2017 Ending Net OPEB</t>
  </si>
  <si>
    <t>*Carolina County's ending</t>
  </si>
  <si>
    <t>Percentage to Reduce  Actuarial Numbers</t>
  </si>
  <si>
    <t>Beaufort Co Schools' Share</t>
  </si>
  <si>
    <t>from RHBF 2017 Report</t>
  </si>
  <si>
    <t>Reduction rate</t>
  </si>
  <si>
    <t>Total OPEB Liability</t>
  </si>
  <si>
    <t>Service Cost</t>
  </si>
  <si>
    <t>Interest</t>
  </si>
  <si>
    <t>Change of benefit terms</t>
  </si>
  <si>
    <t>Differences between expected and actual experience</t>
  </si>
  <si>
    <t>Changes of Assumptions</t>
  </si>
  <si>
    <t>Benefit payments, including refunds of member contrib.</t>
  </si>
  <si>
    <t>Net change in total OPEB liability</t>
  </si>
  <si>
    <t>Total OPEB Liability, Beg</t>
  </si>
  <si>
    <t>Total OPEB Liability, End</t>
  </si>
  <si>
    <t>Plan fiduciary net position</t>
  </si>
  <si>
    <t>Contributions</t>
  </si>
  <si>
    <t>Net investment income</t>
  </si>
  <si>
    <t>Benefit payments</t>
  </si>
  <si>
    <t>Administrative expense</t>
  </si>
  <si>
    <t>Net change in plan fiduciary net position</t>
  </si>
  <si>
    <t>Plan fiduciary net position - beginning</t>
  </si>
  <si>
    <t>Plan fiduciary net position - ending</t>
  </si>
  <si>
    <t>County's net OPEB liability - ending</t>
  </si>
  <si>
    <t>Plan fiduciary net position as a percentage of the total OPEB liability</t>
  </si>
  <si>
    <t>Covered payroll</t>
  </si>
  <si>
    <t>County's net OPEB liability as a percentage of covered payroll</t>
  </si>
  <si>
    <t>Restatement of 2017 Illustrative per RHBF Valuation Report</t>
  </si>
  <si>
    <t>OPEB DI Schedule</t>
  </si>
  <si>
    <t>Pensions - Change in Proportion and Differences in Employer Contributions and Proportionate Share of Contributions</t>
  </si>
  <si>
    <r>
      <t xml:space="preserve">What is the net OPEB obligation for the year for the Total Governmental Funds portion?   </t>
    </r>
    <r>
      <rPr>
        <sz val="8"/>
        <color indexed="10"/>
        <rFont val="Arial"/>
        <family val="2"/>
      </rPr>
      <t>Please refer to Memorandum #2010-1 for a journal entry overview.</t>
    </r>
  </si>
  <si>
    <t>As part of GASB 75 implementation, the total net OPEB obligation balance will be included in the restatement in the fiscal year.  See tab P.1 - P.3 for GASB 75 entries for the OPEB plan.</t>
  </si>
  <si>
    <t>Human Services OPEB Expense</t>
  </si>
  <si>
    <t>Cultural and Receation OPEB Administration costs</t>
  </si>
  <si>
    <t>General Government OPEB Expense</t>
  </si>
  <si>
    <t>Register of Deeds' pension plan (for ROD asset)</t>
  </si>
  <si>
    <t xml:space="preserve">Pensions - Change in Proportion and Differences in Employer Contributions and Proportionate Share of Contributions </t>
  </si>
  <si>
    <t>OPEB - Differences Between Actual and Expected Experience</t>
  </si>
  <si>
    <t>Pensions - Differences Between Actual and Expected Experience</t>
  </si>
  <si>
    <t>Pensions - Changes in Assumptions</t>
  </si>
  <si>
    <t>OPEB - Changes in Assumptions</t>
  </si>
  <si>
    <t>Pensions - Net Difference Between Actual and Expected Earnings on Plan Investments</t>
  </si>
  <si>
    <t>P.1</t>
  </si>
  <si>
    <t>P.2</t>
  </si>
  <si>
    <t>P.3</t>
  </si>
  <si>
    <t>OPEB - Difference between projected and actual investment earnings</t>
  </si>
  <si>
    <t>OPEB  - Changes in Assumptions</t>
  </si>
  <si>
    <t>OPEB  - Differences Between Actual and Expected Experience</t>
  </si>
  <si>
    <t>and Beginning Pension &amp; OPEB Accounts</t>
  </si>
  <si>
    <r>
      <t xml:space="preserve">Note 3 - Some Data must be </t>
    </r>
    <r>
      <rPr>
        <b/>
        <sz val="8"/>
        <rFont val="Arial"/>
        <family val="2"/>
      </rPr>
      <t>Entered</t>
    </r>
    <r>
      <rPr>
        <sz val="8"/>
        <rFont val="Arial"/>
        <family val="2"/>
      </rPr>
      <t xml:space="preserve"> below to the proper accounts. Cells related to pension and OPEB are linked to other worksheets.</t>
    </r>
  </si>
  <si>
    <t>General Government OPEB benefit payments</t>
  </si>
  <si>
    <t>Public Safety OPEB benefit payment</t>
  </si>
  <si>
    <t>Transportation OPEB benefit payment</t>
  </si>
  <si>
    <t>Economic and Physical Development OPEB benefit payment</t>
  </si>
  <si>
    <t>Enviromental Protection OPEB benefit payment</t>
  </si>
  <si>
    <t>Human Services OPEB benefit payment</t>
  </si>
  <si>
    <t>Cultural and Recreation OPEB benefit payment</t>
  </si>
  <si>
    <t>Education OPEB benefit payment</t>
  </si>
  <si>
    <t>Other program 1 OPEB benefit payment</t>
  </si>
  <si>
    <t xml:space="preserve"> LEOSSA administration costs that were recorded as a deferred outflows of resources for contributions subsequent to the measurement date in your prior year's audited financial statements</t>
  </si>
  <si>
    <t xml:space="preserve"> LEOSSA administration costs that were made between the prior fiscal year end and the current year's measurement date</t>
  </si>
  <si>
    <t xml:space="preserve">Deferred outflows of resources - Employer benefit payments for the measurement period </t>
  </si>
  <si>
    <t xml:space="preserve">From prior year.  </t>
  </si>
  <si>
    <t xml:space="preserve">From prior year. </t>
  </si>
  <si>
    <t>Ending (Inflow)/Outflow Deferred Balance - Difference b/w Expected and Actual Experience</t>
  </si>
  <si>
    <t>Ending (Inflow)/Outflow Deferred Balance - Assumption Changes</t>
  </si>
  <si>
    <t>Beginning (Inflow)/Outflow Deferred Balance - Difference b/w Expected and Actual Experience</t>
  </si>
  <si>
    <t>Deferred outflows of resources - administration costs for the measurement period</t>
  </si>
  <si>
    <t>Benefit payments paid from prior fiscal year end to measurement date</t>
  </si>
  <si>
    <t>Administration costs paid from prior fiscal year end to measurement date</t>
  </si>
  <si>
    <t xml:space="preserve">Beginning total pension liability </t>
  </si>
  <si>
    <t>Adjustment to Beginning Fund Equity for LEOSSA</t>
  </si>
  <si>
    <t>Ending Total Pension Liability</t>
  </si>
  <si>
    <t>Beginning Total Pension Liability</t>
  </si>
  <si>
    <t xml:space="preserve">Please read descriptions carefully.  Depending on the measurement date, you may not have to fill out all cells. </t>
  </si>
  <si>
    <t>Employer benefit payments that were recorded as a deferred outflows of resources for contributions subsequent to the measurement date in your prior year's audited financial statements</t>
  </si>
  <si>
    <t>Employer benefit payments that were made between the prior fiscal year end and the current year's measurement date</t>
  </si>
  <si>
    <t>Net OPEB Liability  (Asset)- Beginning of Year</t>
  </si>
  <si>
    <t>Net OPEB Liability (Asset) - End of Year</t>
  </si>
  <si>
    <t xml:space="preserve">Enter amounts below from the actuarial report. </t>
  </si>
  <si>
    <t xml:space="preserve">Deferred Outflows - Benefit Payments and Administrative Costs for the measurement period </t>
  </si>
  <si>
    <t>Ending Net OPEB Liability</t>
  </si>
  <si>
    <t>OPEB administrative expense only</t>
  </si>
  <si>
    <t>Deferred Outflow - Benefit Contributions subsequent to the measurement date</t>
  </si>
  <si>
    <t>Beginning (Inflow)/Outflow Deferred Balance - Assumption Changes</t>
  </si>
  <si>
    <t>Employer contributions made subsequent to the measurement date through the end of your FYE (i.e. June 30, 2018)</t>
  </si>
  <si>
    <t xml:space="preserve">This worksheet prepares the journal entry to record the entity's Net OPEB liability  OPEB expense, and deferrals for the OPEB plan in accordance with GASB 75.  This is the implementation year for GASB 75 and, as a result, the worksheet will include an entry to restate the beginning net position for the beginning GASB 75 net OPEB liability, measurement period contributions, and measurement period administrative costs. See worksheet J. for the prior year's net OPEB obligation for OPEB under the old standard.
</t>
  </si>
  <si>
    <t xml:space="preserve">This worksheet prepares the journal entry to record the entity's Net OPEB liability  OPEB expense, and deferrals for the OPEB plan in accordance with GASB 75.  This is the implementation year for GASB 75 and, as a result, the worksheet will include an entry to restate the beginning net position for the beginning GASB 75 net OPEB liability, measurement periodcontributions, and measurement period administrative costs. See worksheet J. for the prior year's net OPEB obligation for OPEB under the old standard.
</t>
  </si>
  <si>
    <t xml:space="preserve">This worksheet prepares the journal entry to record the entity's total pension liability, pension expense, deferred outflows, and deferred inflows of the Law Enforcement Officers Pension Plan (LEO) in accordance with GASB 73. 
</t>
  </si>
  <si>
    <t>Administrative costs</t>
  </si>
  <si>
    <t>Admin costs made subsequent to the measurement date</t>
  </si>
  <si>
    <t>Enterprise Funds - OPEB allocation percentage</t>
  </si>
  <si>
    <t>Entry for Conversion worksheet to record net OPEB liability, OPEB expense, and deferred outflows and deferred inflows of resources related to OPEB.</t>
  </si>
  <si>
    <t>Adjustment to Beginning Fund Equity for OPEB #1</t>
  </si>
  <si>
    <t>Adjustment to Beginning Fund Equity for OPEB #2</t>
  </si>
  <si>
    <t>Adjustment to Beginning Fund Equity for OPEB #3</t>
  </si>
  <si>
    <t>Net OPEB liability - #1</t>
  </si>
  <si>
    <t>Net OPEB liability - #2</t>
  </si>
  <si>
    <t>Net OPEB liability - #3</t>
  </si>
  <si>
    <t>Measurement date 6/30/2018</t>
  </si>
  <si>
    <t/>
  </si>
  <si>
    <t>County</t>
  </si>
  <si>
    <t>Net Pension Liability (Asset)</t>
  </si>
  <si>
    <t>Net Difference Between Projected and Actual Investments Earnings on Plan Investments</t>
  </si>
  <si>
    <t>2.75% Sensitivity</t>
  </si>
  <si>
    <t>4.75% Sensitivity</t>
  </si>
  <si>
    <t>NO AGENCY CHOSEN</t>
  </si>
  <si>
    <t>2018 Contributions</t>
  </si>
  <si>
    <t>HAYWOOD</t>
  </si>
  <si>
    <t>Total Plan - FYE 2018</t>
  </si>
  <si>
    <t>Total Plan - FYE 2019</t>
  </si>
  <si>
    <t>Enter the amount of contributions subsequent to the measurement date that you recorded as a deferred outflow of resources in your June 30, 2018 financial statement for ROD</t>
  </si>
  <si>
    <t>measurement date 6/30/2018</t>
  </si>
  <si>
    <t>measurement date 6/30/2017</t>
  </si>
  <si>
    <t>Enter the amount of contributions subsequent to the measurement date that you recorded as a deferred outflow of resources in your June 30, 2018 financial statement for LGERS</t>
  </si>
  <si>
    <t>OPEB administration costs incurred subsequent to the measurement date through the end of your FYE (i.e. June 30, 2019)</t>
  </si>
  <si>
    <t>Employer contributions made subsequent to the measurement date through the end of your FYE (i.e. June 30, 2019)</t>
  </si>
  <si>
    <t>Representative Payee Fund</t>
  </si>
  <si>
    <t>Deed of Trust Fund</t>
  </si>
  <si>
    <t>Fines and Forfeitures Fund</t>
  </si>
  <si>
    <t>Health Services</t>
  </si>
  <si>
    <t>School Capital Projects Fund; assumed all cash on hand is unspent sales tax revenue. * Plus Fines and Forfeitures Fund</t>
  </si>
  <si>
    <t>Lease receivable</t>
  </si>
  <si>
    <t>Leases</t>
  </si>
  <si>
    <t>GASB 87 leases - current</t>
  </si>
  <si>
    <t>GASB 87 leases payable</t>
  </si>
  <si>
    <t xml:space="preserve">Adjust Capital Outlay Expenditures for GASB 87 Leases to Full Accrual </t>
  </si>
  <si>
    <r>
      <t xml:space="preserve">Note:  These entries are only applicable to leases as defined in GASB 87.  Further, these entries are only applicable to such leases where the government is the lessee.  All GASB 87 </t>
    </r>
    <r>
      <rPr>
        <b/>
        <sz val="10"/>
        <rFont val="Arial"/>
        <family val="2"/>
      </rPr>
      <t>lessor</t>
    </r>
    <r>
      <rPr>
        <sz val="10"/>
        <rFont val="Arial"/>
        <family val="2"/>
      </rPr>
      <t xml:space="preserve"> type entries for full accrual statements are the same as those made in modified accrual financial statements, therefore</t>
    </r>
    <r>
      <rPr>
        <b/>
        <sz val="10"/>
        <rFont val="Arial"/>
        <family val="2"/>
      </rPr>
      <t xml:space="preserve"> there is no need for conversion entries for lessor type leases.</t>
    </r>
  </si>
  <si>
    <t>Expenditures recorded under the modified accrual basis of accounting for the acquisition of lease assets must be reported as additions to right-to-use assets under the full accrual basis of accounting on the government-wide statements. The right-to-use assets acquired in these transactions will be added to the amounts previously recorded when the right-to-use assets were entered on the conversion worksheet.</t>
  </si>
  <si>
    <t>Also included are entries to record the amortization of lease assets.  Note that there are no conversion entries for variable rental expense payments as such payments are recorded the same in both types of financial statements (modified and full accrual).</t>
  </si>
  <si>
    <r>
      <t xml:space="preserve">What was the amount of capital outlay for right-to-use leased assets to be capitalized by function in all governmental funds?  </t>
    </r>
    <r>
      <rPr>
        <b/>
        <i/>
        <sz val="10"/>
        <color indexed="10"/>
        <rFont val="Arial"/>
        <family val="2"/>
      </rPr>
      <t>This amount is the same as the initial lease asset acquired during the fiscal year.</t>
    </r>
  </si>
  <si>
    <t>`</t>
  </si>
  <si>
    <t>Journal entry for conversion worksheet to capitalize right-to-use leased assets and record lease liability.   [Entry Q.1]</t>
  </si>
  <si>
    <t>Q.1</t>
  </si>
  <si>
    <t>Enter information below for your GASB 87 lessee leases</t>
  </si>
  <si>
    <t>1) What is the amount of lease asset amortization expense by functional area for the FY?</t>
  </si>
  <si>
    <t>Journal entry for conversion worksheet to amortize lease asset.   [Entry Q.2]</t>
  </si>
  <si>
    <t>Q.2</t>
  </si>
  <si>
    <t>GASB 87 leases</t>
  </si>
  <si>
    <r>
      <t xml:space="preserve">OFS - GASB 87 leases </t>
    </r>
    <r>
      <rPr>
        <sz val="8"/>
        <color indexed="10"/>
        <rFont val="Arial"/>
        <family val="2"/>
      </rPr>
      <t>(proceeds)</t>
    </r>
  </si>
  <si>
    <r>
      <t xml:space="preserve">GASB 87 leases </t>
    </r>
    <r>
      <rPr>
        <sz val="8"/>
        <color indexed="10"/>
        <rFont val="Arial"/>
        <family val="2"/>
      </rPr>
      <t xml:space="preserve"> - liability</t>
    </r>
  </si>
  <si>
    <t xml:space="preserve">What is the amount of GASB 87 lease liabilities that will be due and payable within one year? </t>
  </si>
  <si>
    <t>America Rescue Plan Fund</t>
  </si>
  <si>
    <t>Opiod Settlement</t>
  </si>
  <si>
    <t>Right to use lease assets</t>
  </si>
  <si>
    <t>Accumulated amortization - right to use lease assets</t>
  </si>
  <si>
    <t>Right to use IT subscription assets</t>
  </si>
  <si>
    <t>Accumulated amortization - right to use IT subscription assets</t>
  </si>
  <si>
    <t>IT subscriptions (GASB 96) - current</t>
  </si>
  <si>
    <t>IT subscriptions (GASB 96) payable</t>
  </si>
  <si>
    <t>R.1</t>
  </si>
  <si>
    <t>R.2</t>
  </si>
  <si>
    <t xml:space="preserve">OFS - IT subscriptions (GASB 96) </t>
  </si>
  <si>
    <r>
      <rPr>
        <b/>
        <sz val="10"/>
        <rFont val="Arial"/>
        <family val="2"/>
      </rPr>
      <t>Note to Preparer:</t>
    </r>
    <r>
      <rPr>
        <sz val="10"/>
        <rFont val="Arial"/>
        <family val="2"/>
      </rPr>
      <t xml:space="preserve">
Please note that the amounts in the pension and OPEB tabs were not changed from the amounts in the prior fiscal year. </t>
    </r>
    <r>
      <rPr>
        <b/>
        <sz val="10"/>
        <rFont val="Arial"/>
        <family val="2"/>
      </rPr>
      <t>This worksheet is for illustrative purposes only for Carolina County</t>
    </r>
    <r>
      <rPr>
        <sz val="10"/>
        <rFont val="Arial"/>
        <family val="2"/>
      </rPr>
      <t xml:space="preserve"> with current year information are available on the NC DST website.</t>
    </r>
  </si>
  <si>
    <t xml:space="preserve">When you have worked through all the other worksheets (A-R), this sheet will have your government-wide numbers for the governmental activities column of the Statement of Net Position and the Statement of Activities. You may change fund titles as you see fit but if you unprotect the sheet and add lines or columns, formulas will be effected. Please do not do so unless you have strong Excel skills. Some "other" asset and "other" liability accounts have been added to handle the case where you need another account. These titles can be changed but should then be used consistently throughout the workbook. </t>
  </si>
  <si>
    <r>
      <t xml:space="preserve">Depreciation: </t>
    </r>
    <r>
      <rPr>
        <sz val="10"/>
        <rFont val="Arial"/>
        <family val="2"/>
      </rPr>
      <t>records depreciation expense for all asset classes by program/function and records unallocated amounts. Amortization expense of Right to use assets for Leases and IT subsciptions is recorded on tabs Q and R, repectively. Those tabs also adjust accumulated amortization, a contra account to the related Right to use asset.</t>
    </r>
  </si>
  <si>
    <r>
      <t xml:space="preserve">Capital Outlay: </t>
    </r>
    <r>
      <rPr>
        <sz val="10"/>
        <rFont val="Arial"/>
        <family val="2"/>
      </rPr>
      <t>converts capital outlay expenditures for items above the capitalization threshold (other than the outlays related to leases and IT Subscriptions) to the proper asset class and reduces respective program/function expenditures. The capital outlays for Leases and IT Subscriptions are converted on tabs Q and R, respectively.</t>
    </r>
  </si>
  <si>
    <t>Note that the beginning asset and liability balances related to pensions, including deferred inflows and outflows, have been mapped to the Capital Assets, Long-term Debt and Beginning Pension Balances columns AL and AM (Conversion Worksheet tab) from the N tabs.  Cell C17 on tab N.1 and C16 on N.2 must be completed as part of the population of the beginning balances in the Conversion Worksheet tab.  As the conversion worksheet converts all governmental funds into governmental activities for the full accrual statement of activities and statement of net position, allocating the beginning pension asset and liability balances between governmental funds is not necessary.</t>
  </si>
  <si>
    <r>
      <rPr>
        <b/>
        <sz val="10"/>
        <rFont val="Arial"/>
        <family val="2"/>
      </rPr>
      <t>Other Capital Asset Entries:</t>
    </r>
    <r>
      <rPr>
        <sz val="10"/>
        <rFont val="Arial"/>
        <family val="2"/>
      </rPr>
      <t xml:space="preserve"> addresses all other capital asset entries, sales, trades, retirements, donations, etc. and generates the correct entry to asset classes, programs/functions, and revenue or expenditure accounts.  Please be aware that any reductions that result from a change in capitalization threshold should be recorded with the beginning capital asset numbers in columns AL and AM of the conversion worksheet.</t>
    </r>
  </si>
  <si>
    <r>
      <t xml:space="preserve">GASB 68 LGERS: </t>
    </r>
    <r>
      <rPr>
        <sz val="10"/>
        <rFont val="Arial"/>
        <family val="2"/>
      </rPr>
      <t>provides pension amounts for LGERS cost-sharing plan</t>
    </r>
  </si>
  <si>
    <r>
      <t xml:space="preserve">GASB 68 ROD: </t>
    </r>
    <r>
      <rPr>
        <sz val="10"/>
        <rFont val="Arial"/>
        <family val="2"/>
      </rPr>
      <t>provides pension amounts for ROD cost-sharing plan</t>
    </r>
  </si>
  <si>
    <r>
      <t xml:space="preserve">GASB 68 FRSWPF: </t>
    </r>
    <r>
      <rPr>
        <sz val="10"/>
        <rFont val="Arial"/>
        <family val="2"/>
      </rPr>
      <t>provides pension amounts for FRSWP cost-sharing plan</t>
    </r>
  </si>
  <si>
    <t>O.</t>
  </si>
  <si>
    <r>
      <t xml:space="preserve">GASB 68 LEO: </t>
    </r>
    <r>
      <rPr>
        <sz val="10"/>
        <rFont val="Arial"/>
        <family val="2"/>
      </rPr>
      <t>provides pension amounts for LEOSSA single-employer plan</t>
    </r>
  </si>
  <si>
    <r>
      <t xml:space="preserve">GASB 75 OPEB: </t>
    </r>
    <r>
      <rPr>
        <sz val="10"/>
        <rFont val="Arial"/>
        <family val="2"/>
      </rPr>
      <t>provides pension amounts for single-employer OPEB plan with no trust</t>
    </r>
  </si>
  <si>
    <t>P1.</t>
  </si>
  <si>
    <t>P2.</t>
  </si>
  <si>
    <t>P3.</t>
  </si>
  <si>
    <r>
      <t>GASB 87 Leases:</t>
    </r>
    <r>
      <rPr>
        <sz val="10"/>
        <rFont val="Arial"/>
        <family val="2"/>
      </rPr>
      <t xml:space="preserve"> converts capital outlay expenditures related to agreements that meet the definition of a lease from GASB 87 (provided they are above the capitaliaztion threshold) to the proper asset class and reduces respective program/function expenditures. Also, records the amortization expense by function/program for the Right to use asset and adjusts the accumulated amortization, a contra account to the related Right to use aset.</t>
    </r>
  </si>
  <si>
    <r>
      <t>GASB 96 IT Subscriptions:</t>
    </r>
    <r>
      <rPr>
        <sz val="10"/>
        <rFont val="Arial"/>
        <family val="2"/>
      </rPr>
      <t xml:space="preserve"> converts capital outlay expenditures related to agreements that meet the definition of an IT Subscription from GASB 96 (provided they are above the capitaliaztion threshold) to the proper asset class and reduces respective program/function expenditures. Also, records the amortization expense by function/program for the Right to use asset and adjusts accumulated amortization, a contra account to the related Right to use asset.</t>
    </r>
  </si>
  <si>
    <t>Q.</t>
  </si>
  <si>
    <t>R.</t>
  </si>
  <si>
    <t xml:space="preserve">Adjust Capital Outlay Expenditures for GASB 96 IT Subscriptions to Full Accrual </t>
  </si>
  <si>
    <t xml:space="preserve">Note:  These entries are only applicable to IT subscriptions that meet the definition in GASB 96.  Further, these entries are only applicable to such agreements where the government is acquring the IT Subscription.  </t>
  </si>
  <si>
    <t>Expenditures recorded under the modified accrual basis of accounting for the acquisition of IT subscription assets must be reported as additions to right-to-use assets under the full accrual basis of accounting on the government-wide statements. The right-to-use assets acquired in these transactions will be added to the amounts previously recorded when the right-to-use assets were entered on the conversion worksheet.</t>
  </si>
  <si>
    <t>Also included are entries to record the amortization of IT subscription assets.  Note that there are no conversion entries for variable payments as such payments are recorded the same in both types of financial statements (modified and full accrual).</t>
  </si>
  <si>
    <r>
      <t xml:space="preserve">What was the amount of capital outlay for right-to-use IT subscription assets to be capitalized by function in all governmental funds?  </t>
    </r>
    <r>
      <rPr>
        <b/>
        <i/>
        <sz val="10"/>
        <color indexed="10"/>
        <rFont val="Arial"/>
        <family val="2"/>
      </rPr>
      <t>This amount is generally the same as the initial IT subscription asset acquired during the fiscal year.</t>
    </r>
  </si>
  <si>
    <t>Enter information below for your GASB 96 IT subscriptions</t>
  </si>
  <si>
    <t>1) What is the amount of IT subscription asset amortization expense by functional area for the FY?</t>
  </si>
  <si>
    <t>Examine the trial balance and summary reports of revenues by function and by source code to determine which revenue items need to be reclassified. If units do not have a chart of accounts that breaks out revenues by functional source codes, a manual classification of revenues must be prepared. A worksheet to assist you is available at the DST website.</t>
  </si>
  <si>
    <t xml:space="preserve">Depreciation expense must be calculated and reported in relation to all of the unit's depreciable capital assets. Some units may have a capital asset software system that can easily calculate annual depreciation expense. Others may need to calculate the expense manually. This function has previously been done for all the proprietary or business-type activities funds. It has now been expanded to general capital assets.  The challenge may be the requirement to record the expense by function, e.g. the depreciation for police cars must be charged to public safety. If function or department codes are not currently in the capital asset system, perhaps location can identify the function. Capital assets that can be specifically identified with a function or program will have their depreciation charged respectively. For those units that prepare ACFRs the capital asset schedules required for that publication should give you helpful information about classifying your capital assets by function. </t>
  </si>
  <si>
    <t>IT subscriptions (GASB 96)</t>
  </si>
  <si>
    <t>Leases payable (GASB 87)</t>
  </si>
  <si>
    <t>OFS - IT subscriptions (GASSB 96)</t>
  </si>
  <si>
    <t>Leases (GASB 87)</t>
  </si>
  <si>
    <t>What was the amount of Nonspendable Fund Balance for Inventory at the end of the prior year?</t>
  </si>
  <si>
    <r>
      <t xml:space="preserve">What was the amount of Nonspendable Fund Balance for inventory </t>
    </r>
    <r>
      <rPr>
        <sz val="10"/>
        <rFont val="Arial"/>
        <family val="2"/>
      </rPr>
      <t>at the end of the current year?</t>
    </r>
  </si>
  <si>
    <t>What is the amount of GASB 96 IT subscription liabilities that will be due and payable within one year?</t>
  </si>
  <si>
    <t>Computer Equipment</t>
  </si>
  <si>
    <t>Accum. Depreciation - Computer Equipment</t>
  </si>
  <si>
    <t>Computer equipment</t>
  </si>
  <si>
    <t>Computer software</t>
  </si>
  <si>
    <t>Accumulated depreciation - Computer Equipment</t>
  </si>
  <si>
    <t>Accumulated depreciation - Equipment &amp; Furniture</t>
  </si>
  <si>
    <t>Equipment &amp;</t>
  </si>
  <si>
    <t>Computer</t>
  </si>
  <si>
    <t>Accumulated depreciation - Computer equipment</t>
  </si>
  <si>
    <t>Journal entry for conversion worksheet to capitalize right-to-use IT subscription assets.   [Entry R.1]</t>
  </si>
  <si>
    <t>Journal entry for conversion worksheet to amortize IT subscription asset.   [Entry R.2]</t>
  </si>
  <si>
    <t>R1.</t>
  </si>
  <si>
    <t xml:space="preserve">  Right to use lease assets</t>
  </si>
  <si>
    <t xml:space="preserve">  Right to use IT subscription assets</t>
  </si>
  <si>
    <t xml:space="preserve">  Computer equipment</t>
  </si>
  <si>
    <t xml:space="preserve">  Computer software</t>
  </si>
  <si>
    <t>x</t>
  </si>
  <si>
    <t>Restricted for Health Services</t>
  </si>
  <si>
    <t>IT subscriptions</t>
  </si>
  <si>
    <t>IT subscriptions - current</t>
  </si>
  <si>
    <t xml:space="preserve">This worksheet prepares the journal entry to record the entity's proportionate share of the net pension liability, pension expense, and deferred outflows of the Local Governmental Employees' Retirement System (LGERS) in accordance with GASB 68, with the exception of the accounting for current year contributions to the LGERS plan.  See tab " J. Other Liability &amp; Expenses" for accounting for current year contributions to the LGERS plan.
</t>
  </si>
  <si>
    <t xml:space="preserve">This worksheet prepares the journal entry to record the entity's proportionate share of the net pension liability, pension expense, and deferred outflows of the Registers of Deeds' Supplemental Pension Fund (ROD) in accordance with GASB 68, with the exception of the accounting for current year contributions to the ROD plan.  See tab "J. Other Liabilty&amp; Expenses" for accounting for current year contributions to the ROD plan.
</t>
  </si>
  <si>
    <t>Right-to-use IT subscription asset accumulated amortization</t>
  </si>
  <si>
    <t>Right-to-use lease assets</t>
  </si>
  <si>
    <t>Right-to-use lease assets accumulated amortization</t>
  </si>
  <si>
    <t>Right-to-use IT subscription asset</t>
  </si>
  <si>
    <t>Unexpended proceeds of debt</t>
  </si>
  <si>
    <t xml:space="preserve">  Total debt, gross (this should include short-term debt, if any)</t>
  </si>
  <si>
    <t>Capital-related payables (e.g., retainage payable, acccounts payable related to capital projects)</t>
  </si>
  <si>
    <t xml:space="preserve">Less debt that does not qualify as capital-related: </t>
  </si>
  <si>
    <t>Employer benefit payments made subsequent to the measurement date (obtain date from your actuarial report) through the end of your FYE (i.e. June 30, 2023)</t>
  </si>
  <si>
    <t>LEOSSA administration costs incurred subsequent to the measurement date (obtain from your actuarial report) through the end of your FYE (i.e. June 30, 2023)</t>
  </si>
  <si>
    <t>Restricted for Register of Deeds' pension plan</t>
  </si>
  <si>
    <t>Restricted for Opioid Settlement</t>
  </si>
  <si>
    <r>
      <t>Opioid settlement revenues  .</t>
    </r>
    <r>
      <rPr>
        <sz val="8"/>
        <color indexed="10"/>
        <rFont val="Arial"/>
        <family val="2"/>
      </rPr>
      <t>(Charges for services)</t>
    </r>
  </si>
  <si>
    <t>Health and Human Services</t>
  </si>
  <si>
    <t>Opioid settlement funds</t>
  </si>
  <si>
    <t>Health and human services - Charges for services</t>
  </si>
  <si>
    <t>Health and human services - Operating grants and contributions</t>
  </si>
  <si>
    <t>Health and Human services - Capital grants and contributions</t>
  </si>
  <si>
    <t xml:space="preserve">Health and Human services </t>
  </si>
  <si>
    <r>
      <t xml:space="preserve">Indicate the amount of other revenues included in unavailable revenue utilizing the modified accrual basis of accounting at the end of the </t>
    </r>
    <r>
      <rPr>
        <u/>
        <sz val="10"/>
        <rFont val="Arial"/>
        <family val="2"/>
      </rPr>
      <t xml:space="preserve">prior year </t>
    </r>
    <r>
      <rPr>
        <sz val="10"/>
        <rFont val="Arial"/>
        <family val="2"/>
      </rPr>
      <t>that were not recognized as revenue because they were not considered available. Also, indicate by amount the appropriate full accrual revenue classification.</t>
    </r>
    <r>
      <rPr>
        <sz val="10"/>
        <rFont val="Arial"/>
        <family val="2"/>
      </rPr>
      <t xml:space="preserve"> Adjustments for unavailable revenues related to the Opioid Settlement are addressed in this section.</t>
    </r>
  </si>
  <si>
    <r>
      <t xml:space="preserve">Indicate the amount of other revenues included in unavailable revenue utilizing the modified accrual basis of accounting at the end of the </t>
    </r>
    <r>
      <rPr>
        <u/>
        <sz val="10"/>
        <rFont val="Arial"/>
        <family val="2"/>
      </rPr>
      <t>current year</t>
    </r>
    <r>
      <rPr>
        <sz val="10"/>
        <rFont val="Arial"/>
        <family val="2"/>
      </rPr>
      <t xml:space="preserve"> that were not recognized as revenue because they were not considered available. Be careful not to duplicate unavailable revenues that have been handled in previous entries. Adjustments for unavailable revenues related to the Opioid Settlement are addressed in this section.</t>
    </r>
  </si>
  <si>
    <t>Special assessments unavailable revenues</t>
  </si>
  <si>
    <t>Special assessments unavailable revenue</t>
  </si>
  <si>
    <t>Special Assessments unavailable revenue</t>
  </si>
  <si>
    <t>Health and Human services - charge for service</t>
  </si>
  <si>
    <t>Opioid Settlement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</si>
</sst>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_);_(* \(#,##0.0\);_(* &quot;-&quot;??_);_(@_)"/>
    <numFmt numFmtId="165" formatCode="_(* #,##0_);_(* \(#,##0\);_(* &quot;-&quot;??_);_(@_)"/>
    <numFmt numFmtId="166" formatCode="_(&quot;$&quot;* #,##0_);_(&quot;$&quot;* \(#,##0\);_(&quot;$&quot;* &quot;-&quot;??_);_(@_)"/>
    <numFmt numFmtId="167" formatCode="0.0%"/>
    <numFmt numFmtId="168" formatCode="0.0000"/>
    <numFmt numFmtId="169" formatCode="0.00000"/>
    <numFmt numFmtId="170" formatCode="_(* #,##0_);_(* \(#,##0\);_(* &quot;-&quot;????_);_(@_)"/>
    <numFmt numFmtId="171" formatCode="0.00000%"/>
    <numFmt numFmtId="172" formatCode="_(* #,##0.0000_);_(* \(#,##0.0000\);_(* &quot;-&quot;??_);_(@_)"/>
    <numFmt numFmtId="173" formatCode="_(* #,##0.0000000000_);_(* \(#,##0.0000000000\);_(* &quot;-&quot;??_);_(@_)"/>
    <numFmt numFmtId="174" formatCode="0.0000000%"/>
    <numFmt numFmtId="175" formatCode="_(* #,##0.00000_);_(* \(#,##0.00000\);_(* &quot;-&quot;??_);_(@_)"/>
    <numFmt numFmtId="176" formatCode="_(* #,##0.0000000_);_(* \(#,##0.0000000\);_(* &quot;-&quot;??_);_(@_)"/>
    <numFmt numFmtId="177" formatCode="0.000000"/>
  </numFmts>
  <fonts count="8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0"/>
      <name val="Arial"/>
      <family val="2"/>
    </font>
    <font>
      <b/>
      <sz val="10"/>
      <name val="Arial"/>
      <family val="2"/>
    </font>
    <font>
      <sz val="8"/>
      <color indexed="10"/>
      <name val="Arial"/>
      <family val="2"/>
    </font>
    <font>
      <sz val="10"/>
      <name val="Arial"/>
      <family val="2"/>
    </font>
    <font>
      <sz val="8"/>
      <name val="Arial"/>
      <family val="2"/>
    </font>
    <font>
      <sz val="8"/>
      <color indexed="81"/>
      <name val="Tahoma"/>
      <family val="2"/>
    </font>
    <font>
      <b/>
      <sz val="8"/>
      <color indexed="81"/>
      <name val="Tahoma"/>
      <family val="2"/>
    </font>
    <font>
      <b/>
      <sz val="14"/>
      <name val="Arial"/>
      <family val="2"/>
    </font>
    <font>
      <sz val="10"/>
      <color indexed="12"/>
      <name val="Arial"/>
      <family val="2"/>
    </font>
    <font>
      <b/>
      <sz val="10"/>
      <color indexed="10"/>
      <name val="Arial"/>
      <family val="2"/>
    </font>
    <font>
      <i/>
      <sz val="10"/>
      <color indexed="10"/>
      <name val="Arial"/>
      <family val="2"/>
    </font>
    <font>
      <i/>
      <sz val="10"/>
      <name val="Arial"/>
      <family val="2"/>
    </font>
    <font>
      <sz val="12"/>
      <name val="Wingdings 2"/>
      <family val="1"/>
      <charset val="2"/>
    </font>
    <font>
      <b/>
      <sz val="10"/>
      <color indexed="17"/>
      <name val="Arial"/>
      <family val="2"/>
    </font>
    <font>
      <u/>
      <sz val="10"/>
      <name val="Arial"/>
      <family val="2"/>
    </font>
    <font>
      <sz val="11"/>
      <name val="Wingdings 2"/>
      <family val="1"/>
      <charset val="2"/>
    </font>
    <font>
      <b/>
      <sz val="10"/>
      <color indexed="10"/>
      <name val="Comic Sans MS"/>
      <family val="4"/>
    </font>
    <font>
      <i/>
      <sz val="8"/>
      <name val="Arial"/>
      <family val="2"/>
    </font>
    <font>
      <i/>
      <u/>
      <sz val="10"/>
      <name val="Arial"/>
      <family val="2"/>
    </font>
    <font>
      <b/>
      <sz val="12"/>
      <name val="Arial"/>
      <family val="2"/>
    </font>
    <font>
      <b/>
      <sz val="9"/>
      <color indexed="10"/>
      <name val="Arial"/>
      <family val="2"/>
    </font>
    <font>
      <b/>
      <sz val="10"/>
      <color indexed="12"/>
      <name val="Arial"/>
      <family val="2"/>
    </font>
    <font>
      <i/>
      <sz val="9"/>
      <name val="Arial"/>
      <family val="2"/>
    </font>
    <font>
      <b/>
      <sz val="12"/>
      <name val="Wingdings 2"/>
      <family val="1"/>
      <charset val="2"/>
    </font>
    <font>
      <sz val="9"/>
      <name val="Arial"/>
      <family val="2"/>
    </font>
    <font>
      <b/>
      <sz val="9"/>
      <name val="Arial"/>
      <family val="2"/>
    </font>
    <font>
      <sz val="8"/>
      <color indexed="10"/>
      <name val="Comic Sans MS"/>
      <family val="4"/>
    </font>
    <font>
      <b/>
      <sz val="8"/>
      <name val="Arial"/>
      <family val="2"/>
    </font>
    <font>
      <sz val="9"/>
      <color indexed="10"/>
      <name val="Arial"/>
      <family val="2"/>
    </font>
    <font>
      <sz val="11"/>
      <name val="Arial"/>
      <family val="2"/>
    </font>
    <font>
      <b/>
      <sz val="11"/>
      <name val="Arial"/>
      <family val="2"/>
    </font>
    <font>
      <b/>
      <u/>
      <sz val="10"/>
      <color indexed="10"/>
      <name val="Arial"/>
      <family val="2"/>
    </font>
    <font>
      <sz val="10"/>
      <name val="Times New Roman"/>
      <family val="1"/>
    </font>
    <font>
      <b/>
      <sz val="10"/>
      <name val="Times New Roman"/>
      <family val="1"/>
    </font>
    <font>
      <b/>
      <sz val="10"/>
      <color indexed="57"/>
      <name val="Arial"/>
      <family val="2"/>
    </font>
    <font>
      <b/>
      <i/>
      <sz val="10"/>
      <name val="Arial"/>
      <family val="2"/>
    </font>
    <font>
      <sz val="9"/>
      <name val="Times New Roman"/>
      <family val="1"/>
    </font>
    <font>
      <b/>
      <sz val="8"/>
      <color indexed="10"/>
      <name val="Arial"/>
      <family val="2"/>
    </font>
    <font>
      <b/>
      <sz val="9"/>
      <color indexed="12"/>
      <name val="Arial"/>
      <family val="2"/>
    </font>
    <font>
      <sz val="11"/>
      <name val="Times New Roman"/>
      <family val="1"/>
    </font>
    <font>
      <sz val="13"/>
      <name val="Wingdings 2"/>
      <family val="1"/>
      <charset val="2"/>
    </font>
    <font>
      <b/>
      <sz val="11"/>
      <name val="Times New Roman"/>
      <family val="1"/>
    </font>
    <font>
      <b/>
      <u/>
      <sz val="10"/>
      <name val="Arial"/>
      <family val="2"/>
    </font>
    <font>
      <sz val="10"/>
      <color indexed="10"/>
      <name val="Arial"/>
      <family val="2"/>
    </font>
    <font>
      <sz val="10"/>
      <color indexed="10"/>
      <name val="Times New Roman"/>
      <family val="1"/>
    </font>
    <font>
      <b/>
      <sz val="10"/>
      <color indexed="14"/>
      <name val="Arial"/>
      <family val="2"/>
    </font>
    <font>
      <sz val="10"/>
      <color indexed="14"/>
      <name val="Arial"/>
      <family val="2"/>
    </font>
    <font>
      <b/>
      <sz val="16"/>
      <name val="Arial"/>
      <family val="2"/>
    </font>
    <font>
      <sz val="10"/>
      <name val="Wingdings 2"/>
      <family val="1"/>
      <charset val="2"/>
    </font>
    <font>
      <sz val="9"/>
      <color indexed="8"/>
      <name val="Arial"/>
      <family val="2"/>
    </font>
    <font>
      <b/>
      <sz val="11"/>
      <color indexed="10"/>
      <name val="Arial"/>
      <family val="2"/>
    </font>
    <font>
      <sz val="10"/>
      <name val="Wingdings"/>
      <charset val="2"/>
    </font>
    <font>
      <b/>
      <u/>
      <sz val="9"/>
      <color indexed="10"/>
      <name val="Arial"/>
      <family val="2"/>
    </font>
    <font>
      <sz val="8"/>
      <color indexed="10"/>
      <name val="Arial"/>
      <family val="2"/>
    </font>
    <font>
      <b/>
      <i/>
      <sz val="10"/>
      <color indexed="10"/>
      <name val="Arial"/>
      <family val="2"/>
    </font>
    <font>
      <sz val="10"/>
      <name val="Arial"/>
      <family val="2"/>
    </font>
    <font>
      <b/>
      <sz val="11"/>
      <color theme="1"/>
      <name val="Calibri"/>
      <family val="2"/>
      <scheme val="minor"/>
    </font>
    <font>
      <sz val="12"/>
      <color rgb="FFFF0000"/>
      <name val="Arial"/>
      <family val="2"/>
    </font>
    <font>
      <b/>
      <sz val="11"/>
      <color rgb="FF000000"/>
      <name val="Calibri"/>
      <family val="2"/>
      <scheme val="minor"/>
    </font>
    <font>
      <sz val="11"/>
      <color rgb="FF000000"/>
      <name val="Calibri"/>
      <family val="2"/>
      <scheme val="minor"/>
    </font>
    <font>
      <sz val="10"/>
      <color rgb="FF000000"/>
      <name val="Arial"/>
      <family val="2"/>
    </font>
    <font>
      <sz val="10"/>
      <color rgb="FFFF0000"/>
      <name val="Arial"/>
      <family val="2"/>
    </font>
    <font>
      <sz val="10"/>
      <color theme="0"/>
      <name val="Arial"/>
      <family val="2"/>
    </font>
    <font>
      <b/>
      <i/>
      <sz val="10"/>
      <color rgb="FFFF0000"/>
      <name val="Arial"/>
      <family val="2"/>
    </font>
    <font>
      <b/>
      <sz val="10"/>
      <color rgb="FFFF0000"/>
      <name val="Arial"/>
      <family val="2"/>
    </font>
    <font>
      <b/>
      <sz val="11"/>
      <color rgb="FFFF0000"/>
      <name val="Calibri"/>
      <family val="2"/>
      <scheme val="minor"/>
    </font>
    <font>
      <sz val="11"/>
      <name val="Calibri"/>
      <family val="2"/>
      <scheme val="minor"/>
    </font>
    <font>
      <b/>
      <sz val="11"/>
      <name val="Calibri"/>
      <family val="2"/>
      <scheme val="minor"/>
    </font>
    <font>
      <sz val="11"/>
      <color theme="1"/>
      <name val="Arial"/>
      <family val="2"/>
    </font>
    <font>
      <sz val="10"/>
      <color theme="1"/>
      <name val="Arial"/>
      <family val="2"/>
    </font>
    <font>
      <sz val="11"/>
      <name val="Calibri"/>
      <family val="2"/>
    </font>
    <font>
      <b/>
      <sz val="11"/>
      <name val="Calibri"/>
      <family val="2"/>
    </font>
    <font>
      <b/>
      <sz val="12"/>
      <color theme="1"/>
      <name val="Calibri"/>
      <family val="2"/>
      <scheme val="minor"/>
    </font>
    <font>
      <b/>
      <sz val="9"/>
      <color indexed="81"/>
      <name val="Tahoma"/>
      <family val="2"/>
    </font>
    <font>
      <sz val="9"/>
      <color indexed="81"/>
      <name val="Tahoma"/>
      <family val="2"/>
    </font>
    <font>
      <b/>
      <sz val="10"/>
      <color theme="1"/>
      <name val="Arial"/>
      <family val="2"/>
    </font>
  </fonts>
  <fills count="24">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22"/>
        <bgColor indexed="64"/>
      </patternFill>
    </fill>
    <fill>
      <patternFill patternType="solid">
        <fgColor indexed="47"/>
        <bgColor indexed="64"/>
      </patternFill>
    </fill>
    <fill>
      <patternFill patternType="solid">
        <fgColor indexed="43"/>
        <bgColor indexed="64"/>
      </patternFill>
    </fill>
    <fill>
      <patternFill patternType="solid">
        <fgColor indexed="45"/>
        <bgColor indexed="64"/>
      </patternFill>
    </fill>
    <fill>
      <patternFill patternType="solid">
        <fgColor indexed="51"/>
        <bgColor indexed="64"/>
      </patternFill>
    </fill>
    <fill>
      <patternFill patternType="solid">
        <fgColor theme="9" tint="0.59999389629810485"/>
        <bgColor indexed="64"/>
      </patternFill>
    </fill>
    <fill>
      <patternFill patternType="solid">
        <fgColor theme="0"/>
        <bgColor indexed="64"/>
      </patternFill>
    </fill>
    <fill>
      <patternFill patternType="solid">
        <fgColor rgb="FFFFCC99"/>
        <bgColor indexed="64"/>
      </patternFill>
    </fill>
    <fill>
      <patternFill patternType="solid">
        <fgColor rgb="FFFFFF99"/>
        <bgColor indexed="64"/>
      </patternFill>
    </fill>
    <fill>
      <patternFill patternType="solid">
        <fgColor rgb="FFFFFF00"/>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D9D9D9"/>
        <bgColor rgb="FF000000"/>
      </patternFill>
    </fill>
    <fill>
      <patternFill patternType="solid">
        <fgColor rgb="FFCCFFFF"/>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rgb="FFFFC000"/>
        <bgColor indexed="64"/>
      </patternFill>
    </fill>
  </fills>
  <borders count="52">
    <border>
      <left/>
      <right/>
      <top/>
      <bottom/>
      <diagonal/>
    </border>
    <border>
      <left/>
      <right/>
      <top/>
      <bottom style="thin">
        <color indexed="64"/>
      </bottom>
      <diagonal/>
    </border>
    <border>
      <left style="thin">
        <color indexed="64"/>
      </left>
      <right/>
      <top/>
      <bottom/>
      <diagonal/>
    </border>
    <border>
      <left/>
      <right/>
      <top/>
      <bottom style="medium">
        <color indexed="64"/>
      </bottom>
      <diagonal/>
    </border>
    <border>
      <left/>
      <right/>
      <top style="medium">
        <color indexed="64"/>
      </top>
      <bottom/>
      <diagonal/>
    </border>
    <border>
      <left/>
      <right/>
      <top style="thin">
        <color indexed="64"/>
      </top>
      <bottom style="double">
        <color indexed="64"/>
      </bottom>
      <diagonal/>
    </border>
    <border>
      <left/>
      <right style="medium">
        <color indexed="64"/>
      </right>
      <top/>
      <bottom/>
      <diagonal/>
    </border>
    <border>
      <left/>
      <right/>
      <top style="thin">
        <color indexed="64"/>
      </top>
      <bottom style="thin">
        <color indexed="64"/>
      </bottom>
      <diagonal/>
    </border>
    <border>
      <left style="medium">
        <color indexed="64"/>
      </left>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right style="medium">
        <color indexed="64"/>
      </right>
      <top style="thin">
        <color indexed="64"/>
      </top>
      <bottom style="thin">
        <color indexed="64"/>
      </bottom>
      <diagonal/>
    </border>
    <border>
      <left style="thin">
        <color indexed="64"/>
      </left>
      <right/>
      <top/>
      <bottom style="double">
        <color indexed="64"/>
      </bottom>
      <diagonal/>
    </border>
    <border>
      <left/>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52"/>
      </left>
      <right/>
      <top style="double">
        <color indexed="52"/>
      </top>
      <bottom style="double">
        <color indexed="52"/>
      </bottom>
      <diagonal/>
    </border>
    <border>
      <left/>
      <right/>
      <top style="double">
        <color indexed="52"/>
      </top>
      <bottom style="double">
        <color indexed="52"/>
      </bottom>
      <diagonal/>
    </border>
    <border>
      <left/>
      <right style="double">
        <color indexed="52"/>
      </right>
      <top style="double">
        <color indexed="52"/>
      </top>
      <bottom style="double">
        <color indexed="52"/>
      </bottom>
      <diagonal/>
    </border>
    <border>
      <left/>
      <right style="thick">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s>
  <cellStyleXfs count="28">
    <xf numFmtId="0" fontId="0"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7" fillId="0" borderId="0"/>
    <xf numFmtId="43" fontId="7" fillId="0" borderId="0" applyFont="0" applyFill="0" applyBorder="0" applyAlignment="0" applyProtection="0"/>
    <xf numFmtId="0" fontId="11" fillId="0" borderId="0"/>
    <xf numFmtId="0" fontId="6" fillId="0" borderId="0"/>
    <xf numFmtId="43" fontId="6"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2" fillId="0" borderId="0"/>
    <xf numFmtId="0" fontId="1" fillId="0" borderId="0"/>
  </cellStyleXfs>
  <cellXfs count="1625">
    <xf numFmtId="0" fontId="0" fillId="0" borderId="0" xfId="0"/>
    <xf numFmtId="165" fontId="11" fillId="0" borderId="0" xfId="1" applyNumberFormat="1"/>
    <xf numFmtId="0" fontId="12" fillId="0" borderId="0" xfId="0" applyFont="1"/>
    <xf numFmtId="0" fontId="0" fillId="0" borderId="1" xfId="0" applyBorder="1" applyAlignment="1">
      <alignment horizontal="center"/>
    </xf>
    <xf numFmtId="0" fontId="13" fillId="0" borderId="0" xfId="0" applyFont="1"/>
    <xf numFmtId="165" fontId="0" fillId="0" borderId="0" xfId="0" applyNumberFormat="1"/>
    <xf numFmtId="0" fontId="14" fillId="0" borderId="0" xfId="0" applyFont="1"/>
    <xf numFmtId="0" fontId="0" fillId="0" borderId="2" xfId="0" applyBorder="1"/>
    <xf numFmtId="0" fontId="0" fillId="0" borderId="1" xfId="0" applyBorder="1"/>
    <xf numFmtId="165" fontId="0" fillId="0" borderId="2" xfId="0" applyNumberFormat="1" applyBorder="1"/>
    <xf numFmtId="165" fontId="0" fillId="0" borderId="0" xfId="0" applyNumberFormat="1" applyFill="1" applyBorder="1"/>
    <xf numFmtId="165" fontId="11" fillId="0" borderId="0" xfId="1" applyNumberFormat="1" applyBorder="1"/>
    <xf numFmtId="165" fontId="0" fillId="0" borderId="0" xfId="0" applyNumberFormat="1" applyBorder="1"/>
    <xf numFmtId="0" fontId="0" fillId="0" borderId="0" xfId="0" applyFill="1"/>
    <xf numFmtId="0" fontId="0" fillId="0" borderId="0" xfId="0" applyBorder="1"/>
    <xf numFmtId="165" fontId="0" fillId="2" borderId="0" xfId="0" applyNumberFormat="1" applyFill="1" applyBorder="1"/>
    <xf numFmtId="0" fontId="0" fillId="0" borderId="3" xfId="0" applyBorder="1"/>
    <xf numFmtId="0" fontId="0" fillId="0" borderId="4" xfId="0" applyBorder="1"/>
    <xf numFmtId="165" fontId="0" fillId="0" borderId="2" xfId="0" applyNumberFormat="1" applyFill="1" applyBorder="1"/>
    <xf numFmtId="0" fontId="0" fillId="0" borderId="0" xfId="0" applyAlignment="1">
      <alignment horizontal="right"/>
    </xf>
    <xf numFmtId="165" fontId="0" fillId="0" borderId="5" xfId="0" applyNumberFormat="1" applyBorder="1"/>
    <xf numFmtId="0" fontId="0" fillId="0" borderId="6" xfId="0" applyBorder="1"/>
    <xf numFmtId="0" fontId="0" fillId="0" borderId="6" xfId="0" applyFill="1" applyBorder="1" applyAlignment="1"/>
    <xf numFmtId="0" fontId="0" fillId="3" borderId="7" xfId="0" applyFill="1" applyBorder="1"/>
    <xf numFmtId="0" fontId="0" fillId="3" borderId="7" xfId="0" applyFill="1" applyBorder="1" applyAlignment="1">
      <alignment horizontal="center"/>
    </xf>
    <xf numFmtId="0" fontId="0" fillId="0" borderId="8" xfId="0" applyBorder="1"/>
    <xf numFmtId="0" fontId="0" fillId="0" borderId="9" xfId="0" applyBorder="1"/>
    <xf numFmtId="0" fontId="0" fillId="0" borderId="10" xfId="0" applyBorder="1"/>
    <xf numFmtId="0" fontId="0" fillId="0" borderId="11" xfId="0" applyBorder="1"/>
    <xf numFmtId="0" fontId="12" fillId="0" borderId="0" xfId="0" applyFont="1" applyFill="1"/>
    <xf numFmtId="165" fontId="11" fillId="0" borderId="0" xfId="1" applyNumberFormat="1" applyFill="1" applyBorder="1"/>
    <xf numFmtId="0" fontId="0" fillId="0" borderId="0" xfId="0" applyFill="1" applyBorder="1"/>
    <xf numFmtId="165" fontId="0" fillId="0" borderId="0" xfId="0" applyNumberFormat="1" applyFill="1"/>
    <xf numFmtId="0" fontId="0" fillId="0" borderId="8" xfId="0" applyFill="1" applyBorder="1"/>
    <xf numFmtId="0" fontId="0" fillId="0" borderId="0" xfId="0" applyAlignment="1">
      <alignment wrapText="1"/>
    </xf>
    <xf numFmtId="0" fontId="0" fillId="0" borderId="0" xfId="0" applyAlignment="1"/>
    <xf numFmtId="165" fontId="0" fillId="0" borderId="0" xfId="1" applyNumberFormat="1" applyFont="1"/>
    <xf numFmtId="165" fontId="0" fillId="0" borderId="5" xfId="1" applyNumberFormat="1" applyFont="1" applyBorder="1"/>
    <xf numFmtId="0" fontId="13" fillId="0" borderId="0" xfId="0" applyFont="1" applyAlignment="1">
      <alignment horizontal="center"/>
    </xf>
    <xf numFmtId="0" fontId="0" fillId="0" borderId="0" xfId="0" quotePrefix="1"/>
    <xf numFmtId="0" fontId="0" fillId="0" borderId="0" xfId="0" quotePrefix="1" applyAlignment="1">
      <alignment wrapText="1"/>
    </xf>
    <xf numFmtId="0" fontId="13" fillId="0" borderId="0" xfId="0" quotePrefix="1" applyFont="1" applyAlignment="1">
      <alignment wrapText="1"/>
    </xf>
    <xf numFmtId="0" fontId="20" fillId="0" borderId="0" xfId="0" applyFont="1"/>
    <xf numFmtId="0" fontId="22" fillId="0" borderId="0" xfId="0" applyFont="1"/>
    <xf numFmtId="0" fontId="13" fillId="0" borderId="0" xfId="0" applyFont="1" applyFill="1" applyBorder="1"/>
    <xf numFmtId="0" fontId="0" fillId="0" borderId="0" xfId="0" applyAlignment="1">
      <alignment horizontal="center"/>
    </xf>
    <xf numFmtId="0" fontId="0" fillId="0" borderId="0" xfId="0" applyBorder="1" applyAlignment="1">
      <alignment horizontal="center"/>
    </xf>
    <xf numFmtId="165" fontId="0" fillId="0" borderId="0" xfId="1" applyNumberFormat="1" applyFont="1" applyFill="1" applyBorder="1"/>
    <xf numFmtId="165" fontId="0" fillId="0" borderId="0" xfId="1" applyNumberFormat="1" applyFont="1" applyBorder="1"/>
    <xf numFmtId="0" fontId="13" fillId="0" borderId="1" xfId="0" applyFont="1" applyBorder="1" applyAlignment="1">
      <alignment horizontal="center"/>
    </xf>
    <xf numFmtId="0" fontId="24" fillId="0" borderId="0" xfId="0" applyFont="1" applyAlignment="1">
      <alignment horizontal="left"/>
    </xf>
    <xf numFmtId="0" fontId="13" fillId="0" borderId="0" xfId="0" applyFont="1" applyFill="1" applyBorder="1" applyAlignment="1">
      <alignment horizontal="center"/>
    </xf>
    <xf numFmtId="0" fontId="13" fillId="0" borderId="0" xfId="0" applyFont="1" applyFill="1" applyBorder="1" applyAlignment="1"/>
    <xf numFmtId="0" fontId="21" fillId="0" borderId="0" xfId="0" applyFont="1"/>
    <xf numFmtId="0" fontId="27" fillId="0" borderId="0" xfId="0" applyFont="1"/>
    <xf numFmtId="166" fontId="0" fillId="0" borderId="0" xfId="2" applyNumberFormat="1" applyFont="1" applyBorder="1"/>
    <xf numFmtId="166" fontId="11" fillId="0" borderId="0" xfId="2" applyNumberFormat="1" applyBorder="1"/>
    <xf numFmtId="0" fontId="13" fillId="0" borderId="0" xfId="0" applyFont="1" applyBorder="1" applyAlignment="1">
      <alignment horizontal="center"/>
    </xf>
    <xf numFmtId="0" fontId="28" fillId="0" borderId="0" xfId="0" applyFont="1"/>
    <xf numFmtId="166" fontId="0" fillId="0" borderId="1" xfId="2" applyNumberFormat="1" applyFont="1" applyBorder="1" applyAlignment="1">
      <alignment horizontal="center"/>
    </xf>
    <xf numFmtId="0" fontId="0" fillId="0" borderId="0" xfId="0" applyFill="1" applyAlignment="1"/>
    <xf numFmtId="0" fontId="19" fillId="0" borderId="0" xfId="0" applyFont="1" applyFill="1" applyBorder="1" applyAlignment="1">
      <alignment horizontal="center"/>
    </xf>
    <xf numFmtId="0" fontId="0" fillId="0" borderId="2" xfId="0" applyFill="1" applyBorder="1"/>
    <xf numFmtId="165" fontId="28" fillId="0" borderId="0" xfId="1" applyNumberFormat="1" applyFont="1" applyBorder="1"/>
    <xf numFmtId="0" fontId="13" fillId="0" borderId="0" xfId="0" quotePrefix="1" applyFont="1"/>
    <xf numFmtId="165" fontId="16" fillId="0" borderId="0" xfId="1" applyNumberFormat="1" applyFont="1" applyAlignment="1">
      <alignment horizontal="center"/>
    </xf>
    <xf numFmtId="165" fontId="0" fillId="0" borderId="7" xfId="1" applyNumberFormat="1" applyFont="1" applyBorder="1"/>
    <xf numFmtId="0" fontId="13" fillId="0" borderId="1" xfId="0" applyFont="1" applyFill="1" applyBorder="1" applyAlignment="1">
      <alignment horizontal="center"/>
    </xf>
    <xf numFmtId="0" fontId="0" fillId="0" borderId="0" xfId="0" applyFill="1" applyAlignment="1">
      <alignment wrapText="1"/>
    </xf>
    <xf numFmtId="0" fontId="0" fillId="0" borderId="1" xfId="0" applyFill="1"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165" fontId="0" fillId="2" borderId="7" xfId="1" applyNumberFormat="1" applyFont="1" applyFill="1" applyBorder="1"/>
    <xf numFmtId="0" fontId="0" fillId="2" borderId="7" xfId="0" applyFill="1" applyBorder="1"/>
    <xf numFmtId="165" fontId="0" fillId="2" borderId="5" xfId="1" applyNumberFormat="1" applyFont="1" applyFill="1" applyBorder="1"/>
    <xf numFmtId="0" fontId="0" fillId="2" borderId="5" xfId="0" applyFill="1" applyBorder="1"/>
    <xf numFmtId="165" fontId="16" fillId="0" borderId="0" xfId="1" applyNumberFormat="1" applyFont="1" applyFill="1" applyAlignment="1">
      <alignment horizontal="center"/>
    </xf>
    <xf numFmtId="165" fontId="0" fillId="2" borderId="0" xfId="0" applyNumberFormat="1" applyFill="1"/>
    <xf numFmtId="0" fontId="0" fillId="2" borderId="0" xfId="0" applyFill="1"/>
    <xf numFmtId="165" fontId="0" fillId="2" borderId="5" xfId="0" applyNumberFormat="1" applyFill="1" applyBorder="1"/>
    <xf numFmtId="166" fontId="0" fillId="2" borderId="5" xfId="2" applyNumberFormat="1" applyFont="1" applyFill="1" applyBorder="1"/>
    <xf numFmtId="165" fontId="16" fillId="0" borderId="0" xfId="1" applyNumberFormat="1" applyFont="1" applyFill="1" applyBorder="1" applyAlignment="1">
      <alignment horizontal="center"/>
    </xf>
    <xf numFmtId="165" fontId="0" fillId="2" borderId="0" xfId="1" applyNumberFormat="1" applyFont="1" applyFill="1"/>
    <xf numFmtId="165" fontId="11" fillId="2" borderId="0" xfId="1" applyNumberFormat="1" applyFill="1"/>
    <xf numFmtId="166" fontId="11" fillId="2" borderId="5" xfId="2" applyNumberFormat="1" applyFill="1" applyBorder="1"/>
    <xf numFmtId="165" fontId="0" fillId="2" borderId="15" xfId="1" applyNumberFormat="1" applyFont="1" applyFill="1" applyBorder="1"/>
    <xf numFmtId="165" fontId="0" fillId="2" borderId="15" xfId="0" applyNumberFormat="1" applyFill="1" applyBorder="1"/>
    <xf numFmtId="166" fontId="11" fillId="0" borderId="0" xfId="2" applyNumberFormat="1" applyFill="1" applyBorder="1"/>
    <xf numFmtId="0" fontId="0" fillId="0" borderId="1" xfId="0" applyBorder="1" applyAlignment="1">
      <alignment horizontal="center" wrapText="1"/>
    </xf>
    <xf numFmtId="0" fontId="24" fillId="0" borderId="0" xfId="0" applyFont="1"/>
    <xf numFmtId="165" fontId="11" fillId="2" borderId="15" xfId="1" applyNumberFormat="1" applyFill="1" applyBorder="1"/>
    <xf numFmtId="165" fontId="11" fillId="2" borderId="5" xfId="1" applyNumberFormat="1" applyFill="1" applyBorder="1"/>
    <xf numFmtId="165" fontId="11" fillId="0" borderId="0" xfId="1" applyNumberFormat="1" applyFill="1"/>
    <xf numFmtId="165" fontId="0" fillId="0" borderId="0" xfId="1" applyNumberFormat="1" applyFont="1" applyFill="1"/>
    <xf numFmtId="0" fontId="0" fillId="2" borderId="16" xfId="0" applyFill="1" applyBorder="1" applyAlignment="1">
      <alignment horizontal="center"/>
    </xf>
    <xf numFmtId="0" fontId="0" fillId="2" borderId="13" xfId="0" applyFill="1" applyBorder="1" applyAlignment="1">
      <alignment horizontal="center"/>
    </xf>
    <xf numFmtId="0" fontId="0" fillId="2" borderId="1" xfId="0" applyFill="1" applyBorder="1" applyAlignment="1">
      <alignment horizontal="center"/>
    </xf>
    <xf numFmtId="0" fontId="0" fillId="0" borderId="0" xfId="0" applyFill="1" applyBorder="1" applyAlignment="1">
      <alignment wrapText="1"/>
    </xf>
    <xf numFmtId="0" fontId="0" fillId="0" borderId="0" xfId="0" applyFill="1" applyBorder="1" applyAlignment="1">
      <alignment horizontal="center"/>
    </xf>
    <xf numFmtId="165" fontId="28" fillId="0" borderId="0" xfId="1" applyNumberFormat="1" applyFont="1" applyFill="1" applyBorder="1"/>
    <xf numFmtId="0" fontId="21" fillId="2" borderId="14" xfId="0" applyFont="1" applyFill="1" applyBorder="1" applyAlignment="1">
      <alignment horizontal="center"/>
    </xf>
    <xf numFmtId="0" fontId="15" fillId="2" borderId="14" xfId="0" applyFont="1" applyFill="1" applyBorder="1" applyAlignment="1">
      <alignment horizontal="center"/>
    </xf>
    <xf numFmtId="0" fontId="21" fillId="2" borderId="13" xfId="0" applyFont="1" applyFill="1" applyBorder="1" applyAlignment="1">
      <alignment horizontal="center"/>
    </xf>
    <xf numFmtId="0" fontId="21" fillId="0" borderId="0" xfId="0" applyFont="1" applyFill="1" applyBorder="1"/>
    <xf numFmtId="0" fontId="21" fillId="0" borderId="0" xfId="0" applyFont="1" applyAlignment="1">
      <alignment horizontal="right"/>
    </xf>
    <xf numFmtId="165" fontId="11" fillId="0" borderId="0" xfId="1" applyNumberFormat="1" applyAlignment="1">
      <alignment horizontal="center"/>
    </xf>
    <xf numFmtId="0" fontId="0" fillId="0" borderId="5" xfId="0" applyBorder="1"/>
    <xf numFmtId="0" fontId="0" fillId="4" borderId="0" xfId="0" applyFill="1"/>
    <xf numFmtId="165" fontId="11" fillId="0" borderId="1" xfId="1" applyNumberFormat="1" applyBorder="1" applyAlignment="1">
      <alignment horizontal="center"/>
    </xf>
    <xf numFmtId="165" fontId="11" fillId="0" borderId="14" xfId="1" applyNumberFormat="1" applyFont="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165" fontId="0" fillId="0" borderId="17" xfId="1" applyNumberFormat="1" applyFont="1" applyBorder="1"/>
    <xf numFmtId="165" fontId="0" fillId="0" borderId="2" xfId="1" applyNumberFormat="1" applyFont="1" applyBorder="1"/>
    <xf numFmtId="165" fontId="0" fillId="0" borderId="18" xfId="0" applyNumberFormat="1" applyBorder="1"/>
    <xf numFmtId="165" fontId="11" fillId="0" borderId="1" xfId="1" applyNumberFormat="1" applyFill="1" applyBorder="1"/>
    <xf numFmtId="0" fontId="13" fillId="2" borderId="0" xfId="0" applyFont="1" applyFill="1" applyAlignment="1">
      <alignment horizontal="center"/>
    </xf>
    <xf numFmtId="165" fontId="13" fillId="2" borderId="0" xfId="0" applyNumberFormat="1" applyFont="1" applyFill="1" applyAlignment="1">
      <alignment horizontal="center"/>
    </xf>
    <xf numFmtId="0" fontId="33" fillId="0" borderId="0" xfId="0" applyFont="1"/>
    <xf numFmtId="0" fontId="24" fillId="0" borderId="0" xfId="0" applyFont="1" applyAlignment="1"/>
    <xf numFmtId="0" fontId="23" fillId="0" borderId="0" xfId="0" applyFont="1"/>
    <xf numFmtId="0" fontId="28" fillId="0" borderId="0" xfId="0" applyFont="1" applyAlignment="1">
      <alignment wrapText="1"/>
    </xf>
    <xf numFmtId="0" fontId="15" fillId="0" borderId="13" xfId="0" applyFont="1" applyBorder="1" applyAlignment="1">
      <alignment horizontal="center"/>
    </xf>
    <xf numFmtId="0" fontId="15" fillId="0" borderId="14" xfId="0" applyFont="1" applyBorder="1" applyAlignment="1">
      <alignment horizontal="center"/>
    </xf>
    <xf numFmtId="0" fontId="0" fillId="0" borderId="17" xfId="0" applyBorder="1"/>
    <xf numFmtId="0" fontId="0" fillId="0" borderId="13" xfId="0" applyBorder="1"/>
    <xf numFmtId="0" fontId="0" fillId="0" borderId="19" xfId="0" applyBorder="1"/>
    <xf numFmtId="165" fontId="0" fillId="0" borderId="20" xfId="0" applyNumberFormat="1" applyBorder="1"/>
    <xf numFmtId="0" fontId="0" fillId="0" borderId="14" xfId="0" applyBorder="1"/>
    <xf numFmtId="165" fontId="11" fillId="0" borderId="2" xfId="1" applyNumberFormat="1" applyFill="1" applyBorder="1"/>
    <xf numFmtId="165" fontId="11" fillId="0" borderId="13" xfId="1" applyNumberFormat="1" applyFill="1" applyBorder="1"/>
    <xf numFmtId="165" fontId="0" fillId="0" borderId="21" xfId="0" applyNumberFormat="1" applyBorder="1"/>
    <xf numFmtId="0" fontId="0" fillId="0" borderId="0" xfId="0" applyFill="1" applyBorder="1" applyAlignment="1"/>
    <xf numFmtId="166" fontId="11" fillId="0" borderId="0" xfId="2" applyNumberFormat="1" applyFill="1"/>
    <xf numFmtId="0" fontId="24" fillId="0" borderId="0" xfId="0" applyFont="1" applyAlignment="1">
      <alignment horizontal="right"/>
    </xf>
    <xf numFmtId="0" fontId="36" fillId="0" borderId="0" xfId="0" applyFont="1" applyAlignment="1">
      <alignment wrapText="1"/>
    </xf>
    <xf numFmtId="0" fontId="36" fillId="0" borderId="1" xfId="0" applyFont="1" applyBorder="1" applyAlignment="1">
      <alignment horizontal="center" wrapText="1"/>
    </xf>
    <xf numFmtId="0" fontId="37" fillId="0" borderId="0" xfId="0" applyFont="1" applyAlignment="1">
      <alignment horizontal="center" wrapText="1"/>
    </xf>
    <xf numFmtId="0" fontId="39" fillId="0" borderId="0" xfId="0" applyFont="1" applyAlignment="1">
      <alignment horizontal="center" wrapText="1"/>
    </xf>
    <xf numFmtId="166" fontId="38" fillId="0" borderId="0" xfId="2" applyNumberFormat="1" applyFont="1" applyFill="1" applyBorder="1" applyAlignment="1">
      <alignment wrapText="1"/>
    </xf>
    <xf numFmtId="0" fontId="36" fillId="0" borderId="0" xfId="0" applyFont="1"/>
    <xf numFmtId="0" fontId="24" fillId="0" borderId="0" xfId="0" applyFont="1" applyFill="1" applyAlignment="1">
      <alignment horizontal="right"/>
    </xf>
    <xf numFmtId="0" fontId="0" fillId="0" borderId="1" xfId="0" applyBorder="1" applyAlignment="1"/>
    <xf numFmtId="165" fontId="0" fillId="0" borderId="0" xfId="1" applyNumberFormat="1" applyFont="1" applyBorder="1" applyAlignment="1">
      <alignment horizontal="center"/>
    </xf>
    <xf numFmtId="165" fontId="0" fillId="0" borderId="0" xfId="1" applyNumberFormat="1" applyFont="1" applyFill="1" applyBorder="1" applyAlignment="1">
      <alignment horizontal="center"/>
    </xf>
    <xf numFmtId="0" fontId="38" fillId="0" borderId="0" xfId="0" applyFont="1" applyAlignment="1">
      <alignment wrapText="1"/>
    </xf>
    <xf numFmtId="0" fontId="13" fillId="0" borderId="0" xfId="0" applyFont="1" applyFill="1"/>
    <xf numFmtId="165" fontId="11" fillId="2" borderId="7" xfId="1" applyNumberFormat="1" applyFill="1" applyBorder="1"/>
    <xf numFmtId="165" fontId="15" fillId="0" borderId="0" xfId="1" applyNumberFormat="1" applyFont="1" applyBorder="1"/>
    <xf numFmtId="165" fontId="11" fillId="0" borderId="0" xfId="1" applyNumberFormat="1" applyFont="1" applyBorder="1" applyAlignment="1">
      <alignment horizontal="center"/>
    </xf>
    <xf numFmtId="165" fontId="11" fillId="0" borderId="0" xfId="1" applyNumberFormat="1" applyFill="1" applyBorder="1" applyAlignment="1">
      <alignment horizontal="center"/>
    </xf>
    <xf numFmtId="165" fontId="11" fillId="0" borderId="0" xfId="1" applyNumberFormat="1" applyFont="1" applyFill="1" applyBorder="1" applyAlignment="1">
      <alignment horizontal="center"/>
    </xf>
    <xf numFmtId="165" fontId="11" fillId="0" borderId="1" xfId="1" applyNumberFormat="1" applyFont="1" applyBorder="1" applyAlignment="1">
      <alignment horizontal="center"/>
    </xf>
    <xf numFmtId="165" fontId="11" fillId="0" borderId="1" xfId="1" applyNumberFormat="1" applyFont="1" applyFill="1" applyBorder="1" applyAlignment="1">
      <alignment horizontal="center"/>
    </xf>
    <xf numFmtId="0" fontId="44" fillId="0" borderId="0" xfId="0" applyFont="1"/>
    <xf numFmtId="0" fontId="14" fillId="0" borderId="0" xfId="0" applyFont="1" applyBorder="1"/>
    <xf numFmtId="0" fontId="14" fillId="0" borderId="0" xfId="0" applyFont="1" applyAlignment="1">
      <alignment wrapText="1"/>
    </xf>
    <xf numFmtId="165" fontId="11" fillId="0" borderId="0" xfId="1" applyNumberFormat="1" applyBorder="1" applyAlignment="1">
      <alignment horizontal="center"/>
    </xf>
    <xf numFmtId="0" fontId="24" fillId="0" borderId="0" xfId="0" applyFont="1" applyFill="1"/>
    <xf numFmtId="0" fontId="41" fillId="0" borderId="0" xfId="0" applyFont="1"/>
    <xf numFmtId="0" fontId="15" fillId="0" borderId="0" xfId="0" applyFont="1" applyBorder="1" applyAlignment="1">
      <alignment horizontal="left" wrapText="1"/>
    </xf>
    <xf numFmtId="0" fontId="13" fillId="0" borderId="0" xfId="0" applyFont="1" applyBorder="1" applyAlignment="1">
      <alignment horizontal="left"/>
    </xf>
    <xf numFmtId="0" fontId="13" fillId="0" borderId="0" xfId="0" applyFont="1" applyBorder="1"/>
    <xf numFmtId="9" fontId="11" fillId="0" borderId="0" xfId="3"/>
    <xf numFmtId="9" fontId="11" fillId="0" borderId="1" xfId="3" applyBorder="1" applyAlignment="1">
      <alignment horizontal="center"/>
    </xf>
    <xf numFmtId="9" fontId="11" fillId="0" borderId="0" xfId="3" applyBorder="1" applyAlignment="1">
      <alignment horizontal="center"/>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9" fontId="11" fillId="0" borderId="0" xfId="3" applyFont="1"/>
    <xf numFmtId="165" fontId="11" fillId="0" borderId="0" xfId="1" applyNumberFormat="1" applyFont="1" applyBorder="1"/>
    <xf numFmtId="9" fontId="11" fillId="0" borderId="0" xfId="3" applyBorder="1"/>
    <xf numFmtId="0" fontId="0" fillId="0" borderId="0" xfId="0" applyAlignment="1">
      <alignment horizontal="left" indent="4"/>
    </xf>
    <xf numFmtId="0" fontId="23" fillId="0" borderId="0" xfId="0" applyFont="1" applyAlignment="1"/>
    <xf numFmtId="165" fontId="15" fillId="0" borderId="0" xfId="1" applyNumberFormat="1" applyFont="1" applyBorder="1" applyAlignment="1">
      <alignment horizontal="center"/>
    </xf>
    <xf numFmtId="165" fontId="15" fillId="0" borderId="0" xfId="1" applyNumberFormat="1" applyFont="1" applyFill="1" applyBorder="1" applyAlignment="1">
      <alignment horizontal="center"/>
    </xf>
    <xf numFmtId="165" fontId="15" fillId="0" borderId="0" xfId="1" applyNumberFormat="1" applyFont="1"/>
    <xf numFmtId="0" fontId="15" fillId="0" borderId="0" xfId="0" applyFont="1" applyBorder="1" applyAlignment="1">
      <alignment horizontal="center" wrapText="1"/>
    </xf>
    <xf numFmtId="0" fontId="13" fillId="0" borderId="0" xfId="0" applyFont="1" applyBorder="1" applyAlignment="1">
      <alignment horizontal="left" wrapText="1"/>
    </xf>
    <xf numFmtId="0" fontId="15" fillId="0" borderId="1" xfId="0" applyFont="1" applyBorder="1" applyAlignment="1">
      <alignment horizontal="center" wrapText="1"/>
    </xf>
    <xf numFmtId="0" fontId="13" fillId="0" borderId="0" xfId="0" applyFont="1" applyAlignment="1">
      <alignment horizontal="left"/>
    </xf>
    <xf numFmtId="41" fontId="0" fillId="0" borderId="0" xfId="0" applyNumberFormat="1" applyFill="1" applyBorder="1" applyAlignment="1">
      <alignment horizontal="center"/>
    </xf>
    <xf numFmtId="42" fontId="0" fillId="0" borderId="0" xfId="0" applyNumberFormat="1" applyFill="1" applyBorder="1" applyAlignment="1">
      <alignment horizontal="center"/>
    </xf>
    <xf numFmtId="166" fontId="11" fillId="2" borderId="7" xfId="2" applyNumberFormat="1" applyFill="1" applyBorder="1"/>
    <xf numFmtId="9" fontId="24" fillId="0" borderId="0" xfId="3" applyFont="1" applyFill="1" applyBorder="1"/>
    <xf numFmtId="166" fontId="11" fillId="2" borderId="15" xfId="2" applyNumberFormat="1" applyFill="1" applyBorder="1"/>
    <xf numFmtId="165" fontId="13" fillId="2" borderId="22" xfId="1" applyNumberFormat="1" applyFont="1" applyFill="1" applyBorder="1" applyAlignment="1">
      <alignment horizontal="center"/>
    </xf>
    <xf numFmtId="0" fontId="16" fillId="0" borderId="0" xfId="0" applyFont="1" applyAlignment="1">
      <alignment wrapText="1"/>
    </xf>
    <xf numFmtId="9" fontId="14" fillId="0" borderId="0" xfId="3" applyFont="1" applyBorder="1" applyAlignment="1">
      <alignment horizontal="left" wrapText="1"/>
    </xf>
    <xf numFmtId="9" fontId="14" fillId="0" borderId="0" xfId="3" applyFont="1" applyFill="1" applyBorder="1" applyAlignment="1">
      <alignment horizontal="left" wrapText="1"/>
    </xf>
    <xf numFmtId="0" fontId="46" fillId="0" borderId="0" xfId="0" applyFont="1"/>
    <xf numFmtId="165" fontId="0" fillId="0" borderId="20" xfId="0" applyNumberFormat="1" applyFill="1" applyBorder="1"/>
    <xf numFmtId="9" fontId="12" fillId="0" borderId="0" xfId="3" applyFont="1"/>
    <xf numFmtId="0" fontId="42" fillId="0" borderId="0" xfId="0" applyFont="1"/>
    <xf numFmtId="0" fontId="15" fillId="0" borderId="0" xfId="0" applyFont="1" applyFill="1" applyBorder="1" applyAlignment="1">
      <alignment horizontal="left" wrapText="1"/>
    </xf>
    <xf numFmtId="0" fontId="21" fillId="0" borderId="0" xfId="0" applyFont="1" applyAlignment="1">
      <alignment horizontal="center" wrapText="1"/>
    </xf>
    <xf numFmtId="0" fontId="15" fillId="0" borderId="0" xfId="0" applyFont="1"/>
    <xf numFmtId="165" fontId="0" fillId="2" borderId="1" xfId="0" applyNumberFormat="1" applyFill="1" applyBorder="1"/>
    <xf numFmtId="0" fontId="15" fillId="0" borderId="0" xfId="0" quotePrefix="1" applyFont="1"/>
    <xf numFmtId="165" fontId="14" fillId="0" borderId="0" xfId="1" applyNumberFormat="1" applyFont="1" applyBorder="1" applyAlignment="1">
      <alignment wrapText="1"/>
    </xf>
    <xf numFmtId="0" fontId="0" fillId="0" borderId="19" xfId="0" applyBorder="1" applyAlignment="1">
      <alignment horizontal="center"/>
    </xf>
    <xf numFmtId="165" fontId="24" fillId="0" borderId="0" xfId="1" applyNumberFormat="1" applyFont="1" applyBorder="1" applyAlignment="1">
      <alignment horizontal="left"/>
    </xf>
    <xf numFmtId="165" fontId="24" fillId="0" borderId="0" xfId="1" applyNumberFormat="1" applyFont="1" applyBorder="1" applyAlignment="1">
      <alignment horizontal="right"/>
    </xf>
    <xf numFmtId="0" fontId="13" fillId="2" borderId="23" xfId="0" applyFont="1" applyFill="1" applyBorder="1" applyAlignment="1"/>
    <xf numFmtId="0" fontId="13" fillId="2" borderId="7" xfId="0" applyFont="1" applyFill="1" applyBorder="1" applyAlignment="1"/>
    <xf numFmtId="0" fontId="13" fillId="2" borderId="24" xfId="0" applyFont="1" applyFill="1" applyBorder="1" applyAlignment="1"/>
    <xf numFmtId="165" fontId="11" fillId="2" borderId="1" xfId="1" applyNumberFormat="1" applyFill="1" applyBorder="1"/>
    <xf numFmtId="165" fontId="11" fillId="4" borderId="0" xfId="1" applyNumberFormat="1" applyFill="1"/>
    <xf numFmtId="0" fontId="19" fillId="4" borderId="0" xfId="0" applyFont="1" applyFill="1"/>
    <xf numFmtId="0" fontId="0" fillId="0" borderId="2" xfId="0" applyBorder="1" applyAlignment="1">
      <alignment horizontal="center"/>
    </xf>
    <xf numFmtId="0" fontId="0" fillId="0" borderId="20" xfId="0" applyBorder="1" applyAlignment="1">
      <alignment horizontal="center"/>
    </xf>
    <xf numFmtId="0" fontId="0" fillId="0" borderId="2" xfId="0" applyFill="1" applyBorder="1" applyAlignment="1">
      <alignment horizontal="center"/>
    </xf>
    <xf numFmtId="0" fontId="0" fillId="0" borderId="20" xfId="0" applyFill="1" applyBorder="1" applyAlignment="1">
      <alignment horizontal="center"/>
    </xf>
    <xf numFmtId="0" fontId="0" fillId="0" borderId="1" xfId="0" applyFill="1" applyBorder="1"/>
    <xf numFmtId="0" fontId="0" fillId="2" borderId="25" xfId="0" applyFill="1" applyBorder="1" applyAlignment="1">
      <alignment horizontal="center"/>
    </xf>
    <xf numFmtId="0" fontId="0" fillId="2" borderId="0" xfId="0" applyFill="1" applyBorder="1" applyAlignment="1">
      <alignment horizontal="center"/>
    </xf>
    <xf numFmtId="0" fontId="0" fillId="0" borderId="7" xfId="0" applyFill="1" applyBorder="1"/>
    <xf numFmtId="165" fontId="11" fillId="0" borderId="7" xfId="1" applyNumberFormat="1" applyFill="1" applyBorder="1"/>
    <xf numFmtId="41" fontId="11" fillId="0" borderId="0" xfId="2" applyNumberFormat="1" applyFill="1"/>
    <xf numFmtId="42" fontId="0" fillId="2" borderId="0" xfId="0" applyNumberFormat="1" applyFill="1" applyBorder="1" applyAlignment="1">
      <alignment horizontal="center"/>
    </xf>
    <xf numFmtId="165" fontId="14" fillId="0" borderId="0" xfId="1" applyNumberFormat="1" applyFont="1" applyBorder="1" applyAlignment="1">
      <alignment horizontal="right" wrapText="1"/>
    </xf>
    <xf numFmtId="165" fontId="24" fillId="0" borderId="0" xfId="1" applyNumberFormat="1" applyFont="1" applyBorder="1" applyAlignment="1"/>
    <xf numFmtId="0" fontId="40" fillId="0" borderId="0" xfId="0" applyFont="1"/>
    <xf numFmtId="0" fontId="0" fillId="0" borderId="0" xfId="0" applyAlignment="1">
      <alignment horizontal="left"/>
    </xf>
    <xf numFmtId="165" fontId="0" fillId="2" borderId="1" xfId="0" applyNumberFormat="1" applyFill="1" applyBorder="1" applyAlignment="1">
      <alignment horizontal="left" indent="2"/>
    </xf>
    <xf numFmtId="165" fontId="11" fillId="0" borderId="1" xfId="1" applyNumberFormat="1" applyBorder="1"/>
    <xf numFmtId="9" fontId="14" fillId="0" borderId="0" xfId="3" applyFont="1"/>
    <xf numFmtId="41" fontId="0" fillId="2" borderId="5" xfId="0" applyNumberFormat="1" applyFill="1" applyBorder="1"/>
    <xf numFmtId="165" fontId="14" fillId="0" borderId="0" xfId="1" applyNumberFormat="1" applyFont="1"/>
    <xf numFmtId="9" fontId="24" fillId="0" borderId="0" xfId="3" applyFont="1" applyFill="1" applyBorder="1" applyAlignment="1">
      <alignment horizontal="left"/>
    </xf>
    <xf numFmtId="165" fontId="16" fillId="0" borderId="0" xfId="1" applyNumberFormat="1" applyFont="1" applyAlignment="1">
      <alignment wrapText="1"/>
    </xf>
    <xf numFmtId="165" fontId="49" fillId="0" borderId="0" xfId="1" applyNumberFormat="1" applyFont="1"/>
    <xf numFmtId="165" fontId="12" fillId="0" borderId="0" xfId="1" applyNumberFormat="1" applyFont="1" applyBorder="1"/>
    <xf numFmtId="0" fontId="0" fillId="0" borderId="5" xfId="0" applyFill="1" applyBorder="1"/>
    <xf numFmtId="0" fontId="50" fillId="0" borderId="0" xfId="0" applyFont="1" applyFill="1"/>
    <xf numFmtId="0" fontId="37" fillId="0" borderId="0" xfId="0" applyFont="1" applyFill="1"/>
    <xf numFmtId="0" fontId="13" fillId="2" borderId="0" xfId="0" applyFont="1" applyFill="1" applyBorder="1" applyAlignment="1">
      <alignment horizontal="center"/>
    </xf>
    <xf numFmtId="165" fontId="15" fillId="2" borderId="0" xfId="0" applyNumberFormat="1" applyFont="1" applyFill="1" applyBorder="1" applyAlignment="1">
      <alignment horizontal="center"/>
    </xf>
    <xf numFmtId="165" fontId="0" fillId="2" borderId="5" xfId="1" applyNumberFormat="1" applyFont="1" applyFill="1" applyBorder="1" applyAlignment="1">
      <alignment horizontal="left" indent="2"/>
    </xf>
    <xf numFmtId="165" fontId="24" fillId="0" borderId="0" xfId="1" applyNumberFormat="1" applyFont="1" applyBorder="1" applyAlignment="1">
      <alignment horizontal="center"/>
    </xf>
    <xf numFmtId="165" fontId="11" fillId="0" borderId="1" xfId="1" applyNumberFormat="1" applyFont="1" applyBorder="1"/>
    <xf numFmtId="165" fontId="36" fillId="0" borderId="1" xfId="1" applyNumberFormat="1" applyFont="1" applyBorder="1"/>
    <xf numFmtId="0" fontId="15" fillId="0" borderId="0" xfId="0" applyFont="1" applyAlignment="1">
      <alignment horizontal="center"/>
    </xf>
    <xf numFmtId="165" fontId="52" fillId="0" borderId="0" xfId="1" applyNumberFormat="1" applyFont="1" applyBorder="1" applyAlignment="1">
      <alignment horizontal="center"/>
    </xf>
    <xf numFmtId="0" fontId="53" fillId="0" borderId="0" xfId="0" applyFont="1"/>
    <xf numFmtId="165" fontId="21" fillId="0" borderId="0" xfId="1" applyNumberFormat="1" applyFont="1" applyFill="1"/>
    <xf numFmtId="0" fontId="0" fillId="5" borderId="6" xfId="0" applyFill="1" applyBorder="1"/>
    <xf numFmtId="0" fontId="0" fillId="5" borderId="0" xfId="0" applyFill="1" applyBorder="1"/>
    <xf numFmtId="0" fontId="0" fillId="5" borderId="0" xfId="0" applyFill="1"/>
    <xf numFmtId="0" fontId="15" fillId="5" borderId="0" xfId="0" applyFont="1" applyFill="1"/>
    <xf numFmtId="165" fontId="0" fillId="2" borderId="0" xfId="1" applyNumberFormat="1" applyFont="1" applyFill="1" applyBorder="1"/>
    <xf numFmtId="165" fontId="11" fillId="2" borderId="0" xfId="1" applyNumberFormat="1" applyFont="1" applyFill="1"/>
    <xf numFmtId="0" fontId="0" fillId="0" borderId="26" xfId="0" applyBorder="1"/>
    <xf numFmtId="0" fontId="13" fillId="5" borderId="6" xfId="0" applyFont="1" applyFill="1" applyBorder="1"/>
    <xf numFmtId="0" fontId="12" fillId="0" borderId="6" xfId="0" applyFont="1" applyBorder="1"/>
    <xf numFmtId="0" fontId="0" fillId="0" borderId="27" xfId="0" applyBorder="1" applyAlignment="1">
      <alignment horizontal="center"/>
    </xf>
    <xf numFmtId="0" fontId="0" fillId="3" borderId="12" xfId="0" applyFill="1" applyBorder="1" applyAlignment="1">
      <alignment horizontal="center"/>
    </xf>
    <xf numFmtId="0" fontId="0" fillId="3" borderId="25" xfId="0" applyFill="1" applyBorder="1" applyAlignment="1">
      <alignment horizontal="center"/>
    </xf>
    <xf numFmtId="0" fontId="0" fillId="3" borderId="16" xfId="0" applyFill="1" applyBorder="1" applyAlignment="1">
      <alignment horizontal="center"/>
    </xf>
    <xf numFmtId="0" fontId="0" fillId="3" borderId="0" xfId="0" applyFill="1"/>
    <xf numFmtId="165" fontId="0" fillId="3" borderId="0" xfId="0" applyNumberFormat="1" applyFill="1"/>
    <xf numFmtId="165" fontId="0" fillId="3" borderId="5" xfId="0" applyNumberFormat="1" applyFill="1" applyBorder="1"/>
    <xf numFmtId="165" fontId="0" fillId="0" borderId="2" xfId="1" applyNumberFormat="1" applyFont="1" applyFill="1" applyBorder="1"/>
    <xf numFmtId="165" fontId="0" fillId="0" borderId="13" xfId="1" applyNumberFormat="1" applyFont="1" applyFill="1" applyBorder="1"/>
    <xf numFmtId="0" fontId="14" fillId="0" borderId="0" xfId="0" applyFont="1" applyBorder="1" applyAlignment="1">
      <alignment textRotation="90"/>
    </xf>
    <xf numFmtId="0" fontId="13" fillId="3" borderId="28" xfId="0" applyFont="1" applyFill="1" applyBorder="1"/>
    <xf numFmtId="0" fontId="12" fillId="0" borderId="0" xfId="0" applyFont="1" applyBorder="1"/>
    <xf numFmtId="0" fontId="14" fillId="5" borderId="0" xfId="0" applyFont="1" applyFill="1" applyBorder="1"/>
    <xf numFmtId="0" fontId="13" fillId="0" borderId="0" xfId="0" applyFont="1" applyBorder="1" applyAlignment="1"/>
    <xf numFmtId="0" fontId="13" fillId="0" borderId="8" xfId="0" applyFont="1" applyFill="1" applyBorder="1"/>
    <xf numFmtId="0" fontId="13" fillId="5" borderId="0" xfId="0" applyFont="1" applyFill="1" applyBorder="1"/>
    <xf numFmtId="0" fontId="0" fillId="0" borderId="29" xfId="0" applyBorder="1"/>
    <xf numFmtId="0" fontId="13" fillId="0" borderId="0" xfId="0" applyFont="1" applyFill="1" applyBorder="1" applyAlignment="1">
      <alignment wrapText="1"/>
    </xf>
    <xf numFmtId="165" fontId="0" fillId="2" borderId="18" xfId="1" applyNumberFormat="1" applyFont="1" applyFill="1" applyBorder="1"/>
    <xf numFmtId="165" fontId="0" fillId="2" borderId="1" xfId="1" applyNumberFormat="1" applyFont="1" applyFill="1" applyBorder="1"/>
    <xf numFmtId="0" fontId="12" fillId="0" borderId="0" xfId="0" applyFont="1" applyAlignment="1">
      <alignment horizontal="center"/>
    </xf>
    <xf numFmtId="0" fontId="12" fillId="0" borderId="0" xfId="0" applyFont="1" applyFill="1" applyAlignment="1">
      <alignment horizontal="center"/>
    </xf>
    <xf numFmtId="0" fontId="55" fillId="0" borderId="0" xfId="0" applyFont="1" applyAlignment="1">
      <alignment horizontal="center"/>
    </xf>
    <xf numFmtId="0" fontId="56" fillId="0" borderId="0" xfId="0" applyFont="1" applyAlignment="1">
      <alignment horizontal="center"/>
    </xf>
    <xf numFmtId="0" fontId="14" fillId="0" borderId="0" xfId="0" applyFont="1" applyAlignment="1">
      <alignment horizontal="center" wrapText="1"/>
    </xf>
    <xf numFmtId="0" fontId="57" fillId="0" borderId="0" xfId="0" applyFont="1"/>
    <xf numFmtId="165" fontId="15" fillId="2" borderId="0" xfId="0" applyNumberFormat="1" applyFont="1" applyFill="1" applyAlignment="1">
      <alignment horizontal="center"/>
    </xf>
    <xf numFmtId="165" fontId="0" fillId="2" borderId="21" xfId="1" applyNumberFormat="1" applyFont="1" applyFill="1" applyBorder="1"/>
    <xf numFmtId="165" fontId="0" fillId="0" borderId="1" xfId="1" applyNumberFormat="1" applyFont="1" applyFill="1" applyBorder="1"/>
    <xf numFmtId="165" fontId="11" fillId="2" borderId="0" xfId="1" applyNumberFormat="1" applyFill="1" applyAlignment="1">
      <alignment horizontal="right"/>
    </xf>
    <xf numFmtId="0" fontId="13" fillId="0" borderId="12" xfId="0" applyFont="1" applyBorder="1" applyAlignment="1">
      <alignment horizontal="center"/>
    </xf>
    <xf numFmtId="0" fontId="13" fillId="0" borderId="0" xfId="0" applyFont="1" applyAlignment="1">
      <alignment wrapText="1"/>
    </xf>
    <xf numFmtId="0" fontId="13" fillId="0" borderId="19" xfId="0" applyFont="1" applyBorder="1" applyAlignment="1">
      <alignment horizontal="center"/>
    </xf>
    <xf numFmtId="0" fontId="0" fillId="0" borderId="30" xfId="0" applyBorder="1"/>
    <xf numFmtId="0" fontId="0" fillId="0" borderId="25" xfId="0" applyBorder="1"/>
    <xf numFmtId="0" fontId="13" fillId="0" borderId="16" xfId="0" applyFont="1" applyBorder="1"/>
    <xf numFmtId="0" fontId="15" fillId="0" borderId="25" xfId="0" applyFont="1" applyBorder="1" applyAlignment="1">
      <alignment horizontal="left"/>
    </xf>
    <xf numFmtId="0" fontId="60" fillId="0" borderId="0" xfId="0" applyFont="1"/>
    <xf numFmtId="0" fontId="15" fillId="0" borderId="16" xfId="0" applyFont="1" applyBorder="1" applyAlignment="1">
      <alignment horizontal="left"/>
    </xf>
    <xf numFmtId="0" fontId="13" fillId="0" borderId="30" xfId="0" applyFont="1" applyBorder="1" applyAlignment="1">
      <alignment horizontal="center"/>
    </xf>
    <xf numFmtId="0" fontId="13" fillId="0" borderId="25" xfId="0" applyFont="1" applyBorder="1" applyAlignment="1">
      <alignment horizontal="center"/>
    </xf>
    <xf numFmtId="0" fontId="13" fillId="0" borderId="16" xfId="0" applyFont="1" applyBorder="1" applyAlignment="1">
      <alignment horizontal="left"/>
    </xf>
    <xf numFmtId="0" fontId="13" fillId="0" borderId="16" xfId="0" applyFont="1" applyBorder="1" applyAlignment="1">
      <alignment horizontal="center"/>
    </xf>
    <xf numFmtId="0" fontId="13" fillId="0" borderId="25" xfId="0" applyFont="1" applyBorder="1" applyAlignment="1">
      <alignment horizontal="left"/>
    </xf>
    <xf numFmtId="0" fontId="0" fillId="0" borderId="16" xfId="0" applyBorder="1"/>
    <xf numFmtId="0" fontId="0" fillId="0" borderId="22" xfId="0" applyBorder="1"/>
    <xf numFmtId="0" fontId="0" fillId="0" borderId="12" xfId="0" applyBorder="1"/>
    <xf numFmtId="0" fontId="0" fillId="0" borderId="0" xfId="0" applyAlignment="1">
      <alignment horizontal="centerContinuous"/>
    </xf>
    <xf numFmtId="0" fontId="13" fillId="0" borderId="0" xfId="0" applyFont="1" applyBorder="1" applyAlignment="1">
      <alignment wrapText="1"/>
    </xf>
    <xf numFmtId="0" fontId="13" fillId="0" borderId="30" xfId="0" applyFont="1" applyBorder="1" applyAlignment="1">
      <alignment wrapText="1"/>
    </xf>
    <xf numFmtId="0" fontId="13" fillId="0" borderId="20" xfId="0" applyFont="1" applyBorder="1" applyAlignment="1">
      <alignment horizontal="center"/>
    </xf>
    <xf numFmtId="0" fontId="13" fillId="0" borderId="14" xfId="0" applyFont="1" applyBorder="1" applyAlignment="1">
      <alignment horizontal="center"/>
    </xf>
    <xf numFmtId="0" fontId="0" fillId="0" borderId="25" xfId="0" applyBorder="1" applyAlignment="1">
      <alignment wrapText="1"/>
    </xf>
    <xf numFmtId="0" fontId="13" fillId="0" borderId="25" xfId="0" applyFont="1" applyBorder="1"/>
    <xf numFmtId="0" fontId="0" fillId="0" borderId="25" xfId="0" applyBorder="1" applyAlignment="1"/>
    <xf numFmtId="0" fontId="0" fillId="0" borderId="16" xfId="0" applyBorder="1" applyAlignment="1">
      <alignment wrapText="1"/>
    </xf>
    <xf numFmtId="38" fontId="0" fillId="2" borderId="0" xfId="0" applyNumberFormat="1" applyFill="1" applyAlignment="1">
      <alignment wrapText="1"/>
    </xf>
    <xf numFmtId="38" fontId="0" fillId="2" borderId="1" xfId="0" applyNumberFormat="1" applyFill="1" applyBorder="1" applyAlignment="1">
      <alignment wrapText="1"/>
    </xf>
    <xf numFmtId="0" fontId="59" fillId="0" borderId="0" xfId="0" applyFont="1" applyFill="1" applyBorder="1" applyAlignment="1">
      <alignment horizontal="center"/>
    </xf>
    <xf numFmtId="0" fontId="31" fillId="0" borderId="0" xfId="0" applyFont="1" applyBorder="1" applyAlignment="1">
      <alignment horizontal="centerContinuous"/>
    </xf>
    <xf numFmtId="0" fontId="49" fillId="5" borderId="0" xfId="0" applyFont="1" applyFill="1" applyAlignment="1">
      <alignment wrapText="1"/>
    </xf>
    <xf numFmtId="0" fontId="45" fillId="0" borderId="0" xfId="0" applyFont="1"/>
    <xf numFmtId="0" fontId="14" fillId="0" borderId="0" xfId="0" applyFont="1" applyBorder="1" applyAlignment="1">
      <alignment horizontal="left" indent="1"/>
    </xf>
    <xf numFmtId="0" fontId="13" fillId="0" borderId="25" xfId="0" applyFont="1" applyBorder="1" applyAlignment="1">
      <alignment wrapText="1"/>
    </xf>
    <xf numFmtId="38" fontId="0" fillId="0" borderId="1" xfId="0" applyNumberFormat="1" applyFill="1" applyBorder="1" applyAlignment="1">
      <alignment horizontal="center"/>
    </xf>
    <xf numFmtId="38" fontId="0" fillId="2" borderId="0" xfId="0" applyNumberFormat="1" applyFill="1" applyBorder="1"/>
    <xf numFmtId="38" fontId="0" fillId="2" borderId="12" xfId="0" applyNumberFormat="1" applyFill="1" applyBorder="1"/>
    <xf numFmtId="38" fontId="0" fillId="2" borderId="1" xfId="0" applyNumberFormat="1" applyFill="1" applyBorder="1"/>
    <xf numFmtId="38" fontId="0" fillId="2" borderId="31" xfId="0" applyNumberFormat="1" applyFill="1" applyBorder="1"/>
    <xf numFmtId="0" fontId="13" fillId="0" borderId="1" xfId="0" applyFont="1" applyBorder="1"/>
    <xf numFmtId="0" fontId="0" fillId="0" borderId="0" xfId="0" applyBorder="1" applyAlignment="1">
      <alignment wrapText="1"/>
    </xf>
    <xf numFmtId="0" fontId="0" fillId="0" borderId="0" xfId="0" applyBorder="1" applyAlignment="1">
      <alignment horizontal="left" wrapText="1" indent="4"/>
    </xf>
    <xf numFmtId="165" fontId="11" fillId="2" borderId="5" xfId="1" applyNumberFormat="1" applyFont="1" applyFill="1" applyBorder="1"/>
    <xf numFmtId="38" fontId="0" fillId="2" borderId="32" xfId="0" applyNumberFormat="1" applyFill="1" applyBorder="1"/>
    <xf numFmtId="0" fontId="0" fillId="0" borderId="0" xfId="0" applyFill="1" applyAlignment="1">
      <alignment horizontal="left" indent="1"/>
    </xf>
    <xf numFmtId="165" fontId="11" fillId="2" borderId="5" xfId="1" applyNumberFormat="1" applyFill="1" applyBorder="1" applyAlignment="1">
      <alignment horizontal="left" indent="2"/>
    </xf>
    <xf numFmtId="0" fontId="13" fillId="3" borderId="0" xfId="0" applyFont="1" applyFill="1" applyBorder="1" applyAlignment="1">
      <alignment horizontal="center"/>
    </xf>
    <xf numFmtId="0" fontId="31" fillId="0" borderId="0" xfId="0" applyFont="1" applyFill="1" applyBorder="1" applyAlignment="1">
      <alignment horizontal="center"/>
    </xf>
    <xf numFmtId="0" fontId="41" fillId="0" borderId="0" xfId="0" applyFont="1" applyFill="1"/>
    <xf numFmtId="0" fontId="0" fillId="0" borderId="0" xfId="0" applyBorder="1" applyProtection="1">
      <protection locked="0"/>
    </xf>
    <xf numFmtId="165" fontId="0" fillId="0" borderId="0" xfId="1" applyNumberFormat="1" applyFont="1" applyBorder="1" applyProtection="1">
      <protection locked="0"/>
    </xf>
    <xf numFmtId="165" fontId="11" fillId="0" borderId="0" xfId="1" applyNumberFormat="1" applyBorder="1" applyProtection="1">
      <protection locked="0"/>
    </xf>
    <xf numFmtId="165" fontId="0" fillId="0" borderId="0" xfId="1" applyNumberFormat="1" applyFont="1" applyFill="1" applyBorder="1" applyProtection="1">
      <protection locked="0"/>
    </xf>
    <xf numFmtId="165" fontId="11" fillId="0" borderId="0" xfId="1" applyNumberFormat="1" applyFill="1" applyBorder="1" applyProtection="1">
      <protection locked="0"/>
    </xf>
    <xf numFmtId="0" fontId="0" fillId="0" borderId="0" xfId="0" applyFill="1" applyBorder="1" applyProtection="1">
      <protection locked="0"/>
    </xf>
    <xf numFmtId="165" fontId="0" fillId="6" borderId="0" xfId="1" applyNumberFormat="1" applyFont="1" applyFill="1" applyBorder="1" applyProtection="1">
      <protection locked="0"/>
    </xf>
    <xf numFmtId="0" fontId="0" fillId="6" borderId="0" xfId="0" applyFill="1" applyProtection="1">
      <protection locked="0"/>
    </xf>
    <xf numFmtId="165" fontId="0" fillId="6" borderId="0" xfId="1" applyNumberFormat="1" applyFont="1" applyFill="1" applyProtection="1">
      <protection locked="0"/>
    </xf>
    <xf numFmtId="165" fontId="0" fillId="6" borderId="0" xfId="1" quotePrefix="1" applyNumberFormat="1" applyFont="1" applyFill="1" applyProtection="1">
      <protection locked="0"/>
    </xf>
    <xf numFmtId="165" fontId="16" fillId="0" borderId="0" xfId="1" applyNumberFormat="1" applyFont="1" applyFill="1" applyBorder="1" applyAlignment="1" applyProtection="1">
      <alignment horizontal="center"/>
      <protection locked="0"/>
    </xf>
    <xf numFmtId="166" fontId="0" fillId="6" borderId="0" xfId="2" applyNumberFormat="1" applyFont="1" applyFill="1" applyProtection="1">
      <protection locked="0"/>
    </xf>
    <xf numFmtId="165" fontId="11" fillId="0" borderId="0" xfId="1" applyNumberFormat="1" applyProtection="1">
      <protection locked="0"/>
    </xf>
    <xf numFmtId="165" fontId="11" fillId="6" borderId="0" xfId="1" applyNumberFormat="1" applyFill="1" applyProtection="1">
      <protection locked="0"/>
    </xf>
    <xf numFmtId="41" fontId="11" fillId="6" borderId="0" xfId="2" applyNumberFormat="1" applyFill="1" applyProtection="1">
      <protection locked="0"/>
    </xf>
    <xf numFmtId="41" fontId="11" fillId="0" borderId="0" xfId="2" applyNumberFormat="1" applyFill="1" applyProtection="1">
      <protection locked="0"/>
    </xf>
    <xf numFmtId="41" fontId="0" fillId="6" borderId="0" xfId="0" applyNumberFormat="1" applyFill="1" applyProtection="1">
      <protection locked="0"/>
    </xf>
    <xf numFmtId="165" fontId="0" fillId="6" borderId="1" xfId="1" applyNumberFormat="1" applyFont="1" applyFill="1" applyBorder="1" applyProtection="1">
      <protection locked="0"/>
    </xf>
    <xf numFmtId="0" fontId="0" fillId="0" borderId="0" xfId="0" applyProtection="1">
      <protection locked="0"/>
    </xf>
    <xf numFmtId="165" fontId="0" fillId="0" borderId="0" xfId="1" applyNumberFormat="1" applyFont="1" applyProtection="1">
      <protection locked="0"/>
    </xf>
    <xf numFmtId="165" fontId="11" fillId="6" borderId="0" xfId="1" applyNumberFormat="1" applyFill="1" applyBorder="1" applyProtection="1">
      <protection locked="0"/>
    </xf>
    <xf numFmtId="165" fontId="0" fillId="6" borderId="0" xfId="0" applyNumberFormat="1" applyFill="1" applyProtection="1">
      <protection locked="0"/>
    </xf>
    <xf numFmtId="165" fontId="0" fillId="0" borderId="0" xfId="0" applyNumberFormat="1" applyProtection="1">
      <protection locked="0"/>
    </xf>
    <xf numFmtId="165" fontId="11" fillId="6" borderId="1" xfId="1" applyNumberFormat="1" applyFill="1" applyBorder="1" applyProtection="1">
      <protection locked="0"/>
    </xf>
    <xf numFmtId="165" fontId="0" fillId="6" borderId="2" xfId="1" applyNumberFormat="1" applyFont="1" applyFill="1" applyBorder="1" applyProtection="1">
      <protection locked="0"/>
    </xf>
    <xf numFmtId="165" fontId="0" fillId="6" borderId="13" xfId="1" applyNumberFormat="1" applyFont="1" applyFill="1" applyBorder="1" applyProtection="1">
      <protection locked="0"/>
    </xf>
    <xf numFmtId="165" fontId="15" fillId="6" borderId="0" xfId="1" applyNumberFormat="1" applyFont="1" applyFill="1" applyBorder="1" applyProtection="1">
      <protection locked="0"/>
    </xf>
    <xf numFmtId="165" fontId="15" fillId="0" borderId="0" xfId="1" applyNumberFormat="1" applyFont="1" applyFill="1" applyBorder="1" applyProtection="1">
      <protection locked="0"/>
    </xf>
    <xf numFmtId="166" fontId="11" fillId="6" borderId="0" xfId="2" applyNumberFormat="1" applyFill="1" applyProtection="1">
      <protection locked="0"/>
    </xf>
    <xf numFmtId="165" fontId="11" fillId="6" borderId="0" xfId="1" applyNumberFormat="1" applyFont="1" applyFill="1" applyProtection="1">
      <protection locked="0"/>
    </xf>
    <xf numFmtId="165" fontId="0" fillId="6" borderId="0" xfId="1" applyNumberFormat="1" applyFont="1" applyFill="1" applyBorder="1" applyAlignment="1" applyProtection="1">
      <alignment horizontal="center"/>
      <protection locked="0"/>
    </xf>
    <xf numFmtId="165" fontId="11" fillId="6" borderId="0" xfId="1" applyNumberFormat="1" applyFill="1" applyBorder="1" applyAlignment="1" applyProtection="1">
      <alignment horizontal="center"/>
      <protection locked="0"/>
    </xf>
    <xf numFmtId="164" fontId="0" fillId="6" borderId="0" xfId="1" applyNumberFormat="1" applyFont="1" applyFill="1" applyProtection="1">
      <protection locked="0"/>
    </xf>
    <xf numFmtId="0" fontId="13" fillId="3" borderId="30" xfId="0" applyFont="1" applyFill="1" applyBorder="1" applyAlignment="1">
      <alignment horizontal="center"/>
    </xf>
    <xf numFmtId="0" fontId="13" fillId="3" borderId="25" xfId="0" applyFont="1" applyFill="1" applyBorder="1" applyAlignment="1">
      <alignment horizontal="center"/>
    </xf>
    <xf numFmtId="0" fontId="13" fillId="3" borderId="16" xfId="0" applyFont="1" applyFill="1" applyBorder="1" applyAlignment="1">
      <alignment horizontal="center"/>
    </xf>
    <xf numFmtId="0" fontId="13" fillId="3" borderId="1" xfId="0" applyFont="1" applyFill="1" applyBorder="1" applyAlignment="1">
      <alignment horizontal="center"/>
    </xf>
    <xf numFmtId="0" fontId="0" fillId="6" borderId="22" xfId="0" applyFill="1" applyBorder="1"/>
    <xf numFmtId="0" fontId="13" fillId="5" borderId="0" xfId="0" applyFont="1" applyFill="1" applyBorder="1" applyProtection="1">
      <protection locked="0"/>
    </xf>
    <xf numFmtId="0" fontId="0" fillId="0" borderId="0" xfId="0" applyFill="1" applyProtection="1">
      <protection locked="0"/>
    </xf>
    <xf numFmtId="0" fontId="13" fillId="0" borderId="0" xfId="0" applyFont="1" applyBorder="1" applyAlignment="1" applyProtection="1">
      <protection locked="0"/>
    </xf>
    <xf numFmtId="0" fontId="0" fillId="0" borderId="0" xfId="0" applyProtection="1"/>
    <xf numFmtId="0" fontId="36" fillId="0" borderId="0" xfId="0" applyFont="1" applyProtection="1">
      <protection locked="0"/>
    </xf>
    <xf numFmtId="0" fontId="13" fillId="0" borderId="0" xfId="0" applyFont="1" applyAlignment="1" applyProtection="1">
      <alignment horizontal="center"/>
      <protection locked="0"/>
    </xf>
    <xf numFmtId="0" fontId="13" fillId="0" borderId="0" xfId="0" applyFont="1" applyFill="1" applyBorder="1" applyAlignment="1" applyProtection="1">
      <alignment horizontal="center"/>
      <protection locked="0"/>
    </xf>
    <xf numFmtId="0" fontId="13" fillId="0" borderId="1" xfId="0" applyFont="1" applyFill="1" applyBorder="1" applyAlignment="1" applyProtection="1">
      <alignment horizontal="center"/>
      <protection locked="0"/>
    </xf>
    <xf numFmtId="0" fontId="39" fillId="0" borderId="0" xfId="0" applyFont="1" applyAlignment="1" applyProtection="1">
      <alignment horizontal="center" wrapText="1"/>
      <protection locked="0"/>
    </xf>
    <xf numFmtId="0" fontId="0" fillId="0" borderId="0" xfId="0" applyAlignment="1" applyProtection="1">
      <alignment horizontal="left" indent="2"/>
      <protection locked="0"/>
    </xf>
    <xf numFmtId="0" fontId="0" fillId="0" borderId="0" xfId="0" applyAlignment="1" applyProtection="1">
      <alignment horizontal="left" indent="1"/>
      <protection locked="0"/>
    </xf>
    <xf numFmtId="0" fontId="15" fillId="0" borderId="25" xfId="0" applyFont="1" applyBorder="1" applyAlignment="1" applyProtection="1">
      <alignment horizontal="left"/>
      <protection locked="0"/>
    </xf>
    <xf numFmtId="0" fontId="0" fillId="0" borderId="0" xfId="0" applyBorder="1" applyAlignment="1" applyProtection="1">
      <alignment wrapText="1"/>
      <protection locked="0"/>
    </xf>
    <xf numFmtId="0" fontId="24" fillId="0" borderId="0" xfId="0" applyFont="1" applyBorder="1" applyAlignment="1">
      <alignment horizontal="right"/>
    </xf>
    <xf numFmtId="165" fontId="0" fillId="6" borderId="16" xfId="1" applyNumberFormat="1" applyFont="1" applyFill="1" applyBorder="1" applyProtection="1">
      <protection locked="0"/>
    </xf>
    <xf numFmtId="165" fontId="0" fillId="6" borderId="22" xfId="1" applyNumberFormat="1" applyFont="1" applyFill="1" applyBorder="1" applyProtection="1">
      <protection locked="0"/>
    </xf>
    <xf numFmtId="165" fontId="36" fillId="2" borderId="30" xfId="1" applyNumberFormat="1" applyFont="1" applyFill="1" applyBorder="1"/>
    <xf numFmtId="165" fontId="15" fillId="2" borderId="25" xfId="1" applyNumberFormat="1" applyFont="1" applyFill="1" applyBorder="1"/>
    <xf numFmtId="165" fontId="15" fillId="2" borderId="16" xfId="1" applyNumberFormat="1" applyFont="1" applyFill="1" applyBorder="1"/>
    <xf numFmtId="0" fontId="13" fillId="0" borderId="0" xfId="0" applyFont="1" applyBorder="1" applyAlignment="1">
      <alignment horizontal="left" wrapText="1" indent="1"/>
    </xf>
    <xf numFmtId="0" fontId="13" fillId="0" borderId="6" xfId="0" applyFont="1" applyFill="1" applyBorder="1"/>
    <xf numFmtId="0" fontId="0" fillId="3" borderId="33" xfId="0" applyFill="1" applyBorder="1"/>
    <xf numFmtId="0" fontId="13" fillId="0" borderId="0" xfId="0" applyFont="1" applyAlignment="1"/>
    <xf numFmtId="165" fontId="11" fillId="0" borderId="0" xfId="1" applyNumberFormat="1" applyFont="1" applyAlignment="1">
      <alignment horizontal="center"/>
    </xf>
    <xf numFmtId="165" fontId="15" fillId="0" borderId="0" xfId="1" applyNumberFormat="1" applyFont="1" applyAlignment="1">
      <alignment horizontal="center"/>
    </xf>
    <xf numFmtId="0" fontId="0" fillId="0" borderId="0" xfId="0" applyBorder="1" applyAlignment="1">
      <alignment horizontal="left" wrapText="1" indent="1"/>
    </xf>
    <xf numFmtId="0" fontId="0" fillId="0" borderId="0" xfId="0" applyBorder="1" applyAlignment="1">
      <alignment horizontal="left" indent="1"/>
    </xf>
    <xf numFmtId="38" fontId="0" fillId="6" borderId="0" xfId="0" applyNumberFormat="1" applyFill="1" applyBorder="1" applyProtection="1">
      <protection locked="0"/>
    </xf>
    <xf numFmtId="0" fontId="49" fillId="0" borderId="0" xfId="0" applyFont="1" applyFill="1" applyAlignment="1">
      <alignment wrapText="1"/>
    </xf>
    <xf numFmtId="165" fontId="15" fillId="0" borderId="1" xfId="1" applyNumberFormat="1" applyFont="1" applyBorder="1" applyAlignment="1">
      <alignment horizontal="center"/>
    </xf>
    <xf numFmtId="0" fontId="15" fillId="0" borderId="0" xfId="0" applyFont="1" applyFill="1" applyBorder="1"/>
    <xf numFmtId="0" fontId="14" fillId="0" borderId="0" xfId="0" applyFont="1" applyAlignment="1">
      <alignment horizontal="left" indent="1"/>
    </xf>
    <xf numFmtId="0" fontId="0" fillId="7" borderId="0" xfId="0" applyFill="1"/>
    <xf numFmtId="165" fontId="0" fillId="7" borderId="0" xfId="0" applyNumberFormat="1" applyFill="1"/>
    <xf numFmtId="165" fontId="0" fillId="7" borderId="0" xfId="1" applyNumberFormat="1" applyFont="1" applyFill="1"/>
    <xf numFmtId="0" fontId="13" fillId="7" borderId="0" xfId="0" applyFont="1" applyFill="1"/>
    <xf numFmtId="0" fontId="36" fillId="7" borderId="0" xfId="0" applyFont="1" applyFill="1"/>
    <xf numFmtId="0" fontId="42" fillId="3" borderId="30" xfId="0" quotePrefix="1" applyFont="1" applyFill="1" applyBorder="1" applyAlignment="1">
      <alignment horizontal="center"/>
    </xf>
    <xf numFmtId="0" fontId="31" fillId="3" borderId="30" xfId="0" quotePrefix="1" applyFont="1" applyFill="1" applyBorder="1" applyAlignment="1">
      <alignment horizontal="center"/>
    </xf>
    <xf numFmtId="0" fontId="31" fillId="3" borderId="12" xfId="0" quotePrefix="1" applyFont="1" applyFill="1" applyBorder="1" applyAlignment="1">
      <alignment horizontal="center"/>
    </xf>
    <xf numFmtId="0" fontId="0" fillId="8" borderId="22" xfId="0" applyFill="1" applyBorder="1"/>
    <xf numFmtId="165" fontId="0" fillId="8" borderId="16" xfId="1" applyNumberFormat="1" applyFont="1" applyFill="1" applyBorder="1"/>
    <xf numFmtId="38" fontId="0" fillId="8" borderId="34" xfId="0" applyNumberFormat="1" applyFill="1" applyBorder="1"/>
    <xf numFmtId="38" fontId="0" fillId="8" borderId="7" xfId="0" applyNumberFormat="1" applyFill="1" applyBorder="1"/>
    <xf numFmtId="165" fontId="0" fillId="8" borderId="5" xfId="1" applyNumberFormat="1" applyFont="1" applyFill="1" applyBorder="1" applyAlignment="1">
      <alignment wrapText="1"/>
    </xf>
    <xf numFmtId="38" fontId="0" fillId="0" borderId="0" xfId="0" applyNumberFormat="1" applyFill="1" applyBorder="1" applyProtection="1">
      <protection locked="0"/>
    </xf>
    <xf numFmtId="0" fontId="15" fillId="0" borderId="16" xfId="0" applyFont="1" applyBorder="1" applyAlignment="1">
      <alignment horizontal="left" indent="2"/>
    </xf>
    <xf numFmtId="0" fontId="63" fillId="0" borderId="0" xfId="0" applyFont="1"/>
    <xf numFmtId="165" fontId="14" fillId="0" borderId="0" xfId="1" applyNumberFormat="1" applyFont="1" applyFill="1" applyBorder="1" applyAlignment="1">
      <alignment wrapText="1"/>
    </xf>
    <xf numFmtId="165" fontId="0" fillId="0" borderId="0" xfId="1" applyNumberFormat="1" applyFont="1" applyFill="1" applyProtection="1">
      <protection locked="0"/>
    </xf>
    <xf numFmtId="0" fontId="16" fillId="0" borderId="0" xfId="0" applyFont="1"/>
    <xf numFmtId="0" fontId="31" fillId="4" borderId="7" xfId="0" applyFont="1" applyFill="1" applyBorder="1"/>
    <xf numFmtId="0" fontId="31" fillId="4" borderId="24" xfId="0" applyFont="1" applyFill="1" applyBorder="1"/>
    <xf numFmtId="165" fontId="14" fillId="0" borderId="0" xfId="1" applyNumberFormat="1" applyFont="1" applyAlignment="1">
      <alignment wrapText="1"/>
    </xf>
    <xf numFmtId="0" fontId="0" fillId="0" borderId="0" xfId="0" quotePrefix="1" applyAlignment="1">
      <alignment horizontal="center"/>
    </xf>
    <xf numFmtId="165" fontId="0" fillId="0" borderId="0" xfId="1" applyNumberFormat="1" applyFont="1" applyAlignment="1">
      <alignment horizontal="left" indent="1"/>
    </xf>
    <xf numFmtId="165" fontId="0" fillId="0" borderId="0" xfId="1" applyNumberFormat="1" applyFont="1" applyAlignment="1">
      <alignment horizontal="right" wrapText="1"/>
    </xf>
    <xf numFmtId="41" fontId="0" fillId="2" borderId="7" xfId="1" applyNumberFormat="1" applyFont="1" applyFill="1" applyBorder="1"/>
    <xf numFmtId="41" fontId="0" fillId="2" borderId="7" xfId="0" applyNumberFormat="1" applyFill="1" applyBorder="1"/>
    <xf numFmtId="41" fontId="0" fillId="0" borderId="0" xfId="1" applyNumberFormat="1" applyFont="1" applyFill="1" applyBorder="1"/>
    <xf numFmtId="165" fontId="0" fillId="0" borderId="0" xfId="1" applyNumberFormat="1" applyFont="1" applyFill="1" applyAlignment="1">
      <alignment horizontal="right"/>
    </xf>
    <xf numFmtId="41" fontId="0" fillId="0" borderId="0" xfId="0" applyNumberFormat="1" applyFill="1"/>
    <xf numFmtId="0" fontId="0" fillId="0" borderId="0" xfId="0" applyAlignment="1">
      <alignment horizontal="left" wrapText="1"/>
    </xf>
    <xf numFmtId="0" fontId="65" fillId="0" borderId="0" xfId="0" applyFont="1" applyAlignment="1">
      <alignment wrapText="1"/>
    </xf>
    <xf numFmtId="0" fontId="13" fillId="0" borderId="0" xfId="0" quotePrefix="1" applyFont="1" applyFill="1" applyBorder="1"/>
    <xf numFmtId="41" fontId="0" fillId="0" borderId="7" xfId="0" applyNumberFormat="1" applyFill="1" applyBorder="1"/>
    <xf numFmtId="165" fontId="0" fillId="0" borderId="0" xfId="1" applyNumberFormat="1" applyFont="1" applyFill="1" applyProtection="1"/>
    <xf numFmtId="41" fontId="13" fillId="6" borderId="35" xfId="1" applyNumberFormat="1" applyFont="1" applyFill="1" applyBorder="1" applyAlignment="1">
      <alignment horizontal="center"/>
    </xf>
    <xf numFmtId="41" fontId="13" fillId="6" borderId="35" xfId="0" applyNumberFormat="1" applyFont="1" applyFill="1" applyBorder="1" applyAlignment="1">
      <alignment horizontal="center"/>
    </xf>
    <xf numFmtId="41" fontId="16" fillId="6" borderId="4" xfId="1" applyNumberFormat="1" applyFont="1" applyFill="1" applyBorder="1" applyAlignment="1"/>
    <xf numFmtId="41" fontId="16" fillId="6" borderId="4" xfId="0" applyNumberFormat="1" applyFont="1" applyFill="1" applyBorder="1" applyAlignment="1"/>
    <xf numFmtId="41" fontId="13" fillId="3" borderId="11" xfId="0" applyNumberFormat="1" applyFont="1" applyFill="1" applyBorder="1" applyAlignment="1">
      <alignment horizontal="center"/>
    </xf>
    <xf numFmtId="41" fontId="0" fillId="3" borderId="9" xfId="0" applyNumberFormat="1" applyFill="1" applyBorder="1" applyAlignment="1"/>
    <xf numFmtId="0" fontId="0" fillId="0" borderId="8" xfId="0" applyFill="1" applyBorder="1" applyProtection="1"/>
    <xf numFmtId="0" fontId="12" fillId="0" borderId="0" xfId="0" applyFont="1" applyFill="1" applyBorder="1" applyProtection="1"/>
    <xf numFmtId="0" fontId="0" fillId="0" borderId="0" xfId="0" applyFill="1" applyBorder="1" applyProtection="1"/>
    <xf numFmtId="0" fontId="0" fillId="0" borderId="0" xfId="0" applyFill="1" applyProtection="1"/>
    <xf numFmtId="41" fontId="16" fillId="2" borderId="11" xfId="0" applyNumberFormat="1" applyFont="1" applyFill="1" applyBorder="1"/>
    <xf numFmtId="41" fontId="0" fillId="2" borderId="9" xfId="0" applyNumberFormat="1" applyFill="1" applyBorder="1"/>
    <xf numFmtId="41" fontId="49" fillId="6" borderId="4" xfId="0" applyNumberFormat="1" applyFont="1" applyFill="1" applyBorder="1" applyAlignment="1">
      <alignment horizontal="centerContinuous"/>
    </xf>
    <xf numFmtId="41" fontId="0" fillId="2" borderId="4" xfId="0" applyNumberFormat="1" applyFill="1" applyBorder="1"/>
    <xf numFmtId="41" fontId="0" fillId="2" borderId="9" xfId="1" applyNumberFormat="1" applyFont="1" applyFill="1" applyBorder="1"/>
    <xf numFmtId="41" fontId="11" fillId="6" borderId="26" xfId="1" applyNumberFormat="1" applyFill="1" applyBorder="1"/>
    <xf numFmtId="41" fontId="11" fillId="6" borderId="3" xfId="1" applyNumberFormat="1" applyFill="1" applyBorder="1"/>
    <xf numFmtId="41" fontId="0" fillId="6" borderId="3" xfId="0" applyNumberFormat="1" applyFill="1" applyBorder="1"/>
    <xf numFmtId="41" fontId="0" fillId="6" borderId="10" xfId="0" applyNumberFormat="1" applyFill="1" applyBorder="1"/>
    <xf numFmtId="41" fontId="0" fillId="6" borderId="0" xfId="0" applyNumberFormat="1" applyFill="1" applyBorder="1"/>
    <xf numFmtId="41" fontId="0" fillId="6" borderId="0" xfId="1" applyNumberFormat="1" applyFont="1" applyFill="1" applyBorder="1"/>
    <xf numFmtId="41" fontId="49" fillId="6" borderId="3" xfId="0" applyNumberFormat="1" applyFont="1" applyFill="1" applyBorder="1" applyAlignment="1">
      <alignment horizontal="centerContinuous"/>
    </xf>
    <xf numFmtId="41" fontId="0" fillId="2" borderId="26" xfId="1" applyNumberFormat="1" applyFont="1" applyFill="1" applyBorder="1"/>
    <xf numFmtId="41" fontId="16" fillId="2" borderId="10" xfId="1" applyNumberFormat="1" applyFont="1" applyFill="1" applyBorder="1" applyAlignment="1">
      <alignment horizontal="centerContinuous"/>
    </xf>
    <xf numFmtId="41" fontId="0" fillId="2" borderId="0" xfId="0" applyNumberFormat="1" applyFill="1" applyBorder="1"/>
    <xf numFmtId="41" fontId="0" fillId="2" borderId="0" xfId="1" applyNumberFormat="1" applyFont="1" applyFill="1" applyBorder="1"/>
    <xf numFmtId="41" fontId="0" fillId="2" borderId="10" xfId="1" applyNumberFormat="1" applyFont="1" applyFill="1" applyBorder="1"/>
    <xf numFmtId="41" fontId="36" fillId="3" borderId="11" xfId="0" applyNumberFormat="1" applyFont="1" applyFill="1" applyBorder="1" applyAlignment="1">
      <alignment horizontal="center"/>
    </xf>
    <xf numFmtId="41" fontId="0" fillId="3" borderId="4" xfId="1" applyNumberFormat="1" applyFont="1" applyFill="1" applyBorder="1"/>
    <xf numFmtId="41" fontId="0" fillId="3" borderId="4" xfId="0" applyNumberFormat="1" applyFill="1" applyBorder="1"/>
    <xf numFmtId="41" fontId="36" fillId="3" borderId="4" xfId="0" applyNumberFormat="1" applyFont="1" applyFill="1" applyBorder="1" applyAlignment="1">
      <alignment horizontal="center"/>
    </xf>
    <xf numFmtId="41" fontId="0" fillId="3" borderId="9" xfId="1" applyNumberFormat="1" applyFont="1" applyFill="1" applyBorder="1"/>
    <xf numFmtId="41" fontId="13" fillId="6" borderId="0" xfId="0" applyNumberFormat="1" applyFont="1" applyFill="1" applyBorder="1" applyAlignment="1">
      <alignment horizontal="centerContinuous"/>
    </xf>
    <xf numFmtId="41" fontId="13" fillId="6" borderId="9" xfId="0" applyNumberFormat="1" applyFont="1" applyFill="1" applyBorder="1" applyAlignment="1">
      <alignment horizontal="centerContinuous"/>
    </xf>
    <xf numFmtId="41" fontId="13" fillId="3" borderId="0" xfId="1" applyNumberFormat="1" applyFont="1" applyFill="1" applyBorder="1" applyAlignment="1">
      <alignment horizontal="center"/>
    </xf>
    <xf numFmtId="41" fontId="13" fillId="6" borderId="6" xfId="0" applyNumberFormat="1" applyFont="1" applyFill="1" applyBorder="1" applyAlignment="1">
      <alignment horizontal="centerContinuous"/>
    </xf>
    <xf numFmtId="41" fontId="11" fillId="0" borderId="26" xfId="1" applyNumberFormat="1" applyFont="1" applyBorder="1" applyAlignment="1">
      <alignment horizontal="center"/>
    </xf>
    <xf numFmtId="41" fontId="11" fillId="0" borderId="3" xfId="1" applyNumberFormat="1" applyFont="1" applyBorder="1" applyAlignment="1">
      <alignment horizontal="center"/>
    </xf>
    <xf numFmtId="41" fontId="0" fillId="0" borderId="36" xfId="0" applyNumberFormat="1" applyBorder="1" applyAlignment="1">
      <alignment horizontal="center"/>
    </xf>
    <xf numFmtId="41" fontId="0" fillId="0" borderId="37" xfId="0" applyNumberFormat="1" applyBorder="1" applyAlignment="1">
      <alignment horizontal="center"/>
    </xf>
    <xf numFmtId="41" fontId="0" fillId="0" borderId="10" xfId="0" applyNumberFormat="1" applyBorder="1" applyAlignment="1">
      <alignment horizontal="center"/>
    </xf>
    <xf numFmtId="41" fontId="0" fillId="0" borderId="0" xfId="0" applyNumberFormat="1" applyBorder="1" applyAlignment="1">
      <alignment horizontal="center"/>
    </xf>
    <xf numFmtId="41" fontId="0" fillId="0" borderId="2" xfId="0" applyNumberFormat="1" applyBorder="1" applyAlignment="1">
      <alignment horizontal="center"/>
    </xf>
    <xf numFmtId="41" fontId="0" fillId="0" borderId="2" xfId="1" applyNumberFormat="1" applyFont="1" applyBorder="1" applyAlignment="1">
      <alignment horizontal="center"/>
    </xf>
    <xf numFmtId="41" fontId="0" fillId="0" borderId="0" xfId="1" applyNumberFormat="1" applyFont="1" applyBorder="1" applyAlignment="1">
      <alignment horizontal="center"/>
    </xf>
    <xf numFmtId="41" fontId="0" fillId="3" borderId="26" xfId="0" applyNumberFormat="1" applyFill="1" applyBorder="1" applyAlignment="1">
      <alignment horizontal="center"/>
    </xf>
    <xf numFmtId="41" fontId="0" fillId="3" borderId="10" xfId="0" applyNumberFormat="1" applyFill="1" applyBorder="1" applyAlignment="1">
      <alignment horizontal="center"/>
    </xf>
    <xf numFmtId="41" fontId="13" fillId="3" borderId="26" xfId="0" applyNumberFormat="1" applyFont="1" applyFill="1" applyBorder="1" applyAlignment="1">
      <alignment horizontal="center"/>
    </xf>
    <xf numFmtId="41" fontId="13" fillId="3" borderId="10" xfId="0" applyNumberFormat="1" applyFont="1" applyFill="1" applyBorder="1" applyAlignment="1">
      <alignment horizontal="center"/>
    </xf>
    <xf numFmtId="41" fontId="13" fillId="6" borderId="3" xfId="0" applyNumberFormat="1" applyFont="1" applyFill="1" applyBorder="1" applyAlignment="1">
      <alignment horizontal="center"/>
    </xf>
    <xf numFmtId="41" fontId="13" fillId="6" borderId="10" xfId="0" applyNumberFormat="1" applyFont="1" applyFill="1" applyBorder="1" applyAlignment="1">
      <alignment horizontal="center"/>
    </xf>
    <xf numFmtId="41" fontId="36" fillId="3" borderId="26" xfId="0" applyNumberFormat="1" applyFont="1" applyFill="1" applyBorder="1" applyAlignment="1">
      <alignment horizontal="center"/>
    </xf>
    <xf numFmtId="41" fontId="13" fillId="3" borderId="3" xfId="1" applyNumberFormat="1" applyFont="1" applyFill="1" applyBorder="1" applyAlignment="1">
      <alignment horizontal="center"/>
    </xf>
    <xf numFmtId="41" fontId="13" fillId="3" borderId="3" xfId="0" applyNumberFormat="1" applyFont="1" applyFill="1" applyBorder="1" applyAlignment="1">
      <alignment horizontal="center"/>
    </xf>
    <xf numFmtId="41" fontId="36" fillId="3" borderId="3" xfId="0" applyNumberFormat="1" applyFont="1" applyFill="1" applyBorder="1" applyAlignment="1">
      <alignment horizontal="center"/>
    </xf>
    <xf numFmtId="41" fontId="13" fillId="3" borderId="10" xfId="1" applyNumberFormat="1" applyFont="1" applyFill="1" applyBorder="1" applyAlignment="1">
      <alignment horizontal="center"/>
    </xf>
    <xf numFmtId="41" fontId="13" fillId="6" borderId="3" xfId="1" applyNumberFormat="1" applyFont="1" applyFill="1" applyBorder="1" applyAlignment="1">
      <alignment horizontal="center"/>
    </xf>
    <xf numFmtId="41" fontId="13" fillId="6" borderId="10" xfId="1" applyNumberFormat="1" applyFont="1" applyFill="1" applyBorder="1" applyAlignment="1">
      <alignment horizontal="center"/>
    </xf>
    <xf numFmtId="41" fontId="13" fillId="3" borderId="26" xfId="1" applyNumberFormat="1" applyFont="1" applyFill="1" applyBorder="1" applyAlignment="1">
      <alignment horizontal="center"/>
    </xf>
    <xf numFmtId="41" fontId="15" fillId="0" borderId="11" xfId="1" applyNumberFormat="1" applyFont="1" applyBorder="1" applyAlignment="1">
      <alignment horizontal="center"/>
    </xf>
    <xf numFmtId="41" fontId="15" fillId="0" borderId="9" xfId="1" applyNumberFormat="1" applyFont="1" applyBorder="1" applyAlignment="1">
      <alignment horizontal="center"/>
    </xf>
    <xf numFmtId="41" fontId="0" fillId="0" borderId="4" xfId="0" applyNumberFormat="1" applyBorder="1"/>
    <xf numFmtId="41" fontId="0" fillId="0" borderId="9" xfId="0" applyNumberFormat="1" applyBorder="1"/>
    <xf numFmtId="41" fontId="0" fillId="0" borderId="0" xfId="0" applyNumberFormat="1" applyBorder="1"/>
    <xf numFmtId="41" fontId="0" fillId="0" borderId="0" xfId="1" applyNumberFormat="1" applyFont="1" applyBorder="1"/>
    <xf numFmtId="41" fontId="0" fillId="0" borderId="2" xfId="0" applyNumberFormat="1" applyBorder="1"/>
    <xf numFmtId="41" fontId="0" fillId="0" borderId="8" xfId="0" applyNumberFormat="1" applyBorder="1"/>
    <xf numFmtId="41" fontId="0" fillId="0" borderId="11" xfId="0" applyNumberFormat="1" applyBorder="1"/>
    <xf numFmtId="41" fontId="36" fillId="0" borderId="4" xfId="0" applyNumberFormat="1" applyFont="1" applyBorder="1" applyAlignment="1">
      <alignment horizontal="center"/>
    </xf>
    <xf numFmtId="41" fontId="0" fillId="0" borderId="4" xfId="1" applyNumberFormat="1" applyFont="1" applyBorder="1"/>
    <xf numFmtId="41" fontId="36" fillId="0" borderId="11" xfId="0" applyNumberFormat="1" applyFont="1" applyBorder="1" applyAlignment="1">
      <alignment horizontal="center"/>
    </xf>
    <xf numFmtId="41" fontId="0" fillId="6" borderId="0" xfId="0" applyNumberFormat="1" applyFill="1" applyBorder="1" applyProtection="1">
      <protection locked="0"/>
    </xf>
    <xf numFmtId="41" fontId="0" fillId="6" borderId="9" xfId="0" applyNumberFormat="1" applyFill="1" applyBorder="1" applyProtection="1">
      <protection locked="0"/>
    </xf>
    <xf numFmtId="41" fontId="0" fillId="0" borderId="9" xfId="1" applyNumberFormat="1" applyFont="1" applyBorder="1"/>
    <xf numFmtId="41" fontId="15" fillId="0" borderId="8" xfId="1" applyNumberFormat="1" applyFont="1" applyBorder="1" applyAlignment="1" applyProtection="1">
      <alignment horizontal="center"/>
      <protection locked="0"/>
    </xf>
    <xf numFmtId="41" fontId="15" fillId="0" borderId="6" xfId="1" applyNumberFormat="1" applyFont="1" applyBorder="1" applyAlignment="1" applyProtection="1">
      <alignment horizontal="center"/>
      <protection locked="0"/>
    </xf>
    <xf numFmtId="41" fontId="0" fillId="0" borderId="0" xfId="0" applyNumberFormat="1" applyBorder="1" applyProtection="1">
      <protection locked="0"/>
    </xf>
    <xf numFmtId="41" fontId="0" fillId="0" borderId="6" xfId="0" applyNumberFormat="1" applyBorder="1" applyProtection="1">
      <protection locked="0"/>
    </xf>
    <xf numFmtId="41" fontId="0" fillId="0" borderId="0" xfId="1" applyNumberFormat="1" applyFont="1" applyBorder="1" applyProtection="1">
      <protection locked="0"/>
    </xf>
    <xf numFmtId="41" fontId="0" fillId="0" borderId="6" xfId="0" applyNumberFormat="1" applyBorder="1"/>
    <xf numFmtId="41" fontId="36" fillId="0" borderId="0" xfId="0" applyNumberFormat="1" applyFont="1" applyBorder="1" applyAlignment="1">
      <alignment horizontal="center"/>
    </xf>
    <xf numFmtId="41" fontId="36" fillId="0" borderId="8" xfId="0" applyNumberFormat="1" applyFont="1" applyBorder="1" applyAlignment="1">
      <alignment horizontal="center"/>
    </xf>
    <xf numFmtId="41" fontId="0" fillId="0" borderId="6" xfId="1" applyNumberFormat="1" applyFont="1" applyBorder="1"/>
    <xf numFmtId="41" fontId="0" fillId="6" borderId="0" xfId="1" applyNumberFormat="1" applyFont="1" applyFill="1" applyBorder="1" applyProtection="1">
      <protection locked="0"/>
    </xf>
    <xf numFmtId="41" fontId="0" fillId="6" borderId="6" xfId="1" applyNumberFormat="1" applyFont="1" applyFill="1" applyBorder="1" applyProtection="1">
      <protection locked="0"/>
    </xf>
    <xf numFmtId="41" fontId="11" fillId="0" borderId="8" xfId="1" applyNumberFormat="1" applyBorder="1" applyProtection="1">
      <protection locked="0"/>
    </xf>
    <xf numFmtId="41" fontId="11" fillId="0" borderId="6" xfId="1" applyNumberFormat="1" applyBorder="1" applyProtection="1">
      <protection locked="0"/>
    </xf>
    <xf numFmtId="41" fontId="0" fillId="0" borderId="0" xfId="1" applyNumberFormat="1" applyFont="1" applyFill="1" applyBorder="1" applyProtection="1">
      <protection locked="0"/>
    </xf>
    <xf numFmtId="41" fontId="0" fillId="0" borderId="0" xfId="0" applyNumberFormat="1" applyFill="1" applyBorder="1" applyProtection="1">
      <protection locked="0"/>
    </xf>
    <xf numFmtId="41" fontId="0" fillId="0" borderId="2" xfId="0" applyNumberFormat="1" applyFill="1" applyBorder="1"/>
    <xf numFmtId="41" fontId="16" fillId="0" borderId="0" xfId="0" applyNumberFormat="1" applyFont="1" applyBorder="1" applyAlignment="1">
      <alignment horizontal="center"/>
    </xf>
    <xf numFmtId="41" fontId="11" fillId="0" borderId="8" xfId="1" applyNumberFormat="1" applyFill="1" applyBorder="1" applyProtection="1">
      <protection locked="0"/>
    </xf>
    <xf numFmtId="41" fontId="11" fillId="0" borderId="6" xfId="1" applyNumberFormat="1" applyFill="1" applyBorder="1" applyProtection="1">
      <protection locked="0"/>
    </xf>
    <xf numFmtId="41" fontId="0" fillId="0" borderId="6" xfId="0" applyNumberFormat="1" applyFill="1" applyBorder="1" applyProtection="1">
      <protection locked="0"/>
    </xf>
    <xf numFmtId="41" fontId="0" fillId="0" borderId="8" xfId="0" applyNumberFormat="1" applyFill="1" applyBorder="1"/>
    <xf numFmtId="41" fontId="0" fillId="0" borderId="6" xfId="0" applyNumberFormat="1" applyFill="1" applyBorder="1"/>
    <xf numFmtId="41" fontId="36" fillId="0" borderId="0" xfId="0" applyNumberFormat="1" applyFont="1" applyFill="1" applyBorder="1" applyAlignment="1">
      <alignment horizontal="center"/>
    </xf>
    <xf numFmtId="41" fontId="0" fillId="0" borderId="0" xfId="0" applyNumberFormat="1" applyFill="1" applyBorder="1"/>
    <xf numFmtId="41" fontId="0" fillId="0" borderId="6" xfId="1" applyNumberFormat="1" applyFont="1" applyFill="1" applyBorder="1"/>
    <xf numFmtId="41" fontId="36" fillId="0" borderId="8" xfId="0" applyNumberFormat="1" applyFont="1" applyFill="1" applyBorder="1" applyAlignment="1">
      <alignment horizontal="center"/>
    </xf>
    <xf numFmtId="41" fontId="11" fillId="5" borderId="8" xfId="1" applyNumberFormat="1" applyFill="1" applyBorder="1" applyProtection="1">
      <protection locked="0"/>
    </xf>
    <xf numFmtId="41" fontId="11" fillId="5" borderId="6" xfId="1" applyNumberFormat="1" applyFill="1" applyBorder="1" applyProtection="1">
      <protection locked="0"/>
    </xf>
    <xf numFmtId="41" fontId="0" fillId="5" borderId="0" xfId="0" applyNumberFormat="1" applyFill="1" applyBorder="1" applyProtection="1">
      <protection locked="0"/>
    </xf>
    <xf numFmtId="41" fontId="0" fillId="5" borderId="6" xfId="0" applyNumberFormat="1" applyFill="1" applyBorder="1" applyProtection="1">
      <protection locked="0"/>
    </xf>
    <xf numFmtId="41" fontId="0" fillId="5" borderId="0" xfId="1" applyNumberFormat="1" applyFont="1" applyFill="1" applyBorder="1" applyProtection="1">
      <protection locked="0"/>
    </xf>
    <xf numFmtId="41" fontId="0" fillId="5" borderId="2" xfId="0" applyNumberFormat="1" applyFill="1" applyBorder="1"/>
    <xf numFmtId="41" fontId="0" fillId="5" borderId="0" xfId="0" applyNumberFormat="1" applyFill="1" applyBorder="1"/>
    <xf numFmtId="41" fontId="0" fillId="5" borderId="8" xfId="0" applyNumberFormat="1" applyFill="1" applyBorder="1"/>
    <xf numFmtId="41" fontId="0" fillId="5" borderId="6" xfId="0" applyNumberFormat="1" applyFill="1" applyBorder="1"/>
    <xf numFmtId="41" fontId="36" fillId="5" borderId="0" xfId="0" applyNumberFormat="1" applyFont="1" applyFill="1" applyBorder="1" applyAlignment="1">
      <alignment horizontal="center"/>
    </xf>
    <xf numFmtId="41" fontId="0" fillId="5" borderId="0" xfId="1" applyNumberFormat="1" applyFont="1" applyFill="1" applyBorder="1"/>
    <xf numFmtId="41" fontId="36" fillId="5" borderId="8" xfId="0" applyNumberFormat="1" applyFont="1" applyFill="1" applyBorder="1" applyAlignment="1">
      <alignment horizontal="center"/>
    </xf>
    <xf numFmtId="41" fontId="0" fillId="5" borderId="6" xfId="1" applyNumberFormat="1" applyFont="1" applyFill="1" applyBorder="1"/>
    <xf numFmtId="41" fontId="16" fillId="5" borderId="8" xfId="0" applyNumberFormat="1" applyFont="1" applyFill="1" applyBorder="1" applyAlignment="1">
      <alignment horizontal="center"/>
    </xf>
    <xf numFmtId="41" fontId="16" fillId="5" borderId="0" xfId="0" applyNumberFormat="1" applyFont="1" applyFill="1" applyBorder="1" applyAlignment="1">
      <alignment horizontal="center"/>
    </xf>
    <xf numFmtId="41" fontId="0" fillId="6" borderId="8" xfId="1" applyNumberFormat="1" applyFont="1" applyFill="1" applyBorder="1" applyProtection="1">
      <protection locked="0"/>
    </xf>
    <xf numFmtId="41" fontId="48" fillId="0" borderId="0" xfId="0" applyNumberFormat="1" applyFont="1" applyFill="1" applyBorder="1" applyAlignment="1">
      <alignment horizontal="center"/>
    </xf>
    <xf numFmtId="41" fontId="16" fillId="0" borderId="8" xfId="0" applyNumberFormat="1" applyFont="1" applyBorder="1" applyAlignment="1">
      <alignment horizontal="center"/>
    </xf>
    <xf numFmtId="41" fontId="48" fillId="0" borderId="0" xfId="0" applyNumberFormat="1" applyFont="1" applyBorder="1" applyAlignment="1">
      <alignment horizontal="center"/>
    </xf>
    <xf numFmtId="41" fontId="36" fillId="5" borderId="0" xfId="0" applyNumberFormat="1" applyFont="1" applyFill="1" applyAlignment="1">
      <alignment horizontal="center"/>
    </xf>
    <xf numFmtId="41" fontId="0" fillId="5" borderId="0" xfId="1" applyNumberFormat="1" applyFont="1" applyFill="1"/>
    <xf numFmtId="41" fontId="16" fillId="0" borderId="0" xfId="0" applyNumberFormat="1" applyFont="1" applyFill="1" applyBorder="1"/>
    <xf numFmtId="41" fontId="0" fillId="0" borderId="6" xfId="1" applyNumberFormat="1" applyFont="1" applyFill="1" applyBorder="1" applyProtection="1">
      <protection locked="0"/>
    </xf>
    <xf numFmtId="41" fontId="0" fillId="5" borderId="0" xfId="0" applyNumberFormat="1" applyFill="1" applyProtection="1">
      <protection locked="0"/>
    </xf>
    <xf numFmtId="41" fontId="48" fillId="5" borderId="0" xfId="0" applyNumberFormat="1" applyFont="1" applyFill="1" applyBorder="1" applyAlignment="1">
      <alignment horizontal="center"/>
    </xf>
    <xf numFmtId="41" fontId="11" fillId="5" borderId="0" xfId="1" applyNumberFormat="1" applyFill="1" applyBorder="1" applyProtection="1">
      <protection locked="0"/>
    </xf>
    <xf numFmtId="41" fontId="11" fillId="0" borderId="0" xfId="1" applyNumberFormat="1" applyBorder="1" applyProtection="1">
      <protection locked="0"/>
    </xf>
    <xf numFmtId="41" fontId="36" fillId="0" borderId="0" xfId="0" applyNumberFormat="1" applyFont="1" applyAlignment="1">
      <alignment horizontal="center"/>
    </xf>
    <xf numFmtId="41" fontId="0" fillId="0" borderId="0" xfId="1" applyNumberFormat="1" applyFont="1"/>
    <xf numFmtId="41" fontId="0" fillId="7" borderId="7" xfId="1" applyNumberFormat="1" applyFont="1" applyFill="1" applyBorder="1"/>
    <xf numFmtId="41" fontId="0" fillId="7" borderId="33" xfId="1" applyNumberFormat="1" applyFont="1" applyFill="1" applyBorder="1"/>
    <xf numFmtId="41" fontId="0" fillId="0" borderId="8" xfId="1" applyNumberFormat="1" applyFont="1" applyFill="1" applyBorder="1"/>
    <xf numFmtId="41" fontId="58" fillId="0" borderId="6" xfId="0" applyNumberFormat="1" applyFont="1" applyFill="1" applyBorder="1"/>
    <xf numFmtId="41" fontId="0" fillId="0" borderId="8" xfId="1" applyNumberFormat="1" applyFont="1" applyBorder="1"/>
    <xf numFmtId="41" fontId="16" fillId="0" borderId="0" xfId="0" applyNumberFormat="1" applyFont="1" applyFill="1" applyBorder="1" applyAlignment="1">
      <alignment horizontal="center"/>
    </xf>
    <xf numFmtId="41" fontId="0" fillId="5" borderId="8" xfId="1" applyNumberFormat="1" applyFont="1" applyFill="1" applyBorder="1"/>
    <xf numFmtId="41" fontId="0" fillId="0" borderId="0" xfId="0" applyNumberFormat="1"/>
    <xf numFmtId="41" fontId="15" fillId="0" borderId="6" xfId="0" applyNumberFormat="1" applyFont="1" applyBorder="1" applyProtection="1">
      <protection locked="0"/>
    </xf>
    <xf numFmtId="41" fontId="15" fillId="0" borderId="0" xfId="0" applyNumberFormat="1" applyFont="1" applyBorder="1" applyProtection="1">
      <protection locked="0"/>
    </xf>
    <xf numFmtId="41" fontId="36" fillId="0" borderId="0" xfId="0" applyNumberFormat="1" applyFont="1" applyFill="1" applyAlignment="1">
      <alignment horizontal="center"/>
    </xf>
    <xf numFmtId="41" fontId="0" fillId="0" borderId="0" xfId="1" applyNumberFormat="1" applyFont="1" applyFill="1"/>
    <xf numFmtId="41" fontId="16" fillId="0" borderId="8" xfId="0" applyNumberFormat="1" applyFont="1" applyFill="1" applyBorder="1" applyAlignment="1">
      <alignment horizontal="center"/>
    </xf>
    <xf numFmtId="41" fontId="11" fillId="0" borderId="8" xfId="1" applyNumberFormat="1" applyFill="1" applyBorder="1" applyProtection="1"/>
    <xf numFmtId="41" fontId="11" fillId="0" borderId="6" xfId="1" applyNumberFormat="1" applyFill="1" applyBorder="1" applyProtection="1"/>
    <xf numFmtId="41" fontId="0" fillId="0" borderId="0" xfId="0" applyNumberFormat="1" applyFill="1" applyBorder="1" applyProtection="1"/>
    <xf numFmtId="41" fontId="0" fillId="0" borderId="6" xfId="0" applyNumberFormat="1" applyFill="1" applyBorder="1" applyProtection="1"/>
    <xf numFmtId="41" fontId="0" fillId="0" borderId="0" xfId="1" applyNumberFormat="1" applyFont="1" applyFill="1" applyBorder="1" applyProtection="1"/>
    <xf numFmtId="41" fontId="0" fillId="0" borderId="2" xfId="0" applyNumberFormat="1" applyFill="1" applyBorder="1" applyProtection="1"/>
    <xf numFmtId="41" fontId="0" fillId="0" borderId="8" xfId="0" applyNumberFormat="1" applyFill="1" applyBorder="1" applyProtection="1"/>
    <xf numFmtId="41" fontId="36" fillId="0" borderId="0" xfId="0" applyNumberFormat="1" applyFont="1" applyFill="1" applyBorder="1" applyAlignment="1" applyProtection="1">
      <alignment horizontal="center"/>
    </xf>
    <xf numFmtId="41" fontId="36" fillId="0" borderId="8" xfId="0" applyNumberFormat="1" applyFont="1" applyFill="1" applyBorder="1" applyAlignment="1" applyProtection="1">
      <alignment horizontal="center"/>
    </xf>
    <xf numFmtId="41" fontId="0" fillId="0" borderId="6" xfId="1" applyNumberFormat="1" applyFont="1" applyFill="1" applyBorder="1" applyProtection="1"/>
    <xf numFmtId="41" fontId="0" fillId="0" borderId="8" xfId="1" applyNumberFormat="1" applyFont="1" applyFill="1" applyBorder="1" applyProtection="1"/>
    <xf numFmtId="41" fontId="11" fillId="7" borderId="38" xfId="1" applyNumberFormat="1" applyFill="1" applyBorder="1"/>
    <xf numFmtId="41" fontId="11" fillId="7" borderId="39" xfId="1" applyNumberFormat="1" applyFill="1" applyBorder="1"/>
    <xf numFmtId="41" fontId="11" fillId="7" borderId="5" xfId="1" applyNumberFormat="1" applyFill="1" applyBorder="1"/>
    <xf numFmtId="41" fontId="0" fillId="7" borderId="18" xfId="0" applyNumberFormat="1" applyFill="1" applyBorder="1"/>
    <xf numFmtId="41" fontId="0" fillId="7" borderId="38" xfId="0" applyNumberFormat="1" applyFill="1" applyBorder="1"/>
    <xf numFmtId="41" fontId="0" fillId="7" borderId="39" xfId="0" applyNumberFormat="1" applyFill="1" applyBorder="1"/>
    <xf numFmtId="41" fontId="0" fillId="7" borderId="5" xfId="1" applyNumberFormat="1" applyFont="1" applyFill="1" applyBorder="1"/>
    <xf numFmtId="41" fontId="0" fillId="7" borderId="39" xfId="1" applyNumberFormat="1" applyFont="1" applyFill="1" applyBorder="1"/>
    <xf numFmtId="41" fontId="11" fillId="0" borderId="8" xfId="1" applyNumberFormat="1" applyBorder="1"/>
    <xf numFmtId="41" fontId="11" fillId="0" borderId="6" xfId="1" applyNumberFormat="1" applyBorder="1"/>
    <xf numFmtId="41" fontId="11" fillId="0" borderId="0" xfId="1" applyNumberFormat="1" applyBorder="1"/>
    <xf numFmtId="41" fontId="0" fillId="2" borderId="8" xfId="0" applyNumberFormat="1" applyFill="1" applyBorder="1"/>
    <xf numFmtId="41" fontId="0" fillId="2" borderId="6" xfId="0" applyNumberFormat="1" applyFill="1" applyBorder="1"/>
    <xf numFmtId="41" fontId="11" fillId="0" borderId="26" xfId="1" applyNumberFormat="1" applyBorder="1"/>
    <xf numFmtId="41" fontId="11" fillId="0" borderId="10" xfId="1" applyNumberFormat="1" applyBorder="1"/>
    <xf numFmtId="41" fontId="11" fillId="0" borderId="3" xfId="1" applyNumberFormat="1" applyBorder="1"/>
    <xf numFmtId="41" fontId="0" fillId="0" borderId="3" xfId="1" applyNumberFormat="1" applyFont="1" applyBorder="1"/>
    <xf numFmtId="41" fontId="0" fillId="0" borderId="3" xfId="0" applyNumberFormat="1" applyBorder="1"/>
    <xf numFmtId="41" fontId="0" fillId="0" borderId="36" xfId="0" applyNumberFormat="1" applyBorder="1"/>
    <xf numFmtId="41" fontId="0" fillId="0" borderId="26" xfId="0" applyNumberFormat="1" applyBorder="1"/>
    <xf numFmtId="41" fontId="0" fillId="0" borderId="10" xfId="0" applyNumberFormat="1" applyBorder="1"/>
    <xf numFmtId="41" fontId="36" fillId="0" borderId="3" xfId="0" applyNumberFormat="1" applyFont="1" applyBorder="1" applyAlignment="1">
      <alignment horizontal="center"/>
    </xf>
    <xf numFmtId="41" fontId="36" fillId="0" borderId="26" xfId="0" applyNumberFormat="1" applyFont="1" applyBorder="1" applyAlignment="1">
      <alignment horizontal="center"/>
    </xf>
    <xf numFmtId="41" fontId="0" fillId="0" borderId="3" xfId="0" applyNumberFormat="1" applyFill="1" applyBorder="1"/>
    <xf numFmtId="41" fontId="0" fillId="0" borderId="10" xfId="0" applyNumberFormat="1" applyFill="1" applyBorder="1"/>
    <xf numFmtId="41" fontId="0" fillId="0" borderId="3" xfId="1" applyNumberFormat="1" applyFont="1" applyFill="1" applyBorder="1"/>
    <xf numFmtId="41" fontId="0" fillId="0" borderId="10" xfId="1" applyNumberFormat="1" applyFont="1" applyBorder="1"/>
    <xf numFmtId="41" fontId="11" fillId="0" borderId="0" xfId="1" applyNumberFormat="1"/>
    <xf numFmtId="41" fontId="21" fillId="0" borderId="0" xfId="1" applyNumberFormat="1" applyFont="1"/>
    <xf numFmtId="41" fontId="21" fillId="0" borderId="0" xfId="0" applyNumberFormat="1" applyFont="1" applyBorder="1"/>
    <xf numFmtId="41" fontId="32" fillId="0" borderId="0" xfId="0" applyNumberFormat="1" applyFont="1" applyBorder="1" applyAlignment="1">
      <alignment horizontal="center"/>
    </xf>
    <xf numFmtId="41" fontId="21" fillId="0" borderId="0" xfId="1" applyNumberFormat="1" applyFont="1" applyBorder="1"/>
    <xf numFmtId="41" fontId="21" fillId="0" borderId="0" xfId="1" applyNumberFormat="1" applyFont="1" applyFill="1" applyBorder="1"/>
    <xf numFmtId="41" fontId="13" fillId="0" borderId="0" xfId="1" applyNumberFormat="1" applyFont="1" applyFill="1" applyBorder="1"/>
    <xf numFmtId="41" fontId="12" fillId="0" borderId="0" xfId="1" applyNumberFormat="1" applyFont="1"/>
    <xf numFmtId="41" fontId="33" fillId="0" borderId="0" xfId="1" applyNumberFormat="1" applyFont="1"/>
    <xf numFmtId="41" fontId="33" fillId="0" borderId="0" xfId="0" applyNumberFormat="1" applyFont="1"/>
    <xf numFmtId="41" fontId="50" fillId="0" borderId="0" xfId="0" applyNumberFormat="1" applyFont="1" applyAlignment="1">
      <alignment horizontal="center"/>
    </xf>
    <xf numFmtId="41" fontId="0" fillId="0" borderId="0" xfId="1" applyNumberFormat="1" applyFont="1" applyAlignment="1">
      <alignment wrapText="1"/>
    </xf>
    <xf numFmtId="41" fontId="0" fillId="0" borderId="0" xfId="0" applyNumberFormat="1" applyAlignment="1">
      <alignment wrapText="1"/>
    </xf>
    <xf numFmtId="41" fontId="21" fillId="0" borderId="0" xfId="0" applyNumberFormat="1" applyFont="1"/>
    <xf numFmtId="41" fontId="32" fillId="0" borderId="0" xfId="0" applyNumberFormat="1" applyFont="1" applyAlignment="1">
      <alignment horizontal="center"/>
    </xf>
    <xf numFmtId="41" fontId="21" fillId="0" borderId="0" xfId="1" applyNumberFormat="1" applyFont="1" applyFill="1"/>
    <xf numFmtId="167" fontId="11" fillId="2" borderId="0" xfId="3" applyNumberFormat="1" applyFill="1" applyAlignment="1">
      <alignment horizontal="right"/>
    </xf>
    <xf numFmtId="167" fontId="0" fillId="2" borderId="5" xfId="0" applyNumberFormat="1" applyFill="1" applyBorder="1"/>
    <xf numFmtId="0" fontId="0" fillId="0" borderId="0" xfId="0" quotePrefix="1" applyAlignment="1">
      <alignment vertical="top"/>
    </xf>
    <xf numFmtId="165" fontId="15" fillId="2" borderId="5" xfId="1" applyNumberFormat="1" applyFont="1" applyFill="1" applyBorder="1" applyProtection="1">
      <protection locked="0"/>
    </xf>
    <xf numFmtId="0" fontId="15" fillId="5" borderId="0" xfId="0" applyFont="1" applyFill="1" applyProtection="1">
      <protection locked="0"/>
    </xf>
    <xf numFmtId="0" fontId="15" fillId="0" borderId="0" xfId="0" applyFont="1" applyFill="1" applyProtection="1">
      <protection locked="0"/>
    </xf>
    <xf numFmtId="0" fontId="15" fillId="0" borderId="0" xfId="0" applyFont="1" applyFill="1" applyBorder="1" applyProtection="1">
      <protection locked="0"/>
    </xf>
    <xf numFmtId="0" fontId="24" fillId="0" borderId="0" xfId="0" applyFont="1" applyBorder="1" applyAlignment="1">
      <alignment horizontal="right" vertical="top"/>
    </xf>
    <xf numFmtId="0" fontId="15" fillId="0" borderId="0" xfId="0" applyFont="1" applyBorder="1"/>
    <xf numFmtId="0" fontId="69" fillId="0" borderId="0" xfId="0" applyFont="1" applyBorder="1" applyAlignment="1">
      <alignment horizontal="right" vertical="top"/>
    </xf>
    <xf numFmtId="0" fontId="69" fillId="0" borderId="0" xfId="0" applyFont="1" applyFill="1" applyBorder="1" applyAlignment="1">
      <alignment horizontal="right" vertical="top"/>
    </xf>
    <xf numFmtId="0" fontId="15" fillId="0" borderId="0" xfId="0" applyFont="1" applyFill="1" applyBorder="1" applyAlignment="1">
      <alignment horizontal="center"/>
    </xf>
    <xf numFmtId="0" fontId="15" fillId="0" borderId="0" xfId="0" applyFont="1" applyAlignment="1">
      <alignment wrapText="1"/>
    </xf>
    <xf numFmtId="0" fontId="15" fillId="0" borderId="0" xfId="0" applyFont="1" applyFill="1"/>
    <xf numFmtId="41" fontId="67" fillId="0" borderId="0" xfId="1" applyNumberFormat="1" applyFont="1" applyFill="1" applyBorder="1" applyProtection="1">
      <protection locked="0"/>
    </xf>
    <xf numFmtId="41" fontId="67" fillId="0" borderId="0" xfId="1" applyNumberFormat="1" applyFont="1" applyFill="1" applyBorder="1"/>
    <xf numFmtId="41" fontId="67" fillId="0" borderId="6" xfId="1" applyNumberFormat="1" applyFont="1" applyFill="1" applyBorder="1"/>
    <xf numFmtId="0" fontId="15" fillId="5" borderId="0" xfId="0" applyFont="1" applyFill="1" applyBorder="1"/>
    <xf numFmtId="0" fontId="0" fillId="0" borderId="0" xfId="0" applyFont="1" applyFill="1" applyBorder="1"/>
    <xf numFmtId="0" fontId="0" fillId="0" borderId="0" xfId="0" applyFill="1" applyAlignment="1" applyProtection="1">
      <alignment horizontal="left" indent="1"/>
      <protection locked="0"/>
    </xf>
    <xf numFmtId="0" fontId="14" fillId="0" borderId="0" xfId="0" applyFont="1" applyFill="1"/>
    <xf numFmtId="0" fontId="0" fillId="9" borderId="0" xfId="0" applyFill="1" applyBorder="1"/>
    <xf numFmtId="41" fontId="11" fillId="9" borderId="8" xfId="1" applyNumberFormat="1" applyFill="1" applyBorder="1" applyProtection="1">
      <protection locked="0"/>
    </xf>
    <xf numFmtId="41" fontId="11" fillId="9" borderId="6" xfId="1" applyNumberFormat="1" applyFill="1" applyBorder="1" applyProtection="1">
      <protection locked="0"/>
    </xf>
    <xf numFmtId="41" fontId="0" fillId="9" borderId="0" xfId="0" applyNumberFormat="1" applyFill="1" applyBorder="1" applyProtection="1">
      <protection locked="0"/>
    </xf>
    <xf numFmtId="41" fontId="0" fillId="9" borderId="6" xfId="0" applyNumberFormat="1" applyFill="1" applyBorder="1" applyProtection="1">
      <protection locked="0"/>
    </xf>
    <xf numFmtId="41" fontId="67" fillId="9" borderId="0" xfId="1" applyNumberFormat="1" applyFont="1" applyFill="1" applyBorder="1" applyProtection="1">
      <protection locked="0"/>
    </xf>
    <xf numFmtId="41" fontId="0" fillId="9" borderId="2" xfId="0" applyNumberFormat="1" applyFill="1" applyBorder="1"/>
    <xf numFmtId="41" fontId="0" fillId="9" borderId="0" xfId="0" applyNumberFormat="1" applyFill="1" applyBorder="1"/>
    <xf numFmtId="41" fontId="0" fillId="9" borderId="8" xfId="0" applyNumberFormat="1" applyFill="1" applyBorder="1"/>
    <xf numFmtId="41" fontId="0" fillId="9" borderId="6" xfId="0" applyNumberFormat="1" applyFill="1" applyBorder="1"/>
    <xf numFmtId="41" fontId="36" fillId="9" borderId="0" xfId="0" applyNumberFormat="1" applyFont="1" applyFill="1" applyBorder="1" applyAlignment="1">
      <alignment horizontal="center"/>
    </xf>
    <xf numFmtId="41" fontId="67" fillId="9" borderId="0" xfId="1" applyNumberFormat="1" applyFont="1" applyFill="1" applyBorder="1"/>
    <xf numFmtId="41" fontId="36" fillId="9" borderId="8" xfId="0" applyNumberFormat="1" applyFont="1" applyFill="1" applyBorder="1" applyAlignment="1">
      <alignment horizontal="center"/>
    </xf>
    <xf numFmtId="41" fontId="67" fillId="9" borderId="6" xfId="1" applyNumberFormat="1" applyFont="1" applyFill="1" applyBorder="1"/>
    <xf numFmtId="0" fontId="0" fillId="0" borderId="0" xfId="0"/>
    <xf numFmtId="165" fontId="14" fillId="0" borderId="0" xfId="1" applyNumberFormat="1" applyFont="1" applyBorder="1" applyAlignment="1">
      <alignment wrapText="1"/>
    </xf>
    <xf numFmtId="165" fontId="14" fillId="0" borderId="0" xfId="1" applyNumberFormat="1" applyFont="1" applyBorder="1" applyAlignment="1">
      <alignment horizontal="center" wrapText="1"/>
    </xf>
    <xf numFmtId="165" fontId="14" fillId="0" borderId="1" xfId="1" applyNumberFormat="1" applyFont="1" applyBorder="1" applyAlignment="1">
      <alignment wrapText="1"/>
    </xf>
    <xf numFmtId="0" fontId="68" fillId="0" borderId="1" xfId="0" applyFont="1" applyBorder="1" applyAlignment="1">
      <alignment horizontal="centerContinuous"/>
    </xf>
    <xf numFmtId="0" fontId="70" fillId="0" borderId="0" xfId="0" applyFont="1" applyFill="1" applyBorder="1" applyAlignment="1">
      <alignment horizontal="center" wrapText="1"/>
    </xf>
    <xf numFmtId="0" fontId="13" fillId="0" borderId="0" xfId="0" applyFont="1" applyAlignment="1">
      <alignment horizontal="right"/>
    </xf>
    <xf numFmtId="0" fontId="73" fillId="2" borderId="22" xfId="0" applyFont="1" applyFill="1" applyBorder="1" applyAlignment="1"/>
    <xf numFmtId="0" fontId="69" fillId="0" borderId="0" xfId="0" applyFont="1" applyFill="1" applyBorder="1" applyAlignment="1"/>
    <xf numFmtId="0" fontId="0" fillId="0" borderId="20" xfId="0" applyFill="1" applyBorder="1"/>
    <xf numFmtId="43" fontId="0" fillId="0" borderId="0" xfId="1" applyFont="1" applyFill="1" applyBorder="1"/>
    <xf numFmtId="0" fontId="0" fillId="0" borderId="0" xfId="0" applyFill="1" applyBorder="1" applyAlignment="1">
      <alignment vertical="top"/>
    </xf>
    <xf numFmtId="0" fontId="0" fillId="0" borderId="0" xfId="0" applyAlignment="1">
      <alignment vertical="top"/>
    </xf>
    <xf numFmtId="43" fontId="0" fillId="0" borderId="0" xfId="1" applyFont="1"/>
    <xf numFmtId="0" fontId="13" fillId="0" borderId="0" xfId="0" applyFont="1" applyAlignment="1">
      <alignment horizontal="right" vertical="top"/>
    </xf>
    <xf numFmtId="0" fontId="13" fillId="0" borderId="0" xfId="0" applyFont="1" applyFill="1" applyBorder="1" applyAlignment="1">
      <alignment horizontal="left"/>
    </xf>
    <xf numFmtId="43" fontId="15" fillId="0" borderId="0" xfId="1" applyFont="1" applyAlignment="1">
      <alignment horizontal="center"/>
    </xf>
    <xf numFmtId="43" fontId="0" fillId="0" borderId="0" xfId="0" applyNumberFormat="1"/>
    <xf numFmtId="165" fontId="11" fillId="2" borderId="5" xfId="1" applyNumberFormat="1" applyFill="1" applyBorder="1" applyAlignment="1">
      <alignment horizontal="right"/>
    </xf>
    <xf numFmtId="0" fontId="74" fillId="0" borderId="0" xfId="0" applyFont="1" applyAlignment="1">
      <alignment horizontal="center"/>
    </xf>
    <xf numFmtId="43" fontId="74" fillId="0" borderId="0" xfId="1" applyFont="1"/>
    <xf numFmtId="43" fontId="74" fillId="0" borderId="0" xfId="0" applyNumberFormat="1" applyFont="1"/>
    <xf numFmtId="0" fontId="0" fillId="0" borderId="0" xfId="0"/>
    <xf numFmtId="0" fontId="0" fillId="0" borderId="0" xfId="0" applyFill="1" applyBorder="1"/>
    <xf numFmtId="165" fontId="0" fillId="2" borderId="0" xfId="0" applyNumberFormat="1" applyFill="1"/>
    <xf numFmtId="0" fontId="11" fillId="0" borderId="0" xfId="0" applyFont="1" applyAlignment="1">
      <alignment horizontal="left"/>
    </xf>
    <xf numFmtId="0" fontId="11" fillId="0" borderId="0" xfId="0" applyFont="1"/>
    <xf numFmtId="44" fontId="0" fillId="0" borderId="0" xfId="2" applyNumberFormat="1" applyFont="1"/>
    <xf numFmtId="0" fontId="11" fillId="0" borderId="0" xfId="0" applyFont="1" applyAlignment="1">
      <alignment horizontal="center"/>
    </xf>
    <xf numFmtId="165" fontId="11" fillId="10" borderId="0" xfId="1" applyNumberFormat="1" applyFill="1" applyBorder="1" applyProtection="1">
      <protection locked="0"/>
    </xf>
    <xf numFmtId="9" fontId="11" fillId="6" borderId="0" xfId="3" applyFill="1" applyBorder="1" applyProtection="1">
      <protection locked="0"/>
    </xf>
    <xf numFmtId="0" fontId="11" fillId="0" borderId="13" xfId="0" applyFont="1" applyFill="1" applyBorder="1" applyAlignment="1">
      <alignment horizontal="center"/>
    </xf>
    <xf numFmtId="0" fontId="11" fillId="0" borderId="14" xfId="0" applyFont="1" applyFill="1" applyBorder="1" applyAlignment="1">
      <alignment horizontal="center"/>
    </xf>
    <xf numFmtId="0" fontId="0" fillId="0" borderId="0" xfId="0"/>
    <xf numFmtId="0" fontId="75" fillId="0" borderId="0" xfId="0" applyFont="1" applyFill="1" applyBorder="1" applyAlignment="1">
      <alignment horizontal="left"/>
    </xf>
    <xf numFmtId="10" fontId="13" fillId="0" borderId="0" xfId="3" applyNumberFormat="1" applyFont="1" applyFill="1" applyBorder="1" applyAlignment="1">
      <alignment horizontal="center"/>
    </xf>
    <xf numFmtId="0" fontId="0" fillId="9" borderId="0" xfId="0" applyFill="1" applyBorder="1" applyAlignment="1">
      <alignment wrapText="1"/>
    </xf>
    <xf numFmtId="0" fontId="73" fillId="0" borderId="0" xfId="0" applyFont="1" applyFill="1" applyBorder="1" applyAlignment="1"/>
    <xf numFmtId="0" fontId="11" fillId="0" borderId="0" xfId="0" applyFont="1" applyAlignment="1">
      <alignment wrapText="1"/>
    </xf>
    <xf numFmtId="0" fontId="19" fillId="0" borderId="0" xfId="0" applyFont="1" applyFill="1" applyAlignment="1"/>
    <xf numFmtId="0" fontId="19" fillId="0" borderId="0" xfId="0" applyFont="1" applyFill="1" applyAlignment="1">
      <alignment horizontal="left" vertical="center"/>
    </xf>
    <xf numFmtId="0" fontId="19" fillId="0" borderId="17" xfId="0" applyFont="1" applyFill="1" applyBorder="1" applyAlignment="1">
      <alignment horizontal="left" vertical="center"/>
    </xf>
    <xf numFmtId="43" fontId="11" fillId="0" borderId="13" xfId="1" applyFont="1" applyFill="1" applyBorder="1" applyAlignment="1">
      <alignment horizontal="center"/>
    </xf>
    <xf numFmtId="0" fontId="19" fillId="0" borderId="12" xfId="0" applyFont="1" applyFill="1" applyBorder="1" applyAlignment="1">
      <alignment horizontal="left" vertical="center"/>
    </xf>
    <xf numFmtId="0" fontId="0" fillId="3" borderId="30" xfId="0" applyFill="1" applyBorder="1" applyAlignment="1">
      <alignment horizontal="center"/>
    </xf>
    <xf numFmtId="165" fontId="0" fillId="3" borderId="25" xfId="1" applyNumberFormat="1" applyFont="1" applyFill="1" applyBorder="1" applyAlignment="1">
      <alignment horizontal="center"/>
    </xf>
    <xf numFmtId="165" fontId="0" fillId="3" borderId="22" xfId="1" applyNumberFormat="1" applyFont="1" applyFill="1" applyBorder="1" applyAlignment="1">
      <alignment horizontal="center"/>
    </xf>
    <xf numFmtId="165" fontId="0" fillId="0" borderId="20" xfId="1" applyNumberFormat="1" applyFont="1" applyBorder="1"/>
    <xf numFmtId="165" fontId="0" fillId="0" borderId="23" xfId="0" applyNumberFormat="1" applyFill="1" applyBorder="1"/>
    <xf numFmtId="165" fontId="0" fillId="0" borderId="24" xfId="0" applyNumberFormat="1" applyFill="1" applyBorder="1"/>
    <xf numFmtId="0" fontId="0" fillId="0" borderId="0" xfId="0" applyFill="1" applyBorder="1"/>
    <xf numFmtId="0" fontId="13" fillId="0" borderId="0" xfId="0" applyFont="1" applyFill="1" applyBorder="1"/>
    <xf numFmtId="165" fontId="14" fillId="0" borderId="0" xfId="1" applyNumberFormat="1" applyFont="1" applyBorder="1" applyAlignment="1">
      <alignment wrapText="1"/>
    </xf>
    <xf numFmtId="0" fontId="13" fillId="0" borderId="0" xfId="0" applyFont="1"/>
    <xf numFmtId="0" fontId="0" fillId="0" borderId="0" xfId="0"/>
    <xf numFmtId="0" fontId="0" fillId="0" borderId="0" xfId="0" applyFill="1"/>
    <xf numFmtId="165" fontId="0" fillId="2" borderId="0" xfId="1" applyNumberFormat="1" applyFont="1" applyFill="1"/>
    <xf numFmtId="0" fontId="0" fillId="0" borderId="0" xfId="0" applyFill="1" applyBorder="1" applyAlignment="1">
      <alignment horizontal="center"/>
    </xf>
    <xf numFmtId="9" fontId="11" fillId="0" borderId="0" xfId="3" applyFill="1" applyBorder="1" applyProtection="1">
      <protection locked="0"/>
    </xf>
    <xf numFmtId="0" fontId="13" fillId="0" borderId="2" xfId="0" applyFont="1" applyFill="1" applyBorder="1" applyAlignment="1">
      <alignment horizontal="left"/>
    </xf>
    <xf numFmtId="0" fontId="13" fillId="0" borderId="20" xfId="0" applyFont="1" applyFill="1" applyBorder="1" applyAlignment="1">
      <alignment horizontal="left"/>
    </xf>
    <xf numFmtId="0" fontId="75" fillId="0" borderId="2" xfId="0" applyFont="1" applyFill="1" applyBorder="1" applyAlignment="1">
      <alignment horizontal="left"/>
    </xf>
    <xf numFmtId="0" fontId="13" fillId="0" borderId="2" xfId="0" applyFont="1" applyFill="1" applyBorder="1"/>
    <xf numFmtId="0" fontId="73" fillId="0" borderId="2" xfId="0" applyFont="1" applyFill="1" applyBorder="1" applyAlignment="1"/>
    <xf numFmtId="0" fontId="75" fillId="0" borderId="13" xfId="0" applyFont="1" applyFill="1" applyBorder="1" applyAlignment="1">
      <alignment horizontal="left"/>
    </xf>
    <xf numFmtId="10" fontId="13" fillId="0" borderId="1" xfId="3" applyNumberFormat="1" applyFont="1" applyFill="1" applyBorder="1" applyAlignment="1">
      <alignment horizontal="center"/>
    </xf>
    <xf numFmtId="0" fontId="13" fillId="0" borderId="1" xfId="0" applyFont="1" applyFill="1" applyBorder="1" applyAlignment="1">
      <alignment horizontal="left"/>
    </xf>
    <xf numFmtId="0" fontId="0" fillId="0" borderId="14" xfId="0" applyFill="1" applyBorder="1"/>
    <xf numFmtId="0" fontId="0" fillId="0" borderId="0" xfId="0"/>
    <xf numFmtId="0" fontId="11" fillId="0" borderId="0" xfId="0" applyFont="1" applyAlignment="1">
      <alignment horizontal="left" wrapText="1" indent="1"/>
    </xf>
    <xf numFmtId="0" fontId="11" fillId="0" borderId="0" xfId="0" applyFont="1" applyAlignment="1">
      <alignment horizontal="left" indent="1"/>
    </xf>
    <xf numFmtId="0" fontId="11" fillId="0" borderId="0" xfId="0" applyFont="1" applyAlignment="1">
      <alignment vertical="top" wrapText="1"/>
    </xf>
    <xf numFmtId="0" fontId="15" fillId="11" borderId="0" xfId="0" applyFont="1" applyFill="1" applyAlignment="1">
      <alignment wrapText="1"/>
    </xf>
    <xf numFmtId="0" fontId="11" fillId="0" borderId="0" xfId="0" quotePrefix="1" applyFont="1"/>
    <xf numFmtId="165" fontId="11" fillId="6" borderId="0" xfId="1" applyNumberFormat="1" applyFill="1" applyBorder="1" applyProtection="1">
      <protection locked="0"/>
    </xf>
    <xf numFmtId="0" fontId="0" fillId="0" borderId="0" xfId="0"/>
    <xf numFmtId="0" fontId="0" fillId="0" borderId="0" xfId="0" applyFill="1" applyBorder="1"/>
    <xf numFmtId="0" fontId="13" fillId="0" borderId="0" xfId="0" applyFont="1" applyFill="1" applyBorder="1"/>
    <xf numFmtId="0" fontId="0" fillId="0" borderId="0" xfId="0" applyFill="1" applyBorder="1" applyAlignment="1">
      <alignment horizontal="center"/>
    </xf>
    <xf numFmtId="10" fontId="13" fillId="12" borderId="0" xfId="3" applyNumberFormat="1" applyFont="1" applyFill="1" applyBorder="1" applyAlignment="1" applyProtection="1">
      <alignment horizontal="center"/>
      <protection locked="0"/>
    </xf>
    <xf numFmtId="0" fontId="0" fillId="12" borderId="0" xfId="0" applyFill="1" applyBorder="1" applyAlignment="1" applyProtection="1">
      <alignment horizontal="right"/>
      <protection locked="0"/>
    </xf>
    <xf numFmtId="0" fontId="0" fillId="12" borderId="0" xfId="0" applyFill="1" applyProtection="1">
      <protection locked="0"/>
    </xf>
    <xf numFmtId="0" fontId="0" fillId="0" borderId="0" xfId="0" applyAlignment="1">
      <alignment wrapText="1"/>
    </xf>
    <xf numFmtId="0" fontId="0" fillId="0" borderId="0" xfId="0"/>
    <xf numFmtId="165" fontId="0" fillId="2" borderId="0" xfId="0" applyNumberFormat="1" applyFill="1"/>
    <xf numFmtId="0" fontId="0" fillId="0" borderId="0" xfId="0" applyFill="1" applyBorder="1"/>
    <xf numFmtId="0" fontId="73" fillId="2" borderId="22" xfId="0" applyFont="1" applyFill="1" applyBorder="1" applyAlignment="1">
      <alignment wrapText="1"/>
    </xf>
    <xf numFmtId="171" fontId="0" fillId="0" borderId="0" xfId="4" applyNumberFormat="1" applyFont="1"/>
    <xf numFmtId="165" fontId="0" fillId="0" borderId="0" xfId="5" applyNumberFormat="1" applyFont="1" applyAlignment="1">
      <alignment horizontal="left"/>
    </xf>
    <xf numFmtId="165" fontId="0" fillId="0" borderId="0" xfId="5" applyNumberFormat="1" applyFont="1"/>
    <xf numFmtId="0" fontId="68" fillId="0" borderId="0" xfId="0" applyFont="1" applyAlignment="1">
      <alignment horizontal="center"/>
    </xf>
    <xf numFmtId="0" fontId="0" fillId="0" borderId="0" xfId="0" applyFont="1" applyAlignment="1">
      <alignment horizontal="right"/>
    </xf>
    <xf numFmtId="43" fontId="0" fillId="0" borderId="0" xfId="5" applyFont="1"/>
    <xf numFmtId="2" fontId="0" fillId="0" borderId="0" xfId="0" applyNumberFormat="1" applyFill="1" applyBorder="1"/>
    <xf numFmtId="43" fontId="11" fillId="0" borderId="0" xfId="1" applyFont="1" applyAlignment="1">
      <alignment horizontal="center"/>
    </xf>
    <xf numFmtId="43" fontId="11" fillId="0" borderId="2" xfId="1" applyFont="1" applyFill="1" applyBorder="1"/>
    <xf numFmtId="43" fontId="11" fillId="0" borderId="0" xfId="1" applyFont="1" applyFill="1" applyBorder="1"/>
    <xf numFmtId="165" fontId="11" fillId="0" borderId="19" xfId="1" applyNumberFormat="1" applyFont="1" applyBorder="1"/>
    <xf numFmtId="165" fontId="11" fillId="0" borderId="20" xfId="1" applyNumberFormat="1" applyFont="1" applyBorder="1"/>
    <xf numFmtId="165" fontId="11" fillId="0" borderId="2" xfId="1" applyNumberFormat="1" applyFont="1" applyFill="1" applyBorder="1"/>
    <xf numFmtId="10" fontId="0" fillId="0" borderId="0" xfId="0" applyNumberFormat="1"/>
    <xf numFmtId="0" fontId="78" fillId="0" borderId="0" xfId="6" applyFont="1" applyFill="1" applyBorder="1" applyAlignment="1">
      <alignment horizontal="left"/>
    </xf>
    <xf numFmtId="0" fontId="0" fillId="0" borderId="0" xfId="0"/>
    <xf numFmtId="0" fontId="78" fillId="0" borderId="0" xfId="7" applyFont="1" applyFill="1" applyBorder="1" applyAlignment="1">
      <alignment horizontal="left"/>
    </xf>
    <xf numFmtId="165" fontId="0" fillId="0" borderId="0" xfId="9" applyNumberFormat="1" applyFont="1"/>
    <xf numFmtId="14" fontId="0" fillId="0" borderId="0" xfId="0" applyNumberFormat="1"/>
    <xf numFmtId="171" fontId="0" fillId="0" borderId="0" xfId="8" applyNumberFormat="1" applyFont="1"/>
    <xf numFmtId="0" fontId="0" fillId="0" borderId="0" xfId="0"/>
    <xf numFmtId="0" fontId="0" fillId="0" borderId="0" xfId="0" applyFill="1" applyBorder="1"/>
    <xf numFmtId="0" fontId="11" fillId="5" borderId="0" xfId="0" applyFont="1" applyFill="1" applyBorder="1" applyAlignment="1">
      <alignment wrapText="1"/>
    </xf>
    <xf numFmtId="41" fontId="11" fillId="5" borderId="0" xfId="1" applyNumberFormat="1" applyFont="1" applyFill="1" applyBorder="1"/>
    <xf numFmtId="0" fontId="0" fillId="0" borderId="0" xfId="0" applyAlignment="1">
      <alignment wrapText="1"/>
    </xf>
    <xf numFmtId="0" fontId="0" fillId="0" borderId="0" xfId="0"/>
    <xf numFmtId="0" fontId="0" fillId="0" borderId="0" xfId="0" applyFill="1" applyBorder="1"/>
    <xf numFmtId="0" fontId="11" fillId="0" borderId="0" xfId="0" applyFont="1" applyAlignment="1">
      <alignment wrapText="1"/>
    </xf>
    <xf numFmtId="0" fontId="0" fillId="0" borderId="0" xfId="0" applyFill="1" applyBorder="1" applyAlignment="1">
      <alignment wrapText="1"/>
    </xf>
    <xf numFmtId="0" fontId="0" fillId="12" borderId="0" xfId="0" applyFill="1" applyBorder="1" applyProtection="1">
      <protection locked="0"/>
    </xf>
    <xf numFmtId="165" fontId="0" fillId="12" borderId="0" xfId="1" applyNumberFormat="1" applyFont="1" applyFill="1" applyBorder="1" applyProtection="1">
      <protection locked="0"/>
    </xf>
    <xf numFmtId="0" fontId="0" fillId="0" borderId="0" xfId="0"/>
    <xf numFmtId="0" fontId="0" fillId="0" borderId="0" xfId="0" applyFill="1" applyBorder="1"/>
    <xf numFmtId="165" fontId="0" fillId="2" borderId="0" xfId="0" applyNumberFormat="1" applyFill="1"/>
    <xf numFmtId="0" fontId="11" fillId="0" borderId="0" xfId="0" applyFont="1" applyAlignment="1">
      <alignment wrapText="1"/>
    </xf>
    <xf numFmtId="0" fontId="0" fillId="0" borderId="0" xfId="0" applyFill="1" applyBorder="1" applyAlignment="1">
      <alignment wrapText="1"/>
    </xf>
    <xf numFmtId="0" fontId="68" fillId="0" borderId="0" xfId="10" applyFont="1" applyFill="1"/>
    <xf numFmtId="0" fontId="8" fillId="0" borderId="0" xfId="10" applyFill="1"/>
    <xf numFmtId="0" fontId="68" fillId="0" borderId="1" xfId="10" applyFont="1" applyFill="1" applyBorder="1" applyAlignment="1">
      <alignment horizontal="centerContinuous"/>
    </xf>
    <xf numFmtId="0" fontId="70" fillId="0" borderId="0" xfId="10" applyFont="1" applyFill="1" applyBorder="1" applyAlignment="1">
      <alignment horizontal="center" wrapText="1"/>
    </xf>
    <xf numFmtId="0" fontId="71" fillId="0" borderId="0" xfId="10" applyFont="1" applyFill="1" applyBorder="1" applyAlignment="1">
      <alignment horizontal="left" wrapText="1"/>
    </xf>
    <xf numFmtId="0" fontId="78" fillId="0" borderId="0" xfId="10" applyFont="1" applyFill="1" applyBorder="1" applyAlignment="1">
      <alignment horizontal="center"/>
    </xf>
    <xf numFmtId="0" fontId="78" fillId="0" borderId="0" xfId="10" applyFont="1" applyFill="1" applyBorder="1" applyAlignment="1">
      <alignment horizontal="left"/>
    </xf>
    <xf numFmtId="171" fontId="78" fillId="0" borderId="0" xfId="11" applyNumberFormat="1" applyFont="1" applyFill="1"/>
    <xf numFmtId="165" fontId="78" fillId="0" borderId="0" xfId="12" applyNumberFormat="1" applyFont="1" applyFill="1"/>
    <xf numFmtId="170" fontId="78" fillId="0" borderId="0" xfId="10" applyNumberFormat="1" applyFont="1" applyFill="1"/>
    <xf numFmtId="165" fontId="78" fillId="0" borderId="0" xfId="10" applyNumberFormat="1" applyFont="1" applyFill="1"/>
    <xf numFmtId="0" fontId="78" fillId="0" borderId="0" xfId="10" applyFont="1" applyFill="1" applyAlignment="1">
      <alignment horizontal="center"/>
    </xf>
    <xf numFmtId="171" fontId="0" fillId="0" borderId="0" xfId="11" applyNumberFormat="1" applyFont="1" applyFill="1"/>
    <xf numFmtId="165" fontId="0" fillId="0" borderId="0" xfId="12" applyNumberFormat="1" applyFont="1" applyFill="1"/>
    <xf numFmtId="170" fontId="8" fillId="0" borderId="0" xfId="10" applyNumberFormat="1" applyFill="1"/>
    <xf numFmtId="165" fontId="8" fillId="0" borderId="0" xfId="10" applyNumberFormat="1" applyFill="1"/>
    <xf numFmtId="0" fontId="78" fillId="0" borderId="0" xfId="10" applyFont="1" applyFill="1"/>
    <xf numFmtId="171" fontId="8" fillId="0" borderId="0" xfId="11" applyNumberFormat="1" applyFont="1" applyFill="1"/>
    <xf numFmtId="165" fontId="8" fillId="0" borderId="0" xfId="12" applyNumberFormat="1" applyFont="1" applyFill="1"/>
    <xf numFmtId="170" fontId="8" fillId="0" borderId="0" xfId="12" applyNumberFormat="1" applyFont="1" applyFill="1" applyAlignment="1">
      <alignment horizontal="left"/>
    </xf>
    <xf numFmtId="0" fontId="78" fillId="0" borderId="0" xfId="13" applyFont="1" applyFill="1" applyBorder="1" applyAlignment="1">
      <alignment horizontal="center"/>
    </xf>
    <xf numFmtId="0" fontId="78" fillId="0" borderId="0" xfId="13" applyFont="1" applyFill="1" applyBorder="1" applyAlignment="1">
      <alignment horizontal="left"/>
    </xf>
    <xf numFmtId="0" fontId="79" fillId="0" borderId="0" xfId="10" applyFont="1" applyFill="1" applyBorder="1" applyAlignment="1">
      <alignment horizontal="left"/>
    </xf>
    <xf numFmtId="171" fontId="68" fillId="0" borderId="0" xfId="11" applyNumberFormat="1" applyFont="1" applyFill="1"/>
    <xf numFmtId="165" fontId="68" fillId="0" borderId="0" xfId="12" applyNumberFormat="1" applyFont="1" applyFill="1"/>
    <xf numFmtId="0" fontId="77" fillId="0" borderId="0" xfId="10" applyFont="1" applyFill="1" applyAlignment="1">
      <alignment horizontal="center"/>
    </xf>
    <xf numFmtId="0" fontId="68" fillId="0" borderId="0" xfId="10" applyFont="1" applyFill="1" applyAlignment="1">
      <alignment horizontal="center"/>
    </xf>
    <xf numFmtId="0" fontId="77" fillId="0" borderId="0" xfId="10" applyFont="1" applyFill="1" applyAlignment="1">
      <alignment horizontal="right"/>
    </xf>
    <xf numFmtId="0" fontId="8" fillId="0" borderId="0" xfId="10" applyFill="1" applyAlignment="1">
      <alignment horizontal="center"/>
    </xf>
    <xf numFmtId="43" fontId="0" fillId="0" borderId="0" xfId="0" applyNumberFormat="1" applyFill="1" applyBorder="1"/>
    <xf numFmtId="43" fontId="68" fillId="0" borderId="0" xfId="0" applyNumberFormat="1" applyFont="1" applyFill="1" applyBorder="1"/>
    <xf numFmtId="0" fontId="68" fillId="0" borderId="0" xfId="0" applyFont="1" applyFill="1" applyBorder="1"/>
    <xf numFmtId="165" fontId="0" fillId="0" borderId="0" xfId="0" applyNumberFormat="1" applyFill="1" applyBorder="1" applyAlignment="1">
      <alignment horizontal="center"/>
    </xf>
    <xf numFmtId="0" fontId="0" fillId="0" borderId="0" xfId="0" applyFill="1" applyBorder="1" applyAlignment="1">
      <alignment horizontal="right" wrapText="1"/>
    </xf>
    <xf numFmtId="0" fontId="0" fillId="0" borderId="0" xfId="0" applyFill="1" applyBorder="1" applyAlignment="1">
      <alignment horizontal="left" wrapText="1"/>
    </xf>
    <xf numFmtId="0" fontId="0" fillId="0" borderId="0" xfId="0" applyFill="1" applyBorder="1" applyAlignment="1">
      <alignment horizontal="right"/>
    </xf>
    <xf numFmtId="0" fontId="68" fillId="0" borderId="0" xfId="0" applyFont="1" applyFill="1" applyBorder="1" applyAlignment="1">
      <alignment horizontal="center" wrapText="1"/>
    </xf>
    <xf numFmtId="165" fontId="11" fillId="0" borderId="17" xfId="1" applyNumberFormat="1" applyFont="1" applyBorder="1"/>
    <xf numFmtId="165" fontId="11" fillId="0" borderId="0" xfId="1" applyNumberFormat="1" applyFont="1" applyFill="1" applyBorder="1"/>
    <xf numFmtId="165" fontId="0" fillId="0" borderId="0" xfId="0" applyNumberFormat="1" applyFill="1" applyBorder="1" applyAlignment="1">
      <alignment horizontal="right" wrapText="1"/>
    </xf>
    <xf numFmtId="0" fontId="8" fillId="0" borderId="0" xfId="13" applyFill="1"/>
    <xf numFmtId="0" fontId="68" fillId="0" borderId="1" xfId="13" applyFont="1" applyFill="1" applyBorder="1" applyAlignment="1">
      <alignment horizontal="centerContinuous"/>
    </xf>
    <xf numFmtId="0" fontId="70" fillId="0" borderId="0" xfId="13" applyFont="1" applyFill="1" applyBorder="1" applyAlignment="1">
      <alignment horizontal="center" wrapText="1"/>
    </xf>
    <xf numFmtId="172" fontId="0" fillId="0" borderId="0" xfId="12" applyNumberFormat="1" applyFont="1" applyFill="1"/>
    <xf numFmtId="170" fontId="8" fillId="0" borderId="0" xfId="13" applyNumberFormat="1" applyFill="1"/>
    <xf numFmtId="165" fontId="8" fillId="0" borderId="0" xfId="13" applyNumberFormat="1" applyFill="1"/>
    <xf numFmtId="0" fontId="68" fillId="0" borderId="0" xfId="13" applyFont="1" applyFill="1"/>
    <xf numFmtId="165" fontId="68" fillId="0" borderId="0" xfId="13" applyNumberFormat="1" applyFont="1" applyFill="1"/>
    <xf numFmtId="43" fontId="68" fillId="0" borderId="0" xfId="13" applyNumberFormat="1" applyFont="1" applyFill="1"/>
    <xf numFmtId="0" fontId="8" fillId="0" borderId="0" xfId="13" applyFill="1" applyBorder="1"/>
    <xf numFmtId="165" fontId="0" fillId="0" borderId="0" xfId="12" applyNumberFormat="1" applyFont="1" applyFill="1" applyBorder="1"/>
    <xf numFmtId="0" fontId="0" fillId="0" borderId="0" xfId="0"/>
    <xf numFmtId="0" fontId="0" fillId="0" borderId="0" xfId="0" applyFill="1" applyBorder="1" applyAlignment="1">
      <alignment wrapText="1"/>
    </xf>
    <xf numFmtId="165" fontId="0" fillId="0" borderId="0" xfId="9" applyNumberFormat="1" applyFont="1" applyFill="1" applyBorder="1"/>
    <xf numFmtId="43" fontId="0" fillId="0" borderId="0" xfId="9" applyFont="1" applyFill="1" applyBorder="1"/>
    <xf numFmtId="0" fontId="11" fillId="0" borderId="0" xfId="0" applyFont="1" applyFill="1" applyBorder="1" applyAlignment="1">
      <alignment wrapText="1"/>
    </xf>
    <xf numFmtId="165" fontId="0" fillId="3" borderId="20" xfId="1" applyNumberFormat="1" applyFont="1" applyFill="1" applyBorder="1" applyAlignment="1">
      <alignment horizontal="center"/>
    </xf>
    <xf numFmtId="165" fontId="11" fillId="0" borderId="20" xfId="1" applyNumberFormat="1" applyFont="1" applyFill="1" applyBorder="1"/>
    <xf numFmtId="0" fontId="80" fillId="0" borderId="0" xfId="14" applyFont="1"/>
    <xf numFmtId="165" fontId="11" fillId="0" borderId="0" xfId="15" applyNumberFormat="1" applyFont="1"/>
    <xf numFmtId="165" fontId="11" fillId="0" borderId="0" xfId="1" applyNumberFormat="1" applyFont="1"/>
    <xf numFmtId="165" fontId="11" fillId="0" borderId="12" xfId="15" applyNumberFormat="1" applyFont="1" applyBorder="1"/>
    <xf numFmtId="165" fontId="11" fillId="0" borderId="0" xfId="15" applyNumberFormat="1" applyFont="1" applyFill="1"/>
    <xf numFmtId="165" fontId="11" fillId="2" borderId="0" xfId="1" applyNumberFormat="1" applyFont="1" applyFill="1" applyAlignment="1">
      <alignment horizontal="right"/>
    </xf>
    <xf numFmtId="43" fontId="11" fillId="0" borderId="0" xfId="1" applyFont="1"/>
    <xf numFmtId="165" fontId="11" fillId="2" borderId="5" xfId="1" applyNumberFormat="1" applyFont="1" applyFill="1" applyBorder="1" applyAlignment="1">
      <alignment horizontal="right"/>
    </xf>
    <xf numFmtId="0" fontId="11" fillId="3" borderId="30" xfId="0" applyFont="1" applyFill="1" applyBorder="1" applyAlignment="1">
      <alignment horizontal="center"/>
    </xf>
    <xf numFmtId="0" fontId="11" fillId="3" borderId="25" xfId="0" applyFont="1" applyFill="1" applyBorder="1" applyAlignment="1">
      <alignment horizontal="center"/>
    </xf>
    <xf numFmtId="0" fontId="11" fillId="0" borderId="0" xfId="0" applyFont="1" applyFill="1" applyBorder="1"/>
    <xf numFmtId="0" fontId="11" fillId="0" borderId="2" xfId="0" applyFont="1" applyBorder="1" applyAlignment="1">
      <alignment horizontal="center"/>
    </xf>
    <xf numFmtId="0" fontId="11" fillId="0" borderId="20" xfId="0" applyFont="1" applyBorder="1" applyAlignment="1">
      <alignment horizontal="center"/>
    </xf>
    <xf numFmtId="0" fontId="11" fillId="3" borderId="16" xfId="0" applyFont="1" applyFill="1" applyBorder="1" applyAlignment="1">
      <alignment horizontal="center"/>
    </xf>
    <xf numFmtId="0" fontId="11" fillId="0" borderId="13" xfId="0" applyFont="1" applyBorder="1" applyAlignment="1">
      <alignment horizontal="center"/>
    </xf>
    <xf numFmtId="0" fontId="11" fillId="0" borderId="14" xfId="0" applyFont="1" applyBorder="1" applyAlignment="1">
      <alignment horizontal="center"/>
    </xf>
    <xf numFmtId="165" fontId="11" fillId="3" borderId="25" xfId="1" applyNumberFormat="1" applyFont="1" applyFill="1" applyBorder="1" applyAlignment="1">
      <alignment horizontal="center"/>
    </xf>
    <xf numFmtId="165" fontId="11" fillId="0" borderId="2" xfId="1" applyNumberFormat="1" applyFont="1" applyBorder="1"/>
    <xf numFmtId="165" fontId="11" fillId="0" borderId="23" xfId="0" applyNumberFormat="1" applyFont="1" applyFill="1" applyBorder="1"/>
    <xf numFmtId="165" fontId="11" fillId="0" borderId="24" xfId="0" applyNumberFormat="1" applyFont="1" applyFill="1" applyBorder="1"/>
    <xf numFmtId="165" fontId="11" fillId="3" borderId="22" xfId="1" applyNumberFormat="1" applyFont="1" applyFill="1" applyBorder="1" applyAlignment="1">
      <alignment horizontal="center"/>
    </xf>
    <xf numFmtId="41" fontId="0" fillId="9" borderId="0" xfId="1" applyNumberFormat="1" applyFont="1" applyFill="1" applyBorder="1"/>
    <xf numFmtId="41" fontId="0" fillId="9" borderId="6" xfId="1" applyNumberFormat="1" applyFont="1" applyFill="1" applyBorder="1"/>
    <xf numFmtId="41" fontId="0" fillId="14" borderId="0" xfId="1" applyNumberFormat="1" applyFont="1" applyFill="1" applyBorder="1"/>
    <xf numFmtId="41" fontId="0" fillId="14" borderId="8" xfId="0" applyNumberFormat="1" applyFill="1" applyBorder="1"/>
    <xf numFmtId="41" fontId="0" fillId="14" borderId="6" xfId="0" applyNumberFormat="1" applyFill="1" applyBorder="1"/>
    <xf numFmtId="41" fontId="0" fillId="14" borderId="6" xfId="1" applyNumberFormat="1" applyFont="1" applyFill="1" applyBorder="1"/>
    <xf numFmtId="0" fontId="0" fillId="14" borderId="0" xfId="0" applyFill="1"/>
    <xf numFmtId="41" fontId="11" fillId="14" borderId="8" xfId="1" applyNumberFormat="1" applyFill="1" applyBorder="1" applyProtection="1">
      <protection locked="0"/>
    </xf>
    <xf numFmtId="41" fontId="11" fillId="14" borderId="6" xfId="1" applyNumberFormat="1" applyFill="1" applyBorder="1" applyProtection="1">
      <protection locked="0"/>
    </xf>
    <xf numFmtId="41" fontId="0" fillId="14" borderId="0" xfId="0" applyNumberFormat="1" applyFill="1" applyBorder="1" applyProtection="1">
      <protection locked="0"/>
    </xf>
    <xf numFmtId="41" fontId="0" fillId="14" borderId="6" xfId="0" applyNumberFormat="1" applyFill="1" applyBorder="1" applyProtection="1">
      <protection locked="0"/>
    </xf>
    <xf numFmtId="41" fontId="67" fillId="14" borderId="0" xfId="1" applyNumberFormat="1" applyFont="1" applyFill="1" applyBorder="1" applyProtection="1">
      <protection locked="0"/>
    </xf>
    <xf numFmtId="41" fontId="0" fillId="14" borderId="2" xfId="0" applyNumberFormat="1" applyFill="1" applyBorder="1"/>
    <xf numFmtId="41" fontId="0" fillId="14" borderId="0" xfId="0" applyNumberFormat="1" applyFill="1" applyBorder="1"/>
    <xf numFmtId="41" fontId="36" fillId="14" borderId="0" xfId="0" applyNumberFormat="1" applyFont="1" applyFill="1" applyBorder="1" applyAlignment="1">
      <alignment horizontal="center"/>
    </xf>
    <xf numFmtId="41" fontId="67" fillId="14" borderId="0" xfId="1" applyNumberFormat="1" applyFont="1" applyFill="1" applyBorder="1"/>
    <xf numFmtId="41" fontId="16" fillId="14" borderId="8" xfId="0" applyNumberFormat="1" applyFont="1" applyFill="1" applyBorder="1" applyAlignment="1">
      <alignment horizontal="center"/>
    </xf>
    <xf numFmtId="41" fontId="67" fillId="14" borderId="6" xfId="1" applyNumberFormat="1" applyFont="1" applyFill="1" applyBorder="1"/>
    <xf numFmtId="0" fontId="0" fillId="14" borderId="0" xfId="0" applyFill="1" applyAlignment="1">
      <alignment wrapText="1"/>
    </xf>
    <xf numFmtId="41" fontId="36" fillId="11" borderId="0" xfId="0" applyNumberFormat="1" applyFont="1" applyFill="1" applyBorder="1" applyAlignment="1">
      <alignment horizontal="center"/>
    </xf>
    <xf numFmtId="0" fontId="0" fillId="0" borderId="0" xfId="0" applyFill="1" applyBorder="1"/>
    <xf numFmtId="0" fontId="0" fillId="0" borderId="0" xfId="0" applyFill="1"/>
    <xf numFmtId="165" fontId="24" fillId="0" borderId="0" xfId="1" applyNumberFormat="1" applyFont="1" applyBorder="1" applyAlignment="1">
      <alignment horizontal="left"/>
    </xf>
    <xf numFmtId="0" fontId="0" fillId="0" borderId="0" xfId="0" applyFill="1"/>
    <xf numFmtId="165" fontId="15" fillId="0" borderId="0" xfId="1" applyNumberFormat="1" applyFont="1" applyFill="1" applyBorder="1" applyAlignment="1" applyProtection="1">
      <protection locked="0"/>
    </xf>
    <xf numFmtId="165" fontId="24" fillId="0" borderId="0" xfId="1" applyNumberFormat="1" applyFont="1" applyFill="1" applyBorder="1" applyAlignment="1">
      <alignment horizontal="left"/>
    </xf>
    <xf numFmtId="165" fontId="15" fillId="0" borderId="0" xfId="0" applyNumberFormat="1" applyFont="1" applyFill="1" applyBorder="1"/>
    <xf numFmtId="0" fontId="11" fillId="0" borderId="0" xfId="0" applyFont="1" applyFill="1"/>
    <xf numFmtId="165" fontId="11" fillId="0" borderId="0" xfId="15" applyNumberFormat="1" applyFont="1" applyBorder="1"/>
    <xf numFmtId="0" fontId="11" fillId="0" borderId="0" xfId="0" applyFont="1" applyBorder="1" applyProtection="1">
      <protection locked="0"/>
    </xf>
    <xf numFmtId="0" fontId="11" fillId="0" borderId="0" xfId="0" applyFont="1" applyFill="1" applyAlignment="1">
      <alignment wrapText="1"/>
    </xf>
    <xf numFmtId="43" fontId="11" fillId="0" borderId="25" xfId="1" applyFont="1" applyFill="1" applyBorder="1"/>
    <xf numFmtId="165" fontId="11" fillId="0" borderId="16" xfId="1" applyNumberFormat="1" applyFont="1" applyFill="1" applyBorder="1" applyAlignment="1">
      <alignment horizontal="center"/>
    </xf>
    <xf numFmtId="0" fontId="0" fillId="0" borderId="0" xfId="0" applyFill="1" applyBorder="1" applyAlignment="1">
      <alignment horizontal="left"/>
    </xf>
    <xf numFmtId="0" fontId="11" fillId="0" borderId="0" xfId="16" applyFont="1"/>
    <xf numFmtId="0" fontId="11" fillId="0" borderId="0" xfId="16"/>
    <xf numFmtId="0" fontId="13" fillId="0" borderId="0" xfId="16" applyFont="1" applyAlignment="1">
      <alignment horizontal="right"/>
    </xf>
    <xf numFmtId="0" fontId="11" fillId="0" borderId="0" xfId="16" applyFont="1" applyAlignment="1">
      <alignment horizontal="center"/>
    </xf>
    <xf numFmtId="0" fontId="13" fillId="0" borderId="0" xfId="16" applyFont="1" applyFill="1" applyBorder="1" applyAlignment="1">
      <alignment horizontal="left"/>
    </xf>
    <xf numFmtId="0" fontId="75" fillId="0" borderId="0" xfId="16" applyFont="1" applyFill="1" applyBorder="1" applyAlignment="1">
      <alignment horizontal="left"/>
    </xf>
    <xf numFmtId="0" fontId="13" fillId="0" borderId="0" xfId="16" applyFont="1" applyFill="1" applyBorder="1"/>
    <xf numFmtId="0" fontId="11" fillId="0" borderId="0" xfId="16" applyFill="1" applyBorder="1"/>
    <xf numFmtId="0" fontId="73" fillId="0" borderId="0" xfId="16" applyFont="1" applyFill="1" applyBorder="1" applyAlignment="1"/>
    <xf numFmtId="0" fontId="80" fillId="0" borderId="0" xfId="17" applyFont="1"/>
    <xf numFmtId="165" fontId="11" fillId="0" borderId="0" xfId="18" applyNumberFormat="1" applyFont="1"/>
    <xf numFmtId="0" fontId="80" fillId="0" borderId="0" xfId="17" applyFont="1" applyFill="1" applyAlignment="1">
      <alignment wrapText="1"/>
    </xf>
    <xf numFmtId="0" fontId="11" fillId="0" borderId="0" xfId="16" applyFill="1" applyBorder="1" applyAlignment="1">
      <alignment wrapText="1"/>
    </xf>
    <xf numFmtId="0" fontId="73" fillId="2" borderId="22" xfId="16" applyFont="1" applyFill="1" applyBorder="1" applyAlignment="1">
      <alignment wrapText="1"/>
    </xf>
    <xf numFmtId="0" fontId="11" fillId="0" borderId="0" xfId="16" applyFill="1" applyBorder="1" applyAlignment="1">
      <alignment horizontal="left" wrapText="1"/>
    </xf>
    <xf numFmtId="165" fontId="11" fillId="0" borderId="0" xfId="16" applyNumberFormat="1"/>
    <xf numFmtId="43" fontId="11" fillId="0" borderId="0" xfId="16" applyNumberFormat="1"/>
    <xf numFmtId="165" fontId="80" fillId="0" borderId="0" xfId="17" applyNumberFormat="1" applyFont="1"/>
    <xf numFmtId="0" fontId="80" fillId="0" borderId="0" xfId="17" applyFont="1" applyAlignment="1">
      <alignment wrapText="1"/>
    </xf>
    <xf numFmtId="165" fontId="11" fillId="0" borderId="0" xfId="18" applyNumberFormat="1" applyFont="1" applyFill="1"/>
    <xf numFmtId="0" fontId="11" fillId="0" borderId="0" xfId="16" applyFont="1" applyFill="1"/>
    <xf numFmtId="0" fontId="13" fillId="0" borderId="0" xfId="16" applyFont="1" applyAlignment="1">
      <alignment horizontal="right" vertical="top"/>
    </xf>
    <xf numFmtId="0" fontId="13" fillId="2" borderId="24" xfId="16" applyFont="1" applyFill="1" applyBorder="1" applyAlignment="1">
      <alignment horizontal="left"/>
    </xf>
    <xf numFmtId="0" fontId="11" fillId="0" borderId="0" xfId="16" applyFont="1" applyAlignment="1">
      <alignment wrapText="1"/>
    </xf>
    <xf numFmtId="0" fontId="19" fillId="4" borderId="0" xfId="16" applyFont="1" applyFill="1" applyAlignment="1">
      <alignment horizontal="left" vertical="center"/>
    </xf>
    <xf numFmtId="0" fontId="19" fillId="0" borderId="0" xfId="16" applyFont="1" applyFill="1" applyAlignment="1">
      <alignment horizontal="left" vertical="center"/>
    </xf>
    <xf numFmtId="0" fontId="11" fillId="0" borderId="17" xfId="16" applyBorder="1"/>
    <xf numFmtId="0" fontId="11" fillId="0" borderId="30" xfId="16" applyBorder="1"/>
    <xf numFmtId="0" fontId="11" fillId="3" borderId="30" xfId="16" applyFont="1" applyFill="1" applyBorder="1" applyAlignment="1">
      <alignment horizontal="center"/>
    </xf>
    <xf numFmtId="0" fontId="11" fillId="0" borderId="0" xfId="16" applyFont="1" applyFill="1" applyBorder="1" applyAlignment="1">
      <alignment wrapText="1"/>
    </xf>
    <xf numFmtId="0" fontId="11" fillId="3" borderId="25" xfId="16" applyFont="1" applyFill="1" applyBorder="1" applyAlignment="1">
      <alignment horizontal="center"/>
    </xf>
    <xf numFmtId="0" fontId="11" fillId="0" borderId="0" xfId="16" applyFont="1" applyFill="1" applyBorder="1"/>
    <xf numFmtId="0" fontId="11" fillId="0" borderId="2" xfId="16" applyFont="1" applyBorder="1" applyAlignment="1">
      <alignment horizontal="center"/>
    </xf>
    <xf numFmtId="0" fontId="11" fillId="0" borderId="20" xfId="16" applyFont="1" applyBorder="1" applyAlignment="1">
      <alignment horizontal="center"/>
    </xf>
    <xf numFmtId="0" fontId="11" fillId="3" borderId="16" xfId="16" applyFont="1" applyFill="1" applyBorder="1" applyAlignment="1">
      <alignment horizontal="center"/>
    </xf>
    <xf numFmtId="0" fontId="11" fillId="0" borderId="13" xfId="16" applyFont="1" applyBorder="1" applyAlignment="1">
      <alignment horizontal="center"/>
    </xf>
    <xf numFmtId="0" fontId="11" fillId="0" borderId="14" xfId="16" applyFont="1" applyBorder="1" applyAlignment="1">
      <alignment horizontal="center"/>
    </xf>
    <xf numFmtId="165" fontId="11" fillId="0" borderId="23" xfId="16" applyNumberFormat="1" applyFont="1" applyFill="1" applyBorder="1"/>
    <xf numFmtId="165" fontId="11" fillId="0" borderId="24" xfId="16" applyNumberFormat="1" applyFont="1" applyFill="1" applyBorder="1"/>
    <xf numFmtId="0" fontId="41" fillId="0" borderId="0" xfId="16" applyFont="1" applyFill="1"/>
    <xf numFmtId="0" fontId="41" fillId="0" borderId="0" xfId="16" applyFont="1"/>
    <xf numFmtId="0" fontId="0" fillId="0" borderId="0" xfId="0"/>
    <xf numFmtId="173" fontId="0" fillId="0" borderId="0" xfId="0" applyNumberFormat="1"/>
    <xf numFmtId="0" fontId="11" fillId="0" borderId="0" xfId="16" applyFill="1"/>
    <xf numFmtId="0" fontId="11" fillId="0" borderId="0" xfId="16" applyFont="1" applyFill="1" applyAlignment="1">
      <alignment wrapText="1"/>
    </xf>
    <xf numFmtId="0" fontId="81" fillId="0" borderId="0" xfId="17" applyFont="1"/>
    <xf numFmtId="43" fontId="80" fillId="0" borderId="0" xfId="17" applyNumberFormat="1" applyFont="1"/>
    <xf numFmtId="0" fontId="81" fillId="0" borderId="0" xfId="17" applyFont="1" applyFill="1"/>
    <xf numFmtId="165" fontId="14" fillId="0" borderId="0" xfId="1" applyNumberFormat="1" applyFont="1" applyBorder="1" applyAlignment="1">
      <alignment horizontal="left" vertical="top"/>
    </xf>
    <xf numFmtId="0" fontId="80" fillId="0" borderId="0" xfId="17" applyFont="1" applyFill="1"/>
    <xf numFmtId="0" fontId="13" fillId="2" borderId="7" xfId="16" applyFont="1" applyFill="1" applyBorder="1" applyAlignment="1">
      <alignment horizontal="left"/>
    </xf>
    <xf numFmtId="0" fontId="78" fillId="0" borderId="0" xfId="19" applyFont="1" applyFill="1"/>
    <xf numFmtId="0" fontId="78" fillId="15" borderId="0" xfId="19" applyFont="1" applyFill="1"/>
    <xf numFmtId="0" fontId="79" fillId="0" borderId="1" xfId="19" applyFont="1" applyFill="1" applyBorder="1" applyAlignment="1">
      <alignment horizontal="centerContinuous"/>
    </xf>
    <xf numFmtId="0" fontId="79" fillId="15" borderId="1" xfId="19" applyFont="1" applyFill="1" applyBorder="1" applyAlignment="1">
      <alignment horizontal="centerContinuous"/>
    </xf>
    <xf numFmtId="0" fontId="79" fillId="0" borderId="0" xfId="19" applyFont="1" applyFill="1" applyBorder="1" applyAlignment="1">
      <alignment horizontal="center" wrapText="1"/>
    </xf>
    <xf numFmtId="0" fontId="79" fillId="15" borderId="0" xfId="19" applyFont="1" applyFill="1" applyBorder="1" applyAlignment="1">
      <alignment horizontal="center" wrapText="1"/>
    </xf>
    <xf numFmtId="0" fontId="70" fillId="0" borderId="0" xfId="19" applyFont="1" applyFill="1" applyBorder="1" applyAlignment="1">
      <alignment horizontal="center" wrapText="1"/>
    </xf>
    <xf numFmtId="0" fontId="71" fillId="0" borderId="0" xfId="19" applyFont="1" applyFill="1" applyBorder="1" applyAlignment="1">
      <alignment horizontal="left" wrapText="1"/>
    </xf>
    <xf numFmtId="0" fontId="78" fillId="0" borderId="0" xfId="19" applyFont="1" applyFill="1" applyBorder="1" applyAlignment="1">
      <alignment horizontal="center"/>
    </xf>
    <xf numFmtId="0" fontId="78" fillId="0" borderId="0" xfId="19" applyFont="1" applyFill="1" applyBorder="1" applyAlignment="1">
      <alignment horizontal="left"/>
    </xf>
    <xf numFmtId="171" fontId="78" fillId="0" borderId="0" xfId="20" applyNumberFormat="1" applyFont="1" applyFill="1"/>
    <xf numFmtId="165" fontId="78" fillId="0" borderId="0" xfId="21" applyNumberFormat="1" applyFont="1" applyFill="1"/>
    <xf numFmtId="170" fontId="78" fillId="0" borderId="0" xfId="19" applyNumberFormat="1" applyFont="1" applyFill="1"/>
    <xf numFmtId="170" fontId="78" fillId="15" borderId="0" xfId="19" applyNumberFormat="1" applyFont="1" applyFill="1"/>
    <xf numFmtId="165" fontId="78" fillId="0" borderId="0" xfId="19" applyNumberFormat="1" applyFont="1" applyFill="1"/>
    <xf numFmtId="0" fontId="78" fillId="0" borderId="0" xfId="19" applyFont="1" applyFill="1" applyAlignment="1">
      <alignment horizontal="center"/>
    </xf>
    <xf numFmtId="174" fontId="78" fillId="0" borderId="0" xfId="20" applyNumberFormat="1" applyFont="1" applyFill="1"/>
    <xf numFmtId="0" fontId="79" fillId="0" borderId="0" xfId="19" applyFont="1" applyFill="1" applyBorder="1" applyAlignment="1">
      <alignment horizontal="center"/>
    </xf>
    <xf numFmtId="0" fontId="79" fillId="0" borderId="0" xfId="19" applyFont="1" applyFill="1" applyBorder="1" applyAlignment="1">
      <alignment horizontal="left"/>
    </xf>
    <xf numFmtId="171" fontId="79" fillId="0" borderId="0" xfId="20" applyNumberFormat="1" applyFont="1" applyFill="1"/>
    <xf numFmtId="165" fontId="79" fillId="0" borderId="0" xfId="21" applyNumberFormat="1" applyFont="1" applyFill="1"/>
    <xf numFmtId="170" fontId="79" fillId="0" borderId="0" xfId="19" applyNumberFormat="1" applyFont="1" applyFill="1"/>
    <xf numFmtId="170" fontId="79" fillId="15" borderId="0" xfId="19" applyNumberFormat="1" applyFont="1" applyFill="1"/>
    <xf numFmtId="0" fontId="79" fillId="0" borderId="0" xfId="19" applyFont="1" applyFill="1"/>
    <xf numFmtId="0" fontId="5" fillId="0" borderId="0" xfId="19" applyFill="1"/>
    <xf numFmtId="49" fontId="78" fillId="0" borderId="0" xfId="19" applyNumberFormat="1" applyFont="1" applyFill="1" applyBorder="1" applyAlignment="1">
      <alignment horizontal="left"/>
    </xf>
    <xf numFmtId="41" fontId="78" fillId="0" borderId="0" xfId="19" applyNumberFormat="1" applyFont="1" applyFill="1"/>
    <xf numFmtId="41" fontId="79" fillId="0" borderId="0" xfId="19" applyNumberFormat="1" applyFont="1" applyFill="1" applyBorder="1" applyAlignment="1">
      <alignment horizontal="center" wrapText="1"/>
    </xf>
    <xf numFmtId="41" fontId="79" fillId="0" borderId="0" xfId="20" applyNumberFormat="1" applyFont="1" applyFill="1"/>
    <xf numFmtId="0" fontId="82" fillId="0" borderId="0" xfId="0" applyFont="1" applyAlignment="1">
      <alignment horizontal="center"/>
    </xf>
    <xf numFmtId="0" fontId="82" fillId="0" borderId="0" xfId="0" applyFont="1" applyAlignment="1">
      <alignment horizontal="left"/>
    </xf>
    <xf numFmtId="171" fontId="82" fillId="0" borderId="0" xfId="0" applyNumberFormat="1" applyFont="1"/>
    <xf numFmtId="41" fontId="83" fillId="0" borderId="0" xfId="0" applyNumberFormat="1" applyFont="1" applyAlignment="1">
      <alignment horizontal="center" wrapText="1"/>
    </xf>
    <xf numFmtId="165" fontId="82" fillId="0" borderId="0" xfId="0" applyNumberFormat="1" applyFont="1"/>
    <xf numFmtId="170" fontId="82" fillId="0" borderId="0" xfId="0" applyNumberFormat="1" applyFont="1"/>
    <xf numFmtId="170" fontId="82" fillId="16" borderId="0" xfId="0" applyNumberFormat="1" applyFont="1" applyFill="1"/>
    <xf numFmtId="43" fontId="11" fillId="0" borderId="0" xfId="16" applyNumberFormat="1" applyFont="1"/>
    <xf numFmtId="43" fontId="11" fillId="0" borderId="0" xfId="16" applyNumberFormat="1" applyFont="1" applyFill="1"/>
    <xf numFmtId="165" fontId="11" fillId="0" borderId="0" xfId="16" applyNumberFormat="1" applyFill="1"/>
    <xf numFmtId="43" fontId="11" fillId="0" borderId="0" xfId="16" applyNumberFormat="1" applyFill="1"/>
    <xf numFmtId="165" fontId="80" fillId="0" borderId="0" xfId="17" applyNumberFormat="1" applyFont="1" applyFill="1"/>
    <xf numFmtId="165" fontId="11" fillId="0" borderId="1" xfId="16" applyNumberFormat="1" applyFill="1" applyBorder="1"/>
    <xf numFmtId="165" fontId="11" fillId="0" borderId="12" xfId="18" applyNumberFormat="1" applyFont="1" applyFill="1" applyBorder="1"/>
    <xf numFmtId="165" fontId="11" fillId="0" borderId="0" xfId="18" applyNumberFormat="1" applyFont="1" applyFill="1" applyBorder="1"/>
    <xf numFmtId="0" fontId="11" fillId="0" borderId="0" xfId="16" quotePrefix="1" applyFont="1" applyFill="1"/>
    <xf numFmtId="165" fontId="14" fillId="0" borderId="0" xfId="1" applyNumberFormat="1" applyFont="1" applyFill="1" applyBorder="1" applyAlignment="1">
      <alignment vertical="top"/>
    </xf>
    <xf numFmtId="0" fontId="11" fillId="0" borderId="0" xfId="16" applyFill="1" applyAlignment="1"/>
    <xf numFmtId="0" fontId="0" fillId="0" borderId="0" xfId="0"/>
    <xf numFmtId="165" fontId="78" fillId="0" borderId="0" xfId="1" applyNumberFormat="1" applyFont="1" applyFill="1"/>
    <xf numFmtId="165" fontId="79" fillId="0" borderId="0" xfId="1" applyNumberFormat="1" applyFont="1" applyFill="1" applyBorder="1" applyAlignment="1">
      <alignment horizontal="center" wrapText="1"/>
    </xf>
    <xf numFmtId="165" fontId="83" fillId="0" borderId="0" xfId="1" applyNumberFormat="1" applyFont="1" applyAlignment="1">
      <alignment horizontal="center" wrapText="1"/>
    </xf>
    <xf numFmtId="165" fontId="79" fillId="0" borderId="0" xfId="1" applyNumberFormat="1" applyFont="1" applyFill="1"/>
    <xf numFmtId="41" fontId="78" fillId="0" borderId="0" xfId="19" applyNumberFormat="1" applyFont="1" applyFill="1" applyBorder="1" applyAlignment="1">
      <alignment horizontal="center" wrapText="1"/>
    </xf>
    <xf numFmtId="43" fontId="70" fillId="0" borderId="0" xfId="1" applyFont="1" applyFill="1" applyBorder="1" applyAlignment="1">
      <alignment horizontal="center" wrapText="1"/>
    </xf>
    <xf numFmtId="0" fontId="78" fillId="0" borderId="0" xfId="0" applyFont="1" applyFill="1"/>
    <xf numFmtId="0" fontId="78" fillId="0" borderId="0" xfId="0" applyFont="1" applyFill="1" applyBorder="1"/>
    <xf numFmtId="0" fontId="79" fillId="0" borderId="1" xfId="0" applyFont="1" applyFill="1" applyBorder="1" applyAlignment="1">
      <alignment horizontal="centerContinuous"/>
    </xf>
    <xf numFmtId="0" fontId="79" fillId="0" borderId="0" xfId="0" applyFont="1" applyFill="1" applyBorder="1" applyAlignment="1">
      <alignment horizontal="center" wrapText="1"/>
    </xf>
    <xf numFmtId="171" fontId="78" fillId="0" borderId="0" xfId="3" applyNumberFormat="1" applyFont="1" applyFill="1"/>
    <xf numFmtId="170" fontId="78" fillId="0" borderId="0" xfId="0" applyNumberFormat="1" applyFont="1" applyFill="1"/>
    <xf numFmtId="165" fontId="78" fillId="0" borderId="0" xfId="0" applyNumberFormat="1" applyFont="1" applyFill="1"/>
    <xf numFmtId="0" fontId="78" fillId="0" borderId="0" xfId="0" applyFont="1" applyFill="1" applyBorder="1" applyAlignment="1">
      <alignment horizontal="left"/>
    </xf>
    <xf numFmtId="0" fontId="79" fillId="0" borderId="0" xfId="0" applyFont="1" applyFill="1"/>
    <xf numFmtId="165" fontId="70" fillId="0" borderId="0" xfId="0" applyNumberFormat="1" applyFont="1" applyFill="1" applyBorder="1" applyAlignment="1">
      <alignment horizontal="center" wrapText="1"/>
    </xf>
    <xf numFmtId="165" fontId="11" fillId="0" borderId="0" xfId="0" applyNumberFormat="1" applyFont="1"/>
    <xf numFmtId="43" fontId="11" fillId="0" borderId="0" xfId="0" applyNumberFormat="1" applyFont="1"/>
    <xf numFmtId="165" fontId="80" fillId="0" borderId="0" xfId="14" applyNumberFormat="1" applyFont="1"/>
    <xf numFmtId="0" fontId="0" fillId="0" borderId="0" xfId="0" applyFill="1"/>
    <xf numFmtId="41" fontId="0" fillId="12" borderId="0" xfId="1" applyNumberFormat="1" applyFont="1" applyFill="1" applyBorder="1" applyProtection="1">
      <protection locked="0"/>
    </xf>
    <xf numFmtId="41" fontId="0" fillId="12" borderId="6" xfId="1" applyNumberFormat="1" applyFont="1" applyFill="1" applyBorder="1" applyProtection="1">
      <protection locked="0"/>
    </xf>
    <xf numFmtId="0" fontId="0" fillId="0" borderId="0" xfId="0"/>
    <xf numFmtId="0" fontId="0" fillId="0" borderId="0" xfId="0" applyFill="1" applyBorder="1"/>
    <xf numFmtId="0" fontId="0" fillId="0" borderId="0" xfId="0" applyFill="1"/>
    <xf numFmtId="0" fontId="0" fillId="0" borderId="0" xfId="0"/>
    <xf numFmtId="0" fontId="0" fillId="0" borderId="0" xfId="0" applyAlignment="1">
      <alignment wrapText="1"/>
    </xf>
    <xf numFmtId="0" fontId="0" fillId="0" borderId="0" xfId="0"/>
    <xf numFmtId="0" fontId="0" fillId="0" borderId="0" xfId="0" applyFill="1" applyBorder="1"/>
    <xf numFmtId="0" fontId="13" fillId="0" borderId="0" xfId="0" applyFont="1" applyFill="1" applyBorder="1"/>
    <xf numFmtId="0" fontId="0" fillId="0" borderId="0" xfId="0" applyFill="1"/>
    <xf numFmtId="165" fontId="24" fillId="0" borderId="0" xfId="1" applyNumberFormat="1" applyFont="1" applyBorder="1" applyAlignment="1">
      <alignment horizontal="left"/>
    </xf>
    <xf numFmtId="41" fontId="0" fillId="11" borderId="0" xfId="1" applyNumberFormat="1" applyFont="1" applyFill="1"/>
    <xf numFmtId="165" fontId="11" fillId="6" borderId="0" xfId="1" applyNumberFormat="1" applyFont="1" applyFill="1" applyBorder="1" applyProtection="1">
      <protection locked="0"/>
    </xf>
    <xf numFmtId="41" fontId="0" fillId="17" borderId="0" xfId="1" applyNumberFormat="1" applyFont="1" applyFill="1" applyBorder="1"/>
    <xf numFmtId="165" fontId="11" fillId="2" borderId="15" xfId="0" applyNumberFormat="1" applyFont="1" applyFill="1" applyBorder="1"/>
    <xf numFmtId="41" fontId="0" fillId="12" borderId="8" xfId="1" applyNumberFormat="1" applyFont="1" applyFill="1" applyBorder="1" applyProtection="1">
      <protection locked="0"/>
    </xf>
    <xf numFmtId="0" fontId="0" fillId="0" borderId="0" xfId="0"/>
    <xf numFmtId="0" fontId="13" fillId="0" borderId="0" xfId="0" applyFont="1"/>
    <xf numFmtId="0" fontId="0" fillId="0" borderId="0" xfId="0"/>
    <xf numFmtId="0" fontId="0" fillId="0" borderId="1" xfId="0" applyBorder="1"/>
    <xf numFmtId="0" fontId="0" fillId="0" borderId="0" xfId="0" applyFill="1"/>
    <xf numFmtId="165" fontId="0" fillId="2" borderId="0" xfId="1" applyNumberFormat="1" applyFont="1" applyFill="1"/>
    <xf numFmtId="0" fontId="0" fillId="0" borderId="0" xfId="0" applyFill="1" applyBorder="1"/>
    <xf numFmtId="0" fontId="0" fillId="0" borderId="0" xfId="0" applyAlignment="1">
      <alignment vertical="top" wrapText="1"/>
    </xf>
    <xf numFmtId="0" fontId="19" fillId="4" borderId="0" xfId="0" applyFont="1" applyFill="1" applyAlignment="1">
      <alignment horizontal="left"/>
    </xf>
    <xf numFmtId="0" fontId="11" fillId="0" borderId="0" xfId="0" applyFont="1" applyAlignment="1">
      <alignment wrapText="1"/>
    </xf>
    <xf numFmtId="10" fontId="0" fillId="0" borderId="0" xfId="3" applyNumberFormat="1" applyFont="1" applyBorder="1"/>
    <xf numFmtId="0" fontId="11" fillId="0" borderId="0" xfId="0" applyFont="1" applyProtection="1">
      <protection locked="0"/>
    </xf>
    <xf numFmtId="0" fontId="19" fillId="4" borderId="0" xfId="0" applyFont="1" applyFill="1" applyAlignment="1"/>
    <xf numFmtId="0" fontId="0" fillId="18" borderId="0" xfId="0" applyFill="1" applyBorder="1" applyAlignment="1">
      <alignment horizontal="center"/>
    </xf>
    <xf numFmtId="0" fontId="0" fillId="18" borderId="0" xfId="0" applyFill="1" applyBorder="1"/>
    <xf numFmtId="165" fontId="0" fillId="18" borderId="0" xfId="1" applyNumberFormat="1" applyFont="1" applyFill="1" applyBorder="1"/>
    <xf numFmtId="165" fontId="0" fillId="18" borderId="0" xfId="0" applyNumberFormat="1" applyFill="1" applyBorder="1"/>
    <xf numFmtId="0" fontId="0" fillId="0" borderId="20" xfId="0" applyBorder="1"/>
    <xf numFmtId="43" fontId="0" fillId="0" borderId="0" xfId="1" applyFont="1" applyBorder="1"/>
    <xf numFmtId="43" fontId="0" fillId="0" borderId="20" xfId="1" applyFont="1" applyBorder="1"/>
    <xf numFmtId="165" fontId="0" fillId="0" borderId="1" xfId="0" applyNumberFormat="1" applyBorder="1"/>
    <xf numFmtId="0" fontId="11" fillId="14" borderId="0" xfId="0" applyFont="1" applyFill="1"/>
    <xf numFmtId="0" fontId="11" fillId="14" borderId="0" xfId="0" applyFont="1" applyFill="1" applyAlignment="1">
      <alignment wrapText="1"/>
    </xf>
    <xf numFmtId="0" fontId="11" fillId="9" borderId="0" xfId="0" applyFont="1" applyFill="1" applyBorder="1" applyAlignment="1">
      <alignment wrapText="1"/>
    </xf>
    <xf numFmtId="0" fontId="0" fillId="0" borderId="0" xfId="0"/>
    <xf numFmtId="0" fontId="68" fillId="0" borderId="0" xfId="22" applyFont="1"/>
    <xf numFmtId="165" fontId="0" fillId="0" borderId="0" xfId="23" applyNumberFormat="1" applyFont="1"/>
    <xf numFmtId="0" fontId="4" fillId="0" borderId="0" xfId="22"/>
    <xf numFmtId="175" fontId="0" fillId="0" borderId="0" xfId="23" applyNumberFormat="1" applyFont="1"/>
    <xf numFmtId="0" fontId="68" fillId="20" borderId="0" xfId="22" applyFont="1" applyFill="1"/>
    <xf numFmtId="165" fontId="0" fillId="20" borderId="0" xfId="23" applyNumberFormat="1" applyFont="1" applyFill="1"/>
    <xf numFmtId="0" fontId="4" fillId="20" borderId="0" xfId="22" applyFill="1"/>
    <xf numFmtId="43" fontId="0" fillId="0" borderId="0" xfId="23" applyFont="1"/>
    <xf numFmtId="165" fontId="4" fillId="0" borderId="0" xfId="22" applyNumberFormat="1"/>
    <xf numFmtId="10" fontId="0" fillId="20" borderId="0" xfId="24" applyNumberFormat="1" applyFont="1" applyFill="1"/>
    <xf numFmtId="0" fontId="68" fillId="19" borderId="0" xfId="22" applyFont="1" applyFill="1" applyAlignment="1">
      <alignment horizontal="left"/>
    </xf>
    <xf numFmtId="165" fontId="0" fillId="19" borderId="0" xfId="23" applyNumberFormat="1" applyFont="1" applyFill="1"/>
    <xf numFmtId="0" fontId="68" fillId="19" borderId="0" xfId="22" applyFont="1" applyFill="1"/>
    <xf numFmtId="0" fontId="4" fillId="19" borderId="0" xfId="22" applyFill="1"/>
    <xf numFmtId="41" fontId="0" fillId="0" borderId="0" xfId="25" applyNumberFormat="1" applyFont="1"/>
    <xf numFmtId="43" fontId="4" fillId="0" borderId="0" xfId="22" applyNumberFormat="1"/>
    <xf numFmtId="41" fontId="0" fillId="0" borderId="0" xfId="25" applyNumberFormat="1" applyFont="1" applyBorder="1"/>
    <xf numFmtId="165" fontId="0" fillId="19" borderId="1" xfId="23" applyNumberFormat="1" applyFont="1" applyFill="1" applyBorder="1"/>
    <xf numFmtId="165" fontId="0" fillId="19" borderId="7" xfId="23" applyNumberFormat="1" applyFont="1" applyFill="1" applyBorder="1"/>
    <xf numFmtId="165" fontId="0" fillId="0" borderId="0" xfId="23" applyNumberFormat="1" applyFont="1" applyBorder="1"/>
    <xf numFmtId="165" fontId="0" fillId="19" borderId="15" xfId="23" applyNumberFormat="1" applyFont="1" applyFill="1" applyBorder="1"/>
    <xf numFmtId="0" fontId="4" fillId="0" borderId="0" xfId="22" applyBorder="1"/>
    <xf numFmtId="41" fontId="0" fillId="0" borderId="0" xfId="25" applyNumberFormat="1" applyFont="1" applyFill="1" applyBorder="1"/>
    <xf numFmtId="41" fontId="11" fillId="0" borderId="0" xfId="22" applyNumberFormat="1" applyFont="1" applyBorder="1"/>
    <xf numFmtId="165" fontId="0" fillId="19" borderId="5" xfId="23" applyNumberFormat="1" applyFont="1" applyFill="1" applyBorder="1"/>
    <xf numFmtId="41" fontId="4" fillId="0" borderId="0" xfId="22" applyNumberFormat="1" applyBorder="1"/>
    <xf numFmtId="10" fontId="0" fillId="19" borderId="0" xfId="24" applyNumberFormat="1" applyFont="1" applyFill="1"/>
    <xf numFmtId="10" fontId="0" fillId="0" borderId="0" xfId="24" applyNumberFormat="1" applyFont="1" applyBorder="1"/>
    <xf numFmtId="3" fontId="4" fillId="0" borderId="0" xfId="22" applyNumberFormat="1"/>
    <xf numFmtId="10" fontId="0" fillId="0" borderId="0" xfId="24" applyNumberFormat="1" applyFont="1"/>
    <xf numFmtId="0" fontId="0" fillId="0" borderId="0" xfId="0" applyAlignment="1">
      <alignment wrapText="1"/>
    </xf>
    <xf numFmtId="0" fontId="0" fillId="0" borderId="0" xfId="0"/>
    <xf numFmtId="0" fontId="0" fillId="0" borderId="0" xfId="0" applyFill="1"/>
    <xf numFmtId="0" fontId="0" fillId="0" borderId="0" xfId="0" applyFill="1" applyBorder="1" applyAlignment="1">
      <alignment wrapText="1"/>
    </xf>
    <xf numFmtId="0" fontId="13" fillId="2" borderId="7" xfId="16" applyFont="1" applyFill="1" applyBorder="1" applyAlignment="1">
      <alignment horizontal="left"/>
    </xf>
    <xf numFmtId="0" fontId="80" fillId="0" borderId="0" xfId="17" applyFont="1" applyAlignment="1">
      <alignment horizontal="left" vertical="top" wrapText="1"/>
    </xf>
    <xf numFmtId="0" fontId="0" fillId="0" borderId="0" xfId="0"/>
    <xf numFmtId="0" fontId="0" fillId="0" borderId="0" xfId="0" applyFill="1" applyBorder="1"/>
    <xf numFmtId="41" fontId="0" fillId="11" borderId="0" xfId="1" applyNumberFormat="1" applyFont="1" applyFill="1" applyBorder="1"/>
    <xf numFmtId="41" fontId="0" fillId="11" borderId="6" xfId="1" applyNumberFormat="1" applyFont="1" applyFill="1" applyBorder="1"/>
    <xf numFmtId="0" fontId="0" fillId="11" borderId="8" xfId="0" applyFill="1" applyBorder="1"/>
    <xf numFmtId="0" fontId="0" fillId="11" borderId="0" xfId="0" applyFill="1" applyBorder="1"/>
    <xf numFmtId="41" fontId="11" fillId="11" borderId="8" xfId="1" applyNumberFormat="1" applyFill="1" applyBorder="1" applyProtection="1">
      <protection locked="0"/>
    </xf>
    <xf numFmtId="41" fontId="11" fillId="11" borderId="6" xfId="1" applyNumberFormat="1" applyFill="1" applyBorder="1" applyProtection="1">
      <protection locked="0"/>
    </xf>
    <xf numFmtId="41" fontId="0" fillId="11" borderId="0" xfId="0" applyNumberFormat="1" applyFill="1" applyBorder="1" applyProtection="1">
      <protection locked="0"/>
    </xf>
    <xf numFmtId="41" fontId="0" fillId="11" borderId="6" xfId="0" applyNumberFormat="1" applyFill="1" applyBorder="1" applyProtection="1">
      <protection locked="0"/>
    </xf>
    <xf numFmtId="41" fontId="0" fillId="11" borderId="0" xfId="1" applyNumberFormat="1" applyFont="1" applyFill="1" applyBorder="1" applyProtection="1">
      <protection locked="0"/>
    </xf>
    <xf numFmtId="41" fontId="0" fillId="11" borderId="0" xfId="0" applyNumberFormat="1" applyFill="1" applyBorder="1"/>
    <xf numFmtId="41" fontId="0" fillId="11" borderId="8" xfId="0" applyNumberFormat="1" applyFill="1" applyBorder="1"/>
    <xf numFmtId="41" fontId="0" fillId="11" borderId="6" xfId="0" applyNumberFormat="1" applyFill="1" applyBorder="1"/>
    <xf numFmtId="41" fontId="36" fillId="11" borderId="8" xfId="0" applyNumberFormat="1" applyFont="1" applyFill="1" applyBorder="1" applyAlignment="1">
      <alignment horizontal="center"/>
    </xf>
    <xf numFmtId="41" fontId="16" fillId="11" borderId="0" xfId="0" applyNumberFormat="1" applyFont="1" applyFill="1" applyBorder="1" applyAlignment="1">
      <alignment horizontal="center"/>
    </xf>
    <xf numFmtId="41" fontId="0" fillId="11" borderId="8" xfId="1" applyNumberFormat="1" applyFont="1" applyFill="1" applyBorder="1" applyProtection="1">
      <protection locked="0"/>
    </xf>
    <xf numFmtId="41" fontId="0" fillId="11" borderId="6" xfId="1" applyNumberFormat="1" applyFont="1" applyFill="1" applyBorder="1" applyProtection="1">
      <protection locked="0"/>
    </xf>
    <xf numFmtId="41" fontId="0" fillId="11" borderId="8" xfId="1" applyNumberFormat="1" applyFont="1" applyFill="1" applyBorder="1"/>
    <xf numFmtId="41" fontId="11" fillId="11" borderId="8" xfId="1" applyNumberFormat="1" applyFont="1" applyFill="1" applyBorder="1" applyProtection="1">
      <protection locked="0"/>
    </xf>
    <xf numFmtId="41" fontId="16" fillId="11" borderId="8" xfId="0" applyNumberFormat="1" applyFont="1" applyFill="1" applyBorder="1" applyAlignment="1">
      <alignment horizontal="center"/>
    </xf>
    <xf numFmtId="41" fontId="11" fillId="7" borderId="47" xfId="1" applyNumberFormat="1" applyFill="1" applyBorder="1"/>
    <xf numFmtId="41" fontId="0" fillId="7" borderId="48" xfId="0" applyNumberFormat="1" applyFill="1" applyBorder="1"/>
    <xf numFmtId="41" fontId="0" fillId="7" borderId="49" xfId="0" applyNumberFormat="1" applyFill="1" applyBorder="1"/>
    <xf numFmtId="41" fontId="0" fillId="7" borderId="50" xfId="0" applyNumberFormat="1" applyFill="1" applyBorder="1"/>
    <xf numFmtId="41" fontId="0" fillId="7" borderId="51" xfId="0" applyNumberFormat="1" applyFill="1" applyBorder="1"/>
    <xf numFmtId="165" fontId="11" fillId="0" borderId="0" xfId="16" applyNumberFormat="1" applyFont="1"/>
    <xf numFmtId="0" fontId="11" fillId="0" borderId="0" xfId="0" applyFont="1" applyAlignment="1">
      <alignment wrapText="1"/>
    </xf>
    <xf numFmtId="0" fontId="13" fillId="0" borderId="0" xfId="0" applyFont="1"/>
    <xf numFmtId="0" fontId="0" fillId="0" borderId="0" xfId="0"/>
    <xf numFmtId="0" fontId="0" fillId="0" borderId="0" xfId="0" applyFill="1"/>
    <xf numFmtId="165" fontId="0" fillId="2" borderId="0" xfId="1" applyNumberFormat="1" applyFont="1" applyFill="1"/>
    <xf numFmtId="0" fontId="11" fillId="0" borderId="0" xfId="0" applyFont="1" applyAlignment="1">
      <alignment vertical="top" wrapText="1"/>
    </xf>
    <xf numFmtId="0" fontId="11" fillId="0" borderId="0" xfId="0" applyFont="1" applyAlignment="1">
      <alignment wrapText="1"/>
    </xf>
    <xf numFmtId="41" fontId="11" fillId="0" borderId="0" xfId="1" applyNumberFormat="1" applyFont="1" applyFill="1"/>
    <xf numFmtId="165" fontId="11" fillId="0" borderId="0" xfId="16" applyNumberFormat="1" applyFont="1" applyFill="1"/>
    <xf numFmtId="0" fontId="11" fillId="0" borderId="0" xfId="0" applyFont="1" applyAlignment="1">
      <alignment wrapText="1"/>
    </xf>
    <xf numFmtId="0" fontId="0" fillId="0" borderId="0" xfId="0"/>
    <xf numFmtId="0" fontId="0" fillId="0" borderId="0" xfId="0" applyFill="1" applyBorder="1"/>
    <xf numFmtId="0" fontId="11" fillId="0" borderId="0" xfId="0" applyFont="1" applyAlignment="1">
      <alignment wrapText="1"/>
    </xf>
    <xf numFmtId="0" fontId="13" fillId="2" borderId="23" xfId="16" applyFont="1" applyFill="1" applyBorder="1" applyAlignment="1">
      <alignment horizontal="left"/>
    </xf>
    <xf numFmtId="165" fontId="11" fillId="3" borderId="20" xfId="1" applyNumberFormat="1" applyFont="1" applyFill="1" applyBorder="1" applyAlignment="1">
      <alignment horizontal="center"/>
    </xf>
    <xf numFmtId="165" fontId="11" fillId="0" borderId="13" xfId="1" applyNumberFormat="1" applyFont="1" applyFill="1" applyBorder="1"/>
    <xf numFmtId="165" fontId="11" fillId="0" borderId="14" xfId="1" applyNumberFormat="1" applyFont="1" applyBorder="1"/>
    <xf numFmtId="0" fontId="0" fillId="11" borderId="0" xfId="0" applyFill="1"/>
    <xf numFmtId="41" fontId="16" fillId="14" borderId="0" xfId="0" applyNumberFormat="1" applyFont="1" applyFill="1" applyBorder="1" applyAlignment="1">
      <alignment horizontal="center"/>
    </xf>
    <xf numFmtId="0" fontId="11" fillId="0" borderId="0" xfId="0" applyFont="1" applyAlignment="1">
      <alignment wrapText="1"/>
    </xf>
    <xf numFmtId="41" fontId="11" fillId="0" borderId="0" xfId="1" applyNumberFormat="1" applyFill="1" applyBorder="1" applyProtection="1">
      <protection locked="0"/>
    </xf>
    <xf numFmtId="0" fontId="11" fillId="0" borderId="0" xfId="0" applyFont="1" applyFill="1" applyBorder="1" applyProtection="1">
      <protection locked="0"/>
    </xf>
    <xf numFmtId="165" fontId="0" fillId="6" borderId="0" xfId="1" applyNumberFormat="1" applyFont="1" applyFill="1" applyBorder="1" applyProtection="1">
      <protection locked="0"/>
    </xf>
    <xf numFmtId="165" fontId="0" fillId="6" borderId="1" xfId="1" applyNumberFormat="1" applyFont="1" applyFill="1" applyBorder="1" applyProtection="1">
      <protection locked="0"/>
    </xf>
    <xf numFmtId="165" fontId="11" fillId="12" borderId="0" xfId="18" applyNumberFormat="1" applyFont="1" applyFill="1" applyProtection="1">
      <protection locked="0"/>
    </xf>
    <xf numFmtId="165" fontId="11" fillId="12" borderId="0" xfId="1" applyNumberFormat="1" applyFont="1" applyFill="1" applyProtection="1">
      <protection locked="0"/>
    </xf>
    <xf numFmtId="165" fontId="0" fillId="6" borderId="0" xfId="1" applyNumberFormat="1" applyFont="1" applyFill="1" applyBorder="1" applyProtection="1">
      <protection locked="0"/>
    </xf>
    <xf numFmtId="165" fontId="0" fillId="6" borderId="1" xfId="1" applyNumberFormat="1" applyFont="1" applyFill="1" applyBorder="1" applyProtection="1">
      <protection locked="0"/>
    </xf>
    <xf numFmtId="165" fontId="0" fillId="6" borderId="0" xfId="1" applyNumberFormat="1" applyFont="1" applyFill="1" applyProtection="1">
      <protection locked="0"/>
    </xf>
    <xf numFmtId="165" fontId="11" fillId="6" borderId="0" xfId="1" applyNumberFormat="1" applyFill="1" applyBorder="1" applyProtection="1">
      <protection locked="0"/>
    </xf>
    <xf numFmtId="165" fontId="11" fillId="6" borderId="1" xfId="1" applyNumberFormat="1" applyFill="1" applyBorder="1" applyProtection="1">
      <protection locked="0"/>
    </xf>
    <xf numFmtId="165" fontId="11" fillId="12" borderId="0" xfId="15" applyNumberFormat="1" applyFont="1" applyFill="1" applyProtection="1">
      <protection locked="0"/>
    </xf>
    <xf numFmtId="165" fontId="0" fillId="0" borderId="1" xfId="1" applyNumberFormat="1" applyFont="1" applyFill="1" applyBorder="1" applyProtection="1">
      <protection locked="0"/>
    </xf>
    <xf numFmtId="10" fontId="13" fillId="0" borderId="0" xfId="3" applyNumberFormat="1" applyFont="1" applyFill="1" applyBorder="1" applyAlignment="1" applyProtection="1">
      <alignment horizontal="center"/>
    </xf>
    <xf numFmtId="0" fontId="0" fillId="0" borderId="0" xfId="0"/>
    <xf numFmtId="0" fontId="0" fillId="0" borderId="0" xfId="0" applyAlignment="1"/>
    <xf numFmtId="165" fontId="78" fillId="0" borderId="0" xfId="1" applyNumberFormat="1" applyFont="1" applyFill="1" applyBorder="1" applyAlignment="1">
      <alignment horizontal="center" wrapText="1"/>
    </xf>
    <xf numFmtId="171" fontId="0" fillId="0" borderId="0" xfId="3" applyNumberFormat="1" applyFont="1"/>
    <xf numFmtId="166" fontId="0" fillId="0" borderId="0" xfId="0" applyNumberFormat="1"/>
    <xf numFmtId="171" fontId="78" fillId="0" borderId="0" xfId="0" applyNumberFormat="1" applyFont="1" applyFill="1"/>
    <xf numFmtId="171" fontId="79" fillId="0" borderId="0" xfId="0" applyNumberFormat="1" applyFont="1" applyFill="1"/>
    <xf numFmtId="176" fontId="79" fillId="0" borderId="0" xfId="0" applyNumberFormat="1" applyFont="1" applyFill="1"/>
    <xf numFmtId="165" fontId="79" fillId="0" borderId="0" xfId="0" applyNumberFormat="1" applyFont="1" applyFill="1"/>
    <xf numFmtId="43" fontId="79" fillId="0" borderId="0" xfId="0" applyNumberFormat="1" applyFont="1" applyFill="1"/>
    <xf numFmtId="0" fontId="78" fillId="0" borderId="0" xfId="0" applyFont="1" applyFill="1" applyAlignment="1">
      <alignment horizontal="center"/>
    </xf>
    <xf numFmtId="0" fontId="79" fillId="0" borderId="0" xfId="0" quotePrefix="1" applyFont="1" applyFill="1" applyBorder="1" applyAlignment="1">
      <alignment horizontal="center"/>
    </xf>
    <xf numFmtId="0" fontId="79" fillId="0" borderId="0" xfId="0" applyFont="1" applyFill="1" applyBorder="1" applyAlignment="1">
      <alignment horizontal="center"/>
    </xf>
    <xf numFmtId="0" fontId="84" fillId="0" borderId="0" xfId="0" applyFont="1" applyFill="1" applyAlignment="1"/>
    <xf numFmtId="0" fontId="0" fillId="0" borderId="0" xfId="0" applyFont="1" applyFill="1" applyAlignment="1">
      <alignment horizontal="left" wrapText="1"/>
    </xf>
    <xf numFmtId="0" fontId="0" fillId="0" borderId="0" xfId="0" applyFont="1" applyFill="1"/>
    <xf numFmtId="43" fontId="0" fillId="0" borderId="5" xfId="1" applyFont="1" applyBorder="1"/>
    <xf numFmtId="0" fontId="0" fillId="0" borderId="0" xfId="0"/>
    <xf numFmtId="0" fontId="0" fillId="0" borderId="0" xfId="0" applyAlignment="1">
      <alignment horizontal="center"/>
    </xf>
    <xf numFmtId="0" fontId="71" fillId="0" borderId="0" xfId="0" applyFont="1" applyFill="1" applyBorder="1" applyAlignment="1">
      <alignment horizontal="left" vertical="center" wrapText="1"/>
    </xf>
    <xf numFmtId="0" fontId="68" fillId="0" borderId="0" xfId="0" applyFont="1" applyAlignment="1">
      <alignment horizontal="center" vertical="center"/>
    </xf>
    <xf numFmtId="0" fontId="0" fillId="0" borderId="0" xfId="0" applyAlignment="1">
      <alignment vertical="center"/>
    </xf>
    <xf numFmtId="41" fontId="73" fillId="0" borderId="0" xfId="0" applyNumberFormat="1" applyFont="1"/>
    <xf numFmtId="41" fontId="73" fillId="0" borderId="0" xfId="1" applyNumberFormat="1" applyFont="1"/>
    <xf numFmtId="0" fontId="81" fillId="0" borderId="0" xfId="0" applyFont="1"/>
    <xf numFmtId="41" fontId="81" fillId="0" borderId="0" xfId="0" applyNumberFormat="1" applyFont="1"/>
    <xf numFmtId="0" fontId="81" fillId="0" borderId="0" xfId="0" applyFont="1" applyFill="1"/>
    <xf numFmtId="41" fontId="81" fillId="0" borderId="0" xfId="0" applyNumberFormat="1" applyFont="1" applyFill="1"/>
    <xf numFmtId="165" fontId="81" fillId="0" borderId="0" xfId="1" applyNumberFormat="1" applyFont="1"/>
    <xf numFmtId="165" fontId="81" fillId="0" borderId="0" xfId="1" applyNumberFormat="1" applyFont="1" applyFill="1"/>
    <xf numFmtId="165" fontId="81" fillId="0" borderId="0" xfId="0" applyNumberFormat="1" applyFont="1"/>
    <xf numFmtId="41" fontId="81" fillId="0" borderId="0" xfId="1" applyNumberFormat="1" applyFont="1" applyBorder="1"/>
    <xf numFmtId="0" fontId="81" fillId="0" borderId="0" xfId="0" applyFont="1" applyFill="1" applyProtection="1"/>
    <xf numFmtId="43" fontId="81" fillId="0" borderId="0" xfId="1" applyFont="1"/>
    <xf numFmtId="165" fontId="81" fillId="0" borderId="0" xfId="0" applyNumberFormat="1" applyFont="1" applyFill="1"/>
    <xf numFmtId="165" fontId="87" fillId="0" borderId="0" xfId="0" applyNumberFormat="1" applyFont="1"/>
    <xf numFmtId="0" fontId="81" fillId="0" borderId="8" xfId="0" applyFont="1" applyFill="1" applyBorder="1"/>
    <xf numFmtId="43" fontId="81" fillId="0" borderId="0" xfId="0" applyNumberFormat="1" applyFont="1"/>
    <xf numFmtId="165" fontId="81" fillId="0" borderId="0" xfId="1" applyNumberFormat="1" applyFont="1" applyBorder="1"/>
    <xf numFmtId="165" fontId="81" fillId="0" borderId="0" xfId="1" applyNumberFormat="1" applyFont="1" applyFill="1" applyBorder="1"/>
    <xf numFmtId="165" fontId="81" fillId="0" borderId="0" xfId="1" applyNumberFormat="1" applyFont="1" applyFill="1" applyProtection="1"/>
    <xf numFmtId="165" fontId="76" fillId="0" borderId="0" xfId="1" applyNumberFormat="1" applyFont="1"/>
    <xf numFmtId="3" fontId="0" fillId="0" borderId="0" xfId="0" applyNumberFormat="1"/>
    <xf numFmtId="0" fontId="0" fillId="0" borderId="0" xfId="0" applyFill="1"/>
    <xf numFmtId="0" fontId="0" fillId="0" borderId="0" xfId="0" applyFill="1" applyBorder="1"/>
    <xf numFmtId="0" fontId="11" fillId="0" borderId="8" xfId="0" applyFont="1" applyBorder="1"/>
    <xf numFmtId="41" fontId="11" fillId="0" borderId="8" xfId="1" applyNumberFormat="1" applyFont="1" applyBorder="1" applyProtection="1">
      <protection locked="0"/>
    </xf>
    <xf numFmtId="41" fontId="11" fillId="0" borderId="6" xfId="1" applyNumberFormat="1" applyFont="1" applyBorder="1" applyProtection="1">
      <protection locked="0"/>
    </xf>
    <xf numFmtId="41" fontId="11" fillId="0" borderId="0" xfId="0" applyNumberFormat="1" applyFont="1" applyBorder="1" applyProtection="1">
      <protection locked="0"/>
    </xf>
    <xf numFmtId="41" fontId="11" fillId="0" borderId="0" xfId="1" applyNumberFormat="1" applyFont="1" applyBorder="1" applyProtection="1">
      <protection locked="0"/>
    </xf>
    <xf numFmtId="41" fontId="11" fillId="0" borderId="0" xfId="0" applyNumberFormat="1" applyFont="1" applyBorder="1"/>
    <xf numFmtId="41" fontId="11" fillId="0" borderId="8" xfId="0" applyNumberFormat="1" applyFont="1" applyBorder="1"/>
    <xf numFmtId="41" fontId="11" fillId="0" borderId="6" xfId="0" applyNumberFormat="1" applyFont="1" applyBorder="1"/>
    <xf numFmtId="41" fontId="11" fillId="0" borderId="0" xfId="1" applyNumberFormat="1" applyFont="1" applyBorder="1"/>
    <xf numFmtId="41" fontId="11" fillId="0" borderId="0" xfId="1" applyNumberFormat="1" applyFont="1"/>
    <xf numFmtId="41" fontId="11" fillId="0" borderId="6" xfId="1" applyNumberFormat="1" applyFont="1" applyFill="1" applyBorder="1"/>
    <xf numFmtId="41" fontId="11" fillId="6" borderId="0" xfId="1" applyNumberFormat="1" applyFont="1" applyFill="1" applyBorder="1" applyProtection="1">
      <protection locked="0"/>
    </xf>
    <xf numFmtId="41" fontId="11" fillId="6" borderId="6" xfId="1" applyNumberFormat="1" applyFont="1" applyFill="1" applyBorder="1" applyProtection="1">
      <protection locked="0"/>
    </xf>
    <xf numFmtId="41" fontId="11" fillId="2" borderId="0" xfId="1" applyNumberFormat="1" applyFont="1" applyFill="1" applyBorder="1"/>
    <xf numFmtId="41" fontId="11" fillId="0" borderId="6" xfId="1" applyNumberFormat="1" applyFont="1" applyBorder="1"/>
    <xf numFmtId="165" fontId="73" fillId="0" borderId="0" xfId="1" applyNumberFormat="1" applyFont="1"/>
    <xf numFmtId="165" fontId="76" fillId="0" borderId="0" xfId="1" applyNumberFormat="1" applyFont="1" applyFill="1"/>
    <xf numFmtId="41" fontId="11" fillId="5" borderId="8" xfId="1" applyNumberFormat="1" applyFont="1" applyFill="1" applyBorder="1"/>
    <xf numFmtId="0" fontId="11" fillId="0" borderId="0" xfId="16" applyFont="1" applyAlignment="1"/>
    <xf numFmtId="0" fontId="81" fillId="0" borderId="0" xfId="17" applyFont="1" applyAlignment="1"/>
    <xf numFmtId="165" fontId="11" fillId="12" borderId="0" xfId="18" applyNumberFormat="1" applyFont="1" applyFill="1" applyAlignment="1" applyProtection="1">
      <protection locked="0"/>
    </xf>
    <xf numFmtId="165" fontId="80" fillId="0" borderId="0" xfId="17" applyNumberFormat="1" applyFont="1" applyAlignment="1"/>
    <xf numFmtId="0" fontId="80" fillId="0" borderId="0" xfId="17" applyFont="1" applyAlignment="1"/>
    <xf numFmtId="165" fontId="11" fillId="0" borderId="0" xfId="18" applyNumberFormat="1" applyFont="1" applyAlignment="1"/>
    <xf numFmtId="0" fontId="11" fillId="0" borderId="0" xfId="16" applyAlignment="1"/>
    <xf numFmtId="0" fontId="11" fillId="0" borderId="0" xfId="16" applyFill="1" applyBorder="1" applyAlignment="1"/>
    <xf numFmtId="0" fontId="81" fillId="0" borderId="0" xfId="17" applyFont="1" applyFill="1" applyAlignment="1"/>
    <xf numFmtId="0" fontId="80" fillId="0" borderId="0" xfId="17" applyFont="1" applyAlignment="1">
      <alignment horizontal="left" wrapText="1"/>
    </xf>
    <xf numFmtId="41" fontId="16" fillId="6" borderId="4" xfId="1" applyNumberFormat="1" applyFont="1" applyFill="1" applyBorder="1" applyAlignment="1"/>
    <xf numFmtId="0" fontId="0" fillId="0" borderId="0" xfId="0" applyAlignment="1">
      <alignment wrapText="1"/>
    </xf>
    <xf numFmtId="0" fontId="13" fillId="0" borderId="0" xfId="0" applyFont="1"/>
    <xf numFmtId="0" fontId="0" fillId="0" borderId="0" xfId="0"/>
    <xf numFmtId="165" fontId="0" fillId="6" borderId="0" xfId="1" applyNumberFormat="1" applyFont="1" applyFill="1" applyProtection="1">
      <protection locked="0"/>
    </xf>
    <xf numFmtId="165" fontId="0" fillId="2" borderId="0" xfId="0" applyNumberFormat="1" applyFill="1"/>
    <xf numFmtId="0" fontId="0" fillId="0" borderId="0" xfId="0" applyFill="1"/>
    <xf numFmtId="165" fontId="0" fillId="6" borderId="0" xfId="1" applyNumberFormat="1" applyFont="1" applyFill="1" applyBorder="1" applyProtection="1">
      <protection locked="0"/>
    </xf>
    <xf numFmtId="165" fontId="0" fillId="2" borderId="0" xfId="1" applyNumberFormat="1" applyFont="1" applyFill="1"/>
    <xf numFmtId="0" fontId="0" fillId="0" borderId="0" xfId="0" applyFill="1" applyBorder="1"/>
    <xf numFmtId="165" fontId="0" fillId="6" borderId="1" xfId="1" applyNumberFormat="1" applyFont="1" applyFill="1" applyBorder="1" applyProtection="1">
      <protection locked="0"/>
    </xf>
    <xf numFmtId="0" fontId="13" fillId="0" borderId="1" xfId="0" applyFont="1" applyBorder="1" applyAlignment="1">
      <alignment horizontal="center"/>
    </xf>
    <xf numFmtId="0" fontId="0" fillId="0" borderId="0" xfId="0" applyAlignment="1">
      <alignment horizontal="center"/>
    </xf>
    <xf numFmtId="0" fontId="0" fillId="0" borderId="1" xfId="0" applyBorder="1" applyAlignment="1">
      <alignment horizontal="center"/>
    </xf>
    <xf numFmtId="0" fontId="11" fillId="0" borderId="25" xfId="0" applyFont="1" applyBorder="1" applyAlignment="1" applyProtection="1">
      <alignment horizontal="left"/>
      <protection locked="0"/>
    </xf>
    <xf numFmtId="0" fontId="11" fillId="0" borderId="0" xfId="0" applyFont="1" applyBorder="1"/>
    <xf numFmtId="0" fontId="12" fillId="0" borderId="0" xfId="0" applyFont="1" applyAlignment="1">
      <alignment vertical="top" wrapText="1"/>
    </xf>
    <xf numFmtId="0" fontId="2" fillId="0" borderId="0" xfId="26"/>
    <xf numFmtId="0" fontId="2" fillId="0" borderId="0" xfId="26" applyAlignment="1">
      <alignment vertical="center"/>
    </xf>
    <xf numFmtId="41" fontId="11" fillId="0" borderId="6" xfId="0" applyNumberFormat="1" applyFont="1" applyBorder="1" applyProtection="1">
      <protection locked="0"/>
    </xf>
    <xf numFmtId="177" fontId="0" fillId="0" borderId="0" xfId="0" applyNumberFormat="1"/>
    <xf numFmtId="0" fontId="13" fillId="0" borderId="0" xfId="0" applyFont="1" applyAlignment="1">
      <alignment wrapText="1"/>
    </xf>
    <xf numFmtId="0" fontId="0" fillId="0" borderId="0" xfId="0" applyAlignment="1">
      <alignment wrapText="1"/>
    </xf>
    <xf numFmtId="0" fontId="13" fillId="0" borderId="0" xfId="0" applyFont="1"/>
    <xf numFmtId="0" fontId="13" fillId="0" borderId="0" xfId="0" applyFont="1" applyFill="1" applyAlignment="1">
      <alignment wrapText="1"/>
    </xf>
    <xf numFmtId="0" fontId="0" fillId="0" borderId="0" xfId="0"/>
    <xf numFmtId="0" fontId="0" fillId="0" borderId="0" xfId="0" applyFill="1" applyBorder="1"/>
    <xf numFmtId="165" fontId="0" fillId="6" borderId="0" xfId="1" applyNumberFormat="1" applyFont="1" applyFill="1" applyBorder="1" applyProtection="1">
      <protection locked="0"/>
    </xf>
    <xf numFmtId="165" fontId="0" fillId="6" borderId="1" xfId="1" applyNumberFormat="1" applyFont="1" applyFill="1" applyBorder="1" applyProtection="1">
      <protection locked="0"/>
    </xf>
    <xf numFmtId="165" fontId="0" fillId="6" borderId="0" xfId="1" applyNumberFormat="1" applyFont="1" applyFill="1" applyProtection="1">
      <protection locked="0"/>
    </xf>
    <xf numFmtId="165" fontId="0" fillId="2" borderId="0" xfId="1" applyNumberFormat="1" applyFont="1" applyFill="1"/>
    <xf numFmtId="165" fontId="0" fillId="2" borderId="0" xfId="0" applyNumberFormat="1" applyFill="1"/>
    <xf numFmtId="0" fontId="13" fillId="0" borderId="1" xfId="0" applyFont="1" applyBorder="1" applyAlignment="1">
      <alignment horizontal="center"/>
    </xf>
    <xf numFmtId="0" fontId="0" fillId="0" borderId="0" xfId="0" applyAlignment="1">
      <alignment horizontal="center"/>
    </xf>
    <xf numFmtId="0" fontId="0" fillId="0" borderId="1" xfId="0" applyBorder="1" applyAlignment="1">
      <alignment horizontal="center"/>
    </xf>
    <xf numFmtId="0" fontId="0" fillId="0" borderId="0" xfId="0"/>
    <xf numFmtId="165" fontId="11" fillId="6" borderId="0" xfId="1" applyNumberFormat="1" applyFill="1" applyProtection="1">
      <protection locked="0"/>
    </xf>
    <xf numFmtId="165" fontId="0" fillId="6" borderId="0" xfId="1" applyNumberFormat="1" applyFont="1" applyFill="1" applyProtection="1">
      <protection locked="0"/>
    </xf>
    <xf numFmtId="165" fontId="0" fillId="6" borderId="12" xfId="1" applyNumberFormat="1" applyFont="1" applyFill="1" applyBorder="1" applyProtection="1">
      <protection locked="0"/>
    </xf>
    <xf numFmtId="165" fontId="0" fillId="2" borderId="0" xfId="0" applyNumberFormat="1" applyFill="1"/>
    <xf numFmtId="0" fontId="0" fillId="0" borderId="0" xfId="0" applyFill="1"/>
    <xf numFmtId="165" fontId="0" fillId="6" borderId="0" xfId="1" applyNumberFormat="1" applyFont="1" applyFill="1" applyBorder="1" applyProtection="1">
      <protection locked="0"/>
    </xf>
    <xf numFmtId="165" fontId="0" fillId="2" borderId="0" xfId="1" applyNumberFormat="1" applyFont="1" applyFill="1"/>
    <xf numFmtId="165" fontId="11" fillId="6" borderId="0" xfId="1" applyNumberFormat="1" applyFill="1" applyBorder="1" applyProtection="1">
      <protection locked="0"/>
    </xf>
    <xf numFmtId="0" fontId="13" fillId="0" borderId="1" xfId="0" applyFont="1" applyBorder="1" applyAlignment="1">
      <alignment horizontal="center"/>
    </xf>
    <xf numFmtId="0" fontId="14" fillId="0" borderId="0" xfId="0" applyFont="1" applyAlignment="1">
      <alignment horizontal="left" wrapText="1" indent="1"/>
    </xf>
    <xf numFmtId="165" fontId="11" fillId="5" borderId="0" xfId="0" applyNumberFormat="1" applyFont="1" applyFill="1"/>
    <xf numFmtId="0" fontId="13" fillId="13" borderId="0" xfId="0" applyFont="1" applyFill="1" applyAlignment="1">
      <alignment horizontal="center"/>
    </xf>
    <xf numFmtId="0" fontId="1" fillId="0" borderId="0" xfId="27"/>
    <xf numFmtId="0" fontId="1" fillId="0" borderId="0" xfId="27" applyAlignment="1">
      <alignment vertical="center"/>
    </xf>
    <xf numFmtId="41" fontId="0" fillId="21" borderId="0" xfId="1" applyNumberFormat="1" applyFont="1" applyFill="1" applyBorder="1"/>
    <xf numFmtId="0" fontId="0" fillId="0" borderId="0" xfId="0"/>
    <xf numFmtId="0" fontId="0" fillId="0" borderId="0" xfId="0" applyFill="1" applyBorder="1"/>
    <xf numFmtId="165" fontId="0" fillId="6" borderId="0" xfId="1" applyNumberFormat="1" applyFont="1" applyFill="1" applyProtection="1">
      <protection locked="0"/>
    </xf>
    <xf numFmtId="165" fontId="0" fillId="2" borderId="0" xfId="0" applyNumberFormat="1" applyFill="1"/>
    <xf numFmtId="0" fontId="0" fillId="0" borderId="0" xfId="0" applyFill="1"/>
    <xf numFmtId="41" fontId="0" fillId="21" borderId="8" xfId="0" applyNumberFormat="1" applyFill="1" applyBorder="1"/>
    <xf numFmtId="41" fontId="0" fillId="21" borderId="6" xfId="0" applyNumberFormat="1" applyFill="1" applyBorder="1"/>
    <xf numFmtId="41" fontId="67" fillId="21" borderId="0" xfId="1" applyNumberFormat="1" applyFont="1" applyFill="1" applyBorder="1"/>
    <xf numFmtId="0" fontId="11" fillId="0" borderId="0" xfId="0" applyFont="1" applyBorder="1" applyAlignment="1">
      <alignment wrapText="1"/>
    </xf>
    <xf numFmtId="0" fontId="0" fillId="0" borderId="0" xfId="0"/>
    <xf numFmtId="0" fontId="0" fillId="0" borderId="0" xfId="0" applyFill="1"/>
    <xf numFmtId="165" fontId="0" fillId="0" borderId="0" xfId="1" quotePrefix="1" applyNumberFormat="1" applyFont="1" applyFill="1" applyProtection="1">
      <protection locked="0"/>
    </xf>
    <xf numFmtId="0" fontId="11" fillId="0" borderId="0" xfId="0" applyFont="1" applyAlignment="1">
      <alignment horizontal="left" wrapText="1"/>
    </xf>
    <xf numFmtId="0" fontId="0" fillId="0" borderId="0" xfId="0"/>
    <xf numFmtId="165" fontId="0" fillId="6" borderId="0" xfId="1" applyNumberFormat="1" applyFont="1" applyFill="1" applyProtection="1">
      <protection locked="0"/>
    </xf>
    <xf numFmtId="0" fontId="0" fillId="0" borderId="0" xfId="0" applyFill="1"/>
    <xf numFmtId="165" fontId="0" fillId="2" borderId="0" xfId="1" applyNumberFormat="1" applyFont="1" applyFill="1"/>
    <xf numFmtId="0" fontId="0" fillId="0" borderId="0" xfId="0"/>
    <xf numFmtId="165" fontId="0" fillId="2" borderId="0" xfId="0" applyNumberFormat="1" applyFill="1"/>
    <xf numFmtId="0" fontId="0" fillId="0" borderId="0" xfId="0" applyFill="1"/>
    <xf numFmtId="165" fontId="0" fillId="21" borderId="22" xfId="1" applyNumberFormat="1" applyFont="1" applyFill="1" applyBorder="1" applyProtection="1">
      <protection locked="0"/>
    </xf>
    <xf numFmtId="165" fontId="0" fillId="12" borderId="22" xfId="1" applyNumberFormat="1" applyFont="1" applyFill="1" applyBorder="1" applyProtection="1">
      <protection locked="0"/>
    </xf>
    <xf numFmtId="165" fontId="0" fillId="12" borderId="1" xfId="1" applyNumberFormat="1" applyFont="1" applyFill="1" applyBorder="1" applyProtection="1">
      <protection locked="0"/>
    </xf>
    <xf numFmtId="41" fontId="0" fillId="11" borderId="0" xfId="0" applyNumberFormat="1" applyFill="1"/>
    <xf numFmtId="41" fontId="67" fillId="11" borderId="0" xfId="1" applyNumberFormat="1" applyFont="1" applyFill="1" applyBorder="1" applyProtection="1">
      <protection locked="0"/>
    </xf>
    <xf numFmtId="41" fontId="0" fillId="11" borderId="2" xfId="0" applyNumberFormat="1" applyFill="1" applyBorder="1"/>
    <xf numFmtId="41" fontId="67" fillId="11" borderId="0" xfId="1" applyNumberFormat="1" applyFont="1" applyFill="1" applyBorder="1"/>
    <xf numFmtId="0" fontId="11" fillId="0" borderId="25" xfId="0" applyFont="1" applyBorder="1" applyAlignment="1">
      <alignment horizontal="left"/>
    </xf>
    <xf numFmtId="41" fontId="0" fillId="22" borderId="0" xfId="1" applyNumberFormat="1" applyFont="1" applyFill="1" applyBorder="1"/>
    <xf numFmtId="41" fontId="0" fillId="23" borderId="0" xfId="1" applyNumberFormat="1" applyFont="1" applyFill="1" applyBorder="1"/>
    <xf numFmtId="41" fontId="0" fillId="23" borderId="0" xfId="0" applyNumberFormat="1" applyFill="1" applyBorder="1"/>
    <xf numFmtId="41" fontId="48" fillId="23" borderId="0" xfId="0" applyNumberFormat="1" applyFont="1" applyFill="1" applyBorder="1" applyAlignment="1">
      <alignment horizontal="center"/>
    </xf>
    <xf numFmtId="41" fontId="36" fillId="23" borderId="0" xfId="0" applyNumberFormat="1" applyFont="1" applyFill="1" applyBorder="1" applyAlignment="1">
      <alignment horizontal="center"/>
    </xf>
    <xf numFmtId="0" fontId="36" fillId="23" borderId="0" xfId="0" applyFont="1" applyFill="1" applyAlignment="1">
      <alignment horizontal="center"/>
    </xf>
    <xf numFmtId="41" fontId="0" fillId="0" borderId="0" xfId="1" applyNumberFormat="1" applyFont="1" applyFill="1" applyBorder="1" applyAlignment="1">
      <alignment horizontal="center"/>
    </xf>
    <xf numFmtId="0" fontId="0" fillId="0" borderId="0" xfId="0" applyAlignment="1">
      <alignment wrapText="1"/>
    </xf>
    <xf numFmtId="0" fontId="14" fillId="0" borderId="0" xfId="0" applyFont="1" applyAlignment="1">
      <alignment wrapText="1"/>
    </xf>
    <xf numFmtId="0" fontId="13" fillId="0" borderId="0" xfId="0" applyFont="1" applyAlignment="1">
      <alignment wrapText="1"/>
    </xf>
    <xf numFmtId="0" fontId="13" fillId="13" borderId="0" xfId="0" applyFont="1" applyFill="1" applyAlignment="1">
      <alignment wrapText="1"/>
    </xf>
    <xf numFmtId="0" fontId="0" fillId="0" borderId="0" xfId="0"/>
    <xf numFmtId="0" fontId="11" fillId="0" borderId="0" xfId="0" applyFont="1" applyAlignment="1">
      <alignment wrapText="1"/>
    </xf>
    <xf numFmtId="0" fontId="19" fillId="2" borderId="17" xfId="0" applyFont="1" applyFill="1" applyBorder="1" applyAlignment="1">
      <alignment horizontal="center"/>
    </xf>
    <xf numFmtId="0" fontId="19" fillId="2" borderId="12" xfId="0" applyFont="1" applyFill="1" applyBorder="1" applyAlignment="1">
      <alignment horizontal="center"/>
    </xf>
    <xf numFmtId="0" fontId="19" fillId="2" borderId="19" xfId="0" applyFont="1" applyFill="1" applyBorder="1" applyAlignment="1">
      <alignment horizontal="center"/>
    </xf>
    <xf numFmtId="0" fontId="19" fillId="2" borderId="13" xfId="0" applyFont="1" applyFill="1" applyBorder="1" applyAlignment="1">
      <alignment horizontal="center"/>
    </xf>
    <xf numFmtId="0" fontId="19" fillId="2" borderId="1" xfId="0" applyFont="1" applyFill="1" applyBorder="1" applyAlignment="1">
      <alignment horizontal="center"/>
    </xf>
    <xf numFmtId="0" fontId="19" fillId="2" borderId="14" xfId="0" applyFont="1" applyFill="1" applyBorder="1" applyAlignment="1">
      <alignment horizontal="center"/>
    </xf>
    <xf numFmtId="0" fontId="11" fillId="0" borderId="0" xfId="0" applyFont="1" applyFill="1" applyAlignment="1">
      <alignment wrapText="1"/>
    </xf>
    <xf numFmtId="0" fontId="0" fillId="0" borderId="0" xfId="0" applyFill="1" applyAlignment="1">
      <alignment wrapText="1"/>
    </xf>
    <xf numFmtId="0" fontId="11" fillId="13" borderId="0" xfId="0" applyFont="1" applyFill="1" applyAlignment="1">
      <alignment horizontal="left" wrapText="1"/>
    </xf>
    <xf numFmtId="0" fontId="0" fillId="13" borderId="0" xfId="0" applyFill="1" applyAlignment="1">
      <alignment horizontal="left" wrapText="1"/>
    </xf>
    <xf numFmtId="0" fontId="13" fillId="0" borderId="0" xfId="0" applyFont="1" applyFill="1" applyAlignment="1">
      <alignment wrapText="1"/>
    </xf>
    <xf numFmtId="0" fontId="11" fillId="0" borderId="0" xfId="0" applyFont="1" applyFill="1" applyAlignment="1">
      <alignment horizontal="left" vertical="top" wrapText="1"/>
    </xf>
    <xf numFmtId="0" fontId="0" fillId="0" borderId="0" xfId="0" applyFill="1" applyAlignment="1">
      <alignment horizontal="left" vertical="top" wrapText="1"/>
    </xf>
    <xf numFmtId="41" fontId="16" fillId="6" borderId="11" xfId="0" applyNumberFormat="1" applyFont="1" applyFill="1" applyBorder="1" applyAlignment="1">
      <alignment horizontal="left" vertical="top" wrapText="1"/>
    </xf>
    <xf numFmtId="41" fontId="16" fillId="6" borderId="9" xfId="0" applyNumberFormat="1" applyFont="1" applyFill="1" applyBorder="1" applyAlignment="1">
      <alignment horizontal="left" vertical="top" wrapText="1"/>
    </xf>
    <xf numFmtId="41" fontId="16" fillId="6" borderId="26" xfId="0" applyNumberFormat="1" applyFont="1" applyFill="1" applyBorder="1" applyAlignment="1">
      <alignment horizontal="left" vertical="top" wrapText="1"/>
    </xf>
    <xf numFmtId="41" fontId="16" fillId="6" borderId="10" xfId="0" applyNumberFormat="1" applyFont="1" applyFill="1" applyBorder="1" applyAlignment="1">
      <alignment horizontal="left" vertical="top" wrapText="1"/>
    </xf>
    <xf numFmtId="41" fontId="13" fillId="6" borderId="42" xfId="0" applyNumberFormat="1" applyFont="1" applyFill="1" applyBorder="1" applyAlignment="1">
      <alignment horizontal="center"/>
    </xf>
    <xf numFmtId="41" fontId="13" fillId="6" borderId="35" xfId="0" applyNumberFormat="1" applyFont="1" applyFill="1" applyBorder="1" applyAlignment="1">
      <alignment horizontal="center"/>
    </xf>
    <xf numFmtId="41" fontId="13" fillId="3" borderId="11" xfId="0" applyNumberFormat="1" applyFont="1" applyFill="1" applyBorder="1" applyAlignment="1">
      <alignment horizontal="center"/>
    </xf>
    <xf numFmtId="41" fontId="13" fillId="3" borderId="9" xfId="0" applyNumberFormat="1" applyFont="1" applyFill="1" applyBorder="1" applyAlignment="1">
      <alignment horizontal="center"/>
    </xf>
    <xf numFmtId="41" fontId="13" fillId="3" borderId="8" xfId="0" applyNumberFormat="1" applyFont="1" applyFill="1" applyBorder="1" applyAlignment="1">
      <alignment horizontal="center"/>
    </xf>
    <xf numFmtId="41" fontId="13" fillId="3" borderId="6" xfId="0" applyNumberFormat="1" applyFont="1" applyFill="1" applyBorder="1" applyAlignment="1">
      <alignment horizontal="center"/>
    </xf>
    <xf numFmtId="41" fontId="13" fillId="0" borderId="17" xfId="0" applyNumberFormat="1" applyFont="1" applyBorder="1" applyAlignment="1" applyProtection="1">
      <alignment horizontal="center"/>
      <protection locked="0"/>
    </xf>
    <xf numFmtId="41" fontId="0" fillId="0" borderId="12" xfId="0" applyNumberFormat="1" applyBorder="1" applyAlignment="1" applyProtection="1">
      <alignment horizontal="center"/>
      <protection locked="0"/>
    </xf>
    <xf numFmtId="41" fontId="16" fillId="6" borderId="4" xfId="1" applyNumberFormat="1" applyFont="1" applyFill="1" applyBorder="1" applyAlignment="1"/>
    <xf numFmtId="41" fontId="16" fillId="6" borderId="4" xfId="0" applyNumberFormat="1" applyFont="1" applyFill="1" applyBorder="1" applyAlignment="1"/>
    <xf numFmtId="41" fontId="16" fillId="2" borderId="11" xfId="0" applyNumberFormat="1" applyFont="1" applyFill="1" applyBorder="1" applyAlignment="1">
      <alignment wrapText="1"/>
    </xf>
    <xf numFmtId="41" fontId="16" fillId="2" borderId="4" xfId="0" applyNumberFormat="1" applyFont="1" applyFill="1" applyBorder="1" applyAlignment="1">
      <alignment wrapText="1"/>
    </xf>
    <xf numFmtId="41" fontId="16" fillId="2" borderId="26" xfId="0" applyNumberFormat="1" applyFont="1" applyFill="1" applyBorder="1" applyAlignment="1">
      <alignment wrapText="1"/>
    </xf>
    <xf numFmtId="41" fontId="16" fillId="2" borderId="3" xfId="0" applyNumberFormat="1" applyFont="1" applyFill="1" applyBorder="1" applyAlignment="1">
      <alignment wrapText="1"/>
    </xf>
    <xf numFmtId="41" fontId="16" fillId="2" borderId="11" xfId="0" applyNumberFormat="1" applyFont="1" applyFill="1" applyBorder="1"/>
    <xf numFmtId="41" fontId="16" fillId="2" borderId="9" xfId="0" applyNumberFormat="1" applyFont="1" applyFill="1" applyBorder="1"/>
    <xf numFmtId="41" fontId="16" fillId="2" borderId="26" xfId="0" applyNumberFormat="1" applyFont="1" applyFill="1" applyBorder="1"/>
    <xf numFmtId="41" fontId="16" fillId="2" borderId="10" xfId="0" applyNumberFormat="1" applyFont="1" applyFill="1" applyBorder="1"/>
    <xf numFmtId="41" fontId="13" fillId="0" borderId="12" xfId="0" applyNumberFormat="1" applyFont="1" applyBorder="1" applyAlignment="1" applyProtection="1">
      <alignment horizontal="center"/>
      <protection locked="0"/>
    </xf>
    <xf numFmtId="41" fontId="13" fillId="0" borderId="17" xfId="0" applyNumberFormat="1" applyFont="1" applyBorder="1" applyAlignment="1" applyProtection="1">
      <alignment horizontal="center" wrapText="1"/>
      <protection locked="0"/>
    </xf>
    <xf numFmtId="41" fontId="13" fillId="0" borderId="19" xfId="0" applyNumberFormat="1" applyFont="1" applyBorder="1" applyAlignment="1" applyProtection="1">
      <alignment horizontal="center" wrapText="1"/>
      <protection locked="0"/>
    </xf>
    <xf numFmtId="41" fontId="13" fillId="0" borderId="12" xfId="0" applyNumberFormat="1" applyFont="1" applyBorder="1" applyAlignment="1" applyProtection="1">
      <alignment horizontal="center" wrapText="1"/>
      <protection locked="0"/>
    </xf>
    <xf numFmtId="41" fontId="16" fillId="2" borderId="11" xfId="0" applyNumberFormat="1" applyFont="1" applyFill="1" applyBorder="1" applyAlignment="1">
      <alignment horizontal="center"/>
    </xf>
    <xf numFmtId="41" fontId="16" fillId="2" borderId="4" xfId="0" applyNumberFormat="1" applyFont="1" applyFill="1" applyBorder="1" applyAlignment="1">
      <alignment horizontal="center"/>
    </xf>
    <xf numFmtId="41" fontId="16" fillId="2" borderId="9" xfId="0" applyNumberFormat="1" applyFont="1" applyFill="1" applyBorder="1" applyAlignment="1">
      <alignment horizontal="center"/>
    </xf>
    <xf numFmtId="41" fontId="16" fillId="2" borderId="26" xfId="0" applyNumberFormat="1" applyFont="1" applyFill="1" applyBorder="1" applyAlignment="1">
      <alignment horizontal="center"/>
    </xf>
    <xf numFmtId="41" fontId="16" fillId="2" borderId="3" xfId="0" applyNumberFormat="1" applyFont="1" applyFill="1" applyBorder="1" applyAlignment="1">
      <alignment horizontal="center"/>
    </xf>
    <xf numFmtId="41" fontId="16" fillId="2" borderId="10" xfId="0" applyNumberFormat="1" applyFont="1" applyFill="1" applyBorder="1" applyAlignment="1">
      <alignment horizontal="center"/>
    </xf>
    <xf numFmtId="41" fontId="0" fillId="3" borderId="6" xfId="0" applyNumberFormat="1" applyFill="1" applyBorder="1" applyAlignment="1"/>
    <xf numFmtId="165" fontId="13" fillId="12" borderId="8" xfId="0" applyNumberFormat="1" applyFont="1" applyFill="1" applyBorder="1" applyAlignment="1">
      <alignment horizontal="center"/>
    </xf>
    <xf numFmtId="165" fontId="13" fillId="12" borderId="0" xfId="0" applyNumberFormat="1" applyFont="1" applyFill="1" applyBorder="1" applyAlignment="1">
      <alignment horizontal="center"/>
    </xf>
    <xf numFmtId="165" fontId="13" fillId="12" borderId="8" xfId="0" applyNumberFormat="1" applyFont="1" applyFill="1" applyBorder="1" applyAlignment="1">
      <alignment horizontal="center" wrapText="1"/>
    </xf>
    <xf numFmtId="165" fontId="13" fillId="12" borderId="0" xfId="0" applyNumberFormat="1" applyFont="1" applyFill="1" applyBorder="1" applyAlignment="1">
      <alignment horizontal="center" wrapText="1"/>
    </xf>
    <xf numFmtId="41" fontId="13" fillId="3" borderId="6" xfId="0" applyNumberFormat="1" applyFont="1" applyFill="1" applyBorder="1" applyAlignment="1"/>
    <xf numFmtId="41" fontId="16" fillId="2" borderId="4" xfId="0" applyNumberFormat="1" applyFont="1" applyFill="1" applyBorder="1" applyAlignment="1">
      <alignment horizontal="left"/>
    </xf>
    <xf numFmtId="41" fontId="0" fillId="0" borderId="4" xfId="0" applyNumberFormat="1" applyBorder="1" applyAlignment="1">
      <alignment horizontal="left"/>
    </xf>
    <xf numFmtId="41" fontId="16" fillId="0" borderId="3" xfId="0" applyNumberFormat="1" applyFont="1" applyBorder="1" applyAlignment="1">
      <alignment horizontal="center"/>
    </xf>
    <xf numFmtId="41" fontId="0" fillId="3" borderId="9" xfId="0" applyNumberFormat="1" applyFill="1" applyBorder="1" applyAlignment="1"/>
    <xf numFmtId="41" fontId="13" fillId="3" borderId="0" xfId="0" applyNumberFormat="1" applyFont="1" applyFill="1" applyBorder="1" applyAlignment="1">
      <alignment horizontal="center"/>
    </xf>
    <xf numFmtId="41" fontId="13" fillId="0" borderId="40" xfId="1" applyNumberFormat="1" applyFont="1" applyBorder="1" applyAlignment="1" applyProtection="1">
      <alignment horizontal="center"/>
      <protection locked="0"/>
    </xf>
    <xf numFmtId="41" fontId="13" fillId="0" borderId="19" xfId="0" applyNumberFormat="1" applyFont="1" applyBorder="1" applyAlignment="1" applyProtection="1">
      <alignment horizontal="center"/>
      <protection locked="0"/>
    </xf>
    <xf numFmtId="41" fontId="13" fillId="0" borderId="41" xfId="0" applyNumberFormat="1" applyFont="1" applyBorder="1" applyAlignment="1" applyProtection="1">
      <alignment horizontal="center"/>
      <protection locked="0"/>
    </xf>
    <xf numFmtId="41" fontId="16" fillId="7" borderId="8" xfId="0" applyNumberFormat="1" applyFont="1" applyFill="1" applyBorder="1" applyAlignment="1">
      <alignment horizontal="right"/>
    </xf>
    <xf numFmtId="41" fontId="16" fillId="7" borderId="6" xfId="0" applyNumberFormat="1" applyFont="1" applyFill="1" applyBorder="1" applyAlignment="1">
      <alignment horizontal="right"/>
    </xf>
    <xf numFmtId="0" fontId="14" fillId="0" borderId="0" xfId="0" applyFont="1" applyBorder="1" applyAlignment="1">
      <alignment horizontal="center" textRotation="90"/>
    </xf>
    <xf numFmtId="41" fontId="13" fillId="0" borderId="0" xfId="0" applyNumberFormat="1" applyFont="1" applyBorder="1" applyAlignment="1" applyProtection="1">
      <alignment horizontal="center"/>
      <protection locked="0"/>
    </xf>
    <xf numFmtId="41" fontId="16" fillId="2" borderId="4" xfId="0" quotePrefix="1" applyNumberFormat="1" applyFont="1" applyFill="1" applyBorder="1" applyAlignment="1">
      <alignment horizontal="center"/>
    </xf>
    <xf numFmtId="41" fontId="16" fillId="2" borderId="11" xfId="1" quotePrefix="1" applyNumberFormat="1" applyFont="1" applyFill="1" applyBorder="1" applyAlignment="1">
      <alignment horizontal="center"/>
    </xf>
    <xf numFmtId="41" fontId="16" fillId="2" borderId="9" xfId="1" applyNumberFormat="1" applyFont="1" applyFill="1" applyBorder="1" applyAlignment="1">
      <alignment horizontal="center"/>
    </xf>
    <xf numFmtId="41" fontId="61" fillId="2" borderId="26" xfId="0" applyNumberFormat="1" applyFont="1" applyFill="1" applyBorder="1" applyAlignment="1">
      <alignment horizontal="center"/>
    </xf>
    <xf numFmtId="41" fontId="61" fillId="2" borderId="10" xfId="0" applyNumberFormat="1" applyFont="1" applyFill="1" applyBorder="1" applyAlignment="1">
      <alignment horizontal="center"/>
    </xf>
    <xf numFmtId="41" fontId="16" fillId="6" borderId="11" xfId="1" applyNumberFormat="1" applyFont="1" applyFill="1" applyBorder="1" applyAlignment="1"/>
    <xf numFmtId="41" fontId="16" fillId="6" borderId="9" xfId="0" applyNumberFormat="1" applyFont="1" applyFill="1" applyBorder="1" applyAlignment="1"/>
    <xf numFmtId="0" fontId="13" fillId="3" borderId="7" xfId="0" applyFont="1" applyFill="1" applyBorder="1"/>
    <xf numFmtId="0" fontId="13" fillId="3" borderId="33" xfId="0" applyFont="1" applyFill="1" applyBorder="1"/>
    <xf numFmtId="0" fontId="13" fillId="3" borderId="28" xfId="0" applyFont="1" applyFill="1" applyBorder="1"/>
    <xf numFmtId="0" fontId="14" fillId="0" borderId="0" xfId="0" applyFont="1" applyBorder="1" applyAlignment="1">
      <alignment textRotation="90"/>
    </xf>
    <xf numFmtId="41" fontId="13" fillId="6" borderId="42" xfId="1" applyNumberFormat="1" applyFont="1" applyFill="1" applyBorder="1" applyAlignment="1">
      <alignment horizontal="center"/>
    </xf>
    <xf numFmtId="41" fontId="13" fillId="6" borderId="35" xfId="1" applyNumberFormat="1" applyFont="1" applyFill="1" applyBorder="1" applyAlignment="1">
      <alignment horizontal="center"/>
    </xf>
    <xf numFmtId="41" fontId="13" fillId="6" borderId="43" xfId="0" applyNumberFormat="1" applyFont="1" applyFill="1" applyBorder="1" applyAlignment="1">
      <alignment horizontal="center"/>
    </xf>
    <xf numFmtId="0" fontId="0" fillId="0" borderId="1" xfId="0" applyBorder="1"/>
    <xf numFmtId="0" fontId="19" fillId="2" borderId="23" xfId="0" applyFont="1" applyFill="1" applyBorder="1" applyAlignment="1">
      <alignment horizontal="center"/>
    </xf>
    <xf numFmtId="0" fontId="19" fillId="2" borderId="7" xfId="0" applyFont="1" applyFill="1" applyBorder="1" applyAlignment="1">
      <alignment horizontal="center"/>
    </xf>
    <xf numFmtId="0" fontId="19" fillId="2" borderId="24" xfId="0" applyFont="1" applyFill="1" applyBorder="1" applyAlignment="1">
      <alignment horizontal="center"/>
    </xf>
    <xf numFmtId="0" fontId="15" fillId="0" borderId="0" xfId="0" applyFont="1" applyAlignment="1">
      <alignment wrapText="1"/>
    </xf>
    <xf numFmtId="0" fontId="0" fillId="0" borderId="0" xfId="0" applyAlignment="1"/>
    <xf numFmtId="0" fontId="13" fillId="2" borderId="23" xfId="0" applyFont="1" applyFill="1" applyBorder="1" applyAlignment="1">
      <alignment horizontal="left" wrapText="1"/>
    </xf>
    <xf numFmtId="0" fontId="13" fillId="2" borderId="7" xfId="0" applyFont="1" applyFill="1" applyBorder="1" applyAlignment="1">
      <alignment horizontal="left" wrapText="1"/>
    </xf>
    <xf numFmtId="0" fontId="13" fillId="2" borderId="24" xfId="0" applyFont="1" applyFill="1" applyBorder="1" applyAlignment="1">
      <alignment horizontal="left" wrapText="1"/>
    </xf>
    <xf numFmtId="0" fontId="13" fillId="2" borderId="23" xfId="0" applyFont="1" applyFill="1" applyBorder="1"/>
    <xf numFmtId="0" fontId="13" fillId="2" borderId="7" xfId="0" applyFont="1" applyFill="1" applyBorder="1"/>
    <xf numFmtId="0" fontId="13" fillId="2" borderId="24" xfId="0" applyFont="1" applyFill="1" applyBorder="1"/>
    <xf numFmtId="0" fontId="13" fillId="2" borderId="23" xfId="0" applyFont="1" applyFill="1" applyBorder="1" applyAlignment="1">
      <alignment wrapText="1"/>
    </xf>
    <xf numFmtId="0" fontId="38" fillId="0" borderId="0" xfId="0" applyFont="1" applyAlignment="1">
      <alignment wrapText="1"/>
    </xf>
    <xf numFmtId="0" fontId="14" fillId="0" borderId="0" xfId="0" applyFont="1" applyFill="1" applyAlignment="1">
      <alignment wrapText="1"/>
    </xf>
    <xf numFmtId="0" fontId="13" fillId="2" borderId="7" xfId="0" applyFont="1" applyFill="1" applyBorder="1" applyAlignment="1">
      <alignment wrapText="1"/>
    </xf>
    <xf numFmtId="0" fontId="13" fillId="2" borderId="24" xfId="0" applyFont="1" applyFill="1" applyBorder="1" applyAlignment="1">
      <alignment wrapText="1"/>
    </xf>
    <xf numFmtId="0" fontId="15" fillId="0" borderId="0" xfId="0" applyFont="1" applyFill="1" applyAlignment="1">
      <alignment wrapText="1"/>
    </xf>
    <xf numFmtId="41" fontId="11" fillId="6" borderId="0" xfId="2" applyNumberFormat="1" applyFill="1" applyProtection="1">
      <protection locked="0"/>
    </xf>
    <xf numFmtId="165" fontId="11" fillId="6" borderId="0" xfId="1" applyNumberFormat="1" applyFill="1" applyProtection="1">
      <protection locked="0"/>
    </xf>
    <xf numFmtId="41" fontId="11" fillId="6" borderId="12" xfId="2" applyNumberFormat="1" applyFill="1" applyBorder="1" applyProtection="1">
      <protection locked="0"/>
    </xf>
    <xf numFmtId="165" fontId="14" fillId="0" borderId="0" xfId="1" applyNumberFormat="1" applyFont="1" applyFill="1" applyAlignment="1">
      <alignment wrapText="1"/>
    </xf>
    <xf numFmtId="0" fontId="0" fillId="0" borderId="17" xfId="0" applyBorder="1" applyAlignment="1">
      <alignment horizontal="center"/>
    </xf>
    <xf numFmtId="0" fontId="0" fillId="0" borderId="19" xfId="0" applyBorder="1" applyAlignment="1">
      <alignment horizontal="center"/>
    </xf>
    <xf numFmtId="0" fontId="42" fillId="4" borderId="2" xfId="0" applyFont="1" applyFill="1" applyBorder="1"/>
    <xf numFmtId="0" fontId="42" fillId="4" borderId="0" xfId="0" applyFont="1" applyFill="1" applyBorder="1"/>
    <xf numFmtId="0" fontId="11" fillId="13" borderId="0" xfId="0" applyFont="1" applyFill="1" applyAlignment="1">
      <alignment wrapText="1"/>
    </xf>
    <xf numFmtId="0" fontId="0" fillId="13" borderId="0" xfId="0" applyFill="1" applyAlignment="1">
      <alignment wrapText="1"/>
    </xf>
    <xf numFmtId="0" fontId="0" fillId="0" borderId="12" xfId="0" applyBorder="1" applyAlignment="1">
      <alignment horizontal="center"/>
    </xf>
    <xf numFmtId="166" fontId="38" fillId="0" borderId="0" xfId="2" applyNumberFormat="1" applyFont="1" applyFill="1" applyBorder="1" applyAlignment="1">
      <alignment wrapText="1"/>
    </xf>
    <xf numFmtId="0" fontId="21" fillId="2" borderId="7" xfId="0" applyFont="1" applyFill="1" applyBorder="1"/>
    <xf numFmtId="0" fontId="21" fillId="2" borderId="24" xfId="0" applyFont="1" applyFill="1" applyBorder="1"/>
    <xf numFmtId="0" fontId="12" fillId="0" borderId="0" xfId="0" applyFont="1" applyAlignment="1">
      <alignment wrapText="1"/>
    </xf>
    <xf numFmtId="166" fontId="38" fillId="0" borderId="0" xfId="2" applyNumberFormat="1" applyFont="1" applyFill="1" applyAlignment="1">
      <alignment wrapText="1"/>
    </xf>
    <xf numFmtId="0" fontId="13" fillId="2" borderId="23" xfId="0" applyFont="1" applyFill="1" applyBorder="1" applyAlignment="1"/>
    <xf numFmtId="0" fontId="13" fillId="2" borderId="7" xfId="0" applyFont="1" applyFill="1" applyBorder="1" applyAlignment="1"/>
    <xf numFmtId="0" fontId="13" fillId="2" borderId="24" xfId="0" applyFont="1" applyFill="1" applyBorder="1" applyAlignment="1"/>
    <xf numFmtId="165" fontId="14" fillId="0" borderId="0" xfId="1" applyNumberFormat="1" applyFont="1" applyAlignment="1">
      <alignment wrapText="1"/>
    </xf>
    <xf numFmtId="165" fontId="0" fillId="6" borderId="0" xfId="1" applyNumberFormat="1" applyFont="1" applyFill="1" applyProtection="1">
      <protection locked="0"/>
    </xf>
    <xf numFmtId="0" fontId="0" fillId="6" borderId="0" xfId="0" applyFill="1" applyProtection="1">
      <protection locked="0"/>
    </xf>
    <xf numFmtId="0" fontId="0" fillId="6" borderId="12" xfId="0" applyFill="1" applyBorder="1" applyProtection="1">
      <protection locked="0"/>
    </xf>
    <xf numFmtId="165" fontId="0" fillId="6" borderId="12" xfId="1" applyNumberFormat="1" applyFont="1" applyFill="1" applyBorder="1" applyProtection="1">
      <protection locked="0"/>
    </xf>
    <xf numFmtId="165" fontId="14" fillId="0" borderId="0" xfId="1" applyNumberFormat="1" applyFont="1" applyFill="1" applyBorder="1" applyAlignment="1">
      <alignment wrapText="1"/>
    </xf>
    <xf numFmtId="165" fontId="0" fillId="6" borderId="0" xfId="1" applyNumberFormat="1" applyFont="1" applyFill="1" applyBorder="1" applyProtection="1">
      <protection locked="0"/>
    </xf>
    <xf numFmtId="0" fontId="23" fillId="0" borderId="0" xfId="0" applyFont="1" applyAlignment="1">
      <alignment wrapText="1"/>
    </xf>
    <xf numFmtId="0" fontId="13" fillId="6" borderId="0" xfId="0" applyFont="1" applyFill="1" applyBorder="1" applyProtection="1">
      <protection locked="0"/>
    </xf>
    <xf numFmtId="0" fontId="0" fillId="0" borderId="12" xfId="0" applyFill="1" applyBorder="1" applyAlignment="1">
      <alignment horizontal="center"/>
    </xf>
    <xf numFmtId="0" fontId="0" fillId="0" borderId="0" xfId="0" applyFill="1"/>
    <xf numFmtId="0" fontId="0" fillId="0" borderId="17" xfId="0" applyFill="1" applyBorder="1" applyAlignment="1">
      <alignment horizontal="center"/>
    </xf>
    <xf numFmtId="0" fontId="0" fillId="0" borderId="19" xfId="0" applyFill="1" applyBorder="1" applyAlignment="1">
      <alignment horizontal="center"/>
    </xf>
    <xf numFmtId="0" fontId="13" fillId="0" borderId="0" xfId="0" applyFont="1" applyFill="1" applyBorder="1" applyAlignment="1">
      <alignment horizontal="center"/>
    </xf>
    <xf numFmtId="0" fontId="28" fillId="0" borderId="0" xfId="0" applyFont="1" applyAlignment="1">
      <alignment wrapText="1"/>
    </xf>
    <xf numFmtId="165" fontId="0" fillId="2" borderId="0" xfId="0" applyNumberFormat="1" applyFill="1"/>
    <xf numFmtId="168" fontId="0" fillId="2" borderId="0" xfId="0" applyNumberFormat="1" applyFill="1"/>
    <xf numFmtId="165" fontId="0" fillId="0" borderId="0" xfId="1" applyNumberFormat="1" applyFont="1" applyAlignment="1">
      <alignment horizontal="right" wrapText="1"/>
    </xf>
    <xf numFmtId="41" fontId="0" fillId="0" borderId="0" xfId="1" applyNumberFormat="1" applyFont="1" applyAlignment="1">
      <alignment horizontal="right"/>
    </xf>
    <xf numFmtId="0" fontId="0" fillId="0" borderId="0" xfId="0" applyAlignment="1">
      <alignment horizontal="left" wrapText="1"/>
    </xf>
    <xf numFmtId="0" fontId="65" fillId="0" borderId="0" xfId="0" applyFont="1" applyAlignment="1">
      <alignment wrapText="1"/>
    </xf>
    <xf numFmtId="168" fontId="0" fillId="2" borderId="0" xfId="1" applyNumberFormat="1" applyFont="1" applyFill="1"/>
    <xf numFmtId="169" fontId="0" fillId="6" borderId="0" xfId="1" applyNumberFormat="1" applyFont="1" applyFill="1" applyProtection="1">
      <protection locked="0"/>
    </xf>
    <xf numFmtId="165" fontId="0" fillId="2" borderId="0" xfId="1" applyNumberFormat="1" applyFont="1" applyFill="1"/>
    <xf numFmtId="0" fontId="40" fillId="0" borderId="0" xfId="0" quotePrefix="1" applyFont="1" applyBorder="1" applyAlignment="1">
      <alignment horizontal="center" textRotation="90"/>
    </xf>
    <xf numFmtId="0" fontId="40" fillId="0" borderId="0" xfId="0" applyFont="1" applyBorder="1" applyAlignment="1">
      <alignment horizontal="center" textRotation="90"/>
    </xf>
    <xf numFmtId="0" fontId="0" fillId="0" borderId="0" xfId="0" applyFill="1" applyBorder="1"/>
    <xf numFmtId="165" fontId="0" fillId="6" borderId="1" xfId="1" applyNumberFormat="1" applyFont="1" applyFill="1" applyBorder="1" applyProtection="1">
      <protection locked="0"/>
    </xf>
    <xf numFmtId="0" fontId="13" fillId="0" borderId="0" xfId="0" applyFont="1" applyFill="1" applyBorder="1"/>
    <xf numFmtId="0" fontId="31" fillId="4" borderId="23" xfId="0" applyFont="1" applyFill="1" applyBorder="1"/>
    <xf numFmtId="0" fontId="31" fillId="4" borderId="7" xfId="0" applyFont="1" applyFill="1" applyBorder="1"/>
    <xf numFmtId="165" fontId="11" fillId="6" borderId="0" xfId="1" applyNumberFormat="1" applyFill="1" applyBorder="1" applyProtection="1">
      <protection locked="0"/>
    </xf>
    <xf numFmtId="165" fontId="11" fillId="6" borderId="1" xfId="1" applyNumberFormat="1" applyFill="1" applyBorder="1" applyProtection="1">
      <protection locked="0"/>
    </xf>
    <xf numFmtId="0" fontId="36" fillId="0" borderId="0" xfId="0" applyFont="1" applyAlignment="1">
      <alignment horizontal="right" wrapText="1"/>
    </xf>
    <xf numFmtId="0" fontId="13" fillId="0" borderId="17" xfId="0" applyFont="1" applyBorder="1" applyAlignment="1">
      <alignment horizontal="center"/>
    </xf>
    <xf numFmtId="0" fontId="13" fillId="0" borderId="19" xfId="0" applyFont="1" applyBorder="1" applyAlignment="1">
      <alignment horizontal="center"/>
    </xf>
    <xf numFmtId="0" fontId="31" fillId="4" borderId="24" xfId="0" applyFont="1" applyFill="1" applyBorder="1"/>
    <xf numFmtId="0" fontId="13" fillId="0" borderId="12" xfId="0" applyFont="1" applyBorder="1" applyAlignment="1">
      <alignment horizontal="center"/>
    </xf>
    <xf numFmtId="0" fontId="15" fillId="0" borderId="0" xfId="0" applyFont="1" applyFill="1"/>
    <xf numFmtId="165" fontId="14" fillId="0" borderId="0" xfId="1" applyNumberFormat="1" applyFont="1" applyBorder="1" applyAlignment="1">
      <alignment wrapText="1"/>
    </xf>
    <xf numFmtId="0" fontId="0" fillId="2" borderId="7" xfId="0" applyFill="1" applyBorder="1"/>
    <xf numFmtId="0" fontId="0" fillId="2" borderId="24" xfId="0" applyFill="1" applyBorder="1"/>
    <xf numFmtId="0" fontId="21" fillId="0" borderId="0" xfId="0" applyFont="1"/>
    <xf numFmtId="0" fontId="0" fillId="0" borderId="0" xfId="0" applyAlignment="1">
      <alignment vertical="top" wrapText="1"/>
    </xf>
    <xf numFmtId="0" fontId="21" fillId="0" borderId="0" xfId="0" applyFont="1" applyAlignment="1">
      <alignment horizontal="center"/>
    </xf>
    <xf numFmtId="0" fontId="13" fillId="2" borderId="23" xfId="0" applyFont="1" applyFill="1" applyBorder="1" applyAlignment="1">
      <alignment vertical="top" wrapText="1"/>
    </xf>
    <xf numFmtId="0" fontId="13" fillId="2" borderId="7" xfId="0" applyFont="1" applyFill="1" applyBorder="1" applyAlignment="1">
      <alignment vertical="top" wrapText="1"/>
    </xf>
    <xf numFmtId="0" fontId="13" fillId="2" borderId="24" xfId="0" applyFont="1" applyFill="1" applyBorder="1" applyAlignment="1">
      <alignment vertical="top" wrapText="1"/>
    </xf>
    <xf numFmtId="0" fontId="11" fillId="0" borderId="0" xfId="0" applyFont="1" applyAlignment="1">
      <alignment horizontal="left" vertical="top" wrapText="1"/>
    </xf>
    <xf numFmtId="0" fontId="13" fillId="2" borderId="1" xfId="0" applyFont="1" applyFill="1" applyBorder="1" applyAlignment="1"/>
    <xf numFmtId="0" fontId="11" fillId="0" borderId="17" xfId="0" applyFont="1" applyFill="1" applyBorder="1" applyAlignment="1">
      <alignment horizontal="center"/>
    </xf>
    <xf numFmtId="165" fontId="52" fillId="0" borderId="0" xfId="1" applyNumberFormat="1" applyFont="1" applyBorder="1" applyAlignment="1">
      <alignment horizontal="center"/>
    </xf>
    <xf numFmtId="0" fontId="13" fillId="0" borderId="23" xfId="0" applyFont="1" applyBorder="1" applyAlignment="1" applyProtection="1">
      <alignment horizontal="center" wrapText="1"/>
      <protection locked="0"/>
    </xf>
    <xf numFmtId="0" fontId="13" fillId="0" borderId="7" xfId="0" applyFont="1" applyBorder="1" applyAlignment="1" applyProtection="1">
      <alignment horizontal="center" wrapText="1"/>
      <protection locked="0"/>
    </xf>
    <xf numFmtId="0" fontId="13" fillId="0" borderId="24" xfId="0" applyFont="1" applyBorder="1" applyAlignment="1" applyProtection="1">
      <alignment horizontal="center" wrapText="1"/>
      <protection locked="0"/>
    </xf>
    <xf numFmtId="165" fontId="24" fillId="0" borderId="0" xfId="1" applyNumberFormat="1" applyFont="1" applyBorder="1" applyAlignment="1">
      <alignment horizontal="right"/>
    </xf>
    <xf numFmtId="0" fontId="11" fillId="0" borderId="12" xfId="0" applyFont="1" applyFill="1" applyBorder="1" applyAlignment="1">
      <alignment horizontal="center"/>
    </xf>
    <xf numFmtId="0" fontId="0" fillId="18" borderId="0" xfId="0" applyFill="1" applyBorder="1" applyAlignment="1">
      <alignment horizontal="center"/>
    </xf>
    <xf numFmtId="165" fontId="15" fillId="6" borderId="0" xfId="1" applyNumberFormat="1" applyFont="1" applyFill="1" applyBorder="1" applyProtection="1">
      <protection locked="0"/>
    </xf>
    <xf numFmtId="0" fontId="0" fillId="0" borderId="7" xfId="0" applyBorder="1" applyAlignment="1">
      <alignment wrapText="1"/>
    </xf>
    <xf numFmtId="0" fontId="0" fillId="0" borderId="24" xfId="0" applyBorder="1" applyAlignment="1">
      <alignment wrapText="1"/>
    </xf>
    <xf numFmtId="0" fontId="11" fillId="0" borderId="0" xfId="0" applyFont="1" applyAlignment="1">
      <alignment vertical="top" wrapText="1"/>
    </xf>
    <xf numFmtId="165" fontId="11" fillId="6" borderId="0" xfId="1" applyNumberFormat="1" applyFont="1" applyFill="1" applyBorder="1" applyProtection="1">
      <protection locked="0"/>
    </xf>
    <xf numFmtId="165" fontId="11" fillId="6" borderId="1" xfId="1" applyNumberFormat="1" applyFont="1" applyFill="1" applyBorder="1" applyProtection="1">
      <protection locked="0"/>
    </xf>
    <xf numFmtId="0" fontId="0" fillId="0" borderId="0" xfId="0" applyFill="1" applyAlignment="1">
      <alignment vertical="top" wrapText="1"/>
    </xf>
    <xf numFmtId="0" fontId="11" fillId="0" borderId="1" xfId="0" applyFont="1" applyBorder="1" applyAlignment="1">
      <alignment vertical="top" wrapText="1"/>
    </xf>
    <xf numFmtId="0" fontId="0" fillId="0" borderId="1" xfId="0" applyBorder="1" applyAlignment="1">
      <alignment vertical="top" wrapText="1"/>
    </xf>
    <xf numFmtId="0" fontId="14" fillId="0" borderId="2" xfId="0" applyFont="1" applyBorder="1" applyAlignment="1">
      <alignment horizontal="center"/>
    </xf>
    <xf numFmtId="0" fontId="14" fillId="0" borderId="0" xfId="0" applyFont="1" applyBorder="1" applyAlignment="1">
      <alignment horizontal="center"/>
    </xf>
    <xf numFmtId="0" fontId="14" fillId="0" borderId="20" xfId="0" applyFont="1" applyBorder="1" applyAlignment="1">
      <alignment horizontal="center"/>
    </xf>
    <xf numFmtId="0" fontId="0" fillId="2" borderId="2" xfId="0" applyFill="1" applyBorder="1" applyAlignment="1">
      <alignment horizontal="center"/>
    </xf>
    <xf numFmtId="0" fontId="0" fillId="2" borderId="0" xfId="0" applyFill="1" applyBorder="1" applyAlignment="1">
      <alignment horizontal="center"/>
    </xf>
    <xf numFmtId="0" fontId="0" fillId="2" borderId="20" xfId="0" applyFill="1" applyBorder="1" applyAlignment="1">
      <alignment horizontal="center"/>
    </xf>
    <xf numFmtId="165" fontId="24" fillId="0" borderId="0" xfId="1" applyNumberFormat="1" applyFont="1" applyBorder="1" applyAlignment="1">
      <alignment horizontal="left"/>
    </xf>
    <xf numFmtId="165" fontId="14" fillId="0" borderId="0" xfId="0" applyNumberFormat="1" applyFont="1" applyAlignment="1">
      <alignment wrapText="1"/>
    </xf>
    <xf numFmtId="165" fontId="15" fillId="6" borderId="0" xfId="1" applyNumberFormat="1" applyFont="1" applyFill="1" applyProtection="1">
      <protection locked="0"/>
    </xf>
    <xf numFmtId="9" fontId="40" fillId="5" borderId="0" xfId="3" applyFont="1" applyFill="1" applyAlignment="1">
      <alignment wrapText="1"/>
    </xf>
    <xf numFmtId="0" fontId="13" fillId="0" borderId="0" xfId="0" applyFont="1" applyAlignment="1">
      <alignment horizontal="left" wrapText="1"/>
    </xf>
    <xf numFmtId="0" fontId="13" fillId="0" borderId="0" xfId="0" applyFont="1" applyAlignment="1">
      <alignment horizontal="left"/>
    </xf>
    <xf numFmtId="165" fontId="0" fillId="6" borderId="0" xfId="1" applyNumberFormat="1" applyFont="1" applyFill="1" applyAlignment="1" applyProtection="1">
      <alignment horizontal="left" indent="2"/>
      <protection locked="0"/>
    </xf>
    <xf numFmtId="0" fontId="13" fillId="2" borderId="17" xfId="0" applyFont="1" applyFill="1" applyBorder="1" applyAlignment="1">
      <alignment horizontal="left" wrapText="1"/>
    </xf>
    <xf numFmtId="0" fontId="13" fillId="2" borderId="12" xfId="0" applyFont="1" applyFill="1" applyBorder="1" applyAlignment="1">
      <alignment horizontal="left" wrapText="1"/>
    </xf>
    <xf numFmtId="0" fontId="13" fillId="2" borderId="19" xfId="0" applyFont="1" applyFill="1" applyBorder="1" applyAlignment="1">
      <alignment horizontal="left" wrapText="1"/>
    </xf>
    <xf numFmtId="0" fontId="13" fillId="2" borderId="13" xfId="0" applyFont="1" applyFill="1" applyBorder="1" applyAlignment="1">
      <alignment horizontal="left" wrapText="1"/>
    </xf>
    <xf numFmtId="0" fontId="13" fillId="2" borderId="1" xfId="0" applyFont="1" applyFill="1" applyBorder="1" applyAlignment="1">
      <alignment horizontal="left" wrapText="1"/>
    </xf>
    <xf numFmtId="0" fontId="13" fillId="2" borderId="14" xfId="0" applyFont="1" applyFill="1" applyBorder="1" applyAlignment="1">
      <alignment horizontal="left" wrapText="1"/>
    </xf>
    <xf numFmtId="0" fontId="49" fillId="5" borderId="0" xfId="0" applyFont="1" applyFill="1" applyAlignment="1">
      <alignment wrapText="1"/>
    </xf>
    <xf numFmtId="9" fontId="52" fillId="0" borderId="44" xfId="3" applyFont="1" applyFill="1" applyBorder="1" applyAlignment="1">
      <alignment horizontal="left" wrapText="1"/>
    </xf>
    <xf numFmtId="9" fontId="52" fillId="0" borderId="45" xfId="3" applyFont="1" applyFill="1" applyBorder="1" applyAlignment="1">
      <alignment horizontal="left" wrapText="1"/>
    </xf>
    <xf numFmtId="9" fontId="52" fillId="0" borderId="46" xfId="3" applyFont="1" applyFill="1" applyBorder="1" applyAlignment="1">
      <alignment horizontal="left" wrapText="1"/>
    </xf>
    <xf numFmtId="0" fontId="13" fillId="2" borderId="17" xfId="0" applyFont="1" applyFill="1" applyBorder="1" applyAlignment="1">
      <alignment wrapText="1"/>
    </xf>
    <xf numFmtId="0" fontId="13" fillId="2" borderId="12" xfId="0" applyFont="1" applyFill="1" applyBorder="1" applyAlignment="1">
      <alignment wrapText="1"/>
    </xf>
    <xf numFmtId="0" fontId="13" fillId="2" borderId="19" xfId="0" applyFont="1" applyFill="1" applyBorder="1" applyAlignment="1">
      <alignment wrapText="1"/>
    </xf>
    <xf numFmtId="0" fontId="13" fillId="2" borderId="13" xfId="0" applyFont="1" applyFill="1" applyBorder="1" applyAlignment="1">
      <alignment wrapText="1"/>
    </xf>
    <xf numFmtId="0" fontId="13" fillId="2" borderId="1" xfId="0" applyFont="1" applyFill="1" applyBorder="1" applyAlignment="1">
      <alignment wrapText="1"/>
    </xf>
    <xf numFmtId="0" fontId="13" fillId="2" borderId="14" xfId="0" applyFont="1" applyFill="1" applyBorder="1" applyAlignment="1">
      <alignment wrapText="1"/>
    </xf>
    <xf numFmtId="0" fontId="62" fillId="0" borderId="0" xfId="0" applyFont="1" applyAlignment="1">
      <alignment horizontal="center"/>
    </xf>
    <xf numFmtId="0" fontId="13" fillId="0" borderId="1" xfId="0" applyFont="1" applyBorder="1" applyAlignment="1">
      <alignment horizontal="center"/>
    </xf>
    <xf numFmtId="0" fontId="31" fillId="2" borderId="17" xfId="0" applyFont="1" applyFill="1" applyBorder="1" applyAlignment="1">
      <alignment horizontal="center"/>
    </xf>
    <xf numFmtId="0" fontId="31" fillId="2" borderId="12" xfId="0" applyFont="1" applyFill="1" applyBorder="1" applyAlignment="1">
      <alignment horizontal="center"/>
    </xf>
    <xf numFmtId="0" fontId="31" fillId="2" borderId="19" xfId="0" applyFont="1" applyFill="1" applyBorder="1" applyAlignment="1">
      <alignment horizontal="center"/>
    </xf>
    <xf numFmtId="0" fontId="31" fillId="2" borderId="13" xfId="0" applyFont="1" applyFill="1" applyBorder="1" applyAlignment="1">
      <alignment horizontal="center"/>
    </xf>
    <xf numFmtId="0" fontId="31" fillId="2" borderId="1" xfId="0" applyFont="1" applyFill="1" applyBorder="1" applyAlignment="1">
      <alignment horizontal="center"/>
    </xf>
    <xf numFmtId="0" fontId="31" fillId="2" borderId="14" xfId="0" applyFont="1" applyFill="1" applyBorder="1" applyAlignment="1">
      <alignment horizontal="center"/>
    </xf>
    <xf numFmtId="0" fontId="15" fillId="0" borderId="0" xfId="0" applyFont="1" applyFill="1" applyBorder="1" applyAlignment="1">
      <alignment horizontal="left" wrapText="1"/>
    </xf>
    <xf numFmtId="0" fontId="0" fillId="0" borderId="20" xfId="0" applyBorder="1" applyAlignment="1">
      <alignment wrapText="1"/>
    </xf>
    <xf numFmtId="165" fontId="11" fillId="6" borderId="0" xfId="1" applyNumberFormat="1" applyFill="1" applyAlignment="1" applyProtection="1">
      <alignment horizontal="left" indent="2"/>
      <protection locked="0"/>
    </xf>
    <xf numFmtId="0" fontId="42" fillId="0" borderId="0" xfId="0" applyFont="1" applyAlignment="1">
      <alignment horizontal="center"/>
    </xf>
    <xf numFmtId="0" fontId="0" fillId="0" borderId="0" xfId="0" applyAlignment="1">
      <alignment horizontal="center"/>
    </xf>
    <xf numFmtId="0" fontId="15" fillId="0" borderId="0" xfId="0" applyFont="1" applyBorder="1" applyAlignment="1">
      <alignment horizontal="left" wrapText="1"/>
    </xf>
    <xf numFmtId="0" fontId="13" fillId="0" borderId="0" xfId="0" applyFont="1" applyFill="1" applyAlignment="1">
      <alignment horizontal="left" wrapText="1"/>
    </xf>
    <xf numFmtId="0" fontId="13" fillId="0" borderId="0" xfId="0" applyFont="1" applyFill="1" applyAlignment="1">
      <alignment horizontal="left"/>
    </xf>
    <xf numFmtId="165" fontId="14" fillId="0" borderId="1" xfId="1" applyNumberFormat="1" applyFont="1" applyBorder="1" applyAlignment="1">
      <alignment wrapText="1"/>
    </xf>
    <xf numFmtId="0" fontId="24" fillId="0" borderId="44" xfId="0" applyFont="1" applyBorder="1" applyAlignment="1">
      <alignment wrapText="1"/>
    </xf>
    <xf numFmtId="0" fontId="0" fillId="0" borderId="45" xfId="0" applyBorder="1" applyAlignment="1">
      <alignment wrapText="1"/>
    </xf>
    <xf numFmtId="0" fontId="0" fillId="0" borderId="46" xfId="0" applyBorder="1" applyAlignment="1">
      <alignment wrapText="1"/>
    </xf>
    <xf numFmtId="0" fontId="13" fillId="2" borderId="1" xfId="0" applyFont="1" applyFill="1" applyBorder="1"/>
    <xf numFmtId="0" fontId="0" fillId="0" borderId="1" xfId="0" applyBorder="1" applyAlignment="1">
      <alignment horizontal="center"/>
    </xf>
    <xf numFmtId="3" fontId="0" fillId="6" borderId="0" xfId="0" applyNumberFormat="1" applyFill="1" applyProtection="1">
      <protection locked="0"/>
    </xf>
    <xf numFmtId="0" fontId="59" fillId="2" borderId="23" xfId="0" applyFont="1" applyFill="1" applyBorder="1" applyAlignment="1">
      <alignment horizontal="center"/>
    </xf>
    <xf numFmtId="0" fontId="59" fillId="2" borderId="7" xfId="0" applyFont="1" applyFill="1" applyBorder="1" applyAlignment="1">
      <alignment horizontal="center"/>
    </xf>
    <xf numFmtId="0" fontId="59" fillId="2" borderId="24" xfId="0" applyFont="1" applyFill="1" applyBorder="1" applyAlignment="1">
      <alignment horizontal="center"/>
    </xf>
    <xf numFmtId="0" fontId="31" fillId="2" borderId="23" xfId="0" applyFont="1" applyFill="1" applyBorder="1" applyAlignment="1">
      <alignment horizontal="center"/>
    </xf>
    <xf numFmtId="0" fontId="31" fillId="2" borderId="7" xfId="0" applyFont="1" applyFill="1" applyBorder="1" applyAlignment="1">
      <alignment horizontal="center"/>
    </xf>
    <xf numFmtId="0" fontId="31" fillId="2" borderId="24" xfId="0" applyFont="1" applyFill="1" applyBorder="1" applyAlignment="1">
      <alignment horizontal="center"/>
    </xf>
    <xf numFmtId="0" fontId="12" fillId="0" borderId="12" xfId="0" applyFont="1" applyBorder="1" applyAlignment="1">
      <alignment horizontal="center"/>
    </xf>
    <xf numFmtId="0" fontId="15" fillId="0" borderId="0" xfId="0" applyFont="1" applyFill="1" applyBorder="1" applyAlignment="1">
      <alignment wrapText="1"/>
    </xf>
    <xf numFmtId="0" fontId="0" fillId="0" borderId="0" xfId="0" applyFill="1" applyBorder="1" applyAlignment="1">
      <alignment wrapText="1"/>
    </xf>
    <xf numFmtId="0" fontId="15" fillId="0" borderId="1" xfId="0" applyFont="1" applyBorder="1" applyAlignment="1">
      <alignment wrapText="1"/>
    </xf>
    <xf numFmtId="0" fontId="0" fillId="0" borderId="1" xfId="0" applyBorder="1" applyAlignment="1">
      <alignment wrapText="1"/>
    </xf>
    <xf numFmtId="0" fontId="31" fillId="2" borderId="23" xfId="0" applyFont="1" applyFill="1" applyBorder="1" applyAlignment="1">
      <alignment horizontal="center" wrapText="1"/>
    </xf>
    <xf numFmtId="0" fontId="31" fillId="2" borderId="7" xfId="0" applyFont="1" applyFill="1" applyBorder="1" applyAlignment="1">
      <alignment horizontal="center" wrapText="1"/>
    </xf>
    <xf numFmtId="0" fontId="31" fillId="2" borderId="24" xfId="0" applyFont="1" applyFill="1" applyBorder="1" applyAlignment="1">
      <alignment horizontal="center" wrapText="1"/>
    </xf>
    <xf numFmtId="0" fontId="14" fillId="0" borderId="0" xfId="0" applyFont="1" applyAlignment="1">
      <alignment horizontal="left" wrapText="1" indent="1"/>
    </xf>
    <xf numFmtId="0" fontId="14" fillId="0" borderId="0" xfId="0" applyFont="1" applyBorder="1" applyAlignment="1">
      <alignment horizontal="left" wrapText="1" indent="1"/>
    </xf>
    <xf numFmtId="0" fontId="11" fillId="0" borderId="0" xfId="0" applyFont="1" applyFill="1" applyBorder="1" applyAlignment="1">
      <alignment wrapText="1"/>
    </xf>
    <xf numFmtId="0" fontId="72" fillId="0" borderId="0" xfId="0" applyFont="1" applyAlignment="1">
      <alignment horizontal="left" vertical="top" wrapText="1" readingOrder="1"/>
    </xf>
    <xf numFmtId="0" fontId="13" fillId="2" borderId="23" xfId="0" applyFont="1" applyFill="1" applyBorder="1" applyAlignment="1">
      <alignment horizontal="left"/>
    </xf>
    <xf numFmtId="0" fontId="13" fillId="2" borderId="7" xfId="0" applyFont="1" applyFill="1" applyBorder="1" applyAlignment="1">
      <alignment horizontal="left"/>
    </xf>
    <xf numFmtId="0" fontId="13" fillId="2" borderId="24" xfId="0" applyFont="1" applyFill="1" applyBorder="1" applyAlignment="1">
      <alignment horizontal="left"/>
    </xf>
    <xf numFmtId="0" fontId="76" fillId="0" borderId="17" xfId="0" applyFont="1" applyFill="1" applyBorder="1" applyAlignment="1">
      <alignment horizontal="center"/>
    </xf>
    <xf numFmtId="0" fontId="76" fillId="0" borderId="12" xfId="0" applyFont="1" applyFill="1" applyBorder="1" applyAlignment="1">
      <alignment horizontal="center"/>
    </xf>
    <xf numFmtId="0" fontId="76" fillId="0" borderId="19" xfId="0" applyFont="1" applyFill="1" applyBorder="1" applyAlignment="1">
      <alignment horizontal="center"/>
    </xf>
    <xf numFmtId="0" fontId="19" fillId="4" borderId="0" xfId="0" applyFont="1" applyFill="1" applyAlignment="1">
      <alignment horizontal="left" vertical="center"/>
    </xf>
    <xf numFmtId="0" fontId="79" fillId="0" borderId="1" xfId="0" applyFont="1" applyFill="1" applyBorder="1" applyAlignment="1">
      <alignment horizontal="center"/>
    </xf>
    <xf numFmtId="0" fontId="73" fillId="2" borderId="23" xfId="0" applyFont="1" applyFill="1" applyBorder="1" applyAlignment="1">
      <alignment horizontal="left"/>
    </xf>
    <xf numFmtId="0" fontId="73" fillId="2" borderId="24" xfId="0" applyFont="1" applyFill="1" applyBorder="1" applyAlignment="1">
      <alignment horizontal="left"/>
    </xf>
    <xf numFmtId="0" fontId="13" fillId="0" borderId="0" xfId="0" applyFont="1" applyAlignment="1">
      <alignment horizontal="left" vertical="top" wrapText="1"/>
    </xf>
    <xf numFmtId="0" fontId="80" fillId="0" borderId="0" xfId="14" applyFont="1" applyAlignment="1">
      <alignment horizontal="left" vertical="top" wrapText="1"/>
    </xf>
    <xf numFmtId="0" fontId="11" fillId="0" borderId="17" xfId="0" applyFont="1" applyBorder="1" applyAlignment="1">
      <alignment horizontal="center"/>
    </xf>
    <xf numFmtId="0" fontId="11" fillId="0" borderId="19" xfId="0" applyFont="1" applyBorder="1" applyAlignment="1">
      <alignment horizontal="center"/>
    </xf>
    <xf numFmtId="0" fontId="11" fillId="0" borderId="0" xfId="0" applyFont="1" applyAlignment="1">
      <alignment vertical="center" wrapText="1"/>
    </xf>
    <xf numFmtId="0" fontId="0" fillId="0" borderId="0" xfId="0" applyAlignment="1">
      <alignment vertical="center" wrapText="1"/>
    </xf>
    <xf numFmtId="0" fontId="73" fillId="17" borderId="23" xfId="0" applyFont="1" applyFill="1" applyBorder="1" applyAlignment="1">
      <alignment horizontal="left" vertical="top" wrapText="1"/>
    </xf>
    <xf numFmtId="0" fontId="73" fillId="17" borderId="7" xfId="0" applyFont="1" applyFill="1" applyBorder="1" applyAlignment="1">
      <alignment horizontal="left" vertical="top" wrapText="1"/>
    </xf>
    <xf numFmtId="0" fontId="73" fillId="17" borderId="24" xfId="0" applyFont="1" applyFill="1" applyBorder="1" applyAlignment="1">
      <alignment horizontal="left" vertical="top" wrapText="1"/>
    </xf>
    <xf numFmtId="0" fontId="76" fillId="0" borderId="0" xfId="0" applyFont="1" applyAlignment="1">
      <alignment horizontal="left" wrapText="1"/>
    </xf>
    <xf numFmtId="0" fontId="81" fillId="0" borderId="0" xfId="17" applyFont="1" applyAlignment="1">
      <alignment horizontal="left" wrapText="1"/>
    </xf>
    <xf numFmtId="0" fontId="11" fillId="0" borderId="0" xfId="16" applyFont="1" applyAlignment="1">
      <alignment horizontal="left" vertical="top" wrapText="1"/>
    </xf>
    <xf numFmtId="0" fontId="11" fillId="0" borderId="0" xfId="16" applyAlignment="1">
      <alignment horizontal="left" vertical="top" wrapText="1"/>
    </xf>
    <xf numFmtId="0" fontId="11" fillId="0" borderId="17" xfId="16" applyFont="1" applyBorder="1" applyAlignment="1">
      <alignment horizontal="center"/>
    </xf>
    <xf numFmtId="0" fontId="11" fillId="0" borderId="19" xfId="16" applyFont="1" applyBorder="1" applyAlignment="1">
      <alignment horizontal="center"/>
    </xf>
    <xf numFmtId="0" fontId="80" fillId="0" borderId="0" xfId="17" applyFont="1" applyAlignment="1">
      <alignment horizontal="left" wrapText="1"/>
    </xf>
    <xf numFmtId="0" fontId="31" fillId="2" borderId="23" xfId="16" applyFont="1" applyFill="1" applyBorder="1" applyAlignment="1">
      <alignment horizontal="center"/>
    </xf>
    <xf numFmtId="0" fontId="31" fillId="2" borderId="7" xfId="16" applyFont="1" applyFill="1" applyBorder="1" applyAlignment="1">
      <alignment horizontal="center"/>
    </xf>
    <xf numFmtId="0" fontId="31" fillId="2" borderId="24" xfId="16" applyFont="1" applyFill="1" applyBorder="1" applyAlignment="1">
      <alignment horizontal="center"/>
    </xf>
    <xf numFmtId="0" fontId="11" fillId="0" borderId="0" xfId="16" applyFont="1" applyAlignment="1" applyProtection="1">
      <alignment horizontal="left" vertical="top" wrapText="1" readingOrder="1"/>
      <protection locked="0"/>
    </xf>
    <xf numFmtId="0" fontId="11" fillId="0" borderId="0" xfId="16" applyFont="1" applyAlignment="1">
      <alignment horizontal="left" vertical="top" wrapText="1" readingOrder="1"/>
    </xf>
    <xf numFmtId="0" fontId="13" fillId="2" borderId="23" xfId="16" applyFont="1" applyFill="1" applyBorder="1" applyAlignment="1">
      <alignment horizontal="left"/>
    </xf>
    <xf numFmtId="0" fontId="13" fillId="2" borderId="7" xfId="16" applyFont="1" applyFill="1" applyBorder="1" applyAlignment="1">
      <alignment horizontal="left"/>
    </xf>
    <xf numFmtId="0" fontId="73" fillId="2" borderId="0" xfId="16" applyFont="1" applyFill="1" applyBorder="1" applyAlignment="1">
      <alignment vertical="top" wrapText="1"/>
    </xf>
    <xf numFmtId="0" fontId="0" fillId="0" borderId="0" xfId="0" applyBorder="1" applyAlignment="1">
      <alignment vertical="top" wrapText="1"/>
    </xf>
    <xf numFmtId="0" fontId="81" fillId="0" borderId="0" xfId="17" applyFont="1" applyAlignment="1">
      <alignment horizontal="left" vertical="top" wrapText="1"/>
    </xf>
    <xf numFmtId="0" fontId="80" fillId="0" borderId="0" xfId="17" applyFont="1" applyAlignment="1">
      <alignment horizontal="left" vertical="top" wrapText="1"/>
    </xf>
    <xf numFmtId="0" fontId="73" fillId="2" borderId="23" xfId="0" applyFont="1" applyFill="1" applyBorder="1" applyAlignment="1">
      <alignment horizontal="center"/>
    </xf>
    <xf numFmtId="0" fontId="73" fillId="2" borderId="7" xfId="0" applyFont="1" applyFill="1" applyBorder="1" applyAlignment="1">
      <alignment horizontal="center"/>
    </xf>
    <xf numFmtId="0" fontId="73" fillId="2" borderId="24" xfId="0" applyFont="1" applyFill="1" applyBorder="1" applyAlignment="1">
      <alignment horizontal="center"/>
    </xf>
    <xf numFmtId="0" fontId="0" fillId="0" borderId="0" xfId="0" applyAlignment="1">
      <alignment horizontal="left" vertical="top" wrapText="1"/>
    </xf>
    <xf numFmtId="0" fontId="68" fillId="19" borderId="0" xfId="22" applyFont="1" applyFill="1" applyAlignment="1">
      <alignment horizontal="center"/>
    </xf>
    <xf numFmtId="0" fontId="3" fillId="19" borderId="0" xfId="22" applyFont="1" applyFill="1" applyAlignment="1">
      <alignment horizontal="center"/>
    </xf>
    <xf numFmtId="0" fontId="4" fillId="19" borderId="0" xfId="22" applyFill="1" applyAlignment="1">
      <alignment horizontal="center"/>
    </xf>
  </cellXfs>
  <cellStyles count="28">
    <cellStyle name="Comma" xfId="1" builtinId="3"/>
    <cellStyle name="Comma 2" xfId="5" xr:uid="{00000000-0005-0000-0000-000001000000}"/>
    <cellStyle name="Comma 3" xfId="9" xr:uid="{00000000-0005-0000-0000-000002000000}"/>
    <cellStyle name="Comma 3 2" xfId="12" xr:uid="{00000000-0005-0000-0000-000003000000}"/>
    <cellStyle name="Comma 4" xfId="15" xr:uid="{00000000-0005-0000-0000-000004000000}"/>
    <cellStyle name="Comma 4 2" xfId="18" xr:uid="{00000000-0005-0000-0000-000005000000}"/>
    <cellStyle name="Comma 5" xfId="21" xr:uid="{00000000-0005-0000-0000-000006000000}"/>
    <cellStyle name="Comma 6" xfId="23" xr:uid="{00000000-0005-0000-0000-000007000000}"/>
    <cellStyle name="Currency" xfId="2" builtinId="4"/>
    <cellStyle name="Currency 2" xfId="25" xr:uid="{00000000-0005-0000-0000-000009000000}"/>
    <cellStyle name="Normal" xfId="0" builtinId="0"/>
    <cellStyle name="Normal 2" xfId="6" xr:uid="{00000000-0005-0000-0000-00000B000000}"/>
    <cellStyle name="Normal 2 2" xfId="13" xr:uid="{00000000-0005-0000-0000-00000C000000}"/>
    <cellStyle name="Normal 3" xfId="7" xr:uid="{00000000-0005-0000-0000-00000D000000}"/>
    <cellStyle name="Normal 4" xfId="10" xr:uid="{00000000-0005-0000-0000-00000E000000}"/>
    <cellStyle name="Normal 5" xfId="14" xr:uid="{00000000-0005-0000-0000-00000F000000}"/>
    <cellStyle name="Normal 5 2" xfId="17" xr:uid="{00000000-0005-0000-0000-000010000000}"/>
    <cellStyle name="Normal 6" xfId="16" xr:uid="{00000000-0005-0000-0000-000011000000}"/>
    <cellStyle name="Normal 7" xfId="19" xr:uid="{00000000-0005-0000-0000-000012000000}"/>
    <cellStyle name="Normal 8" xfId="22" xr:uid="{00000000-0005-0000-0000-000013000000}"/>
    <cellStyle name="Normal 8 2" xfId="26" xr:uid="{060796CA-753B-44A1-B7F4-D1FAEC6BC999}"/>
    <cellStyle name="Normal 8 3" xfId="27" xr:uid="{C56FA548-8BD3-4A7F-BAE9-934584F98718}"/>
    <cellStyle name="Percent" xfId="3" builtinId="5"/>
    <cellStyle name="Percent 2" xfId="4" xr:uid="{00000000-0005-0000-0000-000015000000}"/>
    <cellStyle name="Percent 3" xfId="8" xr:uid="{00000000-0005-0000-0000-000016000000}"/>
    <cellStyle name="Percent 3 2" xfId="11" xr:uid="{00000000-0005-0000-0000-000017000000}"/>
    <cellStyle name="Percent 4" xfId="20" xr:uid="{00000000-0005-0000-0000-000018000000}"/>
    <cellStyle name="Percent 5" xfId="24" xr:uid="{00000000-0005-0000-0000-000019000000}"/>
  </cellStyles>
  <dxfs count="45">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6" tint="-0.2499465926084170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9" defaultPivotStyle="PivotStyleLight16"/>
  <colors>
    <mruColors>
      <color rgb="FFFFCC99"/>
      <color rgb="FFFFFF99"/>
      <color rgb="FFCC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customXml" Target="../customXml/item4.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112</xdr:row>
      <xdr:rowOff>142875</xdr:rowOff>
    </xdr:from>
    <xdr:to>
      <xdr:col>11</xdr:col>
      <xdr:colOff>9525</xdr:colOff>
      <xdr:row>123</xdr:row>
      <xdr:rowOff>0</xdr:rowOff>
    </xdr:to>
    <xdr:sp macro="" textlink="">
      <xdr:nvSpPr>
        <xdr:cNvPr id="22530" name="Text Box 2">
          <a:extLst>
            <a:ext uri="{FF2B5EF4-FFF2-40B4-BE49-F238E27FC236}">
              <a16:creationId xmlns:a16="http://schemas.microsoft.com/office/drawing/2014/main" id="{00000000-0008-0000-0000-000002580000}"/>
            </a:ext>
          </a:extLst>
        </xdr:cNvPr>
        <xdr:cNvSpPr txBox="1">
          <a:spLocks noChangeArrowheads="1"/>
        </xdr:cNvSpPr>
      </xdr:nvSpPr>
      <xdr:spPr bwMode="auto">
        <a:xfrm>
          <a:off x="0" y="17297400"/>
          <a:ext cx="6877050" cy="1638300"/>
        </a:xfrm>
        <a:prstGeom prst="rect">
          <a:avLst/>
        </a:prstGeom>
        <a:solidFill>
          <a:srgbClr val="FFFFFF"/>
        </a:solidFill>
        <a:ln w="9525">
          <a:noFill/>
          <a:miter lim="800000"/>
          <a:headEnd/>
          <a:tailEnd/>
        </a:ln>
      </xdr:spPr>
      <xdr:txBody>
        <a:bodyPr vertOverflow="clip" wrap="square" lIns="27432" tIns="22860" rIns="0" bIns="0" anchor="t" upright="1"/>
        <a:lstStyle/>
        <a:p>
          <a:pPr algn="l" rtl="0">
            <a:lnSpc>
              <a:spcPts val="1100"/>
            </a:lnSpc>
            <a:defRPr sz="1000"/>
          </a:pPr>
          <a:r>
            <a:rPr lang="en-US" sz="1000" b="0" i="0" u="none" strike="noStrike" baseline="0">
              <a:solidFill>
                <a:srgbClr val="000000"/>
              </a:solidFill>
              <a:latin typeface="Arial"/>
              <a:cs typeface="Arial"/>
            </a:rPr>
            <a:t>Worksheets have been created such that they can be printed for offline review. On the Conversion worksheet, once all the detail fund data has been entered and the grand totals are as you expected, those detail fund columns can be hidden so that one sees the account titles on the left and then the column "Total Governmental Funds." By hiding detail columns you will be able to fit the conversion worksheet to legal size paper. Please note that to hide columns, you must "unlock" the worksheet. We suggest that once fund detail is verified that you unlock the worksheet, hide the detail fund columns, and then re-protect the worksheet in order not to overwrite formulas and mapping. All other worksheets fit on standard 8.5x11 paper. Some worksheets result in such complicated entries that a work section is presented below the final entry to accumulate all activity. These work sections are not defined in the normal print range. If you wish to print the work sections, you will need to select the work section for printing or redefine your print ranges. Please note that the work sections are often larger than regular 8.5x11 paper.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657225</xdr:colOff>
      <xdr:row>122</xdr:row>
      <xdr:rowOff>9525</xdr:rowOff>
    </xdr:from>
    <xdr:to>
      <xdr:col>6</xdr:col>
      <xdr:colOff>95250</xdr:colOff>
      <xdr:row>127</xdr:row>
      <xdr:rowOff>9525</xdr:rowOff>
    </xdr:to>
    <xdr:sp macro="" textlink="">
      <xdr:nvSpPr>
        <xdr:cNvPr id="6353" name="AutoShape 5">
          <a:extLst>
            <a:ext uri="{FF2B5EF4-FFF2-40B4-BE49-F238E27FC236}">
              <a16:creationId xmlns:a16="http://schemas.microsoft.com/office/drawing/2014/main" id="{00000000-0008-0000-0900-0000D1180000}"/>
            </a:ext>
          </a:extLst>
        </xdr:cNvPr>
        <xdr:cNvSpPr>
          <a:spLocks/>
        </xdr:cNvSpPr>
      </xdr:nvSpPr>
      <xdr:spPr bwMode="auto">
        <a:xfrm>
          <a:off x="2714625" y="20469225"/>
          <a:ext cx="133350" cy="647700"/>
        </a:xfrm>
        <a:prstGeom prst="rightBrace">
          <a:avLst>
            <a:gd name="adj1" fmla="val 4047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26</xdr:row>
      <xdr:rowOff>9525</xdr:rowOff>
    </xdr:from>
    <xdr:to>
      <xdr:col>14</xdr:col>
      <xdr:colOff>0</xdr:colOff>
      <xdr:row>35</xdr:row>
      <xdr:rowOff>9525</xdr:rowOff>
    </xdr:to>
    <xdr:sp macro="" textlink="">
      <xdr:nvSpPr>
        <xdr:cNvPr id="11675" name="AutoShape 1">
          <a:extLst>
            <a:ext uri="{FF2B5EF4-FFF2-40B4-BE49-F238E27FC236}">
              <a16:creationId xmlns:a16="http://schemas.microsoft.com/office/drawing/2014/main" id="{00000000-0008-0000-0B00-00009B2D0000}"/>
            </a:ext>
          </a:extLst>
        </xdr:cNvPr>
        <xdr:cNvSpPr>
          <a:spLocks/>
        </xdr:cNvSpPr>
      </xdr:nvSpPr>
      <xdr:spPr bwMode="auto">
        <a:xfrm>
          <a:off x="6553200" y="6257925"/>
          <a:ext cx="0" cy="1457325"/>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0</xdr:colOff>
      <xdr:row>40</xdr:row>
      <xdr:rowOff>9525</xdr:rowOff>
    </xdr:from>
    <xdr:to>
      <xdr:col>14</xdr:col>
      <xdr:colOff>0</xdr:colOff>
      <xdr:row>49</xdr:row>
      <xdr:rowOff>9525</xdr:rowOff>
    </xdr:to>
    <xdr:sp macro="" textlink="">
      <xdr:nvSpPr>
        <xdr:cNvPr id="11676" name="AutoShape 2">
          <a:extLst>
            <a:ext uri="{FF2B5EF4-FFF2-40B4-BE49-F238E27FC236}">
              <a16:creationId xmlns:a16="http://schemas.microsoft.com/office/drawing/2014/main" id="{00000000-0008-0000-0B00-00009C2D0000}"/>
            </a:ext>
          </a:extLst>
        </xdr:cNvPr>
        <xdr:cNvSpPr>
          <a:spLocks/>
        </xdr:cNvSpPr>
      </xdr:nvSpPr>
      <xdr:spPr bwMode="auto">
        <a:xfrm>
          <a:off x="6553200" y="8401050"/>
          <a:ext cx="0" cy="1457325"/>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9525</xdr:colOff>
      <xdr:row>138</xdr:row>
      <xdr:rowOff>0</xdr:rowOff>
    </xdr:from>
    <xdr:to>
      <xdr:col>7</xdr:col>
      <xdr:colOff>95250</xdr:colOff>
      <xdr:row>138</xdr:row>
      <xdr:rowOff>0</xdr:rowOff>
    </xdr:to>
    <xdr:sp macro="" textlink="">
      <xdr:nvSpPr>
        <xdr:cNvPr id="26623" name="AutoShape 1">
          <a:extLst>
            <a:ext uri="{FF2B5EF4-FFF2-40B4-BE49-F238E27FC236}">
              <a16:creationId xmlns:a16="http://schemas.microsoft.com/office/drawing/2014/main" id="{00000000-0008-0000-0C00-0000FF670000}"/>
            </a:ext>
          </a:extLst>
        </xdr:cNvPr>
        <xdr:cNvSpPr>
          <a:spLocks/>
        </xdr:cNvSpPr>
      </xdr:nvSpPr>
      <xdr:spPr bwMode="auto">
        <a:xfrm>
          <a:off x="5924550" y="22593300"/>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132</xdr:row>
      <xdr:rowOff>19050</xdr:rowOff>
    </xdr:from>
    <xdr:to>
      <xdr:col>8</xdr:col>
      <xdr:colOff>95250</xdr:colOff>
      <xdr:row>137</xdr:row>
      <xdr:rowOff>28575</xdr:rowOff>
    </xdr:to>
    <xdr:sp macro="" textlink="">
      <xdr:nvSpPr>
        <xdr:cNvPr id="29696" name="AutoShape 3">
          <a:extLst>
            <a:ext uri="{FF2B5EF4-FFF2-40B4-BE49-F238E27FC236}">
              <a16:creationId xmlns:a16="http://schemas.microsoft.com/office/drawing/2014/main" id="{00000000-0008-0000-0C00-000000740000}"/>
            </a:ext>
          </a:extLst>
        </xdr:cNvPr>
        <xdr:cNvSpPr>
          <a:spLocks/>
        </xdr:cNvSpPr>
      </xdr:nvSpPr>
      <xdr:spPr bwMode="auto">
        <a:xfrm>
          <a:off x="6115050" y="20802600"/>
          <a:ext cx="76200" cy="1657350"/>
        </a:xfrm>
        <a:prstGeom prst="rightBrace">
          <a:avLst>
            <a:gd name="adj1" fmla="val 1812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208</xdr:row>
      <xdr:rowOff>19050</xdr:rowOff>
    </xdr:from>
    <xdr:to>
      <xdr:col>7</xdr:col>
      <xdr:colOff>85725</xdr:colOff>
      <xdr:row>217</xdr:row>
      <xdr:rowOff>0</xdr:rowOff>
    </xdr:to>
    <xdr:sp macro="" textlink="">
      <xdr:nvSpPr>
        <xdr:cNvPr id="29697" name="AutoShape 4">
          <a:extLst>
            <a:ext uri="{FF2B5EF4-FFF2-40B4-BE49-F238E27FC236}">
              <a16:creationId xmlns:a16="http://schemas.microsoft.com/office/drawing/2014/main" id="{00000000-0008-0000-0C00-000001740000}"/>
            </a:ext>
          </a:extLst>
        </xdr:cNvPr>
        <xdr:cNvSpPr>
          <a:spLocks/>
        </xdr:cNvSpPr>
      </xdr:nvSpPr>
      <xdr:spPr bwMode="auto">
        <a:xfrm>
          <a:off x="5934075" y="31584900"/>
          <a:ext cx="66675" cy="1438275"/>
        </a:xfrm>
        <a:prstGeom prst="rightBrace">
          <a:avLst>
            <a:gd name="adj1" fmla="val 1797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201</xdr:row>
      <xdr:rowOff>19050</xdr:rowOff>
    </xdr:from>
    <xdr:to>
      <xdr:col>7</xdr:col>
      <xdr:colOff>85725</xdr:colOff>
      <xdr:row>206</xdr:row>
      <xdr:rowOff>133350</xdr:rowOff>
    </xdr:to>
    <xdr:sp macro="" textlink="">
      <xdr:nvSpPr>
        <xdr:cNvPr id="29698" name="AutoShape 5">
          <a:extLst>
            <a:ext uri="{FF2B5EF4-FFF2-40B4-BE49-F238E27FC236}">
              <a16:creationId xmlns:a16="http://schemas.microsoft.com/office/drawing/2014/main" id="{00000000-0008-0000-0C00-000002740000}"/>
            </a:ext>
          </a:extLst>
        </xdr:cNvPr>
        <xdr:cNvSpPr>
          <a:spLocks/>
        </xdr:cNvSpPr>
      </xdr:nvSpPr>
      <xdr:spPr bwMode="auto">
        <a:xfrm>
          <a:off x="5943600" y="30537150"/>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163</xdr:row>
      <xdr:rowOff>9525</xdr:rowOff>
    </xdr:from>
    <xdr:to>
      <xdr:col>7</xdr:col>
      <xdr:colOff>104775</xdr:colOff>
      <xdr:row>200</xdr:row>
      <xdr:rowOff>9525</xdr:rowOff>
    </xdr:to>
    <xdr:sp macro="" textlink="">
      <xdr:nvSpPr>
        <xdr:cNvPr id="29699" name="AutoShape 6">
          <a:extLst>
            <a:ext uri="{FF2B5EF4-FFF2-40B4-BE49-F238E27FC236}">
              <a16:creationId xmlns:a16="http://schemas.microsoft.com/office/drawing/2014/main" id="{00000000-0008-0000-0C00-000003740000}"/>
            </a:ext>
          </a:extLst>
        </xdr:cNvPr>
        <xdr:cNvSpPr>
          <a:spLocks/>
        </xdr:cNvSpPr>
      </xdr:nvSpPr>
      <xdr:spPr bwMode="auto">
        <a:xfrm>
          <a:off x="5924550" y="27051000"/>
          <a:ext cx="95250" cy="340042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222</xdr:row>
      <xdr:rowOff>152400</xdr:rowOff>
    </xdr:from>
    <xdr:to>
      <xdr:col>7</xdr:col>
      <xdr:colOff>123825</xdr:colOff>
      <xdr:row>229</xdr:row>
      <xdr:rowOff>9525</xdr:rowOff>
    </xdr:to>
    <xdr:sp macro="" textlink="">
      <xdr:nvSpPr>
        <xdr:cNvPr id="29700" name="AutoShape 8">
          <a:extLst>
            <a:ext uri="{FF2B5EF4-FFF2-40B4-BE49-F238E27FC236}">
              <a16:creationId xmlns:a16="http://schemas.microsoft.com/office/drawing/2014/main" id="{00000000-0008-0000-0C00-000004740000}"/>
            </a:ext>
          </a:extLst>
        </xdr:cNvPr>
        <xdr:cNvSpPr>
          <a:spLocks/>
        </xdr:cNvSpPr>
      </xdr:nvSpPr>
      <xdr:spPr bwMode="auto">
        <a:xfrm>
          <a:off x="5962650" y="33994725"/>
          <a:ext cx="76200" cy="990600"/>
        </a:xfrm>
        <a:prstGeom prst="righ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116</xdr:row>
      <xdr:rowOff>0</xdr:rowOff>
    </xdr:from>
    <xdr:to>
      <xdr:col>7</xdr:col>
      <xdr:colOff>85725</xdr:colOff>
      <xdr:row>119</xdr:row>
      <xdr:rowOff>123825</xdr:rowOff>
    </xdr:to>
    <xdr:sp macro="" textlink="">
      <xdr:nvSpPr>
        <xdr:cNvPr id="29701" name="AutoShape 9">
          <a:extLst>
            <a:ext uri="{FF2B5EF4-FFF2-40B4-BE49-F238E27FC236}">
              <a16:creationId xmlns:a16="http://schemas.microsoft.com/office/drawing/2014/main" id="{00000000-0008-0000-0C00-000005740000}"/>
            </a:ext>
          </a:extLst>
        </xdr:cNvPr>
        <xdr:cNvSpPr>
          <a:spLocks/>
        </xdr:cNvSpPr>
      </xdr:nvSpPr>
      <xdr:spPr bwMode="auto">
        <a:xfrm>
          <a:off x="5934075" y="17316450"/>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77</xdr:row>
      <xdr:rowOff>0</xdr:rowOff>
    </xdr:from>
    <xdr:to>
      <xdr:col>7</xdr:col>
      <xdr:colOff>123825</xdr:colOff>
      <xdr:row>113</xdr:row>
      <xdr:rowOff>9525</xdr:rowOff>
    </xdr:to>
    <xdr:sp macro="" textlink="">
      <xdr:nvSpPr>
        <xdr:cNvPr id="29702" name="AutoShape 10">
          <a:extLst>
            <a:ext uri="{FF2B5EF4-FFF2-40B4-BE49-F238E27FC236}">
              <a16:creationId xmlns:a16="http://schemas.microsoft.com/office/drawing/2014/main" id="{00000000-0008-0000-0C00-000006740000}"/>
            </a:ext>
          </a:extLst>
        </xdr:cNvPr>
        <xdr:cNvSpPr>
          <a:spLocks/>
        </xdr:cNvSpPr>
      </xdr:nvSpPr>
      <xdr:spPr bwMode="auto">
        <a:xfrm>
          <a:off x="5962650" y="13658850"/>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4</xdr:row>
      <xdr:rowOff>9525</xdr:rowOff>
    </xdr:from>
    <xdr:to>
      <xdr:col>9</xdr:col>
      <xdr:colOff>0</xdr:colOff>
      <xdr:row>13</xdr:row>
      <xdr:rowOff>38100</xdr:rowOff>
    </xdr:to>
    <xdr:sp macro="" textlink="">
      <xdr:nvSpPr>
        <xdr:cNvPr id="9227" name="Text Box 11">
          <a:extLst>
            <a:ext uri="{FF2B5EF4-FFF2-40B4-BE49-F238E27FC236}">
              <a16:creationId xmlns:a16="http://schemas.microsoft.com/office/drawing/2014/main" id="{00000000-0008-0000-0C00-00000B240000}"/>
            </a:ext>
          </a:extLst>
        </xdr:cNvPr>
        <xdr:cNvSpPr txBox="1">
          <a:spLocks noChangeArrowheads="1"/>
        </xdr:cNvSpPr>
      </xdr:nvSpPr>
      <xdr:spPr bwMode="auto">
        <a:xfrm>
          <a:off x="247650" y="771525"/>
          <a:ext cx="8248650" cy="1485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based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 an entry (and mapping) to the conversion worksheet or you may choose to enter the entries directly into the yellow "Misc. Entries" column (be careful not to overwrite the data mapped from the other internal service funds.) </a:t>
          </a:r>
          <a:r>
            <a:rPr lang="en-US" sz="1000" b="0" i="0" u="none" strike="noStrike" baseline="0">
              <a:solidFill>
                <a:srgbClr val="FF0000"/>
              </a:solidFill>
              <a:latin typeface="Arial"/>
              <a:cs typeface="Arial"/>
            </a:rPr>
            <a:t>[See City of Dogwood for an example.] </a:t>
          </a: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2</xdr:col>
      <xdr:colOff>9525</xdr:colOff>
      <xdr:row>16</xdr:row>
      <xdr:rowOff>47625</xdr:rowOff>
    </xdr:from>
    <xdr:to>
      <xdr:col>9</xdr:col>
      <xdr:colOff>9525</xdr:colOff>
      <xdr:row>22</xdr:row>
      <xdr:rowOff>0</xdr:rowOff>
    </xdr:to>
    <xdr:sp macro="" textlink="">
      <xdr:nvSpPr>
        <xdr:cNvPr id="9228" name="Text Box 12">
          <a:extLst>
            <a:ext uri="{FF2B5EF4-FFF2-40B4-BE49-F238E27FC236}">
              <a16:creationId xmlns:a16="http://schemas.microsoft.com/office/drawing/2014/main" id="{00000000-0008-0000-0C00-00000C240000}"/>
            </a:ext>
          </a:extLst>
        </xdr:cNvPr>
        <xdr:cNvSpPr txBox="1">
          <a:spLocks noChangeArrowheads="1"/>
        </xdr:cNvSpPr>
      </xdr:nvSpPr>
      <xdr:spPr bwMode="auto">
        <a:xfrm>
          <a:off x="390525" y="2914650"/>
          <a:ext cx="8115300" cy="8191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funds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9525</xdr:colOff>
      <xdr:row>133</xdr:row>
      <xdr:rowOff>0</xdr:rowOff>
    </xdr:from>
    <xdr:to>
      <xdr:col>7</xdr:col>
      <xdr:colOff>95250</xdr:colOff>
      <xdr:row>133</xdr:row>
      <xdr:rowOff>0</xdr:rowOff>
    </xdr:to>
    <xdr:sp macro="" textlink="">
      <xdr:nvSpPr>
        <xdr:cNvPr id="27441" name="AutoShape 1">
          <a:extLst>
            <a:ext uri="{FF2B5EF4-FFF2-40B4-BE49-F238E27FC236}">
              <a16:creationId xmlns:a16="http://schemas.microsoft.com/office/drawing/2014/main" id="{00000000-0008-0000-0D00-0000316B0000}"/>
            </a:ext>
          </a:extLst>
        </xdr:cNvPr>
        <xdr:cNvSpPr>
          <a:spLocks/>
        </xdr:cNvSpPr>
      </xdr:nvSpPr>
      <xdr:spPr bwMode="auto">
        <a:xfrm>
          <a:off x="5924550" y="22564725"/>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127</xdr:row>
      <xdr:rowOff>19050</xdr:rowOff>
    </xdr:from>
    <xdr:to>
      <xdr:col>8</xdr:col>
      <xdr:colOff>95250</xdr:colOff>
      <xdr:row>132</xdr:row>
      <xdr:rowOff>28575</xdr:rowOff>
    </xdr:to>
    <xdr:sp macro="" textlink="">
      <xdr:nvSpPr>
        <xdr:cNvPr id="27442" name="AutoShape 2">
          <a:extLst>
            <a:ext uri="{FF2B5EF4-FFF2-40B4-BE49-F238E27FC236}">
              <a16:creationId xmlns:a16="http://schemas.microsoft.com/office/drawing/2014/main" id="{00000000-0008-0000-0D00-0000326B0000}"/>
            </a:ext>
          </a:extLst>
        </xdr:cNvPr>
        <xdr:cNvSpPr>
          <a:spLocks/>
        </xdr:cNvSpPr>
      </xdr:nvSpPr>
      <xdr:spPr bwMode="auto">
        <a:xfrm>
          <a:off x="6115050" y="20774025"/>
          <a:ext cx="76200" cy="1657350"/>
        </a:xfrm>
        <a:prstGeom prst="rightBrace">
          <a:avLst>
            <a:gd name="adj1" fmla="val 1812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203</xdr:row>
      <xdr:rowOff>19050</xdr:rowOff>
    </xdr:from>
    <xdr:to>
      <xdr:col>7</xdr:col>
      <xdr:colOff>85725</xdr:colOff>
      <xdr:row>212</xdr:row>
      <xdr:rowOff>0</xdr:rowOff>
    </xdr:to>
    <xdr:sp macro="" textlink="">
      <xdr:nvSpPr>
        <xdr:cNvPr id="27443" name="AutoShape 3">
          <a:extLst>
            <a:ext uri="{FF2B5EF4-FFF2-40B4-BE49-F238E27FC236}">
              <a16:creationId xmlns:a16="http://schemas.microsoft.com/office/drawing/2014/main" id="{00000000-0008-0000-0D00-0000336B0000}"/>
            </a:ext>
          </a:extLst>
        </xdr:cNvPr>
        <xdr:cNvSpPr>
          <a:spLocks/>
        </xdr:cNvSpPr>
      </xdr:nvSpPr>
      <xdr:spPr bwMode="auto">
        <a:xfrm>
          <a:off x="5934075" y="31546800"/>
          <a:ext cx="66675" cy="1438275"/>
        </a:xfrm>
        <a:prstGeom prst="rightBrace">
          <a:avLst>
            <a:gd name="adj1" fmla="val 1797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196</xdr:row>
      <xdr:rowOff>19050</xdr:rowOff>
    </xdr:from>
    <xdr:to>
      <xdr:col>7</xdr:col>
      <xdr:colOff>85725</xdr:colOff>
      <xdr:row>201</xdr:row>
      <xdr:rowOff>133350</xdr:rowOff>
    </xdr:to>
    <xdr:sp macro="" textlink="">
      <xdr:nvSpPr>
        <xdr:cNvPr id="27444" name="AutoShape 4">
          <a:extLst>
            <a:ext uri="{FF2B5EF4-FFF2-40B4-BE49-F238E27FC236}">
              <a16:creationId xmlns:a16="http://schemas.microsoft.com/office/drawing/2014/main" id="{00000000-0008-0000-0D00-0000346B0000}"/>
            </a:ext>
          </a:extLst>
        </xdr:cNvPr>
        <xdr:cNvSpPr>
          <a:spLocks/>
        </xdr:cNvSpPr>
      </xdr:nvSpPr>
      <xdr:spPr bwMode="auto">
        <a:xfrm>
          <a:off x="5943600" y="30499050"/>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158</xdr:row>
      <xdr:rowOff>9525</xdr:rowOff>
    </xdr:from>
    <xdr:to>
      <xdr:col>7</xdr:col>
      <xdr:colOff>104775</xdr:colOff>
      <xdr:row>195</xdr:row>
      <xdr:rowOff>9525</xdr:rowOff>
    </xdr:to>
    <xdr:sp macro="" textlink="">
      <xdr:nvSpPr>
        <xdr:cNvPr id="27445" name="AutoShape 5">
          <a:extLst>
            <a:ext uri="{FF2B5EF4-FFF2-40B4-BE49-F238E27FC236}">
              <a16:creationId xmlns:a16="http://schemas.microsoft.com/office/drawing/2014/main" id="{00000000-0008-0000-0D00-0000356B0000}"/>
            </a:ext>
          </a:extLst>
        </xdr:cNvPr>
        <xdr:cNvSpPr>
          <a:spLocks/>
        </xdr:cNvSpPr>
      </xdr:nvSpPr>
      <xdr:spPr bwMode="auto">
        <a:xfrm>
          <a:off x="5924550" y="27012900"/>
          <a:ext cx="95250" cy="340042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217</xdr:row>
      <xdr:rowOff>152400</xdr:rowOff>
    </xdr:from>
    <xdr:to>
      <xdr:col>7</xdr:col>
      <xdr:colOff>123825</xdr:colOff>
      <xdr:row>224</xdr:row>
      <xdr:rowOff>9525</xdr:rowOff>
    </xdr:to>
    <xdr:sp macro="" textlink="">
      <xdr:nvSpPr>
        <xdr:cNvPr id="27446" name="AutoShape 6">
          <a:extLst>
            <a:ext uri="{FF2B5EF4-FFF2-40B4-BE49-F238E27FC236}">
              <a16:creationId xmlns:a16="http://schemas.microsoft.com/office/drawing/2014/main" id="{00000000-0008-0000-0D00-0000366B0000}"/>
            </a:ext>
          </a:extLst>
        </xdr:cNvPr>
        <xdr:cNvSpPr>
          <a:spLocks/>
        </xdr:cNvSpPr>
      </xdr:nvSpPr>
      <xdr:spPr bwMode="auto">
        <a:xfrm>
          <a:off x="5962650" y="33956625"/>
          <a:ext cx="76200" cy="990600"/>
        </a:xfrm>
        <a:prstGeom prst="righ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111</xdr:row>
      <xdr:rowOff>0</xdr:rowOff>
    </xdr:from>
    <xdr:to>
      <xdr:col>7</xdr:col>
      <xdr:colOff>85725</xdr:colOff>
      <xdr:row>114</xdr:row>
      <xdr:rowOff>123825</xdr:rowOff>
    </xdr:to>
    <xdr:sp macro="" textlink="">
      <xdr:nvSpPr>
        <xdr:cNvPr id="27447" name="AutoShape 7">
          <a:extLst>
            <a:ext uri="{FF2B5EF4-FFF2-40B4-BE49-F238E27FC236}">
              <a16:creationId xmlns:a16="http://schemas.microsoft.com/office/drawing/2014/main" id="{00000000-0008-0000-0D00-0000376B0000}"/>
            </a:ext>
          </a:extLst>
        </xdr:cNvPr>
        <xdr:cNvSpPr>
          <a:spLocks/>
        </xdr:cNvSpPr>
      </xdr:nvSpPr>
      <xdr:spPr bwMode="auto">
        <a:xfrm>
          <a:off x="5934075" y="17154525"/>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72</xdr:row>
      <xdr:rowOff>0</xdr:rowOff>
    </xdr:from>
    <xdr:to>
      <xdr:col>7</xdr:col>
      <xdr:colOff>123825</xdr:colOff>
      <xdr:row>108</xdr:row>
      <xdr:rowOff>9525</xdr:rowOff>
    </xdr:to>
    <xdr:sp macro="" textlink="">
      <xdr:nvSpPr>
        <xdr:cNvPr id="27448" name="AutoShape 8">
          <a:extLst>
            <a:ext uri="{FF2B5EF4-FFF2-40B4-BE49-F238E27FC236}">
              <a16:creationId xmlns:a16="http://schemas.microsoft.com/office/drawing/2014/main" id="{00000000-0008-0000-0D00-0000386B0000}"/>
            </a:ext>
          </a:extLst>
        </xdr:cNvPr>
        <xdr:cNvSpPr>
          <a:spLocks/>
        </xdr:cNvSpPr>
      </xdr:nvSpPr>
      <xdr:spPr bwMode="auto">
        <a:xfrm>
          <a:off x="5962650" y="13496925"/>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217170</xdr:colOff>
      <xdr:row>4</xdr:row>
      <xdr:rowOff>0</xdr:rowOff>
    </xdr:from>
    <xdr:to>
      <xdr:col>8</xdr:col>
      <xdr:colOff>2392680</xdr:colOff>
      <xdr:row>13</xdr:row>
      <xdr:rowOff>0</xdr:rowOff>
    </xdr:to>
    <xdr:sp macro="" textlink="">
      <xdr:nvSpPr>
        <xdr:cNvPr id="20489" name="Text Box 9">
          <a:extLst>
            <a:ext uri="{FF2B5EF4-FFF2-40B4-BE49-F238E27FC236}">
              <a16:creationId xmlns:a16="http://schemas.microsoft.com/office/drawing/2014/main" id="{00000000-0008-0000-0D00-000009500000}"/>
            </a:ext>
          </a:extLst>
        </xdr:cNvPr>
        <xdr:cNvSpPr txBox="1">
          <a:spLocks noChangeArrowheads="1"/>
        </xdr:cNvSpPr>
      </xdr:nvSpPr>
      <xdr:spPr bwMode="auto">
        <a:xfrm>
          <a:off x="219075" y="762000"/>
          <a:ext cx="8267700" cy="1457325"/>
        </a:xfrm>
        <a:prstGeom prst="rect">
          <a:avLst/>
        </a:prstGeom>
        <a:solidFill>
          <a:srgbClr val="FFFFFF"/>
        </a:solidFill>
        <a:ln w="9525">
          <a:noFill/>
          <a:miter lim="800000"/>
          <a:headEnd/>
          <a:tailEnd/>
        </a:ln>
      </xdr:spPr>
      <xdr:txBody>
        <a:bodyPr vertOverflow="clip" wrap="square" lIns="27432" tIns="22860" rIns="0" bIns="0" anchor="t" upright="1"/>
        <a:lstStyle/>
        <a:p>
          <a:pPr algn="l" rtl="0">
            <a:lnSpc>
              <a:spcPts val="1100"/>
            </a:lnSpc>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based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required an entry (and mapping) to the conversion worksheet or you may choose to enter the entries directly into the yellow "Misc. Entries" column (be careful not to overwrite the data mapped from the other internal service funds.)       </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9525</xdr:colOff>
      <xdr:row>133</xdr:row>
      <xdr:rowOff>0</xdr:rowOff>
    </xdr:from>
    <xdr:to>
      <xdr:col>7</xdr:col>
      <xdr:colOff>95250</xdr:colOff>
      <xdr:row>133</xdr:row>
      <xdr:rowOff>0</xdr:rowOff>
    </xdr:to>
    <xdr:sp macro="" textlink="">
      <xdr:nvSpPr>
        <xdr:cNvPr id="28465" name="AutoShape 1">
          <a:extLst>
            <a:ext uri="{FF2B5EF4-FFF2-40B4-BE49-F238E27FC236}">
              <a16:creationId xmlns:a16="http://schemas.microsoft.com/office/drawing/2014/main" id="{00000000-0008-0000-0E00-0000316F0000}"/>
            </a:ext>
          </a:extLst>
        </xdr:cNvPr>
        <xdr:cNvSpPr>
          <a:spLocks/>
        </xdr:cNvSpPr>
      </xdr:nvSpPr>
      <xdr:spPr bwMode="auto">
        <a:xfrm>
          <a:off x="5924550" y="22688550"/>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127</xdr:row>
      <xdr:rowOff>19050</xdr:rowOff>
    </xdr:from>
    <xdr:to>
      <xdr:col>8</xdr:col>
      <xdr:colOff>95250</xdr:colOff>
      <xdr:row>132</xdr:row>
      <xdr:rowOff>28575</xdr:rowOff>
    </xdr:to>
    <xdr:sp macro="" textlink="">
      <xdr:nvSpPr>
        <xdr:cNvPr id="28466" name="AutoShape 2">
          <a:extLst>
            <a:ext uri="{FF2B5EF4-FFF2-40B4-BE49-F238E27FC236}">
              <a16:creationId xmlns:a16="http://schemas.microsoft.com/office/drawing/2014/main" id="{00000000-0008-0000-0E00-0000326F0000}"/>
            </a:ext>
          </a:extLst>
        </xdr:cNvPr>
        <xdr:cNvSpPr>
          <a:spLocks/>
        </xdr:cNvSpPr>
      </xdr:nvSpPr>
      <xdr:spPr bwMode="auto">
        <a:xfrm>
          <a:off x="6115050" y="20878800"/>
          <a:ext cx="76200" cy="1676400"/>
        </a:xfrm>
        <a:prstGeom prst="rightBrace">
          <a:avLst>
            <a:gd name="adj1" fmla="val 1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203</xdr:row>
      <xdr:rowOff>19050</xdr:rowOff>
    </xdr:from>
    <xdr:to>
      <xdr:col>7</xdr:col>
      <xdr:colOff>85725</xdr:colOff>
      <xdr:row>212</xdr:row>
      <xdr:rowOff>0</xdr:rowOff>
    </xdr:to>
    <xdr:sp macro="" textlink="">
      <xdr:nvSpPr>
        <xdr:cNvPr id="28467" name="AutoShape 3">
          <a:extLst>
            <a:ext uri="{FF2B5EF4-FFF2-40B4-BE49-F238E27FC236}">
              <a16:creationId xmlns:a16="http://schemas.microsoft.com/office/drawing/2014/main" id="{00000000-0008-0000-0E00-0000336F0000}"/>
            </a:ext>
          </a:extLst>
        </xdr:cNvPr>
        <xdr:cNvSpPr>
          <a:spLocks/>
        </xdr:cNvSpPr>
      </xdr:nvSpPr>
      <xdr:spPr bwMode="auto">
        <a:xfrm>
          <a:off x="5934075" y="31670625"/>
          <a:ext cx="66675" cy="1438275"/>
        </a:xfrm>
        <a:prstGeom prst="rightBrace">
          <a:avLst>
            <a:gd name="adj1" fmla="val 1797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196</xdr:row>
      <xdr:rowOff>19050</xdr:rowOff>
    </xdr:from>
    <xdr:to>
      <xdr:col>7</xdr:col>
      <xdr:colOff>85725</xdr:colOff>
      <xdr:row>201</xdr:row>
      <xdr:rowOff>133350</xdr:rowOff>
    </xdr:to>
    <xdr:sp macro="" textlink="">
      <xdr:nvSpPr>
        <xdr:cNvPr id="28468" name="AutoShape 4">
          <a:extLst>
            <a:ext uri="{FF2B5EF4-FFF2-40B4-BE49-F238E27FC236}">
              <a16:creationId xmlns:a16="http://schemas.microsoft.com/office/drawing/2014/main" id="{00000000-0008-0000-0E00-0000346F0000}"/>
            </a:ext>
          </a:extLst>
        </xdr:cNvPr>
        <xdr:cNvSpPr>
          <a:spLocks/>
        </xdr:cNvSpPr>
      </xdr:nvSpPr>
      <xdr:spPr bwMode="auto">
        <a:xfrm>
          <a:off x="5943600" y="30622875"/>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158</xdr:row>
      <xdr:rowOff>9525</xdr:rowOff>
    </xdr:from>
    <xdr:to>
      <xdr:col>7</xdr:col>
      <xdr:colOff>104775</xdr:colOff>
      <xdr:row>195</xdr:row>
      <xdr:rowOff>9525</xdr:rowOff>
    </xdr:to>
    <xdr:sp macro="" textlink="">
      <xdr:nvSpPr>
        <xdr:cNvPr id="28469" name="AutoShape 5">
          <a:extLst>
            <a:ext uri="{FF2B5EF4-FFF2-40B4-BE49-F238E27FC236}">
              <a16:creationId xmlns:a16="http://schemas.microsoft.com/office/drawing/2014/main" id="{00000000-0008-0000-0E00-0000356F0000}"/>
            </a:ext>
          </a:extLst>
        </xdr:cNvPr>
        <xdr:cNvSpPr>
          <a:spLocks/>
        </xdr:cNvSpPr>
      </xdr:nvSpPr>
      <xdr:spPr bwMode="auto">
        <a:xfrm>
          <a:off x="5924550" y="27136725"/>
          <a:ext cx="95250" cy="340042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217</xdr:row>
      <xdr:rowOff>152400</xdr:rowOff>
    </xdr:from>
    <xdr:to>
      <xdr:col>7</xdr:col>
      <xdr:colOff>123825</xdr:colOff>
      <xdr:row>224</xdr:row>
      <xdr:rowOff>9525</xdr:rowOff>
    </xdr:to>
    <xdr:sp macro="" textlink="">
      <xdr:nvSpPr>
        <xdr:cNvPr id="28470" name="AutoShape 6">
          <a:extLst>
            <a:ext uri="{FF2B5EF4-FFF2-40B4-BE49-F238E27FC236}">
              <a16:creationId xmlns:a16="http://schemas.microsoft.com/office/drawing/2014/main" id="{00000000-0008-0000-0E00-0000366F0000}"/>
            </a:ext>
          </a:extLst>
        </xdr:cNvPr>
        <xdr:cNvSpPr>
          <a:spLocks/>
        </xdr:cNvSpPr>
      </xdr:nvSpPr>
      <xdr:spPr bwMode="auto">
        <a:xfrm>
          <a:off x="5962650" y="34080450"/>
          <a:ext cx="76200" cy="1114425"/>
        </a:xfrm>
        <a:prstGeom prst="rightBrace">
          <a:avLst>
            <a:gd name="adj1" fmla="val 12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111</xdr:row>
      <xdr:rowOff>0</xdr:rowOff>
    </xdr:from>
    <xdr:to>
      <xdr:col>7</xdr:col>
      <xdr:colOff>85725</xdr:colOff>
      <xdr:row>114</xdr:row>
      <xdr:rowOff>123825</xdr:rowOff>
    </xdr:to>
    <xdr:sp macro="" textlink="">
      <xdr:nvSpPr>
        <xdr:cNvPr id="28471" name="AutoShape 7">
          <a:extLst>
            <a:ext uri="{FF2B5EF4-FFF2-40B4-BE49-F238E27FC236}">
              <a16:creationId xmlns:a16="http://schemas.microsoft.com/office/drawing/2014/main" id="{00000000-0008-0000-0E00-0000376F0000}"/>
            </a:ext>
          </a:extLst>
        </xdr:cNvPr>
        <xdr:cNvSpPr>
          <a:spLocks/>
        </xdr:cNvSpPr>
      </xdr:nvSpPr>
      <xdr:spPr bwMode="auto">
        <a:xfrm>
          <a:off x="5934075" y="17316450"/>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72</xdr:row>
      <xdr:rowOff>0</xdr:rowOff>
    </xdr:from>
    <xdr:to>
      <xdr:col>7</xdr:col>
      <xdr:colOff>123825</xdr:colOff>
      <xdr:row>108</xdr:row>
      <xdr:rowOff>9525</xdr:rowOff>
    </xdr:to>
    <xdr:sp macro="" textlink="">
      <xdr:nvSpPr>
        <xdr:cNvPr id="28472" name="AutoShape 8">
          <a:extLst>
            <a:ext uri="{FF2B5EF4-FFF2-40B4-BE49-F238E27FC236}">
              <a16:creationId xmlns:a16="http://schemas.microsoft.com/office/drawing/2014/main" id="{00000000-0008-0000-0E00-0000386F0000}"/>
            </a:ext>
          </a:extLst>
        </xdr:cNvPr>
        <xdr:cNvSpPr>
          <a:spLocks/>
        </xdr:cNvSpPr>
      </xdr:nvSpPr>
      <xdr:spPr bwMode="auto">
        <a:xfrm>
          <a:off x="5962650" y="13658850"/>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xdr:colOff>
      <xdr:row>3</xdr:row>
      <xdr:rowOff>1457325</xdr:rowOff>
    </xdr:from>
    <xdr:to>
      <xdr:col>9</xdr:col>
      <xdr:colOff>9525</xdr:colOff>
      <xdr:row>13</xdr:row>
      <xdr:rowOff>0</xdr:rowOff>
    </xdr:to>
    <xdr:sp macro="" textlink="">
      <xdr:nvSpPr>
        <xdr:cNvPr id="21513" name="Text Box 9">
          <a:extLst>
            <a:ext uri="{FF2B5EF4-FFF2-40B4-BE49-F238E27FC236}">
              <a16:creationId xmlns:a16="http://schemas.microsoft.com/office/drawing/2014/main" id="{00000000-0008-0000-0E00-000009540000}"/>
            </a:ext>
          </a:extLst>
        </xdr:cNvPr>
        <xdr:cNvSpPr txBox="1">
          <a:spLocks noChangeArrowheads="1"/>
        </xdr:cNvSpPr>
      </xdr:nvSpPr>
      <xdr:spPr bwMode="auto">
        <a:xfrm>
          <a:off x="238125" y="742950"/>
          <a:ext cx="8267700" cy="14573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based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 an entry (and mapping) to the conversion worksheet or you may choose to enter the entries directly into the yellow "Misc. Entries" column (be careful  not to overwrite the data mapped from the other internal service funds.)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47625</xdr:colOff>
      <xdr:row>199</xdr:row>
      <xdr:rowOff>0</xdr:rowOff>
    </xdr:from>
    <xdr:to>
      <xdr:col>12</xdr:col>
      <xdr:colOff>114300</xdr:colOff>
      <xdr:row>206</xdr:row>
      <xdr:rowOff>9525</xdr:rowOff>
    </xdr:to>
    <xdr:sp macro="" textlink="">
      <xdr:nvSpPr>
        <xdr:cNvPr id="29490" name="AutoShape 2">
          <a:extLst>
            <a:ext uri="{FF2B5EF4-FFF2-40B4-BE49-F238E27FC236}">
              <a16:creationId xmlns:a16="http://schemas.microsoft.com/office/drawing/2014/main" id="{00000000-0008-0000-0F00-000032730000}"/>
            </a:ext>
          </a:extLst>
        </xdr:cNvPr>
        <xdr:cNvSpPr>
          <a:spLocks/>
        </xdr:cNvSpPr>
      </xdr:nvSpPr>
      <xdr:spPr bwMode="auto">
        <a:xfrm>
          <a:off x="6972300" y="37709475"/>
          <a:ext cx="66675" cy="1038225"/>
        </a:xfrm>
        <a:prstGeom prst="rightBrace">
          <a:avLst>
            <a:gd name="adj1" fmla="val 12976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38100</xdr:colOff>
      <xdr:row>207</xdr:row>
      <xdr:rowOff>9525</xdr:rowOff>
    </xdr:from>
    <xdr:to>
      <xdr:col>12</xdr:col>
      <xdr:colOff>95250</xdr:colOff>
      <xdr:row>211</xdr:row>
      <xdr:rowOff>133350</xdr:rowOff>
    </xdr:to>
    <xdr:sp macro="" textlink="">
      <xdr:nvSpPr>
        <xdr:cNvPr id="29491" name="AutoShape 3">
          <a:extLst>
            <a:ext uri="{FF2B5EF4-FFF2-40B4-BE49-F238E27FC236}">
              <a16:creationId xmlns:a16="http://schemas.microsoft.com/office/drawing/2014/main" id="{00000000-0008-0000-0F00-000033730000}"/>
            </a:ext>
          </a:extLst>
        </xdr:cNvPr>
        <xdr:cNvSpPr>
          <a:spLocks/>
        </xdr:cNvSpPr>
      </xdr:nvSpPr>
      <xdr:spPr bwMode="auto">
        <a:xfrm>
          <a:off x="6962775" y="38804850"/>
          <a:ext cx="57150" cy="771525"/>
        </a:xfrm>
        <a:prstGeom prst="rightBrace">
          <a:avLst>
            <a:gd name="adj1" fmla="val 112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1057275</xdr:colOff>
      <xdr:row>213</xdr:row>
      <xdr:rowOff>9525</xdr:rowOff>
    </xdr:from>
    <xdr:to>
      <xdr:col>13</xdr:col>
      <xdr:colOff>9525</xdr:colOff>
      <xdr:row>216</xdr:row>
      <xdr:rowOff>142875</xdr:rowOff>
    </xdr:to>
    <xdr:sp macro="" textlink="">
      <xdr:nvSpPr>
        <xdr:cNvPr id="29492" name="AutoShape 5">
          <a:extLst>
            <a:ext uri="{FF2B5EF4-FFF2-40B4-BE49-F238E27FC236}">
              <a16:creationId xmlns:a16="http://schemas.microsoft.com/office/drawing/2014/main" id="{00000000-0008-0000-0F00-000034730000}"/>
            </a:ext>
          </a:extLst>
        </xdr:cNvPr>
        <xdr:cNvSpPr>
          <a:spLocks/>
        </xdr:cNvSpPr>
      </xdr:nvSpPr>
      <xdr:spPr bwMode="auto">
        <a:xfrm>
          <a:off x="6877050" y="39662100"/>
          <a:ext cx="200025" cy="619125"/>
        </a:xfrm>
        <a:prstGeom prst="rightBrace">
          <a:avLst>
            <a:gd name="adj1" fmla="val 2579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19050</xdr:colOff>
      <xdr:row>218</xdr:row>
      <xdr:rowOff>0</xdr:rowOff>
    </xdr:from>
    <xdr:to>
      <xdr:col>12</xdr:col>
      <xdr:colOff>104775</xdr:colOff>
      <xdr:row>222</xdr:row>
      <xdr:rowOff>0</xdr:rowOff>
    </xdr:to>
    <xdr:sp macro="" textlink="">
      <xdr:nvSpPr>
        <xdr:cNvPr id="29493" name="AutoShape 6">
          <a:extLst>
            <a:ext uri="{FF2B5EF4-FFF2-40B4-BE49-F238E27FC236}">
              <a16:creationId xmlns:a16="http://schemas.microsoft.com/office/drawing/2014/main" id="{00000000-0008-0000-0F00-000035730000}"/>
            </a:ext>
          </a:extLst>
        </xdr:cNvPr>
        <xdr:cNvSpPr>
          <a:spLocks/>
        </xdr:cNvSpPr>
      </xdr:nvSpPr>
      <xdr:spPr bwMode="auto">
        <a:xfrm>
          <a:off x="6943725" y="40366950"/>
          <a:ext cx="85725" cy="647700"/>
        </a:xfrm>
        <a:prstGeom prst="rightBrace">
          <a:avLst>
            <a:gd name="adj1" fmla="val 6296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19050</xdr:colOff>
      <xdr:row>242</xdr:row>
      <xdr:rowOff>9525</xdr:rowOff>
    </xdr:from>
    <xdr:to>
      <xdr:col>12</xdr:col>
      <xdr:colOff>95250</xdr:colOff>
      <xdr:row>270</xdr:row>
      <xdr:rowOff>123825</xdr:rowOff>
    </xdr:to>
    <xdr:sp macro="" textlink="">
      <xdr:nvSpPr>
        <xdr:cNvPr id="29494" name="AutoShape 7">
          <a:extLst>
            <a:ext uri="{FF2B5EF4-FFF2-40B4-BE49-F238E27FC236}">
              <a16:creationId xmlns:a16="http://schemas.microsoft.com/office/drawing/2014/main" id="{00000000-0008-0000-0F00-000036730000}"/>
            </a:ext>
          </a:extLst>
        </xdr:cNvPr>
        <xdr:cNvSpPr>
          <a:spLocks/>
        </xdr:cNvSpPr>
      </xdr:nvSpPr>
      <xdr:spPr bwMode="auto">
        <a:xfrm>
          <a:off x="6943725" y="43719750"/>
          <a:ext cx="76200" cy="4648200"/>
        </a:xfrm>
        <a:prstGeom prst="rightBrace">
          <a:avLst>
            <a:gd name="adj1" fmla="val 5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47625</xdr:colOff>
      <xdr:row>272</xdr:row>
      <xdr:rowOff>9525</xdr:rowOff>
    </xdr:from>
    <xdr:to>
      <xdr:col>12</xdr:col>
      <xdr:colOff>114300</xdr:colOff>
      <xdr:row>282</xdr:row>
      <xdr:rowOff>142875</xdr:rowOff>
    </xdr:to>
    <xdr:sp macro="" textlink="">
      <xdr:nvSpPr>
        <xdr:cNvPr id="29495" name="AutoShape 8">
          <a:extLst>
            <a:ext uri="{FF2B5EF4-FFF2-40B4-BE49-F238E27FC236}">
              <a16:creationId xmlns:a16="http://schemas.microsoft.com/office/drawing/2014/main" id="{00000000-0008-0000-0F00-000037730000}"/>
            </a:ext>
          </a:extLst>
        </xdr:cNvPr>
        <xdr:cNvSpPr>
          <a:spLocks/>
        </xdr:cNvSpPr>
      </xdr:nvSpPr>
      <xdr:spPr bwMode="auto">
        <a:xfrm>
          <a:off x="6972300" y="48453675"/>
          <a:ext cx="66675" cy="1752600"/>
        </a:xfrm>
        <a:prstGeom prst="rightBrace">
          <a:avLst>
            <a:gd name="adj1" fmla="val 2190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1047750</xdr:colOff>
      <xdr:row>223</xdr:row>
      <xdr:rowOff>0</xdr:rowOff>
    </xdr:from>
    <xdr:to>
      <xdr:col>13</xdr:col>
      <xdr:colOff>19050</xdr:colOff>
      <xdr:row>241</xdr:row>
      <xdr:rowOff>0</xdr:rowOff>
    </xdr:to>
    <xdr:sp macro="" textlink="">
      <xdr:nvSpPr>
        <xdr:cNvPr id="29496" name="AutoShape 10">
          <a:extLst>
            <a:ext uri="{FF2B5EF4-FFF2-40B4-BE49-F238E27FC236}">
              <a16:creationId xmlns:a16="http://schemas.microsoft.com/office/drawing/2014/main" id="{00000000-0008-0000-0F00-000038730000}"/>
            </a:ext>
          </a:extLst>
        </xdr:cNvPr>
        <xdr:cNvSpPr>
          <a:spLocks/>
        </xdr:cNvSpPr>
      </xdr:nvSpPr>
      <xdr:spPr bwMode="auto">
        <a:xfrm>
          <a:off x="6867525" y="41062275"/>
          <a:ext cx="219075" cy="2590800"/>
        </a:xfrm>
        <a:prstGeom prst="rightBrace">
          <a:avLst>
            <a:gd name="adj1" fmla="val 9855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288</xdr:row>
      <xdr:rowOff>9525</xdr:rowOff>
    </xdr:from>
    <xdr:to>
      <xdr:col>12</xdr:col>
      <xdr:colOff>123825</xdr:colOff>
      <xdr:row>305</xdr:row>
      <xdr:rowOff>0</xdr:rowOff>
    </xdr:to>
    <xdr:sp macro="" textlink="">
      <xdr:nvSpPr>
        <xdr:cNvPr id="29497" name="AutoShape 11">
          <a:extLst>
            <a:ext uri="{FF2B5EF4-FFF2-40B4-BE49-F238E27FC236}">
              <a16:creationId xmlns:a16="http://schemas.microsoft.com/office/drawing/2014/main" id="{00000000-0008-0000-0F00-000039730000}"/>
            </a:ext>
          </a:extLst>
        </xdr:cNvPr>
        <xdr:cNvSpPr>
          <a:spLocks/>
        </xdr:cNvSpPr>
      </xdr:nvSpPr>
      <xdr:spPr bwMode="auto">
        <a:xfrm>
          <a:off x="6924675" y="50834925"/>
          <a:ext cx="123825" cy="2419350"/>
        </a:xfrm>
        <a:prstGeom prst="rightBrace">
          <a:avLst>
            <a:gd name="adj1" fmla="val 16282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19050</xdr:colOff>
      <xdr:row>283</xdr:row>
      <xdr:rowOff>47625</xdr:rowOff>
    </xdr:from>
    <xdr:to>
      <xdr:col>12</xdr:col>
      <xdr:colOff>95250</xdr:colOff>
      <xdr:row>287</xdr:row>
      <xdr:rowOff>47625</xdr:rowOff>
    </xdr:to>
    <xdr:sp macro="" textlink="">
      <xdr:nvSpPr>
        <xdr:cNvPr id="29498" name="AutoShape 14">
          <a:extLst>
            <a:ext uri="{FF2B5EF4-FFF2-40B4-BE49-F238E27FC236}">
              <a16:creationId xmlns:a16="http://schemas.microsoft.com/office/drawing/2014/main" id="{00000000-0008-0000-0F00-00003A730000}"/>
            </a:ext>
          </a:extLst>
        </xdr:cNvPr>
        <xdr:cNvSpPr>
          <a:spLocks/>
        </xdr:cNvSpPr>
      </xdr:nvSpPr>
      <xdr:spPr bwMode="auto">
        <a:xfrm>
          <a:off x="6943725" y="50272950"/>
          <a:ext cx="76200" cy="542925"/>
        </a:xfrm>
        <a:prstGeom prst="rightBrace">
          <a:avLst>
            <a:gd name="adj1" fmla="val 593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19050</xdr:colOff>
      <xdr:row>80</xdr:row>
      <xdr:rowOff>0</xdr:rowOff>
    </xdr:from>
    <xdr:to>
      <xdr:col>3</xdr:col>
      <xdr:colOff>95250</xdr:colOff>
      <xdr:row>80</xdr:row>
      <xdr:rowOff>0</xdr:rowOff>
    </xdr:to>
    <xdr:sp macro="" textlink="">
      <xdr:nvSpPr>
        <xdr:cNvPr id="20275" name="AutoShape 3">
          <a:extLst>
            <a:ext uri="{FF2B5EF4-FFF2-40B4-BE49-F238E27FC236}">
              <a16:creationId xmlns:a16="http://schemas.microsoft.com/office/drawing/2014/main" id="{00000000-0008-0000-1000-0000334F0000}"/>
            </a:ext>
          </a:extLst>
        </xdr:cNvPr>
        <xdr:cNvSpPr>
          <a:spLocks/>
        </xdr:cNvSpPr>
      </xdr:nvSpPr>
      <xdr:spPr bwMode="auto">
        <a:xfrm>
          <a:off x="3829050" y="11725275"/>
          <a:ext cx="7620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28575</xdr:colOff>
      <xdr:row>80</xdr:row>
      <xdr:rowOff>19050</xdr:rowOff>
    </xdr:from>
    <xdr:to>
      <xdr:col>3</xdr:col>
      <xdr:colOff>95250</xdr:colOff>
      <xdr:row>90</xdr:row>
      <xdr:rowOff>66675</xdr:rowOff>
    </xdr:to>
    <xdr:sp macro="" textlink="">
      <xdr:nvSpPr>
        <xdr:cNvPr id="20276" name="AutoShape 4">
          <a:extLst>
            <a:ext uri="{FF2B5EF4-FFF2-40B4-BE49-F238E27FC236}">
              <a16:creationId xmlns:a16="http://schemas.microsoft.com/office/drawing/2014/main" id="{00000000-0008-0000-1000-0000344F0000}"/>
            </a:ext>
          </a:extLst>
        </xdr:cNvPr>
        <xdr:cNvSpPr>
          <a:spLocks/>
        </xdr:cNvSpPr>
      </xdr:nvSpPr>
      <xdr:spPr bwMode="auto">
        <a:xfrm>
          <a:off x="3838575" y="11744325"/>
          <a:ext cx="66675" cy="1981200"/>
        </a:xfrm>
        <a:prstGeom prst="rightBrace">
          <a:avLst>
            <a:gd name="adj1" fmla="val 24761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38100</xdr:colOff>
      <xdr:row>64</xdr:row>
      <xdr:rowOff>0</xdr:rowOff>
    </xdr:from>
    <xdr:to>
      <xdr:col>5</xdr:col>
      <xdr:colOff>114300</xdr:colOff>
      <xdr:row>77</xdr:row>
      <xdr:rowOff>114300</xdr:rowOff>
    </xdr:to>
    <xdr:sp macro="" textlink="">
      <xdr:nvSpPr>
        <xdr:cNvPr id="20277" name="AutoShape 5">
          <a:extLst>
            <a:ext uri="{FF2B5EF4-FFF2-40B4-BE49-F238E27FC236}">
              <a16:creationId xmlns:a16="http://schemas.microsoft.com/office/drawing/2014/main" id="{00000000-0008-0000-1000-0000354F0000}"/>
            </a:ext>
          </a:extLst>
        </xdr:cNvPr>
        <xdr:cNvSpPr>
          <a:spLocks/>
        </xdr:cNvSpPr>
      </xdr:nvSpPr>
      <xdr:spPr bwMode="auto">
        <a:xfrm>
          <a:off x="5638800" y="9763125"/>
          <a:ext cx="76200" cy="1571625"/>
        </a:xfrm>
        <a:prstGeom prst="rightBrace">
          <a:avLst>
            <a:gd name="adj1" fmla="val 17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8</xdr:row>
      <xdr:rowOff>0</xdr:rowOff>
    </xdr:from>
    <xdr:to>
      <xdr:col>9</xdr:col>
      <xdr:colOff>0</xdr:colOff>
      <xdr:row>17</xdr:row>
      <xdr:rowOff>19050</xdr:rowOff>
    </xdr:to>
    <xdr:sp macro="" textlink="">
      <xdr:nvSpPr>
        <xdr:cNvPr id="19462" name="Text Box 6">
          <a:extLst>
            <a:ext uri="{FF2B5EF4-FFF2-40B4-BE49-F238E27FC236}">
              <a16:creationId xmlns:a16="http://schemas.microsoft.com/office/drawing/2014/main" id="{00000000-0008-0000-1000-0000064C0000}"/>
            </a:ext>
          </a:extLst>
        </xdr:cNvPr>
        <xdr:cNvSpPr txBox="1">
          <a:spLocks noChangeArrowheads="1"/>
        </xdr:cNvSpPr>
      </xdr:nvSpPr>
      <xdr:spPr bwMode="auto">
        <a:xfrm>
          <a:off x="247650" y="2219325"/>
          <a:ext cx="8020050" cy="14287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Restricted net position is calculated in total for the government-wide activities.  However, the fund statements are needed to begin this calculation. In the yellow cells below, enter the indicated totals by function (which may require some aggregation of funds).  For example, the functional expenditure for the Emergency Telephone System Special Revenue Fund  is public safety, so the restricted net position for that fund is calculated entirely on that line.  The Register of Deeds is shown as a separate category due to special legislation.  </a:t>
          </a:r>
        </a:p>
        <a:p>
          <a:pPr algn="l" rtl="0">
            <a:defRPr sz="1000"/>
          </a:pPr>
          <a:r>
            <a:rPr lang="en-US" sz="1000" b="0" i="0" u="none" strike="noStrike" baseline="0">
              <a:solidFill>
                <a:srgbClr val="000000"/>
              </a:solidFill>
              <a:latin typeface="Arial"/>
              <a:cs typeface="Arial"/>
            </a:rPr>
            <a:t>Restricted net position is restricted by an external source such as a grantor agency or a creditor, or restricted by board action in conjunction with separate legislation, such as the levying of an occupancy tax.  Board action by itself is not enough to restrict net position.  Once the determination is made that restricted net position exists, then the total amount to be restricted must be calculated to include any receivables of that asset less any payables or unearned income that relate to that asset, not accounted for in the Stablization by State Statute amount. All numbers are entered as positive numbers.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12</xdr:row>
      <xdr:rowOff>9525</xdr:rowOff>
    </xdr:from>
    <xdr:to>
      <xdr:col>4</xdr:col>
      <xdr:colOff>504825</xdr:colOff>
      <xdr:row>15</xdr:row>
      <xdr:rowOff>0</xdr:rowOff>
    </xdr:to>
    <xdr:sp macro="" textlink="">
      <xdr:nvSpPr>
        <xdr:cNvPr id="2" name="Right Brace 1">
          <a:extLst>
            <a:ext uri="{FF2B5EF4-FFF2-40B4-BE49-F238E27FC236}">
              <a16:creationId xmlns:a16="http://schemas.microsoft.com/office/drawing/2014/main" id="{00000000-0008-0000-1900-000002000000}"/>
            </a:ext>
          </a:extLst>
        </xdr:cNvPr>
        <xdr:cNvSpPr/>
      </xdr:nvSpPr>
      <xdr:spPr>
        <a:xfrm>
          <a:off x="7219950" y="2905125"/>
          <a:ext cx="504825" cy="53340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31750</xdr:colOff>
      <xdr:row>25</xdr:row>
      <xdr:rowOff>84666</xdr:rowOff>
    </xdr:from>
    <xdr:to>
      <xdr:col>6</xdr:col>
      <xdr:colOff>7672</xdr:colOff>
      <xdr:row>35</xdr:row>
      <xdr:rowOff>316705</xdr:rowOff>
    </xdr:to>
    <xdr:sp macro="" textlink="">
      <xdr:nvSpPr>
        <xdr:cNvPr id="3" name="Right Brace 2">
          <a:extLst>
            <a:ext uri="{FF2B5EF4-FFF2-40B4-BE49-F238E27FC236}">
              <a16:creationId xmlns:a16="http://schemas.microsoft.com/office/drawing/2014/main" id="{00000000-0008-0000-1900-000003000000}"/>
            </a:ext>
          </a:extLst>
        </xdr:cNvPr>
        <xdr:cNvSpPr/>
      </xdr:nvSpPr>
      <xdr:spPr>
        <a:xfrm>
          <a:off x="6551083" y="4624916"/>
          <a:ext cx="1764506" cy="3269456"/>
        </a:xfrm>
        <a:prstGeom prst="rightBrace">
          <a:avLst>
            <a:gd name="adj1" fmla="val 46574"/>
            <a:gd name="adj2" fmla="val 59106"/>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HPNC\Health\GASB%207475%20Study\05032017%20Files\GASB7475-MAP--withUpdates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gc0051\AppData\Local\Microsoft\Windows\Temporary%20Internet%20Files\Content.Outlook\2YIUDKCC\LGERS20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etirement\Ken\C02747\2014%20Valuations\CJRS20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etirement\Ken\C02747\2014%20Valuations\CJRS20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etirement\Ken\C00387\2014%20Valuations%20-%20LRS\LRS201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tirement\Ken\C00387\2010%20Valuations\TSERS2009%20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etirement\Ken\C00387\2010%20Valuations\TSERS2009%20v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lgc0193\Desktop\Carolina%20County%20sample%20statements\CarolinaCoGAConv%20with%20OPEB%20Trus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nctreasurer365-my.sharepoint.com/Dzingeleski/Carolina%20County%20IS%202019/CarolinaCountyGovernmentalActivitiesConversionWorkbo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L"/>
      <sheetName val="GASB67 Exhibits"/>
      <sheetName val="Adjust"/>
      <sheetName val="Import"/>
      <sheetName val="BM_GASB"/>
      <sheetName val="BM_GASBExhibits"/>
      <sheetName val="BM_Adjust"/>
      <sheetName val="Assets"/>
      <sheetName val="TPL_Adjust"/>
      <sheetName val="NPLExpense"/>
      <sheetName val="QuickChecks"/>
      <sheetName val="Deferred Amounts Exhibits"/>
      <sheetName val="InOutFlow"/>
      <sheetName val="GASB68 Exhibits"/>
      <sheetName val="OneERView"/>
      <sheetName val="ER_Input"/>
      <sheetName val="ER_Allocation"/>
      <sheetName val="ER_ChangeProportion"/>
      <sheetName val="ER_ShareContributions"/>
      <sheetName val="ER_AllocationofChanges"/>
      <sheetName val="ER_Schedule1"/>
      <sheetName val="ER_Schedule2"/>
      <sheetName val="ER_NPLExpense"/>
      <sheetName val="ER_DATA"/>
      <sheetName val="Buffer"/>
      <sheetName val="Template"/>
      <sheetName val="FullPlan"/>
      <sheetName val="DeveloperInfo"/>
    </sheetNames>
    <sheetDataSet>
      <sheetData sheetId="0">
        <row r="43">
          <cell r="C43">
            <v>0.5</v>
          </cell>
        </row>
      </sheetData>
      <sheetData sheetId="1"/>
      <sheetData sheetId="2">
        <row r="102">
          <cell r="G102">
            <v>0</v>
          </cell>
          <cell r="H102">
            <v>0</v>
          </cell>
        </row>
        <row r="195">
          <cell r="G195">
            <v>1</v>
          </cell>
          <cell r="H195">
            <v>1</v>
          </cell>
          <cell r="I195">
            <v>1</v>
          </cell>
          <cell r="J195">
            <v>1</v>
          </cell>
          <cell r="K195">
            <v>1</v>
          </cell>
          <cell r="L195">
            <v>1</v>
          </cell>
        </row>
        <row r="197">
          <cell r="G197">
            <v>1.0015833333333333</v>
          </cell>
          <cell r="I197">
            <v>1.0011874999999999</v>
          </cell>
          <cell r="J197">
            <v>1.0011874999999999</v>
          </cell>
          <cell r="K197">
            <v>1.0016041666666666</v>
          </cell>
          <cell r="L197">
            <v>1.0007708333333334</v>
          </cell>
        </row>
        <row r="199">
          <cell r="G199">
            <v>1</v>
          </cell>
          <cell r="H199">
            <v>1</v>
          </cell>
          <cell r="K199">
            <v>1</v>
          </cell>
          <cell r="L199">
            <v>1</v>
          </cell>
        </row>
        <row r="200">
          <cell r="G200">
            <v>0</v>
          </cell>
          <cell r="H200">
            <v>0</v>
          </cell>
          <cell r="K200">
            <v>0</v>
          </cell>
          <cell r="L200">
            <v>0</v>
          </cell>
        </row>
      </sheetData>
      <sheetData sheetId="3"/>
      <sheetData sheetId="4"/>
      <sheetData sheetId="5"/>
      <sheetData sheetId="6"/>
      <sheetData sheetId="7"/>
      <sheetData sheetId="8"/>
      <sheetData sheetId="9"/>
      <sheetData sheetId="10"/>
      <sheetData sheetId="11"/>
      <sheetData sheetId="12"/>
      <sheetData sheetId="13"/>
      <sheetData sheetId="14"/>
      <sheetData sheetId="15">
        <row r="16">
          <cell r="B16">
            <v>10200</v>
          </cell>
          <cell r="C16" t="str">
            <v>North Carolina Education Lottery</v>
          </cell>
          <cell r="D16">
            <v>13140078.810000001</v>
          </cell>
          <cell r="E16">
            <v>14107712.330000008</v>
          </cell>
          <cell r="F16">
            <v>117258395.09909993</v>
          </cell>
          <cell r="G16">
            <v>158330013.72638756</v>
          </cell>
          <cell r="M16">
            <v>838417.64999999991</v>
          </cell>
          <cell r="R16" t="str">
            <v>TRUE</v>
          </cell>
          <cell r="V16">
            <v>16</v>
          </cell>
        </row>
        <row r="17">
          <cell r="B17" t="str">
            <v>SPA</v>
          </cell>
          <cell r="C17" t="str">
            <v>NC State Ports Authority (subset of DOT)</v>
          </cell>
          <cell r="D17">
            <v>9908200.6700000055</v>
          </cell>
          <cell r="E17">
            <v>11585996.839999992</v>
          </cell>
          <cell r="F17">
            <v>73579293.954100028</v>
          </cell>
          <cell r="G17">
            <v>103182162.23689999</v>
          </cell>
          <cell r="M17">
            <v>690060.76502732246</v>
          </cell>
          <cell r="V17">
            <v>17</v>
          </cell>
        </row>
        <row r="18">
          <cell r="B18" t="str">
            <v>GTPA</v>
          </cell>
          <cell r="C18" t="str">
            <v>NC Global TransPark Authority (subset of DOT)</v>
          </cell>
          <cell r="D18">
            <v>381770.5</v>
          </cell>
          <cell r="E18">
            <v>413152.68</v>
          </cell>
          <cell r="F18">
            <v>2135270.6086999997</v>
          </cell>
          <cell r="G18">
            <v>2592522.6902000001</v>
          </cell>
          <cell r="M18">
            <v>25039.650273224044</v>
          </cell>
          <cell r="V18">
            <v>18</v>
          </cell>
        </row>
        <row r="19">
          <cell r="B19" t="str">
            <v>SEAA</v>
          </cell>
          <cell r="C19" t="str">
            <v>State Education Assistance Authority (subset of UNC General Administration)</v>
          </cell>
          <cell r="D19">
            <v>1736323.6300000001</v>
          </cell>
          <cell r="E19">
            <v>1806684.4100000004</v>
          </cell>
          <cell r="F19">
            <v>12895805.5305</v>
          </cell>
          <cell r="G19">
            <v>16489783.240600001</v>
          </cell>
          <cell r="M19">
            <v>114494.60109289618</v>
          </cell>
          <cell r="V19">
            <v>19</v>
          </cell>
        </row>
        <row r="20">
          <cell r="B20" t="str">
            <v>SHP</v>
          </cell>
          <cell r="C20" t="str">
            <v>State Health Plan (subset of Department of Treasurer)</v>
          </cell>
          <cell r="D20">
            <v>1877198.62</v>
          </cell>
          <cell r="E20">
            <v>2028909.9300000002</v>
          </cell>
          <cell r="F20">
            <v>16332188.791200001</v>
          </cell>
          <cell r="G20">
            <v>21766640.335700005</v>
          </cell>
          <cell r="M20">
            <v>153883.10382513664</v>
          </cell>
          <cell r="V20">
            <v>20</v>
          </cell>
        </row>
        <row r="21">
          <cell r="B21">
            <v>10400</v>
          </cell>
          <cell r="C21" t="str">
            <v>Department Of Justice</v>
          </cell>
          <cell r="D21">
            <v>45032680.989999987</v>
          </cell>
          <cell r="E21">
            <v>46652416.75000006</v>
          </cell>
          <cell r="F21">
            <v>346712388.41399986</v>
          </cell>
          <cell r="G21">
            <v>461834540.907691</v>
          </cell>
          <cell r="M21">
            <v>2712836.9099999992</v>
          </cell>
          <cell r="V21">
            <v>21</v>
          </cell>
        </row>
        <row r="22">
          <cell r="B22">
            <v>10500</v>
          </cell>
          <cell r="C22" t="str">
            <v>State Auditor</v>
          </cell>
          <cell r="D22">
            <v>9913585.9800000004</v>
          </cell>
          <cell r="E22">
            <v>9868361.1599999983</v>
          </cell>
          <cell r="F22">
            <v>80315788.587900028</v>
          </cell>
          <cell r="G22">
            <v>104202614.37525001</v>
          </cell>
          <cell r="M22">
            <v>596251.93000000005</v>
          </cell>
          <cell r="V22">
            <v>22</v>
          </cell>
        </row>
        <row r="23">
          <cell r="B23">
            <v>10700</v>
          </cell>
          <cell r="C23" t="str">
            <v>Department Of Cultural Resources</v>
          </cell>
          <cell r="D23">
            <v>29104363.569999993</v>
          </cell>
          <cell r="E23">
            <v>66506369.379999906</v>
          </cell>
          <cell r="F23">
            <v>202614613.91110012</v>
          </cell>
          <cell r="G23">
            <v>633740389.29310656</v>
          </cell>
          <cell r="M23">
            <v>3341643.25</v>
          </cell>
          <cell r="V23">
            <v>23</v>
          </cell>
        </row>
        <row r="24">
          <cell r="B24">
            <v>10800</v>
          </cell>
          <cell r="C24" t="str">
            <v>Administrative Office Of The Courts</v>
          </cell>
          <cell r="D24">
            <v>276165065.26999789</v>
          </cell>
          <cell r="E24">
            <v>276869699.74999952</v>
          </cell>
          <cell r="F24">
            <v>2134089260.0327041</v>
          </cell>
          <cell r="G24">
            <v>2770283572.9092622</v>
          </cell>
          <cell r="M24">
            <v>16051570.390000001</v>
          </cell>
          <cell r="V24">
            <v>24</v>
          </cell>
        </row>
        <row r="25">
          <cell r="B25">
            <v>10850</v>
          </cell>
          <cell r="C25" t="str">
            <v>Office Of Administrative Hearing</v>
          </cell>
          <cell r="D25">
            <v>2416963.3499999996</v>
          </cell>
          <cell r="E25">
            <v>2828498.3000000003</v>
          </cell>
          <cell r="F25">
            <v>13094147.137200002</v>
          </cell>
          <cell r="G25">
            <v>19725979.857292328</v>
          </cell>
          <cell r="M25">
            <v>164164.12</v>
          </cell>
          <cell r="V25">
            <v>25</v>
          </cell>
        </row>
        <row r="26">
          <cell r="B26">
            <v>10900</v>
          </cell>
          <cell r="C26" t="str">
            <v>Department Of Administration</v>
          </cell>
          <cell r="D26">
            <v>32258183.599999968</v>
          </cell>
          <cell r="E26">
            <v>32080362.910000026</v>
          </cell>
          <cell r="F26">
            <v>214291080.30210024</v>
          </cell>
          <cell r="G26">
            <v>266733548.8190397</v>
          </cell>
          <cell r="M26">
            <v>1838476.8499999996</v>
          </cell>
          <cell r="V26">
            <v>26</v>
          </cell>
        </row>
        <row r="27">
          <cell r="B27">
            <v>10910</v>
          </cell>
          <cell r="C27" t="str">
            <v>Office Of State Budget &amp; Management</v>
          </cell>
          <cell r="D27">
            <v>4630052.5100000007</v>
          </cell>
          <cell r="E27">
            <v>3813313.13</v>
          </cell>
          <cell r="F27">
            <v>33769642.060700007</v>
          </cell>
          <cell r="G27">
            <v>40166172.460000008</v>
          </cell>
          <cell r="M27">
            <v>228972.61</v>
          </cell>
          <cell r="V27">
            <v>27</v>
          </cell>
        </row>
        <row r="28">
          <cell r="B28">
            <v>10930</v>
          </cell>
          <cell r="C28" t="str">
            <v>Information Technology Services</v>
          </cell>
          <cell r="D28">
            <v>40051803.189999998</v>
          </cell>
          <cell r="E28">
            <v>40792819.800000012</v>
          </cell>
          <cell r="F28">
            <v>282653028.59919977</v>
          </cell>
          <cell r="G28">
            <v>355223499.50040084</v>
          </cell>
          <cell r="M28">
            <v>2335030.2499999995</v>
          </cell>
          <cell r="V28">
            <v>28</v>
          </cell>
        </row>
        <row r="29">
          <cell r="B29">
            <v>10940</v>
          </cell>
          <cell r="C29" t="str">
            <v>Office Of State Controller</v>
          </cell>
          <cell r="D29">
            <v>11087519.829999996</v>
          </cell>
          <cell r="E29">
            <v>10915232.039999992</v>
          </cell>
          <cell r="F29">
            <v>77064137.500400007</v>
          </cell>
          <cell r="G29">
            <v>97490247.369223759</v>
          </cell>
          <cell r="M29">
            <v>641379.92999999993</v>
          </cell>
          <cell r="V29">
            <v>29</v>
          </cell>
        </row>
        <row r="30">
          <cell r="B30">
            <v>10950</v>
          </cell>
          <cell r="C30" t="str">
            <v>N.C. School Of Science &amp; Mathematics</v>
          </cell>
          <cell r="D30">
            <v>11853204.720000012</v>
          </cell>
          <cell r="E30">
            <v>12169359.4</v>
          </cell>
          <cell r="F30">
            <v>93896356.444600001</v>
          </cell>
          <cell r="G30">
            <v>127757506.78350005</v>
          </cell>
          <cell r="M30">
            <v>693898.79</v>
          </cell>
          <cell r="V30">
            <v>30</v>
          </cell>
        </row>
        <row r="31">
          <cell r="B31">
            <v>11300</v>
          </cell>
          <cell r="C31" t="str">
            <v>Environment And Natural Resources</v>
          </cell>
          <cell r="D31">
            <v>119549453.71999982</v>
          </cell>
          <cell r="E31">
            <v>81503903.549999997</v>
          </cell>
          <cell r="F31">
            <v>888668927.11740065</v>
          </cell>
          <cell r="G31">
            <v>742415346.24827659</v>
          </cell>
          <cell r="M31">
            <v>5216636.1899999995</v>
          </cell>
          <cell r="V31">
            <v>31</v>
          </cell>
        </row>
        <row r="32">
          <cell r="B32">
            <v>11310</v>
          </cell>
          <cell r="C32" t="str">
            <v>N.C. Housing Finance Agency</v>
          </cell>
          <cell r="D32">
            <v>7601380.0300000021</v>
          </cell>
          <cell r="E32">
            <v>7711680.4799999986</v>
          </cell>
          <cell r="F32">
            <v>55970482.748200007</v>
          </cell>
          <cell r="G32">
            <v>71497564.273457065</v>
          </cell>
          <cell r="M32">
            <v>440657.49000000005</v>
          </cell>
          <cell r="V32">
            <v>32</v>
          </cell>
        </row>
        <row r="33">
          <cell r="B33">
            <v>11600</v>
          </cell>
          <cell r="C33" t="str">
            <v>Wildlife Resources Commission</v>
          </cell>
          <cell r="D33">
            <v>27926389.21999998</v>
          </cell>
          <cell r="E33">
            <v>28412137.169999994</v>
          </cell>
          <cell r="F33">
            <v>233589540.2854999</v>
          </cell>
          <cell r="G33">
            <v>305189205.14313018</v>
          </cell>
          <cell r="M33">
            <v>1642062.2200000002</v>
          </cell>
          <cell r="V33">
            <v>33</v>
          </cell>
        </row>
        <row r="34">
          <cell r="B34">
            <v>11900</v>
          </cell>
          <cell r="C34" t="str">
            <v>State Board Of Elections</v>
          </cell>
          <cell r="D34">
            <v>3140884.0100000002</v>
          </cell>
          <cell r="E34">
            <v>3220506.4499999997</v>
          </cell>
          <cell r="F34">
            <v>28013267.772500012</v>
          </cell>
          <cell r="G34">
            <v>35457958.022800013</v>
          </cell>
          <cell r="M34">
            <v>182558.12</v>
          </cell>
          <cell r="V34">
            <v>34</v>
          </cell>
        </row>
        <row r="35">
          <cell r="B35">
            <v>12100</v>
          </cell>
          <cell r="C35" t="str">
            <v>Governor's Office</v>
          </cell>
          <cell r="D35">
            <v>4037476.6399999992</v>
          </cell>
          <cell r="E35">
            <v>4186906.6799999992</v>
          </cell>
          <cell r="F35">
            <v>32196933.971600004</v>
          </cell>
          <cell r="G35">
            <v>41849957.136910535</v>
          </cell>
          <cell r="M35">
            <v>231747.3</v>
          </cell>
          <cell r="V35">
            <v>35</v>
          </cell>
        </row>
        <row r="36">
          <cell r="B36">
            <v>12150</v>
          </cell>
          <cell r="C36" t="str">
            <v>Lt. Governor's Office</v>
          </cell>
          <cell r="D36">
            <v>498234.02</v>
          </cell>
          <cell r="E36">
            <v>509215.18000000005</v>
          </cell>
          <cell r="F36">
            <v>5048017.9245999996</v>
          </cell>
          <cell r="G36">
            <v>6257049.967699999</v>
          </cell>
          <cell r="M36">
            <v>26996.550000000003</v>
          </cell>
          <cell r="V36">
            <v>36</v>
          </cell>
        </row>
        <row r="37">
          <cell r="B37">
            <v>12160</v>
          </cell>
          <cell r="C37" t="str">
            <v>General Assembly</v>
          </cell>
          <cell r="D37">
            <v>27431475.109999951</v>
          </cell>
          <cell r="E37">
            <v>29167151.46999998</v>
          </cell>
          <cell r="F37">
            <v>202874970.85329992</v>
          </cell>
          <cell r="G37">
            <v>274894843.96160227</v>
          </cell>
          <cell r="M37">
            <v>1634685.2699999998</v>
          </cell>
          <cell r="V37">
            <v>37</v>
          </cell>
        </row>
        <row r="38">
          <cell r="B38">
            <v>12220</v>
          </cell>
          <cell r="C38" t="str">
            <v>Health &amp; Human Services</v>
          </cell>
          <cell r="D38">
            <v>691208318.22000325</v>
          </cell>
          <cell r="E38">
            <v>714528160.84999931</v>
          </cell>
          <cell r="F38">
            <v>5138406918.7609119</v>
          </cell>
          <cell r="G38">
            <v>6788464923.7811136</v>
          </cell>
          <cell r="M38">
            <v>41418259.039999999</v>
          </cell>
          <cell r="V38">
            <v>38</v>
          </cell>
        </row>
        <row r="39">
          <cell r="B39">
            <v>12510</v>
          </cell>
          <cell r="C39" t="str">
            <v>Department Of Commerce</v>
          </cell>
          <cell r="D39">
            <v>94929199.229999915</v>
          </cell>
          <cell r="E39">
            <v>89318474.35999988</v>
          </cell>
          <cell r="F39">
            <v>648314450.72300053</v>
          </cell>
          <cell r="G39">
            <v>760563563.3649689</v>
          </cell>
          <cell r="M39">
            <v>5078458.17</v>
          </cell>
          <cell r="V39">
            <v>39</v>
          </cell>
        </row>
        <row r="40">
          <cell r="B40">
            <v>12600</v>
          </cell>
          <cell r="C40" t="str">
            <v>Insurance Department</v>
          </cell>
          <cell r="D40">
            <v>23057745.250000004</v>
          </cell>
          <cell r="E40">
            <v>23967770.510000024</v>
          </cell>
          <cell r="F40">
            <v>158336687.30759996</v>
          </cell>
          <cell r="G40">
            <v>204541993.27083603</v>
          </cell>
          <cell r="M40">
            <v>1375917.37</v>
          </cell>
          <cell r="V40">
            <v>40</v>
          </cell>
        </row>
        <row r="41">
          <cell r="B41">
            <v>12700</v>
          </cell>
          <cell r="C41" t="str">
            <v>Labor Department</v>
          </cell>
          <cell r="D41">
            <v>18476884.369999997</v>
          </cell>
          <cell r="E41">
            <v>18256095.459999993</v>
          </cell>
          <cell r="F41">
            <v>128071452.31869987</v>
          </cell>
          <cell r="G41">
            <v>161789949.37498331</v>
          </cell>
          <cell r="M41">
            <v>1039464.27</v>
          </cell>
          <cell r="V41">
            <v>41</v>
          </cell>
        </row>
        <row r="42">
          <cell r="B42">
            <v>13500</v>
          </cell>
          <cell r="C42" t="str">
            <v>Revenue Department</v>
          </cell>
          <cell r="D42">
            <v>59351472.210000016</v>
          </cell>
          <cell r="E42">
            <v>62437210.360000014</v>
          </cell>
          <cell r="F42">
            <v>442424282.30579895</v>
          </cell>
          <cell r="G42">
            <v>602068278.6938957</v>
          </cell>
          <cell r="M42">
            <v>3744870.41</v>
          </cell>
          <cell r="V42">
            <v>42</v>
          </cell>
        </row>
        <row r="43">
          <cell r="B43">
            <v>13700</v>
          </cell>
          <cell r="C43" t="str">
            <v>Secretary Of State</v>
          </cell>
          <cell r="D43">
            <v>7847466.9099999927</v>
          </cell>
          <cell r="E43">
            <v>8062460.2200000007</v>
          </cell>
          <cell r="F43">
            <v>57193045.723199986</v>
          </cell>
          <cell r="G43">
            <v>72996997.871200055</v>
          </cell>
          <cell r="M43">
            <v>459933.8600000001</v>
          </cell>
          <cell r="V43">
            <v>43</v>
          </cell>
        </row>
        <row r="44">
          <cell r="B44">
            <v>14300</v>
          </cell>
          <cell r="C44" t="str">
            <v>State Treasurer</v>
          </cell>
          <cell r="D44">
            <v>18668224.000000007</v>
          </cell>
          <cell r="E44">
            <v>20301876.740000028</v>
          </cell>
          <cell r="F44">
            <v>150427880.4119001</v>
          </cell>
          <cell r="G44">
            <v>207837874.1576499</v>
          </cell>
          <cell r="M44">
            <v>1232776.0161748636</v>
          </cell>
          <cell r="V44">
            <v>44</v>
          </cell>
        </row>
        <row r="45">
          <cell r="B45">
            <v>18400</v>
          </cell>
          <cell r="C45" t="str">
            <v>Department Of Agriculture</v>
          </cell>
          <cell r="D45">
            <v>81700719.910000011</v>
          </cell>
          <cell r="E45">
            <v>83685513.720000148</v>
          </cell>
          <cell r="F45">
            <v>611241679.95879889</v>
          </cell>
          <cell r="G45">
            <v>796113367.33703518</v>
          </cell>
          <cell r="M45">
            <v>4837731.8500000006</v>
          </cell>
          <cell r="V45">
            <v>45</v>
          </cell>
        </row>
        <row r="46">
          <cell r="B46">
            <v>18600</v>
          </cell>
          <cell r="C46" t="str">
            <v>Barber Examiners, State Board Of</v>
          </cell>
          <cell r="D46">
            <v>319127.02</v>
          </cell>
          <cell r="E46">
            <v>393697.74</v>
          </cell>
          <cell r="F46">
            <v>1951641.5970000001</v>
          </cell>
          <cell r="G46">
            <v>3353264.1546999998</v>
          </cell>
          <cell r="M46">
            <v>19103.669999999998</v>
          </cell>
          <cell r="V46">
            <v>46</v>
          </cell>
        </row>
        <row r="47">
          <cell r="B47">
            <v>18690</v>
          </cell>
          <cell r="C47" t="str">
            <v>N.C. Real Estate Commission</v>
          </cell>
          <cell r="D47">
            <v>338774.41000000003</v>
          </cell>
          <cell r="E47">
            <v>188638.13</v>
          </cell>
          <cell r="F47">
            <v>1082094.4539999999</v>
          </cell>
          <cell r="G47">
            <v>707488.27860000008</v>
          </cell>
          <cell r="M47">
            <v>10729.84</v>
          </cell>
          <cell r="V47">
            <v>47</v>
          </cell>
        </row>
        <row r="48">
          <cell r="B48">
            <v>18740</v>
          </cell>
          <cell r="C48" t="str">
            <v>N.C. Auctioneers Licensing Board</v>
          </cell>
          <cell r="D48">
            <v>109040</v>
          </cell>
          <cell r="E48">
            <v>108964.61</v>
          </cell>
          <cell r="F48">
            <v>708002.30050000001</v>
          </cell>
          <cell r="G48">
            <v>1012516.5645999999</v>
          </cell>
          <cell r="M48">
            <v>5820.32</v>
          </cell>
          <cell r="V48">
            <v>48</v>
          </cell>
        </row>
        <row r="49">
          <cell r="B49">
            <v>18780</v>
          </cell>
          <cell r="C49" t="str">
            <v>N.C. State Board Of Examiners Of Practicing Psychol</v>
          </cell>
          <cell r="D49">
            <v>206759.04000000001</v>
          </cell>
          <cell r="E49">
            <v>230054.08000000002</v>
          </cell>
          <cell r="F49">
            <v>1470948.3160000001</v>
          </cell>
          <cell r="G49">
            <v>2032913.4622</v>
          </cell>
          <cell r="M49">
            <v>14063.73</v>
          </cell>
          <cell r="V49">
            <v>49</v>
          </cell>
        </row>
        <row r="50">
          <cell r="B50">
            <v>19005</v>
          </cell>
          <cell r="C50" t="str">
            <v>Community Colleges Administration</v>
          </cell>
          <cell r="D50">
            <v>13028678.059999997</v>
          </cell>
          <cell r="E50">
            <v>13017121.449999999</v>
          </cell>
          <cell r="F50">
            <v>88238046.576200023</v>
          </cell>
          <cell r="G50">
            <v>109465670.70650002</v>
          </cell>
          <cell r="M50">
            <v>723012.18</v>
          </cell>
          <cell r="V50">
            <v>50</v>
          </cell>
        </row>
        <row r="51">
          <cell r="B51">
            <v>19100</v>
          </cell>
          <cell r="C51" t="str">
            <v>Department Of Public Safety</v>
          </cell>
          <cell r="D51">
            <v>907264421.91999543</v>
          </cell>
          <cell r="E51">
            <v>943822179.58999956</v>
          </cell>
          <cell r="F51">
            <v>7370668111.5191793</v>
          </cell>
          <cell r="G51">
            <v>9720683817.2060966</v>
          </cell>
          <cell r="M51">
            <v>55737001.779999994</v>
          </cell>
          <cell r="V51">
            <v>51</v>
          </cell>
        </row>
        <row r="52">
          <cell r="B52">
            <v>20100</v>
          </cell>
          <cell r="C52" t="str">
            <v>Appalachian State University</v>
          </cell>
          <cell r="D52">
            <v>152463131.52999961</v>
          </cell>
          <cell r="E52">
            <v>159125172.04999989</v>
          </cell>
          <cell r="F52">
            <v>1332750627.1713004</v>
          </cell>
          <cell r="G52">
            <v>1839576773.3837574</v>
          </cell>
          <cell r="M52">
            <v>9121256.3499999996</v>
          </cell>
          <cell r="V52">
            <v>52</v>
          </cell>
        </row>
        <row r="53">
          <cell r="B53">
            <v>20200</v>
          </cell>
          <cell r="C53" t="str">
            <v>N.C. School Of The Arts</v>
          </cell>
          <cell r="D53">
            <v>21633821.469999999</v>
          </cell>
          <cell r="E53">
            <v>23139714.909999985</v>
          </cell>
          <cell r="F53">
            <v>169069273.20410007</v>
          </cell>
          <cell r="G53">
            <v>238134398.71108416</v>
          </cell>
          <cell r="M53">
            <v>1312092.25</v>
          </cell>
          <cell r="V53">
            <v>53</v>
          </cell>
        </row>
        <row r="54">
          <cell r="B54">
            <v>20300</v>
          </cell>
          <cell r="C54" t="str">
            <v>East Carolina University</v>
          </cell>
          <cell r="D54">
            <v>374135353.39999753</v>
          </cell>
          <cell r="E54">
            <v>384458364.83999896</v>
          </cell>
          <cell r="F54">
            <v>3411596370.1930079</v>
          </cell>
          <cell r="G54">
            <v>4450859407.7966146</v>
          </cell>
          <cell r="M54">
            <v>21253621.16</v>
          </cell>
          <cell r="V54">
            <v>54</v>
          </cell>
        </row>
        <row r="55">
          <cell r="B55">
            <v>20400</v>
          </cell>
          <cell r="C55" t="str">
            <v>Elizabeth City State University</v>
          </cell>
          <cell r="D55">
            <v>24194754.610000022</v>
          </cell>
          <cell r="E55">
            <v>21065056.790000014</v>
          </cell>
          <cell r="F55">
            <v>190303612.04370016</v>
          </cell>
          <cell r="G55">
            <v>216730966.73224127</v>
          </cell>
          <cell r="M55">
            <v>1180498.3799999999</v>
          </cell>
          <cell r="V55">
            <v>55</v>
          </cell>
        </row>
        <row r="56">
          <cell r="B56">
            <v>20600</v>
          </cell>
          <cell r="C56" t="str">
            <v>Fayetteville State University</v>
          </cell>
          <cell r="D56">
            <v>46279011.609999999</v>
          </cell>
          <cell r="E56">
            <v>46059741.430000059</v>
          </cell>
          <cell r="F56">
            <v>379722128.42330003</v>
          </cell>
          <cell r="G56">
            <v>483077135.13638604</v>
          </cell>
          <cell r="M56">
            <v>2567090.4700000002</v>
          </cell>
          <cell r="V56">
            <v>56</v>
          </cell>
        </row>
        <row r="57">
          <cell r="B57">
            <v>20700</v>
          </cell>
          <cell r="C57" t="str">
            <v>N.C. A&amp;T University</v>
          </cell>
          <cell r="D57">
            <v>100701604.96999973</v>
          </cell>
          <cell r="E57">
            <v>100882755.96999997</v>
          </cell>
          <cell r="F57">
            <v>815989515.76950097</v>
          </cell>
          <cell r="G57">
            <v>1061976163.6406304</v>
          </cell>
          <cell r="M57">
            <v>5684012.8000000007</v>
          </cell>
          <cell r="V57">
            <v>57</v>
          </cell>
        </row>
        <row r="58">
          <cell r="B58">
            <v>20800</v>
          </cell>
          <cell r="C58" t="str">
            <v>N.C. Central University</v>
          </cell>
          <cell r="D58">
            <v>78164186.909999877</v>
          </cell>
          <cell r="E58">
            <v>78015479.829999864</v>
          </cell>
          <cell r="F58">
            <v>628971903.90429926</v>
          </cell>
          <cell r="G58">
            <v>837930452.33546937</v>
          </cell>
          <cell r="M58">
            <v>4372226.5500000007</v>
          </cell>
          <cell r="V58">
            <v>58</v>
          </cell>
        </row>
        <row r="59">
          <cell r="B59">
            <v>20900</v>
          </cell>
          <cell r="C59" t="str">
            <v>University Of North Carolina At Greensboro</v>
          </cell>
          <cell r="D59">
            <v>153703020.53999996</v>
          </cell>
          <cell r="E59">
            <v>153380773.23999989</v>
          </cell>
          <cell r="F59">
            <v>1334901916.7378001</v>
          </cell>
          <cell r="G59">
            <v>1726488746.8844199</v>
          </cell>
          <cell r="M59">
            <v>8688124</v>
          </cell>
          <cell r="V59">
            <v>59</v>
          </cell>
        </row>
        <row r="60">
          <cell r="B60">
            <v>21200</v>
          </cell>
          <cell r="C60" t="str">
            <v>UNC - Pembroke</v>
          </cell>
          <cell r="D60">
            <v>44476774.709999993</v>
          </cell>
          <cell r="E60">
            <v>48158850.890000053</v>
          </cell>
          <cell r="F60">
            <v>391930345.44640017</v>
          </cell>
          <cell r="G60">
            <v>565555534.55427539</v>
          </cell>
          <cell r="M60">
            <v>2683334.2999999998</v>
          </cell>
          <cell r="V60">
            <v>60</v>
          </cell>
        </row>
        <row r="61">
          <cell r="B61">
            <v>21300</v>
          </cell>
          <cell r="C61" t="str">
            <v>N.C. State University</v>
          </cell>
          <cell r="D61">
            <v>556878486.70999837</v>
          </cell>
          <cell r="E61">
            <v>581913565.08000124</v>
          </cell>
          <cell r="F61">
            <v>4923630164.3049107</v>
          </cell>
          <cell r="G61">
            <v>6771987881.9966269</v>
          </cell>
          <cell r="M61">
            <v>33170603.32</v>
          </cell>
          <cell r="V61">
            <v>61</v>
          </cell>
        </row>
        <row r="62">
          <cell r="B62">
            <v>21520</v>
          </cell>
          <cell r="C62" t="str">
            <v>UNC-CH CB 1260</v>
          </cell>
          <cell r="D62">
            <v>977823595.88999951</v>
          </cell>
          <cell r="E62">
            <v>1037963761.8100019</v>
          </cell>
          <cell r="F62">
            <v>9203325743.5181789</v>
          </cell>
          <cell r="G62">
            <v>12343375481.386206</v>
          </cell>
          <cell r="M62">
            <v>58923861.240000002</v>
          </cell>
          <cell r="V62">
            <v>62</v>
          </cell>
        </row>
        <row r="63">
          <cell r="B63">
            <v>21525</v>
          </cell>
          <cell r="C63" t="str">
            <v>UNC-General Administration</v>
          </cell>
          <cell r="D63">
            <v>26289411.439999998</v>
          </cell>
          <cell r="E63">
            <v>27240178.579999987</v>
          </cell>
          <cell r="F63">
            <v>215462075.18339983</v>
          </cell>
          <cell r="G63">
            <v>298915016.01031876</v>
          </cell>
          <cell r="M63">
            <v>1636125.2789071039</v>
          </cell>
          <cell r="V63">
            <v>63</v>
          </cell>
        </row>
        <row r="64">
          <cell r="B64">
            <v>21550</v>
          </cell>
          <cell r="C64" t="str">
            <v>UNC Health Care System</v>
          </cell>
          <cell r="D64">
            <v>497424933.12000048</v>
          </cell>
          <cell r="E64">
            <v>525945521.43999976</v>
          </cell>
          <cell r="F64">
            <v>4713269831.466692</v>
          </cell>
          <cell r="G64">
            <v>6670988864.1124773</v>
          </cell>
          <cell r="M64">
            <v>32115489.009999994</v>
          </cell>
          <cell r="V64">
            <v>64</v>
          </cell>
        </row>
        <row r="65">
          <cell r="B65">
            <v>21570</v>
          </cell>
          <cell r="C65" t="str">
            <v>University Of North Carolina Press</v>
          </cell>
          <cell r="D65">
            <v>2730178.14</v>
          </cell>
          <cell r="E65">
            <v>2811511.41</v>
          </cell>
          <cell r="F65">
            <v>21110274.446299996</v>
          </cell>
          <cell r="G65">
            <v>26798459.970199998</v>
          </cell>
          <cell r="M65">
            <v>165114.88999999998</v>
          </cell>
          <cell r="V65">
            <v>65</v>
          </cell>
        </row>
        <row r="66">
          <cell r="B66">
            <v>21800</v>
          </cell>
          <cell r="C66" t="str">
            <v>Western Carolina University</v>
          </cell>
          <cell r="D66">
            <v>81977394.010000005</v>
          </cell>
          <cell r="E66">
            <v>84770573.239999905</v>
          </cell>
          <cell r="F66">
            <v>716645001.98660028</v>
          </cell>
          <cell r="G66">
            <v>998094809.3206625</v>
          </cell>
          <cell r="M66">
            <v>4834362.2</v>
          </cell>
          <cell r="V66">
            <v>66</v>
          </cell>
        </row>
        <row r="67">
          <cell r="B67">
            <v>21900</v>
          </cell>
          <cell r="C67" t="str">
            <v>Winston-Salem State University</v>
          </cell>
          <cell r="D67">
            <v>55203377.569999985</v>
          </cell>
          <cell r="E67">
            <v>53762735.439999938</v>
          </cell>
          <cell r="F67">
            <v>455979947.9205001</v>
          </cell>
          <cell r="G67">
            <v>574886370.75963628</v>
          </cell>
          <cell r="M67">
            <v>3049632.5</v>
          </cell>
          <cell r="V67">
            <v>67</v>
          </cell>
        </row>
        <row r="68">
          <cell r="B68">
            <v>22000</v>
          </cell>
          <cell r="C68" t="str">
            <v>Department Of Public Instruction</v>
          </cell>
          <cell r="D68">
            <v>64904889.819999985</v>
          </cell>
          <cell r="E68">
            <v>61444720.999999948</v>
          </cell>
          <cell r="F68">
            <v>466149875.54069984</v>
          </cell>
          <cell r="G68">
            <v>564894877.32439375</v>
          </cell>
          <cell r="M68">
            <v>3547697.5900000003</v>
          </cell>
          <cell r="V68">
            <v>68</v>
          </cell>
        </row>
        <row r="69">
          <cell r="B69">
            <v>23000</v>
          </cell>
          <cell r="C69" t="str">
            <v>University Of North Carolina At Asheville</v>
          </cell>
          <cell r="D69">
            <v>37366144.430000015</v>
          </cell>
          <cell r="E69">
            <v>37896518.979999989</v>
          </cell>
          <cell r="F69">
            <v>316900261.63699943</v>
          </cell>
          <cell r="G69">
            <v>434366191.347305</v>
          </cell>
          <cell r="M69">
            <v>2215314.13</v>
          </cell>
          <cell r="V69">
            <v>69</v>
          </cell>
        </row>
        <row r="70">
          <cell r="B70">
            <v>23100</v>
          </cell>
          <cell r="C70" t="str">
            <v>University Of North Carolina At Charlotte</v>
          </cell>
          <cell r="D70">
            <v>205992830.08000067</v>
          </cell>
          <cell r="E70">
            <v>214830271.9000006</v>
          </cell>
          <cell r="F70">
            <v>1831324169.1407039</v>
          </cell>
          <cell r="G70">
            <v>2518260422.8764181</v>
          </cell>
          <cell r="M70">
            <v>12514087.529999999</v>
          </cell>
          <cell r="V70">
            <v>70</v>
          </cell>
        </row>
        <row r="71">
          <cell r="B71">
            <v>23200</v>
          </cell>
          <cell r="C71" t="str">
            <v>University Of North Carolina At Wilmington</v>
          </cell>
          <cell r="D71">
            <v>108198225.66999948</v>
          </cell>
          <cell r="E71">
            <v>113827268.77999999</v>
          </cell>
          <cell r="F71">
            <v>946326477.90640259</v>
          </cell>
          <cell r="G71">
            <v>1327351938.9052331</v>
          </cell>
          <cell r="M71">
            <v>6585519.0799999991</v>
          </cell>
          <cell r="V71">
            <v>71</v>
          </cell>
        </row>
        <row r="72">
          <cell r="B72">
            <v>30000</v>
          </cell>
          <cell r="C72" t="str">
            <v>Yancey County Schools</v>
          </cell>
          <cell r="D72">
            <v>13031347.669999994</v>
          </cell>
          <cell r="E72">
            <v>13112906.86999999</v>
          </cell>
          <cell r="F72">
            <v>112603928.53299998</v>
          </cell>
          <cell r="G72">
            <v>148858147.21044779</v>
          </cell>
          <cell r="M72">
            <v>747288.26</v>
          </cell>
          <cell r="V72">
            <v>72</v>
          </cell>
        </row>
        <row r="73">
          <cell r="B73">
            <v>30100</v>
          </cell>
          <cell r="C73" t="str">
            <v>Alamance County Schools</v>
          </cell>
          <cell r="D73">
            <v>105902601.34000026</v>
          </cell>
          <cell r="E73">
            <v>110519985.77999982</v>
          </cell>
          <cell r="F73">
            <v>943806604.37829947</v>
          </cell>
          <cell r="G73">
            <v>1315975123.4475124</v>
          </cell>
          <cell r="M73">
            <v>6391482.4500000002</v>
          </cell>
          <cell r="V73">
            <v>73</v>
          </cell>
        </row>
        <row r="74">
          <cell r="B74">
            <v>30102</v>
          </cell>
          <cell r="C74" t="str">
            <v>Clover Garden Charter School</v>
          </cell>
          <cell r="D74">
            <v>1519454.8899999997</v>
          </cell>
          <cell r="E74">
            <v>1936670.5900000003</v>
          </cell>
          <cell r="F74">
            <v>14860235.458700003</v>
          </cell>
          <cell r="G74">
            <v>24565618.844999999</v>
          </cell>
          <cell r="M74">
            <v>111275.96</v>
          </cell>
          <cell r="V74">
            <v>74</v>
          </cell>
        </row>
        <row r="75">
          <cell r="B75">
            <v>30103</v>
          </cell>
          <cell r="C75" t="str">
            <v>River Mill Academy Charter</v>
          </cell>
          <cell r="D75">
            <v>2123645.1999999993</v>
          </cell>
          <cell r="E75">
            <v>2194122.9700000007</v>
          </cell>
          <cell r="F75">
            <v>20471167.812699996</v>
          </cell>
          <cell r="G75">
            <v>28106871.640900012</v>
          </cell>
          <cell r="M75">
            <v>129638.95</v>
          </cell>
          <cell r="V75">
            <v>75</v>
          </cell>
        </row>
        <row r="76">
          <cell r="B76">
            <v>30104</v>
          </cell>
          <cell r="C76" t="str">
            <v>The Hawbridge School</v>
          </cell>
          <cell r="D76">
            <v>975550.09999999974</v>
          </cell>
          <cell r="E76">
            <v>1290327.7399999995</v>
          </cell>
          <cell r="F76">
            <v>10020105.476999996</v>
          </cell>
          <cell r="G76">
            <v>17922597.775549997</v>
          </cell>
          <cell r="M76">
            <v>72361.23</v>
          </cell>
          <cell r="V76">
            <v>76</v>
          </cell>
        </row>
        <row r="77">
          <cell r="B77">
            <v>30105</v>
          </cell>
          <cell r="C77" t="str">
            <v>Alamance Community College</v>
          </cell>
          <cell r="D77">
            <v>12276715.640000001</v>
          </cell>
          <cell r="E77">
            <v>12013260.689999999</v>
          </cell>
          <cell r="F77">
            <v>93694444.576300025</v>
          </cell>
          <cell r="G77">
            <v>122039540.98607707</v>
          </cell>
          <cell r="M77">
            <v>700821.97</v>
          </cell>
          <cell r="V77">
            <v>77</v>
          </cell>
        </row>
        <row r="78">
          <cell r="B78">
            <v>30200</v>
          </cell>
          <cell r="C78" t="str">
            <v>Alexander County Schools</v>
          </cell>
          <cell r="D78">
            <v>25525775.909999959</v>
          </cell>
          <cell r="E78">
            <v>25714708.279999994</v>
          </cell>
          <cell r="F78">
            <v>220167585.53150004</v>
          </cell>
          <cell r="G78">
            <v>289255275.02418065</v>
          </cell>
          <cell r="M78">
            <v>1467244.5999999999</v>
          </cell>
          <cell r="V78">
            <v>78</v>
          </cell>
        </row>
        <row r="79">
          <cell r="B79">
            <v>30300</v>
          </cell>
          <cell r="C79" t="str">
            <v>Alleghany County Schools</v>
          </cell>
          <cell r="D79">
            <v>8764748.0699999966</v>
          </cell>
          <cell r="E79">
            <v>8935775.4199999999</v>
          </cell>
          <cell r="F79">
            <v>74847802.275299981</v>
          </cell>
          <cell r="G79">
            <v>99135837.153100967</v>
          </cell>
          <cell r="M79">
            <v>514114.92000000004</v>
          </cell>
          <cell r="V79">
            <v>79</v>
          </cell>
        </row>
        <row r="80">
          <cell r="B80">
            <v>30400</v>
          </cell>
          <cell r="C80" t="str">
            <v>Anson County Schools</v>
          </cell>
          <cell r="D80">
            <v>18511623.109999988</v>
          </cell>
          <cell r="E80">
            <v>17862843.95999999</v>
          </cell>
          <cell r="F80">
            <v>145560271.24089998</v>
          </cell>
          <cell r="G80">
            <v>182571738.43050006</v>
          </cell>
          <cell r="M80">
            <v>1037458.53</v>
          </cell>
          <cell r="V80">
            <v>80</v>
          </cell>
        </row>
        <row r="81">
          <cell r="B81">
            <v>30405</v>
          </cell>
          <cell r="C81" t="str">
            <v>South Piedmont Community College</v>
          </cell>
          <cell r="D81">
            <v>10676622.369999995</v>
          </cell>
          <cell r="E81">
            <v>10981955.869999997</v>
          </cell>
          <cell r="F81">
            <v>94571837.140199959</v>
          </cell>
          <cell r="G81">
            <v>126665953.00343375</v>
          </cell>
          <cell r="M81">
            <v>631676.55999999994</v>
          </cell>
          <cell r="V81">
            <v>81</v>
          </cell>
        </row>
        <row r="82">
          <cell r="B82">
            <v>30500</v>
          </cell>
          <cell r="C82" t="str">
            <v>Ashe County Schools</v>
          </cell>
          <cell r="D82">
            <v>16891159.300000008</v>
          </cell>
          <cell r="E82">
            <v>17406464.430000011</v>
          </cell>
          <cell r="F82">
            <v>142492235.53230006</v>
          </cell>
          <cell r="G82">
            <v>192489327.76847321</v>
          </cell>
          <cell r="M82">
            <v>1000188.52</v>
          </cell>
          <cell r="V82">
            <v>82</v>
          </cell>
        </row>
        <row r="83">
          <cell r="B83">
            <v>30600</v>
          </cell>
          <cell r="C83" t="str">
            <v>Avery County Schools</v>
          </cell>
          <cell r="D83">
            <v>13347129.399999995</v>
          </cell>
          <cell r="E83">
            <v>13750307.159999993</v>
          </cell>
          <cell r="F83">
            <v>110626073.18459992</v>
          </cell>
          <cell r="G83">
            <v>149968079.5864</v>
          </cell>
          <cell r="M83">
            <v>781149.03999999992</v>
          </cell>
          <cell r="V83">
            <v>83</v>
          </cell>
        </row>
        <row r="84">
          <cell r="B84">
            <v>30601</v>
          </cell>
          <cell r="C84" t="str">
            <v>Grandfather Academy</v>
          </cell>
          <cell r="D84">
            <v>301713.57</v>
          </cell>
          <cell r="E84">
            <v>283559.88999999996</v>
          </cell>
          <cell r="F84">
            <v>2883222.6488999999</v>
          </cell>
          <cell r="G84">
            <v>3758350.7156000002</v>
          </cell>
          <cell r="M84">
            <v>16741.000000000004</v>
          </cell>
          <cell r="V84">
            <v>84</v>
          </cell>
        </row>
        <row r="85">
          <cell r="B85">
            <v>30700</v>
          </cell>
          <cell r="C85" t="str">
            <v>Beaufort County Schools</v>
          </cell>
          <cell r="D85">
            <v>35950135.379999995</v>
          </cell>
          <cell r="E85">
            <v>35413191.710000023</v>
          </cell>
          <cell r="F85">
            <v>295446375.5456</v>
          </cell>
          <cell r="G85">
            <v>384055889.41871679</v>
          </cell>
          <cell r="M85">
            <v>2064064.7600000002</v>
          </cell>
          <cell r="V85">
            <v>85</v>
          </cell>
        </row>
        <row r="86">
          <cell r="B86">
            <v>30705</v>
          </cell>
          <cell r="C86" t="str">
            <v>Beaufort County Community College</v>
          </cell>
          <cell r="D86">
            <v>7067343.4100000011</v>
          </cell>
          <cell r="E86">
            <v>7293056.6900000023</v>
          </cell>
          <cell r="F86">
            <v>55357607.234200016</v>
          </cell>
          <cell r="G86">
            <v>76342124.522497058</v>
          </cell>
          <cell r="M86">
            <v>429161.42999999993</v>
          </cell>
          <cell r="V86">
            <v>86</v>
          </cell>
        </row>
        <row r="87">
          <cell r="B87">
            <v>30800</v>
          </cell>
          <cell r="C87" t="str">
            <v>Bertie County Schools</v>
          </cell>
          <cell r="D87">
            <v>14889750.080000015</v>
          </cell>
          <cell r="E87">
            <v>14297118.020000001</v>
          </cell>
          <cell r="F87">
            <v>120965830.46959998</v>
          </cell>
          <cell r="G87">
            <v>149249889.03292903</v>
          </cell>
          <cell r="M87">
            <v>840230.13</v>
          </cell>
          <cell r="V87">
            <v>87</v>
          </cell>
        </row>
        <row r="88">
          <cell r="B88">
            <v>30900</v>
          </cell>
          <cell r="C88" t="str">
            <v>Bladen County Schools</v>
          </cell>
          <cell r="D88">
            <v>24470480.339999992</v>
          </cell>
          <cell r="E88">
            <v>23961633.410000011</v>
          </cell>
          <cell r="F88">
            <v>193657797.64629993</v>
          </cell>
          <cell r="G88">
            <v>249150663.22814754</v>
          </cell>
          <cell r="M88">
            <v>1375376.3199999998</v>
          </cell>
          <cell r="V88">
            <v>88</v>
          </cell>
        </row>
        <row r="89">
          <cell r="B89">
            <v>30905</v>
          </cell>
          <cell r="C89" t="str">
            <v>Bladen Community College</v>
          </cell>
          <cell r="D89">
            <v>5695714.0800000029</v>
          </cell>
          <cell r="E89">
            <v>5723122.6500000013</v>
          </cell>
          <cell r="F89">
            <v>42095421.583200015</v>
          </cell>
          <cell r="G89">
            <v>51575576.516830571</v>
          </cell>
          <cell r="M89">
            <v>315615.95</v>
          </cell>
          <cell r="V89">
            <v>89</v>
          </cell>
        </row>
        <row r="90">
          <cell r="B90">
            <v>31000</v>
          </cell>
          <cell r="C90" t="str">
            <v>Brunswick County Schools</v>
          </cell>
          <cell r="D90">
            <v>64948632.759999983</v>
          </cell>
          <cell r="E90">
            <v>64067581.710000083</v>
          </cell>
          <cell r="F90">
            <v>534620340.58959943</v>
          </cell>
          <cell r="G90">
            <v>709717633.272493</v>
          </cell>
          <cell r="M90">
            <v>3691012.3200000003</v>
          </cell>
          <cell r="V90">
            <v>90</v>
          </cell>
        </row>
        <row r="91">
          <cell r="B91">
            <v>31005</v>
          </cell>
          <cell r="C91" t="str">
            <v>Brunswick Community College</v>
          </cell>
          <cell r="D91">
            <v>7141530.990000003</v>
          </cell>
          <cell r="E91">
            <v>7512434.1100000022</v>
          </cell>
          <cell r="F91">
            <v>52990233.921899997</v>
          </cell>
          <cell r="G91">
            <v>70495969.770887136</v>
          </cell>
          <cell r="M91">
            <v>429428.59</v>
          </cell>
          <cell r="V91">
            <v>91</v>
          </cell>
        </row>
        <row r="92">
          <cell r="B92">
            <v>31100</v>
          </cell>
          <cell r="C92" t="str">
            <v>Buncombe County Schools</v>
          </cell>
          <cell r="D92">
            <v>127855359.8200004</v>
          </cell>
          <cell r="E92">
            <v>129776898.55999997</v>
          </cell>
          <cell r="F92">
            <v>1096255442.8021002</v>
          </cell>
          <cell r="G92">
            <v>1481539091.7470157</v>
          </cell>
          <cell r="M92">
            <v>7441833.4299999997</v>
          </cell>
          <cell r="V92">
            <v>92</v>
          </cell>
        </row>
        <row r="93">
          <cell r="B93">
            <v>31101</v>
          </cell>
          <cell r="C93" t="str">
            <v>F. Delany New School For Children</v>
          </cell>
          <cell r="D93">
            <v>752793.35</v>
          </cell>
          <cell r="E93">
            <v>758738.24999999988</v>
          </cell>
          <cell r="F93">
            <v>7874178.2448999994</v>
          </cell>
          <cell r="G93">
            <v>10039090.600400001</v>
          </cell>
          <cell r="M93">
            <v>43901.68</v>
          </cell>
          <cell r="V93">
            <v>93</v>
          </cell>
        </row>
        <row r="94">
          <cell r="B94">
            <v>31102</v>
          </cell>
          <cell r="C94" t="str">
            <v>Evergreen Community Charter School</v>
          </cell>
          <cell r="D94">
            <v>1767528.4500000009</v>
          </cell>
          <cell r="E94">
            <v>1780792.73</v>
          </cell>
          <cell r="F94">
            <v>17834011.990000006</v>
          </cell>
          <cell r="G94">
            <v>24905613.844707288</v>
          </cell>
          <cell r="M94">
            <v>100928.47</v>
          </cell>
          <cell r="V94">
            <v>94</v>
          </cell>
        </row>
        <row r="95">
          <cell r="B95">
            <v>31105</v>
          </cell>
          <cell r="C95" t="str">
            <v>Asheville-Buncombe Technical College</v>
          </cell>
          <cell r="D95">
            <v>21910659.469999976</v>
          </cell>
          <cell r="E95">
            <v>21942969.110000011</v>
          </cell>
          <cell r="F95">
            <v>181017184.37960017</v>
          </cell>
          <cell r="G95">
            <v>236729179.39203152</v>
          </cell>
          <cell r="M95">
            <v>1267278.3799999999</v>
          </cell>
          <cell r="V95">
            <v>95</v>
          </cell>
        </row>
        <row r="96">
          <cell r="B96">
            <v>31110</v>
          </cell>
          <cell r="C96" t="str">
            <v>Asheville City Schools</v>
          </cell>
          <cell r="D96">
            <v>28750380.699999977</v>
          </cell>
          <cell r="E96">
            <v>28443769.960000005</v>
          </cell>
          <cell r="F96">
            <v>261926022.04389995</v>
          </cell>
          <cell r="G96">
            <v>343947043.29053557</v>
          </cell>
          <cell r="M96">
            <v>1632015.24</v>
          </cell>
          <cell r="V96">
            <v>96</v>
          </cell>
        </row>
        <row r="97">
          <cell r="B97">
            <v>31200</v>
          </cell>
          <cell r="C97" t="str">
            <v>Burke County Schools</v>
          </cell>
          <cell r="D97">
            <v>62905900.439999983</v>
          </cell>
          <cell r="E97">
            <v>63059125.209999941</v>
          </cell>
          <cell r="F97">
            <v>540345065.27859974</v>
          </cell>
          <cell r="G97">
            <v>700390399.49469924</v>
          </cell>
          <cell r="M97">
            <v>3576358.79</v>
          </cell>
          <cell r="V97">
            <v>97</v>
          </cell>
        </row>
        <row r="98">
          <cell r="B98">
            <v>31205</v>
          </cell>
          <cell r="C98" t="str">
            <v>Western Piedmont Community College</v>
          </cell>
          <cell r="D98">
            <v>9037730.9999999981</v>
          </cell>
          <cell r="E98">
            <v>8767270.7700000014</v>
          </cell>
          <cell r="F98">
            <v>72265602.304499999</v>
          </cell>
          <cell r="G98">
            <v>86113188.520000011</v>
          </cell>
          <cell r="M98">
            <v>499527.33</v>
          </cell>
          <cell r="V98">
            <v>98</v>
          </cell>
        </row>
        <row r="99">
          <cell r="B99">
            <v>31300</v>
          </cell>
          <cell r="C99" t="str">
            <v>Cabarrus County Schools</v>
          </cell>
          <cell r="D99">
            <v>135311229.06999975</v>
          </cell>
          <cell r="E99">
            <v>143348965.94999999</v>
          </cell>
          <cell r="F99">
            <v>1257837736.1727977</v>
          </cell>
          <cell r="G99">
            <v>1768462598.34375</v>
          </cell>
          <cell r="M99">
            <v>8357210.9700000007</v>
          </cell>
          <cell r="V99">
            <v>99</v>
          </cell>
        </row>
        <row r="100">
          <cell r="B100">
            <v>31301</v>
          </cell>
          <cell r="C100" t="str">
            <v>Carolina International School</v>
          </cell>
          <cell r="D100">
            <v>2023366.7800000003</v>
          </cell>
          <cell r="E100">
            <v>2594207.0499999993</v>
          </cell>
          <cell r="F100">
            <v>20676946.978299998</v>
          </cell>
          <cell r="G100">
            <v>34071367.213900007</v>
          </cell>
          <cell r="M100">
            <v>160406.21000000002</v>
          </cell>
          <cell r="V100">
            <v>100</v>
          </cell>
        </row>
        <row r="101">
          <cell r="B101">
            <v>31320</v>
          </cell>
          <cell r="C101" t="str">
            <v>Kannapolis City Schools</v>
          </cell>
          <cell r="D101">
            <v>26524779.199999981</v>
          </cell>
          <cell r="E101">
            <v>27324139.419999998</v>
          </cell>
          <cell r="F101">
            <v>246221894.77109998</v>
          </cell>
          <cell r="G101">
            <v>331389648.85337532</v>
          </cell>
          <cell r="M101">
            <v>1579369.91</v>
          </cell>
          <cell r="V101">
            <v>101</v>
          </cell>
        </row>
        <row r="102">
          <cell r="B102">
            <v>31400</v>
          </cell>
          <cell r="C102" t="str">
            <v>Caldwell County Schools</v>
          </cell>
          <cell r="D102">
            <v>61460651.279999897</v>
          </cell>
          <cell r="E102">
            <v>62632254.550000124</v>
          </cell>
          <cell r="F102">
            <v>519676465.63999957</v>
          </cell>
          <cell r="G102">
            <v>690951239.94812691</v>
          </cell>
          <cell r="M102">
            <v>3601142.0500000003</v>
          </cell>
          <cell r="V102">
            <v>102</v>
          </cell>
        </row>
        <row r="103">
          <cell r="B103">
            <v>31405</v>
          </cell>
          <cell r="C103" t="str">
            <v>Caldwell Community College</v>
          </cell>
          <cell r="D103">
            <v>14777320.380000012</v>
          </cell>
          <cell r="E103">
            <v>14321380.540000012</v>
          </cell>
          <cell r="F103">
            <v>113182789.79310001</v>
          </cell>
          <cell r="G103">
            <v>139189350.79784983</v>
          </cell>
          <cell r="M103">
            <v>826096.32000000018</v>
          </cell>
          <cell r="V103">
            <v>103</v>
          </cell>
        </row>
        <row r="104">
          <cell r="B104">
            <v>31500</v>
          </cell>
          <cell r="C104" t="str">
            <v>Camden County Schools</v>
          </cell>
          <cell r="D104">
            <v>9852711.339999998</v>
          </cell>
          <cell r="E104">
            <v>10090422.93</v>
          </cell>
          <cell r="F104">
            <v>81809654.070100054</v>
          </cell>
          <cell r="G104">
            <v>106680078.60839999</v>
          </cell>
          <cell r="M104">
            <v>584050.2699999999</v>
          </cell>
          <cell r="V104">
            <v>104</v>
          </cell>
        </row>
        <row r="105">
          <cell r="B105">
            <v>31600</v>
          </cell>
          <cell r="C105" t="str">
            <v>Carteret County Schools</v>
          </cell>
          <cell r="D105">
            <v>44501315.880000032</v>
          </cell>
          <cell r="E105">
            <v>44557895.530000061</v>
          </cell>
          <cell r="F105">
            <v>366224690.73940021</v>
          </cell>
          <cell r="G105">
            <v>493095520.61112005</v>
          </cell>
          <cell r="M105">
            <v>2539583.1999999997</v>
          </cell>
          <cell r="V105">
            <v>105</v>
          </cell>
        </row>
        <row r="106">
          <cell r="B106">
            <v>31605</v>
          </cell>
          <cell r="C106" t="str">
            <v>Carteret Community College</v>
          </cell>
          <cell r="D106">
            <v>7012980.4799999986</v>
          </cell>
          <cell r="E106">
            <v>7142382.8599999985</v>
          </cell>
          <cell r="F106">
            <v>51480581.102199972</v>
          </cell>
          <cell r="G106">
            <v>67874025.654912695</v>
          </cell>
          <cell r="M106">
            <v>418219.78</v>
          </cell>
          <cell r="V106">
            <v>106</v>
          </cell>
        </row>
        <row r="107">
          <cell r="B107">
            <v>31700</v>
          </cell>
          <cell r="C107" t="str">
            <v>Caswell County Schools</v>
          </cell>
          <cell r="D107">
            <v>13968786.370000007</v>
          </cell>
          <cell r="E107">
            <v>13772995.999999993</v>
          </cell>
          <cell r="F107">
            <v>109954546.40759997</v>
          </cell>
          <cell r="G107">
            <v>143096515.73373985</v>
          </cell>
          <cell r="M107">
            <v>811590.37000000011</v>
          </cell>
          <cell r="V107">
            <v>107</v>
          </cell>
        </row>
        <row r="108">
          <cell r="B108">
            <v>31800</v>
          </cell>
          <cell r="C108" t="str">
            <v>Catawba County Schools</v>
          </cell>
          <cell r="D108">
            <v>81039419.090000018</v>
          </cell>
          <cell r="E108">
            <v>82414063.260000065</v>
          </cell>
          <cell r="F108">
            <v>687927268.97030091</v>
          </cell>
          <cell r="G108">
            <v>907197434.60667217</v>
          </cell>
          <cell r="M108">
            <v>4666941.1500000004</v>
          </cell>
          <cell r="V108">
            <v>108</v>
          </cell>
        </row>
        <row r="109">
          <cell r="B109">
            <v>31805</v>
          </cell>
          <cell r="C109" t="str">
            <v>Catawba Valley Community College</v>
          </cell>
          <cell r="D109">
            <v>17361800.369999994</v>
          </cell>
          <cell r="E109">
            <v>16926582.729999989</v>
          </cell>
          <cell r="F109">
            <v>130528452.04869987</v>
          </cell>
          <cell r="G109">
            <v>168763191.96074688</v>
          </cell>
          <cell r="M109">
            <v>984462.41000000015</v>
          </cell>
          <cell r="V109">
            <v>109</v>
          </cell>
        </row>
        <row r="110">
          <cell r="B110">
            <v>31810</v>
          </cell>
          <cell r="C110" t="str">
            <v>Hickory City Schools</v>
          </cell>
          <cell r="D110">
            <v>19785394.159999996</v>
          </cell>
          <cell r="E110">
            <v>20050932.22000001</v>
          </cell>
          <cell r="F110">
            <v>166799813.75370002</v>
          </cell>
          <cell r="G110">
            <v>225416660.24890015</v>
          </cell>
          <cell r="M110">
            <v>1164278.3999999999</v>
          </cell>
          <cell r="V110">
            <v>110</v>
          </cell>
        </row>
        <row r="111">
          <cell r="B111">
            <v>31820</v>
          </cell>
          <cell r="C111" t="str">
            <v>Newton-Conover City Schools</v>
          </cell>
          <cell r="D111">
            <v>16095314.310000001</v>
          </cell>
          <cell r="E111">
            <v>16854643.890000008</v>
          </cell>
          <cell r="F111">
            <v>145330374.45430011</v>
          </cell>
          <cell r="G111">
            <v>201114695.69890016</v>
          </cell>
          <cell r="M111">
            <v>966713.2899999998</v>
          </cell>
          <cell r="V111">
            <v>111</v>
          </cell>
        </row>
        <row r="112">
          <cell r="B112">
            <v>31900</v>
          </cell>
          <cell r="C112" t="str">
            <v>Chatham County Schools</v>
          </cell>
          <cell r="D112">
            <v>45419718.050000034</v>
          </cell>
          <cell r="E112">
            <v>45846473.449999966</v>
          </cell>
          <cell r="F112">
            <v>398867950.97809964</v>
          </cell>
          <cell r="G112">
            <v>529647263.10611236</v>
          </cell>
          <cell r="M112">
            <v>2656470.5000000005</v>
          </cell>
          <cell r="V112">
            <v>112</v>
          </cell>
        </row>
        <row r="113">
          <cell r="B113">
            <v>32000</v>
          </cell>
          <cell r="C113" t="str">
            <v>Cherokee County Schools</v>
          </cell>
          <cell r="D113">
            <v>17939030.000000004</v>
          </cell>
          <cell r="E113">
            <v>18666686.109999992</v>
          </cell>
          <cell r="F113">
            <v>151756448.22019994</v>
          </cell>
          <cell r="G113">
            <v>212912478.82260874</v>
          </cell>
          <cell r="M113">
            <v>1088380.05</v>
          </cell>
          <cell r="V113">
            <v>113</v>
          </cell>
        </row>
        <row r="114">
          <cell r="B114">
            <v>32005</v>
          </cell>
          <cell r="C114" t="str">
            <v>Tri-County Community College</v>
          </cell>
          <cell r="D114">
            <v>4433596.3600000013</v>
          </cell>
          <cell r="E114">
            <v>4742534.0500000007</v>
          </cell>
          <cell r="F114">
            <v>33707948.462099999</v>
          </cell>
          <cell r="G114">
            <v>48015712.040344745</v>
          </cell>
          <cell r="M114">
            <v>273319.93000000005</v>
          </cell>
          <cell r="V114">
            <v>114</v>
          </cell>
        </row>
        <row r="115">
          <cell r="B115">
            <v>32100</v>
          </cell>
          <cell r="C115" t="str">
            <v>Edenton-Chowan County Schools</v>
          </cell>
          <cell r="D115">
            <v>12579217.870000005</v>
          </cell>
          <cell r="E115">
            <v>12404863.179999989</v>
          </cell>
          <cell r="F115">
            <v>103670001.09210008</v>
          </cell>
          <cell r="G115">
            <v>132767746.29320997</v>
          </cell>
          <cell r="M115">
            <v>701321.67</v>
          </cell>
          <cell r="V115">
            <v>115</v>
          </cell>
        </row>
        <row r="116">
          <cell r="B116">
            <v>32200</v>
          </cell>
          <cell r="C116" t="str">
            <v>Clay County Schools</v>
          </cell>
          <cell r="D116">
            <v>7162579.6999999974</v>
          </cell>
          <cell r="E116">
            <v>7296762.5800000038</v>
          </cell>
          <cell r="F116">
            <v>58227961.717499994</v>
          </cell>
          <cell r="G116">
            <v>81734057.554073185</v>
          </cell>
          <cell r="M116">
            <v>423160.93</v>
          </cell>
          <cell r="V116">
            <v>116</v>
          </cell>
        </row>
        <row r="117">
          <cell r="B117">
            <v>32300</v>
          </cell>
          <cell r="C117" t="str">
            <v>Cleveland County Schools</v>
          </cell>
          <cell r="D117">
            <v>79222817.200000063</v>
          </cell>
          <cell r="E117">
            <v>80257674.519999996</v>
          </cell>
          <cell r="F117">
            <v>694105623.57039905</v>
          </cell>
          <cell r="G117">
            <v>929025133.40120316</v>
          </cell>
          <cell r="M117">
            <v>4600158.58</v>
          </cell>
          <cell r="V117">
            <v>117</v>
          </cell>
        </row>
        <row r="118">
          <cell r="B118">
            <v>32305</v>
          </cell>
          <cell r="C118" t="str">
            <v>Cleveland Technical College</v>
          </cell>
          <cell r="D118">
            <v>9432073.8199999966</v>
          </cell>
          <cell r="E118">
            <v>9632273.0300000012</v>
          </cell>
          <cell r="F118">
            <v>72434493.646200001</v>
          </cell>
          <cell r="G118">
            <v>95464721.90110001</v>
          </cell>
          <cell r="M118">
            <v>562796.46</v>
          </cell>
          <cell r="V118">
            <v>118</v>
          </cell>
        </row>
        <row r="119">
          <cell r="B119">
            <v>32400</v>
          </cell>
          <cell r="C119" t="str">
            <v>Columbus County Schools</v>
          </cell>
          <cell r="D119">
            <v>30307843.97000001</v>
          </cell>
          <cell r="E119">
            <v>31292810.310000047</v>
          </cell>
          <cell r="F119">
            <v>242031931.12379974</v>
          </cell>
          <cell r="G119">
            <v>329063471.68641323</v>
          </cell>
          <cell r="M119">
            <v>1803256.7000000002</v>
          </cell>
          <cell r="V119">
            <v>119</v>
          </cell>
        </row>
        <row r="120">
          <cell r="B120">
            <v>32405</v>
          </cell>
          <cell r="C120" t="str">
            <v>Southeastern Community College</v>
          </cell>
          <cell r="D120">
            <v>8855177.1099999994</v>
          </cell>
          <cell r="E120">
            <v>8446599.3999999985</v>
          </cell>
          <cell r="F120">
            <v>66011949.488999985</v>
          </cell>
          <cell r="G120">
            <v>82246311.512199968</v>
          </cell>
          <cell r="M120">
            <v>488429.27999999997</v>
          </cell>
          <cell r="V120">
            <v>120</v>
          </cell>
        </row>
        <row r="121">
          <cell r="B121">
            <v>32410</v>
          </cell>
          <cell r="C121" t="str">
            <v>Whiteville City Schools</v>
          </cell>
          <cell r="D121">
            <v>12562228.100000007</v>
          </cell>
          <cell r="E121">
            <v>12612983.220000003</v>
          </cell>
          <cell r="F121">
            <v>100461318.99999997</v>
          </cell>
          <cell r="G121">
            <v>131058988.42799997</v>
          </cell>
          <cell r="M121">
            <v>724239.97</v>
          </cell>
          <cell r="V121">
            <v>121</v>
          </cell>
        </row>
        <row r="122">
          <cell r="B122">
            <v>32500</v>
          </cell>
          <cell r="C122" t="str">
            <v>New Bern/Craven County Board Of Education</v>
          </cell>
          <cell r="D122">
            <v>65739933.16999986</v>
          </cell>
          <cell r="E122">
            <v>66814500.440000139</v>
          </cell>
          <cell r="F122">
            <v>553734799.86949992</v>
          </cell>
          <cell r="G122">
            <v>751463628.71451771</v>
          </cell>
          <cell r="M122">
            <v>3858650.53</v>
          </cell>
          <cell r="V122">
            <v>122</v>
          </cell>
        </row>
        <row r="123">
          <cell r="B123">
            <v>32505</v>
          </cell>
          <cell r="C123" t="str">
            <v>Craven Community College</v>
          </cell>
          <cell r="D123">
            <v>10164390.000000006</v>
          </cell>
          <cell r="E123">
            <v>10117872.079999996</v>
          </cell>
          <cell r="F123">
            <v>82144699.435000017</v>
          </cell>
          <cell r="G123">
            <v>109586342.02042952</v>
          </cell>
          <cell r="M123">
            <v>574795.8899999999</v>
          </cell>
          <cell r="V123">
            <v>123</v>
          </cell>
        </row>
        <row r="124">
          <cell r="B124">
            <v>32600</v>
          </cell>
          <cell r="C124" t="str">
            <v>Cumberland County Schools</v>
          </cell>
          <cell r="D124">
            <v>241973389.43999976</v>
          </cell>
          <cell r="E124">
            <v>236983812.70999849</v>
          </cell>
          <cell r="F124">
            <v>2087538107.7927005</v>
          </cell>
          <cell r="G124">
            <v>2698672922.500627</v>
          </cell>
          <cell r="M124">
            <v>13526134.420000002</v>
          </cell>
          <cell r="V124">
            <v>124</v>
          </cell>
        </row>
        <row r="125">
          <cell r="B125">
            <v>32605</v>
          </cell>
          <cell r="C125" t="str">
            <v>Fayetteville Technical Community College</v>
          </cell>
          <cell r="D125">
            <v>36527293.129999988</v>
          </cell>
          <cell r="E125">
            <v>37431550.5</v>
          </cell>
          <cell r="F125">
            <v>281698716.81259972</v>
          </cell>
          <cell r="G125">
            <v>383772986.3054682</v>
          </cell>
          <cell r="M125">
            <v>2132182.7000000002</v>
          </cell>
          <cell r="V125">
            <v>125</v>
          </cell>
        </row>
        <row r="126">
          <cell r="B126">
            <v>32700</v>
          </cell>
          <cell r="C126" t="str">
            <v>Currituck County Schools</v>
          </cell>
          <cell r="D126">
            <v>20244862.339999989</v>
          </cell>
          <cell r="E126">
            <v>20714552.539999999</v>
          </cell>
          <cell r="F126">
            <v>169456624.49879983</v>
          </cell>
          <cell r="G126">
            <v>229541841.44503731</v>
          </cell>
          <cell r="M126">
            <v>1207773.6499999999</v>
          </cell>
          <cell r="V126">
            <v>126</v>
          </cell>
        </row>
        <row r="127">
          <cell r="B127">
            <v>32800</v>
          </cell>
          <cell r="C127" t="str">
            <v>Dare County Schools</v>
          </cell>
          <cell r="D127">
            <v>31316632.339999981</v>
          </cell>
          <cell r="E127">
            <v>31559927.679999985</v>
          </cell>
          <cell r="F127">
            <v>231824683.23170018</v>
          </cell>
          <cell r="G127">
            <v>307712099.49276775</v>
          </cell>
          <cell r="M127">
            <v>1812643.01</v>
          </cell>
          <cell r="V127">
            <v>127</v>
          </cell>
        </row>
        <row r="128">
          <cell r="B128">
            <v>32900</v>
          </cell>
          <cell r="C128" t="str">
            <v>Davidson County Schools</v>
          </cell>
          <cell r="D128">
            <v>85207736.559999779</v>
          </cell>
          <cell r="E128">
            <v>86770011.830000177</v>
          </cell>
          <cell r="F128">
            <v>732544895.72070062</v>
          </cell>
          <cell r="G128">
            <v>979338173.18845117</v>
          </cell>
          <cell r="M128">
            <v>4967240.21</v>
          </cell>
          <cell r="V128">
            <v>128</v>
          </cell>
        </row>
        <row r="129">
          <cell r="B129">
            <v>32901</v>
          </cell>
          <cell r="C129" t="str">
            <v>Invest Collegiate Charter School</v>
          </cell>
          <cell r="D129">
            <v>1347489.2899999998</v>
          </cell>
          <cell r="E129">
            <v>2206162.0200000005</v>
          </cell>
          <cell r="F129">
            <v>13834081.556499997</v>
          </cell>
          <cell r="G129">
            <v>33655641.5145</v>
          </cell>
          <cell r="M129">
            <v>123637.35999999997</v>
          </cell>
          <cell r="V129">
            <v>129</v>
          </cell>
        </row>
        <row r="130">
          <cell r="B130">
            <v>32905</v>
          </cell>
          <cell r="C130" t="str">
            <v>Davidson County Community College</v>
          </cell>
          <cell r="D130">
            <v>13299918.769999998</v>
          </cell>
          <cell r="E130">
            <v>13363003.759999996</v>
          </cell>
          <cell r="F130">
            <v>108969942.02679999</v>
          </cell>
          <cell r="G130">
            <v>141526662.77274996</v>
          </cell>
          <cell r="M130">
            <v>768667.2300000001</v>
          </cell>
          <cell r="V130">
            <v>130</v>
          </cell>
        </row>
        <row r="131">
          <cell r="B131">
            <v>32910</v>
          </cell>
          <cell r="C131" t="str">
            <v>Lexington City Schools</v>
          </cell>
          <cell r="D131">
            <v>16201975.220000017</v>
          </cell>
          <cell r="E131">
            <v>16502634.739999995</v>
          </cell>
          <cell r="F131">
            <v>135416117.9043</v>
          </cell>
          <cell r="G131">
            <v>178247922.94302073</v>
          </cell>
          <cell r="M131">
            <v>957832.84</v>
          </cell>
          <cell r="V131">
            <v>131</v>
          </cell>
        </row>
        <row r="132">
          <cell r="B132">
            <v>32920</v>
          </cell>
          <cell r="C132" t="str">
            <v>Thomasville City Schools</v>
          </cell>
          <cell r="D132">
            <v>12994875.190000003</v>
          </cell>
          <cell r="E132">
            <v>12899764.759999992</v>
          </cell>
          <cell r="F132">
            <v>112511051.44719993</v>
          </cell>
          <cell r="G132">
            <v>146242903.88170004</v>
          </cell>
          <cell r="M132">
            <v>766288.93</v>
          </cell>
          <cell r="V132">
            <v>132</v>
          </cell>
        </row>
        <row r="133">
          <cell r="B133">
            <v>33000</v>
          </cell>
          <cell r="C133" t="str">
            <v>Davie County Schools</v>
          </cell>
          <cell r="D133">
            <v>32690806.749999974</v>
          </cell>
          <cell r="E133">
            <v>32554020.660000037</v>
          </cell>
          <cell r="F133">
            <v>286175444.66159993</v>
          </cell>
          <cell r="G133">
            <v>378285211.09255856</v>
          </cell>
          <cell r="M133">
            <v>1861430.54</v>
          </cell>
          <cell r="V133">
            <v>133</v>
          </cell>
        </row>
        <row r="134">
          <cell r="B134">
            <v>33001</v>
          </cell>
          <cell r="C134" t="str">
            <v>N.E. Regional School For Biotechnology</v>
          </cell>
          <cell r="D134">
            <v>583559.75</v>
          </cell>
          <cell r="E134">
            <v>746290.78</v>
          </cell>
          <cell r="F134">
            <v>6160817.843700001</v>
          </cell>
          <cell r="G134">
            <v>10066611.2788</v>
          </cell>
          <cell r="M134">
            <v>49703.859999999993</v>
          </cell>
          <cell r="V134">
            <v>134</v>
          </cell>
        </row>
        <row r="135">
          <cell r="B135">
            <v>33027</v>
          </cell>
          <cell r="C135" t="str">
            <v>Cornerstone Academy</v>
          </cell>
          <cell r="D135">
            <v>2098097.4</v>
          </cell>
          <cell r="E135">
            <v>2796774.3499999982</v>
          </cell>
          <cell r="F135">
            <v>22279178.684700012</v>
          </cell>
          <cell r="G135">
            <v>38902117.024400003</v>
          </cell>
          <cell r="M135">
            <v>153643.65000000002</v>
          </cell>
          <cell r="V135">
            <v>135</v>
          </cell>
        </row>
        <row r="136">
          <cell r="B136">
            <v>33100</v>
          </cell>
          <cell r="C136" t="str">
            <v>Duplin County Schools</v>
          </cell>
          <cell r="D136">
            <v>45657689.179999955</v>
          </cell>
          <cell r="E136">
            <v>48424353.820000038</v>
          </cell>
          <cell r="F136">
            <v>383169764.52360028</v>
          </cell>
          <cell r="G136">
            <v>540831654.12982905</v>
          </cell>
          <cell r="M136">
            <v>2815157.9</v>
          </cell>
          <cell r="V136">
            <v>136</v>
          </cell>
        </row>
        <row r="137">
          <cell r="B137">
            <v>33105</v>
          </cell>
          <cell r="C137" t="str">
            <v>James Sprunt Technical College</v>
          </cell>
          <cell r="D137">
            <v>6230244.6800000016</v>
          </cell>
          <cell r="E137">
            <v>5705826.6699999999</v>
          </cell>
          <cell r="F137">
            <v>48983556.219799981</v>
          </cell>
          <cell r="G137">
            <v>60795810.004299961</v>
          </cell>
          <cell r="M137">
            <v>325797.21999999991</v>
          </cell>
          <cell r="V137">
            <v>137</v>
          </cell>
        </row>
        <row r="138">
          <cell r="B138">
            <v>33200</v>
          </cell>
          <cell r="C138" t="str">
            <v>Durham Public Schools</v>
          </cell>
          <cell r="D138">
            <v>192393437.68000066</v>
          </cell>
          <cell r="E138">
            <v>198407653.93000114</v>
          </cell>
          <cell r="F138">
            <v>1705876350.6737006</v>
          </cell>
          <cell r="G138">
            <v>2360413438.8245788</v>
          </cell>
          <cell r="M138">
            <v>11538019.280000001</v>
          </cell>
          <cell r="V138">
            <v>138</v>
          </cell>
        </row>
        <row r="139">
          <cell r="B139">
            <v>33202</v>
          </cell>
          <cell r="C139" t="str">
            <v>Central Park School For Children</v>
          </cell>
          <cell r="D139">
            <v>1826455.58</v>
          </cell>
          <cell r="E139">
            <v>2083307.32</v>
          </cell>
          <cell r="F139">
            <v>18316075.637599997</v>
          </cell>
          <cell r="G139">
            <v>28241064.610799994</v>
          </cell>
          <cell r="M139">
            <v>129400.48999999999</v>
          </cell>
          <cell r="V139">
            <v>139</v>
          </cell>
        </row>
        <row r="140">
          <cell r="B140">
            <v>33203</v>
          </cell>
          <cell r="C140" t="str">
            <v>Healthy Start Academy</v>
          </cell>
          <cell r="D140">
            <v>1267860.8600000003</v>
          </cell>
          <cell r="E140">
            <v>1400711.38</v>
          </cell>
          <cell r="F140">
            <v>12715691.774200002</v>
          </cell>
          <cell r="G140">
            <v>19541158.916000001</v>
          </cell>
          <cell r="M140">
            <v>79264.840000000011</v>
          </cell>
          <cell r="V140">
            <v>140</v>
          </cell>
        </row>
        <row r="141">
          <cell r="B141">
            <v>33204</v>
          </cell>
          <cell r="C141" t="str">
            <v>Voyager Academy</v>
          </cell>
          <cell r="D141">
            <v>4636538.4700000025</v>
          </cell>
          <cell r="E141">
            <v>4874017.7599999988</v>
          </cell>
          <cell r="F141">
            <v>46426053.481499992</v>
          </cell>
          <cell r="G141">
            <v>68952111.42930001</v>
          </cell>
          <cell r="M141">
            <v>284204.88999999996</v>
          </cell>
          <cell r="V141">
            <v>141</v>
          </cell>
        </row>
        <row r="142">
          <cell r="B142">
            <v>33205</v>
          </cell>
          <cell r="C142" t="str">
            <v>Durham Technical Institute</v>
          </cell>
          <cell r="D142">
            <v>17003235.209999997</v>
          </cell>
          <cell r="E142">
            <v>17495640.5</v>
          </cell>
          <cell r="F142">
            <v>137046543.072</v>
          </cell>
          <cell r="G142">
            <v>190436540.39355904</v>
          </cell>
          <cell r="M142">
            <v>1025837.1900000001</v>
          </cell>
          <cell r="V142">
            <v>142</v>
          </cell>
        </row>
        <row r="143">
          <cell r="B143">
            <v>33206</v>
          </cell>
          <cell r="C143" t="str">
            <v>Bear Grass Charter School</v>
          </cell>
          <cell r="D143">
            <v>1281442.6299999999</v>
          </cell>
          <cell r="E143">
            <v>1272069.9199999997</v>
          </cell>
          <cell r="F143">
            <v>12167202.5986</v>
          </cell>
          <cell r="G143">
            <v>15561724.852200005</v>
          </cell>
          <cell r="M143">
            <v>72229.179999999993</v>
          </cell>
          <cell r="V143">
            <v>143</v>
          </cell>
        </row>
        <row r="144">
          <cell r="B144">
            <v>33207</v>
          </cell>
          <cell r="C144" t="str">
            <v>Invest Collegiate Charter (Buncombe)</v>
          </cell>
          <cell r="D144">
            <v>747052.84</v>
          </cell>
          <cell r="E144">
            <v>1940969.2600000007</v>
          </cell>
          <cell r="F144">
            <v>8592327.6204000004</v>
          </cell>
          <cell r="G144">
            <v>31930114.221099988</v>
          </cell>
          <cell r="M144">
            <v>137746.23000000001</v>
          </cell>
          <cell r="V144">
            <v>144</v>
          </cell>
        </row>
        <row r="145">
          <cell r="B145">
            <v>33208</v>
          </cell>
          <cell r="C145" t="str">
            <v>Kipp Halifax College Prep Charter</v>
          </cell>
          <cell r="D145">
            <v>233474.93999999997</v>
          </cell>
          <cell r="E145">
            <v>364821.84</v>
          </cell>
          <cell r="F145">
            <v>2361138.2366000004</v>
          </cell>
          <cell r="G145">
            <v>5103787.2952999994</v>
          </cell>
          <cell r="M145">
            <v>28186.83</v>
          </cell>
          <cell r="V145">
            <v>145</v>
          </cell>
        </row>
        <row r="146">
          <cell r="B146">
            <v>33209</v>
          </cell>
          <cell r="C146" t="str">
            <v>Pioneer Springs Community Charter</v>
          </cell>
          <cell r="D146">
            <v>478723.3</v>
          </cell>
          <cell r="E146">
            <v>801128.51</v>
          </cell>
          <cell r="F146">
            <v>5414746.1972000012</v>
          </cell>
          <cell r="G146">
            <v>11768698.4888</v>
          </cell>
          <cell r="M146">
            <v>45089.120000000003</v>
          </cell>
          <cell r="V146">
            <v>146</v>
          </cell>
        </row>
        <row r="147">
          <cell r="B147">
            <v>33300</v>
          </cell>
          <cell r="C147" t="str">
            <v>Edgecombe County Schools</v>
          </cell>
          <cell r="D147">
            <v>30039631.739999976</v>
          </cell>
          <cell r="E147">
            <v>30152921.930000052</v>
          </cell>
          <cell r="F147">
            <v>254249312.88950005</v>
          </cell>
          <cell r="G147">
            <v>340240809.52600038</v>
          </cell>
          <cell r="M147">
            <v>1724356.99</v>
          </cell>
          <cell r="V147">
            <v>147</v>
          </cell>
        </row>
        <row r="148">
          <cell r="B148">
            <v>33305</v>
          </cell>
          <cell r="C148" t="str">
            <v>Edgecombe Technical College</v>
          </cell>
          <cell r="D148">
            <v>9638960.1099999994</v>
          </cell>
          <cell r="E148">
            <v>9481893.4399999995</v>
          </cell>
          <cell r="F148">
            <v>67918415.264599994</v>
          </cell>
          <cell r="G148">
            <v>86758747.13913925</v>
          </cell>
          <cell r="M148">
            <v>553706.70000000007</v>
          </cell>
          <cell r="V148">
            <v>148</v>
          </cell>
        </row>
        <row r="149">
          <cell r="B149">
            <v>33400</v>
          </cell>
          <cell r="C149" t="str">
            <v>Winston-Salem-Forsyth County Schools</v>
          </cell>
          <cell r="D149">
            <v>267475359.33000049</v>
          </cell>
          <cell r="E149">
            <v>271727145.94999874</v>
          </cell>
          <cell r="F149">
            <v>2247124548.495707</v>
          </cell>
          <cell r="G149">
            <v>3025967618.994173</v>
          </cell>
          <cell r="M149">
            <v>15713796.310000002</v>
          </cell>
          <cell r="V149">
            <v>149</v>
          </cell>
        </row>
        <row r="150">
          <cell r="B150">
            <v>33402</v>
          </cell>
          <cell r="C150" t="str">
            <v>Arts Based Elementary Charter</v>
          </cell>
          <cell r="D150">
            <v>1600124.9800000007</v>
          </cell>
          <cell r="E150">
            <v>1807378.6900000004</v>
          </cell>
          <cell r="F150">
            <v>16724103.943499999</v>
          </cell>
          <cell r="G150">
            <v>23937073.506199997</v>
          </cell>
          <cell r="M150">
            <v>103491.48999999999</v>
          </cell>
          <cell r="V150">
            <v>150</v>
          </cell>
        </row>
        <row r="151">
          <cell r="B151">
            <v>33405</v>
          </cell>
          <cell r="C151" t="str">
            <v>Forsyth Technical Institute</v>
          </cell>
          <cell r="D151">
            <v>28325932.84999999</v>
          </cell>
          <cell r="E151">
            <v>29326717.320000004</v>
          </cell>
          <cell r="F151">
            <v>226003589.73210004</v>
          </cell>
          <cell r="G151">
            <v>304144971.65534997</v>
          </cell>
          <cell r="M151">
            <v>1679024.1600000001</v>
          </cell>
          <cell r="V151">
            <v>151</v>
          </cell>
        </row>
        <row r="152">
          <cell r="B152">
            <v>33500</v>
          </cell>
          <cell r="C152" t="str">
            <v>Franklin County Schools</v>
          </cell>
          <cell r="D152">
            <v>41685067.619999982</v>
          </cell>
          <cell r="E152">
            <v>43377886.109999992</v>
          </cell>
          <cell r="F152">
            <v>361955196.75179976</v>
          </cell>
          <cell r="G152">
            <v>505844242.20540476</v>
          </cell>
          <cell r="M152">
            <v>2528393.9399999995</v>
          </cell>
          <cell r="V152">
            <v>152</v>
          </cell>
        </row>
        <row r="153">
          <cell r="B153">
            <v>33501</v>
          </cell>
          <cell r="C153" t="str">
            <v>A Childs Garden Charter (AKA Cross Creek Charter)</v>
          </cell>
          <cell r="D153">
            <v>744154.34</v>
          </cell>
          <cell r="E153">
            <v>814819.99</v>
          </cell>
          <cell r="F153">
            <v>7457116.5794999991</v>
          </cell>
          <cell r="G153">
            <v>10504364.202400001</v>
          </cell>
          <cell r="M153">
            <v>49061.13</v>
          </cell>
          <cell r="V153">
            <v>153</v>
          </cell>
        </row>
        <row r="154">
          <cell r="B154">
            <v>33600</v>
          </cell>
          <cell r="C154" t="str">
            <v>Gaston County Schools</v>
          </cell>
          <cell r="D154">
            <v>132541224.41000038</v>
          </cell>
          <cell r="E154">
            <v>138243699.03999978</v>
          </cell>
          <cell r="F154">
            <v>1153602483.013</v>
          </cell>
          <cell r="G154">
            <v>1603241985.7174375</v>
          </cell>
          <cell r="M154">
            <v>8055759.8799999999</v>
          </cell>
          <cell r="V154">
            <v>154</v>
          </cell>
        </row>
        <row r="155">
          <cell r="B155">
            <v>33605</v>
          </cell>
          <cell r="C155" t="str">
            <v>Gaston College</v>
          </cell>
          <cell r="D155">
            <v>20628390.429999985</v>
          </cell>
          <cell r="E155">
            <v>21891172.329999983</v>
          </cell>
          <cell r="F155">
            <v>158200358.54609978</v>
          </cell>
          <cell r="G155">
            <v>213443448.58930016</v>
          </cell>
          <cell r="M155">
            <v>1278907.46</v>
          </cell>
          <cell r="V155">
            <v>155</v>
          </cell>
        </row>
        <row r="156">
          <cell r="B156">
            <v>33700</v>
          </cell>
          <cell r="C156" t="str">
            <v>Gates County Schools</v>
          </cell>
          <cell r="D156">
            <v>11002251.23000001</v>
          </cell>
          <cell r="E156">
            <v>10624542.059999999</v>
          </cell>
          <cell r="F156">
            <v>90149223.248599991</v>
          </cell>
          <cell r="G156">
            <v>113746970.07750002</v>
          </cell>
          <cell r="M156">
            <v>581800.07999999996</v>
          </cell>
          <cell r="V156">
            <v>156</v>
          </cell>
        </row>
        <row r="157">
          <cell r="B157">
            <v>33800</v>
          </cell>
          <cell r="C157" t="str">
            <v>Graham County Schools</v>
          </cell>
          <cell r="D157">
            <v>7488526.8900000053</v>
          </cell>
          <cell r="E157">
            <v>7657986.129999998</v>
          </cell>
          <cell r="F157">
            <v>63136367.960599981</v>
          </cell>
          <cell r="G157">
            <v>86004421.076900065</v>
          </cell>
          <cell r="M157">
            <v>448022.58999999997</v>
          </cell>
          <cell r="V157">
            <v>157</v>
          </cell>
        </row>
        <row r="158">
          <cell r="B158">
            <v>33900</v>
          </cell>
          <cell r="C158" t="str">
            <v>Granville County Schools And Oxford Orphanage</v>
          </cell>
          <cell r="D158">
            <v>38842735.289999992</v>
          </cell>
          <cell r="E158">
            <v>40592529.850000031</v>
          </cell>
          <cell r="F158">
            <v>330042793.80299991</v>
          </cell>
          <cell r="G158">
            <v>448699530.14413673</v>
          </cell>
          <cell r="M158">
            <v>2321466.9900000002</v>
          </cell>
          <cell r="V158">
            <v>158</v>
          </cell>
        </row>
        <row r="159">
          <cell r="B159">
            <v>34000</v>
          </cell>
          <cell r="C159" t="str">
            <v>Greene County Schools</v>
          </cell>
          <cell r="D159">
            <v>16898888.390000001</v>
          </cell>
          <cell r="E159">
            <v>16688110.669999991</v>
          </cell>
          <cell r="F159">
            <v>150543233.05450007</v>
          </cell>
          <cell r="G159">
            <v>195735824.92934257</v>
          </cell>
          <cell r="M159">
            <v>961712.79</v>
          </cell>
          <cell r="V159">
            <v>159</v>
          </cell>
        </row>
        <row r="160">
          <cell r="B160">
            <v>34100</v>
          </cell>
          <cell r="C160" t="str">
            <v>Guilford County Schools</v>
          </cell>
          <cell r="D160">
            <v>380089037.70000285</v>
          </cell>
          <cell r="E160">
            <v>379271646.59000385</v>
          </cell>
          <cell r="F160">
            <v>3367191402.8343058</v>
          </cell>
          <cell r="G160">
            <v>4441086748.0954542</v>
          </cell>
          <cell r="M160">
            <v>21659015.900000002</v>
          </cell>
          <cell r="V160">
            <v>160</v>
          </cell>
        </row>
        <row r="161">
          <cell r="B161">
            <v>34105</v>
          </cell>
          <cell r="C161" t="str">
            <v>Guilford Technical Community College</v>
          </cell>
          <cell r="D161">
            <v>35681492.379999988</v>
          </cell>
          <cell r="E161">
            <v>35328585.719999991</v>
          </cell>
          <cell r="F161">
            <v>291489891.90259999</v>
          </cell>
          <cell r="G161">
            <v>372585535.59367543</v>
          </cell>
          <cell r="M161">
            <v>2032892.2400000002</v>
          </cell>
          <cell r="V161">
            <v>161</v>
          </cell>
        </row>
        <row r="162">
          <cell r="B162">
            <v>34200</v>
          </cell>
          <cell r="C162" t="str">
            <v>Halifax County Schools</v>
          </cell>
          <cell r="D162">
            <v>18791556.239999983</v>
          </cell>
          <cell r="E162">
            <v>16579502.449999988</v>
          </cell>
          <cell r="F162">
            <v>148167777.89740002</v>
          </cell>
          <cell r="G162">
            <v>170585589.21027422</v>
          </cell>
          <cell r="M162">
            <v>895134.38</v>
          </cell>
          <cell r="V162">
            <v>162</v>
          </cell>
        </row>
        <row r="163">
          <cell r="B163">
            <v>34205</v>
          </cell>
          <cell r="C163" t="str">
            <v>Halifax Community College</v>
          </cell>
          <cell r="D163">
            <v>7243825.2300000023</v>
          </cell>
          <cell r="E163">
            <v>7032339.1499999976</v>
          </cell>
          <cell r="F163">
            <v>53943092.6435</v>
          </cell>
          <cell r="G163">
            <v>69599223.944643199</v>
          </cell>
          <cell r="M163">
            <v>398210.05</v>
          </cell>
          <cell r="V163">
            <v>163</v>
          </cell>
        </row>
        <row r="164">
          <cell r="B164">
            <v>34220</v>
          </cell>
          <cell r="C164" t="str">
            <v>Roanoke Rapids City Schools</v>
          </cell>
          <cell r="D164">
            <v>14949699.830000006</v>
          </cell>
          <cell r="E164">
            <v>15110977.050000003</v>
          </cell>
          <cell r="F164">
            <v>118429909.89819995</v>
          </cell>
          <cell r="G164">
            <v>155206534.69359991</v>
          </cell>
          <cell r="M164">
            <v>875993.44</v>
          </cell>
          <cell r="V164">
            <v>164</v>
          </cell>
        </row>
        <row r="165">
          <cell r="B165">
            <v>34230</v>
          </cell>
          <cell r="C165" t="str">
            <v>Weldon City Schools</v>
          </cell>
          <cell r="D165">
            <v>6700183.9900000012</v>
          </cell>
          <cell r="E165">
            <v>6807248.9900000021</v>
          </cell>
          <cell r="F165">
            <v>55045539.019500002</v>
          </cell>
          <cell r="G165">
            <v>73076508.394220456</v>
          </cell>
          <cell r="M165">
            <v>383407.63</v>
          </cell>
          <cell r="V165">
            <v>165</v>
          </cell>
        </row>
        <row r="166">
          <cell r="B166">
            <v>34300</v>
          </cell>
          <cell r="C166" t="str">
            <v>Harnett County Schools</v>
          </cell>
          <cell r="D166">
            <v>87666995.99999994</v>
          </cell>
          <cell r="E166">
            <v>88020095.33999981</v>
          </cell>
          <cell r="F166">
            <v>790961804.42079854</v>
          </cell>
          <cell r="G166">
            <v>1049072210.1307783</v>
          </cell>
          <cell r="M166">
            <v>5145791.63</v>
          </cell>
          <cell r="V166">
            <v>166</v>
          </cell>
        </row>
        <row r="167">
          <cell r="B167">
            <v>34400</v>
          </cell>
          <cell r="C167" t="str">
            <v>Haywood County Schools</v>
          </cell>
          <cell r="D167">
            <v>37703209.599999957</v>
          </cell>
          <cell r="E167">
            <v>38324638.400000051</v>
          </cell>
          <cell r="F167">
            <v>330333674.88579983</v>
          </cell>
          <cell r="G167">
            <v>445321897.43584991</v>
          </cell>
          <cell r="M167">
            <v>2200991.9500000002</v>
          </cell>
          <cell r="V167">
            <v>167</v>
          </cell>
        </row>
        <row r="168">
          <cell r="B168">
            <v>34405</v>
          </cell>
          <cell r="C168" t="str">
            <v>Haywood Technical College</v>
          </cell>
          <cell r="D168">
            <v>7796539.9800000051</v>
          </cell>
          <cell r="E168">
            <v>8141265.6999999993</v>
          </cell>
          <cell r="F168">
            <v>67443710.810500026</v>
          </cell>
          <cell r="G168">
            <v>93311472.113350034</v>
          </cell>
          <cell r="M168">
            <v>470881.04</v>
          </cell>
          <cell r="V168">
            <v>168</v>
          </cell>
        </row>
        <row r="169">
          <cell r="B169">
            <v>34500</v>
          </cell>
          <cell r="C169" t="str">
            <v>Henderson County Schools</v>
          </cell>
          <cell r="D169">
            <v>65171651.7999999</v>
          </cell>
          <cell r="E169">
            <v>66754769.790000111</v>
          </cell>
          <cell r="F169">
            <v>561355987.82840014</v>
          </cell>
          <cell r="G169">
            <v>765261550.13365066</v>
          </cell>
          <cell r="M169">
            <v>3820570.3299999996</v>
          </cell>
          <cell r="V169">
            <v>169</v>
          </cell>
        </row>
        <row r="170">
          <cell r="B170">
            <v>34501</v>
          </cell>
          <cell r="C170" t="str">
            <v>Mountain Community School</v>
          </cell>
          <cell r="D170">
            <v>804887.60000000009</v>
          </cell>
          <cell r="E170">
            <v>756108.58000000007</v>
          </cell>
          <cell r="F170">
            <v>7235431.0033</v>
          </cell>
          <cell r="G170">
            <v>8785160.5747999996</v>
          </cell>
          <cell r="M170">
            <v>43751.279999999992</v>
          </cell>
          <cell r="V170">
            <v>170</v>
          </cell>
        </row>
        <row r="171">
          <cell r="B171">
            <v>34505</v>
          </cell>
          <cell r="C171" t="str">
            <v>Blue Ridge Community College</v>
          </cell>
          <cell r="D171">
            <v>9196687.3600000031</v>
          </cell>
          <cell r="E171">
            <v>9672640.7699999996</v>
          </cell>
          <cell r="F171">
            <v>69681023.913699985</v>
          </cell>
          <cell r="G171">
            <v>94589426.762144983</v>
          </cell>
          <cell r="M171">
            <v>550374.14999999991</v>
          </cell>
          <cell r="V171">
            <v>171</v>
          </cell>
        </row>
        <row r="172">
          <cell r="B172">
            <v>34600</v>
          </cell>
          <cell r="C172" t="str">
            <v>Hertford County Schools</v>
          </cell>
          <cell r="D172">
            <v>16989970.689999994</v>
          </cell>
          <cell r="E172">
            <v>16910461.929999992</v>
          </cell>
          <cell r="F172">
            <v>137730573.17679998</v>
          </cell>
          <cell r="G172">
            <v>180240834.44930002</v>
          </cell>
          <cell r="M172">
            <v>969396.17</v>
          </cell>
          <cell r="V172">
            <v>172</v>
          </cell>
        </row>
        <row r="173">
          <cell r="B173">
            <v>34605</v>
          </cell>
          <cell r="C173" t="str">
            <v>Roanoke-Chowan Community College</v>
          </cell>
          <cell r="D173">
            <v>3903033.63</v>
          </cell>
          <cell r="E173">
            <v>4201772.21</v>
          </cell>
          <cell r="F173">
            <v>29988984.926500004</v>
          </cell>
          <cell r="G173">
            <v>42171665.991499998</v>
          </cell>
          <cell r="M173">
            <v>241490.59</v>
          </cell>
          <cell r="V173">
            <v>173</v>
          </cell>
        </row>
        <row r="174">
          <cell r="B174">
            <v>34700</v>
          </cell>
          <cell r="C174" t="str">
            <v>Hoke County Schools</v>
          </cell>
          <cell r="D174">
            <v>38046585.169999994</v>
          </cell>
          <cell r="E174">
            <v>39591307.19000005</v>
          </cell>
          <cell r="F174">
            <v>355386227.61370003</v>
          </cell>
          <cell r="G174">
            <v>502347260.23419255</v>
          </cell>
          <cell r="M174">
            <v>2283360.0299999998</v>
          </cell>
          <cell r="V174">
            <v>174</v>
          </cell>
        </row>
        <row r="175">
          <cell r="B175">
            <v>34800</v>
          </cell>
          <cell r="C175" t="str">
            <v>Hyde County Schools</v>
          </cell>
          <cell r="D175">
            <v>4912898.5600000024</v>
          </cell>
          <cell r="E175">
            <v>5121679.4700000016</v>
          </cell>
          <cell r="F175">
            <v>36137845.977499999</v>
          </cell>
          <cell r="G175">
            <v>51423047.80969999</v>
          </cell>
          <cell r="M175">
            <v>302836.2</v>
          </cell>
          <cell r="V175">
            <v>175</v>
          </cell>
        </row>
        <row r="176">
          <cell r="B176">
            <v>34900</v>
          </cell>
          <cell r="C176" t="str">
            <v>Iredell County Schools</v>
          </cell>
          <cell r="D176">
            <v>95953710.000000164</v>
          </cell>
          <cell r="E176">
            <v>96933813.520000041</v>
          </cell>
          <cell r="F176">
            <v>827633809.60330069</v>
          </cell>
          <cell r="G176">
            <v>1094443212.7282977</v>
          </cell>
          <cell r="M176">
            <v>5516097.8100000005</v>
          </cell>
          <cell r="V176">
            <v>176</v>
          </cell>
        </row>
        <row r="177">
          <cell r="B177">
            <v>34901</v>
          </cell>
          <cell r="C177" t="str">
            <v>American Renaissance Middle School</v>
          </cell>
          <cell r="D177">
            <v>2047338.7399999998</v>
          </cell>
          <cell r="E177">
            <v>2162233.81</v>
          </cell>
          <cell r="F177">
            <v>19571119.108699996</v>
          </cell>
          <cell r="G177">
            <v>27909201.869599998</v>
          </cell>
          <cell r="M177">
            <v>122589.16000000002</v>
          </cell>
          <cell r="V177">
            <v>177</v>
          </cell>
        </row>
        <row r="178">
          <cell r="B178">
            <v>34903</v>
          </cell>
          <cell r="C178" t="str">
            <v>Success Institute</v>
          </cell>
          <cell r="D178">
            <v>295846.37</v>
          </cell>
          <cell r="E178">
            <v>241292.06</v>
          </cell>
          <cell r="F178">
            <v>1952862.3412000001</v>
          </cell>
          <cell r="G178">
            <v>1750220.3961999998</v>
          </cell>
          <cell r="M178">
            <v>15207.669999999998</v>
          </cell>
          <cell r="V178">
            <v>178</v>
          </cell>
        </row>
        <row r="179">
          <cell r="B179">
            <v>34905</v>
          </cell>
          <cell r="C179" t="str">
            <v>Mitchell Community College</v>
          </cell>
          <cell r="D179">
            <v>10861096.220000008</v>
          </cell>
          <cell r="E179">
            <v>10185169.599999998</v>
          </cell>
          <cell r="F179">
            <v>88254760.301699966</v>
          </cell>
          <cell r="G179">
            <v>110145218.94029997</v>
          </cell>
          <cell r="M179">
            <v>574849.68999999994</v>
          </cell>
          <cell r="V179">
            <v>179</v>
          </cell>
        </row>
        <row r="180">
          <cell r="B180">
            <v>34910</v>
          </cell>
          <cell r="C180" t="str">
            <v>Mooresville City Schools</v>
          </cell>
          <cell r="D180">
            <v>27815335.029999979</v>
          </cell>
          <cell r="E180">
            <v>28760253.99000001</v>
          </cell>
          <cell r="F180">
            <v>249116192.37790003</v>
          </cell>
          <cell r="G180">
            <v>344826539.49079365</v>
          </cell>
          <cell r="M180">
            <v>1663838.31</v>
          </cell>
          <cell r="V180">
            <v>180</v>
          </cell>
        </row>
        <row r="181">
          <cell r="B181">
            <v>35000</v>
          </cell>
          <cell r="C181" t="str">
            <v>Jackson County Schools</v>
          </cell>
          <cell r="D181">
            <v>18809247.109999999</v>
          </cell>
          <cell r="E181">
            <v>18923949.79000001</v>
          </cell>
          <cell r="F181">
            <v>165578477.62439996</v>
          </cell>
          <cell r="G181">
            <v>221604541.90329152</v>
          </cell>
          <cell r="M181">
            <v>1123383.75</v>
          </cell>
          <cell r="V181">
            <v>181</v>
          </cell>
        </row>
        <row r="182">
          <cell r="B182">
            <v>35005</v>
          </cell>
          <cell r="C182" t="str">
            <v>Southwestern Community College</v>
          </cell>
          <cell r="D182">
            <v>9040718.5099999942</v>
          </cell>
          <cell r="E182">
            <v>9473854.3199999947</v>
          </cell>
          <cell r="F182">
            <v>76549898.889899999</v>
          </cell>
          <cell r="G182">
            <v>104446843.56925759</v>
          </cell>
          <cell r="M182">
            <v>546952.01</v>
          </cell>
          <cell r="V182">
            <v>182</v>
          </cell>
        </row>
        <row r="183">
          <cell r="B183">
            <v>35100</v>
          </cell>
          <cell r="C183" t="str">
            <v>Johnston County Schools</v>
          </cell>
          <cell r="D183">
            <v>155746591.00000027</v>
          </cell>
          <cell r="E183">
            <v>160761230.99999928</v>
          </cell>
          <cell r="F183">
            <v>1419794838.4342992</v>
          </cell>
          <cell r="G183">
            <v>1943610128.088058</v>
          </cell>
          <cell r="M183">
            <v>9279436.1999999993</v>
          </cell>
          <cell r="V183">
            <v>183</v>
          </cell>
        </row>
        <row r="184">
          <cell r="B184">
            <v>35105</v>
          </cell>
          <cell r="C184" t="str">
            <v>Johnston Technical College</v>
          </cell>
          <cell r="D184">
            <v>14689301.380000019</v>
          </cell>
          <cell r="E184">
            <v>15728539.479999999</v>
          </cell>
          <cell r="F184">
            <v>130060784.8611999</v>
          </cell>
          <cell r="G184">
            <v>180913688.44229022</v>
          </cell>
          <cell r="M184">
            <v>887406.2100000002</v>
          </cell>
          <cell r="V184">
            <v>184</v>
          </cell>
        </row>
        <row r="185">
          <cell r="B185">
            <v>35106</v>
          </cell>
          <cell r="C185" t="str">
            <v>Neuse Charter School</v>
          </cell>
          <cell r="D185">
            <v>2897664.0999999996</v>
          </cell>
          <cell r="E185">
            <v>3395559.830000001</v>
          </cell>
          <cell r="F185">
            <v>29906751.935900003</v>
          </cell>
          <cell r="G185">
            <v>45347219.3248</v>
          </cell>
          <cell r="M185">
            <v>191932.71</v>
          </cell>
          <cell r="V185">
            <v>185</v>
          </cell>
        </row>
        <row r="186">
          <cell r="B186">
            <v>35200</v>
          </cell>
          <cell r="C186" t="str">
            <v>Jones County Schools</v>
          </cell>
          <cell r="D186">
            <v>7932774.8499999987</v>
          </cell>
          <cell r="E186">
            <v>8278732.1899999976</v>
          </cell>
          <cell r="F186">
            <v>61090043.161999963</v>
          </cell>
          <cell r="G186">
            <v>83553045.66460003</v>
          </cell>
          <cell r="M186">
            <v>476656.06</v>
          </cell>
          <cell r="V186">
            <v>186</v>
          </cell>
        </row>
        <row r="187">
          <cell r="B187">
            <v>35300</v>
          </cell>
          <cell r="C187" t="str">
            <v>Sanford-Lee County Board Of Education</v>
          </cell>
          <cell r="D187">
            <v>46228675.499999963</v>
          </cell>
          <cell r="E187">
            <v>47527684.359999925</v>
          </cell>
          <cell r="F187">
            <v>405789074.6906001</v>
          </cell>
          <cell r="G187">
            <v>569720738.94249952</v>
          </cell>
          <cell r="M187">
            <v>2829384.72</v>
          </cell>
          <cell r="V187">
            <v>187</v>
          </cell>
        </row>
        <row r="188">
          <cell r="B188">
            <v>35305</v>
          </cell>
          <cell r="C188" t="str">
            <v>Central Carolina Community College</v>
          </cell>
          <cell r="D188">
            <v>17606707.239999987</v>
          </cell>
          <cell r="E188">
            <v>18830477.289999992</v>
          </cell>
          <cell r="F188">
            <v>147185182.02880001</v>
          </cell>
          <cell r="G188">
            <v>214516259.31055698</v>
          </cell>
          <cell r="M188">
            <v>1121723.2100000002</v>
          </cell>
          <cell r="V188">
            <v>188</v>
          </cell>
        </row>
        <row r="189">
          <cell r="B189">
            <v>35400</v>
          </cell>
          <cell r="C189" t="str">
            <v>Lenoir County Schools</v>
          </cell>
          <cell r="D189">
            <v>41247451.629999936</v>
          </cell>
          <cell r="E189">
            <v>41850396.309999958</v>
          </cell>
          <cell r="F189">
            <v>341011721.65120065</v>
          </cell>
          <cell r="G189">
            <v>455841642.2640931</v>
          </cell>
          <cell r="M189">
            <v>2417648.89</v>
          </cell>
          <cell r="V189">
            <v>189</v>
          </cell>
        </row>
        <row r="190">
          <cell r="B190">
            <v>35401</v>
          </cell>
          <cell r="C190" t="str">
            <v>Childrens Village Academy</v>
          </cell>
          <cell r="D190">
            <v>371769.55</v>
          </cell>
          <cell r="E190">
            <v>344520.31</v>
          </cell>
          <cell r="F190">
            <v>3208962.2691000002</v>
          </cell>
          <cell r="G190">
            <v>4197896.2397000007</v>
          </cell>
          <cell r="M190">
            <v>22698.78</v>
          </cell>
          <cell r="V190">
            <v>190</v>
          </cell>
        </row>
        <row r="191">
          <cell r="B191">
            <v>35405</v>
          </cell>
          <cell r="C191" t="str">
            <v>Lenoir County Community College</v>
          </cell>
          <cell r="D191">
            <v>13499277.029999997</v>
          </cell>
          <cell r="E191">
            <v>14071193.000000006</v>
          </cell>
          <cell r="F191">
            <v>112003256.63830002</v>
          </cell>
          <cell r="G191">
            <v>158082423.65269998</v>
          </cell>
          <cell r="M191">
            <v>816379.52</v>
          </cell>
          <cell r="V191">
            <v>191</v>
          </cell>
        </row>
        <row r="192">
          <cell r="B192">
            <v>35500</v>
          </cell>
          <cell r="C192" t="str">
            <v>Lincoln County Schools</v>
          </cell>
          <cell r="D192">
            <v>54233858.759999864</v>
          </cell>
          <cell r="E192">
            <v>55798882.090000018</v>
          </cell>
          <cell r="F192">
            <v>481781308.9702996</v>
          </cell>
          <cell r="G192">
            <v>649863438.98545659</v>
          </cell>
          <cell r="M192">
            <v>3177916.0800000005</v>
          </cell>
          <cell r="V192">
            <v>192</v>
          </cell>
        </row>
        <row r="193">
          <cell r="B193">
            <v>35600</v>
          </cell>
          <cell r="C193" t="str">
            <v>Macon County Schools</v>
          </cell>
          <cell r="D193">
            <v>22146187.539999947</v>
          </cell>
          <cell r="E193">
            <v>22403744.750000019</v>
          </cell>
          <cell r="F193">
            <v>187976347.73040006</v>
          </cell>
          <cell r="G193">
            <v>249039963.56705093</v>
          </cell>
          <cell r="M193">
            <v>1305102.3500000003</v>
          </cell>
          <cell r="V193">
            <v>193</v>
          </cell>
        </row>
        <row r="194">
          <cell r="B194">
            <v>35700</v>
          </cell>
          <cell r="C194" t="str">
            <v>Madison County Schools</v>
          </cell>
          <cell r="D194">
            <v>12825790.349999998</v>
          </cell>
          <cell r="E194">
            <v>12609939.180000005</v>
          </cell>
          <cell r="F194">
            <v>111991217.40370001</v>
          </cell>
          <cell r="G194">
            <v>140294928.03499994</v>
          </cell>
          <cell r="M194">
            <v>740681.17</v>
          </cell>
          <cell r="V194">
            <v>194</v>
          </cell>
        </row>
        <row r="195">
          <cell r="B195">
            <v>35800</v>
          </cell>
          <cell r="C195" t="str">
            <v>Martin County Schools</v>
          </cell>
          <cell r="D195">
            <v>20140409.27</v>
          </cell>
          <cell r="E195">
            <v>19721483.920000002</v>
          </cell>
          <cell r="F195">
            <v>158297787.06939995</v>
          </cell>
          <cell r="G195">
            <v>202087906.11369976</v>
          </cell>
          <cell r="M195">
            <v>1132700.52</v>
          </cell>
          <cell r="V195">
            <v>195</v>
          </cell>
        </row>
        <row r="196">
          <cell r="B196">
            <v>35805</v>
          </cell>
          <cell r="C196" t="str">
            <v>Martin Community College</v>
          </cell>
          <cell r="D196">
            <v>3054730.0500000007</v>
          </cell>
          <cell r="E196">
            <v>3495280.6200000006</v>
          </cell>
          <cell r="F196">
            <v>23109713.635900009</v>
          </cell>
          <cell r="G196">
            <v>31612496.356900003</v>
          </cell>
          <cell r="M196">
            <v>210359.18</v>
          </cell>
          <cell r="V196">
            <v>196</v>
          </cell>
        </row>
        <row r="197">
          <cell r="B197">
            <v>35900</v>
          </cell>
          <cell r="C197" t="str">
            <v>Mcdowell County Schools</v>
          </cell>
          <cell r="D197">
            <v>32296410.949999969</v>
          </cell>
          <cell r="E197">
            <v>33198038.550000027</v>
          </cell>
          <cell r="F197">
            <v>282897174.7049998</v>
          </cell>
          <cell r="G197">
            <v>379024722.38289273</v>
          </cell>
          <cell r="M197">
            <v>1899327.8199999998</v>
          </cell>
          <cell r="V197">
            <v>197</v>
          </cell>
        </row>
        <row r="198">
          <cell r="B198">
            <v>35905</v>
          </cell>
          <cell r="C198" t="str">
            <v>Mcdowell Technical College</v>
          </cell>
          <cell r="D198">
            <v>5550163.2800000012</v>
          </cell>
          <cell r="E198">
            <v>5626005.3199999994</v>
          </cell>
          <cell r="F198">
            <v>40331169.474400021</v>
          </cell>
          <cell r="G198">
            <v>49838384.816099986</v>
          </cell>
          <cell r="M198">
            <v>326862.16000000003</v>
          </cell>
          <cell r="V198">
            <v>198</v>
          </cell>
        </row>
        <row r="199">
          <cell r="B199">
            <v>36000</v>
          </cell>
          <cell r="C199" t="str">
            <v>Charlotte-Mecklenburg County Schools</v>
          </cell>
          <cell r="D199">
            <v>681625731.35000134</v>
          </cell>
          <cell r="E199">
            <v>714265233.25000679</v>
          </cell>
          <cell r="F199">
            <v>6344928233.2403946</v>
          </cell>
          <cell r="G199">
            <v>8895219968.9437866</v>
          </cell>
          <cell r="M199">
            <v>41564996.18</v>
          </cell>
          <cell r="V199">
            <v>199</v>
          </cell>
        </row>
        <row r="200">
          <cell r="B200">
            <v>36001</v>
          </cell>
          <cell r="C200" t="str">
            <v>Community Charter School</v>
          </cell>
          <cell r="D200">
            <v>372417.35</v>
          </cell>
          <cell r="E200">
            <v>353785.51</v>
          </cell>
          <cell r="F200">
            <v>3595364.1063999999</v>
          </cell>
          <cell r="G200">
            <v>4542279.4012000002</v>
          </cell>
          <cell r="M200">
            <v>20743.060000000001</v>
          </cell>
          <cell r="V200">
            <v>200</v>
          </cell>
        </row>
        <row r="201">
          <cell r="B201">
            <v>36002</v>
          </cell>
          <cell r="C201" t="str">
            <v>Kennedy Charter</v>
          </cell>
          <cell r="D201">
            <v>2425078.2400000002</v>
          </cell>
          <cell r="E201">
            <v>1857050.5799999996</v>
          </cell>
          <cell r="F201">
            <v>25196002.790000003</v>
          </cell>
          <cell r="G201">
            <v>24992530.963199999</v>
          </cell>
          <cell r="M201">
            <v>100328.58999999998</v>
          </cell>
          <cell r="V201">
            <v>201</v>
          </cell>
        </row>
        <row r="202">
          <cell r="B202">
            <v>36003</v>
          </cell>
          <cell r="C202" t="str">
            <v>Community School Of Davidson</v>
          </cell>
          <cell r="D202">
            <v>4658513.9599999981</v>
          </cell>
          <cell r="E202">
            <v>4819997.4300000006</v>
          </cell>
          <cell r="F202">
            <v>48379237.402099974</v>
          </cell>
          <cell r="G202">
            <v>66010446.137750059</v>
          </cell>
          <cell r="M202">
            <v>279634.84000000003</v>
          </cell>
          <cell r="V202">
            <v>202</v>
          </cell>
        </row>
        <row r="203">
          <cell r="B203">
            <v>36004</v>
          </cell>
          <cell r="C203" t="str">
            <v>Corvian Community School</v>
          </cell>
          <cell r="D203">
            <v>1786867.3900000006</v>
          </cell>
          <cell r="E203">
            <v>2255330.2499999995</v>
          </cell>
          <cell r="F203">
            <v>19739524.042199999</v>
          </cell>
          <cell r="G203">
            <v>33599579.738799989</v>
          </cell>
          <cell r="M203">
            <v>131096.16999999998</v>
          </cell>
          <cell r="V203">
            <v>203</v>
          </cell>
        </row>
        <row r="204">
          <cell r="B204">
            <v>36005</v>
          </cell>
          <cell r="C204" t="str">
            <v>Central Piedmont Community College</v>
          </cell>
          <cell r="D204">
            <v>65165142.030000031</v>
          </cell>
          <cell r="E204">
            <v>69143334.120000049</v>
          </cell>
          <cell r="F204">
            <v>531054589.96099967</v>
          </cell>
          <cell r="G204">
            <v>756899607.51857007</v>
          </cell>
          <cell r="M204">
            <v>4000939.22</v>
          </cell>
          <cell r="V204">
            <v>204</v>
          </cell>
        </row>
        <row r="205">
          <cell r="B205">
            <v>36006</v>
          </cell>
          <cell r="C205" t="str">
            <v>Lake Norman Charter School</v>
          </cell>
          <cell r="D205">
            <v>5823841.2600000016</v>
          </cell>
          <cell r="E205">
            <v>6132666.4799999995</v>
          </cell>
          <cell r="F205">
            <v>60069189.214000031</v>
          </cell>
          <cell r="G205">
            <v>82296269.40169999</v>
          </cell>
          <cell r="M205">
            <v>351875.18</v>
          </cell>
          <cell r="V205">
            <v>205</v>
          </cell>
        </row>
        <row r="206">
          <cell r="B206">
            <v>36007</v>
          </cell>
          <cell r="C206" t="str">
            <v>Socrates Academy</v>
          </cell>
          <cell r="D206">
            <v>2071786.96</v>
          </cell>
          <cell r="E206">
            <v>2123885.6199999996</v>
          </cell>
          <cell r="F206">
            <v>20947455.407699998</v>
          </cell>
          <cell r="G206">
            <v>27996668.607399989</v>
          </cell>
          <cell r="M206">
            <v>124428.83</v>
          </cell>
          <cell r="V206">
            <v>206</v>
          </cell>
        </row>
        <row r="207">
          <cell r="B207">
            <v>36008</v>
          </cell>
          <cell r="C207" t="str">
            <v>Pine Lake Prep Charter</v>
          </cell>
          <cell r="D207">
            <v>5639232.1999999993</v>
          </cell>
          <cell r="E207">
            <v>5994908.870000002</v>
          </cell>
          <cell r="F207">
            <v>61533643.993499979</v>
          </cell>
          <cell r="G207">
            <v>87251733.359599978</v>
          </cell>
          <cell r="M207">
            <v>336740.07999999996</v>
          </cell>
          <cell r="V207">
            <v>207</v>
          </cell>
        </row>
        <row r="208">
          <cell r="B208">
            <v>36009</v>
          </cell>
          <cell r="C208" t="str">
            <v>Charlotte Secondary Charter</v>
          </cell>
          <cell r="D208">
            <v>1668773.7199999997</v>
          </cell>
          <cell r="E208">
            <v>1841895.1</v>
          </cell>
          <cell r="F208">
            <v>16918037.484999999</v>
          </cell>
          <cell r="G208">
            <v>27122899.102750003</v>
          </cell>
          <cell r="M208">
            <v>110076.58</v>
          </cell>
          <cell r="V208">
            <v>208</v>
          </cell>
        </row>
        <row r="209">
          <cell r="B209">
            <v>36100</v>
          </cell>
          <cell r="C209" t="str">
            <v>Mitchell County Schools</v>
          </cell>
          <cell r="D209">
            <v>10832002.170000002</v>
          </cell>
          <cell r="E209">
            <v>10989867.26999999</v>
          </cell>
          <cell r="F209">
            <v>87150476.48909995</v>
          </cell>
          <cell r="G209">
            <v>114527189.78119996</v>
          </cell>
          <cell r="M209">
            <v>628618.34</v>
          </cell>
          <cell r="V209">
            <v>209</v>
          </cell>
        </row>
        <row r="210">
          <cell r="B210">
            <v>36102</v>
          </cell>
          <cell r="C210" t="str">
            <v>Kipp Charlotte Charter</v>
          </cell>
          <cell r="D210">
            <v>1482553.2</v>
          </cell>
          <cell r="E210">
            <v>1834403.22</v>
          </cell>
          <cell r="F210">
            <v>16364264.1558</v>
          </cell>
          <cell r="G210">
            <v>27713089.4113</v>
          </cell>
          <cell r="M210">
            <v>102156.22</v>
          </cell>
          <cell r="V210">
            <v>210</v>
          </cell>
        </row>
        <row r="211">
          <cell r="B211">
            <v>36105</v>
          </cell>
          <cell r="C211" t="str">
            <v>Mayland Technical College</v>
          </cell>
          <cell r="D211">
            <v>6093298.2900000019</v>
          </cell>
          <cell r="E211">
            <v>5969869.6899999995</v>
          </cell>
          <cell r="F211">
            <v>45558500.696099989</v>
          </cell>
          <cell r="G211">
            <v>58669980.106100015</v>
          </cell>
          <cell r="M211">
            <v>351269.18999999994</v>
          </cell>
          <cell r="V211">
            <v>211</v>
          </cell>
        </row>
        <row r="212">
          <cell r="B212">
            <v>36200</v>
          </cell>
          <cell r="C212" t="str">
            <v>Montgomery County Schools</v>
          </cell>
          <cell r="D212">
            <v>21942123.84</v>
          </cell>
          <cell r="E212">
            <v>22195620.610000007</v>
          </cell>
          <cell r="F212">
            <v>172980741.7345998</v>
          </cell>
          <cell r="G212">
            <v>235217459.57333708</v>
          </cell>
          <cell r="M212">
            <v>1280053.18</v>
          </cell>
          <cell r="V212">
            <v>212</v>
          </cell>
        </row>
        <row r="213">
          <cell r="B213">
            <v>36205</v>
          </cell>
          <cell r="C213" t="str">
            <v>Montgomery Community College</v>
          </cell>
          <cell r="D213">
            <v>3841057.79</v>
          </cell>
          <cell r="E213">
            <v>3891820.2999999989</v>
          </cell>
          <cell r="F213">
            <v>30920111.273899991</v>
          </cell>
          <cell r="G213">
            <v>41496389.026300006</v>
          </cell>
          <cell r="M213">
            <v>223448.52</v>
          </cell>
          <cell r="V213">
            <v>213</v>
          </cell>
        </row>
        <row r="214">
          <cell r="B214">
            <v>36300</v>
          </cell>
          <cell r="C214" t="str">
            <v>Moore County Schools</v>
          </cell>
          <cell r="D214">
            <v>62785133.499999993</v>
          </cell>
          <cell r="E214">
            <v>65112504.539999925</v>
          </cell>
          <cell r="F214">
            <v>539842785.9162997</v>
          </cell>
          <cell r="G214">
            <v>743835092.31826484</v>
          </cell>
          <cell r="M214">
            <v>3827040.9699999993</v>
          </cell>
          <cell r="V214">
            <v>214</v>
          </cell>
        </row>
        <row r="215">
          <cell r="B215">
            <v>36301</v>
          </cell>
          <cell r="C215" t="str">
            <v>Academy Of Moore County</v>
          </cell>
          <cell r="D215">
            <v>648816.75</v>
          </cell>
          <cell r="E215">
            <v>726906.58000000007</v>
          </cell>
          <cell r="F215">
            <v>5795161.1009999998</v>
          </cell>
          <cell r="G215">
            <v>9600362.6270000003</v>
          </cell>
          <cell r="M215">
            <v>40808.53</v>
          </cell>
          <cell r="V215">
            <v>215</v>
          </cell>
        </row>
        <row r="216">
          <cell r="B216">
            <v>36302</v>
          </cell>
          <cell r="C216" t="str">
            <v>Stars Charter School</v>
          </cell>
          <cell r="D216">
            <v>1398097.9100000001</v>
          </cell>
          <cell r="E216">
            <v>1436669.5200000003</v>
          </cell>
          <cell r="F216">
            <v>13425178.953499999</v>
          </cell>
          <cell r="G216">
            <v>18896299.531399991</v>
          </cell>
          <cell r="M216">
            <v>81262.929999999993</v>
          </cell>
          <cell r="V216">
            <v>216</v>
          </cell>
        </row>
        <row r="217">
          <cell r="B217">
            <v>36305</v>
          </cell>
          <cell r="C217" t="str">
            <v>Sandhills Community College</v>
          </cell>
          <cell r="D217">
            <v>14337065.23</v>
          </cell>
          <cell r="E217">
            <v>14893977.860000012</v>
          </cell>
          <cell r="F217">
            <v>107568019.03640008</v>
          </cell>
          <cell r="G217">
            <v>149767204.85058302</v>
          </cell>
          <cell r="M217">
            <v>853154.71000000008</v>
          </cell>
          <cell r="V217">
            <v>217</v>
          </cell>
        </row>
        <row r="218">
          <cell r="B218">
            <v>36400</v>
          </cell>
          <cell r="C218" t="str">
            <v>Nash-Rocky Mount Schools</v>
          </cell>
          <cell r="D218">
            <v>72903363.039999947</v>
          </cell>
          <cell r="E218">
            <v>73556121.539999887</v>
          </cell>
          <cell r="F218">
            <v>597417872.85470033</v>
          </cell>
          <cell r="G218">
            <v>798178934.62570596</v>
          </cell>
          <cell r="M218">
            <v>4324194.4699999988</v>
          </cell>
          <cell r="V218">
            <v>218</v>
          </cell>
        </row>
        <row r="219">
          <cell r="B219">
            <v>36405</v>
          </cell>
          <cell r="C219" t="str">
            <v>Nash Technical College</v>
          </cell>
          <cell r="D219">
            <v>11692311.660000008</v>
          </cell>
          <cell r="E219">
            <v>12522920.060000004</v>
          </cell>
          <cell r="F219">
            <v>95025215.57510002</v>
          </cell>
          <cell r="G219">
            <v>135739117.66581658</v>
          </cell>
          <cell r="M219">
            <v>730429.57000000007</v>
          </cell>
          <cell r="V219">
            <v>219</v>
          </cell>
        </row>
        <row r="220">
          <cell r="B220">
            <v>36500</v>
          </cell>
          <cell r="C220" t="str">
            <v>New Hanover County Schools</v>
          </cell>
          <cell r="D220">
            <v>135092597.5099999</v>
          </cell>
          <cell r="E220">
            <v>137779977.63999993</v>
          </cell>
          <cell r="F220">
            <v>1152882798.6836998</v>
          </cell>
          <cell r="G220">
            <v>1576913735.8970599</v>
          </cell>
          <cell r="M220">
            <v>7912128.7299999995</v>
          </cell>
          <cell r="V220">
            <v>220</v>
          </cell>
        </row>
        <row r="221">
          <cell r="B221">
            <v>36501</v>
          </cell>
          <cell r="C221" t="str">
            <v>Cape Fear Center For Inquiry</v>
          </cell>
          <cell r="D221">
            <v>1583938.7699999998</v>
          </cell>
          <cell r="E221">
            <v>1499516.45</v>
          </cell>
          <cell r="F221">
            <v>14106043.319899995</v>
          </cell>
          <cell r="G221">
            <v>18846349.271299999</v>
          </cell>
          <cell r="M221">
            <v>85130.3</v>
          </cell>
          <cell r="V221">
            <v>221</v>
          </cell>
        </row>
        <row r="222">
          <cell r="B222">
            <v>36502</v>
          </cell>
          <cell r="C222" t="str">
            <v>Wilmington Preparatory Academy</v>
          </cell>
          <cell r="D222">
            <v>560379.66</v>
          </cell>
          <cell r="E222">
            <v>539505.5</v>
          </cell>
          <cell r="F222">
            <v>5876054.9932999983</v>
          </cell>
          <cell r="G222">
            <v>7778712.3083000015</v>
          </cell>
          <cell r="M222">
            <v>31806.739999999994</v>
          </cell>
          <cell r="V222">
            <v>222</v>
          </cell>
        </row>
        <row r="223">
          <cell r="B223">
            <v>36505</v>
          </cell>
          <cell r="C223" t="str">
            <v>Cape Fear Community College</v>
          </cell>
          <cell r="D223">
            <v>28826965.719999984</v>
          </cell>
          <cell r="E223">
            <v>29087117.839999989</v>
          </cell>
          <cell r="F223">
            <v>236703345.02600005</v>
          </cell>
          <cell r="G223">
            <v>314693107.06327885</v>
          </cell>
          <cell r="M223">
            <v>1739101.93</v>
          </cell>
          <cell r="V223">
            <v>223</v>
          </cell>
        </row>
        <row r="224">
          <cell r="B224">
            <v>36600</v>
          </cell>
          <cell r="C224" t="str">
            <v>Northampton County Schools</v>
          </cell>
          <cell r="D224">
            <v>11823180.790000005</v>
          </cell>
          <cell r="E224">
            <v>11393591.629999992</v>
          </cell>
          <cell r="F224">
            <v>93567183.885199919</v>
          </cell>
          <cell r="G224">
            <v>116482565.12861156</v>
          </cell>
          <cell r="M224">
            <v>670916.19999999995</v>
          </cell>
          <cell r="V224">
            <v>224</v>
          </cell>
        </row>
        <row r="225">
          <cell r="B225">
            <v>36601</v>
          </cell>
          <cell r="C225" t="str">
            <v>Gaston College Preparatory Charter</v>
          </cell>
          <cell r="D225">
            <v>3706030.3400000003</v>
          </cell>
          <cell r="E225">
            <v>4426537.1399999978</v>
          </cell>
          <cell r="F225">
            <v>39304146.120499998</v>
          </cell>
          <cell r="G225">
            <v>62609065.780770883</v>
          </cell>
          <cell r="M225">
            <v>264305.57</v>
          </cell>
          <cell r="V225">
            <v>225</v>
          </cell>
        </row>
        <row r="226">
          <cell r="B226">
            <v>36700</v>
          </cell>
          <cell r="C226" t="str">
            <v>Onslow County Schools</v>
          </cell>
          <cell r="D226">
            <v>119711175.93999976</v>
          </cell>
          <cell r="E226">
            <v>117141754.23999991</v>
          </cell>
          <cell r="F226">
            <v>1047976760.6706997</v>
          </cell>
          <cell r="G226">
            <v>1363004321.263164</v>
          </cell>
          <cell r="M226">
            <v>6720931.9200000009</v>
          </cell>
          <cell r="V226">
            <v>226</v>
          </cell>
        </row>
        <row r="227">
          <cell r="B227">
            <v>36701</v>
          </cell>
          <cell r="C227" t="str">
            <v>Zeca School Of The Arts And Technology</v>
          </cell>
          <cell r="D227">
            <v>325087.43</v>
          </cell>
          <cell r="E227">
            <v>473452.91000000003</v>
          </cell>
          <cell r="F227">
            <v>3247661.4950000001</v>
          </cell>
          <cell r="G227">
            <v>6984671.1623</v>
          </cell>
          <cell r="M227">
            <v>26841.470000000005</v>
          </cell>
          <cell r="V227">
            <v>227</v>
          </cell>
        </row>
        <row r="228">
          <cell r="B228">
            <v>36705</v>
          </cell>
          <cell r="C228" t="str">
            <v>Coastal Carolina Community College</v>
          </cell>
          <cell r="D228">
            <v>13786702.849999988</v>
          </cell>
          <cell r="E228">
            <v>13842596.460000001</v>
          </cell>
          <cell r="F228">
            <v>118717728.37600003</v>
          </cell>
          <cell r="G228">
            <v>158358736.23645002</v>
          </cell>
          <cell r="M228">
            <v>826433.60999999987</v>
          </cell>
          <cell r="V228">
            <v>228</v>
          </cell>
        </row>
        <row r="229">
          <cell r="B229">
            <v>36800</v>
          </cell>
          <cell r="C229" t="str">
            <v>Orange County Schools</v>
          </cell>
          <cell r="D229">
            <v>43797069.859999955</v>
          </cell>
          <cell r="E229">
            <v>45896753.31000001</v>
          </cell>
          <cell r="F229">
            <v>369240434.89219964</v>
          </cell>
          <cell r="G229">
            <v>515808782.89304972</v>
          </cell>
          <cell r="M229">
            <v>2640320.61</v>
          </cell>
          <cell r="V229">
            <v>229</v>
          </cell>
        </row>
        <row r="230">
          <cell r="B230">
            <v>36802</v>
          </cell>
          <cell r="C230" t="str">
            <v>Orange Charter School</v>
          </cell>
          <cell r="D230">
            <v>1012131.9400000003</v>
          </cell>
          <cell r="E230">
            <v>1024131.2600000001</v>
          </cell>
          <cell r="F230">
            <v>10932912.840900004</v>
          </cell>
          <cell r="G230">
            <v>13835151.160499997</v>
          </cell>
          <cell r="M230">
            <v>54759.369999999995</v>
          </cell>
          <cell r="V230">
            <v>230</v>
          </cell>
        </row>
        <row r="231">
          <cell r="B231">
            <v>36810</v>
          </cell>
          <cell r="C231" t="str">
            <v>Chapel Hill - Carboro City Schools</v>
          </cell>
          <cell r="D231">
            <v>82091462.299999923</v>
          </cell>
          <cell r="E231">
            <v>85427898.969999939</v>
          </cell>
          <cell r="F231">
            <v>725648211.6998986</v>
          </cell>
          <cell r="G231">
            <v>1009278391.727854</v>
          </cell>
          <cell r="M231">
            <v>4839997.24</v>
          </cell>
          <cell r="V231">
            <v>231</v>
          </cell>
        </row>
        <row r="232">
          <cell r="B232">
            <v>36900</v>
          </cell>
          <cell r="C232" t="str">
            <v>Pamlico County Schools</v>
          </cell>
          <cell r="D232">
            <v>8276477.8999999985</v>
          </cell>
          <cell r="E232">
            <v>8727933.4099999983</v>
          </cell>
          <cell r="F232">
            <v>68860717.255400002</v>
          </cell>
          <cell r="G232">
            <v>96356129.171299979</v>
          </cell>
          <cell r="M232">
            <v>507007.10000000003</v>
          </cell>
          <cell r="V232">
            <v>232</v>
          </cell>
        </row>
        <row r="233">
          <cell r="B233">
            <v>36901</v>
          </cell>
          <cell r="C233" t="str">
            <v>Arapahoe Charter School</v>
          </cell>
          <cell r="D233">
            <v>2546730.4500000002</v>
          </cell>
          <cell r="E233">
            <v>2816867.1299999994</v>
          </cell>
          <cell r="F233">
            <v>22593282.805899989</v>
          </cell>
          <cell r="G233">
            <v>31532940.005000003</v>
          </cell>
          <cell r="M233">
            <v>166782.29</v>
          </cell>
          <cell r="V233">
            <v>233</v>
          </cell>
        </row>
        <row r="234">
          <cell r="B234">
            <v>36905</v>
          </cell>
          <cell r="C234" t="str">
            <v>Pamlico Community College</v>
          </cell>
          <cell r="D234">
            <v>3291835.7600000012</v>
          </cell>
          <cell r="E234">
            <v>3036657.6600000006</v>
          </cell>
          <cell r="F234">
            <v>24846593.831100002</v>
          </cell>
          <cell r="G234">
            <v>28863283.236099988</v>
          </cell>
          <cell r="M234">
            <v>183315.44</v>
          </cell>
          <cell r="V234">
            <v>234</v>
          </cell>
        </row>
        <row r="235">
          <cell r="B235">
            <v>37000</v>
          </cell>
          <cell r="C235" t="str">
            <v>Elizabeth City And Pasquotank County Schools</v>
          </cell>
          <cell r="D235">
            <v>28283915.580000017</v>
          </cell>
          <cell r="E235">
            <v>29918337.110000029</v>
          </cell>
          <cell r="F235">
            <v>235091392.97449979</v>
          </cell>
          <cell r="G235">
            <v>332757912.24252808</v>
          </cell>
          <cell r="M235">
            <v>1733528.52</v>
          </cell>
          <cell r="V235">
            <v>235</v>
          </cell>
        </row>
        <row r="236">
          <cell r="B236">
            <v>37001</v>
          </cell>
          <cell r="C236" t="str">
            <v>N.E. ACADEMY OF AEROSPACE &amp; ADV.TECH</v>
          </cell>
          <cell r="D236">
            <v>0</v>
          </cell>
          <cell r="E236">
            <v>343321.99000000005</v>
          </cell>
          <cell r="F236">
            <v>0</v>
          </cell>
          <cell r="G236">
            <v>5375081.3422999987</v>
          </cell>
          <cell r="M236">
            <v>29411.79</v>
          </cell>
          <cell r="V236">
            <v>236</v>
          </cell>
        </row>
        <row r="237">
          <cell r="B237">
            <v>37005</v>
          </cell>
          <cell r="C237" t="str">
            <v>College Of The Albemarle</v>
          </cell>
          <cell r="D237">
            <v>7947206.5199999996</v>
          </cell>
          <cell r="E237">
            <v>7770150.4700000007</v>
          </cell>
          <cell r="F237">
            <v>61645795.853700005</v>
          </cell>
          <cell r="G237">
            <v>78274982.212499976</v>
          </cell>
          <cell r="M237">
            <v>463201.9</v>
          </cell>
          <cell r="V237">
            <v>237</v>
          </cell>
        </row>
        <row r="238">
          <cell r="B238">
            <v>37100</v>
          </cell>
          <cell r="C238" t="str">
            <v>Pender County Schools</v>
          </cell>
          <cell r="D238">
            <v>38430995.06999997</v>
          </cell>
          <cell r="E238">
            <v>39904202.460000046</v>
          </cell>
          <cell r="F238">
            <v>336470444.75389999</v>
          </cell>
          <cell r="G238">
            <v>469086413.25363415</v>
          </cell>
          <cell r="M238">
            <v>2336761.85</v>
          </cell>
          <cell r="V238">
            <v>238</v>
          </cell>
        </row>
        <row r="239">
          <cell r="B239">
            <v>37200</v>
          </cell>
          <cell r="C239" t="str">
            <v>Perquimans County Schools</v>
          </cell>
          <cell r="D239">
            <v>9499604.230000006</v>
          </cell>
          <cell r="E239">
            <v>9714594.7999999952</v>
          </cell>
          <cell r="F239">
            <v>79215399.174700037</v>
          </cell>
          <cell r="G239">
            <v>106077821.91629998</v>
          </cell>
          <cell r="M239">
            <v>567620.79999999993</v>
          </cell>
          <cell r="V239">
            <v>239</v>
          </cell>
        </row>
        <row r="240">
          <cell r="B240">
            <v>37300</v>
          </cell>
          <cell r="C240" t="str">
            <v>Person County Schools</v>
          </cell>
          <cell r="D240">
            <v>23288484.989999991</v>
          </cell>
          <cell r="E240">
            <v>23993814.67999997</v>
          </cell>
          <cell r="F240">
            <v>204621407.07539988</v>
          </cell>
          <cell r="G240">
            <v>278889167.66180271</v>
          </cell>
          <cell r="M240">
            <v>1419914.53</v>
          </cell>
          <cell r="V240">
            <v>240</v>
          </cell>
        </row>
        <row r="241">
          <cell r="B241">
            <v>37301</v>
          </cell>
          <cell r="C241" t="str">
            <v>Roxboro Community School</v>
          </cell>
          <cell r="D241">
            <v>2519270.84</v>
          </cell>
          <cell r="E241">
            <v>2604506.2000000002</v>
          </cell>
          <cell r="F241">
            <v>22298726.6503</v>
          </cell>
          <cell r="G241">
            <v>30536191.651600003</v>
          </cell>
          <cell r="M241">
            <v>143750.54999999999</v>
          </cell>
          <cell r="V241">
            <v>241</v>
          </cell>
        </row>
        <row r="242">
          <cell r="B242">
            <v>37305</v>
          </cell>
          <cell r="C242" t="str">
            <v>Piedmont Community College</v>
          </cell>
          <cell r="D242">
            <v>9427772.1599999983</v>
          </cell>
          <cell r="E242">
            <v>8940572.0300000012</v>
          </cell>
          <cell r="F242">
            <v>71251716.794399947</v>
          </cell>
          <cell r="G242">
            <v>81814079.883749932</v>
          </cell>
          <cell r="M242">
            <v>506041.13</v>
          </cell>
          <cell r="V242">
            <v>242</v>
          </cell>
        </row>
        <row r="243">
          <cell r="B243">
            <v>37400</v>
          </cell>
          <cell r="C243" t="str">
            <v>Pitt County Schools</v>
          </cell>
          <cell r="D243">
            <v>111901705.91000032</v>
          </cell>
          <cell r="E243">
            <v>113908109.3899996</v>
          </cell>
          <cell r="F243">
            <v>1015222513.2668983</v>
          </cell>
          <cell r="G243">
            <v>1375046115.4647663</v>
          </cell>
          <cell r="M243">
            <v>6548688.5199999996</v>
          </cell>
          <cell r="V243">
            <v>243</v>
          </cell>
        </row>
        <row r="244">
          <cell r="B244">
            <v>37405</v>
          </cell>
          <cell r="C244" t="str">
            <v>Pitt Community College</v>
          </cell>
          <cell r="D244">
            <v>25363928.390000012</v>
          </cell>
          <cell r="E244">
            <v>26844527.370000001</v>
          </cell>
          <cell r="F244">
            <v>217162532.4836998</v>
          </cell>
          <cell r="G244">
            <v>305333633.06653422</v>
          </cell>
          <cell r="M244">
            <v>1548872.51</v>
          </cell>
          <cell r="V244">
            <v>244</v>
          </cell>
        </row>
        <row r="245">
          <cell r="B245">
            <v>37500</v>
          </cell>
          <cell r="C245" t="str">
            <v>Polk County Schools</v>
          </cell>
          <cell r="D245">
            <v>14528971.859999998</v>
          </cell>
          <cell r="E245">
            <v>14478684.469999995</v>
          </cell>
          <cell r="F245">
            <v>118690091.12200011</v>
          </cell>
          <cell r="G245">
            <v>155277060.76849994</v>
          </cell>
          <cell r="M245">
            <v>841742.28</v>
          </cell>
          <cell r="V245">
            <v>245</v>
          </cell>
        </row>
        <row r="246">
          <cell r="B246">
            <v>37600</v>
          </cell>
          <cell r="C246" t="str">
            <v>Randolph County Schools</v>
          </cell>
          <cell r="D246">
            <v>81682815.009999752</v>
          </cell>
          <cell r="E246">
            <v>81665226.429999739</v>
          </cell>
          <cell r="F246">
            <v>713376818.49110115</v>
          </cell>
          <cell r="G246">
            <v>949215821.66498089</v>
          </cell>
          <cell r="M246">
            <v>4672122.43</v>
          </cell>
          <cell r="V246">
            <v>246</v>
          </cell>
        </row>
        <row r="247">
          <cell r="B247">
            <v>37601</v>
          </cell>
          <cell r="C247" t="str">
            <v>Uwharrie Charter Academy</v>
          </cell>
          <cell r="D247">
            <v>835420.74000000011</v>
          </cell>
          <cell r="E247">
            <v>2114213.23</v>
          </cell>
          <cell r="F247">
            <v>8570310.6278000027</v>
          </cell>
          <cell r="G247">
            <v>30084825.061999999</v>
          </cell>
          <cell r="M247">
            <v>125594.41</v>
          </cell>
          <cell r="V247">
            <v>247</v>
          </cell>
        </row>
        <row r="248">
          <cell r="B248">
            <v>37605</v>
          </cell>
          <cell r="C248" t="str">
            <v>Randolph Community College</v>
          </cell>
          <cell r="D248">
            <v>9562718.540000001</v>
          </cell>
          <cell r="E248">
            <v>9863149.0599999987</v>
          </cell>
          <cell r="F248">
            <v>81836905.871999949</v>
          </cell>
          <cell r="G248">
            <v>114348177.09332833</v>
          </cell>
          <cell r="M248">
            <v>581399.93999999994</v>
          </cell>
          <cell r="V248">
            <v>248</v>
          </cell>
        </row>
        <row r="249">
          <cell r="B249">
            <v>37610</v>
          </cell>
          <cell r="C249" t="str">
            <v>Asheboro City Schools</v>
          </cell>
          <cell r="D249">
            <v>24350927.729999993</v>
          </cell>
          <cell r="E249">
            <v>23483385.259999994</v>
          </cell>
          <cell r="F249">
            <v>228714052.10609978</v>
          </cell>
          <cell r="G249">
            <v>290741738.90029997</v>
          </cell>
          <cell r="M249">
            <v>1340299.8400000001</v>
          </cell>
          <cell r="V249">
            <v>249</v>
          </cell>
        </row>
        <row r="250">
          <cell r="B250">
            <v>37700</v>
          </cell>
          <cell r="C250" t="str">
            <v>Richmond County Schools</v>
          </cell>
          <cell r="D250">
            <v>34781088.399999917</v>
          </cell>
          <cell r="E250">
            <v>35867836.239999972</v>
          </cell>
          <cell r="F250">
            <v>296270128.56899995</v>
          </cell>
          <cell r="G250">
            <v>405573250.77566701</v>
          </cell>
          <cell r="M250">
            <v>2067469.7099999997</v>
          </cell>
          <cell r="V250">
            <v>250</v>
          </cell>
        </row>
        <row r="251">
          <cell r="B251">
            <v>37705</v>
          </cell>
          <cell r="C251" t="str">
            <v>Richmond Technical College</v>
          </cell>
          <cell r="D251">
            <v>10110215.08</v>
          </cell>
          <cell r="E251">
            <v>10587343.410000011</v>
          </cell>
          <cell r="F251">
            <v>85567069.112599939</v>
          </cell>
          <cell r="G251">
            <v>117724140.23142754</v>
          </cell>
          <cell r="M251">
            <v>613177.19000000006</v>
          </cell>
          <cell r="V251">
            <v>251</v>
          </cell>
        </row>
        <row r="252">
          <cell r="B252">
            <v>37800</v>
          </cell>
          <cell r="C252" t="str">
            <v>Robeson County Schools</v>
          </cell>
          <cell r="D252">
            <v>108356457.42000027</v>
          </cell>
          <cell r="E252">
            <v>110477153.28999995</v>
          </cell>
          <cell r="F252">
            <v>902323700.24900234</v>
          </cell>
          <cell r="G252">
            <v>1221532959.1897588</v>
          </cell>
          <cell r="M252">
            <v>6326977.4499999993</v>
          </cell>
          <cell r="V252">
            <v>252</v>
          </cell>
        </row>
        <row r="253">
          <cell r="B253">
            <v>37801</v>
          </cell>
          <cell r="C253" t="str">
            <v>Southeastern Academy Charter School</v>
          </cell>
          <cell r="D253">
            <v>637397.55999999994</v>
          </cell>
          <cell r="E253">
            <v>600184.69000000006</v>
          </cell>
          <cell r="F253">
            <v>6186088.5873000007</v>
          </cell>
          <cell r="G253">
            <v>7657240.9675000003</v>
          </cell>
          <cell r="M253">
            <v>38806.61</v>
          </cell>
          <cell r="V253">
            <v>253</v>
          </cell>
        </row>
        <row r="254">
          <cell r="B254">
            <v>37805</v>
          </cell>
          <cell r="C254" t="str">
            <v>Robeson Community College</v>
          </cell>
          <cell r="D254">
            <v>10648976.35</v>
          </cell>
          <cell r="E254">
            <v>9578945.2599999998</v>
          </cell>
          <cell r="F254">
            <v>84158159.942699954</v>
          </cell>
          <cell r="G254">
            <v>100100336.04870005</v>
          </cell>
          <cell r="M254">
            <v>541747.73</v>
          </cell>
          <cell r="V254">
            <v>254</v>
          </cell>
        </row>
        <row r="255">
          <cell r="B255">
            <v>37900</v>
          </cell>
          <cell r="C255" t="str">
            <v>Rockingham County Schools</v>
          </cell>
          <cell r="D255">
            <v>63788916.289999969</v>
          </cell>
          <cell r="E255">
            <v>62086132.349999972</v>
          </cell>
          <cell r="F255">
            <v>524759215.40360004</v>
          </cell>
          <cell r="G255">
            <v>664846029.47670257</v>
          </cell>
          <cell r="M255">
            <v>3565967.19</v>
          </cell>
          <cell r="V255">
            <v>255</v>
          </cell>
        </row>
        <row r="256">
          <cell r="B256">
            <v>37901</v>
          </cell>
          <cell r="C256" t="str">
            <v>Bethany Community Middle School</v>
          </cell>
          <cell r="D256">
            <v>780924.93</v>
          </cell>
          <cell r="E256">
            <v>832947.65000000026</v>
          </cell>
          <cell r="F256">
            <v>7018197.645299999</v>
          </cell>
          <cell r="G256">
            <v>9814330.6091000009</v>
          </cell>
          <cell r="M256">
            <v>42854.89</v>
          </cell>
          <cell r="V256">
            <v>256</v>
          </cell>
        </row>
        <row r="257">
          <cell r="B257">
            <v>37905</v>
          </cell>
          <cell r="C257" t="str">
            <v>Rockingham Community College</v>
          </cell>
          <cell r="D257">
            <v>7778931.8099999996</v>
          </cell>
          <cell r="E257">
            <v>7801983.4299999978</v>
          </cell>
          <cell r="F257">
            <v>57406366.161199987</v>
          </cell>
          <cell r="G257">
            <v>75719521.621150032</v>
          </cell>
          <cell r="M257">
            <v>449728.66</v>
          </cell>
          <cell r="V257">
            <v>257</v>
          </cell>
        </row>
        <row r="258">
          <cell r="B258">
            <v>38000</v>
          </cell>
          <cell r="C258" t="str">
            <v>Rowan-Salisbury School System</v>
          </cell>
          <cell r="D258">
            <v>93362198.820000276</v>
          </cell>
          <cell r="E258">
            <v>93746939.509999946</v>
          </cell>
          <cell r="F258">
            <v>793698172.59009814</v>
          </cell>
          <cell r="G258">
            <v>1063827735.6275914</v>
          </cell>
          <cell r="M258">
            <v>5413838.29</v>
          </cell>
          <cell r="V258">
            <v>258</v>
          </cell>
        </row>
        <row r="259">
          <cell r="B259">
            <v>38005</v>
          </cell>
          <cell r="C259" t="str">
            <v>Rowan-Cabarrus Community College</v>
          </cell>
          <cell r="D259">
            <v>19918552.10000002</v>
          </cell>
          <cell r="E259">
            <v>20810332.490000002</v>
          </cell>
          <cell r="F259">
            <v>161598615.2383002</v>
          </cell>
          <cell r="G259">
            <v>226478136.59690002</v>
          </cell>
          <cell r="M259">
            <v>1167285.67</v>
          </cell>
          <cell r="V259">
            <v>259</v>
          </cell>
        </row>
        <row r="260">
          <cell r="B260">
            <v>38100</v>
          </cell>
          <cell r="C260" t="str">
            <v>Rutherford County Schools</v>
          </cell>
          <cell r="D260">
            <v>43183112.209999971</v>
          </cell>
          <cell r="E260">
            <v>44237044.530000061</v>
          </cell>
          <cell r="F260">
            <v>360698115.76579976</v>
          </cell>
          <cell r="G260">
            <v>483787440.85721403</v>
          </cell>
          <cell r="M260">
            <v>2560035.0000000005</v>
          </cell>
          <cell r="V260">
            <v>260</v>
          </cell>
        </row>
        <row r="261">
          <cell r="B261">
            <v>38105</v>
          </cell>
          <cell r="C261" t="str">
            <v>Isothermal Community College</v>
          </cell>
          <cell r="D261">
            <v>8802007.5899999961</v>
          </cell>
          <cell r="E261">
            <v>9339358.4699999988</v>
          </cell>
          <cell r="F261">
            <v>75400891.181099996</v>
          </cell>
          <cell r="G261">
            <v>102012225.57402246</v>
          </cell>
          <cell r="M261">
            <v>525648.88000000012</v>
          </cell>
          <cell r="V261">
            <v>261</v>
          </cell>
        </row>
        <row r="262">
          <cell r="B262">
            <v>38200</v>
          </cell>
          <cell r="C262" t="str">
            <v>Sampson County Schools</v>
          </cell>
          <cell r="D262">
            <v>40974163.04999996</v>
          </cell>
          <cell r="E262">
            <v>41825389.139999889</v>
          </cell>
          <cell r="F262">
            <v>357751195.88000005</v>
          </cell>
          <cell r="G262">
            <v>476345202.25749987</v>
          </cell>
          <cell r="M262">
            <v>2394730.9</v>
          </cell>
          <cell r="V262">
            <v>262</v>
          </cell>
        </row>
        <row r="263">
          <cell r="B263">
            <v>38205</v>
          </cell>
          <cell r="C263" t="str">
            <v>Sampson Community College</v>
          </cell>
          <cell r="D263">
            <v>6809356.2499999991</v>
          </cell>
          <cell r="E263">
            <v>6738604.7900000019</v>
          </cell>
          <cell r="F263">
            <v>50760854.61150001</v>
          </cell>
          <cell r="G263">
            <v>65200642.752300002</v>
          </cell>
          <cell r="M263">
            <v>382844.23</v>
          </cell>
          <cell r="V263">
            <v>263</v>
          </cell>
        </row>
        <row r="264">
          <cell r="B264">
            <v>38210</v>
          </cell>
          <cell r="C264" t="str">
            <v>Clinton City Schools</v>
          </cell>
          <cell r="D264">
            <v>14910915.760000002</v>
          </cell>
          <cell r="E264">
            <v>15077834.040000003</v>
          </cell>
          <cell r="F264">
            <v>124967237.19019994</v>
          </cell>
          <cell r="G264">
            <v>174115813.97849998</v>
          </cell>
          <cell r="M264">
            <v>866001.07999999973</v>
          </cell>
          <cell r="V264">
            <v>264</v>
          </cell>
        </row>
        <row r="265">
          <cell r="B265">
            <v>38300</v>
          </cell>
          <cell r="C265" t="str">
            <v>Scotland County Schools</v>
          </cell>
          <cell r="D265">
            <v>33250291.189999994</v>
          </cell>
          <cell r="E265">
            <v>32869761.020000018</v>
          </cell>
          <cell r="F265">
            <v>277818315.56569958</v>
          </cell>
          <cell r="G265">
            <v>369430242.53882217</v>
          </cell>
          <cell r="M265">
            <v>1899623.67</v>
          </cell>
          <cell r="V265">
            <v>265</v>
          </cell>
        </row>
        <row r="266">
          <cell r="B266">
            <v>38400</v>
          </cell>
          <cell r="C266" t="str">
            <v>Stanly County Schools</v>
          </cell>
          <cell r="D266">
            <v>41381967.420000002</v>
          </cell>
          <cell r="E266">
            <v>40948904.550000034</v>
          </cell>
          <cell r="F266">
            <v>353675187.89529991</v>
          </cell>
          <cell r="G266">
            <v>458713322.32009977</v>
          </cell>
          <cell r="M266">
            <v>2338191.9500000002</v>
          </cell>
          <cell r="V266">
            <v>266</v>
          </cell>
        </row>
        <row r="267">
          <cell r="B267">
            <v>38402</v>
          </cell>
          <cell r="C267" t="str">
            <v>Gray Stone Day School</v>
          </cell>
          <cell r="D267">
            <v>1218280.83</v>
          </cell>
          <cell r="E267">
            <v>1315384.7700000005</v>
          </cell>
          <cell r="F267">
            <v>11651870.913300002</v>
          </cell>
          <cell r="G267">
            <v>16404845.884299995</v>
          </cell>
          <cell r="M267">
            <v>77575.659999999989</v>
          </cell>
          <cell r="V267">
            <v>267</v>
          </cell>
        </row>
        <row r="268">
          <cell r="B268">
            <v>38405</v>
          </cell>
          <cell r="C268" t="str">
            <v>Stanly Community College</v>
          </cell>
          <cell r="D268">
            <v>9663701.2000000142</v>
          </cell>
          <cell r="E268">
            <v>10006684.970000004</v>
          </cell>
          <cell r="F268">
            <v>85062473.5581</v>
          </cell>
          <cell r="G268">
            <v>117070466.92346326</v>
          </cell>
          <cell r="M268">
            <v>568260.92999999993</v>
          </cell>
          <cell r="V268">
            <v>268</v>
          </cell>
        </row>
        <row r="269">
          <cell r="B269">
            <v>38500</v>
          </cell>
          <cell r="C269" t="str">
            <v>Stokes County Schools</v>
          </cell>
          <cell r="D269">
            <v>33087526.24999997</v>
          </cell>
          <cell r="E269">
            <v>33024718.000000022</v>
          </cell>
          <cell r="F269">
            <v>283709400.18790001</v>
          </cell>
          <cell r="G269">
            <v>367779268.44990003</v>
          </cell>
          <cell r="M269">
            <v>1881183.72</v>
          </cell>
          <cell r="V269">
            <v>269</v>
          </cell>
        </row>
        <row r="270">
          <cell r="B270">
            <v>38600</v>
          </cell>
          <cell r="C270" t="str">
            <v>Surry County Schools</v>
          </cell>
          <cell r="D270">
            <v>40057872.370000042</v>
          </cell>
          <cell r="E270">
            <v>40492841.820000008</v>
          </cell>
          <cell r="F270">
            <v>347133163.2832002</v>
          </cell>
          <cell r="G270">
            <v>450038630.31700045</v>
          </cell>
          <cell r="M270">
            <v>2319120.38</v>
          </cell>
          <cell r="V270">
            <v>270</v>
          </cell>
        </row>
        <row r="271">
          <cell r="B271">
            <v>38601</v>
          </cell>
          <cell r="C271" t="str">
            <v>Bridges Charter Schools</v>
          </cell>
          <cell r="D271">
            <v>513466.89</v>
          </cell>
          <cell r="E271">
            <v>503972.35</v>
          </cell>
          <cell r="F271">
            <v>4986086.0928000007</v>
          </cell>
          <cell r="G271">
            <v>6343044.9625999983</v>
          </cell>
          <cell r="M271">
            <v>27891.790000000005</v>
          </cell>
          <cell r="V271">
            <v>271</v>
          </cell>
        </row>
        <row r="272">
          <cell r="B272">
            <v>38602</v>
          </cell>
          <cell r="C272" t="str">
            <v>Millennium Charter Academy</v>
          </cell>
          <cell r="D272">
            <v>2035596.7999999991</v>
          </cell>
          <cell r="E272">
            <v>2406930.850000001</v>
          </cell>
          <cell r="F272">
            <v>18149306.434799999</v>
          </cell>
          <cell r="G272">
            <v>28381714.315299999</v>
          </cell>
          <cell r="M272">
            <v>139367.79000000004</v>
          </cell>
          <cell r="V272">
            <v>272</v>
          </cell>
        </row>
        <row r="273">
          <cell r="B273">
            <v>38605</v>
          </cell>
          <cell r="C273" t="str">
            <v>Surry Community College</v>
          </cell>
          <cell r="D273">
            <v>11438038.360000035</v>
          </cell>
          <cell r="E273">
            <v>11448381.560000028</v>
          </cell>
          <cell r="F273">
            <v>94828334.557799995</v>
          </cell>
          <cell r="G273">
            <v>126935357.52603805</v>
          </cell>
          <cell r="M273">
            <v>658377.12999999989</v>
          </cell>
          <cell r="V273">
            <v>273</v>
          </cell>
        </row>
        <row r="274">
          <cell r="B274">
            <v>38610</v>
          </cell>
          <cell r="C274" t="str">
            <v>Mount Airy City Schools</v>
          </cell>
          <cell r="D274">
            <v>8890998.370000001</v>
          </cell>
          <cell r="E274">
            <v>8723212.9699999988</v>
          </cell>
          <cell r="F274">
            <v>70998858.683700025</v>
          </cell>
          <cell r="G274">
            <v>94146473.734893695</v>
          </cell>
          <cell r="M274">
            <v>506704.94000000006</v>
          </cell>
          <cell r="V274">
            <v>274</v>
          </cell>
        </row>
        <row r="275">
          <cell r="B275">
            <v>38620</v>
          </cell>
          <cell r="C275" t="str">
            <v>Elkin City Schools</v>
          </cell>
          <cell r="D275">
            <v>6833302.9399999995</v>
          </cell>
          <cell r="E275">
            <v>7242311.8899999987</v>
          </cell>
          <cell r="F275">
            <v>58085682.29989998</v>
          </cell>
          <cell r="G275">
            <v>78110918.488299996</v>
          </cell>
          <cell r="M275">
            <v>408218.96</v>
          </cell>
          <cell r="V275">
            <v>275</v>
          </cell>
        </row>
        <row r="276">
          <cell r="B276">
            <v>38700</v>
          </cell>
          <cell r="C276" t="str">
            <v>Swain County Schools</v>
          </cell>
          <cell r="D276">
            <v>11268823.930000007</v>
          </cell>
          <cell r="E276">
            <v>11830318.769999996</v>
          </cell>
          <cell r="F276">
            <v>96961019.411199942</v>
          </cell>
          <cell r="G276">
            <v>134614575.16590005</v>
          </cell>
          <cell r="M276">
            <v>695262.58</v>
          </cell>
          <cell r="V276">
            <v>276</v>
          </cell>
        </row>
        <row r="277">
          <cell r="B277">
            <v>38701</v>
          </cell>
          <cell r="C277" t="str">
            <v>Mountain Discovery Charter</v>
          </cell>
          <cell r="D277">
            <v>820089.14000000013</v>
          </cell>
          <cell r="E277">
            <v>838007.07999999984</v>
          </cell>
          <cell r="F277">
            <v>6984409.6221000012</v>
          </cell>
          <cell r="G277">
            <v>8612914.3969999999</v>
          </cell>
          <cell r="M277">
            <v>46407.740000000005</v>
          </cell>
          <cell r="V277">
            <v>277</v>
          </cell>
        </row>
        <row r="278">
          <cell r="B278">
            <v>38800</v>
          </cell>
          <cell r="C278" t="str">
            <v>Transylvania County Schools</v>
          </cell>
          <cell r="D278">
            <v>19983453.780000027</v>
          </cell>
          <cell r="E278">
            <v>20528974.84999999</v>
          </cell>
          <cell r="F278">
            <v>172151942.25239989</v>
          </cell>
          <cell r="G278">
            <v>234270874.67191151</v>
          </cell>
          <cell r="M278">
            <v>1183559.3500000001</v>
          </cell>
          <cell r="V278">
            <v>278</v>
          </cell>
        </row>
        <row r="279">
          <cell r="B279">
            <v>38801</v>
          </cell>
          <cell r="C279" t="str">
            <v>Brevard Academy Charter School</v>
          </cell>
          <cell r="D279">
            <v>898938.9</v>
          </cell>
          <cell r="E279">
            <v>1091578.8099999996</v>
          </cell>
          <cell r="F279">
            <v>9481104.9682</v>
          </cell>
          <cell r="G279">
            <v>15967793.701299999</v>
          </cell>
          <cell r="M279">
            <v>67668.319999999992</v>
          </cell>
          <cell r="V279">
            <v>279</v>
          </cell>
        </row>
        <row r="280">
          <cell r="B280">
            <v>38900</v>
          </cell>
          <cell r="C280" t="str">
            <v>Tyrrell County Schools</v>
          </cell>
          <cell r="D280">
            <v>4364451.68</v>
          </cell>
          <cell r="E280">
            <v>4694135.16</v>
          </cell>
          <cell r="F280">
            <v>34923798.645199992</v>
          </cell>
          <cell r="G280">
            <v>52229110.774300009</v>
          </cell>
          <cell r="M280">
            <v>248292.71999999997</v>
          </cell>
          <cell r="V280">
            <v>280</v>
          </cell>
        </row>
        <row r="281">
          <cell r="B281">
            <v>39000</v>
          </cell>
          <cell r="C281" t="str">
            <v>Union County Schools</v>
          </cell>
          <cell r="D281">
            <v>190647668.46999985</v>
          </cell>
          <cell r="E281">
            <v>197758811.1799998</v>
          </cell>
          <cell r="F281">
            <v>1750621017.5796063</v>
          </cell>
          <cell r="G281">
            <v>2369137246.5597515</v>
          </cell>
          <cell r="M281">
            <v>11453925.499999998</v>
          </cell>
          <cell r="V281">
            <v>281</v>
          </cell>
        </row>
        <row r="282">
          <cell r="B282">
            <v>39100</v>
          </cell>
          <cell r="C282" t="str">
            <v>Vance County Schools</v>
          </cell>
          <cell r="D282">
            <v>34259285.379999943</v>
          </cell>
          <cell r="E282">
            <v>34567866.200000018</v>
          </cell>
          <cell r="F282">
            <v>271532880.98360014</v>
          </cell>
          <cell r="G282">
            <v>363455087.54461664</v>
          </cell>
          <cell r="M282">
            <v>2025289.7299999997</v>
          </cell>
          <cell r="V282">
            <v>282</v>
          </cell>
        </row>
        <row r="283">
          <cell r="B283">
            <v>39101</v>
          </cell>
          <cell r="C283" t="str">
            <v>Vance Charter School</v>
          </cell>
          <cell r="D283">
            <v>2177496.3699999996</v>
          </cell>
          <cell r="E283">
            <v>2334424.14</v>
          </cell>
          <cell r="F283">
            <v>18404018.759900007</v>
          </cell>
          <cell r="G283">
            <v>25911098.315099992</v>
          </cell>
          <cell r="M283">
            <v>131441.69</v>
          </cell>
          <cell r="V283">
            <v>283</v>
          </cell>
        </row>
        <row r="284">
          <cell r="B284">
            <v>39105</v>
          </cell>
          <cell r="C284" t="str">
            <v>Vance-Granville Community College</v>
          </cell>
          <cell r="D284">
            <v>13688532.530000007</v>
          </cell>
          <cell r="E284">
            <v>13797491.369999997</v>
          </cell>
          <cell r="F284">
            <v>112008866.23739998</v>
          </cell>
          <cell r="G284">
            <v>150078304.02877954</v>
          </cell>
          <cell r="M284">
            <v>804936.95000000007</v>
          </cell>
          <cell r="V284">
            <v>284</v>
          </cell>
        </row>
        <row r="285">
          <cell r="B285">
            <v>39200</v>
          </cell>
          <cell r="C285" t="str">
            <v>Wake County Schools</v>
          </cell>
          <cell r="D285">
            <v>761649414.85998964</v>
          </cell>
          <cell r="E285">
            <v>801554623.66998684</v>
          </cell>
          <cell r="F285">
            <v>6819007778.1695232</v>
          </cell>
          <cell r="G285">
            <v>9571225636.3460255</v>
          </cell>
          <cell r="M285">
            <v>47022986.980000004</v>
          </cell>
          <cell r="V285">
            <v>285</v>
          </cell>
        </row>
        <row r="286">
          <cell r="B286">
            <v>39201</v>
          </cell>
          <cell r="C286" t="str">
            <v>Endeavor Charter School</v>
          </cell>
          <cell r="D286">
            <v>1937844.0899999996</v>
          </cell>
          <cell r="E286">
            <v>2039344.5000000002</v>
          </cell>
          <cell r="F286">
            <v>21167081.140799999</v>
          </cell>
          <cell r="G286">
            <v>30491247.617300011</v>
          </cell>
          <cell r="M286">
            <v>119094.57</v>
          </cell>
          <cell r="V286">
            <v>286</v>
          </cell>
        </row>
        <row r="287">
          <cell r="B287">
            <v>39204</v>
          </cell>
          <cell r="C287" t="str">
            <v>Southern Wake Academy</v>
          </cell>
          <cell r="D287">
            <v>1197555.01</v>
          </cell>
          <cell r="E287">
            <v>1435585.1600000004</v>
          </cell>
          <cell r="F287">
            <v>13042614.8125</v>
          </cell>
          <cell r="G287">
            <v>19834743.711599998</v>
          </cell>
          <cell r="M287">
            <v>90124.459999999992</v>
          </cell>
          <cell r="V287">
            <v>287</v>
          </cell>
        </row>
        <row r="288">
          <cell r="B288">
            <v>39205</v>
          </cell>
          <cell r="C288" t="str">
            <v>Wake Technical College</v>
          </cell>
          <cell r="D288">
            <v>63844071.410000034</v>
          </cell>
          <cell r="E288">
            <v>68393645.809999987</v>
          </cell>
          <cell r="F288">
            <v>521547953.68370003</v>
          </cell>
          <cell r="G288">
            <v>745561686.77654827</v>
          </cell>
          <cell r="M288">
            <v>4030820.8299999996</v>
          </cell>
          <cell r="V288">
            <v>288</v>
          </cell>
        </row>
        <row r="289">
          <cell r="B289">
            <v>39208</v>
          </cell>
          <cell r="C289" t="str">
            <v>East Wake Academy</v>
          </cell>
          <cell r="D289">
            <v>4247247.47</v>
          </cell>
          <cell r="E289">
            <v>4537560.049999998</v>
          </cell>
          <cell r="F289">
            <v>43372862.843100026</v>
          </cell>
          <cell r="G289">
            <v>61438280.4956</v>
          </cell>
          <cell r="M289">
            <v>255686.84999999998</v>
          </cell>
          <cell r="V289">
            <v>289</v>
          </cell>
        </row>
        <row r="290">
          <cell r="B290">
            <v>39209</v>
          </cell>
          <cell r="C290" t="str">
            <v>Casa Esperanza Montessori</v>
          </cell>
          <cell r="D290">
            <v>1850462.0099999995</v>
          </cell>
          <cell r="E290">
            <v>2186947.2299999995</v>
          </cell>
          <cell r="F290">
            <v>19835204.991799999</v>
          </cell>
          <cell r="G290">
            <v>30282722.122099999</v>
          </cell>
          <cell r="M290">
            <v>125458.52</v>
          </cell>
          <cell r="V290">
            <v>290</v>
          </cell>
        </row>
        <row r="291">
          <cell r="B291">
            <v>39300</v>
          </cell>
          <cell r="C291" t="str">
            <v>Warren County Schools</v>
          </cell>
          <cell r="D291">
            <v>12981046.279999994</v>
          </cell>
          <cell r="E291">
            <v>13365534.219999993</v>
          </cell>
          <cell r="F291">
            <v>105374481.47899997</v>
          </cell>
          <cell r="G291">
            <v>143888381.35777506</v>
          </cell>
          <cell r="M291">
            <v>752832.02</v>
          </cell>
          <cell r="V291">
            <v>291</v>
          </cell>
        </row>
        <row r="292">
          <cell r="B292">
            <v>39301</v>
          </cell>
          <cell r="C292" t="str">
            <v>Haliwa-Saponi Tribal Charter</v>
          </cell>
          <cell r="D292">
            <v>702751.4600000002</v>
          </cell>
          <cell r="E292">
            <v>722763.86</v>
          </cell>
          <cell r="F292">
            <v>6683961.976999999</v>
          </cell>
          <cell r="G292">
            <v>8247477.8591000019</v>
          </cell>
          <cell r="M292">
            <v>43539.86</v>
          </cell>
          <cell r="V292">
            <v>292</v>
          </cell>
        </row>
        <row r="293">
          <cell r="B293">
            <v>39400</v>
          </cell>
          <cell r="C293" t="str">
            <v>Washington County Schools</v>
          </cell>
          <cell r="D293">
            <v>9643449.1900000032</v>
          </cell>
          <cell r="E293">
            <v>9595562.179999996</v>
          </cell>
          <cell r="F293">
            <v>73616912.124099985</v>
          </cell>
          <cell r="G293">
            <v>96844541.096299961</v>
          </cell>
          <cell r="M293">
            <v>550640.34</v>
          </cell>
          <cell r="V293">
            <v>293</v>
          </cell>
        </row>
        <row r="294">
          <cell r="B294">
            <v>39401</v>
          </cell>
          <cell r="C294" t="str">
            <v>Henderson Collegiate Charter School</v>
          </cell>
          <cell r="D294">
            <v>1451889.09</v>
          </cell>
          <cell r="E294">
            <v>2125000.5299999989</v>
          </cell>
          <cell r="F294">
            <v>16786869.914900005</v>
          </cell>
          <cell r="G294">
            <v>33551726.885499999</v>
          </cell>
          <cell r="M294">
            <v>139832.41999999998</v>
          </cell>
          <cell r="V294">
            <v>294</v>
          </cell>
        </row>
        <row r="295">
          <cell r="B295">
            <v>39500</v>
          </cell>
          <cell r="C295" t="str">
            <v>Watauga County Schools</v>
          </cell>
          <cell r="D295">
            <v>25549609.91</v>
          </cell>
          <cell r="E295">
            <v>25922978.730000019</v>
          </cell>
          <cell r="F295">
            <v>216404304.2802003</v>
          </cell>
          <cell r="G295">
            <v>293719126.91107219</v>
          </cell>
          <cell r="M295">
            <v>1489020.64</v>
          </cell>
          <cell r="V295">
            <v>295</v>
          </cell>
        </row>
        <row r="296">
          <cell r="B296">
            <v>39501</v>
          </cell>
          <cell r="C296" t="str">
            <v>Two Rivers Community School</v>
          </cell>
          <cell r="D296">
            <v>893460.40999999992</v>
          </cell>
          <cell r="E296">
            <v>832761.98999999976</v>
          </cell>
          <cell r="F296">
            <v>8644717.6546999998</v>
          </cell>
          <cell r="G296">
            <v>9666635.809249999</v>
          </cell>
          <cell r="M296">
            <v>47281.659999999996</v>
          </cell>
          <cell r="V296">
            <v>296</v>
          </cell>
        </row>
        <row r="297">
          <cell r="B297">
            <v>39600</v>
          </cell>
          <cell r="C297" t="str">
            <v>Wayne County Schools</v>
          </cell>
          <cell r="D297">
            <v>85906727.890000015</v>
          </cell>
          <cell r="E297">
            <v>87409006.83999984</v>
          </cell>
          <cell r="F297">
            <v>710508566.16589868</v>
          </cell>
          <cell r="G297">
            <v>949163875.94100547</v>
          </cell>
          <cell r="M297">
            <v>5039145.9999999991</v>
          </cell>
          <cell r="V297">
            <v>297</v>
          </cell>
        </row>
        <row r="298">
          <cell r="B298">
            <v>39605</v>
          </cell>
          <cell r="C298" t="str">
            <v>Wayne Community College</v>
          </cell>
          <cell r="D298">
            <v>13188727.540000005</v>
          </cell>
          <cell r="E298">
            <v>13057119.070000004</v>
          </cell>
          <cell r="F298">
            <v>104881992.38679998</v>
          </cell>
          <cell r="G298">
            <v>136584894.22963971</v>
          </cell>
          <cell r="M298">
            <v>763935.26000000013</v>
          </cell>
          <cell r="V298">
            <v>298</v>
          </cell>
        </row>
        <row r="299">
          <cell r="B299">
            <v>39700</v>
          </cell>
          <cell r="C299" t="str">
            <v>Wilkes County Schools</v>
          </cell>
          <cell r="D299">
            <v>49093707.789999977</v>
          </cell>
          <cell r="E299">
            <v>50024277.060000062</v>
          </cell>
          <cell r="F299">
            <v>432520649.78840041</v>
          </cell>
          <cell r="G299">
            <v>575175662.19549978</v>
          </cell>
          <cell r="M299">
            <v>2876157.31</v>
          </cell>
          <cell r="V299">
            <v>299</v>
          </cell>
        </row>
        <row r="300">
          <cell r="B300">
            <v>39703</v>
          </cell>
          <cell r="C300" t="str">
            <v>Pinnacle Classical Academy</v>
          </cell>
          <cell r="D300">
            <v>934413.28000000014</v>
          </cell>
          <cell r="E300">
            <v>1235890.25</v>
          </cell>
          <cell r="F300">
            <v>9573447.0162000004</v>
          </cell>
          <cell r="G300">
            <v>17925342.557399999</v>
          </cell>
          <cell r="M300">
            <v>73239.760000000009</v>
          </cell>
          <cell r="V300">
            <v>300</v>
          </cell>
        </row>
        <row r="301">
          <cell r="B301">
            <v>39705</v>
          </cell>
          <cell r="C301" t="str">
            <v>Wilkes Community College</v>
          </cell>
          <cell r="D301">
            <v>12218429.58</v>
          </cell>
          <cell r="E301">
            <v>12760252.279999996</v>
          </cell>
          <cell r="F301">
            <v>98422805.129699931</v>
          </cell>
          <cell r="G301">
            <v>134980747.61914989</v>
          </cell>
          <cell r="M301">
            <v>732158.12</v>
          </cell>
          <cell r="V301">
            <v>301</v>
          </cell>
        </row>
        <row r="302">
          <cell r="B302">
            <v>39800</v>
          </cell>
          <cell r="C302" t="str">
            <v>Wilson County Schools</v>
          </cell>
          <cell r="D302">
            <v>55933788.470000021</v>
          </cell>
          <cell r="E302">
            <v>56969445.149999999</v>
          </cell>
          <cell r="F302">
            <v>485916403.00089908</v>
          </cell>
          <cell r="G302">
            <v>636552998.30438864</v>
          </cell>
          <cell r="M302">
            <v>3274399.4299999992</v>
          </cell>
          <cell r="V302">
            <v>302</v>
          </cell>
        </row>
        <row r="303">
          <cell r="B303">
            <v>39805</v>
          </cell>
          <cell r="C303" t="str">
            <v>Wilson Community College</v>
          </cell>
          <cell r="D303">
            <v>6840307.2700000098</v>
          </cell>
          <cell r="E303">
            <v>6996756.6699999981</v>
          </cell>
          <cell r="F303">
            <v>54232943.107400022</v>
          </cell>
          <cell r="G303">
            <v>71594491.994422868</v>
          </cell>
          <cell r="M303">
            <v>415480.67</v>
          </cell>
          <cell r="V303">
            <v>303</v>
          </cell>
        </row>
        <row r="304">
          <cell r="B304">
            <v>39900</v>
          </cell>
          <cell r="C304" t="str">
            <v>Yadkin County Schools</v>
          </cell>
          <cell r="D304">
            <v>28016785.089999966</v>
          </cell>
          <cell r="E304">
            <v>28981653.340000022</v>
          </cell>
          <cell r="F304">
            <v>236605083.61979997</v>
          </cell>
          <cell r="G304">
            <v>314396250.08479983</v>
          </cell>
          <cell r="M304">
            <v>1665447.19</v>
          </cell>
          <cell r="V304">
            <v>304</v>
          </cell>
        </row>
        <row r="305">
          <cell r="B305">
            <v>40000</v>
          </cell>
          <cell r="C305" t="str">
            <v>Consolidated Judicial Retirement System</v>
          </cell>
          <cell r="D305">
            <v>58246712.150000252</v>
          </cell>
          <cell r="E305">
            <v>68245416.099999994</v>
          </cell>
          <cell r="F305">
            <v>322339173.42939967</v>
          </cell>
          <cell r="G305">
            <v>509405989.16756624</v>
          </cell>
          <cell r="M305">
            <v>3870056.6</v>
          </cell>
          <cell r="V305">
            <v>305</v>
          </cell>
        </row>
        <row r="306">
          <cell r="B306">
            <v>51000</v>
          </cell>
          <cell r="C306" t="str">
            <v>Highway - Administrative</v>
          </cell>
          <cell r="D306">
            <v>516632772.63999844</v>
          </cell>
          <cell r="E306">
            <v>517068074.63000035</v>
          </cell>
          <cell r="F306">
            <v>3856998675.9863172</v>
          </cell>
          <cell r="G306">
            <v>4795804738.3380404</v>
          </cell>
          <cell r="M306">
            <v>28186402.90469946</v>
          </cell>
          <cell r="V306">
            <v>306</v>
          </cell>
        </row>
        <row r="307">
          <cell r="B307">
            <v>60000</v>
          </cell>
          <cell r="C307" t="str">
            <v>Legislative Retirement System</v>
          </cell>
          <cell r="D307">
            <v>3480312.46108949</v>
          </cell>
          <cell r="E307">
            <v>3577761.2099999958</v>
          </cell>
          <cell r="F307">
            <v>18168347.144803762</v>
          </cell>
          <cell r="G307">
            <v>24436426.90976106</v>
          </cell>
          <cell r="M307">
            <v>202482.98</v>
          </cell>
          <cell r="V307">
            <v>307</v>
          </cell>
        </row>
        <row r="308">
          <cell r="B308">
            <v>90901</v>
          </cell>
          <cell r="C308" t="str">
            <v>BLADEN COUNTY</v>
          </cell>
          <cell r="D308">
            <v>12515089.329999994</v>
          </cell>
          <cell r="E308">
            <v>11590746.199999994</v>
          </cell>
          <cell r="F308">
            <v>101585339.71730012</v>
          </cell>
          <cell r="G308">
            <v>121726805.52031019</v>
          </cell>
          <cell r="M308">
            <v>739032.75</v>
          </cell>
          <cell r="V308">
            <v>308</v>
          </cell>
        </row>
        <row r="309">
          <cell r="B309">
            <v>91041</v>
          </cell>
          <cell r="C309" t="str">
            <v>TOWN OF SUNSET BEACH</v>
          </cell>
          <cell r="D309">
            <v>2052996.7000000002</v>
          </cell>
          <cell r="E309">
            <v>1903519.8499999999</v>
          </cell>
          <cell r="F309">
            <v>18423033.021899998</v>
          </cell>
          <cell r="G309">
            <v>22076590.634999998</v>
          </cell>
          <cell r="M309">
            <v>118940.75</v>
          </cell>
          <cell r="V309">
            <v>309</v>
          </cell>
        </row>
        <row r="310">
          <cell r="B310">
            <v>91111</v>
          </cell>
          <cell r="C310" t="str">
            <v>TOWN OF BILTMORE FOREST</v>
          </cell>
          <cell r="D310">
            <v>1304370.94</v>
          </cell>
          <cell r="E310">
            <v>1313182.8800000004</v>
          </cell>
          <cell r="F310">
            <v>10251385.783499997</v>
          </cell>
          <cell r="G310">
            <v>11927687.519399997</v>
          </cell>
          <cell r="M310">
            <v>78071.010000000009</v>
          </cell>
          <cell r="V310">
            <v>310</v>
          </cell>
        </row>
        <row r="311">
          <cell r="B311">
            <v>91151</v>
          </cell>
          <cell r="C311" t="str">
            <v>TOWN OF BLACK MOUNTAIN</v>
          </cell>
          <cell r="D311">
            <v>3014976.4899999998</v>
          </cell>
          <cell r="E311">
            <v>3061219.0699999989</v>
          </cell>
          <cell r="F311">
            <v>26484554.139599994</v>
          </cell>
          <cell r="G311">
            <v>34714498.57093589</v>
          </cell>
          <cell r="M311">
            <v>180532</v>
          </cell>
          <cell r="V311">
            <v>311</v>
          </cell>
        </row>
        <row r="312">
          <cell r="B312">
            <v>98101</v>
          </cell>
          <cell r="C312" t="str">
            <v>RUTHERFORD COUNTY</v>
          </cell>
          <cell r="D312">
            <v>14351736.530000001</v>
          </cell>
          <cell r="E312">
            <v>14678204.360000007</v>
          </cell>
          <cell r="F312">
            <v>118117157.41689992</v>
          </cell>
          <cell r="G312">
            <v>157660588.45182958</v>
          </cell>
          <cell r="M312">
            <v>910108.62999999989</v>
          </cell>
          <cell r="V312">
            <v>312</v>
          </cell>
        </row>
        <row r="313">
          <cell r="B313">
            <v>98103</v>
          </cell>
          <cell r="C313" t="str">
            <v>RUTHERFORD POLK MCDOWELL DIST BRD OF HEALTH</v>
          </cell>
          <cell r="D313">
            <v>3323433.9099999983</v>
          </cell>
          <cell r="E313">
            <v>3153137.0500000007</v>
          </cell>
          <cell r="F313">
            <v>25177216.456699997</v>
          </cell>
          <cell r="G313">
            <v>31727401.273866609</v>
          </cell>
          <cell r="M313">
            <v>195983.55000000002</v>
          </cell>
          <cell r="V313">
            <v>313</v>
          </cell>
        </row>
        <row r="314">
          <cell r="B314">
            <v>98111</v>
          </cell>
          <cell r="C314" t="str">
            <v>TOWN OF FOREST CITY</v>
          </cell>
          <cell r="D314">
            <v>5254881.5899999989</v>
          </cell>
          <cell r="E314">
            <v>5413019.1199999982</v>
          </cell>
          <cell r="F314">
            <v>45440376.601999998</v>
          </cell>
          <cell r="G314">
            <v>60001728.72075171</v>
          </cell>
          <cell r="M314">
            <v>315543.51999999996</v>
          </cell>
          <cell r="V314">
            <v>314</v>
          </cell>
        </row>
        <row r="315">
          <cell r="B315">
            <v>98131</v>
          </cell>
          <cell r="C315" t="str">
            <v>TOWN OF LAKE LURE</v>
          </cell>
          <cell r="D315">
            <v>1390849.2300000002</v>
          </cell>
          <cell r="E315">
            <v>1643984.0100000002</v>
          </cell>
          <cell r="F315">
            <v>12213426.577499995</v>
          </cell>
          <cell r="G315">
            <v>16897171.661800001</v>
          </cell>
          <cell r="M315">
            <v>92959.1</v>
          </cell>
          <cell r="V315">
            <v>315</v>
          </cell>
        </row>
        <row r="316">
          <cell r="B316">
            <v>99401</v>
          </cell>
          <cell r="C316" t="str">
            <v>WASHINGTON COUNTY</v>
          </cell>
          <cell r="D316">
            <v>5176794.7299999967</v>
          </cell>
          <cell r="E316">
            <v>5152816.6399999987</v>
          </cell>
          <cell r="F316">
            <v>39414615.532899983</v>
          </cell>
          <cell r="G316">
            <v>51757330.603164405</v>
          </cell>
          <cell r="M316">
            <v>317353.44</v>
          </cell>
          <cell r="V316">
            <v>316</v>
          </cell>
        </row>
        <row r="317">
          <cell r="B317">
            <v>99521</v>
          </cell>
          <cell r="C317" t="str">
            <v>TOWN OF BLOWING ROCK</v>
          </cell>
          <cell r="D317">
            <v>1995396.3399999999</v>
          </cell>
          <cell r="E317">
            <v>1946333.6400000004</v>
          </cell>
          <cell r="F317">
            <v>18443253.3299</v>
          </cell>
          <cell r="G317">
            <v>23032820.853925698</v>
          </cell>
          <cell r="M317">
            <v>125012.06</v>
          </cell>
          <cell r="R317" t="str">
            <v>False</v>
          </cell>
          <cell r="V317">
            <v>317</v>
          </cell>
        </row>
        <row r="318">
          <cell r="B318">
            <v>99831</v>
          </cell>
          <cell r="C318" t="str">
            <v>TOWN OF BLACK CREEK</v>
          </cell>
          <cell r="D318">
            <v>252746.16</v>
          </cell>
          <cell r="E318">
            <v>277867.58999999997</v>
          </cell>
          <cell r="F318">
            <v>2108571.2378000002</v>
          </cell>
          <cell r="G318">
            <v>2935521.3997</v>
          </cell>
          <cell r="M318">
            <v>19565.890000000003</v>
          </cell>
          <cell r="R318" t="str">
            <v>False</v>
          </cell>
          <cell r="V318">
            <v>318</v>
          </cell>
        </row>
      </sheetData>
      <sheetData sheetId="16">
        <row r="12">
          <cell r="P12">
            <v>1</v>
          </cell>
        </row>
      </sheetData>
      <sheetData sheetId="17"/>
      <sheetData sheetId="18"/>
      <sheetData sheetId="19"/>
      <sheetData sheetId="20"/>
      <sheetData sheetId="21"/>
      <sheetData sheetId="22">
        <row r="8">
          <cell r="L8">
            <v>1</v>
          </cell>
        </row>
      </sheetData>
      <sheetData sheetId="23">
        <row r="16">
          <cell r="B16">
            <v>10200</v>
          </cell>
          <cell r="C16" t="str">
            <v>North Carolina Education Lottery</v>
          </cell>
          <cell r="D16">
            <v>9.2975964199316333E-4</v>
          </cell>
          <cell r="E16">
            <v>1608700.9717741364</v>
          </cell>
          <cell r="F16">
            <v>1254341.0405541244</v>
          </cell>
          <cell r="G16">
            <v>21319</v>
          </cell>
          <cell r="H16">
            <v>-448884.73357642355</v>
          </cell>
          <cell r="I16">
            <v>-18575.697230208028</v>
          </cell>
          <cell r="J16">
            <v>1357518.5607777569</v>
          </cell>
          <cell r="K16">
            <v>0</v>
          </cell>
          <cell r="L16">
            <v>-71326.278781496105</v>
          </cell>
          <cell r="M16">
            <v>12800.011833711942</v>
          </cell>
          <cell r="N16">
            <v>482.5266590016119</v>
          </cell>
          <cell r="O16">
            <v>-217.75900575121878</v>
          </cell>
          <cell r="P16">
            <v>0</v>
          </cell>
          <cell r="Q16">
            <v>0</v>
          </cell>
          <cell r="R16">
            <v>0</v>
          </cell>
          <cell r="S16">
            <v>3716157.6430048523</v>
          </cell>
          <cell r="T16">
            <v>106594.64999999991</v>
          </cell>
          <cell r="U16">
            <v>6787592.8038887838</v>
          </cell>
          <cell r="V16">
            <v>51200.047334847768</v>
          </cell>
          <cell r="W16">
            <v>0</v>
          </cell>
          <cell r="X16">
            <v>6945387.5012236312</v>
          </cell>
          <cell r="Y16">
            <v>0</v>
          </cell>
          <cell r="Z16">
            <v>0</v>
          </cell>
          <cell r="AA16">
            <v>0</v>
          </cell>
          <cell r="AB16">
            <v>92878.486151040124</v>
          </cell>
          <cell r="AC16">
            <v>92878.486151040124</v>
          </cell>
          <cell r="AD16" t="str">
            <v>N/A</v>
          </cell>
          <cell r="AE16">
            <v>1373062</v>
          </cell>
          <cell r="AF16">
            <v>1373062</v>
          </cell>
          <cell r="AG16">
            <v>1373062</v>
          </cell>
          <cell r="AH16">
            <v>1373062</v>
          </cell>
          <cell r="AI16">
            <v>1360262</v>
          </cell>
          <cell r="AJ16">
            <v>0</v>
          </cell>
          <cell r="AK16">
            <v>6852510</v>
          </cell>
          <cell r="AL16">
            <v>30717456</v>
          </cell>
          <cell r="AM16">
            <v>3716157.6430048523</v>
          </cell>
          <cell r="AN16">
            <v>-838417.64999999991</v>
          </cell>
          <cell r="AO16">
            <v>6745914.3650725922</v>
          </cell>
          <cell r="AP16">
            <v>0</v>
          </cell>
          <cell r="AQ16">
            <v>106594.64999999991</v>
          </cell>
          <cell r="AR16">
            <v>0</v>
          </cell>
          <cell r="AS16">
            <v>0</v>
          </cell>
          <cell r="AT16">
            <v>40447705.008077443</v>
          </cell>
          <cell r="AU16">
            <v>9.2649452119676168E-4</v>
          </cell>
          <cell r="AV16">
            <v>0</v>
          </cell>
          <cell r="AW16">
            <v>0</v>
          </cell>
          <cell r="AY16">
            <v>0</v>
          </cell>
          <cell r="AZ16">
            <v>0</v>
          </cell>
          <cell r="BA16">
            <v>0</v>
          </cell>
          <cell r="BB16">
            <v>0</v>
          </cell>
          <cell r="BC16">
            <v>0</v>
          </cell>
          <cell r="BD16">
            <v>0</v>
          </cell>
          <cell r="BE16">
            <v>0</v>
          </cell>
          <cell r="BF16">
            <v>0</v>
          </cell>
          <cell r="BG16">
            <v>0</v>
          </cell>
          <cell r="BH16">
            <v>0</v>
          </cell>
          <cell r="BJ16">
            <v>0</v>
          </cell>
          <cell r="BL16">
            <v>0</v>
          </cell>
          <cell r="BM16">
            <v>0</v>
          </cell>
          <cell r="BN16">
            <v>0</v>
          </cell>
          <cell r="BO16">
            <v>0</v>
          </cell>
          <cell r="BQ16">
            <v>0</v>
          </cell>
          <cell r="BR16">
            <v>0</v>
          </cell>
          <cell r="BS16">
            <v>0</v>
          </cell>
          <cell r="BT16">
            <v>0</v>
          </cell>
          <cell r="CB16">
            <v>0</v>
          </cell>
          <cell r="CC16">
            <v>0</v>
          </cell>
          <cell r="CD16">
            <v>0</v>
          </cell>
          <cell r="CE16">
            <v>0</v>
          </cell>
          <cell r="CF16">
            <v>0</v>
          </cell>
          <cell r="CI16">
            <v>0</v>
          </cell>
          <cell r="CJ16">
            <v>0</v>
          </cell>
          <cell r="CK16">
            <v>0</v>
          </cell>
          <cell r="CV16">
            <v>9.2975964199316333E-4</v>
          </cell>
          <cell r="DG16">
            <v>40447705</v>
          </cell>
          <cell r="DR16">
            <v>14107712.330000008</v>
          </cell>
          <cell r="EC16">
            <v>2.867063351865212</v>
          </cell>
          <cell r="EN16">
            <v>2.4095909012463064E-2</v>
          </cell>
        </row>
        <row r="17">
          <cell r="B17" t="str">
            <v>SPA</v>
          </cell>
          <cell r="C17" t="str">
            <v>NC State Ports Authority (subset of DOT)</v>
          </cell>
          <cell r="D17">
            <v>6.0591550498597594E-4</v>
          </cell>
          <cell r="E17">
            <v>1048375.1043381204</v>
          </cell>
          <cell r="F17">
            <v>817442.11157917243</v>
          </cell>
          <cell r="G17">
            <v>161699</v>
          </cell>
          <cell r="H17">
            <v>-292533.90633560531</v>
          </cell>
          <cell r="I17">
            <v>-12105.604996555499</v>
          </cell>
          <cell r="J17">
            <v>884681.91899378877</v>
          </cell>
          <cell r="K17">
            <v>0</v>
          </cell>
          <cell r="L17">
            <v>-46482.65667244191</v>
          </cell>
          <cell r="M17">
            <v>8341.6458230255903</v>
          </cell>
          <cell r="N17">
            <v>314.45802877762179</v>
          </cell>
          <cell r="O17">
            <v>-141.91147042276543</v>
          </cell>
          <cell r="P17">
            <v>0</v>
          </cell>
          <cell r="Q17">
            <v>0</v>
          </cell>
          <cell r="R17">
            <v>0</v>
          </cell>
          <cell r="S17">
            <v>2569590.1592878592</v>
          </cell>
          <cell r="T17">
            <v>808493.76502732246</v>
          </cell>
          <cell r="U17">
            <v>4423409.5949689439</v>
          </cell>
          <cell r="V17">
            <v>33366.583292102361</v>
          </cell>
          <cell r="W17">
            <v>0</v>
          </cell>
          <cell r="X17">
            <v>5265269.9432883691</v>
          </cell>
          <cell r="Y17">
            <v>0</v>
          </cell>
          <cell r="Z17">
            <v>0</v>
          </cell>
          <cell r="AA17">
            <v>0</v>
          </cell>
          <cell r="AB17">
            <v>60528.024982777497</v>
          </cell>
          <cell r="AC17">
            <v>60528.024982777497</v>
          </cell>
          <cell r="AD17" t="str">
            <v>N/A</v>
          </cell>
          <cell r="AE17">
            <v>1042617</v>
          </cell>
          <cell r="AF17">
            <v>1042616</v>
          </cell>
          <cell r="AG17">
            <v>1042616</v>
          </cell>
          <cell r="AH17">
            <v>1042616</v>
          </cell>
          <cell r="AI17">
            <v>1034274</v>
          </cell>
          <cell r="AJ17">
            <v>0</v>
          </cell>
          <cell r="AK17">
            <v>5204739</v>
          </cell>
          <cell r="AL17">
            <v>19275112</v>
          </cell>
          <cell r="AM17">
            <v>2569590.1592878592</v>
          </cell>
          <cell r="AN17">
            <v>-690060.76502732246</v>
          </cell>
          <cell r="AO17">
            <v>4396248.1532782689</v>
          </cell>
          <cell r="AP17">
            <v>0</v>
          </cell>
          <cell r="AQ17">
            <v>808493.76502732246</v>
          </cell>
          <cell r="AR17">
            <v>0</v>
          </cell>
          <cell r="AS17">
            <v>0</v>
          </cell>
          <cell r="AT17">
            <v>26359383.312566128</v>
          </cell>
          <cell r="AU17">
            <v>5.8137255472740955E-4</v>
          </cell>
          <cell r="AV17">
            <v>0</v>
          </cell>
          <cell r="AW17">
            <v>0</v>
          </cell>
          <cell r="AY17">
            <v>0</v>
          </cell>
          <cell r="AZ17">
            <v>0</v>
          </cell>
          <cell r="BA17">
            <v>0</v>
          </cell>
          <cell r="BB17">
            <v>0</v>
          </cell>
          <cell r="BC17">
            <v>0</v>
          </cell>
          <cell r="BD17">
            <v>0</v>
          </cell>
          <cell r="BE17">
            <v>0</v>
          </cell>
          <cell r="BF17">
            <v>0</v>
          </cell>
          <cell r="BG17">
            <v>0</v>
          </cell>
          <cell r="BH17">
            <v>0</v>
          </cell>
          <cell r="BJ17">
            <v>0</v>
          </cell>
          <cell r="BL17">
            <v>0</v>
          </cell>
          <cell r="BM17">
            <v>0</v>
          </cell>
          <cell r="BN17">
            <v>0</v>
          </cell>
          <cell r="BO17">
            <v>0</v>
          </cell>
          <cell r="BQ17">
            <v>0</v>
          </cell>
          <cell r="BR17">
            <v>0</v>
          </cell>
          <cell r="BS17">
            <v>0</v>
          </cell>
          <cell r="BT17">
            <v>0</v>
          </cell>
          <cell r="CB17">
            <v>0</v>
          </cell>
          <cell r="CC17">
            <v>0</v>
          </cell>
          <cell r="CD17">
            <v>0</v>
          </cell>
          <cell r="CE17">
            <v>0</v>
          </cell>
          <cell r="CF17">
            <v>0</v>
          </cell>
          <cell r="CI17">
            <v>0</v>
          </cell>
          <cell r="CJ17">
            <v>0</v>
          </cell>
          <cell r="CK17">
            <v>0</v>
          </cell>
          <cell r="CV17">
            <v>6.0591550498597594E-4</v>
          </cell>
          <cell r="DG17">
            <v>26359384</v>
          </cell>
          <cell r="DR17">
            <v>11585996.839999992</v>
          </cell>
          <cell r="EC17">
            <v>2.2751071283737736</v>
          </cell>
          <cell r="EN17">
            <v>2.4095909012463064E-2</v>
          </cell>
        </row>
        <row r="18">
          <cell r="B18" t="str">
            <v>GTPA</v>
          </cell>
          <cell r="C18" t="str">
            <v>NC Global TransPark Authority (subset of DOT)</v>
          </cell>
          <cell r="D18">
            <v>1.522404319666764E-5</v>
          </cell>
          <cell r="E18">
            <v>26341.144505163142</v>
          </cell>
          <cell r="F18">
            <v>20538.794460697234</v>
          </cell>
          <cell r="G18">
            <v>-7164</v>
          </cell>
          <cell r="H18">
            <v>-7350.1153046847003</v>
          </cell>
          <cell r="I18">
            <v>-304.16163949067806</v>
          </cell>
          <cell r="J18">
            <v>22228.240801304451</v>
          </cell>
          <cell r="K18">
            <v>0</v>
          </cell>
          <cell r="L18">
            <v>-1167.908672502952</v>
          </cell>
          <cell r="M18">
            <v>209.58958022370311</v>
          </cell>
          <cell r="N18">
            <v>7.9009739382065716</v>
          </cell>
          <cell r="O18">
            <v>-3.5656231570915278</v>
          </cell>
          <cell r="P18">
            <v>0</v>
          </cell>
          <cell r="Q18">
            <v>0</v>
          </cell>
          <cell r="R18">
            <v>0</v>
          </cell>
          <cell r="S18">
            <v>53335.919081491324</v>
          </cell>
          <cell r="T18">
            <v>9694.6502732240442</v>
          </cell>
          <cell r="U18">
            <v>111141.20400652227</v>
          </cell>
          <cell r="V18">
            <v>838.35832089481244</v>
          </cell>
          <cell r="W18">
            <v>0</v>
          </cell>
          <cell r="X18">
            <v>121674.21260064113</v>
          </cell>
          <cell r="Y18">
            <v>45516</v>
          </cell>
          <cell r="Z18">
            <v>0</v>
          </cell>
          <cell r="AA18">
            <v>0</v>
          </cell>
          <cell r="AB18">
            <v>1520.8081974533902</v>
          </cell>
          <cell r="AC18">
            <v>47036.808197453392</v>
          </cell>
          <cell r="AD18" t="str">
            <v>N/A</v>
          </cell>
          <cell r="AE18">
            <v>14970</v>
          </cell>
          <cell r="AF18">
            <v>14970</v>
          </cell>
          <cell r="AG18">
            <v>14970</v>
          </cell>
          <cell r="AH18">
            <v>14970</v>
          </cell>
          <cell r="AI18">
            <v>14760</v>
          </cell>
          <cell r="AJ18">
            <v>0</v>
          </cell>
          <cell r="AK18">
            <v>74640</v>
          </cell>
          <cell r="AL18">
            <v>559364</v>
          </cell>
          <cell r="AM18">
            <v>53335.919081491324</v>
          </cell>
          <cell r="AN18">
            <v>-25039.650273224044</v>
          </cell>
          <cell r="AO18">
            <v>110458.75412996369</v>
          </cell>
          <cell r="AP18">
            <v>0</v>
          </cell>
          <cell r="AQ18">
            <v>-35821.349726775952</v>
          </cell>
          <cell r="AR18">
            <v>0</v>
          </cell>
          <cell r="AS18">
            <v>0</v>
          </cell>
          <cell r="AT18">
            <v>662297.67321145511</v>
          </cell>
          <cell r="AU18">
            <v>1.6871427572934688E-5</v>
          </cell>
          <cell r="AV18">
            <v>0</v>
          </cell>
          <cell r="AW18">
            <v>0</v>
          </cell>
          <cell r="AY18">
            <v>0</v>
          </cell>
          <cell r="AZ18">
            <v>0</v>
          </cell>
          <cell r="BA18">
            <v>0</v>
          </cell>
          <cell r="BB18">
            <v>0</v>
          </cell>
          <cell r="BC18">
            <v>0</v>
          </cell>
          <cell r="BD18">
            <v>0</v>
          </cell>
          <cell r="BE18">
            <v>0</v>
          </cell>
          <cell r="BF18">
            <v>0</v>
          </cell>
          <cell r="BG18">
            <v>0</v>
          </cell>
          <cell r="BH18">
            <v>0</v>
          </cell>
          <cell r="BJ18">
            <v>0</v>
          </cell>
          <cell r="BL18">
            <v>0</v>
          </cell>
          <cell r="BM18">
            <v>0</v>
          </cell>
          <cell r="BN18">
            <v>0</v>
          </cell>
          <cell r="BO18">
            <v>0</v>
          </cell>
          <cell r="BQ18">
            <v>0</v>
          </cell>
          <cell r="BR18">
            <v>0</v>
          </cell>
          <cell r="BS18">
            <v>0</v>
          </cell>
          <cell r="BT18">
            <v>0</v>
          </cell>
          <cell r="CB18">
            <v>0</v>
          </cell>
          <cell r="CC18">
            <v>0</v>
          </cell>
          <cell r="CD18">
            <v>0</v>
          </cell>
          <cell r="CE18">
            <v>0</v>
          </cell>
          <cell r="CF18">
            <v>0</v>
          </cell>
          <cell r="CI18">
            <v>0</v>
          </cell>
          <cell r="CJ18">
            <v>0</v>
          </cell>
          <cell r="CK18">
            <v>0</v>
          </cell>
          <cell r="CV18">
            <v>1.522404319666764E-5</v>
          </cell>
          <cell r="DG18">
            <v>662298</v>
          </cell>
          <cell r="DR18">
            <v>413152.68</v>
          </cell>
          <cell r="EC18">
            <v>1.6030345004660262</v>
          </cell>
          <cell r="EN18">
            <v>2.4095909012463064E-2</v>
          </cell>
        </row>
        <row r="19">
          <cell r="B19" t="str">
            <v>SEAA</v>
          </cell>
          <cell r="C19" t="str">
            <v>State Education Assistance Authority (subset of UNC General Administration)</v>
          </cell>
          <cell r="D19">
            <v>9.683277732053869E-5</v>
          </cell>
          <cell r="E19">
            <v>167543.28316638697</v>
          </cell>
          <cell r="F19">
            <v>130637.34020935645</v>
          </cell>
          <cell r="G19">
            <v>-23095</v>
          </cell>
          <cell r="H19">
            <v>-46750.529368874006</v>
          </cell>
          <cell r="I19">
            <v>-1934.6251140891181</v>
          </cell>
          <cell r="J19">
            <v>141383.09146489849</v>
          </cell>
          <cell r="K19">
            <v>0</v>
          </cell>
          <cell r="L19">
            <v>-7428.5023337268731</v>
          </cell>
          <cell r="M19">
            <v>1333.0979745872887</v>
          </cell>
          <cell r="N19">
            <v>50.254274773813172</v>
          </cell>
          <cell r="O19">
            <v>-22.679204776243367</v>
          </cell>
          <cell r="P19">
            <v>0</v>
          </cell>
          <cell r="Q19">
            <v>0</v>
          </cell>
          <cell r="R19">
            <v>0</v>
          </cell>
          <cell r="S19">
            <v>361715.73106853681</v>
          </cell>
          <cell r="T19">
            <v>24352.601092896177</v>
          </cell>
          <cell r="U19">
            <v>706915.45732449251</v>
          </cell>
          <cell r="V19">
            <v>5332.3918983491549</v>
          </cell>
          <cell r="W19">
            <v>0</v>
          </cell>
          <cell r="X19">
            <v>736600.45031573786</v>
          </cell>
          <cell r="Y19">
            <v>139827</v>
          </cell>
          <cell r="Z19">
            <v>0</v>
          </cell>
          <cell r="AA19">
            <v>0</v>
          </cell>
          <cell r="AB19">
            <v>9673.1255704455907</v>
          </cell>
          <cell r="AC19">
            <v>149500.12557044558</v>
          </cell>
          <cell r="AD19" t="str">
            <v>N/A</v>
          </cell>
          <cell r="AE19">
            <v>117688</v>
          </cell>
          <cell r="AF19">
            <v>117686</v>
          </cell>
          <cell r="AG19">
            <v>117686</v>
          </cell>
          <cell r="AH19">
            <v>117686</v>
          </cell>
          <cell r="AI19">
            <v>116352</v>
          </cell>
          <cell r="AJ19">
            <v>0</v>
          </cell>
          <cell r="AK19">
            <v>587098</v>
          </cell>
          <cell r="AL19">
            <v>3378234</v>
          </cell>
          <cell r="AM19">
            <v>361715.73106853681</v>
          </cell>
          <cell r="AN19">
            <v>-114494.60109289618</v>
          </cell>
          <cell r="AO19">
            <v>702574.72365239612</v>
          </cell>
          <cell r="AP19">
            <v>0</v>
          </cell>
          <cell r="AQ19">
            <v>-115474.39890710382</v>
          </cell>
          <cell r="AR19">
            <v>0</v>
          </cell>
          <cell r="AS19">
            <v>0</v>
          </cell>
          <cell r="AT19">
            <v>4212555.454720933</v>
          </cell>
          <cell r="AU19">
            <v>1.0189371226110923E-4</v>
          </cell>
          <cell r="AV19">
            <v>0</v>
          </cell>
          <cell r="AW19">
            <v>0</v>
          </cell>
          <cell r="AY19">
            <v>0</v>
          </cell>
          <cell r="AZ19">
            <v>0</v>
          </cell>
          <cell r="BA19">
            <v>0</v>
          </cell>
          <cell r="BB19">
            <v>0</v>
          </cell>
          <cell r="BC19">
            <v>0</v>
          </cell>
          <cell r="BD19">
            <v>0</v>
          </cell>
          <cell r="BE19">
            <v>0</v>
          </cell>
          <cell r="BF19">
            <v>0</v>
          </cell>
          <cell r="BG19">
            <v>0</v>
          </cell>
          <cell r="BH19">
            <v>0</v>
          </cell>
          <cell r="BJ19">
            <v>0</v>
          </cell>
          <cell r="BL19">
            <v>0</v>
          </cell>
          <cell r="BM19">
            <v>0</v>
          </cell>
          <cell r="BN19">
            <v>0</v>
          </cell>
          <cell r="BO19">
            <v>0</v>
          </cell>
          <cell r="BQ19">
            <v>0</v>
          </cell>
          <cell r="BR19">
            <v>0</v>
          </cell>
          <cell r="BS19">
            <v>0</v>
          </cell>
          <cell r="BT19">
            <v>0</v>
          </cell>
          <cell r="CB19">
            <v>0</v>
          </cell>
          <cell r="CC19">
            <v>0</v>
          </cell>
          <cell r="CD19">
            <v>0</v>
          </cell>
          <cell r="CE19">
            <v>0</v>
          </cell>
          <cell r="CF19">
            <v>0</v>
          </cell>
          <cell r="CI19">
            <v>0</v>
          </cell>
          <cell r="CJ19">
            <v>0</v>
          </cell>
          <cell r="CK19">
            <v>0</v>
          </cell>
          <cell r="CV19">
            <v>9.683277732053869E-5</v>
          </cell>
          <cell r="DG19">
            <v>4212555</v>
          </cell>
          <cell r="DR19">
            <v>1806684.4100000004</v>
          </cell>
          <cell r="EC19">
            <v>2.3316496100168371</v>
          </cell>
          <cell r="EN19">
            <v>2.4095909012463064E-2</v>
          </cell>
        </row>
        <row r="20">
          <cell r="B20" t="str">
            <v>SHP</v>
          </cell>
          <cell r="C20" t="str">
            <v>State Health Plan (subset of Department of Treasurer)</v>
          </cell>
          <cell r="D20">
            <v>1.2782000866170282E-4</v>
          </cell>
          <cell r="E20">
            <v>221158.41864834551</v>
          </cell>
          <cell r="F20">
            <v>172442.29091795365</v>
          </cell>
          <cell r="G20">
            <v>115</v>
          </cell>
          <cell r="H20">
            <v>-61711.057290940706</v>
          </cell>
          <cell r="I20">
            <v>-2553.7199869983365</v>
          </cell>
          <cell r="J20">
            <v>186626.76498310638</v>
          </cell>
          <cell r="K20">
            <v>0</v>
          </cell>
          <cell r="L20">
            <v>-9805.6800487850178</v>
          </cell>
          <cell r="M20">
            <v>1759.6995498186934</v>
          </cell>
          <cell r="N20">
            <v>66.336028095250526</v>
          </cell>
          <cell r="O20">
            <v>-29.936724228657418</v>
          </cell>
          <cell r="P20">
            <v>0</v>
          </cell>
          <cell r="Q20">
            <v>0</v>
          </cell>
          <cell r="R20">
            <v>0</v>
          </cell>
          <cell r="S20">
            <v>508068.1160763668</v>
          </cell>
          <cell r="T20">
            <v>34436.103825136641</v>
          </cell>
          <cell r="U20">
            <v>933133.82491553191</v>
          </cell>
          <cell r="V20">
            <v>7038.7981992747737</v>
          </cell>
          <cell r="W20">
            <v>0</v>
          </cell>
          <cell r="X20">
            <v>974608.72693994339</v>
          </cell>
          <cell r="Y20">
            <v>33862</v>
          </cell>
          <cell r="Z20">
            <v>0</v>
          </cell>
          <cell r="AA20">
            <v>0</v>
          </cell>
          <cell r="AB20">
            <v>12768.599934991682</v>
          </cell>
          <cell r="AC20">
            <v>46630.599934991682</v>
          </cell>
          <cell r="AD20" t="str">
            <v>N/A</v>
          </cell>
          <cell r="AE20">
            <v>185948</v>
          </cell>
          <cell r="AF20">
            <v>185947</v>
          </cell>
          <cell r="AG20">
            <v>185947</v>
          </cell>
          <cell r="AH20">
            <v>185947</v>
          </cell>
          <cell r="AI20">
            <v>184187</v>
          </cell>
          <cell r="AJ20">
            <v>0</v>
          </cell>
          <cell r="AK20">
            <v>927976</v>
          </cell>
          <cell r="AL20">
            <v>4278442</v>
          </cell>
          <cell r="AM20">
            <v>508068.1160763668</v>
          </cell>
          <cell r="AN20">
            <v>-153883.10382513664</v>
          </cell>
          <cell r="AO20">
            <v>927404.02317981503</v>
          </cell>
          <cell r="AP20">
            <v>0</v>
          </cell>
          <cell r="AQ20">
            <v>574.10382513664081</v>
          </cell>
          <cell r="AR20">
            <v>0</v>
          </cell>
          <cell r="AS20">
            <v>0</v>
          </cell>
          <cell r="AT20">
            <v>5560605.1392561821</v>
          </cell>
          <cell r="AU20">
            <v>1.2904562970872618E-4</v>
          </cell>
          <cell r="AV20">
            <v>0</v>
          </cell>
          <cell r="AW20">
            <v>0</v>
          </cell>
          <cell r="AY20">
            <v>0</v>
          </cell>
          <cell r="AZ20">
            <v>0</v>
          </cell>
          <cell r="BA20">
            <v>0</v>
          </cell>
          <cell r="BB20">
            <v>0</v>
          </cell>
          <cell r="BC20">
            <v>0</v>
          </cell>
          <cell r="BD20">
            <v>0</v>
          </cell>
          <cell r="BE20">
            <v>0</v>
          </cell>
          <cell r="BF20">
            <v>0</v>
          </cell>
          <cell r="BG20">
            <v>0</v>
          </cell>
          <cell r="BH20">
            <v>0</v>
          </cell>
          <cell r="BJ20">
            <v>0</v>
          </cell>
          <cell r="BL20">
            <v>0</v>
          </cell>
          <cell r="BM20">
            <v>0</v>
          </cell>
          <cell r="BN20">
            <v>0</v>
          </cell>
          <cell r="BO20">
            <v>0</v>
          </cell>
          <cell r="BQ20">
            <v>0</v>
          </cell>
          <cell r="BR20">
            <v>0</v>
          </cell>
          <cell r="BS20">
            <v>0</v>
          </cell>
          <cell r="BT20">
            <v>0</v>
          </cell>
          <cell r="CB20">
            <v>0</v>
          </cell>
          <cell r="CC20">
            <v>0</v>
          </cell>
          <cell r="CD20">
            <v>0</v>
          </cell>
          <cell r="CE20">
            <v>0</v>
          </cell>
          <cell r="CF20">
            <v>0</v>
          </cell>
          <cell r="CI20">
            <v>0</v>
          </cell>
          <cell r="CJ20">
            <v>0</v>
          </cell>
          <cell r="CK20">
            <v>0</v>
          </cell>
          <cell r="CV20">
            <v>1.2782000866170282E-4</v>
          </cell>
          <cell r="DG20">
            <v>5560605</v>
          </cell>
          <cell r="DR20">
            <v>2028909.9300000002</v>
          </cell>
          <cell r="EC20">
            <v>2.740685980081925</v>
          </cell>
          <cell r="EN20">
            <v>2.4095909012463064E-2</v>
          </cell>
        </row>
        <row r="21">
          <cell r="B21">
            <v>10400</v>
          </cell>
          <cell r="C21" t="str">
            <v>Department Of Justice</v>
          </cell>
          <cell r="D21">
            <v>2.7120260227884259E-3</v>
          </cell>
          <cell r="E21">
            <v>4692437.3798196847</v>
          </cell>
          <cell r="F21">
            <v>3658801.0382357636</v>
          </cell>
          <cell r="G21">
            <v>-97610</v>
          </cell>
          <cell r="H21">
            <v>-1309356.7667466705</v>
          </cell>
          <cell r="I21">
            <v>-54183.653499700398</v>
          </cell>
          <cell r="J21">
            <v>3959760.6703546713</v>
          </cell>
          <cell r="K21">
            <v>0</v>
          </cell>
          <cell r="L21">
            <v>-208052.39916565636</v>
          </cell>
          <cell r="M21">
            <v>37336.49388201972</v>
          </cell>
          <cell r="N21">
            <v>1407.4872653067373</v>
          </cell>
          <cell r="O21">
            <v>-635.18361479727719</v>
          </cell>
          <cell r="P21">
            <v>0</v>
          </cell>
          <cell r="Q21">
            <v>0</v>
          </cell>
          <cell r="R21">
            <v>0</v>
          </cell>
          <cell r="S21">
            <v>10679905.066530623</v>
          </cell>
          <cell r="T21">
            <v>270493.90999999922</v>
          </cell>
          <cell r="U21">
            <v>19798803.351773355</v>
          </cell>
          <cell r="V21">
            <v>149345.97552807888</v>
          </cell>
          <cell r="W21">
            <v>0</v>
          </cell>
          <cell r="X21">
            <v>20218643.237301435</v>
          </cell>
          <cell r="Y21">
            <v>758542</v>
          </cell>
          <cell r="Z21">
            <v>0</v>
          </cell>
          <cell r="AA21">
            <v>0</v>
          </cell>
          <cell r="AB21">
            <v>270918.26749850198</v>
          </cell>
          <cell r="AC21">
            <v>1029460.267498502</v>
          </cell>
          <cell r="AD21" t="str">
            <v>N/A</v>
          </cell>
          <cell r="AE21">
            <v>3845305</v>
          </cell>
          <cell r="AF21">
            <v>3845304</v>
          </cell>
          <cell r="AG21">
            <v>3845304</v>
          </cell>
          <cell r="AH21">
            <v>3845304</v>
          </cell>
          <cell r="AI21">
            <v>3807967</v>
          </cell>
          <cell r="AJ21">
            <v>0</v>
          </cell>
          <cell r="AK21">
            <v>19189184</v>
          </cell>
          <cell r="AL21">
            <v>90826099</v>
          </cell>
          <cell r="AM21">
            <v>10679905.066530623</v>
          </cell>
          <cell r="AN21">
            <v>-2712836.9099999992</v>
          </cell>
          <cell r="AO21">
            <v>19677231.059802935</v>
          </cell>
          <cell r="AP21">
            <v>0</v>
          </cell>
          <cell r="AQ21">
            <v>-488048.09000000078</v>
          </cell>
          <cell r="AR21">
            <v>0</v>
          </cell>
          <cell r="AS21">
            <v>0</v>
          </cell>
          <cell r="AT21">
            <v>117982350.12633355</v>
          </cell>
          <cell r="AU21">
            <v>2.7394808535894772E-3</v>
          </cell>
          <cell r="AV21">
            <v>0</v>
          </cell>
          <cell r="AW21">
            <v>0</v>
          </cell>
          <cell r="AY21">
            <v>0</v>
          </cell>
          <cell r="AZ21">
            <v>0</v>
          </cell>
          <cell r="BA21">
            <v>0</v>
          </cell>
          <cell r="BB21">
            <v>0</v>
          </cell>
          <cell r="BC21">
            <v>0</v>
          </cell>
          <cell r="BD21">
            <v>0</v>
          </cell>
          <cell r="BE21">
            <v>0</v>
          </cell>
          <cell r="BF21">
            <v>0</v>
          </cell>
          <cell r="BG21">
            <v>0</v>
          </cell>
          <cell r="BH21">
            <v>0</v>
          </cell>
          <cell r="BJ21">
            <v>0</v>
          </cell>
          <cell r="BL21">
            <v>0</v>
          </cell>
          <cell r="BM21">
            <v>0</v>
          </cell>
          <cell r="BN21">
            <v>0</v>
          </cell>
          <cell r="BO21">
            <v>0</v>
          </cell>
          <cell r="BQ21">
            <v>0</v>
          </cell>
          <cell r="BR21">
            <v>0</v>
          </cell>
          <cell r="BS21">
            <v>0</v>
          </cell>
          <cell r="BT21">
            <v>0</v>
          </cell>
          <cell r="CB21">
            <v>0</v>
          </cell>
          <cell r="CC21">
            <v>0</v>
          </cell>
          <cell r="CD21">
            <v>0</v>
          </cell>
          <cell r="CE21">
            <v>0</v>
          </cell>
          <cell r="CF21">
            <v>0</v>
          </cell>
          <cell r="CI21">
            <v>0</v>
          </cell>
          <cell r="CJ21">
            <v>0</v>
          </cell>
          <cell r="CK21">
            <v>0</v>
          </cell>
          <cell r="CV21">
            <v>2.7120260227884259E-3</v>
          </cell>
          <cell r="DG21">
            <v>117982350</v>
          </cell>
          <cell r="DR21">
            <v>46652416.75000006</v>
          </cell>
          <cell r="EC21">
            <v>2.528965447433114</v>
          </cell>
          <cell r="EN21">
            <v>2.4095909012463064E-2</v>
          </cell>
        </row>
        <row r="22">
          <cell r="B22">
            <v>10500</v>
          </cell>
          <cell r="C22" t="str">
            <v>State Auditor</v>
          </cell>
          <cell r="D22">
            <v>6.1190789513673456E-4</v>
          </cell>
          <cell r="E22">
            <v>1058743.3365385518</v>
          </cell>
          <cell r="F22">
            <v>825526.46000388521</v>
          </cell>
          <cell r="G22">
            <v>-115823</v>
          </cell>
          <cell r="H22">
            <v>-295427.01153701288</v>
          </cell>
          <cell r="I22">
            <v>-12225.327148494842</v>
          </cell>
          <cell r="J22">
            <v>893431.25644151645</v>
          </cell>
          <cell r="K22">
            <v>0</v>
          </cell>
          <cell r="L22">
            <v>-46942.361386602483</v>
          </cell>
          <cell r="M22">
            <v>8424.1431281113419</v>
          </cell>
          <cell r="N22">
            <v>317.56795941806251</v>
          </cell>
          <cell r="O22">
            <v>-143.31494811997459</v>
          </cell>
          <cell r="P22">
            <v>0</v>
          </cell>
          <cell r="Q22">
            <v>0</v>
          </cell>
          <cell r="R22">
            <v>0</v>
          </cell>
          <cell r="S22">
            <v>2315881.7490512528</v>
          </cell>
          <cell r="T22">
            <v>47831.930000000051</v>
          </cell>
          <cell r="U22">
            <v>4467156.2822075821</v>
          </cell>
          <cell r="V22">
            <v>33696.572512445367</v>
          </cell>
          <cell r="W22">
            <v>0</v>
          </cell>
          <cell r="X22">
            <v>4548684.7847200269</v>
          </cell>
          <cell r="Y22">
            <v>626945</v>
          </cell>
          <cell r="Z22">
            <v>0</v>
          </cell>
          <cell r="AA22">
            <v>0</v>
          </cell>
          <cell r="AB22">
            <v>61126.635742474202</v>
          </cell>
          <cell r="AC22">
            <v>688071.63574247423</v>
          </cell>
          <cell r="AD22" t="str">
            <v>N/A</v>
          </cell>
          <cell r="AE22">
            <v>773807</v>
          </cell>
          <cell r="AF22">
            <v>773807</v>
          </cell>
          <cell r="AG22">
            <v>773807</v>
          </cell>
          <cell r="AH22">
            <v>773807</v>
          </cell>
          <cell r="AI22">
            <v>765383</v>
          </cell>
          <cell r="AJ22">
            <v>0</v>
          </cell>
          <cell r="AK22">
            <v>3860611</v>
          </cell>
          <cell r="AL22">
            <v>21039830</v>
          </cell>
          <cell r="AM22">
            <v>2315881.7490512528</v>
          </cell>
          <cell r="AN22">
            <v>-596251.93000000005</v>
          </cell>
          <cell r="AO22">
            <v>4439726.2189775538</v>
          </cell>
          <cell r="AP22">
            <v>0</v>
          </cell>
          <cell r="AQ22">
            <v>-579113.06999999995</v>
          </cell>
          <cell r="AR22">
            <v>0</v>
          </cell>
          <cell r="AS22">
            <v>0</v>
          </cell>
          <cell r="AT22">
            <v>26620072.968028806</v>
          </cell>
          <cell r="AU22">
            <v>6.3459966366926637E-4</v>
          </cell>
          <cell r="AV22">
            <v>0</v>
          </cell>
          <cell r="AW22">
            <v>0</v>
          </cell>
          <cell r="AY22">
            <v>0</v>
          </cell>
          <cell r="AZ22">
            <v>0</v>
          </cell>
          <cell r="BA22">
            <v>0</v>
          </cell>
          <cell r="BB22">
            <v>0</v>
          </cell>
          <cell r="BC22">
            <v>0</v>
          </cell>
          <cell r="BD22">
            <v>0</v>
          </cell>
          <cell r="BE22">
            <v>0</v>
          </cell>
          <cell r="BF22">
            <v>0</v>
          </cell>
          <cell r="BG22">
            <v>0</v>
          </cell>
          <cell r="BH22">
            <v>0</v>
          </cell>
          <cell r="BJ22">
            <v>0</v>
          </cell>
          <cell r="BL22">
            <v>0</v>
          </cell>
          <cell r="BM22">
            <v>0</v>
          </cell>
          <cell r="BN22">
            <v>0</v>
          </cell>
          <cell r="BO22">
            <v>0</v>
          </cell>
          <cell r="BQ22">
            <v>0</v>
          </cell>
          <cell r="BR22">
            <v>0</v>
          </cell>
          <cell r="BS22">
            <v>0</v>
          </cell>
          <cell r="BT22">
            <v>0</v>
          </cell>
          <cell r="CB22">
            <v>0</v>
          </cell>
          <cell r="CC22">
            <v>0</v>
          </cell>
          <cell r="CD22">
            <v>0</v>
          </cell>
          <cell r="CE22">
            <v>0</v>
          </cell>
          <cell r="CF22">
            <v>0</v>
          </cell>
          <cell r="CI22">
            <v>0</v>
          </cell>
          <cell r="CJ22">
            <v>0</v>
          </cell>
          <cell r="CK22">
            <v>0</v>
          </cell>
          <cell r="CV22">
            <v>6.1190789513673456E-4</v>
          </cell>
          <cell r="DG22">
            <v>26620073</v>
          </cell>
          <cell r="DR22">
            <v>9868361.1599999983</v>
          </cell>
          <cell r="EC22">
            <v>2.6975171022216626</v>
          </cell>
          <cell r="EN22">
            <v>2.4095909012463064E-2</v>
          </cell>
        </row>
        <row r="23">
          <cell r="B23">
            <v>10700</v>
          </cell>
          <cell r="C23" t="str">
            <v>Department Of Cultural Resources</v>
          </cell>
          <cell r="D23">
            <v>3.7215068930898806E-3</v>
          </cell>
          <cell r="E23">
            <v>6439074.665086248</v>
          </cell>
          <cell r="F23">
            <v>5020694.1857582079</v>
          </cell>
          <cell r="G23">
            <v>11728570</v>
          </cell>
          <cell r="H23">
            <v>-1796730.6331196493</v>
          </cell>
          <cell r="I23">
            <v>-74352.103666248498</v>
          </cell>
          <cell r="J23">
            <v>5433678.1822468303</v>
          </cell>
          <cell r="K23">
            <v>0</v>
          </cell>
          <cell r="L23">
            <v>-285494.47207103024</v>
          </cell>
          <cell r="M23">
            <v>51234.028795521008</v>
          </cell>
          <cell r="N23">
            <v>1931.3876473757862</v>
          </cell>
          <cell r="O23">
            <v>-871.61412943058087</v>
          </cell>
          <cell r="P23">
            <v>0</v>
          </cell>
          <cell r="Q23">
            <v>0</v>
          </cell>
          <cell r="R23">
            <v>0</v>
          </cell>
          <cell r="S23">
            <v>26517733.626547825</v>
          </cell>
          <cell r="T23">
            <v>58642846.25</v>
          </cell>
          <cell r="U23">
            <v>27168390.911234155</v>
          </cell>
          <cell r="V23">
            <v>204936.11518208403</v>
          </cell>
          <cell r="W23">
            <v>0</v>
          </cell>
          <cell r="X23">
            <v>86016173.276416242</v>
          </cell>
          <cell r="Y23">
            <v>0</v>
          </cell>
          <cell r="Z23">
            <v>0</v>
          </cell>
          <cell r="AA23">
            <v>0</v>
          </cell>
          <cell r="AB23">
            <v>371760.51833124249</v>
          </cell>
          <cell r="AC23">
            <v>371760.51833124249</v>
          </cell>
          <cell r="AD23" t="str">
            <v>N/A</v>
          </cell>
          <cell r="AE23">
            <v>17139130</v>
          </cell>
          <cell r="AF23">
            <v>17139130</v>
          </cell>
          <cell r="AG23">
            <v>17139130</v>
          </cell>
          <cell r="AH23">
            <v>17139130</v>
          </cell>
          <cell r="AI23">
            <v>17087896</v>
          </cell>
          <cell r="AJ23">
            <v>0</v>
          </cell>
          <cell r="AK23">
            <v>85644416</v>
          </cell>
          <cell r="AL23">
            <v>53077697</v>
          </cell>
          <cell r="AM23">
            <v>26517733.626547825</v>
          </cell>
          <cell r="AN23">
            <v>-3341643.25</v>
          </cell>
          <cell r="AO23">
            <v>27001566.508084998</v>
          </cell>
          <cell r="AP23">
            <v>0</v>
          </cell>
          <cell r="AQ23">
            <v>58642846.25</v>
          </cell>
          <cell r="AR23">
            <v>0</v>
          </cell>
          <cell r="AS23">
            <v>0</v>
          </cell>
          <cell r="AT23">
            <v>161898200.13463283</v>
          </cell>
          <cell r="AU23">
            <v>1.6009201690367701E-3</v>
          </cell>
          <cell r="AV23">
            <v>0</v>
          </cell>
          <cell r="AW23">
            <v>0</v>
          </cell>
          <cell r="AY23">
            <v>0</v>
          </cell>
          <cell r="AZ23">
            <v>0</v>
          </cell>
          <cell r="BA23">
            <v>0</v>
          </cell>
          <cell r="BB23">
            <v>0</v>
          </cell>
          <cell r="BC23">
            <v>0</v>
          </cell>
          <cell r="BD23">
            <v>0</v>
          </cell>
          <cell r="BE23">
            <v>0</v>
          </cell>
          <cell r="BF23">
            <v>0</v>
          </cell>
          <cell r="BG23">
            <v>0</v>
          </cell>
          <cell r="BH23">
            <v>0</v>
          </cell>
          <cell r="BJ23">
            <v>0</v>
          </cell>
          <cell r="BL23">
            <v>0</v>
          </cell>
          <cell r="BM23">
            <v>0</v>
          </cell>
          <cell r="BN23">
            <v>0</v>
          </cell>
          <cell r="BO23">
            <v>0</v>
          </cell>
          <cell r="BQ23">
            <v>0</v>
          </cell>
          <cell r="BR23">
            <v>0</v>
          </cell>
          <cell r="BS23">
            <v>0</v>
          </cell>
          <cell r="BT23">
            <v>0</v>
          </cell>
          <cell r="CB23">
            <v>0</v>
          </cell>
          <cell r="CC23">
            <v>0</v>
          </cell>
          <cell r="CD23">
            <v>0</v>
          </cell>
          <cell r="CE23">
            <v>0</v>
          </cell>
          <cell r="CF23">
            <v>0</v>
          </cell>
          <cell r="CI23">
            <v>0</v>
          </cell>
          <cell r="CJ23">
            <v>0</v>
          </cell>
          <cell r="CK23">
            <v>0</v>
          </cell>
          <cell r="CV23">
            <v>3.7215068930898806E-3</v>
          </cell>
          <cell r="DG23">
            <v>161898199</v>
          </cell>
          <cell r="DR23">
            <v>66506369.379999906</v>
          </cell>
          <cell r="EC23">
            <v>2.4343262233269156</v>
          </cell>
          <cell r="EN23">
            <v>2.4095909012463064E-2</v>
          </cell>
        </row>
        <row r="24">
          <cell r="B24">
            <v>10800</v>
          </cell>
          <cell r="C24" t="str">
            <v>Administrative Office Of The Courts</v>
          </cell>
          <cell r="D24">
            <v>1.6267906522251418E-2</v>
          </cell>
          <cell r="E24">
            <v>28147271.454990841</v>
          </cell>
          <cell r="F24">
            <v>21947073.063973792</v>
          </cell>
          <cell r="G24">
            <v>-2995686</v>
          </cell>
          <cell r="H24">
            <v>-7854088.9013342299</v>
          </cell>
          <cell r="I24">
            <v>-325017.01781640766</v>
          </cell>
          <cell r="J24">
            <v>23752359.267403234</v>
          </cell>
          <cell r="K24">
            <v>0</v>
          </cell>
          <cell r="L24">
            <v>-1247988.3868802681</v>
          </cell>
          <cell r="M24">
            <v>223960.45880002715</v>
          </cell>
          <cell r="N24">
            <v>8442.7181269180401</v>
          </cell>
          <cell r="O24">
            <v>-3810.1063865765045</v>
          </cell>
          <cell r="P24">
            <v>0</v>
          </cell>
          <cell r="Q24">
            <v>0</v>
          </cell>
          <cell r="R24">
            <v>0</v>
          </cell>
          <cell r="S24">
            <v>61652516.550877318</v>
          </cell>
          <cell r="T24">
            <v>1438207.3900000006</v>
          </cell>
          <cell r="U24">
            <v>118761796.33701618</v>
          </cell>
          <cell r="V24">
            <v>895841.83520010859</v>
          </cell>
          <cell r="W24">
            <v>0</v>
          </cell>
          <cell r="X24">
            <v>121095845.56221628</v>
          </cell>
          <cell r="Y24">
            <v>16416636</v>
          </cell>
          <cell r="Z24">
            <v>0</v>
          </cell>
          <cell r="AA24">
            <v>0</v>
          </cell>
          <cell r="AB24">
            <v>1625085.089082038</v>
          </cell>
          <cell r="AC24">
            <v>18041721.08908204</v>
          </cell>
          <cell r="AD24" t="str">
            <v>N/A</v>
          </cell>
          <cell r="AE24">
            <v>20655617</v>
          </cell>
          <cell r="AF24">
            <v>20655618</v>
          </cell>
          <cell r="AG24">
            <v>20655618</v>
          </cell>
          <cell r="AH24">
            <v>20655618</v>
          </cell>
          <cell r="AI24">
            <v>20431657</v>
          </cell>
          <cell r="AJ24">
            <v>0</v>
          </cell>
          <cell r="AK24">
            <v>103054128</v>
          </cell>
          <cell r="AL24">
            <v>559054158</v>
          </cell>
          <cell r="AM24">
            <v>61652516.550877318</v>
          </cell>
          <cell r="AN24">
            <v>-16051570.390000001</v>
          </cell>
          <cell r="AO24">
            <v>118032553.08313426</v>
          </cell>
          <cell r="AP24">
            <v>0</v>
          </cell>
          <cell r="AQ24">
            <v>-14978428.609999999</v>
          </cell>
          <cell r="AR24">
            <v>0</v>
          </cell>
          <cell r="AS24">
            <v>0</v>
          </cell>
          <cell r="AT24">
            <v>707709228.63401163</v>
          </cell>
          <cell r="AU24">
            <v>1.6862093375012675E-2</v>
          </cell>
          <cell r="AV24">
            <v>0</v>
          </cell>
          <cell r="AW24">
            <v>0</v>
          </cell>
          <cell r="AY24">
            <v>0</v>
          </cell>
          <cell r="AZ24">
            <v>0</v>
          </cell>
          <cell r="BA24">
            <v>0</v>
          </cell>
          <cell r="BB24">
            <v>0</v>
          </cell>
          <cell r="BC24">
            <v>0</v>
          </cell>
          <cell r="BD24">
            <v>0</v>
          </cell>
          <cell r="BE24">
            <v>0</v>
          </cell>
          <cell r="BF24">
            <v>0</v>
          </cell>
          <cell r="BG24">
            <v>0</v>
          </cell>
          <cell r="BH24">
            <v>0</v>
          </cell>
          <cell r="BJ24">
            <v>0</v>
          </cell>
          <cell r="BL24">
            <v>0</v>
          </cell>
          <cell r="BM24">
            <v>0</v>
          </cell>
          <cell r="BN24">
            <v>0</v>
          </cell>
          <cell r="BO24">
            <v>0</v>
          </cell>
          <cell r="BQ24">
            <v>0</v>
          </cell>
          <cell r="BR24">
            <v>0</v>
          </cell>
          <cell r="BS24">
            <v>0</v>
          </cell>
          <cell r="BT24">
            <v>0</v>
          </cell>
          <cell r="CB24">
            <v>0</v>
          </cell>
          <cell r="CC24">
            <v>0</v>
          </cell>
          <cell r="CD24">
            <v>0</v>
          </cell>
          <cell r="CE24">
            <v>0</v>
          </cell>
          <cell r="CF24">
            <v>0</v>
          </cell>
          <cell r="CI24">
            <v>0</v>
          </cell>
          <cell r="CJ24">
            <v>0</v>
          </cell>
          <cell r="CK24">
            <v>0</v>
          </cell>
          <cell r="CV24">
            <v>1.6267906522251418E-2</v>
          </cell>
          <cell r="DG24">
            <v>707709228</v>
          </cell>
          <cell r="DR24">
            <v>276869699.74999952</v>
          </cell>
          <cell r="EC24">
            <v>2.5561093490512996</v>
          </cell>
          <cell r="EN24">
            <v>2.4095909012463064E-2</v>
          </cell>
        </row>
        <row r="25">
          <cell r="B25">
            <v>10850</v>
          </cell>
          <cell r="C25" t="str">
            <v>Office Of Administrative Hearing</v>
          </cell>
          <cell r="D25">
            <v>1.1583666001428394E-4</v>
          </cell>
          <cell r="E25">
            <v>200424.43134289008</v>
          </cell>
          <cell r="F25">
            <v>156275.52551662558</v>
          </cell>
          <cell r="G25">
            <v>78746</v>
          </cell>
          <cell r="H25">
            <v>-55925.538085763619</v>
          </cell>
          <cell r="I25">
            <v>-2314.3042861820682</v>
          </cell>
          <cell r="J25">
            <v>169130.18040962607</v>
          </cell>
          <cell r="K25">
            <v>0</v>
          </cell>
          <cell r="L25">
            <v>-8886.3804494505603</v>
          </cell>
          <cell r="M25">
            <v>1594.7246492458576</v>
          </cell>
          <cell r="N25">
            <v>60.116909814213081</v>
          </cell>
          <cell r="O25">
            <v>-27.130104141945441</v>
          </cell>
          <cell r="P25">
            <v>0</v>
          </cell>
          <cell r="Q25">
            <v>0</v>
          </cell>
          <cell r="R25">
            <v>0</v>
          </cell>
          <cell r="S25">
            <v>539077.62590266357</v>
          </cell>
          <cell r="T25">
            <v>393724.12</v>
          </cell>
          <cell r="U25">
            <v>845650.9020481304</v>
          </cell>
          <cell r="V25">
            <v>6378.8985969834303</v>
          </cell>
          <cell r="W25">
            <v>0</v>
          </cell>
          <cell r="X25">
            <v>1245753.9206451138</v>
          </cell>
          <cell r="Y25">
            <v>0</v>
          </cell>
          <cell r="Z25">
            <v>0</v>
          </cell>
          <cell r="AA25">
            <v>0</v>
          </cell>
          <cell r="AB25">
            <v>11571.521430910341</v>
          </cell>
          <cell r="AC25">
            <v>11571.521430910341</v>
          </cell>
          <cell r="AD25" t="str">
            <v>N/A</v>
          </cell>
          <cell r="AE25">
            <v>247155</v>
          </cell>
          <cell r="AF25">
            <v>247157</v>
          </cell>
          <cell r="AG25">
            <v>247157</v>
          </cell>
          <cell r="AH25">
            <v>247157</v>
          </cell>
          <cell r="AI25">
            <v>245562</v>
          </cell>
          <cell r="AJ25">
            <v>0</v>
          </cell>
          <cell r="AK25">
            <v>1234188</v>
          </cell>
          <cell r="AL25">
            <v>3430193</v>
          </cell>
          <cell r="AM25">
            <v>539077.62590266357</v>
          </cell>
          <cell r="AN25">
            <v>-164164.12</v>
          </cell>
          <cell r="AO25">
            <v>840458.27921420347</v>
          </cell>
          <cell r="AP25">
            <v>0</v>
          </cell>
          <cell r="AQ25">
            <v>393724.12</v>
          </cell>
          <cell r="AR25">
            <v>0</v>
          </cell>
          <cell r="AS25">
            <v>0</v>
          </cell>
          <cell r="AT25">
            <v>5039288.9051168673</v>
          </cell>
          <cell r="AU25">
            <v>1.0346087009042805E-4</v>
          </cell>
          <cell r="AV25">
            <v>0</v>
          </cell>
          <cell r="AW25">
            <v>0</v>
          </cell>
          <cell r="AY25">
            <v>0</v>
          </cell>
          <cell r="AZ25">
            <v>0</v>
          </cell>
          <cell r="BA25">
            <v>0</v>
          </cell>
          <cell r="BB25">
            <v>0</v>
          </cell>
          <cell r="BC25">
            <v>0</v>
          </cell>
          <cell r="BD25">
            <v>0</v>
          </cell>
          <cell r="BE25">
            <v>0</v>
          </cell>
          <cell r="BF25">
            <v>0</v>
          </cell>
          <cell r="BG25">
            <v>0</v>
          </cell>
          <cell r="BH25">
            <v>0</v>
          </cell>
          <cell r="BJ25">
            <v>0</v>
          </cell>
          <cell r="BL25">
            <v>0</v>
          </cell>
          <cell r="BM25">
            <v>0</v>
          </cell>
          <cell r="BN25">
            <v>0</v>
          </cell>
          <cell r="BO25">
            <v>0</v>
          </cell>
          <cell r="BQ25">
            <v>0</v>
          </cell>
          <cell r="BR25">
            <v>0</v>
          </cell>
          <cell r="BS25">
            <v>0</v>
          </cell>
          <cell r="BT25">
            <v>0</v>
          </cell>
          <cell r="CB25">
            <v>0</v>
          </cell>
          <cell r="CC25">
            <v>0</v>
          </cell>
          <cell r="CD25">
            <v>0</v>
          </cell>
          <cell r="CE25">
            <v>0</v>
          </cell>
          <cell r="CF25">
            <v>0</v>
          </cell>
          <cell r="CI25">
            <v>0</v>
          </cell>
          <cell r="CJ25">
            <v>0</v>
          </cell>
          <cell r="CK25">
            <v>0</v>
          </cell>
          <cell r="CV25">
            <v>1.1583666001428394E-4</v>
          </cell>
          <cell r="DG25">
            <v>5039288</v>
          </cell>
          <cell r="DR25">
            <v>2828498.3000000003</v>
          </cell>
          <cell r="EC25">
            <v>1.7816125256288822</v>
          </cell>
          <cell r="EN25">
            <v>2.4095909012463064E-2</v>
          </cell>
        </row>
        <row r="26">
          <cell r="B26">
            <v>10900</v>
          </cell>
          <cell r="C26" t="str">
            <v>Department Of Administration</v>
          </cell>
          <cell r="D26">
            <v>1.5663365588164822E-3</v>
          </cell>
          <cell r="E26">
            <v>2710127.4678815971</v>
          </cell>
          <cell r="F26">
            <v>2113148.5389406481</v>
          </cell>
          <cell r="G26">
            <v>-624379</v>
          </cell>
          <cell r="H26">
            <v>-756221.86330660153</v>
          </cell>
          <cell r="I26">
            <v>-31293.887541523174</v>
          </cell>
          <cell r="J26">
            <v>2286968.4324647966</v>
          </cell>
          <cell r="K26">
            <v>0</v>
          </cell>
          <cell r="L26">
            <v>-120161.1180071152</v>
          </cell>
          <cell r="M26">
            <v>21563.773671060288</v>
          </cell>
          <cell r="N26">
            <v>812.89734729457791</v>
          </cell>
          <cell r="O26">
            <v>-366.85168544040829</v>
          </cell>
          <cell r="P26">
            <v>0</v>
          </cell>
          <cell r="Q26">
            <v>0</v>
          </cell>
          <cell r="R26">
            <v>0</v>
          </cell>
          <cell r="S26">
            <v>5600198.3897647159</v>
          </cell>
          <cell r="T26">
            <v>382617.84999999963</v>
          </cell>
          <cell r="U26">
            <v>11434842.162323983</v>
          </cell>
          <cell r="V26">
            <v>86255.09468424115</v>
          </cell>
          <cell r="W26">
            <v>0</v>
          </cell>
          <cell r="X26">
            <v>11903715.107008224</v>
          </cell>
          <cell r="Y26">
            <v>3504511</v>
          </cell>
          <cell r="Z26">
            <v>0</v>
          </cell>
          <cell r="AA26">
            <v>0</v>
          </cell>
          <cell r="AB26">
            <v>156469.43770761587</v>
          </cell>
          <cell r="AC26">
            <v>3660980.437707616</v>
          </cell>
          <cell r="AD26" t="str">
            <v>N/A</v>
          </cell>
          <cell r="AE26">
            <v>1652860</v>
          </cell>
          <cell r="AF26">
            <v>1652859</v>
          </cell>
          <cell r="AG26">
            <v>1652859</v>
          </cell>
          <cell r="AH26">
            <v>1652859</v>
          </cell>
          <cell r="AI26">
            <v>1631296</v>
          </cell>
          <cell r="AJ26">
            <v>0</v>
          </cell>
          <cell r="AK26">
            <v>8242733</v>
          </cell>
          <cell r="AL26">
            <v>56136508</v>
          </cell>
          <cell r="AM26">
            <v>5600198.3897647159</v>
          </cell>
          <cell r="AN26">
            <v>-1838476.8499999996</v>
          </cell>
          <cell r="AO26">
            <v>11364627.819300609</v>
          </cell>
          <cell r="AP26">
            <v>0</v>
          </cell>
          <cell r="AQ26">
            <v>-3121893.1500000004</v>
          </cell>
          <cell r="AR26">
            <v>0</v>
          </cell>
          <cell r="AS26">
            <v>0</v>
          </cell>
          <cell r="AT26">
            <v>68140964.209065318</v>
          </cell>
          <cell r="AU26">
            <v>1.6931795090103117E-3</v>
          </cell>
          <cell r="AV26">
            <v>0</v>
          </cell>
          <cell r="AW26">
            <v>0</v>
          </cell>
          <cell r="AY26">
            <v>0</v>
          </cell>
          <cell r="AZ26">
            <v>0</v>
          </cell>
          <cell r="BA26">
            <v>0</v>
          </cell>
          <cell r="BB26">
            <v>0</v>
          </cell>
          <cell r="BC26">
            <v>0</v>
          </cell>
          <cell r="BD26">
            <v>0</v>
          </cell>
          <cell r="BE26">
            <v>0</v>
          </cell>
          <cell r="BF26">
            <v>0</v>
          </cell>
          <cell r="BG26">
            <v>0</v>
          </cell>
          <cell r="BH26">
            <v>0</v>
          </cell>
          <cell r="BJ26">
            <v>0</v>
          </cell>
          <cell r="BL26">
            <v>0</v>
          </cell>
          <cell r="BM26">
            <v>0</v>
          </cell>
          <cell r="BN26">
            <v>0</v>
          </cell>
          <cell r="BO26">
            <v>0</v>
          </cell>
          <cell r="BQ26">
            <v>0</v>
          </cell>
          <cell r="BR26">
            <v>0</v>
          </cell>
          <cell r="BS26">
            <v>0</v>
          </cell>
          <cell r="BT26">
            <v>0</v>
          </cell>
          <cell r="CB26">
            <v>0</v>
          </cell>
          <cell r="CC26">
            <v>0</v>
          </cell>
          <cell r="CD26">
            <v>0</v>
          </cell>
          <cell r="CE26">
            <v>0</v>
          </cell>
          <cell r="CF26">
            <v>0</v>
          </cell>
          <cell r="CI26">
            <v>0</v>
          </cell>
          <cell r="CJ26">
            <v>0</v>
          </cell>
          <cell r="CK26">
            <v>0</v>
          </cell>
          <cell r="CV26">
            <v>1.5663365588164822E-3</v>
          </cell>
          <cell r="DG26">
            <v>68140964</v>
          </cell>
          <cell r="DR26">
            <v>32080362.910000026</v>
          </cell>
          <cell r="EC26">
            <v>2.1240708588978974</v>
          </cell>
          <cell r="EN26">
            <v>2.4095909012463064E-2</v>
          </cell>
        </row>
        <row r="27">
          <cell r="B27">
            <v>10910</v>
          </cell>
          <cell r="C27" t="str">
            <v>Office Of State Budget &amp; Management</v>
          </cell>
          <cell r="D27">
            <v>2.358673838756909E-4</v>
          </cell>
          <cell r="E27">
            <v>408105.57106697618</v>
          </cell>
          <cell r="F27">
            <v>318209.27297851967</v>
          </cell>
          <cell r="G27">
            <v>-167516</v>
          </cell>
          <cell r="H27">
            <v>-113875.95566466422</v>
          </cell>
          <cell r="I27">
            <v>-4712.4019063287133</v>
          </cell>
          <cell r="J27">
            <v>344384.00746985426</v>
          </cell>
          <cell r="K27">
            <v>0</v>
          </cell>
          <cell r="L27">
            <v>-18094.507459706878</v>
          </cell>
          <cell r="M27">
            <v>3247.1890243841331</v>
          </cell>
          <cell r="N27">
            <v>122.41045488380607</v>
          </cell>
          <cell r="O27">
            <v>-55.242499977525569</v>
          </cell>
          <cell r="P27">
            <v>0</v>
          </cell>
          <cell r="Q27">
            <v>0</v>
          </cell>
          <cell r="R27">
            <v>0</v>
          </cell>
          <cell r="S27">
            <v>769814.34346394066</v>
          </cell>
          <cell r="T27">
            <v>17720.609999999986</v>
          </cell>
          <cell r="U27">
            <v>1721920.0373492714</v>
          </cell>
          <cell r="V27">
            <v>12988.756097536532</v>
          </cell>
          <cell r="W27">
            <v>0</v>
          </cell>
          <cell r="X27">
            <v>1752629.403446808</v>
          </cell>
          <cell r="Y27">
            <v>855300</v>
          </cell>
          <cell r="Z27">
            <v>0</v>
          </cell>
          <cell r="AA27">
            <v>0</v>
          </cell>
          <cell r="AB27">
            <v>23562.009531643565</v>
          </cell>
          <cell r="AC27">
            <v>878862.00953164359</v>
          </cell>
          <cell r="AD27" t="str">
            <v>N/A</v>
          </cell>
          <cell r="AE27">
            <v>175403</v>
          </cell>
          <cell r="AF27">
            <v>175403</v>
          </cell>
          <cell r="AG27">
            <v>175403</v>
          </cell>
          <cell r="AH27">
            <v>175403</v>
          </cell>
          <cell r="AI27">
            <v>172156</v>
          </cell>
          <cell r="AJ27">
            <v>0</v>
          </cell>
          <cell r="AK27">
            <v>873768</v>
          </cell>
          <cell r="AL27">
            <v>8846424</v>
          </cell>
          <cell r="AM27">
            <v>769814.34346394066</v>
          </cell>
          <cell r="AN27">
            <v>-228972.61</v>
          </cell>
          <cell r="AO27">
            <v>1711346.7839151644</v>
          </cell>
          <cell r="AP27">
            <v>0</v>
          </cell>
          <cell r="AQ27">
            <v>-837579.39</v>
          </cell>
          <cell r="AR27">
            <v>0</v>
          </cell>
          <cell r="AS27">
            <v>0</v>
          </cell>
          <cell r="AT27">
            <v>10261033.127379104</v>
          </cell>
          <cell r="AU27">
            <v>2.6682429284122477E-4</v>
          </cell>
          <cell r="AV27">
            <v>0</v>
          </cell>
          <cell r="AW27">
            <v>0</v>
          </cell>
          <cell r="AY27">
            <v>0</v>
          </cell>
          <cell r="AZ27">
            <v>0</v>
          </cell>
          <cell r="BA27">
            <v>0</v>
          </cell>
          <cell r="BB27">
            <v>0</v>
          </cell>
          <cell r="BC27">
            <v>0</v>
          </cell>
          <cell r="BD27">
            <v>0</v>
          </cell>
          <cell r="BE27">
            <v>0</v>
          </cell>
          <cell r="BF27">
            <v>0</v>
          </cell>
          <cell r="BG27">
            <v>0</v>
          </cell>
          <cell r="BH27">
            <v>0</v>
          </cell>
          <cell r="BJ27">
            <v>0</v>
          </cell>
          <cell r="BL27">
            <v>0</v>
          </cell>
          <cell r="BM27">
            <v>0</v>
          </cell>
          <cell r="BN27">
            <v>0</v>
          </cell>
          <cell r="BO27">
            <v>0</v>
          </cell>
          <cell r="BQ27">
            <v>0</v>
          </cell>
          <cell r="BR27">
            <v>0</v>
          </cell>
          <cell r="BS27">
            <v>0</v>
          </cell>
          <cell r="BT27">
            <v>0</v>
          </cell>
          <cell r="CB27">
            <v>0</v>
          </cell>
          <cell r="CC27">
            <v>0</v>
          </cell>
          <cell r="CD27">
            <v>0</v>
          </cell>
          <cell r="CE27">
            <v>0</v>
          </cell>
          <cell r="CF27">
            <v>0</v>
          </cell>
          <cell r="CI27">
            <v>0</v>
          </cell>
          <cell r="CJ27">
            <v>0</v>
          </cell>
          <cell r="CK27">
            <v>0</v>
          </cell>
          <cell r="CV27">
            <v>2.358673838756909E-4</v>
          </cell>
          <cell r="DG27">
            <v>10261033</v>
          </cell>
          <cell r="DR27">
            <v>3813313.13</v>
          </cell>
          <cell r="EC27">
            <v>2.6908445884694498</v>
          </cell>
          <cell r="EN27">
            <v>2.4095909012463064E-2</v>
          </cell>
        </row>
        <row r="28">
          <cell r="B28">
            <v>10930</v>
          </cell>
          <cell r="C28" t="str">
            <v>Information Technology Services</v>
          </cell>
          <cell r="D28">
            <v>2.0859751474145644E-3</v>
          </cell>
          <cell r="E28">
            <v>3609223.3897663439</v>
          </cell>
          <cell r="F28">
            <v>2814194.2484929538</v>
          </cell>
          <cell r="G28">
            <v>-731220</v>
          </cell>
          <cell r="H28">
            <v>-1007101.5733560016</v>
          </cell>
          <cell r="I28">
            <v>-41675.763302701438</v>
          </cell>
          <cell r="J28">
            <v>3045679.6058235564</v>
          </cell>
          <cell r="K28">
            <v>0</v>
          </cell>
          <cell r="L28">
            <v>-160025.0625815588</v>
          </cell>
          <cell r="M28">
            <v>28717.644180055486</v>
          </cell>
          <cell r="N28">
            <v>1082.5793820052106</v>
          </cell>
          <cell r="O28">
            <v>-488.55623927596514</v>
          </cell>
          <cell r="P28">
            <v>0</v>
          </cell>
          <cell r="Q28">
            <v>0</v>
          </cell>
          <cell r="R28">
            <v>0</v>
          </cell>
          <cell r="S28">
            <v>7558386.512165376</v>
          </cell>
          <cell r="T28">
            <v>415078.24999999953</v>
          </cell>
          <cell r="U28">
            <v>15228398.029117782</v>
          </cell>
          <cell r="V28">
            <v>114870.57672022194</v>
          </cell>
          <cell r="W28">
            <v>0</v>
          </cell>
          <cell r="X28">
            <v>15758346.855838004</v>
          </cell>
          <cell r="Y28">
            <v>4071180</v>
          </cell>
          <cell r="Z28">
            <v>0</v>
          </cell>
          <cell r="AA28">
            <v>0</v>
          </cell>
          <cell r="AB28">
            <v>208378.81651350719</v>
          </cell>
          <cell r="AC28">
            <v>4279558.8165135076</v>
          </cell>
          <cell r="AD28" t="str">
            <v>N/A</v>
          </cell>
          <cell r="AE28">
            <v>2301501</v>
          </cell>
          <cell r="AF28">
            <v>2301501</v>
          </cell>
          <cell r="AG28">
            <v>2301501</v>
          </cell>
          <cell r="AH28">
            <v>2301501</v>
          </cell>
          <cell r="AI28">
            <v>2272784</v>
          </cell>
          <cell r="AJ28">
            <v>0</v>
          </cell>
          <cell r="AK28">
            <v>11478788</v>
          </cell>
          <cell r="AL28">
            <v>74044865</v>
          </cell>
          <cell r="AM28">
            <v>7558386.512165376</v>
          </cell>
          <cell r="AN28">
            <v>-2335030.2499999995</v>
          </cell>
          <cell r="AO28">
            <v>15134889.789324498</v>
          </cell>
          <cell r="AP28">
            <v>0</v>
          </cell>
          <cell r="AQ28">
            <v>-3656101.7500000005</v>
          </cell>
          <cell r="AR28">
            <v>0</v>
          </cell>
          <cell r="AS28">
            <v>0</v>
          </cell>
          <cell r="AT28">
            <v>90747009.301489875</v>
          </cell>
          <cell r="AU28">
            <v>2.2333282165043068E-3</v>
          </cell>
          <cell r="AV28">
            <v>0</v>
          </cell>
          <cell r="AW28">
            <v>0</v>
          </cell>
          <cell r="AY28">
            <v>0</v>
          </cell>
          <cell r="AZ28">
            <v>0</v>
          </cell>
          <cell r="BA28">
            <v>0</v>
          </cell>
          <cell r="BB28">
            <v>0</v>
          </cell>
          <cell r="BC28">
            <v>0</v>
          </cell>
          <cell r="BD28">
            <v>0</v>
          </cell>
          <cell r="BE28">
            <v>0</v>
          </cell>
          <cell r="BF28">
            <v>0</v>
          </cell>
          <cell r="BG28">
            <v>0</v>
          </cell>
          <cell r="BH28">
            <v>0</v>
          </cell>
          <cell r="BJ28">
            <v>0</v>
          </cell>
          <cell r="BL28">
            <v>0</v>
          </cell>
          <cell r="BM28">
            <v>0</v>
          </cell>
          <cell r="BN28">
            <v>0</v>
          </cell>
          <cell r="BO28">
            <v>0</v>
          </cell>
          <cell r="BQ28">
            <v>0</v>
          </cell>
          <cell r="BR28">
            <v>0</v>
          </cell>
          <cell r="BS28">
            <v>0</v>
          </cell>
          <cell r="BT28">
            <v>0</v>
          </cell>
          <cell r="CB28">
            <v>0</v>
          </cell>
          <cell r="CC28">
            <v>0</v>
          </cell>
          <cell r="CD28">
            <v>0</v>
          </cell>
          <cell r="CE28">
            <v>0</v>
          </cell>
          <cell r="CF28">
            <v>0</v>
          </cell>
          <cell r="CI28">
            <v>0</v>
          </cell>
          <cell r="CJ28">
            <v>0</v>
          </cell>
          <cell r="CK28">
            <v>0</v>
          </cell>
          <cell r="CV28">
            <v>2.0859751474145644E-3</v>
          </cell>
          <cell r="DG28">
            <v>90747009</v>
          </cell>
          <cell r="DR28">
            <v>40792819.800000012</v>
          </cell>
          <cell r="EC28">
            <v>2.2245828909331729</v>
          </cell>
          <cell r="EN28">
            <v>2.4095909012463064E-2</v>
          </cell>
        </row>
        <row r="29">
          <cell r="B29">
            <v>10940</v>
          </cell>
          <cell r="C29" t="str">
            <v>Office Of State Controller</v>
          </cell>
          <cell r="D29">
            <v>5.7249093433715641E-4</v>
          </cell>
          <cell r="E29">
            <v>990542.80354194902</v>
          </cell>
          <cell r="F29">
            <v>772348.94036146172</v>
          </cell>
          <cell r="G29">
            <v>-178355</v>
          </cell>
          <cell r="H29">
            <v>-276396.63944108027</v>
          </cell>
          <cell r="I29">
            <v>-11437.814444697222</v>
          </cell>
          <cell r="J29">
            <v>835879.54793740599</v>
          </cell>
          <cell r="K29">
            <v>0</v>
          </cell>
          <cell r="L29">
            <v>-43918.499080982328</v>
          </cell>
          <cell r="M29">
            <v>7881.4893691226616</v>
          </cell>
          <cell r="N29">
            <v>297.11134510229743</v>
          </cell>
          <cell r="O29">
            <v>-134.08310173110542</v>
          </cell>
          <cell r="P29">
            <v>0</v>
          </cell>
          <cell r="Q29">
            <v>0</v>
          </cell>
          <cell r="R29">
            <v>0</v>
          </cell>
          <cell r="S29">
            <v>2096707.8564865508</v>
          </cell>
          <cell r="T29">
            <v>114363.92999999993</v>
          </cell>
          <cell r="U29">
            <v>4179397.7396870302</v>
          </cell>
          <cell r="V29">
            <v>31525.957476490647</v>
          </cell>
          <cell r="W29">
            <v>0</v>
          </cell>
          <cell r="X29">
            <v>4325287.627163521</v>
          </cell>
          <cell r="Y29">
            <v>1006140</v>
          </cell>
          <cell r="Z29">
            <v>0</v>
          </cell>
          <cell r="AA29">
            <v>0</v>
          </cell>
          <cell r="AB29">
            <v>57189.07222348611</v>
          </cell>
          <cell r="AC29">
            <v>1063329.0722234861</v>
          </cell>
          <cell r="AD29" t="str">
            <v>N/A</v>
          </cell>
          <cell r="AE29">
            <v>653968</v>
          </cell>
          <cell r="AF29">
            <v>653968</v>
          </cell>
          <cell r="AG29">
            <v>653968</v>
          </cell>
          <cell r="AH29">
            <v>653968</v>
          </cell>
          <cell r="AI29">
            <v>646087</v>
          </cell>
          <cell r="AJ29">
            <v>0</v>
          </cell>
          <cell r="AK29">
            <v>3261959</v>
          </cell>
          <cell r="AL29">
            <v>20188015</v>
          </cell>
          <cell r="AM29">
            <v>2096707.8564865508</v>
          </cell>
          <cell r="AN29">
            <v>-641379.92999999993</v>
          </cell>
          <cell r="AO29">
            <v>4153734.6249400349</v>
          </cell>
          <cell r="AP29">
            <v>0</v>
          </cell>
          <cell r="AQ29">
            <v>-891776.07000000007</v>
          </cell>
          <cell r="AR29">
            <v>0</v>
          </cell>
          <cell r="AS29">
            <v>0</v>
          </cell>
          <cell r="AT29">
            <v>24905301.481426585</v>
          </cell>
          <cell r="AU29">
            <v>6.0890737174538188E-4</v>
          </cell>
          <cell r="AV29">
            <v>0</v>
          </cell>
          <cell r="AW29">
            <v>0</v>
          </cell>
          <cell r="AY29">
            <v>0</v>
          </cell>
          <cell r="AZ29">
            <v>0</v>
          </cell>
          <cell r="BA29">
            <v>0</v>
          </cell>
          <cell r="BB29">
            <v>0</v>
          </cell>
          <cell r="BC29">
            <v>0</v>
          </cell>
          <cell r="BD29">
            <v>0</v>
          </cell>
          <cell r="BE29">
            <v>0</v>
          </cell>
          <cell r="BF29">
            <v>0</v>
          </cell>
          <cell r="BG29">
            <v>0</v>
          </cell>
          <cell r="BH29">
            <v>0</v>
          </cell>
          <cell r="BJ29">
            <v>0</v>
          </cell>
          <cell r="BL29">
            <v>0</v>
          </cell>
          <cell r="BM29">
            <v>0</v>
          </cell>
          <cell r="BN29">
            <v>0</v>
          </cell>
          <cell r="BO29">
            <v>0</v>
          </cell>
          <cell r="BQ29">
            <v>0</v>
          </cell>
          <cell r="BR29">
            <v>0</v>
          </cell>
          <cell r="BS29">
            <v>0</v>
          </cell>
          <cell r="BT29">
            <v>0</v>
          </cell>
          <cell r="CB29">
            <v>0</v>
          </cell>
          <cell r="CC29">
            <v>0</v>
          </cell>
          <cell r="CD29">
            <v>0</v>
          </cell>
          <cell r="CE29">
            <v>0</v>
          </cell>
          <cell r="CF29">
            <v>0</v>
          </cell>
          <cell r="CI29">
            <v>0</v>
          </cell>
          <cell r="CJ29">
            <v>0</v>
          </cell>
          <cell r="CK29">
            <v>0</v>
          </cell>
          <cell r="CV29">
            <v>5.7249093433715641E-4</v>
          </cell>
          <cell r="DG29">
            <v>24905302</v>
          </cell>
          <cell r="DR29">
            <v>10915232.039999992</v>
          </cell>
          <cell r="EC29">
            <v>2.2817015624342165</v>
          </cell>
          <cell r="EN29">
            <v>2.4095909012463064E-2</v>
          </cell>
        </row>
        <row r="30">
          <cell r="B30">
            <v>10950</v>
          </cell>
          <cell r="C30" t="str">
            <v>N.C. School Of Science &amp; Mathematics</v>
          </cell>
          <cell r="D30">
            <v>7.5022903727045792E-4</v>
          </cell>
          <cell r="E30">
            <v>1298071.1646322836</v>
          </cell>
          <cell r="F30">
            <v>1012135.8561513739</v>
          </cell>
          <cell r="G30">
            <v>51543</v>
          </cell>
          <cell r="H30">
            <v>-362207.9796822613</v>
          </cell>
          <cell r="I30">
            <v>-14988.84961254207</v>
          </cell>
          <cell r="J30">
            <v>1095390.4610720486</v>
          </cell>
          <cell r="K30">
            <v>0</v>
          </cell>
          <cell r="L30">
            <v>-57553.633267639285</v>
          </cell>
          <cell r="M30">
            <v>10328.41190489831</v>
          </cell>
          <cell r="N30">
            <v>389.35386576262226</v>
          </cell>
          <cell r="O30">
            <v>-175.71114281911395</v>
          </cell>
          <cell r="P30">
            <v>0</v>
          </cell>
          <cell r="Q30">
            <v>0</v>
          </cell>
          <cell r="R30">
            <v>0</v>
          </cell>
          <cell r="S30">
            <v>3032932.0739211058</v>
          </cell>
          <cell r="T30">
            <v>257709.79000000004</v>
          </cell>
          <cell r="U30">
            <v>5476952.3053602437</v>
          </cell>
          <cell r="V30">
            <v>41313.647619593241</v>
          </cell>
          <cell r="W30">
            <v>0</v>
          </cell>
          <cell r="X30">
            <v>5775975.7429798367</v>
          </cell>
          <cell r="Y30">
            <v>0</v>
          </cell>
          <cell r="Z30">
            <v>0</v>
          </cell>
          <cell r="AA30">
            <v>0</v>
          </cell>
          <cell r="AB30">
            <v>74944.24806271035</v>
          </cell>
          <cell r="AC30">
            <v>74944.24806271035</v>
          </cell>
          <cell r="AD30" t="str">
            <v>N/A</v>
          </cell>
          <cell r="AE30">
            <v>1142272</v>
          </cell>
          <cell r="AF30">
            <v>1142272</v>
          </cell>
          <cell r="AG30">
            <v>1142272</v>
          </cell>
          <cell r="AH30">
            <v>1142272</v>
          </cell>
          <cell r="AI30">
            <v>1131944</v>
          </cell>
          <cell r="AJ30">
            <v>0</v>
          </cell>
          <cell r="AK30">
            <v>5701032</v>
          </cell>
          <cell r="AL30">
            <v>24597448</v>
          </cell>
          <cell r="AM30">
            <v>3032932.0739211058</v>
          </cell>
          <cell r="AN30">
            <v>-693898.79</v>
          </cell>
          <cell r="AO30">
            <v>5443321.7049171263</v>
          </cell>
          <cell r="AP30">
            <v>0</v>
          </cell>
          <cell r="AQ30">
            <v>257709.79000000004</v>
          </cell>
          <cell r="AR30">
            <v>0</v>
          </cell>
          <cell r="AS30">
            <v>0</v>
          </cell>
          <cell r="AT30">
            <v>32637512.778838232</v>
          </cell>
          <cell r="AU30">
            <v>7.4190389295996696E-4</v>
          </cell>
          <cell r="AV30">
            <v>0</v>
          </cell>
          <cell r="AW30">
            <v>0</v>
          </cell>
          <cell r="AY30">
            <v>0</v>
          </cell>
          <cell r="AZ30">
            <v>0</v>
          </cell>
          <cell r="BA30">
            <v>0</v>
          </cell>
          <cell r="BB30">
            <v>0</v>
          </cell>
          <cell r="BC30">
            <v>0</v>
          </cell>
          <cell r="BD30">
            <v>0</v>
          </cell>
          <cell r="BE30">
            <v>0</v>
          </cell>
          <cell r="BF30">
            <v>0</v>
          </cell>
          <cell r="BG30">
            <v>0</v>
          </cell>
          <cell r="BH30">
            <v>0</v>
          </cell>
          <cell r="BJ30">
            <v>0</v>
          </cell>
          <cell r="BL30">
            <v>0</v>
          </cell>
          <cell r="BM30">
            <v>0</v>
          </cell>
          <cell r="BN30">
            <v>0</v>
          </cell>
          <cell r="BO30">
            <v>0</v>
          </cell>
          <cell r="BQ30">
            <v>0</v>
          </cell>
          <cell r="BR30">
            <v>0</v>
          </cell>
          <cell r="BS30">
            <v>0</v>
          </cell>
          <cell r="BT30">
            <v>0</v>
          </cell>
          <cell r="CB30">
            <v>0</v>
          </cell>
          <cell r="CC30">
            <v>0</v>
          </cell>
          <cell r="CD30">
            <v>0</v>
          </cell>
          <cell r="CE30">
            <v>0</v>
          </cell>
          <cell r="CF30">
            <v>0</v>
          </cell>
          <cell r="CI30">
            <v>0</v>
          </cell>
          <cell r="CJ30">
            <v>0</v>
          </cell>
          <cell r="CK30">
            <v>0</v>
          </cell>
          <cell r="CV30">
            <v>7.5022903727045792E-4</v>
          </cell>
          <cell r="DG30">
            <v>32637513</v>
          </cell>
          <cell r="DR30">
            <v>12169359.4</v>
          </cell>
          <cell r="EC30">
            <v>2.6819417462516557</v>
          </cell>
          <cell r="EN30">
            <v>2.4095909012463064E-2</v>
          </cell>
        </row>
        <row r="31">
          <cell r="B31">
            <v>11300</v>
          </cell>
          <cell r="C31" t="str">
            <v>Environment And Natural Resources</v>
          </cell>
          <cell r="D31">
            <v>4.359677677606282E-3</v>
          </cell>
          <cell r="E31">
            <v>7543258.9239432774</v>
          </cell>
          <cell r="F31">
            <v>5881651.9750052383</v>
          </cell>
          <cell r="G31">
            <v>-14479791</v>
          </cell>
          <cell r="H31">
            <v>-2104837.2766493633</v>
          </cell>
          <cell r="I31">
            <v>-87102.137910505538</v>
          </cell>
          <cell r="J31">
            <v>6365455.2198798405</v>
          </cell>
          <cell r="K31">
            <v>0</v>
          </cell>
          <cell r="L31">
            <v>-334451.58445874735</v>
          </cell>
          <cell r="M31">
            <v>60019.73342798691</v>
          </cell>
          <cell r="N31">
            <v>2262.5855211241083</v>
          </cell>
          <cell r="O31">
            <v>-1021.0801088721673</v>
          </cell>
          <cell r="P31">
            <v>0</v>
          </cell>
          <cell r="Q31">
            <v>0</v>
          </cell>
          <cell r="R31">
            <v>0</v>
          </cell>
          <cell r="S31">
            <v>2845445.3586499798</v>
          </cell>
          <cell r="T31">
            <v>1147874.1899999995</v>
          </cell>
          <cell r="U31">
            <v>31827276.099399202</v>
          </cell>
          <cell r="V31">
            <v>240078.93371194764</v>
          </cell>
          <cell r="W31">
            <v>0</v>
          </cell>
          <cell r="X31">
            <v>33215229.223111145</v>
          </cell>
          <cell r="Y31">
            <v>73546831</v>
          </cell>
          <cell r="Z31">
            <v>0</v>
          </cell>
          <cell r="AA31">
            <v>0</v>
          </cell>
          <cell r="AB31">
            <v>435510.68955252774</v>
          </cell>
          <cell r="AC31">
            <v>73982341.689552531</v>
          </cell>
          <cell r="AD31" t="str">
            <v>N/A</v>
          </cell>
          <cell r="AE31">
            <v>-8141418</v>
          </cell>
          <cell r="AF31">
            <v>-8141418</v>
          </cell>
          <cell r="AG31">
            <v>-8141418</v>
          </cell>
          <cell r="AH31">
            <v>-8141418</v>
          </cell>
          <cell r="AI31">
            <v>-8201438</v>
          </cell>
          <cell r="AJ31">
            <v>0</v>
          </cell>
          <cell r="AK31">
            <v>-40767110</v>
          </cell>
          <cell r="AL31">
            <v>232799100</v>
          </cell>
          <cell r="AM31">
            <v>2845445.3586499798</v>
          </cell>
          <cell r="AN31">
            <v>-5216636.1899999995</v>
          </cell>
          <cell r="AO31">
            <v>31631844.343558624</v>
          </cell>
          <cell r="AP31">
            <v>0</v>
          </cell>
          <cell r="AQ31">
            <v>-72398956.810000002</v>
          </cell>
          <cell r="AR31">
            <v>0</v>
          </cell>
          <cell r="AS31">
            <v>0</v>
          </cell>
          <cell r="AT31">
            <v>189660796.70220858</v>
          </cell>
          <cell r="AU31">
            <v>7.0216455839791376E-3</v>
          </cell>
          <cell r="AV31">
            <v>0</v>
          </cell>
          <cell r="AW31">
            <v>0</v>
          </cell>
          <cell r="AY31">
            <v>0</v>
          </cell>
          <cell r="AZ31">
            <v>0</v>
          </cell>
          <cell r="BA31">
            <v>0</v>
          </cell>
          <cell r="BB31">
            <v>0</v>
          </cell>
          <cell r="BC31">
            <v>0</v>
          </cell>
          <cell r="BD31">
            <v>0</v>
          </cell>
          <cell r="BE31">
            <v>0</v>
          </cell>
          <cell r="BF31">
            <v>0</v>
          </cell>
          <cell r="BG31">
            <v>0</v>
          </cell>
          <cell r="BH31">
            <v>0</v>
          </cell>
          <cell r="BJ31">
            <v>0</v>
          </cell>
          <cell r="BL31">
            <v>0</v>
          </cell>
          <cell r="BM31">
            <v>0</v>
          </cell>
          <cell r="BN31">
            <v>0</v>
          </cell>
          <cell r="BO31">
            <v>0</v>
          </cell>
          <cell r="BQ31">
            <v>0</v>
          </cell>
          <cell r="BR31">
            <v>0</v>
          </cell>
          <cell r="BS31">
            <v>0</v>
          </cell>
          <cell r="BT31">
            <v>0</v>
          </cell>
          <cell r="CB31">
            <v>0</v>
          </cell>
          <cell r="CC31">
            <v>0</v>
          </cell>
          <cell r="CD31">
            <v>0</v>
          </cell>
          <cell r="CE31">
            <v>0</v>
          </cell>
          <cell r="CF31">
            <v>0</v>
          </cell>
          <cell r="CI31">
            <v>0</v>
          </cell>
          <cell r="CJ31">
            <v>0</v>
          </cell>
          <cell r="CK31">
            <v>0</v>
          </cell>
          <cell r="CV31">
            <v>4.359677677606282E-3</v>
          </cell>
          <cell r="DG31">
            <v>189660798</v>
          </cell>
          <cell r="DR31">
            <v>81503903.549999997</v>
          </cell>
          <cell r="EC31">
            <v>2.3270149003801919</v>
          </cell>
          <cell r="EN31">
            <v>2.4095909012463064E-2</v>
          </cell>
        </row>
        <row r="32">
          <cell r="B32">
            <v>11310</v>
          </cell>
          <cell r="C32" t="str">
            <v>N.C. Housing Finance Agency</v>
          </cell>
          <cell r="D32">
            <v>4.1985438008708826E-4</v>
          </cell>
          <cell r="E32">
            <v>726445.97457661317</v>
          </cell>
          <cell r="F32">
            <v>566426.58619884215</v>
          </cell>
          <cell r="G32">
            <v>-111876</v>
          </cell>
          <cell r="H32">
            <v>-202704.23992835873</v>
          </cell>
          <cell r="I32">
            <v>-8388.2839101891041</v>
          </cell>
          <cell r="J32">
            <v>613018.77178731351</v>
          </cell>
          <cell r="K32">
            <v>0</v>
          </cell>
          <cell r="L32">
            <v>-32209.023933891171</v>
          </cell>
          <cell r="M32">
            <v>5780.1401467907963</v>
          </cell>
          <cell r="N32">
            <v>217.89602617759707</v>
          </cell>
          <cell r="O32">
            <v>-98.334094360196943</v>
          </cell>
          <cell r="P32">
            <v>0</v>
          </cell>
          <cell r="Q32">
            <v>0</v>
          </cell>
          <cell r="R32">
            <v>0</v>
          </cell>
          <cell r="S32">
            <v>1556613.486868938</v>
          </cell>
          <cell r="T32">
            <v>59107.490000000049</v>
          </cell>
          <cell r="U32">
            <v>3065093.8589365678</v>
          </cell>
          <cell r="V32">
            <v>23120.560587163185</v>
          </cell>
          <cell r="W32">
            <v>0</v>
          </cell>
          <cell r="X32">
            <v>3147321.9095237311</v>
          </cell>
          <cell r="Y32">
            <v>618485</v>
          </cell>
          <cell r="Z32">
            <v>0</v>
          </cell>
          <cell r="AA32">
            <v>0</v>
          </cell>
          <cell r="AB32">
            <v>41941.419550945517</v>
          </cell>
          <cell r="AC32">
            <v>660426.41955094552</v>
          </cell>
          <cell r="AD32" t="str">
            <v>N/A</v>
          </cell>
          <cell r="AE32">
            <v>498535</v>
          </cell>
          <cell r="AF32">
            <v>498536</v>
          </cell>
          <cell r="AG32">
            <v>498536</v>
          </cell>
          <cell r="AH32">
            <v>498536</v>
          </cell>
          <cell r="AI32">
            <v>492755</v>
          </cell>
          <cell r="AJ32">
            <v>0</v>
          </cell>
          <cell r="AK32">
            <v>2486898</v>
          </cell>
          <cell r="AL32">
            <v>14662241</v>
          </cell>
          <cell r="AM32">
            <v>1556613.486868938</v>
          </cell>
          <cell r="AN32">
            <v>-440657.49000000005</v>
          </cell>
          <cell r="AO32">
            <v>3046272.9999727854</v>
          </cell>
          <cell r="AP32">
            <v>0</v>
          </cell>
          <cell r="AQ32">
            <v>-559377.51</v>
          </cell>
          <cell r="AR32">
            <v>0</v>
          </cell>
          <cell r="AS32">
            <v>0</v>
          </cell>
          <cell r="AT32">
            <v>18265092.486841723</v>
          </cell>
          <cell r="AU32">
            <v>4.4223994001554623E-4</v>
          </cell>
          <cell r="AV32">
            <v>0</v>
          </cell>
          <cell r="AW32">
            <v>0</v>
          </cell>
          <cell r="AY32">
            <v>0</v>
          </cell>
          <cell r="AZ32">
            <v>0</v>
          </cell>
          <cell r="BA32">
            <v>0</v>
          </cell>
          <cell r="BB32">
            <v>0</v>
          </cell>
          <cell r="BC32">
            <v>0</v>
          </cell>
          <cell r="BD32">
            <v>0</v>
          </cell>
          <cell r="BE32">
            <v>0</v>
          </cell>
          <cell r="BF32">
            <v>0</v>
          </cell>
          <cell r="BG32">
            <v>0</v>
          </cell>
          <cell r="BH32">
            <v>0</v>
          </cell>
          <cell r="BJ32">
            <v>0</v>
          </cell>
          <cell r="BL32">
            <v>0</v>
          </cell>
          <cell r="BM32">
            <v>0</v>
          </cell>
          <cell r="BN32">
            <v>0</v>
          </cell>
          <cell r="BO32">
            <v>0</v>
          </cell>
          <cell r="BQ32">
            <v>0</v>
          </cell>
          <cell r="BR32">
            <v>0</v>
          </cell>
          <cell r="BS32">
            <v>0</v>
          </cell>
          <cell r="BT32">
            <v>0</v>
          </cell>
          <cell r="CB32">
            <v>0</v>
          </cell>
          <cell r="CC32">
            <v>0</v>
          </cell>
          <cell r="CD32">
            <v>0</v>
          </cell>
          <cell r="CE32">
            <v>0</v>
          </cell>
          <cell r="CF32">
            <v>0</v>
          </cell>
          <cell r="CI32">
            <v>0</v>
          </cell>
          <cell r="CJ32">
            <v>0</v>
          </cell>
          <cell r="CK32">
            <v>0</v>
          </cell>
          <cell r="CV32">
            <v>4.1985438008708826E-4</v>
          </cell>
          <cell r="DG32">
            <v>18265093</v>
          </cell>
          <cell r="DR32">
            <v>7711680.4799999986</v>
          </cell>
          <cell r="EC32">
            <v>2.3684971190611366</v>
          </cell>
          <cell r="EN32">
            <v>2.4095909012463064E-2</v>
          </cell>
        </row>
        <row r="33">
          <cell r="B33">
            <v>11600</v>
          </cell>
          <cell r="C33" t="str">
            <v>Wildlife Resources Commission</v>
          </cell>
          <cell r="D33">
            <v>1.792159297127403E-3</v>
          </cell>
          <cell r="E33">
            <v>3100853.4600215591</v>
          </cell>
          <cell r="F33">
            <v>2417806.5556582469</v>
          </cell>
          <cell r="G33">
            <v>-285002</v>
          </cell>
          <cell r="H33">
            <v>-865248.2988968672</v>
          </cell>
          <cell r="I33">
            <v>-35805.607157108519</v>
          </cell>
          <cell r="J33">
            <v>2616686.5067463936</v>
          </cell>
          <cell r="K33">
            <v>0</v>
          </cell>
          <cell r="L33">
            <v>-137485.05299039339</v>
          </cell>
          <cell r="M33">
            <v>24672.677942818595</v>
          </cell>
          <cell r="N33">
            <v>930.09483202317961</v>
          </cell>
          <cell r="O33">
            <v>-419.74162898020904</v>
          </cell>
          <cell r="P33">
            <v>0</v>
          </cell>
          <cell r="Q33">
            <v>0</v>
          </cell>
          <cell r="R33">
            <v>0</v>
          </cell>
          <cell r="S33">
            <v>6836988.5945276935</v>
          </cell>
          <cell r="T33">
            <v>53220.220000000205</v>
          </cell>
          <cell r="U33">
            <v>13083432.533731969</v>
          </cell>
          <cell r="V33">
            <v>98690.711771274378</v>
          </cell>
          <cell r="W33">
            <v>0</v>
          </cell>
          <cell r="X33">
            <v>13235343.465503244</v>
          </cell>
          <cell r="Y33">
            <v>1478227</v>
          </cell>
          <cell r="Z33">
            <v>0</v>
          </cell>
          <cell r="AA33">
            <v>0</v>
          </cell>
          <cell r="AB33">
            <v>179028.0357855426</v>
          </cell>
          <cell r="AC33">
            <v>1657255.0357855426</v>
          </cell>
          <cell r="AD33" t="str">
            <v>N/A</v>
          </cell>
          <cell r="AE33">
            <v>2320553</v>
          </cell>
          <cell r="AF33">
            <v>2320552</v>
          </cell>
          <cell r="AG33">
            <v>2320552</v>
          </cell>
          <cell r="AH33">
            <v>2320552</v>
          </cell>
          <cell r="AI33">
            <v>2295879</v>
          </cell>
          <cell r="AJ33">
            <v>0</v>
          </cell>
          <cell r="AK33">
            <v>11578088</v>
          </cell>
          <cell r="AL33">
            <v>61192006</v>
          </cell>
          <cell r="AM33">
            <v>6836988.5945276935</v>
          </cell>
          <cell r="AN33">
            <v>-1642062.2200000002</v>
          </cell>
          <cell r="AO33">
            <v>13003095.209717702</v>
          </cell>
          <cell r="AP33">
            <v>0</v>
          </cell>
          <cell r="AQ33">
            <v>-1425006.7799999998</v>
          </cell>
          <cell r="AR33">
            <v>0</v>
          </cell>
          <cell r="AS33">
            <v>0</v>
          </cell>
          <cell r="AT33">
            <v>77965020.804245397</v>
          </cell>
          <cell r="AU33">
            <v>1.8456625566167853E-3</v>
          </cell>
          <cell r="AV33">
            <v>0</v>
          </cell>
          <cell r="AW33">
            <v>0</v>
          </cell>
          <cell r="AY33">
            <v>0</v>
          </cell>
          <cell r="AZ33">
            <v>0</v>
          </cell>
          <cell r="BA33">
            <v>0</v>
          </cell>
          <cell r="BB33">
            <v>0</v>
          </cell>
          <cell r="BC33">
            <v>0</v>
          </cell>
          <cell r="BD33">
            <v>0</v>
          </cell>
          <cell r="BE33">
            <v>0</v>
          </cell>
          <cell r="BF33">
            <v>0</v>
          </cell>
          <cell r="BG33">
            <v>0</v>
          </cell>
          <cell r="BH33">
            <v>0</v>
          </cell>
          <cell r="BJ33">
            <v>0</v>
          </cell>
          <cell r="BL33">
            <v>0</v>
          </cell>
          <cell r="BM33">
            <v>0</v>
          </cell>
          <cell r="BN33">
            <v>0</v>
          </cell>
          <cell r="BO33">
            <v>0</v>
          </cell>
          <cell r="BQ33">
            <v>0</v>
          </cell>
          <cell r="BR33">
            <v>0</v>
          </cell>
          <cell r="BS33">
            <v>0</v>
          </cell>
          <cell r="BT33">
            <v>0</v>
          </cell>
          <cell r="CB33">
            <v>0</v>
          </cell>
          <cell r="CC33">
            <v>0</v>
          </cell>
          <cell r="CD33">
            <v>0</v>
          </cell>
          <cell r="CE33">
            <v>0</v>
          </cell>
          <cell r="CF33">
            <v>0</v>
          </cell>
          <cell r="CI33">
            <v>0</v>
          </cell>
          <cell r="CJ33">
            <v>0</v>
          </cell>
          <cell r="CK33">
            <v>0</v>
          </cell>
          <cell r="CV33">
            <v>1.792159297127403E-3</v>
          </cell>
          <cell r="DG33">
            <v>77965021</v>
          </cell>
          <cell r="DR33">
            <v>28412137.169999994</v>
          </cell>
          <cell r="EC33">
            <v>2.7440744965261623</v>
          </cell>
          <cell r="EN33">
            <v>2.4095909012463064E-2</v>
          </cell>
        </row>
        <row r="34">
          <cell r="B34">
            <v>11900</v>
          </cell>
          <cell r="C34" t="str">
            <v>State Board Of Elections</v>
          </cell>
          <cell r="D34">
            <v>2.0821938671753397E-4</v>
          </cell>
          <cell r="E34">
            <v>360268.08932751528</v>
          </cell>
          <cell r="F34">
            <v>280909.29139375756</v>
          </cell>
          <cell r="G34">
            <v>-72643</v>
          </cell>
          <cell r="H34">
            <v>-100527.59843584802</v>
          </cell>
          <cell r="I34">
            <v>-4160.0216985466341</v>
          </cell>
          <cell r="J34">
            <v>304015.8654088928</v>
          </cell>
          <cell r="K34">
            <v>0</v>
          </cell>
          <cell r="L34">
            <v>-15973.498261216399</v>
          </cell>
          <cell r="M34">
            <v>2866.5587250906678</v>
          </cell>
          <cell r="N34">
            <v>108.06169731866578</v>
          </cell>
          <cell r="O34">
            <v>-48.767062563113633</v>
          </cell>
          <cell r="P34">
            <v>0</v>
          </cell>
          <cell r="Q34">
            <v>0</v>
          </cell>
          <cell r="R34">
            <v>0</v>
          </cell>
          <cell r="S34">
            <v>754814.98109440086</v>
          </cell>
          <cell r="T34">
            <v>0</v>
          </cell>
          <cell r="U34">
            <v>1520079.3270444639</v>
          </cell>
          <cell r="V34">
            <v>11466.234900362671</v>
          </cell>
          <cell r="W34">
            <v>0</v>
          </cell>
          <cell r="X34">
            <v>1531545.5619448265</v>
          </cell>
          <cell r="Y34">
            <v>363213.88</v>
          </cell>
          <cell r="Z34">
            <v>0</v>
          </cell>
          <cell r="AA34">
            <v>0</v>
          </cell>
          <cell r="AB34">
            <v>20800.108492733169</v>
          </cell>
          <cell r="AC34">
            <v>384013.98849273316</v>
          </cell>
          <cell r="AD34" t="str">
            <v>N/A</v>
          </cell>
          <cell r="AE34">
            <v>230079</v>
          </cell>
          <cell r="AF34">
            <v>230079</v>
          </cell>
          <cell r="AG34">
            <v>230079</v>
          </cell>
          <cell r="AH34">
            <v>230079</v>
          </cell>
          <cell r="AI34">
            <v>227213</v>
          </cell>
          <cell r="AJ34">
            <v>0</v>
          </cell>
          <cell r="AK34">
            <v>1147529</v>
          </cell>
          <cell r="AL34">
            <v>7338462</v>
          </cell>
          <cell r="AM34">
            <v>754814.98109440086</v>
          </cell>
          <cell r="AN34">
            <v>-182558.12</v>
          </cell>
          <cell r="AO34">
            <v>1510745.4534520935</v>
          </cell>
          <cell r="AP34">
            <v>0</v>
          </cell>
          <cell r="AQ34">
            <v>-363213.88</v>
          </cell>
          <cell r="AR34">
            <v>0</v>
          </cell>
          <cell r="AS34">
            <v>0</v>
          </cell>
          <cell r="AT34">
            <v>9058250.4345464949</v>
          </cell>
          <cell r="AU34">
            <v>2.2134141517205787E-4</v>
          </cell>
          <cell r="AV34">
            <v>0</v>
          </cell>
          <cell r="AW34">
            <v>0</v>
          </cell>
          <cell r="AY34">
            <v>0</v>
          </cell>
          <cell r="AZ34">
            <v>0</v>
          </cell>
          <cell r="BA34">
            <v>0</v>
          </cell>
          <cell r="BB34">
            <v>0</v>
          </cell>
          <cell r="BC34">
            <v>0</v>
          </cell>
          <cell r="BD34">
            <v>0</v>
          </cell>
          <cell r="BE34">
            <v>0</v>
          </cell>
          <cell r="BF34">
            <v>0</v>
          </cell>
          <cell r="BG34">
            <v>0</v>
          </cell>
          <cell r="BH34">
            <v>0</v>
          </cell>
          <cell r="BJ34">
            <v>0</v>
          </cell>
          <cell r="BL34">
            <v>0</v>
          </cell>
          <cell r="BM34">
            <v>0</v>
          </cell>
          <cell r="BN34">
            <v>0</v>
          </cell>
          <cell r="BO34">
            <v>0</v>
          </cell>
          <cell r="BQ34">
            <v>0</v>
          </cell>
          <cell r="BR34">
            <v>0</v>
          </cell>
          <cell r="BS34">
            <v>0</v>
          </cell>
          <cell r="BT34">
            <v>0</v>
          </cell>
          <cell r="CB34">
            <v>0</v>
          </cell>
          <cell r="CC34">
            <v>0</v>
          </cell>
          <cell r="CD34">
            <v>0</v>
          </cell>
          <cell r="CE34">
            <v>0</v>
          </cell>
          <cell r="CF34">
            <v>0</v>
          </cell>
          <cell r="CI34">
            <v>0</v>
          </cell>
          <cell r="CJ34">
            <v>0</v>
          </cell>
          <cell r="CK34">
            <v>0</v>
          </cell>
          <cell r="CV34">
            <v>2.0821938671753397E-4</v>
          </cell>
          <cell r="DG34">
            <v>9058251</v>
          </cell>
          <cell r="DR34">
            <v>3220506.4499999997</v>
          </cell>
          <cell r="EC34">
            <v>2.8126790430741107</v>
          </cell>
          <cell r="EN34">
            <v>2.4095909012463064E-2</v>
          </cell>
        </row>
        <row r="35">
          <cell r="B35">
            <v>12100</v>
          </cell>
          <cell r="C35" t="str">
            <v>Governor's Office</v>
          </cell>
          <cell r="D35">
            <v>2.4575505458039566E-4</v>
          </cell>
          <cell r="E35">
            <v>425213.54688440595</v>
          </cell>
          <cell r="F35">
            <v>331548.75406613515</v>
          </cell>
          <cell r="G35">
            <v>-45203</v>
          </cell>
          <cell r="H35">
            <v>-118649.68882053444</v>
          </cell>
          <cell r="I35">
            <v>-4909.9479913887744</v>
          </cell>
          <cell r="J35">
            <v>358820.74563125736</v>
          </cell>
          <cell r="K35">
            <v>0</v>
          </cell>
          <cell r="L35">
            <v>-18853.037648941085</v>
          </cell>
          <cell r="M35">
            <v>3383.3127022808753</v>
          </cell>
          <cell r="N35">
            <v>127.54195822613374</v>
          </cell>
          <cell r="O35">
            <v>-57.558291333274468</v>
          </cell>
          <cell r="P35">
            <v>0</v>
          </cell>
          <cell r="Q35">
            <v>0</v>
          </cell>
          <cell r="R35">
            <v>0</v>
          </cell>
          <cell r="S35">
            <v>931420.6684901081</v>
          </cell>
          <cell r="T35">
            <v>12777.299999999988</v>
          </cell>
          <cell r="U35">
            <v>1794103.7281562868</v>
          </cell>
          <cell r="V35">
            <v>13533.250809123501</v>
          </cell>
          <cell r="W35">
            <v>0</v>
          </cell>
          <cell r="X35">
            <v>1820414.2789654103</v>
          </cell>
          <cell r="Y35">
            <v>238790</v>
          </cell>
          <cell r="Z35">
            <v>0</v>
          </cell>
          <cell r="AA35">
            <v>0</v>
          </cell>
          <cell r="AB35">
            <v>24549.739956943871</v>
          </cell>
          <cell r="AC35">
            <v>263339.7399569439</v>
          </cell>
          <cell r="AD35" t="str">
            <v>N/A</v>
          </cell>
          <cell r="AE35">
            <v>312091</v>
          </cell>
          <cell r="AF35">
            <v>312092</v>
          </cell>
          <cell r="AG35">
            <v>312092</v>
          </cell>
          <cell r="AH35">
            <v>312092</v>
          </cell>
          <cell r="AI35">
            <v>308709</v>
          </cell>
          <cell r="AJ35">
            <v>0</v>
          </cell>
          <cell r="AK35">
            <v>1557076</v>
          </cell>
          <cell r="AL35">
            <v>8434432</v>
          </cell>
          <cell r="AM35">
            <v>931420.6684901081</v>
          </cell>
          <cell r="AN35">
            <v>-231747.3</v>
          </cell>
          <cell r="AO35">
            <v>1783087.2390084667</v>
          </cell>
          <cell r="AP35">
            <v>0</v>
          </cell>
          <cell r="AQ35">
            <v>-226012.7</v>
          </cell>
          <cell r="AR35">
            <v>0</v>
          </cell>
          <cell r="AS35">
            <v>0</v>
          </cell>
          <cell r="AT35">
            <v>10691179.907498576</v>
          </cell>
          <cell r="AU35">
            <v>2.5439784416979685E-4</v>
          </cell>
          <cell r="AV35">
            <v>0</v>
          </cell>
          <cell r="AW35">
            <v>0</v>
          </cell>
          <cell r="AY35">
            <v>0</v>
          </cell>
          <cell r="AZ35">
            <v>0</v>
          </cell>
          <cell r="BA35">
            <v>0</v>
          </cell>
          <cell r="BB35">
            <v>0</v>
          </cell>
          <cell r="BC35">
            <v>0</v>
          </cell>
          <cell r="BD35">
            <v>0</v>
          </cell>
          <cell r="BE35">
            <v>0</v>
          </cell>
          <cell r="BF35">
            <v>0</v>
          </cell>
          <cell r="BG35">
            <v>0</v>
          </cell>
          <cell r="BH35">
            <v>0</v>
          </cell>
          <cell r="BJ35">
            <v>0</v>
          </cell>
          <cell r="BL35">
            <v>0</v>
          </cell>
          <cell r="BM35">
            <v>0</v>
          </cell>
          <cell r="BN35">
            <v>0</v>
          </cell>
          <cell r="BO35">
            <v>0</v>
          </cell>
          <cell r="BQ35">
            <v>0</v>
          </cell>
          <cell r="BR35">
            <v>0</v>
          </cell>
          <cell r="BS35">
            <v>0</v>
          </cell>
          <cell r="BT35">
            <v>0</v>
          </cell>
          <cell r="CB35">
            <v>0</v>
          </cell>
          <cell r="CC35">
            <v>0</v>
          </cell>
          <cell r="CD35">
            <v>0</v>
          </cell>
          <cell r="CE35">
            <v>0</v>
          </cell>
          <cell r="CF35">
            <v>0</v>
          </cell>
          <cell r="CI35">
            <v>0</v>
          </cell>
          <cell r="CJ35">
            <v>0</v>
          </cell>
          <cell r="CK35">
            <v>0</v>
          </cell>
          <cell r="CV35">
            <v>2.4575505458039566E-4</v>
          </cell>
          <cell r="DG35">
            <v>10691180</v>
          </cell>
          <cell r="DR35">
            <v>4186906.6799999992</v>
          </cell>
          <cell r="EC35">
            <v>2.5534794102456568</v>
          </cell>
          <cell r="EN35">
            <v>2.4095909012463064E-2</v>
          </cell>
        </row>
        <row r="36">
          <cell r="B36">
            <v>12150</v>
          </cell>
          <cell r="C36" t="str">
            <v>Lt. Governor's Office</v>
          </cell>
          <cell r="D36">
            <v>3.6743207437318127E-5</v>
          </cell>
          <cell r="E36">
            <v>63574.316243495312</v>
          </cell>
          <cell r="F36">
            <v>49570.352345494211</v>
          </cell>
          <cell r="G36">
            <v>-18259</v>
          </cell>
          <cell r="H36">
            <v>-17739.49323707588</v>
          </cell>
          <cell r="I36">
            <v>-734.09370099048465</v>
          </cell>
          <cell r="J36">
            <v>53647.828778347262</v>
          </cell>
          <cell r="K36">
            <v>0</v>
          </cell>
          <cell r="L36">
            <v>-2818.7459840505367</v>
          </cell>
          <cell r="M36">
            <v>505.8441652704721</v>
          </cell>
          <cell r="N36">
            <v>19.068989795819363</v>
          </cell>
          <cell r="O36">
            <v>-8.6056266138942785</v>
          </cell>
          <cell r="P36">
            <v>0</v>
          </cell>
          <cell r="Q36">
            <v>0</v>
          </cell>
          <cell r="R36">
            <v>0</v>
          </cell>
          <cell r="S36">
            <v>127757.47197367231</v>
          </cell>
          <cell r="T36">
            <v>0</v>
          </cell>
          <cell r="U36">
            <v>268239.14389173628</v>
          </cell>
          <cell r="V36">
            <v>2023.3766610818884</v>
          </cell>
          <cell r="W36">
            <v>0</v>
          </cell>
          <cell r="X36">
            <v>270262.5205528182</v>
          </cell>
          <cell r="Y36">
            <v>91297.45</v>
          </cell>
          <cell r="Z36">
            <v>0</v>
          </cell>
          <cell r="AA36">
            <v>0</v>
          </cell>
          <cell r="AB36">
            <v>3670.4685049524232</v>
          </cell>
          <cell r="AC36">
            <v>94967.918504952424</v>
          </cell>
          <cell r="AD36" t="str">
            <v>N/A</v>
          </cell>
          <cell r="AE36">
            <v>35161</v>
          </cell>
          <cell r="AF36">
            <v>35160</v>
          </cell>
          <cell r="AG36">
            <v>35160</v>
          </cell>
          <cell r="AH36">
            <v>35160</v>
          </cell>
          <cell r="AI36">
            <v>34654</v>
          </cell>
          <cell r="AJ36">
            <v>0</v>
          </cell>
          <cell r="AK36">
            <v>175295</v>
          </cell>
          <cell r="AL36">
            <v>1322398</v>
          </cell>
          <cell r="AM36">
            <v>127757.47197367231</v>
          </cell>
          <cell r="AN36">
            <v>-26996.550000000003</v>
          </cell>
          <cell r="AO36">
            <v>266592.05204786576</v>
          </cell>
          <cell r="AP36">
            <v>0</v>
          </cell>
          <cell r="AQ36">
            <v>-91297.45</v>
          </cell>
          <cell r="AR36">
            <v>0</v>
          </cell>
          <cell r="AS36">
            <v>0</v>
          </cell>
          <cell r="AT36">
            <v>1598453.524021538</v>
          </cell>
          <cell r="AU36">
            <v>3.9885936918139238E-5</v>
          </cell>
          <cell r="AV36">
            <v>0</v>
          </cell>
          <cell r="AW36">
            <v>0</v>
          </cell>
          <cell r="AY36">
            <v>0</v>
          </cell>
          <cell r="AZ36">
            <v>0</v>
          </cell>
          <cell r="BA36">
            <v>0</v>
          </cell>
          <cell r="BB36">
            <v>0</v>
          </cell>
          <cell r="BC36">
            <v>0</v>
          </cell>
          <cell r="BD36">
            <v>0</v>
          </cell>
          <cell r="BE36">
            <v>0</v>
          </cell>
          <cell r="BF36">
            <v>0</v>
          </cell>
          <cell r="BG36">
            <v>0</v>
          </cell>
          <cell r="BH36">
            <v>0</v>
          </cell>
          <cell r="BJ36">
            <v>0</v>
          </cell>
          <cell r="BL36">
            <v>0</v>
          </cell>
          <cell r="BM36">
            <v>0</v>
          </cell>
          <cell r="BN36">
            <v>0</v>
          </cell>
          <cell r="BO36">
            <v>0</v>
          </cell>
          <cell r="BQ36">
            <v>0</v>
          </cell>
          <cell r="BR36">
            <v>0</v>
          </cell>
          <cell r="BS36">
            <v>0</v>
          </cell>
          <cell r="BT36">
            <v>0</v>
          </cell>
          <cell r="CB36">
            <v>0</v>
          </cell>
          <cell r="CC36">
            <v>0</v>
          </cell>
          <cell r="CD36">
            <v>0</v>
          </cell>
          <cell r="CE36">
            <v>0</v>
          </cell>
          <cell r="CF36">
            <v>0</v>
          </cell>
          <cell r="CI36">
            <v>0</v>
          </cell>
          <cell r="CJ36">
            <v>0</v>
          </cell>
          <cell r="CK36">
            <v>0</v>
          </cell>
          <cell r="CV36">
            <v>3.6743207437318127E-5</v>
          </cell>
          <cell r="DG36">
            <v>1598454</v>
          </cell>
          <cell r="DR36">
            <v>509215.18000000005</v>
          </cell>
          <cell r="EC36">
            <v>3.1390541028254497</v>
          </cell>
          <cell r="EN36">
            <v>2.4095909012463064E-2</v>
          </cell>
        </row>
        <row r="37">
          <cell r="B37">
            <v>12160</v>
          </cell>
          <cell r="C37" t="str">
            <v>General Assembly</v>
          </cell>
          <cell r="D37">
            <v>1.6142620447768545E-3</v>
          </cell>
          <cell r="E37">
            <v>2793049.7333306768</v>
          </cell>
          <cell r="F37">
            <v>2177804.9309945391</v>
          </cell>
          <cell r="G37">
            <v>97881</v>
          </cell>
          <cell r="H37">
            <v>-779360.12186848535</v>
          </cell>
          <cell r="I37">
            <v>-32251.392338033806</v>
          </cell>
          <cell r="J37">
            <v>2356943.2235689019</v>
          </cell>
          <cell r="K37">
            <v>0</v>
          </cell>
          <cell r="L37">
            <v>-123837.70969593077</v>
          </cell>
          <cell r="M37">
            <v>22223.564395159789</v>
          </cell>
          <cell r="N37">
            <v>837.76971599829199</v>
          </cell>
          <cell r="O37">
            <v>-378.07631350718708</v>
          </cell>
          <cell r="P37">
            <v>0</v>
          </cell>
          <cell r="Q37">
            <v>0</v>
          </cell>
          <cell r="R37">
            <v>0</v>
          </cell>
          <cell r="S37">
            <v>6512912.9217893193</v>
          </cell>
          <cell r="T37">
            <v>489404.26999999979</v>
          </cell>
          <cell r="U37">
            <v>11784716.117844509</v>
          </cell>
          <cell r="V37">
            <v>88894.257580639154</v>
          </cell>
          <cell r="W37">
            <v>0</v>
          </cell>
          <cell r="X37">
            <v>12363014.645425148</v>
          </cell>
          <cell r="Y37">
            <v>0</v>
          </cell>
          <cell r="Z37">
            <v>0</v>
          </cell>
          <cell r="AA37">
            <v>0</v>
          </cell>
          <cell r="AB37">
            <v>161256.96169016903</v>
          </cell>
          <cell r="AC37">
            <v>161256.96169016903</v>
          </cell>
          <cell r="AD37" t="str">
            <v>N/A</v>
          </cell>
          <cell r="AE37">
            <v>2444795</v>
          </cell>
          <cell r="AF37">
            <v>2444797</v>
          </cell>
          <cell r="AG37">
            <v>2444797</v>
          </cell>
          <cell r="AH37">
            <v>2444797</v>
          </cell>
          <cell r="AI37">
            <v>2422574</v>
          </cell>
          <cell r="AJ37">
            <v>0</v>
          </cell>
          <cell r="AK37">
            <v>12201760</v>
          </cell>
          <cell r="AL37">
            <v>53145901</v>
          </cell>
          <cell r="AM37">
            <v>6512912.9217893193</v>
          </cell>
          <cell r="AN37">
            <v>-1634685.2699999998</v>
          </cell>
          <cell r="AO37">
            <v>11712353.41373498</v>
          </cell>
          <cell r="AP37">
            <v>0</v>
          </cell>
          <cell r="AQ37">
            <v>489404.26999999979</v>
          </cell>
          <cell r="AR37">
            <v>0</v>
          </cell>
          <cell r="AS37">
            <v>0</v>
          </cell>
          <cell r="AT37">
            <v>70225886.335524291</v>
          </cell>
          <cell r="AU37">
            <v>1.6029773290405359E-3</v>
          </cell>
          <cell r="AV37">
            <v>0</v>
          </cell>
          <cell r="AW37">
            <v>0</v>
          </cell>
          <cell r="AY37">
            <v>0</v>
          </cell>
          <cell r="AZ37">
            <v>0</v>
          </cell>
          <cell r="BA37">
            <v>0</v>
          </cell>
          <cell r="BB37">
            <v>0</v>
          </cell>
          <cell r="BC37">
            <v>0</v>
          </cell>
          <cell r="BD37">
            <v>0</v>
          </cell>
          <cell r="BE37">
            <v>0</v>
          </cell>
          <cell r="BF37">
            <v>0</v>
          </cell>
          <cell r="BG37">
            <v>0</v>
          </cell>
          <cell r="BH37">
            <v>0</v>
          </cell>
          <cell r="BJ37">
            <v>0</v>
          </cell>
          <cell r="BL37">
            <v>0</v>
          </cell>
          <cell r="BM37">
            <v>0</v>
          </cell>
          <cell r="BN37">
            <v>0</v>
          </cell>
          <cell r="BO37">
            <v>0</v>
          </cell>
          <cell r="BQ37">
            <v>0</v>
          </cell>
          <cell r="BR37">
            <v>0</v>
          </cell>
          <cell r="BS37">
            <v>0</v>
          </cell>
          <cell r="BT37">
            <v>0</v>
          </cell>
          <cell r="CB37">
            <v>0</v>
          </cell>
          <cell r="CC37">
            <v>0</v>
          </cell>
          <cell r="CD37">
            <v>0</v>
          </cell>
          <cell r="CE37">
            <v>0</v>
          </cell>
          <cell r="CF37">
            <v>0</v>
          </cell>
          <cell r="CI37">
            <v>0</v>
          </cell>
          <cell r="CJ37">
            <v>0</v>
          </cell>
          <cell r="CK37">
            <v>0</v>
          </cell>
          <cell r="CV37">
            <v>1.6142620447768545E-3</v>
          </cell>
          <cell r="DG37">
            <v>70225886</v>
          </cell>
          <cell r="DR37">
            <v>29167151.46999998</v>
          </cell>
          <cell r="EC37">
            <v>2.4077046424033277</v>
          </cell>
          <cell r="EN37">
            <v>2.4095909012463064E-2</v>
          </cell>
        </row>
        <row r="38">
          <cell r="B38">
            <v>12220</v>
          </cell>
          <cell r="C38" t="str">
            <v>Health &amp; Human Services</v>
          </cell>
          <cell r="D38">
            <v>3.9863829786089162E-2</v>
          </cell>
          <cell r="E38">
            <v>68973720.539261639</v>
          </cell>
          <cell r="F38">
            <v>53780391.701195456</v>
          </cell>
          <cell r="G38">
            <v>-3016320</v>
          </cell>
          <cell r="H38">
            <v>-19246118.89423795</v>
          </cell>
          <cell r="I38">
            <v>-796440.71338212129</v>
          </cell>
          <cell r="J38">
            <v>58204170.620151691</v>
          </cell>
          <cell r="K38">
            <v>0</v>
          </cell>
          <cell r="L38">
            <v>-3058143.7483405108</v>
          </cell>
          <cell r="M38">
            <v>548805.80953714042</v>
          </cell>
          <cell r="N38">
            <v>20688.530382384553</v>
          </cell>
          <cell r="O38">
            <v>-9336.5075741999426</v>
          </cell>
          <cell r="P38">
            <v>0</v>
          </cell>
          <cell r="Q38">
            <v>0</v>
          </cell>
          <cell r="R38">
            <v>0</v>
          </cell>
          <cell r="S38">
            <v>155401417.33699352</v>
          </cell>
          <cell r="T38">
            <v>5261393.0399999991</v>
          </cell>
          <cell r="U38">
            <v>291020853.10075843</v>
          </cell>
          <cell r="V38">
            <v>2195223.2381485617</v>
          </cell>
          <cell r="W38">
            <v>0</v>
          </cell>
          <cell r="X38">
            <v>298477469.37890702</v>
          </cell>
          <cell r="Y38">
            <v>20342997</v>
          </cell>
          <cell r="Z38">
            <v>0</v>
          </cell>
          <cell r="AA38">
            <v>0</v>
          </cell>
          <cell r="AB38">
            <v>3982203.5669106063</v>
          </cell>
          <cell r="AC38">
            <v>24325200.566910606</v>
          </cell>
          <cell r="AD38" t="str">
            <v>N/A</v>
          </cell>
          <cell r="AE38">
            <v>54940216</v>
          </cell>
          <cell r="AF38">
            <v>54940215</v>
          </cell>
          <cell r="AG38">
            <v>54940215</v>
          </cell>
          <cell r="AH38">
            <v>54940215</v>
          </cell>
          <cell r="AI38">
            <v>54391409</v>
          </cell>
          <cell r="AJ38">
            <v>0</v>
          </cell>
          <cell r="AK38">
            <v>274152270</v>
          </cell>
          <cell r="AL38">
            <v>1346076666</v>
          </cell>
          <cell r="AM38">
            <v>155401417.33699352</v>
          </cell>
          <cell r="AN38">
            <v>-41418259.039999999</v>
          </cell>
          <cell r="AO38">
            <v>289233872.77199644</v>
          </cell>
          <cell r="AP38">
            <v>0</v>
          </cell>
          <cell r="AQ38">
            <v>-15081603.960000001</v>
          </cell>
          <cell r="AR38">
            <v>0</v>
          </cell>
          <cell r="AS38">
            <v>0</v>
          </cell>
          <cell r="AT38">
            <v>1734212093.10899</v>
          </cell>
          <cell r="AU38">
            <v>4.0600128066634794E-2</v>
          </cell>
          <cell r="AV38">
            <v>0</v>
          </cell>
          <cell r="AW38">
            <v>0</v>
          </cell>
          <cell r="AY38">
            <v>0</v>
          </cell>
          <cell r="AZ38">
            <v>0</v>
          </cell>
          <cell r="BA38">
            <v>0</v>
          </cell>
          <cell r="BB38">
            <v>0</v>
          </cell>
          <cell r="BC38">
            <v>0</v>
          </cell>
          <cell r="BD38">
            <v>0</v>
          </cell>
          <cell r="BE38">
            <v>0</v>
          </cell>
          <cell r="BF38">
            <v>0</v>
          </cell>
          <cell r="BG38">
            <v>0</v>
          </cell>
          <cell r="BH38">
            <v>0</v>
          </cell>
          <cell r="BJ38">
            <v>0</v>
          </cell>
          <cell r="BL38">
            <v>0</v>
          </cell>
          <cell r="BM38">
            <v>0</v>
          </cell>
          <cell r="BN38">
            <v>0</v>
          </cell>
          <cell r="BO38">
            <v>0</v>
          </cell>
          <cell r="BQ38">
            <v>0</v>
          </cell>
          <cell r="BR38">
            <v>0</v>
          </cell>
          <cell r="BS38">
            <v>0</v>
          </cell>
          <cell r="BT38">
            <v>0</v>
          </cell>
          <cell r="CB38">
            <v>0</v>
          </cell>
          <cell r="CC38">
            <v>0</v>
          </cell>
          <cell r="CD38">
            <v>0</v>
          </cell>
          <cell r="CE38">
            <v>0</v>
          </cell>
          <cell r="CF38">
            <v>0</v>
          </cell>
          <cell r="CI38">
            <v>0</v>
          </cell>
          <cell r="CJ38">
            <v>0</v>
          </cell>
          <cell r="CK38">
            <v>0</v>
          </cell>
          <cell r="CV38">
            <v>3.9863829786089162E-2</v>
          </cell>
          <cell r="DG38">
            <v>1734212093</v>
          </cell>
          <cell r="DR38">
            <v>714528160.84999931</v>
          </cell>
          <cell r="EC38">
            <v>2.4270731204449514</v>
          </cell>
          <cell r="EN38">
            <v>2.4095909012463064E-2</v>
          </cell>
        </row>
        <row r="39">
          <cell r="B39">
            <v>12510</v>
          </cell>
          <cell r="C39" t="str">
            <v>Department Of Commerce</v>
          </cell>
          <cell r="D39">
            <v>4.4662492583956914E-3</v>
          </cell>
          <cell r="E39">
            <v>7727652.6078978768</v>
          </cell>
          <cell r="F39">
            <v>6025427.9591448782</v>
          </cell>
          <cell r="G39">
            <v>-3435545</v>
          </cell>
          <cell r="H39">
            <v>-2156289.6665884657</v>
          </cell>
          <cell r="I39">
            <v>-89231.334886451805</v>
          </cell>
          <cell r="J39">
            <v>6521057.6922165705</v>
          </cell>
          <cell r="K39">
            <v>0</v>
          </cell>
          <cell r="L39">
            <v>-342627.19666888245</v>
          </cell>
          <cell r="M39">
            <v>61486.905623499202</v>
          </cell>
          <cell r="N39">
            <v>2317.8940401221957</v>
          </cell>
          <cell r="O39">
            <v>-1046.0402388088548</v>
          </cell>
          <cell r="P39">
            <v>0</v>
          </cell>
          <cell r="Q39">
            <v>0</v>
          </cell>
          <cell r="R39">
            <v>0</v>
          </cell>
          <cell r="S39">
            <v>14313203.820540339</v>
          </cell>
          <cell r="T39">
            <v>954519.16999999993</v>
          </cell>
          <cell r="U39">
            <v>32605288.461082853</v>
          </cell>
          <cell r="V39">
            <v>245947.62249399681</v>
          </cell>
          <cell r="W39">
            <v>0</v>
          </cell>
          <cell r="X39">
            <v>33805755.253576852</v>
          </cell>
          <cell r="Y39">
            <v>18132246</v>
          </cell>
          <cell r="Z39">
            <v>0</v>
          </cell>
          <cell r="AA39">
            <v>0</v>
          </cell>
          <cell r="AB39">
            <v>446156.67443225899</v>
          </cell>
          <cell r="AC39">
            <v>18578402.674432259</v>
          </cell>
          <cell r="AD39" t="str">
            <v>N/A</v>
          </cell>
          <cell r="AE39">
            <v>3057768</v>
          </cell>
          <cell r="AF39">
            <v>3057768</v>
          </cell>
          <cell r="AG39">
            <v>3057768</v>
          </cell>
          <cell r="AH39">
            <v>3057768</v>
          </cell>
          <cell r="AI39">
            <v>2996281</v>
          </cell>
          <cell r="AJ39">
            <v>0</v>
          </cell>
          <cell r="AK39">
            <v>15227353</v>
          </cell>
          <cell r="AL39">
            <v>169834925</v>
          </cell>
          <cell r="AM39">
            <v>14313203.820540339</v>
          </cell>
          <cell r="AN39">
            <v>-5078458.17</v>
          </cell>
          <cell r="AO39">
            <v>32405079.409144592</v>
          </cell>
          <cell r="AP39">
            <v>0</v>
          </cell>
          <cell r="AQ39">
            <v>-17177726.829999998</v>
          </cell>
          <cell r="AR39">
            <v>0</v>
          </cell>
          <cell r="AS39">
            <v>0</v>
          </cell>
          <cell r="AT39">
            <v>194297023.22968495</v>
          </cell>
          <cell r="AU39">
            <v>5.1225311936079748E-3</v>
          </cell>
          <cell r="AV39">
            <v>0</v>
          </cell>
          <cell r="AW39">
            <v>0</v>
          </cell>
          <cell r="AY39">
            <v>0</v>
          </cell>
          <cell r="AZ39">
            <v>0</v>
          </cell>
          <cell r="BA39">
            <v>0</v>
          </cell>
          <cell r="BB39">
            <v>0</v>
          </cell>
          <cell r="BC39">
            <v>0</v>
          </cell>
          <cell r="BD39">
            <v>0</v>
          </cell>
          <cell r="BE39">
            <v>0</v>
          </cell>
          <cell r="BF39">
            <v>0</v>
          </cell>
          <cell r="BG39">
            <v>0</v>
          </cell>
          <cell r="BH39">
            <v>0</v>
          </cell>
          <cell r="BJ39">
            <v>0</v>
          </cell>
          <cell r="BL39">
            <v>0</v>
          </cell>
          <cell r="BM39">
            <v>0</v>
          </cell>
          <cell r="BN39">
            <v>0</v>
          </cell>
          <cell r="BO39">
            <v>0</v>
          </cell>
          <cell r="BQ39">
            <v>0</v>
          </cell>
          <cell r="BR39">
            <v>0</v>
          </cell>
          <cell r="BS39">
            <v>0</v>
          </cell>
          <cell r="BT39">
            <v>0</v>
          </cell>
          <cell r="CB39">
            <v>0</v>
          </cell>
          <cell r="CC39">
            <v>0</v>
          </cell>
          <cell r="CD39">
            <v>0</v>
          </cell>
          <cell r="CE39">
            <v>0</v>
          </cell>
          <cell r="CF39">
            <v>0</v>
          </cell>
          <cell r="CI39">
            <v>0</v>
          </cell>
          <cell r="CJ39">
            <v>0</v>
          </cell>
          <cell r="CK39">
            <v>0</v>
          </cell>
          <cell r="CV39">
            <v>4.4662492583956914E-3</v>
          </cell>
          <cell r="DG39">
            <v>194297024</v>
          </cell>
          <cell r="DR39">
            <v>89318474.35999988</v>
          </cell>
          <cell r="EC39">
            <v>2.1753285128548212</v>
          </cell>
          <cell r="EN39">
            <v>2.4095909012463064E-2</v>
          </cell>
        </row>
        <row r="40">
          <cell r="B40">
            <v>12600</v>
          </cell>
          <cell r="C40" t="str">
            <v>Insurance Department</v>
          </cell>
          <cell r="D40">
            <v>1.2011297539877978E-3</v>
          </cell>
          <cell r="E40">
            <v>2078234.5406224977</v>
          </cell>
          <cell r="F40">
            <v>1620447.1321510128</v>
          </cell>
          <cell r="G40">
            <v>-222908</v>
          </cell>
          <cell r="H40">
            <v>-579901.28336146078</v>
          </cell>
          <cell r="I40">
            <v>-23997.40926207641</v>
          </cell>
          <cell r="J40">
            <v>1753739.2045167368</v>
          </cell>
          <cell r="K40">
            <v>0</v>
          </cell>
          <cell r="L40">
            <v>-92144.369164082789</v>
          </cell>
          <cell r="M40">
            <v>16535.967330124637</v>
          </cell>
          <cell r="N40">
            <v>623.36231972458734</v>
          </cell>
          <cell r="O40">
            <v>-281.3165996814821</v>
          </cell>
          <cell r="P40">
            <v>0</v>
          </cell>
          <cell r="Q40">
            <v>0</v>
          </cell>
          <cell r="R40">
            <v>0</v>
          </cell>
          <cell r="S40">
            <v>4550347.8285527946</v>
          </cell>
          <cell r="T40">
            <v>265156.37000000011</v>
          </cell>
          <cell r="U40">
            <v>8768696.022583684</v>
          </cell>
          <cell r="V40">
            <v>66143.869320498547</v>
          </cell>
          <cell r="W40">
            <v>0</v>
          </cell>
          <cell r="X40">
            <v>9099996.2619041819</v>
          </cell>
          <cell r="Y40">
            <v>1379695</v>
          </cell>
          <cell r="Z40">
            <v>0</v>
          </cell>
          <cell r="AA40">
            <v>0</v>
          </cell>
          <cell r="AB40">
            <v>119987.04631038204</v>
          </cell>
          <cell r="AC40">
            <v>1499682.046310382</v>
          </cell>
          <cell r="AD40" t="str">
            <v>N/A</v>
          </cell>
          <cell r="AE40">
            <v>1523370</v>
          </cell>
          <cell r="AF40">
            <v>1523370</v>
          </cell>
          <cell r="AG40">
            <v>1523370</v>
          </cell>
          <cell r="AH40">
            <v>1523370</v>
          </cell>
          <cell r="AI40">
            <v>1506834</v>
          </cell>
          <cell r="AJ40">
            <v>0</v>
          </cell>
          <cell r="AK40">
            <v>7600314</v>
          </cell>
          <cell r="AL40">
            <v>41478482</v>
          </cell>
          <cell r="AM40">
            <v>4550347.8285527946</v>
          </cell>
          <cell r="AN40">
            <v>-1375917.37</v>
          </cell>
          <cell r="AO40">
            <v>8714852.8455938008</v>
          </cell>
          <cell r="AP40">
            <v>0</v>
          </cell>
          <cell r="AQ40">
            <v>-1114538.6299999999</v>
          </cell>
          <cell r="AR40">
            <v>0</v>
          </cell>
          <cell r="AS40">
            <v>0</v>
          </cell>
          <cell r="AT40">
            <v>52253226.6741466</v>
          </cell>
          <cell r="AU40">
            <v>1.2510666990705065E-3</v>
          </cell>
          <cell r="AV40">
            <v>0</v>
          </cell>
          <cell r="AW40">
            <v>0</v>
          </cell>
          <cell r="AY40">
            <v>0</v>
          </cell>
          <cell r="AZ40">
            <v>0</v>
          </cell>
          <cell r="BA40">
            <v>0</v>
          </cell>
          <cell r="BB40">
            <v>0</v>
          </cell>
          <cell r="BC40">
            <v>0</v>
          </cell>
          <cell r="BD40">
            <v>0</v>
          </cell>
          <cell r="BE40">
            <v>0</v>
          </cell>
          <cell r="BF40">
            <v>0</v>
          </cell>
          <cell r="BG40">
            <v>0</v>
          </cell>
          <cell r="BH40">
            <v>0</v>
          </cell>
          <cell r="BJ40">
            <v>0</v>
          </cell>
          <cell r="BL40">
            <v>0</v>
          </cell>
          <cell r="BM40">
            <v>0</v>
          </cell>
          <cell r="BN40">
            <v>0</v>
          </cell>
          <cell r="BO40">
            <v>0</v>
          </cell>
          <cell r="BQ40">
            <v>0</v>
          </cell>
          <cell r="BR40">
            <v>0</v>
          </cell>
          <cell r="BS40">
            <v>0</v>
          </cell>
          <cell r="BT40">
            <v>0</v>
          </cell>
          <cell r="CB40">
            <v>0</v>
          </cell>
          <cell r="CC40">
            <v>0</v>
          </cell>
          <cell r="CD40">
            <v>0</v>
          </cell>
          <cell r="CE40">
            <v>0</v>
          </cell>
          <cell r="CF40">
            <v>0</v>
          </cell>
          <cell r="CI40">
            <v>0</v>
          </cell>
          <cell r="CJ40">
            <v>0</v>
          </cell>
          <cell r="CK40">
            <v>0</v>
          </cell>
          <cell r="CV40">
            <v>1.2011297539877978E-3</v>
          </cell>
          <cell r="DG40">
            <v>52253227</v>
          </cell>
          <cell r="DR40">
            <v>23967770.510000024</v>
          </cell>
          <cell r="EC40">
            <v>2.1801454990650253</v>
          </cell>
          <cell r="EN40">
            <v>2.4095909012463064E-2</v>
          </cell>
        </row>
        <row r="41">
          <cell r="B41">
            <v>12700</v>
          </cell>
          <cell r="C41" t="str">
            <v>Labor Department</v>
          </cell>
          <cell r="D41">
            <v>9.5007738500502809E-4</v>
          </cell>
          <cell r="E41">
            <v>1643855.4046524828</v>
          </cell>
          <cell r="F41">
            <v>1281751.7580773972</v>
          </cell>
          <cell r="G41">
            <v>-307990</v>
          </cell>
          <cell r="H41">
            <v>-458694.06950243079</v>
          </cell>
          <cell r="I41">
            <v>-18981.626059061571</v>
          </cell>
          <cell r="J41">
            <v>1387183.9839752952</v>
          </cell>
          <cell r="K41">
            <v>0</v>
          </cell>
          <cell r="L41">
            <v>-72884.949363463267</v>
          </cell>
          <cell r="M41">
            <v>13079.726438691645</v>
          </cell>
          <cell r="N41">
            <v>493.07116126990945</v>
          </cell>
          <cell r="O41">
            <v>-222.51762434202763</v>
          </cell>
          <cell r="P41">
            <v>0</v>
          </cell>
          <cell r="Q41">
            <v>0</v>
          </cell>
          <cell r="R41">
            <v>0</v>
          </cell>
          <cell r="S41">
            <v>3467590.7817558399</v>
          </cell>
          <cell r="T41">
            <v>169012.27000000002</v>
          </cell>
          <cell r="U41">
            <v>6935919.9198764758</v>
          </cell>
          <cell r="V41">
            <v>52318.90575476658</v>
          </cell>
          <cell r="W41">
            <v>0</v>
          </cell>
          <cell r="X41">
            <v>7157251.0956312427</v>
          </cell>
          <cell r="Y41">
            <v>1708960</v>
          </cell>
          <cell r="Z41">
            <v>0</v>
          </cell>
          <cell r="AA41">
            <v>0</v>
          </cell>
          <cell r="AB41">
            <v>94908.130295307841</v>
          </cell>
          <cell r="AC41">
            <v>1803868.1302953078</v>
          </cell>
          <cell r="AD41" t="str">
            <v>N/A</v>
          </cell>
          <cell r="AE41">
            <v>1073292</v>
          </cell>
          <cell r="AF41">
            <v>1073293</v>
          </cell>
          <cell r="AG41">
            <v>1073293</v>
          </cell>
          <cell r="AH41">
            <v>1073293</v>
          </cell>
          <cell r="AI41">
            <v>1060213</v>
          </cell>
          <cell r="AJ41">
            <v>0</v>
          </cell>
          <cell r="AK41">
            <v>5353384</v>
          </cell>
          <cell r="AL41">
            <v>33550086</v>
          </cell>
          <cell r="AM41">
            <v>3467590.7817558399</v>
          </cell>
          <cell r="AN41">
            <v>-1039464.27</v>
          </cell>
          <cell r="AO41">
            <v>6893330.6953359349</v>
          </cell>
          <cell r="AP41">
            <v>0</v>
          </cell>
          <cell r="AQ41">
            <v>-1539947.73</v>
          </cell>
          <cell r="AR41">
            <v>0</v>
          </cell>
          <cell r="AS41">
            <v>0</v>
          </cell>
          <cell r="AT41">
            <v>41331595.477091774</v>
          </cell>
          <cell r="AU41">
            <v>1.0119318006587533E-3</v>
          </cell>
          <cell r="AV41">
            <v>0</v>
          </cell>
          <cell r="AW41">
            <v>0</v>
          </cell>
          <cell r="AY41">
            <v>0</v>
          </cell>
          <cell r="AZ41">
            <v>0</v>
          </cell>
          <cell r="BA41">
            <v>0</v>
          </cell>
          <cell r="BB41">
            <v>0</v>
          </cell>
          <cell r="BC41">
            <v>0</v>
          </cell>
          <cell r="BD41">
            <v>0</v>
          </cell>
          <cell r="BE41">
            <v>0</v>
          </cell>
          <cell r="BF41">
            <v>0</v>
          </cell>
          <cell r="BG41">
            <v>0</v>
          </cell>
          <cell r="BH41">
            <v>0</v>
          </cell>
          <cell r="BJ41">
            <v>0</v>
          </cell>
          <cell r="BL41">
            <v>0</v>
          </cell>
          <cell r="BM41">
            <v>0</v>
          </cell>
          <cell r="BN41">
            <v>0</v>
          </cell>
          <cell r="BO41">
            <v>0</v>
          </cell>
          <cell r="BQ41">
            <v>0</v>
          </cell>
          <cell r="BR41">
            <v>0</v>
          </cell>
          <cell r="BS41">
            <v>0</v>
          </cell>
          <cell r="BT41">
            <v>0</v>
          </cell>
          <cell r="CB41">
            <v>0</v>
          </cell>
          <cell r="CC41">
            <v>0</v>
          </cell>
          <cell r="CD41">
            <v>0</v>
          </cell>
          <cell r="CE41">
            <v>0</v>
          </cell>
          <cell r="CF41">
            <v>0</v>
          </cell>
          <cell r="CI41">
            <v>0</v>
          </cell>
          <cell r="CJ41">
            <v>0</v>
          </cell>
          <cell r="CK41">
            <v>0</v>
          </cell>
          <cell r="CV41">
            <v>9.5007738500502809E-4</v>
          </cell>
          <cell r="DG41">
            <v>41331596</v>
          </cell>
          <cell r="DR41">
            <v>18256095.459999993</v>
          </cell>
          <cell r="EC41">
            <v>2.2639888189979924</v>
          </cell>
          <cell r="EN41">
            <v>2.4095909012463064E-2</v>
          </cell>
        </row>
        <row r="42">
          <cell r="B42">
            <v>13500</v>
          </cell>
          <cell r="C42" t="str">
            <v>Revenue Department</v>
          </cell>
          <cell r="D42">
            <v>3.5355190976060834E-3</v>
          </cell>
          <cell r="E42">
            <v>6117272.4123109942</v>
          </cell>
          <cell r="F42">
            <v>4769777.5892737694</v>
          </cell>
          <cell r="G42">
            <v>325106</v>
          </cell>
          <cell r="H42">
            <v>-1706936.3698999251</v>
          </cell>
          <cell r="I42">
            <v>-70636.247630580445</v>
          </cell>
          <cell r="J42">
            <v>5162122.1014664946</v>
          </cell>
          <cell r="K42">
            <v>0</v>
          </cell>
          <cell r="L42">
            <v>-271226.46478024835</v>
          </cell>
          <cell r="M42">
            <v>48673.532646198895</v>
          </cell>
          <cell r="N42">
            <v>1834.8637012756051</v>
          </cell>
          <cell r="O42">
            <v>-828.05392785032075</v>
          </cell>
          <cell r="P42">
            <v>0</v>
          </cell>
          <cell r="Q42">
            <v>0</v>
          </cell>
          <cell r="R42">
            <v>0</v>
          </cell>
          <cell r="S42">
            <v>14375159.363160131</v>
          </cell>
          <cell r="T42">
            <v>1625534.4100000001</v>
          </cell>
          <cell r="U42">
            <v>25810610.50733247</v>
          </cell>
          <cell r="V42">
            <v>194694.13058479558</v>
          </cell>
          <cell r="W42">
            <v>0</v>
          </cell>
          <cell r="X42">
            <v>27630839.047917265</v>
          </cell>
          <cell r="Y42">
            <v>0</v>
          </cell>
          <cell r="Z42">
            <v>0</v>
          </cell>
          <cell r="AA42">
            <v>0</v>
          </cell>
          <cell r="AB42">
            <v>353181.23815290222</v>
          </cell>
          <cell r="AC42">
            <v>353181.23815290222</v>
          </cell>
          <cell r="AD42" t="str">
            <v>N/A</v>
          </cell>
          <cell r="AE42">
            <v>5465265</v>
          </cell>
          <cell r="AF42">
            <v>5465267</v>
          </cell>
          <cell r="AG42">
            <v>5465267</v>
          </cell>
          <cell r="AH42">
            <v>5465267</v>
          </cell>
          <cell r="AI42">
            <v>5416594</v>
          </cell>
          <cell r="AJ42">
            <v>0</v>
          </cell>
          <cell r="AK42">
            <v>27277660</v>
          </cell>
          <cell r="AL42">
            <v>115899152</v>
          </cell>
          <cell r="AM42">
            <v>14375159.363160131</v>
          </cell>
          <cell r="AN42">
            <v>-3744870.41</v>
          </cell>
          <cell r="AO42">
            <v>25652123.399764366</v>
          </cell>
          <cell r="AP42">
            <v>0</v>
          </cell>
          <cell r="AQ42">
            <v>1625534.4100000001</v>
          </cell>
          <cell r="AR42">
            <v>0</v>
          </cell>
          <cell r="AS42">
            <v>0</v>
          </cell>
          <cell r="AT42">
            <v>153807098.76292449</v>
          </cell>
          <cell r="AU42">
            <v>3.4957298644101818E-3</v>
          </cell>
          <cell r="AV42">
            <v>0</v>
          </cell>
          <cell r="AW42">
            <v>0</v>
          </cell>
          <cell r="AY42">
            <v>0</v>
          </cell>
          <cell r="AZ42">
            <v>0</v>
          </cell>
          <cell r="BA42">
            <v>0</v>
          </cell>
          <cell r="BB42">
            <v>0</v>
          </cell>
          <cell r="BC42">
            <v>0</v>
          </cell>
          <cell r="BD42">
            <v>0</v>
          </cell>
          <cell r="BE42">
            <v>0</v>
          </cell>
          <cell r="BF42">
            <v>0</v>
          </cell>
          <cell r="BG42">
            <v>0</v>
          </cell>
          <cell r="BH42">
            <v>0</v>
          </cell>
          <cell r="BJ42">
            <v>0</v>
          </cell>
          <cell r="BL42">
            <v>0</v>
          </cell>
          <cell r="BM42">
            <v>0</v>
          </cell>
          <cell r="BN42">
            <v>0</v>
          </cell>
          <cell r="BO42">
            <v>0</v>
          </cell>
          <cell r="BQ42">
            <v>0</v>
          </cell>
          <cell r="BR42">
            <v>0</v>
          </cell>
          <cell r="BS42">
            <v>0</v>
          </cell>
          <cell r="BT42">
            <v>0</v>
          </cell>
          <cell r="CB42">
            <v>0</v>
          </cell>
          <cell r="CC42">
            <v>0</v>
          </cell>
          <cell r="CD42">
            <v>0</v>
          </cell>
          <cell r="CE42">
            <v>0</v>
          </cell>
          <cell r="CF42">
            <v>0</v>
          </cell>
          <cell r="CI42">
            <v>0</v>
          </cell>
          <cell r="CJ42">
            <v>0</v>
          </cell>
          <cell r="CK42">
            <v>0</v>
          </cell>
          <cell r="CV42">
            <v>3.5355190976060834E-3</v>
          </cell>
          <cell r="DG42">
            <v>153807098</v>
          </cell>
          <cell r="DR42">
            <v>62437210.360000014</v>
          </cell>
          <cell r="EC42">
            <v>2.4633883723052352</v>
          </cell>
          <cell r="EN42">
            <v>2.4095909012463064E-2</v>
          </cell>
        </row>
        <row r="43">
          <cell r="B43">
            <v>13700</v>
          </cell>
          <cell r="C43" t="str">
            <v>Secretary Of State</v>
          </cell>
          <cell r="D43">
            <v>4.2865948792620732E-4</v>
          </cell>
          <cell r="E43">
            <v>741680.86421647889</v>
          </cell>
          <cell r="F43">
            <v>578305.57903771731</v>
          </cell>
          <cell r="G43">
            <v>-114678</v>
          </cell>
          <cell r="H43">
            <v>-206955.31548375878</v>
          </cell>
          <cell r="I43">
            <v>-8564.2014375923955</v>
          </cell>
          <cell r="J43">
            <v>625874.88726209314</v>
          </cell>
          <cell r="K43">
            <v>0</v>
          </cell>
          <cell r="L43">
            <v>-32884.505583199803</v>
          </cell>
          <cell r="M43">
            <v>5901.3601690927135</v>
          </cell>
          <cell r="N43">
            <v>222.46570104394308</v>
          </cell>
          <cell r="O43">
            <v>-100.39633866719701</v>
          </cell>
          <cell r="P43">
            <v>0</v>
          </cell>
          <cell r="Q43">
            <v>0</v>
          </cell>
          <cell r="R43">
            <v>0</v>
          </cell>
          <cell r="S43">
            <v>1588802.7375432074</v>
          </cell>
          <cell r="T43">
            <v>68708.860000000102</v>
          </cell>
          <cell r="U43">
            <v>3129374.4363104659</v>
          </cell>
          <cell r="V43">
            <v>23605.440676370854</v>
          </cell>
          <cell r="W43">
            <v>0</v>
          </cell>
          <cell r="X43">
            <v>3221688.7369868364</v>
          </cell>
          <cell r="Y43">
            <v>642100</v>
          </cell>
          <cell r="Z43">
            <v>0</v>
          </cell>
          <cell r="AA43">
            <v>0</v>
          </cell>
          <cell r="AB43">
            <v>42821.007187961979</v>
          </cell>
          <cell r="AC43">
            <v>684921.00718796195</v>
          </cell>
          <cell r="AD43" t="str">
            <v>N/A</v>
          </cell>
          <cell r="AE43">
            <v>508534</v>
          </cell>
          <cell r="AF43">
            <v>508534</v>
          </cell>
          <cell r="AG43">
            <v>508534</v>
          </cell>
          <cell r="AH43">
            <v>508534</v>
          </cell>
          <cell r="AI43">
            <v>502633</v>
          </cell>
          <cell r="AJ43">
            <v>0</v>
          </cell>
          <cell r="AK43">
            <v>2536769</v>
          </cell>
          <cell r="AL43">
            <v>14982508</v>
          </cell>
          <cell r="AM43">
            <v>1588802.7375432074</v>
          </cell>
          <cell r="AN43">
            <v>-459933.8600000001</v>
          </cell>
          <cell r="AO43">
            <v>3110158.8697988749</v>
          </cell>
          <cell r="AP43">
            <v>0</v>
          </cell>
          <cell r="AQ43">
            <v>-573391.1399999999</v>
          </cell>
          <cell r="AR43">
            <v>0</v>
          </cell>
          <cell r="AS43">
            <v>0</v>
          </cell>
          <cell r="AT43">
            <v>18648144.607342083</v>
          </cell>
          <cell r="AU43">
            <v>4.5189978481555571E-4</v>
          </cell>
          <cell r="AV43">
            <v>0</v>
          </cell>
          <cell r="AW43">
            <v>0</v>
          </cell>
          <cell r="AY43">
            <v>0</v>
          </cell>
          <cell r="AZ43">
            <v>0</v>
          </cell>
          <cell r="BA43">
            <v>0</v>
          </cell>
          <cell r="BB43">
            <v>0</v>
          </cell>
          <cell r="BC43">
            <v>0</v>
          </cell>
          <cell r="BD43">
            <v>0</v>
          </cell>
          <cell r="BE43">
            <v>0</v>
          </cell>
          <cell r="BF43">
            <v>0</v>
          </cell>
          <cell r="BG43">
            <v>0</v>
          </cell>
          <cell r="BH43">
            <v>0</v>
          </cell>
          <cell r="BJ43">
            <v>0</v>
          </cell>
          <cell r="BL43">
            <v>0</v>
          </cell>
          <cell r="BM43">
            <v>0</v>
          </cell>
          <cell r="BN43">
            <v>0</v>
          </cell>
          <cell r="BO43">
            <v>0</v>
          </cell>
          <cell r="BQ43">
            <v>0</v>
          </cell>
          <cell r="BR43">
            <v>0</v>
          </cell>
          <cell r="BS43">
            <v>0</v>
          </cell>
          <cell r="BT43">
            <v>0</v>
          </cell>
          <cell r="CB43">
            <v>0</v>
          </cell>
          <cell r="CC43">
            <v>0</v>
          </cell>
          <cell r="CD43">
            <v>0</v>
          </cell>
          <cell r="CE43">
            <v>0</v>
          </cell>
          <cell r="CF43">
            <v>0</v>
          </cell>
          <cell r="CI43">
            <v>0</v>
          </cell>
          <cell r="CJ43">
            <v>0</v>
          </cell>
          <cell r="CK43">
            <v>0</v>
          </cell>
          <cell r="CV43">
            <v>4.2865948792620732E-4</v>
          </cell>
          <cell r="DG43">
            <v>18648145</v>
          </cell>
          <cell r="DR43">
            <v>8062460.2200000007</v>
          </cell>
          <cell r="EC43">
            <v>2.3129596290894936</v>
          </cell>
          <cell r="EN43">
            <v>2.4095909012463064E-2</v>
          </cell>
        </row>
        <row r="44">
          <cell r="B44">
            <v>14300</v>
          </cell>
          <cell r="C44" t="str">
            <v>State Treasurer</v>
          </cell>
          <cell r="D44">
            <v>1.2204841199810437E-3</v>
          </cell>
          <cell r="E44">
            <v>2111722.1066289777</v>
          </cell>
          <cell r="F44">
            <v>1646558.1553474918</v>
          </cell>
          <cell r="G44">
            <v>202646</v>
          </cell>
          <cell r="H44">
            <v>-589245.50420093955</v>
          </cell>
          <cell r="I44">
            <v>-24384.090751071191</v>
          </cell>
          <cell r="J44">
            <v>1781998.025271306</v>
          </cell>
          <cell r="K44">
            <v>0</v>
          </cell>
          <cell r="L44">
            <v>-93629.134518614635</v>
          </cell>
          <cell r="M44">
            <v>16802.419112454591</v>
          </cell>
          <cell r="N44">
            <v>633.40684858776206</v>
          </cell>
          <cell r="O44">
            <v>-285.84958574076023</v>
          </cell>
          <cell r="P44">
            <v>0</v>
          </cell>
          <cell r="Q44">
            <v>0</v>
          </cell>
          <cell r="R44">
            <v>0</v>
          </cell>
          <cell r="S44">
            <v>5052815.534152451</v>
          </cell>
          <cell r="T44">
            <v>1013227.0161748636</v>
          </cell>
          <cell r="U44">
            <v>8909990.1263565309</v>
          </cell>
          <cell r="V44">
            <v>67209.676449818362</v>
          </cell>
          <cell r="W44">
            <v>0</v>
          </cell>
          <cell r="X44">
            <v>9990426.8189812135</v>
          </cell>
          <cell r="Y44">
            <v>0</v>
          </cell>
          <cell r="Z44">
            <v>0</v>
          </cell>
          <cell r="AA44">
            <v>0</v>
          </cell>
          <cell r="AB44">
            <v>121920.45375535595</v>
          </cell>
          <cell r="AC44">
            <v>121920.45375535595</v>
          </cell>
          <cell r="AD44" t="str">
            <v>N/A</v>
          </cell>
          <cell r="AE44">
            <v>1977062</v>
          </cell>
          <cell r="AF44">
            <v>1977062</v>
          </cell>
          <cell r="AG44">
            <v>1977062</v>
          </cell>
          <cell r="AH44">
            <v>1977062</v>
          </cell>
          <cell r="AI44">
            <v>1960260</v>
          </cell>
          <cell r="AJ44">
            <v>0</v>
          </cell>
          <cell r="AK44">
            <v>9868508</v>
          </cell>
          <cell r="AL44">
            <v>39406661</v>
          </cell>
          <cell r="AM44">
            <v>5052815.534152451</v>
          </cell>
          <cell r="AN44">
            <v>-1232776.0161748636</v>
          </cell>
          <cell r="AO44">
            <v>8855279.3490509931</v>
          </cell>
          <cell r="AP44">
            <v>0</v>
          </cell>
          <cell r="AQ44">
            <v>1013227.0161748636</v>
          </cell>
          <cell r="AR44">
            <v>0</v>
          </cell>
          <cell r="AS44">
            <v>0</v>
          </cell>
          <cell r="AT44">
            <v>53095206.883203439</v>
          </cell>
          <cell r="AU44">
            <v>1.1885767916154681E-3</v>
          </cell>
          <cell r="AV44">
            <v>0</v>
          </cell>
          <cell r="AW44">
            <v>0</v>
          </cell>
          <cell r="AY44">
            <v>0</v>
          </cell>
          <cell r="AZ44">
            <v>0</v>
          </cell>
          <cell r="BA44">
            <v>0</v>
          </cell>
          <cell r="BB44">
            <v>0</v>
          </cell>
          <cell r="BC44">
            <v>0</v>
          </cell>
          <cell r="BD44">
            <v>0</v>
          </cell>
          <cell r="BE44">
            <v>0</v>
          </cell>
          <cell r="BF44">
            <v>0</v>
          </cell>
          <cell r="BG44">
            <v>0</v>
          </cell>
          <cell r="BH44">
            <v>0</v>
          </cell>
          <cell r="BJ44">
            <v>0</v>
          </cell>
          <cell r="BL44">
            <v>0</v>
          </cell>
          <cell r="BM44">
            <v>0</v>
          </cell>
          <cell r="BN44">
            <v>0</v>
          </cell>
          <cell r="BO44">
            <v>0</v>
          </cell>
          <cell r="BQ44">
            <v>0</v>
          </cell>
          <cell r="BR44">
            <v>0</v>
          </cell>
          <cell r="BS44">
            <v>0</v>
          </cell>
          <cell r="BT44">
            <v>0</v>
          </cell>
          <cell r="CB44">
            <v>0</v>
          </cell>
          <cell r="CC44">
            <v>0</v>
          </cell>
          <cell r="CD44">
            <v>0</v>
          </cell>
          <cell r="CE44">
            <v>0</v>
          </cell>
          <cell r="CF44">
            <v>0</v>
          </cell>
          <cell r="CI44">
            <v>0</v>
          </cell>
          <cell r="CJ44">
            <v>0</v>
          </cell>
          <cell r="CK44">
            <v>0</v>
          </cell>
          <cell r="CV44">
            <v>1.2204841199810437E-3</v>
          </cell>
          <cell r="DG44">
            <v>53095208</v>
          </cell>
          <cell r="DR44">
            <v>20301876.740000028</v>
          </cell>
          <cell r="EC44">
            <v>2.6152857038772428</v>
          </cell>
          <cell r="EN44">
            <v>2.4095909012463064E-2</v>
          </cell>
        </row>
        <row r="45">
          <cell r="B45">
            <v>18400</v>
          </cell>
          <cell r="C45" t="str">
            <v>Department Of Agriculture</v>
          </cell>
          <cell r="D45">
            <v>4.6750079910963301E-3</v>
          </cell>
          <cell r="E45">
            <v>8088853.8915349273</v>
          </cell>
          <cell r="F45">
            <v>6307064.8835430276</v>
          </cell>
          <cell r="G45">
            <v>-734136</v>
          </cell>
          <cell r="H45">
            <v>-2257077.6593961455</v>
          </cell>
          <cell r="I45">
            <v>-93402.13219541643</v>
          </cell>
          <cell r="J45">
            <v>6825861.0430675894</v>
          </cell>
          <cell r="K45">
            <v>0</v>
          </cell>
          <cell r="L45">
            <v>-358642.0707225221</v>
          </cell>
          <cell r="M45">
            <v>64360.889531028857</v>
          </cell>
          <cell r="N45">
            <v>2426.2356472191732</v>
          </cell>
          <cell r="O45">
            <v>-1094.9336215946714</v>
          </cell>
          <cell r="P45">
            <v>0</v>
          </cell>
          <cell r="Q45">
            <v>0</v>
          </cell>
          <cell r="R45">
            <v>0</v>
          </cell>
          <cell r="S45">
            <v>17844214.147388116</v>
          </cell>
          <cell r="T45">
            <v>600717.85000000056</v>
          </cell>
          <cell r="U45">
            <v>34129305.215337947</v>
          </cell>
          <cell r="V45">
            <v>257443.55812411543</v>
          </cell>
          <cell r="W45">
            <v>0</v>
          </cell>
          <cell r="X45">
            <v>34987466.623462066</v>
          </cell>
          <cell r="Y45">
            <v>4271401</v>
          </cell>
          <cell r="Z45">
            <v>0</v>
          </cell>
          <cell r="AA45">
            <v>0</v>
          </cell>
          <cell r="AB45">
            <v>467010.66097708209</v>
          </cell>
          <cell r="AC45">
            <v>4738411.6609770823</v>
          </cell>
          <cell r="AD45" t="str">
            <v>N/A</v>
          </cell>
          <cell r="AE45">
            <v>6062684</v>
          </cell>
          <cell r="AF45">
            <v>6062683</v>
          </cell>
          <cell r="AG45">
            <v>6062683</v>
          </cell>
          <cell r="AH45">
            <v>6062683</v>
          </cell>
          <cell r="AI45">
            <v>5998322</v>
          </cell>
          <cell r="AJ45">
            <v>0</v>
          </cell>
          <cell r="AK45">
            <v>30249055</v>
          </cell>
          <cell r="AL45">
            <v>160123201</v>
          </cell>
          <cell r="AM45">
            <v>17844214.147388116</v>
          </cell>
          <cell r="AN45">
            <v>-4837731.8500000006</v>
          </cell>
          <cell r="AO45">
            <v>33919738.112484984</v>
          </cell>
          <cell r="AP45">
            <v>0</v>
          </cell>
          <cell r="AQ45">
            <v>-3670683.1499999994</v>
          </cell>
          <cell r="AR45">
            <v>0</v>
          </cell>
          <cell r="AS45">
            <v>0</v>
          </cell>
          <cell r="AT45">
            <v>203378738.25987309</v>
          </cell>
          <cell r="AU45">
            <v>4.8296078684201488E-3</v>
          </cell>
          <cell r="AV45">
            <v>0</v>
          </cell>
          <cell r="AW45">
            <v>0</v>
          </cell>
          <cell r="AY45">
            <v>0</v>
          </cell>
          <cell r="AZ45">
            <v>0</v>
          </cell>
          <cell r="BA45">
            <v>0</v>
          </cell>
          <cell r="BB45">
            <v>0</v>
          </cell>
          <cell r="BC45">
            <v>0</v>
          </cell>
          <cell r="BD45">
            <v>0</v>
          </cell>
          <cell r="BE45">
            <v>0</v>
          </cell>
          <cell r="BF45">
            <v>0</v>
          </cell>
          <cell r="BG45">
            <v>0</v>
          </cell>
          <cell r="BH45">
            <v>0</v>
          </cell>
          <cell r="BJ45">
            <v>0</v>
          </cell>
          <cell r="BL45">
            <v>0</v>
          </cell>
          <cell r="BM45">
            <v>0</v>
          </cell>
          <cell r="BN45">
            <v>0</v>
          </cell>
          <cell r="BO45">
            <v>0</v>
          </cell>
          <cell r="BQ45">
            <v>0</v>
          </cell>
          <cell r="BR45">
            <v>0</v>
          </cell>
          <cell r="BS45">
            <v>0</v>
          </cell>
          <cell r="BT45">
            <v>0</v>
          </cell>
          <cell r="CB45">
            <v>0</v>
          </cell>
          <cell r="CC45">
            <v>0</v>
          </cell>
          <cell r="CD45">
            <v>0</v>
          </cell>
          <cell r="CE45">
            <v>0</v>
          </cell>
          <cell r="CF45">
            <v>0</v>
          </cell>
          <cell r="CI45">
            <v>0</v>
          </cell>
          <cell r="CJ45">
            <v>0</v>
          </cell>
          <cell r="CK45">
            <v>0</v>
          </cell>
          <cell r="CV45">
            <v>4.6750079910963301E-3</v>
          </cell>
          <cell r="DG45">
            <v>203378738</v>
          </cell>
          <cell r="DR45">
            <v>83685513.720000148</v>
          </cell>
          <cell r="EC45">
            <v>2.4302741174592821</v>
          </cell>
          <cell r="EN45">
            <v>2.4095909012463064E-2</v>
          </cell>
        </row>
        <row r="46">
          <cell r="B46">
            <v>18600</v>
          </cell>
          <cell r="C46" t="str">
            <v>Barber Examiners, State Board Of</v>
          </cell>
          <cell r="D46">
            <v>1.9691337141991118E-5</v>
          </cell>
          <cell r="E46">
            <v>34070.604665034698</v>
          </cell>
          <cell r="F46">
            <v>26565.631809569164</v>
          </cell>
          <cell r="G46">
            <v>23894</v>
          </cell>
          <cell r="H46">
            <v>-9506.9093425021056</v>
          </cell>
          <cell r="I46">
            <v>-393.41384621023002</v>
          </cell>
          <cell r="J46">
            <v>28750.82381450789</v>
          </cell>
          <cell r="K46">
            <v>0</v>
          </cell>
          <cell r="L46">
            <v>-1510.6160120686491</v>
          </cell>
          <cell r="M46">
            <v>271.09086806431975</v>
          </cell>
          <cell r="N46">
            <v>10.21941014995055</v>
          </cell>
          <cell r="O46">
            <v>-4.6119080720257397</v>
          </cell>
          <cell r="P46">
            <v>0</v>
          </cell>
          <cell r="Q46">
            <v>0</v>
          </cell>
          <cell r="R46">
            <v>0</v>
          </cell>
          <cell r="S46">
            <v>102146.81945847301</v>
          </cell>
          <cell r="T46">
            <v>119466.67</v>
          </cell>
          <cell r="U46">
            <v>143754.11907253944</v>
          </cell>
          <cell r="V46">
            <v>1084.363472257279</v>
          </cell>
          <cell r="W46">
            <v>0</v>
          </cell>
          <cell r="X46">
            <v>264305.1525447967</v>
          </cell>
          <cell r="Y46">
            <v>0</v>
          </cell>
          <cell r="Z46">
            <v>0</v>
          </cell>
          <cell r="AA46">
            <v>0</v>
          </cell>
          <cell r="AB46">
            <v>1967.0692310511499</v>
          </cell>
          <cell r="AC46">
            <v>1967.0692310511499</v>
          </cell>
          <cell r="AD46" t="str">
            <v>N/A</v>
          </cell>
          <cell r="AE46">
            <v>52522</v>
          </cell>
          <cell r="AF46">
            <v>52523</v>
          </cell>
          <cell r="AG46">
            <v>52523</v>
          </cell>
          <cell r="AH46">
            <v>52523</v>
          </cell>
          <cell r="AI46">
            <v>52251</v>
          </cell>
          <cell r="AJ46">
            <v>0</v>
          </cell>
          <cell r="AK46">
            <v>262342</v>
          </cell>
          <cell r="AL46">
            <v>511259</v>
          </cell>
          <cell r="AM46">
            <v>102146.81945847301</v>
          </cell>
          <cell r="AN46">
            <v>-19103.669999999998</v>
          </cell>
          <cell r="AO46">
            <v>142871.41331374558</v>
          </cell>
          <cell r="AP46">
            <v>0</v>
          </cell>
          <cell r="AQ46">
            <v>119466.67</v>
          </cell>
          <cell r="AR46">
            <v>0</v>
          </cell>
          <cell r="AS46">
            <v>0</v>
          </cell>
          <cell r="AT46">
            <v>856640.23277221865</v>
          </cell>
          <cell r="AU46">
            <v>1.5420518466349688E-5</v>
          </cell>
          <cell r="AV46">
            <v>0</v>
          </cell>
          <cell r="AW46">
            <v>0</v>
          </cell>
          <cell r="AY46">
            <v>0</v>
          </cell>
          <cell r="AZ46">
            <v>0</v>
          </cell>
          <cell r="BA46">
            <v>0</v>
          </cell>
          <cell r="BB46">
            <v>0</v>
          </cell>
          <cell r="BC46">
            <v>0</v>
          </cell>
          <cell r="BD46">
            <v>0</v>
          </cell>
          <cell r="BE46">
            <v>0</v>
          </cell>
          <cell r="BF46">
            <v>0</v>
          </cell>
          <cell r="BG46">
            <v>0</v>
          </cell>
          <cell r="BH46">
            <v>0</v>
          </cell>
          <cell r="BJ46">
            <v>0</v>
          </cell>
          <cell r="BL46">
            <v>0</v>
          </cell>
          <cell r="BM46">
            <v>0</v>
          </cell>
          <cell r="BN46">
            <v>0</v>
          </cell>
          <cell r="BO46">
            <v>0</v>
          </cell>
          <cell r="BQ46">
            <v>0</v>
          </cell>
          <cell r="BR46">
            <v>0</v>
          </cell>
          <cell r="BS46">
            <v>0</v>
          </cell>
          <cell r="BT46">
            <v>0</v>
          </cell>
          <cell r="CB46">
            <v>0</v>
          </cell>
          <cell r="CC46">
            <v>0</v>
          </cell>
          <cell r="CD46">
            <v>0</v>
          </cell>
          <cell r="CE46">
            <v>0</v>
          </cell>
          <cell r="CF46">
            <v>0</v>
          </cell>
          <cell r="CI46">
            <v>0</v>
          </cell>
          <cell r="CJ46">
            <v>0</v>
          </cell>
          <cell r="CK46">
            <v>0</v>
          </cell>
          <cell r="CV46">
            <v>1.9691337141991118E-5</v>
          </cell>
          <cell r="DG46">
            <v>856640</v>
          </cell>
          <cell r="DR46">
            <v>393697.74</v>
          </cell>
          <cell r="EC46">
            <v>2.1758824422004555</v>
          </cell>
          <cell r="EN46">
            <v>2.4095909012463064E-2</v>
          </cell>
        </row>
        <row r="47">
          <cell r="B47">
            <v>18690</v>
          </cell>
          <cell r="C47" t="str">
            <v>N.C. Real Estate Commission</v>
          </cell>
          <cell r="D47">
            <v>4.1545758327428627E-6</v>
          </cell>
          <cell r="E47">
            <v>7188.3849089374971</v>
          </cell>
          <cell r="F47">
            <v>5604.9485670641961</v>
          </cell>
          <cell r="G47">
            <v>-23110</v>
          </cell>
          <cell r="H47">
            <v>-2005.814816618531</v>
          </cell>
          <cell r="I47">
            <v>-83.004401679050588</v>
          </cell>
          <cell r="J47">
            <v>6065.9911985603403</v>
          </cell>
          <cell r="K47">
            <v>0</v>
          </cell>
          <cell r="L47">
            <v>-318.71724764244254</v>
          </cell>
          <cell r="M47">
            <v>57.196093937957052</v>
          </cell>
          <cell r="N47">
            <v>2.1561417656768911</v>
          </cell>
          <cell r="O47">
            <v>-0.97304320578670589</v>
          </cell>
          <cell r="P47">
            <v>0</v>
          </cell>
          <cell r="Q47">
            <v>0</v>
          </cell>
          <cell r="R47">
            <v>0</v>
          </cell>
          <cell r="S47">
            <v>-6599.8325988801444</v>
          </cell>
          <cell r="T47">
            <v>5892.84</v>
          </cell>
          <cell r="U47">
            <v>30329.955992801701</v>
          </cell>
          <cell r="V47">
            <v>228.78437575182821</v>
          </cell>
          <cell r="W47">
            <v>0</v>
          </cell>
          <cell r="X47">
            <v>36451.580368553528</v>
          </cell>
          <cell r="Y47">
            <v>121439</v>
          </cell>
          <cell r="Z47">
            <v>0</v>
          </cell>
          <cell r="AA47">
            <v>0</v>
          </cell>
          <cell r="AB47">
            <v>415.02200839525295</v>
          </cell>
          <cell r="AC47">
            <v>121854.02200839526</v>
          </cell>
          <cell r="AD47" t="str">
            <v>N/A</v>
          </cell>
          <cell r="AE47">
            <v>-17069</v>
          </cell>
          <cell r="AF47">
            <v>-17070</v>
          </cell>
          <cell r="AG47">
            <v>-17070</v>
          </cell>
          <cell r="AH47">
            <v>-17070</v>
          </cell>
          <cell r="AI47">
            <v>-17127</v>
          </cell>
          <cell r="AJ47">
            <v>0</v>
          </cell>
          <cell r="AK47">
            <v>-85406</v>
          </cell>
          <cell r="AL47">
            <v>283470</v>
          </cell>
          <cell r="AM47">
            <v>-6599.8325988801444</v>
          </cell>
          <cell r="AN47">
            <v>-10729.84</v>
          </cell>
          <cell r="AO47">
            <v>30143.718360158276</v>
          </cell>
          <cell r="AP47">
            <v>0</v>
          </cell>
          <cell r="AQ47">
            <v>-115546.16</v>
          </cell>
          <cell r="AR47">
            <v>0</v>
          </cell>
          <cell r="AS47">
            <v>0</v>
          </cell>
          <cell r="AT47">
            <v>180737.88576127807</v>
          </cell>
          <cell r="AU47">
            <v>8.5499599598058693E-6</v>
          </cell>
          <cell r="AV47">
            <v>0</v>
          </cell>
          <cell r="AW47">
            <v>0</v>
          </cell>
          <cell r="AY47">
            <v>0</v>
          </cell>
          <cell r="AZ47">
            <v>0</v>
          </cell>
          <cell r="BA47">
            <v>0</v>
          </cell>
          <cell r="BB47">
            <v>0</v>
          </cell>
          <cell r="BC47">
            <v>0</v>
          </cell>
          <cell r="BD47">
            <v>0</v>
          </cell>
          <cell r="BE47">
            <v>0</v>
          </cell>
          <cell r="BF47">
            <v>0</v>
          </cell>
          <cell r="BG47">
            <v>0</v>
          </cell>
          <cell r="BH47">
            <v>0</v>
          </cell>
          <cell r="BJ47">
            <v>0</v>
          </cell>
          <cell r="BL47">
            <v>0</v>
          </cell>
          <cell r="BM47">
            <v>0</v>
          </cell>
          <cell r="BN47">
            <v>0</v>
          </cell>
          <cell r="BO47">
            <v>0</v>
          </cell>
          <cell r="BQ47">
            <v>0</v>
          </cell>
          <cell r="BR47">
            <v>0</v>
          </cell>
          <cell r="BS47">
            <v>0</v>
          </cell>
          <cell r="BT47">
            <v>0</v>
          </cell>
          <cell r="CB47">
            <v>0</v>
          </cell>
          <cell r="CC47">
            <v>0</v>
          </cell>
          <cell r="CD47">
            <v>0</v>
          </cell>
          <cell r="CE47">
            <v>0</v>
          </cell>
          <cell r="CF47">
            <v>0</v>
          </cell>
          <cell r="CI47">
            <v>0</v>
          </cell>
          <cell r="CJ47">
            <v>0</v>
          </cell>
          <cell r="CK47">
            <v>0</v>
          </cell>
          <cell r="CV47">
            <v>4.1545758327428627E-6</v>
          </cell>
          <cell r="DG47">
            <v>180738</v>
          </cell>
          <cell r="DR47">
            <v>188638.13</v>
          </cell>
          <cell r="EC47">
            <v>0.95812018492761775</v>
          </cell>
          <cell r="EN47">
            <v>2.4095909012463064E-2</v>
          </cell>
        </row>
        <row r="48">
          <cell r="B48">
            <v>18740</v>
          </cell>
          <cell r="C48" t="str">
            <v>N.C. Auctioneers Licensing Board</v>
          </cell>
          <cell r="D48">
            <v>5.945790166111434E-6</v>
          </cell>
          <cell r="E48">
            <v>10287.603361320023</v>
          </cell>
          <cell r="F48">
            <v>8021.4802697701271</v>
          </cell>
          <cell r="G48">
            <v>2040</v>
          </cell>
          <cell r="H48">
            <v>-2870.6068902868938</v>
          </cell>
          <cell r="I48">
            <v>-118.79112937539875</v>
          </cell>
          <cell r="J48">
            <v>8681.2979875991259</v>
          </cell>
          <cell r="K48">
            <v>0</v>
          </cell>
          <cell r="L48">
            <v>-456.12980797402753</v>
          </cell>
          <cell r="M48">
            <v>81.855762553688123</v>
          </cell>
          <cell r="N48">
            <v>3.085746180408512</v>
          </cell>
          <cell r="O48">
            <v>-1.3925635148049589</v>
          </cell>
          <cell r="P48">
            <v>0</v>
          </cell>
          <cell r="Q48">
            <v>0</v>
          </cell>
          <cell r="R48">
            <v>0</v>
          </cell>
          <cell r="S48">
            <v>25668.402736272248</v>
          </cell>
          <cell r="T48">
            <v>10203.32</v>
          </cell>
          <cell r="U48">
            <v>43406.489937995633</v>
          </cell>
          <cell r="V48">
            <v>327.42305021475249</v>
          </cell>
          <cell r="W48">
            <v>0</v>
          </cell>
          <cell r="X48">
            <v>53937.232988210388</v>
          </cell>
          <cell r="Y48">
            <v>0</v>
          </cell>
          <cell r="Z48">
            <v>0</v>
          </cell>
          <cell r="AA48">
            <v>0</v>
          </cell>
          <cell r="AB48">
            <v>593.95564687699368</v>
          </cell>
          <cell r="AC48">
            <v>593.95564687699368</v>
          </cell>
          <cell r="AD48" t="str">
            <v>N/A</v>
          </cell>
          <cell r="AE48">
            <v>10684</v>
          </cell>
          <cell r="AF48">
            <v>10685</v>
          </cell>
          <cell r="AG48">
            <v>10685</v>
          </cell>
          <cell r="AH48">
            <v>10685</v>
          </cell>
          <cell r="AI48">
            <v>10604</v>
          </cell>
          <cell r="AJ48">
            <v>0</v>
          </cell>
          <cell r="AK48">
            <v>53343</v>
          </cell>
          <cell r="AL48">
            <v>185471</v>
          </cell>
          <cell r="AM48">
            <v>25668.402736272248</v>
          </cell>
          <cell r="AN48">
            <v>-5820.32</v>
          </cell>
          <cell r="AO48">
            <v>43139.957341333393</v>
          </cell>
          <cell r="AP48">
            <v>0</v>
          </cell>
          <cell r="AQ48">
            <v>10203.32</v>
          </cell>
          <cell r="AR48">
            <v>0</v>
          </cell>
          <cell r="AS48">
            <v>0</v>
          </cell>
          <cell r="AT48">
            <v>258662.36007760564</v>
          </cell>
          <cell r="AU48">
            <v>5.5941431899487805E-6</v>
          </cell>
          <cell r="AV48">
            <v>0</v>
          </cell>
          <cell r="AW48">
            <v>0</v>
          </cell>
          <cell r="AY48">
            <v>0</v>
          </cell>
          <cell r="AZ48">
            <v>0</v>
          </cell>
          <cell r="BA48">
            <v>0</v>
          </cell>
          <cell r="BB48">
            <v>0</v>
          </cell>
          <cell r="BC48">
            <v>0</v>
          </cell>
          <cell r="BD48">
            <v>0</v>
          </cell>
          <cell r="BE48">
            <v>0</v>
          </cell>
          <cell r="BF48">
            <v>0</v>
          </cell>
          <cell r="BG48">
            <v>0</v>
          </cell>
          <cell r="BH48">
            <v>0</v>
          </cell>
          <cell r="BJ48">
            <v>0</v>
          </cell>
          <cell r="BL48">
            <v>0</v>
          </cell>
          <cell r="BM48">
            <v>0</v>
          </cell>
          <cell r="BN48">
            <v>0</v>
          </cell>
          <cell r="BO48">
            <v>0</v>
          </cell>
          <cell r="BQ48">
            <v>0</v>
          </cell>
          <cell r="BR48">
            <v>0</v>
          </cell>
          <cell r="BS48">
            <v>0</v>
          </cell>
          <cell r="BT48">
            <v>0</v>
          </cell>
          <cell r="CB48">
            <v>0</v>
          </cell>
          <cell r="CC48">
            <v>0</v>
          </cell>
          <cell r="CD48">
            <v>0</v>
          </cell>
          <cell r="CE48">
            <v>0</v>
          </cell>
          <cell r="CF48">
            <v>0</v>
          </cell>
          <cell r="CI48">
            <v>0</v>
          </cell>
          <cell r="CJ48">
            <v>0</v>
          </cell>
          <cell r="CK48">
            <v>0</v>
          </cell>
          <cell r="CV48">
            <v>5.945790166111434E-6</v>
          </cell>
          <cell r="DG48">
            <v>258662</v>
          </cell>
          <cell r="DR48">
            <v>108964.61</v>
          </cell>
          <cell r="EC48">
            <v>2.3738165997198539</v>
          </cell>
          <cell r="EN48">
            <v>2.4095909012463064E-2</v>
          </cell>
        </row>
        <row r="49">
          <cell r="B49">
            <v>18780</v>
          </cell>
          <cell r="C49" t="str">
            <v>N.C. State Board Of Examiners Of Practicing Psychol</v>
          </cell>
          <cell r="D49">
            <v>1.1937855927205944E-5</v>
          </cell>
          <cell r="E49">
            <v>20655.274291994974</v>
          </cell>
          <cell r="F49">
            <v>16105.391059581863</v>
          </cell>
          <cell r="G49">
            <v>2335</v>
          </cell>
          <cell r="H49">
            <v>-5763.555477488635</v>
          </cell>
          <cell r="I49">
            <v>-238.50680032340284</v>
          </cell>
          <cell r="J49">
            <v>17430.161802174665</v>
          </cell>
          <cell r="K49">
            <v>0</v>
          </cell>
          <cell r="L49">
            <v>-915.80963666251273</v>
          </cell>
          <cell r="M49">
            <v>164.34860176315109</v>
          </cell>
          <cell r="N49">
            <v>6.1955084691013411</v>
          </cell>
          <cell r="O49">
            <v>-2.795965236710904</v>
          </cell>
          <cell r="P49">
            <v>0</v>
          </cell>
          <cell r="Q49">
            <v>0</v>
          </cell>
          <cell r="R49">
            <v>0</v>
          </cell>
          <cell r="S49">
            <v>49775.703384272492</v>
          </cell>
          <cell r="T49">
            <v>11674.73</v>
          </cell>
          <cell r="U49">
            <v>87150.809010873316</v>
          </cell>
          <cell r="V49">
            <v>657.39440705260438</v>
          </cell>
          <cell r="W49">
            <v>0</v>
          </cell>
          <cell r="X49">
            <v>99482.933417925917</v>
          </cell>
          <cell r="Y49">
            <v>0</v>
          </cell>
          <cell r="Z49">
            <v>0</v>
          </cell>
          <cell r="AA49">
            <v>0</v>
          </cell>
          <cell r="AB49">
            <v>1192.5340016170142</v>
          </cell>
          <cell r="AC49">
            <v>1192.5340016170142</v>
          </cell>
          <cell r="AD49" t="str">
            <v>N/A</v>
          </cell>
          <cell r="AE49">
            <v>19691</v>
          </cell>
          <cell r="AF49">
            <v>19691</v>
          </cell>
          <cell r="AG49">
            <v>19691</v>
          </cell>
          <cell r="AH49">
            <v>19691</v>
          </cell>
          <cell r="AI49">
            <v>19527</v>
          </cell>
          <cell r="AJ49">
            <v>0</v>
          </cell>
          <cell r="AK49">
            <v>98291</v>
          </cell>
          <cell r="AL49">
            <v>385335</v>
          </cell>
          <cell r="AM49">
            <v>49775.703384272492</v>
          </cell>
          <cell r="AN49">
            <v>-14063.73</v>
          </cell>
          <cell r="AO49">
            <v>86615.669416308912</v>
          </cell>
          <cell r="AP49">
            <v>0</v>
          </cell>
          <cell r="AQ49">
            <v>11674.73</v>
          </cell>
          <cell r="AR49">
            <v>0</v>
          </cell>
          <cell r="AS49">
            <v>0</v>
          </cell>
          <cell r="AT49">
            <v>519337.37280058145</v>
          </cell>
          <cell r="AU49">
            <v>1.1622413513214321E-5</v>
          </cell>
          <cell r="AV49">
            <v>0</v>
          </cell>
          <cell r="AW49">
            <v>0</v>
          </cell>
          <cell r="AY49">
            <v>0</v>
          </cell>
          <cell r="AZ49">
            <v>0</v>
          </cell>
          <cell r="BA49">
            <v>0</v>
          </cell>
          <cell r="BB49">
            <v>0</v>
          </cell>
          <cell r="BC49">
            <v>0</v>
          </cell>
          <cell r="BD49">
            <v>0</v>
          </cell>
          <cell r="BE49">
            <v>0</v>
          </cell>
          <cell r="BF49">
            <v>0</v>
          </cell>
          <cell r="BG49">
            <v>0</v>
          </cell>
          <cell r="BH49">
            <v>0</v>
          </cell>
          <cell r="BJ49">
            <v>0</v>
          </cell>
          <cell r="BL49">
            <v>0</v>
          </cell>
          <cell r="BM49">
            <v>0</v>
          </cell>
          <cell r="BN49">
            <v>0</v>
          </cell>
          <cell r="BO49">
            <v>0</v>
          </cell>
          <cell r="BQ49">
            <v>0</v>
          </cell>
          <cell r="BR49">
            <v>0</v>
          </cell>
          <cell r="BS49">
            <v>0</v>
          </cell>
          <cell r="BT49">
            <v>0</v>
          </cell>
          <cell r="CB49">
            <v>0</v>
          </cell>
          <cell r="CC49">
            <v>0</v>
          </cell>
          <cell r="CD49">
            <v>0</v>
          </cell>
          <cell r="CE49">
            <v>0</v>
          </cell>
          <cell r="CF49">
            <v>0</v>
          </cell>
          <cell r="CI49">
            <v>0</v>
          </cell>
          <cell r="CJ49">
            <v>0</v>
          </cell>
          <cell r="CK49">
            <v>0</v>
          </cell>
          <cell r="CV49">
            <v>1.1937855927205944E-5</v>
          </cell>
          <cell r="DG49">
            <v>519337</v>
          </cell>
          <cell r="DR49">
            <v>230054.08000000002</v>
          </cell>
          <cell r="EC49">
            <v>2.2574561598733651</v>
          </cell>
          <cell r="EN49">
            <v>2.4095909012463064E-2</v>
          </cell>
        </row>
        <row r="50">
          <cell r="B50">
            <v>19005</v>
          </cell>
          <cell r="C50" t="str">
            <v>Community Colleges Administration</v>
          </cell>
          <cell r="D50">
            <v>6.4281408440031401E-4</v>
          </cell>
          <cell r="E50">
            <v>1112218.2503297888</v>
          </cell>
          <cell r="F50">
            <v>867222.07664447709</v>
          </cell>
          <cell r="G50">
            <v>-274343</v>
          </cell>
          <cell r="H50">
            <v>-310348.4126248291</v>
          </cell>
          <cell r="I50">
            <v>-12842.802879178342</v>
          </cell>
          <cell r="J50">
            <v>938556.60246995569</v>
          </cell>
          <cell r="K50">
            <v>0</v>
          </cell>
          <cell r="L50">
            <v>-49313.321978914311</v>
          </cell>
          <cell r="M50">
            <v>8849.6289961155671</v>
          </cell>
          <cell r="N50">
            <v>333.60765352207494</v>
          </cell>
          <cell r="O50">
            <v>-150.55348670739755</v>
          </cell>
          <cell r="P50">
            <v>0</v>
          </cell>
          <cell r="Q50">
            <v>0</v>
          </cell>
          <cell r="R50">
            <v>0</v>
          </cell>
          <cell r="S50">
            <v>2280182.0751242298</v>
          </cell>
          <cell r="T50">
            <v>130785.18000000005</v>
          </cell>
          <cell r="U50">
            <v>4692783.0123497788</v>
          </cell>
          <cell r="V50">
            <v>35398.515984462269</v>
          </cell>
          <cell r="W50">
            <v>0</v>
          </cell>
          <cell r="X50">
            <v>4858966.7083342411</v>
          </cell>
          <cell r="Y50">
            <v>1502500</v>
          </cell>
          <cell r="Z50">
            <v>0</v>
          </cell>
          <cell r="AA50">
            <v>0</v>
          </cell>
          <cell r="AB50">
            <v>64214.014395891703</v>
          </cell>
          <cell r="AC50">
            <v>1566714.0143958917</v>
          </cell>
          <cell r="AD50" t="str">
            <v>N/A</v>
          </cell>
          <cell r="AE50">
            <v>660220</v>
          </cell>
          <cell r="AF50">
            <v>660220</v>
          </cell>
          <cell r="AG50">
            <v>660220</v>
          </cell>
          <cell r="AH50">
            <v>660220</v>
          </cell>
          <cell r="AI50">
            <v>651371</v>
          </cell>
          <cell r="AJ50">
            <v>0</v>
          </cell>
          <cell r="AK50">
            <v>3292251</v>
          </cell>
          <cell r="AL50">
            <v>23115175</v>
          </cell>
          <cell r="AM50">
            <v>2280182.0751242298</v>
          </cell>
          <cell r="AN50">
            <v>-723012.18</v>
          </cell>
          <cell r="AO50">
            <v>4663967.5139383497</v>
          </cell>
          <cell r="AP50">
            <v>0</v>
          </cell>
          <cell r="AQ50">
            <v>-1371714.8199999998</v>
          </cell>
          <cell r="AR50">
            <v>0</v>
          </cell>
          <cell r="AS50">
            <v>0</v>
          </cell>
          <cell r="AT50">
            <v>27964597.589062579</v>
          </cell>
          <cell r="AU50">
            <v>6.9719585232990724E-4</v>
          </cell>
          <cell r="AV50">
            <v>0</v>
          </cell>
          <cell r="AW50">
            <v>0</v>
          </cell>
          <cell r="AY50">
            <v>0</v>
          </cell>
          <cell r="AZ50">
            <v>0</v>
          </cell>
          <cell r="BA50">
            <v>0</v>
          </cell>
          <cell r="BB50">
            <v>0</v>
          </cell>
          <cell r="BC50">
            <v>0</v>
          </cell>
          <cell r="BD50">
            <v>0</v>
          </cell>
          <cell r="BE50">
            <v>0</v>
          </cell>
          <cell r="BF50">
            <v>0</v>
          </cell>
          <cell r="BG50">
            <v>0</v>
          </cell>
          <cell r="BH50">
            <v>0</v>
          </cell>
          <cell r="BJ50">
            <v>0</v>
          </cell>
          <cell r="BL50">
            <v>0</v>
          </cell>
          <cell r="BM50">
            <v>0</v>
          </cell>
          <cell r="BN50">
            <v>0</v>
          </cell>
          <cell r="BO50">
            <v>0</v>
          </cell>
          <cell r="BQ50">
            <v>0</v>
          </cell>
          <cell r="BR50">
            <v>0</v>
          </cell>
          <cell r="BS50">
            <v>0</v>
          </cell>
          <cell r="BT50">
            <v>0</v>
          </cell>
          <cell r="CB50">
            <v>0</v>
          </cell>
          <cell r="CC50">
            <v>0</v>
          </cell>
          <cell r="CD50">
            <v>0</v>
          </cell>
          <cell r="CE50">
            <v>0</v>
          </cell>
          <cell r="CF50">
            <v>0</v>
          </cell>
          <cell r="CI50">
            <v>0</v>
          </cell>
          <cell r="CJ50">
            <v>0</v>
          </cell>
          <cell r="CK50">
            <v>0</v>
          </cell>
          <cell r="CV50">
            <v>6.4281408440031401E-4</v>
          </cell>
          <cell r="DG50">
            <v>27964598</v>
          </cell>
          <cell r="DR50">
            <v>13017121.449999999</v>
          </cell>
          <cell r="EC50">
            <v>2.1482935461126855</v>
          </cell>
          <cell r="EN50">
            <v>2.4095909012463064E-2</v>
          </cell>
        </row>
        <row r="51">
          <cell r="B51">
            <v>19100</v>
          </cell>
          <cell r="C51" t="str">
            <v>Department Of Public Safety</v>
          </cell>
          <cell r="D51">
            <v>5.7082667354736695E-2</v>
          </cell>
          <cell r="E51">
            <v>98766324.432158917</v>
          </cell>
          <cell r="F51">
            <v>77010368.199948043</v>
          </cell>
          <cell r="G51">
            <v>-5472021</v>
          </cell>
          <cell r="H51">
            <v>-27559314.009836327</v>
          </cell>
          <cell r="I51">
            <v>-1140456.4125854643</v>
          </cell>
          <cell r="J51">
            <v>83344960.280957654</v>
          </cell>
          <cell r="K51">
            <v>0</v>
          </cell>
          <cell r="L51">
            <v>-4379082.5730047068</v>
          </cell>
          <cell r="M51">
            <v>785857.74714218534</v>
          </cell>
          <cell r="N51">
            <v>29624.762703761251</v>
          </cell>
          <cell r="O51">
            <v>-13369.331521152881</v>
          </cell>
          <cell r="P51">
            <v>0</v>
          </cell>
          <cell r="Q51">
            <v>0</v>
          </cell>
          <cell r="R51">
            <v>0</v>
          </cell>
          <cell r="S51">
            <v>221372892.09596294</v>
          </cell>
          <cell r="T51">
            <v>4557742.7799999937</v>
          </cell>
          <cell r="U51">
            <v>416724801.40478826</v>
          </cell>
          <cell r="V51">
            <v>3143430.9885687414</v>
          </cell>
          <cell r="W51">
            <v>0</v>
          </cell>
          <cell r="X51">
            <v>424425975.17335695</v>
          </cell>
          <cell r="Y51">
            <v>31917847</v>
          </cell>
          <cell r="Z51">
            <v>0</v>
          </cell>
          <cell r="AA51">
            <v>0</v>
          </cell>
          <cell r="AB51">
            <v>5702282.0629273206</v>
          </cell>
          <cell r="AC51">
            <v>37620129.062927321</v>
          </cell>
          <cell r="AD51" t="str">
            <v>N/A</v>
          </cell>
          <cell r="AE51">
            <v>77518342</v>
          </cell>
          <cell r="AF51">
            <v>77518340</v>
          </cell>
          <cell r="AG51">
            <v>77518340</v>
          </cell>
          <cell r="AH51">
            <v>77518340</v>
          </cell>
          <cell r="AI51">
            <v>76732482</v>
          </cell>
          <cell r="AJ51">
            <v>0</v>
          </cell>
          <cell r="AK51">
            <v>386805844</v>
          </cell>
          <cell r="AL51">
            <v>1930848318</v>
          </cell>
          <cell r="AM51">
            <v>221372892.09596294</v>
          </cell>
          <cell r="AN51">
            <v>-55737001.779999994</v>
          </cell>
          <cell r="AO51">
            <v>414165950.33042967</v>
          </cell>
          <cell r="AP51">
            <v>0</v>
          </cell>
          <cell r="AQ51">
            <v>-27360104.220000006</v>
          </cell>
          <cell r="AR51">
            <v>0</v>
          </cell>
          <cell r="AS51">
            <v>0</v>
          </cell>
          <cell r="AT51">
            <v>2483290054.426393</v>
          </cell>
          <cell r="AU51">
            <v>5.8237907973333843E-2</v>
          </cell>
          <cell r="AV51">
            <v>0</v>
          </cell>
          <cell r="AW51">
            <v>0</v>
          </cell>
          <cell r="AY51">
            <v>0</v>
          </cell>
          <cell r="AZ51">
            <v>0</v>
          </cell>
          <cell r="BA51">
            <v>0</v>
          </cell>
          <cell r="BB51">
            <v>0</v>
          </cell>
          <cell r="BC51">
            <v>0</v>
          </cell>
          <cell r="BD51">
            <v>0</v>
          </cell>
          <cell r="BE51">
            <v>0</v>
          </cell>
          <cell r="BF51">
            <v>0</v>
          </cell>
          <cell r="BG51">
            <v>0</v>
          </cell>
          <cell r="BH51">
            <v>0</v>
          </cell>
          <cell r="BJ51">
            <v>0</v>
          </cell>
          <cell r="BL51">
            <v>0</v>
          </cell>
          <cell r="BM51">
            <v>0</v>
          </cell>
          <cell r="BN51">
            <v>0</v>
          </cell>
          <cell r="BO51">
            <v>0</v>
          </cell>
          <cell r="BQ51">
            <v>0</v>
          </cell>
          <cell r="BR51">
            <v>0</v>
          </cell>
          <cell r="BS51">
            <v>0</v>
          </cell>
          <cell r="BT51">
            <v>0</v>
          </cell>
          <cell r="CB51">
            <v>0</v>
          </cell>
          <cell r="CC51">
            <v>0</v>
          </cell>
          <cell r="CD51">
            <v>0</v>
          </cell>
          <cell r="CE51">
            <v>0</v>
          </cell>
          <cell r="CF51">
            <v>0</v>
          </cell>
          <cell r="CI51">
            <v>0</v>
          </cell>
          <cell r="CJ51">
            <v>0</v>
          </cell>
          <cell r="CK51">
            <v>0</v>
          </cell>
          <cell r="CV51">
            <v>5.7082667354736695E-2</v>
          </cell>
          <cell r="DG51">
            <v>2483290054</v>
          </cell>
          <cell r="DR51">
            <v>943822179.58999956</v>
          </cell>
          <cell r="EC51">
            <v>2.6310994885485228</v>
          </cell>
          <cell r="EN51">
            <v>2.4095909012463064E-2</v>
          </cell>
        </row>
        <row r="52">
          <cell r="B52">
            <v>20100</v>
          </cell>
          <cell r="C52" t="str">
            <v>Appalachian State University</v>
          </cell>
          <cell r="D52">
            <v>1.0802526962423729E-2</v>
          </cell>
          <cell r="E52">
            <v>18690890.459402353</v>
          </cell>
          <cell r="F52">
            <v>14573715.935457006</v>
          </cell>
          <cell r="G52">
            <v>1438048</v>
          </cell>
          <cell r="H52">
            <v>-5215422.5871586753</v>
          </cell>
          <cell r="I52">
            <v>-215824.02710551026</v>
          </cell>
          <cell r="J52">
            <v>15772496.667370087</v>
          </cell>
          <cell r="K52">
            <v>0</v>
          </cell>
          <cell r="L52">
            <v>-828713.1586123727</v>
          </cell>
          <cell r="M52">
            <v>148718.51466535561</v>
          </cell>
          <cell r="N52">
            <v>5606.2954429586671</v>
          </cell>
          <cell r="O52">
            <v>-2530.0598398692614</v>
          </cell>
          <cell r="P52">
            <v>0</v>
          </cell>
          <cell r="Q52">
            <v>0</v>
          </cell>
          <cell r="R52">
            <v>0</v>
          </cell>
          <cell r="S52">
            <v>44366986.039621338</v>
          </cell>
          <cell r="T52">
            <v>7516559</v>
          </cell>
          <cell r="U52">
            <v>78862483.336850435</v>
          </cell>
          <cell r="V52">
            <v>594874.05866142246</v>
          </cell>
          <cell r="W52">
            <v>0</v>
          </cell>
          <cell r="X52">
            <v>86973916.395511851</v>
          </cell>
          <cell r="Y52">
            <v>326319.65000000037</v>
          </cell>
          <cell r="Z52">
            <v>0</v>
          </cell>
          <cell r="AA52">
            <v>0</v>
          </cell>
          <cell r="AB52">
            <v>1079120.1355275512</v>
          </cell>
          <cell r="AC52">
            <v>1405439.7855275515</v>
          </cell>
          <cell r="AD52" t="str">
            <v>N/A</v>
          </cell>
          <cell r="AE52">
            <v>17143439</v>
          </cell>
          <cell r="AF52">
            <v>17143439</v>
          </cell>
          <cell r="AG52">
            <v>17143439</v>
          </cell>
          <cell r="AH52">
            <v>17143439</v>
          </cell>
          <cell r="AI52">
            <v>16994721</v>
          </cell>
          <cell r="AJ52">
            <v>0</v>
          </cell>
          <cell r="AK52">
            <v>85568477</v>
          </cell>
          <cell r="AL52">
            <v>349132435</v>
          </cell>
          <cell r="AM52">
            <v>44366986.039621338</v>
          </cell>
          <cell r="AN52">
            <v>-9121256.3499999996</v>
          </cell>
          <cell r="AO52">
            <v>78378237.259984314</v>
          </cell>
          <cell r="AP52">
            <v>0</v>
          </cell>
          <cell r="AQ52">
            <v>7190239.3499999996</v>
          </cell>
          <cell r="AR52">
            <v>0</v>
          </cell>
          <cell r="AS52">
            <v>0</v>
          </cell>
          <cell r="AT52">
            <v>469946641.29960567</v>
          </cell>
          <cell r="AU52">
            <v>1.0530471214041338E-2</v>
          </cell>
          <cell r="AV52">
            <v>0</v>
          </cell>
          <cell r="AW52">
            <v>0</v>
          </cell>
          <cell r="AY52">
            <v>0</v>
          </cell>
          <cell r="AZ52">
            <v>0</v>
          </cell>
          <cell r="BA52">
            <v>0</v>
          </cell>
          <cell r="BB52">
            <v>0</v>
          </cell>
          <cell r="BC52">
            <v>0</v>
          </cell>
          <cell r="BD52">
            <v>0</v>
          </cell>
          <cell r="BE52">
            <v>0</v>
          </cell>
          <cell r="BF52">
            <v>0</v>
          </cell>
          <cell r="BG52">
            <v>0</v>
          </cell>
          <cell r="BH52">
            <v>0</v>
          </cell>
          <cell r="BJ52">
            <v>0</v>
          </cell>
          <cell r="BL52">
            <v>0</v>
          </cell>
          <cell r="BM52">
            <v>0</v>
          </cell>
          <cell r="BN52">
            <v>0</v>
          </cell>
          <cell r="BO52">
            <v>0</v>
          </cell>
          <cell r="BQ52">
            <v>0</v>
          </cell>
          <cell r="BR52">
            <v>0</v>
          </cell>
          <cell r="BS52">
            <v>0</v>
          </cell>
          <cell r="BT52">
            <v>0</v>
          </cell>
          <cell r="CB52">
            <v>0</v>
          </cell>
          <cell r="CC52">
            <v>0</v>
          </cell>
          <cell r="CD52">
            <v>0</v>
          </cell>
          <cell r="CE52">
            <v>0</v>
          </cell>
          <cell r="CF52">
            <v>0</v>
          </cell>
          <cell r="CI52">
            <v>0</v>
          </cell>
          <cell r="CJ52">
            <v>0</v>
          </cell>
          <cell r="CK52">
            <v>0</v>
          </cell>
          <cell r="CV52">
            <v>1.0802526962423729E-2</v>
          </cell>
          <cell r="DG52">
            <v>469946641</v>
          </cell>
          <cell r="DR52">
            <v>159125172.04999989</v>
          </cell>
          <cell r="EC52">
            <v>2.953314267916924</v>
          </cell>
          <cell r="EN52">
            <v>2.4095909012463064E-2</v>
          </cell>
        </row>
        <row r="53">
          <cell r="B53">
            <v>20200</v>
          </cell>
          <cell r="C53" t="str">
            <v>N.C. School Of The Arts</v>
          </cell>
          <cell r="D53">
            <v>1.3983940762772422E-3</v>
          </cell>
          <cell r="E53">
            <v>2419547.8141080006</v>
          </cell>
          <cell r="F53">
            <v>1886576.9189358056</v>
          </cell>
          <cell r="G53">
            <v>358945</v>
          </cell>
          <cell r="H53">
            <v>-675139.81465026259</v>
          </cell>
          <cell r="I53">
            <v>-27938.559382676976</v>
          </cell>
          <cell r="J53">
            <v>2041759.8571588476</v>
          </cell>
          <cell r="K53">
            <v>0</v>
          </cell>
          <cell r="L53">
            <v>-107277.45239309574</v>
          </cell>
          <cell r="M53">
            <v>19251.707555481309</v>
          </cell>
          <cell r="N53">
            <v>725.73855770636317</v>
          </cell>
          <cell r="O53">
            <v>-327.51787660489288</v>
          </cell>
          <cell r="P53">
            <v>0</v>
          </cell>
          <cell r="Q53">
            <v>0</v>
          </cell>
          <cell r="R53">
            <v>0</v>
          </cell>
          <cell r="S53">
            <v>5916123.6920132022</v>
          </cell>
          <cell r="T53">
            <v>1794720.25</v>
          </cell>
          <cell r="U53">
            <v>10208799.285794238</v>
          </cell>
          <cell r="V53">
            <v>77006.830221925236</v>
          </cell>
          <cell r="W53">
            <v>0</v>
          </cell>
          <cell r="X53">
            <v>12080526.366016163</v>
          </cell>
          <cell r="Y53">
            <v>0</v>
          </cell>
          <cell r="Z53">
            <v>0</v>
          </cell>
          <cell r="AA53">
            <v>0</v>
          </cell>
          <cell r="AB53">
            <v>139692.79691338487</v>
          </cell>
          <cell r="AC53">
            <v>139692.79691338487</v>
          </cell>
          <cell r="AD53" t="str">
            <v>N/A</v>
          </cell>
          <cell r="AE53">
            <v>2392017</v>
          </cell>
          <cell r="AF53">
            <v>2392018</v>
          </cell>
          <cell r="AG53">
            <v>2392018</v>
          </cell>
          <cell r="AH53">
            <v>2392018</v>
          </cell>
          <cell r="AI53">
            <v>2372766</v>
          </cell>
          <cell r="AJ53">
            <v>0</v>
          </cell>
          <cell r="AK53">
            <v>11940837</v>
          </cell>
          <cell r="AL53">
            <v>44290031</v>
          </cell>
          <cell r="AM53">
            <v>5916123.6920132022</v>
          </cell>
          <cell r="AN53">
            <v>-1312092.25</v>
          </cell>
          <cell r="AO53">
            <v>10146113.319102779</v>
          </cell>
          <cell r="AP53">
            <v>0</v>
          </cell>
          <cell r="AQ53">
            <v>1794720.25</v>
          </cell>
          <cell r="AR53">
            <v>0</v>
          </cell>
          <cell r="AS53">
            <v>0</v>
          </cell>
          <cell r="AT53">
            <v>60834896.011115983</v>
          </cell>
          <cell r="AU53">
            <v>1.3358681499429763E-3</v>
          </cell>
          <cell r="AV53">
            <v>0</v>
          </cell>
          <cell r="AW53">
            <v>0</v>
          </cell>
          <cell r="AY53">
            <v>0</v>
          </cell>
          <cell r="AZ53">
            <v>0</v>
          </cell>
          <cell r="BA53">
            <v>0</v>
          </cell>
          <cell r="BB53">
            <v>0</v>
          </cell>
          <cell r="BC53">
            <v>0</v>
          </cell>
          <cell r="BD53">
            <v>0</v>
          </cell>
          <cell r="BE53">
            <v>0</v>
          </cell>
          <cell r="BF53">
            <v>0</v>
          </cell>
          <cell r="BG53">
            <v>0</v>
          </cell>
          <cell r="BH53">
            <v>0</v>
          </cell>
          <cell r="BJ53">
            <v>0</v>
          </cell>
          <cell r="BL53">
            <v>0</v>
          </cell>
          <cell r="BM53">
            <v>0</v>
          </cell>
          <cell r="BN53">
            <v>0</v>
          </cell>
          <cell r="BO53">
            <v>0</v>
          </cell>
          <cell r="BQ53">
            <v>0</v>
          </cell>
          <cell r="BR53">
            <v>0</v>
          </cell>
          <cell r="BS53">
            <v>0</v>
          </cell>
          <cell r="BT53">
            <v>0</v>
          </cell>
          <cell r="CB53">
            <v>0</v>
          </cell>
          <cell r="CC53">
            <v>0</v>
          </cell>
          <cell r="CD53">
            <v>0</v>
          </cell>
          <cell r="CE53">
            <v>0</v>
          </cell>
          <cell r="CF53">
            <v>0</v>
          </cell>
          <cell r="CI53">
            <v>0</v>
          </cell>
          <cell r="CJ53">
            <v>0</v>
          </cell>
          <cell r="CK53">
            <v>0</v>
          </cell>
          <cell r="CV53">
            <v>1.3983940762772422E-3</v>
          </cell>
          <cell r="DG53">
            <v>60834895</v>
          </cell>
          <cell r="DR53">
            <v>23139714.909999985</v>
          </cell>
          <cell r="EC53">
            <v>2.6290252596720536</v>
          </cell>
          <cell r="EN53">
            <v>2.4095909012463064E-2</v>
          </cell>
        </row>
        <row r="54">
          <cell r="B54">
            <v>20300</v>
          </cell>
          <cell r="C54" t="str">
            <v>East Carolina University</v>
          </cell>
          <cell r="D54">
            <v>2.6136733978348658E-2</v>
          </cell>
          <cell r="E54">
            <v>45222644.058668174</v>
          </cell>
          <cell r="F54">
            <v>35261132.678126357</v>
          </cell>
          <cell r="G54">
            <v>-4821224</v>
          </cell>
          <cell r="H54">
            <v>-12618724.602067815</v>
          </cell>
          <cell r="I54">
            <v>-522186.63301785389</v>
          </cell>
          <cell r="J54">
            <v>38161584.877632126</v>
          </cell>
          <cell r="K54">
            <v>0</v>
          </cell>
          <cell r="L54">
            <v>-2005073.0210025681</v>
          </cell>
          <cell r="M54">
            <v>359824.7214734492</v>
          </cell>
          <cell r="N54">
            <v>13564.442200083386</v>
          </cell>
          <cell r="O54">
            <v>-6121.4844650690393</v>
          </cell>
          <cell r="P54">
            <v>0</v>
          </cell>
          <cell r="Q54">
            <v>0</v>
          </cell>
          <cell r="R54">
            <v>0</v>
          </cell>
          <cell r="S54">
            <v>99045421.037546903</v>
          </cell>
          <cell r="T54">
            <v>0</v>
          </cell>
          <cell r="U54">
            <v>190807924.38816065</v>
          </cell>
          <cell r="V54">
            <v>1439298.8858937968</v>
          </cell>
          <cell r="W54">
            <v>0</v>
          </cell>
          <cell r="X54">
            <v>192247223.27405444</v>
          </cell>
          <cell r="Y54">
            <v>24106114.84</v>
          </cell>
          <cell r="Z54">
            <v>0</v>
          </cell>
          <cell r="AA54">
            <v>0</v>
          </cell>
          <cell r="AB54">
            <v>2610933.1650892692</v>
          </cell>
          <cell r="AC54">
            <v>26717048.005089268</v>
          </cell>
          <cell r="AD54" t="str">
            <v>N/A</v>
          </cell>
          <cell r="AE54">
            <v>33178000</v>
          </cell>
          <cell r="AF54">
            <v>33178000</v>
          </cell>
          <cell r="AG54">
            <v>33178000</v>
          </cell>
          <cell r="AH54">
            <v>33178000</v>
          </cell>
          <cell r="AI54">
            <v>32818175</v>
          </cell>
          <cell r="AJ54">
            <v>0</v>
          </cell>
          <cell r="AK54">
            <v>165530175</v>
          </cell>
          <cell r="AL54">
            <v>893714791</v>
          </cell>
          <cell r="AM54">
            <v>99045421.037546903</v>
          </cell>
          <cell r="AN54">
            <v>-21253621.16</v>
          </cell>
          <cell r="AO54">
            <v>189636290.10896519</v>
          </cell>
          <cell r="AP54">
            <v>0</v>
          </cell>
          <cell r="AQ54">
            <v>-24106114.84</v>
          </cell>
          <cell r="AR54">
            <v>0</v>
          </cell>
          <cell r="AS54">
            <v>0</v>
          </cell>
          <cell r="AT54">
            <v>1137036766.1465123</v>
          </cell>
          <cell r="AU54">
            <v>2.6956068628154396E-2</v>
          </cell>
          <cell r="AV54">
            <v>0</v>
          </cell>
          <cell r="AW54">
            <v>0</v>
          </cell>
          <cell r="AY54">
            <v>0</v>
          </cell>
          <cell r="AZ54">
            <v>0</v>
          </cell>
          <cell r="BA54">
            <v>0</v>
          </cell>
          <cell r="BB54">
            <v>0</v>
          </cell>
          <cell r="BC54">
            <v>0</v>
          </cell>
          <cell r="BD54">
            <v>0</v>
          </cell>
          <cell r="BE54">
            <v>0</v>
          </cell>
          <cell r="BF54">
            <v>0</v>
          </cell>
          <cell r="BG54">
            <v>0</v>
          </cell>
          <cell r="BH54">
            <v>0</v>
          </cell>
          <cell r="BJ54">
            <v>0</v>
          </cell>
          <cell r="BL54">
            <v>0</v>
          </cell>
          <cell r="BM54">
            <v>0</v>
          </cell>
          <cell r="BN54">
            <v>0</v>
          </cell>
          <cell r="BO54">
            <v>0</v>
          </cell>
          <cell r="BQ54">
            <v>0</v>
          </cell>
          <cell r="BR54">
            <v>0</v>
          </cell>
          <cell r="BS54">
            <v>0</v>
          </cell>
          <cell r="BT54">
            <v>0</v>
          </cell>
          <cell r="CB54">
            <v>0</v>
          </cell>
          <cell r="CC54">
            <v>0</v>
          </cell>
          <cell r="CD54">
            <v>0</v>
          </cell>
          <cell r="CE54">
            <v>0</v>
          </cell>
          <cell r="CF54">
            <v>0</v>
          </cell>
          <cell r="CI54">
            <v>0</v>
          </cell>
          <cell r="CJ54">
            <v>0</v>
          </cell>
          <cell r="CK54">
            <v>0</v>
          </cell>
          <cell r="CV54">
            <v>2.6136733978348658E-2</v>
          </cell>
          <cell r="DG54">
            <v>1137036767</v>
          </cell>
          <cell r="DR54">
            <v>384458364.83999896</v>
          </cell>
          <cell r="EC54">
            <v>2.9575029989871688</v>
          </cell>
          <cell r="EN54">
            <v>2.4095909012463064E-2</v>
          </cell>
        </row>
        <row r="55">
          <cell r="B55">
            <v>20400</v>
          </cell>
          <cell r="C55" t="str">
            <v>Elizabeth City State University</v>
          </cell>
          <cell r="D55">
            <v>1.2727069321551963E-3</v>
          </cell>
          <cell r="E55">
            <v>2202079.7484311531</v>
          </cell>
          <cell r="F55">
            <v>1717012.0808617924</v>
          </cell>
          <cell r="G55">
            <v>-1266162</v>
          </cell>
          <cell r="H55">
            <v>-614458.49696878274</v>
          </cell>
          <cell r="I55">
            <v>-25427.451963628762</v>
          </cell>
          <cell r="J55">
            <v>1858247.2337984105</v>
          </cell>
          <cell r="K55">
            <v>0</v>
          </cell>
          <cell r="L55">
            <v>-97635.394514910222</v>
          </cell>
          <cell r="M55">
            <v>17521.371176652476</v>
          </cell>
          <cell r="N55">
            <v>660.5094436499038</v>
          </cell>
          <cell r="O55">
            <v>-298.08069058006851</v>
          </cell>
          <cell r="P55">
            <v>0</v>
          </cell>
          <cell r="Q55">
            <v>0</v>
          </cell>
          <cell r="R55">
            <v>0</v>
          </cell>
          <cell r="S55">
            <v>3791539.5195737565</v>
          </cell>
          <cell r="T55">
            <v>49780.379999999888</v>
          </cell>
          <cell r="U55">
            <v>9291236.1689920519</v>
          </cell>
          <cell r="V55">
            <v>70085.484706609903</v>
          </cell>
          <cell r="W55">
            <v>0</v>
          </cell>
          <cell r="X55">
            <v>9411102.0336986631</v>
          </cell>
          <cell r="Y55">
            <v>6380589</v>
          </cell>
          <cell r="Z55">
            <v>0</v>
          </cell>
          <cell r="AA55">
            <v>0</v>
          </cell>
          <cell r="AB55">
            <v>127137.25981814381</v>
          </cell>
          <cell r="AC55">
            <v>6507726.2598181441</v>
          </cell>
          <cell r="AD55" t="str">
            <v>N/A</v>
          </cell>
          <cell r="AE55">
            <v>584179</v>
          </cell>
          <cell r="AF55">
            <v>584179</v>
          </cell>
          <cell r="AG55">
            <v>584179</v>
          </cell>
          <cell r="AH55">
            <v>584179</v>
          </cell>
          <cell r="AI55">
            <v>566658</v>
          </cell>
          <cell r="AJ55">
            <v>0</v>
          </cell>
          <cell r="AK55">
            <v>2903374</v>
          </cell>
          <cell r="AL55">
            <v>49852660</v>
          </cell>
          <cell r="AM55">
            <v>3791539.5195737565</v>
          </cell>
          <cell r="AN55">
            <v>-1180498.3799999999</v>
          </cell>
          <cell r="AO55">
            <v>9234184.39388052</v>
          </cell>
          <cell r="AP55">
            <v>0</v>
          </cell>
          <cell r="AQ55">
            <v>-6330808.6200000001</v>
          </cell>
          <cell r="AR55">
            <v>0</v>
          </cell>
          <cell r="AS55">
            <v>0</v>
          </cell>
          <cell r="AT55">
            <v>55367076.913454272</v>
          </cell>
          <cell r="AU55">
            <v>1.5036471697692172E-3</v>
          </cell>
          <cell r="AV55">
            <v>0</v>
          </cell>
          <cell r="AW55">
            <v>0</v>
          </cell>
          <cell r="AY55">
            <v>0</v>
          </cell>
          <cell r="AZ55">
            <v>0</v>
          </cell>
          <cell r="BA55">
            <v>0</v>
          </cell>
          <cell r="BB55">
            <v>0</v>
          </cell>
          <cell r="BC55">
            <v>0</v>
          </cell>
          <cell r="BD55">
            <v>0</v>
          </cell>
          <cell r="BE55">
            <v>0</v>
          </cell>
          <cell r="BF55">
            <v>0</v>
          </cell>
          <cell r="BG55">
            <v>0</v>
          </cell>
          <cell r="BH55">
            <v>0</v>
          </cell>
          <cell r="BJ55">
            <v>0</v>
          </cell>
          <cell r="BL55">
            <v>0</v>
          </cell>
          <cell r="BM55">
            <v>0</v>
          </cell>
          <cell r="BN55">
            <v>0</v>
          </cell>
          <cell r="BO55">
            <v>0</v>
          </cell>
          <cell r="BQ55">
            <v>0</v>
          </cell>
          <cell r="BR55">
            <v>0</v>
          </cell>
          <cell r="BS55">
            <v>0</v>
          </cell>
          <cell r="BT55">
            <v>0</v>
          </cell>
          <cell r="CB55">
            <v>0</v>
          </cell>
          <cell r="CC55">
            <v>0</v>
          </cell>
          <cell r="CD55">
            <v>0</v>
          </cell>
          <cell r="CE55">
            <v>0</v>
          </cell>
          <cell r="CF55">
            <v>0</v>
          </cell>
          <cell r="CI55">
            <v>0</v>
          </cell>
          <cell r="CJ55">
            <v>0</v>
          </cell>
          <cell r="CK55">
            <v>0</v>
          </cell>
          <cell r="CV55">
            <v>1.2727069321551963E-3</v>
          </cell>
          <cell r="DG55">
            <v>55367077</v>
          </cell>
          <cell r="DR55">
            <v>21065056.790000014</v>
          </cell>
          <cell r="EC55">
            <v>2.6283848912424395</v>
          </cell>
          <cell r="EN55">
            <v>2.4095909012463064E-2</v>
          </cell>
        </row>
        <row r="56">
          <cell r="B56">
            <v>20600</v>
          </cell>
          <cell r="C56" t="str">
            <v>Fayetteville State University</v>
          </cell>
          <cell r="D56">
            <v>2.8367686811147787E-3</v>
          </cell>
          <cell r="E56">
            <v>4908271.2648451738</v>
          </cell>
          <cell r="F56">
            <v>3827091.6681787176</v>
          </cell>
          <cell r="G56">
            <v>-892139</v>
          </cell>
          <cell r="H56">
            <v>-1369582.089958593</v>
          </cell>
          <cell r="I56">
            <v>-56675.891007228885</v>
          </cell>
          <cell r="J56">
            <v>4141894.2738694032</v>
          </cell>
          <cell r="K56">
            <v>0</v>
          </cell>
          <cell r="L56">
            <v>-217622.00105185629</v>
          </cell>
          <cell r="M56">
            <v>39053.827513885124</v>
          </cell>
          <cell r="N56">
            <v>1472.2262101249478</v>
          </cell>
          <cell r="O56">
            <v>-664.39959280389235</v>
          </cell>
          <cell r="P56">
            <v>0</v>
          </cell>
          <cell r="Q56">
            <v>0</v>
          </cell>
          <cell r="R56">
            <v>0</v>
          </cell>
          <cell r="S56">
            <v>10381099.879006824</v>
          </cell>
          <cell r="T56">
            <v>57497.470000000205</v>
          </cell>
          <cell r="U56">
            <v>20709471.369347017</v>
          </cell>
          <cell r="V56">
            <v>156215.3100555405</v>
          </cell>
          <cell r="W56">
            <v>0</v>
          </cell>
          <cell r="X56">
            <v>20923184.149402555</v>
          </cell>
          <cell r="Y56">
            <v>4518190</v>
          </cell>
          <cell r="Z56">
            <v>0</v>
          </cell>
          <cell r="AA56">
            <v>0</v>
          </cell>
          <cell r="AB56">
            <v>283379.45503614441</v>
          </cell>
          <cell r="AC56">
            <v>4801569.4550361447</v>
          </cell>
          <cell r="AD56" t="str">
            <v>N/A</v>
          </cell>
          <cell r="AE56">
            <v>3232133</v>
          </cell>
          <cell r="AF56">
            <v>3232134</v>
          </cell>
          <cell r="AG56">
            <v>3232134</v>
          </cell>
          <cell r="AH56">
            <v>3232134</v>
          </cell>
          <cell r="AI56">
            <v>3193080</v>
          </cell>
          <cell r="AJ56">
            <v>0</v>
          </cell>
          <cell r="AK56">
            <v>16121615</v>
          </cell>
          <cell r="AL56">
            <v>99473456</v>
          </cell>
          <cell r="AM56">
            <v>10381099.879006824</v>
          </cell>
          <cell r="AN56">
            <v>-2567090.4700000002</v>
          </cell>
          <cell r="AO56">
            <v>20582307.224366415</v>
          </cell>
          <cell r="AP56">
            <v>0</v>
          </cell>
          <cell r="AQ56">
            <v>-4460692.5299999993</v>
          </cell>
          <cell r="AR56">
            <v>0</v>
          </cell>
          <cell r="AS56">
            <v>0</v>
          </cell>
          <cell r="AT56">
            <v>123409080.10337323</v>
          </cell>
          <cell r="AU56">
            <v>3.0003009274008141E-3</v>
          </cell>
          <cell r="AV56">
            <v>0</v>
          </cell>
          <cell r="AW56">
            <v>0</v>
          </cell>
          <cell r="AY56">
            <v>0</v>
          </cell>
          <cell r="AZ56">
            <v>0</v>
          </cell>
          <cell r="BA56">
            <v>0</v>
          </cell>
          <cell r="BB56">
            <v>0</v>
          </cell>
          <cell r="BC56">
            <v>0</v>
          </cell>
          <cell r="BD56">
            <v>0</v>
          </cell>
          <cell r="BE56">
            <v>0</v>
          </cell>
          <cell r="BF56">
            <v>0</v>
          </cell>
          <cell r="BG56">
            <v>0</v>
          </cell>
          <cell r="BH56">
            <v>0</v>
          </cell>
          <cell r="BJ56">
            <v>0</v>
          </cell>
          <cell r="BL56">
            <v>0</v>
          </cell>
          <cell r="BM56">
            <v>0</v>
          </cell>
          <cell r="BN56">
            <v>0</v>
          </cell>
          <cell r="BO56">
            <v>0</v>
          </cell>
          <cell r="BQ56">
            <v>0</v>
          </cell>
          <cell r="BR56">
            <v>0</v>
          </cell>
          <cell r="BS56">
            <v>0</v>
          </cell>
          <cell r="BT56">
            <v>0</v>
          </cell>
          <cell r="CB56">
            <v>0</v>
          </cell>
          <cell r="CC56">
            <v>0</v>
          </cell>
          <cell r="CD56">
            <v>0</v>
          </cell>
          <cell r="CE56">
            <v>0</v>
          </cell>
          <cell r="CF56">
            <v>0</v>
          </cell>
          <cell r="CI56">
            <v>0</v>
          </cell>
          <cell r="CJ56">
            <v>0</v>
          </cell>
          <cell r="CK56">
            <v>0</v>
          </cell>
          <cell r="CV56">
            <v>2.8367686811147787E-3</v>
          </cell>
          <cell r="DG56">
            <v>123409080</v>
          </cell>
          <cell r="DR56">
            <v>46059741.430000059</v>
          </cell>
          <cell r="EC56">
            <v>2.6793263741515503</v>
          </cell>
          <cell r="EN56">
            <v>2.4095909012463064E-2</v>
          </cell>
        </row>
        <row r="57">
          <cell r="B57">
            <v>20700</v>
          </cell>
          <cell r="C57" t="str">
            <v>N.C. A&amp;T University</v>
          </cell>
          <cell r="D57">
            <v>6.2362312392525649E-3</v>
          </cell>
          <cell r="E57">
            <v>10790134.139708763</v>
          </cell>
          <cell r="F57">
            <v>8413315.0423813704</v>
          </cell>
          <cell r="G57">
            <v>-1134721</v>
          </cell>
          <cell r="H57">
            <v>-3010830.8340333849</v>
          </cell>
          <cell r="I57">
            <v>-124593.86074188456</v>
          </cell>
          <cell r="J57">
            <v>9105363.6598368064</v>
          </cell>
          <cell r="K57">
            <v>0</v>
          </cell>
          <cell r="L57">
            <v>-478410.92237909173</v>
          </cell>
          <cell r="M57">
            <v>85854.268194600649</v>
          </cell>
          <cell r="N57">
            <v>3236.4792885472962</v>
          </cell>
          <cell r="O57">
            <v>-1460.5877185453433</v>
          </cell>
          <cell r="P57">
            <v>0</v>
          </cell>
          <cell r="Q57">
            <v>0</v>
          </cell>
          <cell r="R57">
            <v>0</v>
          </cell>
          <cell r="S57">
            <v>23647886.384537183</v>
          </cell>
          <cell r="T57">
            <v>160257.80000000075</v>
          </cell>
          <cell r="U57">
            <v>45526818.299184032</v>
          </cell>
          <cell r="V57">
            <v>343417.07277840259</v>
          </cell>
          <cell r="W57">
            <v>0</v>
          </cell>
          <cell r="X57">
            <v>46030493.17196244</v>
          </cell>
          <cell r="Y57">
            <v>5833865</v>
          </cell>
          <cell r="Z57">
            <v>0</v>
          </cell>
          <cell r="AA57">
            <v>0</v>
          </cell>
          <cell r="AB57">
            <v>622969.30370942282</v>
          </cell>
          <cell r="AC57">
            <v>6456834.3037094232</v>
          </cell>
          <cell r="AD57" t="str">
            <v>N/A</v>
          </cell>
          <cell r="AE57">
            <v>7931903</v>
          </cell>
          <cell r="AF57">
            <v>7931902</v>
          </cell>
          <cell r="AG57">
            <v>7931902</v>
          </cell>
          <cell r="AH57">
            <v>7931902</v>
          </cell>
          <cell r="AI57">
            <v>7846048</v>
          </cell>
          <cell r="AJ57">
            <v>0</v>
          </cell>
          <cell r="AK57">
            <v>39573657</v>
          </cell>
          <cell r="AL57">
            <v>213759724</v>
          </cell>
          <cell r="AM57">
            <v>23647886.384537183</v>
          </cell>
          <cell r="AN57">
            <v>-5684012.8000000007</v>
          </cell>
          <cell r="AO57">
            <v>45247266.068253018</v>
          </cell>
          <cell r="AP57">
            <v>0</v>
          </cell>
          <cell r="AQ57">
            <v>-5673607.1999999993</v>
          </cell>
          <cell r="AR57">
            <v>0</v>
          </cell>
          <cell r="AS57">
            <v>0</v>
          </cell>
          <cell r="AT57">
            <v>271297256.4527902</v>
          </cell>
          <cell r="AU57">
            <v>6.4473832775513084E-3</v>
          </cell>
          <cell r="AV57">
            <v>0</v>
          </cell>
          <cell r="AW57">
            <v>0</v>
          </cell>
          <cell r="AY57">
            <v>0</v>
          </cell>
          <cell r="AZ57">
            <v>0</v>
          </cell>
          <cell r="BA57">
            <v>0</v>
          </cell>
          <cell r="BB57">
            <v>0</v>
          </cell>
          <cell r="BC57">
            <v>0</v>
          </cell>
          <cell r="BD57">
            <v>0</v>
          </cell>
          <cell r="BE57">
            <v>0</v>
          </cell>
          <cell r="BF57">
            <v>0</v>
          </cell>
          <cell r="BG57">
            <v>0</v>
          </cell>
          <cell r="BH57">
            <v>0</v>
          </cell>
          <cell r="BJ57">
            <v>0</v>
          </cell>
          <cell r="BL57">
            <v>0</v>
          </cell>
          <cell r="BM57">
            <v>0</v>
          </cell>
          <cell r="BN57">
            <v>0</v>
          </cell>
          <cell r="BO57">
            <v>0</v>
          </cell>
          <cell r="BQ57">
            <v>0</v>
          </cell>
          <cell r="BR57">
            <v>0</v>
          </cell>
          <cell r="BS57">
            <v>0</v>
          </cell>
          <cell r="BT57">
            <v>0</v>
          </cell>
          <cell r="CB57">
            <v>0</v>
          </cell>
          <cell r="CC57">
            <v>0</v>
          </cell>
          <cell r="CD57">
            <v>0</v>
          </cell>
          <cell r="CE57">
            <v>0</v>
          </cell>
          <cell r="CF57">
            <v>0</v>
          </cell>
          <cell r="CI57">
            <v>0</v>
          </cell>
          <cell r="CJ57">
            <v>0</v>
          </cell>
          <cell r="CK57">
            <v>0</v>
          </cell>
          <cell r="CV57">
            <v>6.2362312392525649E-3</v>
          </cell>
          <cell r="DG57">
            <v>271297256</v>
          </cell>
          <cell r="DR57">
            <v>100882755.96999997</v>
          </cell>
          <cell r="EC57">
            <v>2.6892331934377078</v>
          </cell>
          <cell r="EN57">
            <v>2.4095909012463064E-2</v>
          </cell>
        </row>
        <row r="58">
          <cell r="B58">
            <v>20800</v>
          </cell>
          <cell r="C58" t="str">
            <v>N.C. Central University</v>
          </cell>
          <cell r="D58">
            <v>4.920570010970406E-3</v>
          </cell>
          <cell r="E58">
            <v>8513733.4433676898</v>
          </cell>
          <cell r="F58">
            <v>6638353.21400778</v>
          </cell>
          <cell r="G58">
            <v>-264960</v>
          </cell>
          <cell r="H58">
            <v>-2375634.1517293258</v>
          </cell>
          <cell r="I58">
            <v>-98308.223540315536</v>
          </cell>
          <cell r="J58">
            <v>7184399.9436016111</v>
          </cell>
          <cell r="K58">
            <v>0</v>
          </cell>
          <cell r="L58">
            <v>-377480.29976216715</v>
          </cell>
          <cell r="M58">
            <v>67741.544722256745</v>
          </cell>
          <cell r="N58">
            <v>2553.6774242934212</v>
          </cell>
          <cell r="O58">
            <v>-1152.4467022693789</v>
          </cell>
          <cell r="P58">
            <v>0</v>
          </cell>
          <cell r="Q58">
            <v>0</v>
          </cell>
          <cell r="R58">
            <v>0</v>
          </cell>
          <cell r="S58">
            <v>19289246.701389551</v>
          </cell>
          <cell r="T58">
            <v>32592.550000000745</v>
          </cell>
          <cell r="U58">
            <v>35921999.718008056</v>
          </cell>
          <cell r="V58">
            <v>270966.17888902698</v>
          </cell>
          <cell r="W58">
            <v>0</v>
          </cell>
          <cell r="X58">
            <v>36225558.446897082</v>
          </cell>
          <cell r="Y58">
            <v>1357395</v>
          </cell>
          <cell r="Z58">
            <v>0</v>
          </cell>
          <cell r="AA58">
            <v>0</v>
          </cell>
          <cell r="AB58">
            <v>491541.11770157772</v>
          </cell>
          <cell r="AC58">
            <v>1848936.1177015777</v>
          </cell>
          <cell r="AD58" t="str">
            <v>N/A</v>
          </cell>
          <cell r="AE58">
            <v>6888873</v>
          </cell>
          <cell r="AF58">
            <v>6888872</v>
          </cell>
          <cell r="AG58">
            <v>6888872</v>
          </cell>
          <cell r="AH58">
            <v>6888872</v>
          </cell>
          <cell r="AI58">
            <v>6821131</v>
          </cell>
          <cell r="AJ58">
            <v>0</v>
          </cell>
          <cell r="AK58">
            <v>34376620</v>
          </cell>
          <cell r="AL58">
            <v>164767878</v>
          </cell>
          <cell r="AM58">
            <v>19289246.701389551</v>
          </cell>
          <cell r="AN58">
            <v>-4372226.5500000007</v>
          </cell>
          <cell r="AO58">
            <v>35701424.779195502</v>
          </cell>
          <cell r="AP58">
            <v>0</v>
          </cell>
          <cell r="AQ58">
            <v>-1324802.4499999993</v>
          </cell>
          <cell r="AR58">
            <v>0</v>
          </cell>
          <cell r="AS58">
            <v>0</v>
          </cell>
          <cell r="AT58">
            <v>214061520.48058504</v>
          </cell>
          <cell r="AU58">
            <v>4.969699802402484E-3</v>
          </cell>
          <cell r="AV58">
            <v>0</v>
          </cell>
          <cell r="AW58">
            <v>0</v>
          </cell>
          <cell r="AY58">
            <v>0</v>
          </cell>
          <cell r="AZ58">
            <v>0</v>
          </cell>
          <cell r="BA58">
            <v>0</v>
          </cell>
          <cell r="BB58">
            <v>0</v>
          </cell>
          <cell r="BC58">
            <v>0</v>
          </cell>
          <cell r="BD58">
            <v>0</v>
          </cell>
          <cell r="BE58">
            <v>0</v>
          </cell>
          <cell r="BF58">
            <v>0</v>
          </cell>
          <cell r="BG58">
            <v>0</v>
          </cell>
          <cell r="BH58">
            <v>0</v>
          </cell>
          <cell r="BJ58">
            <v>0</v>
          </cell>
          <cell r="BL58">
            <v>0</v>
          </cell>
          <cell r="BM58">
            <v>0</v>
          </cell>
          <cell r="BN58">
            <v>0</v>
          </cell>
          <cell r="BO58">
            <v>0</v>
          </cell>
          <cell r="BQ58">
            <v>0</v>
          </cell>
          <cell r="BR58">
            <v>0</v>
          </cell>
          <cell r="BS58">
            <v>0</v>
          </cell>
          <cell r="BT58">
            <v>0</v>
          </cell>
          <cell r="CB58">
            <v>0</v>
          </cell>
          <cell r="CC58">
            <v>0</v>
          </cell>
          <cell r="CD58">
            <v>0</v>
          </cell>
          <cell r="CE58">
            <v>0</v>
          </cell>
          <cell r="CF58">
            <v>0</v>
          </cell>
          <cell r="CI58">
            <v>0</v>
          </cell>
          <cell r="CJ58">
            <v>0</v>
          </cell>
          <cell r="CK58">
            <v>0</v>
          </cell>
          <cell r="CV58">
            <v>4.920570010970406E-3</v>
          </cell>
          <cell r="DG58">
            <v>214061520</v>
          </cell>
          <cell r="DR58">
            <v>78015479.829999864</v>
          </cell>
          <cell r="EC58">
            <v>2.7438339220171706</v>
          </cell>
          <cell r="EN58">
            <v>2.4095909012463064E-2</v>
          </cell>
        </row>
        <row r="59">
          <cell r="B59">
            <v>20900</v>
          </cell>
          <cell r="C59" t="str">
            <v>University Of North Carolina At Greensboro</v>
          </cell>
          <cell r="D59">
            <v>1.0138441356939986E-2</v>
          </cell>
          <cell r="E59">
            <v>17541867.517738931</v>
          </cell>
          <cell r="F59">
            <v>13677796.396925759</v>
          </cell>
          <cell r="G59">
            <v>-2300171</v>
          </cell>
          <cell r="H59">
            <v>-4894804.3578596888</v>
          </cell>
          <cell r="I59">
            <v>-202556.23983528576</v>
          </cell>
          <cell r="J59">
            <v>14802882.054439679</v>
          </cell>
          <cell r="K59">
            <v>0</v>
          </cell>
          <cell r="L59">
            <v>-777767.99720488244</v>
          </cell>
          <cell r="M59">
            <v>139576.04039042664</v>
          </cell>
          <cell r="N59">
            <v>5261.648295424714</v>
          </cell>
          <cell r="O59">
            <v>-2374.5243502089143</v>
          </cell>
          <cell r="P59">
            <v>0</v>
          </cell>
          <cell r="Q59">
            <v>0</v>
          </cell>
          <cell r="R59">
            <v>0</v>
          </cell>
          <cell r="S59">
            <v>37989709.538540147</v>
          </cell>
          <cell r="T59">
            <v>0</v>
          </cell>
          <cell r="U59">
            <v>74014410.272198394</v>
          </cell>
          <cell r="V59">
            <v>558304.16156170657</v>
          </cell>
          <cell r="W59">
            <v>0</v>
          </cell>
          <cell r="X59">
            <v>74572714.433760107</v>
          </cell>
          <cell r="Y59">
            <v>11500854</v>
          </cell>
          <cell r="Z59">
            <v>0</v>
          </cell>
          <cell r="AA59">
            <v>0</v>
          </cell>
          <cell r="AB59">
            <v>1012781.1991764287</v>
          </cell>
          <cell r="AC59">
            <v>12513635.199176429</v>
          </cell>
          <cell r="AD59" t="str">
            <v>N/A</v>
          </cell>
          <cell r="AE59">
            <v>12439731</v>
          </cell>
          <cell r="AF59">
            <v>12439731</v>
          </cell>
          <cell r="AG59">
            <v>12439731</v>
          </cell>
          <cell r="AH59">
            <v>12439731</v>
          </cell>
          <cell r="AI59">
            <v>12300155</v>
          </cell>
          <cell r="AJ59">
            <v>0</v>
          </cell>
          <cell r="AK59">
            <v>62059079</v>
          </cell>
          <cell r="AL59">
            <v>349695995</v>
          </cell>
          <cell r="AM59">
            <v>37989709.538540147</v>
          </cell>
          <cell r="AN59">
            <v>-8688124</v>
          </cell>
          <cell r="AO59">
            <v>73559933.234583676</v>
          </cell>
          <cell r="AP59">
            <v>0</v>
          </cell>
          <cell r="AQ59">
            <v>-11500854</v>
          </cell>
          <cell r="AR59">
            <v>0</v>
          </cell>
          <cell r="AS59">
            <v>0</v>
          </cell>
          <cell r="AT59">
            <v>441056659.7731238</v>
          </cell>
          <cell r="AU59">
            <v>1.0547469212309908E-2</v>
          </cell>
          <cell r="AV59">
            <v>0</v>
          </cell>
          <cell r="AW59">
            <v>0</v>
          </cell>
          <cell r="AY59">
            <v>0</v>
          </cell>
          <cell r="AZ59">
            <v>0</v>
          </cell>
          <cell r="BA59">
            <v>0</v>
          </cell>
          <cell r="BB59">
            <v>0</v>
          </cell>
          <cell r="BC59">
            <v>0</v>
          </cell>
          <cell r="BD59">
            <v>0</v>
          </cell>
          <cell r="BE59">
            <v>0</v>
          </cell>
          <cell r="BF59">
            <v>0</v>
          </cell>
          <cell r="BG59">
            <v>0</v>
          </cell>
          <cell r="BH59">
            <v>0</v>
          </cell>
          <cell r="BJ59">
            <v>0</v>
          </cell>
          <cell r="BL59">
            <v>0</v>
          </cell>
          <cell r="BM59">
            <v>0</v>
          </cell>
          <cell r="BN59">
            <v>0</v>
          </cell>
          <cell r="BO59">
            <v>0</v>
          </cell>
          <cell r="BQ59">
            <v>0</v>
          </cell>
          <cell r="BR59">
            <v>0</v>
          </cell>
          <cell r="BS59">
            <v>0</v>
          </cell>
          <cell r="BT59">
            <v>0</v>
          </cell>
          <cell r="CB59">
            <v>0</v>
          </cell>
          <cell r="CC59">
            <v>0</v>
          </cell>
          <cell r="CD59">
            <v>0</v>
          </cell>
          <cell r="CE59">
            <v>0</v>
          </cell>
          <cell r="CF59">
            <v>0</v>
          </cell>
          <cell r="CI59">
            <v>0</v>
          </cell>
          <cell r="CJ59">
            <v>0</v>
          </cell>
          <cell r="CK59">
            <v>0</v>
          </cell>
          <cell r="CV59">
            <v>1.0138441356939986E-2</v>
          </cell>
          <cell r="DG59">
            <v>441056660</v>
          </cell>
          <cell r="DR59">
            <v>153380773.23999989</v>
          </cell>
          <cell r="EC59">
            <v>2.8755668046467875</v>
          </cell>
          <cell r="EN59">
            <v>2.4095909012463064E-2</v>
          </cell>
        </row>
        <row r="60">
          <cell r="B60">
            <v>21200</v>
          </cell>
          <cell r="C60" t="str">
            <v>UNC - Pembroke</v>
          </cell>
          <cell r="D60">
            <v>3.3211057016841483E-3</v>
          </cell>
          <cell r="E60">
            <v>5746287.2428089324</v>
          </cell>
          <cell r="F60">
            <v>4480511.9446896389</v>
          </cell>
          <cell r="G60">
            <v>1199456</v>
          </cell>
          <cell r="H60">
            <v>-1603418.3252821725</v>
          </cell>
          <cell r="I60">
            <v>-66352.475626658736</v>
          </cell>
          <cell r="J60">
            <v>4849062.5197240151</v>
          </cell>
          <cell r="K60">
            <v>0</v>
          </cell>
          <cell r="L60">
            <v>-254777.79464951399</v>
          </cell>
          <cell r="M60">
            <v>45721.700924159799</v>
          </cell>
          <cell r="N60">
            <v>1723.5874370600393</v>
          </cell>
          <cell r="O60">
            <v>-777.83616639144441</v>
          </cell>
          <cell r="P60">
            <v>0</v>
          </cell>
          <cell r="Q60">
            <v>0</v>
          </cell>
          <cell r="R60">
            <v>0</v>
          </cell>
          <cell r="S60">
            <v>14397436.56385907</v>
          </cell>
          <cell r="T60">
            <v>6198341</v>
          </cell>
          <cell r="U60">
            <v>24245312.598620076</v>
          </cell>
          <cell r="V60">
            <v>182886.8036966392</v>
          </cell>
          <cell r="W60">
            <v>0</v>
          </cell>
          <cell r="X60">
            <v>30626540.402316716</v>
          </cell>
          <cell r="Y60">
            <v>201060.70000000019</v>
          </cell>
          <cell r="Z60">
            <v>0</v>
          </cell>
          <cell r="AA60">
            <v>0</v>
          </cell>
          <cell r="AB60">
            <v>331762.37813329365</v>
          </cell>
          <cell r="AC60">
            <v>532823.07813329389</v>
          </cell>
          <cell r="AD60" t="str">
            <v>N/A</v>
          </cell>
          <cell r="AE60">
            <v>6027888</v>
          </cell>
          <cell r="AF60">
            <v>6027888</v>
          </cell>
          <cell r="AG60">
            <v>6027888</v>
          </cell>
          <cell r="AH60">
            <v>6027888</v>
          </cell>
          <cell r="AI60">
            <v>5982166</v>
          </cell>
          <cell r="AJ60">
            <v>0</v>
          </cell>
          <cell r="AK60">
            <v>30093718</v>
          </cell>
          <cell r="AL60">
            <v>102671567</v>
          </cell>
          <cell r="AM60">
            <v>14397436.56385907</v>
          </cell>
          <cell r="AN60">
            <v>-2683334.2999999998</v>
          </cell>
          <cell r="AO60">
            <v>24096437.024183426</v>
          </cell>
          <cell r="AP60">
            <v>0</v>
          </cell>
          <cell r="AQ60">
            <v>5997280.2999999998</v>
          </cell>
          <cell r="AR60">
            <v>0</v>
          </cell>
          <cell r="AS60">
            <v>0</v>
          </cell>
          <cell r="AT60">
            <v>144479386.58804253</v>
          </cell>
          <cell r="AU60">
            <v>3.0967617921084036E-3</v>
          </cell>
          <cell r="AV60">
            <v>0</v>
          </cell>
          <cell r="AW60">
            <v>0</v>
          </cell>
          <cell r="AY60">
            <v>0</v>
          </cell>
          <cell r="AZ60">
            <v>0</v>
          </cell>
          <cell r="BA60">
            <v>0</v>
          </cell>
          <cell r="BB60">
            <v>0</v>
          </cell>
          <cell r="BC60">
            <v>0</v>
          </cell>
          <cell r="BD60">
            <v>0</v>
          </cell>
          <cell r="BE60">
            <v>0</v>
          </cell>
          <cell r="BF60">
            <v>0</v>
          </cell>
          <cell r="BG60">
            <v>0</v>
          </cell>
          <cell r="BH60">
            <v>0</v>
          </cell>
          <cell r="BJ60">
            <v>0</v>
          </cell>
          <cell r="BL60">
            <v>0</v>
          </cell>
          <cell r="BM60">
            <v>0</v>
          </cell>
          <cell r="BN60">
            <v>0</v>
          </cell>
          <cell r="BO60">
            <v>0</v>
          </cell>
          <cell r="BQ60">
            <v>0</v>
          </cell>
          <cell r="BR60">
            <v>0</v>
          </cell>
          <cell r="BS60">
            <v>0</v>
          </cell>
          <cell r="BT60">
            <v>0</v>
          </cell>
          <cell r="CB60">
            <v>0</v>
          </cell>
          <cell r="CC60">
            <v>0</v>
          </cell>
          <cell r="CD60">
            <v>0</v>
          </cell>
          <cell r="CE60">
            <v>0</v>
          </cell>
          <cell r="CF60">
            <v>0</v>
          </cell>
          <cell r="CI60">
            <v>0</v>
          </cell>
          <cell r="CJ60">
            <v>0</v>
          </cell>
          <cell r="CK60">
            <v>0</v>
          </cell>
          <cell r="CV60">
            <v>3.3211057016841483E-3</v>
          </cell>
          <cell r="DG60">
            <v>144479386</v>
          </cell>
          <cell r="DR60">
            <v>48158850.890000053</v>
          </cell>
          <cell r="EC60">
            <v>3.0000588330067575</v>
          </cell>
          <cell r="EN60">
            <v>2.4095909012463064E-2</v>
          </cell>
        </row>
        <row r="61">
          <cell r="B61">
            <v>21300</v>
          </cell>
          <cell r="C61" t="str">
            <v>N.C. State University</v>
          </cell>
          <cell r="D61">
            <v>3.9767071830284745E-2</v>
          </cell>
          <cell r="E61">
            <v>68806306.714764208</v>
          </cell>
          <cell r="F61">
            <v>53649855.302879199</v>
          </cell>
          <cell r="G61">
            <v>4465900</v>
          </cell>
          <cell r="H61">
            <v>-19199404.488437805</v>
          </cell>
          <cell r="I61">
            <v>-794507.58312946407</v>
          </cell>
          <cell r="J61">
            <v>58062896.773691945</v>
          </cell>
          <cell r="K61">
            <v>0</v>
          </cell>
          <cell r="L61">
            <v>-3050720.985920711</v>
          </cell>
          <cell r="M61">
            <v>547473.74163123814</v>
          </cell>
          <cell r="N61">
            <v>20638.314938481177</v>
          </cell>
          <cell r="O61">
            <v>-9313.8458933709899</v>
          </cell>
          <cell r="P61">
            <v>0</v>
          </cell>
          <cell r="Q61">
            <v>0</v>
          </cell>
          <cell r="R61">
            <v>0</v>
          </cell>
          <cell r="S61">
            <v>162499123.94452372</v>
          </cell>
          <cell r="T61">
            <v>23870151</v>
          </cell>
          <cell r="U61">
            <v>290314483.8684597</v>
          </cell>
          <cell r="V61">
            <v>2189894.9665249526</v>
          </cell>
          <cell r="W61">
            <v>0</v>
          </cell>
          <cell r="X61">
            <v>316374529.83498466</v>
          </cell>
          <cell r="Y61">
            <v>1540647.6799999997</v>
          </cell>
          <cell r="Z61">
            <v>0</v>
          </cell>
          <cell r="AA61">
            <v>0</v>
          </cell>
          <cell r="AB61">
            <v>3972537.9156473204</v>
          </cell>
          <cell r="AC61">
            <v>5513185.5956473202</v>
          </cell>
          <cell r="AD61" t="str">
            <v>N/A</v>
          </cell>
          <cell r="AE61">
            <v>62281763</v>
          </cell>
          <cell r="AF61">
            <v>62281764</v>
          </cell>
          <cell r="AG61">
            <v>62281764</v>
          </cell>
          <cell r="AH61">
            <v>62281764</v>
          </cell>
          <cell r="AI61">
            <v>61734290</v>
          </cell>
          <cell r="AJ61">
            <v>0</v>
          </cell>
          <cell r="AK61">
            <v>310861345</v>
          </cell>
          <cell r="AL61">
            <v>1289812928</v>
          </cell>
          <cell r="AM61">
            <v>162499123.94452372</v>
          </cell>
          <cell r="AN61">
            <v>-33170603.32</v>
          </cell>
          <cell r="AO61">
            <v>288531840.91933739</v>
          </cell>
          <cell r="AP61">
            <v>0</v>
          </cell>
          <cell r="AQ61">
            <v>22329503.32</v>
          </cell>
          <cell r="AR61">
            <v>0</v>
          </cell>
          <cell r="AS61">
            <v>0</v>
          </cell>
          <cell r="AT61">
            <v>1730002792.8638613</v>
          </cell>
          <cell r="AU61">
            <v>3.8903111097267837E-2</v>
          </cell>
          <cell r="AV61">
            <v>0</v>
          </cell>
          <cell r="AW61">
            <v>0</v>
          </cell>
          <cell r="AY61">
            <v>0</v>
          </cell>
          <cell r="AZ61">
            <v>0</v>
          </cell>
          <cell r="BA61">
            <v>0</v>
          </cell>
          <cell r="BB61">
            <v>0</v>
          </cell>
          <cell r="BC61">
            <v>0</v>
          </cell>
          <cell r="BD61">
            <v>0</v>
          </cell>
          <cell r="BE61">
            <v>0</v>
          </cell>
          <cell r="BF61">
            <v>0</v>
          </cell>
          <cell r="BG61">
            <v>0</v>
          </cell>
          <cell r="BH61">
            <v>0</v>
          </cell>
          <cell r="BJ61">
            <v>0</v>
          </cell>
          <cell r="BL61">
            <v>0</v>
          </cell>
          <cell r="BM61">
            <v>0</v>
          </cell>
          <cell r="BN61">
            <v>0</v>
          </cell>
          <cell r="BO61">
            <v>0</v>
          </cell>
          <cell r="BQ61">
            <v>0</v>
          </cell>
          <cell r="BR61">
            <v>0</v>
          </cell>
          <cell r="BS61">
            <v>0</v>
          </cell>
          <cell r="BT61">
            <v>0</v>
          </cell>
          <cell r="CB61">
            <v>0</v>
          </cell>
          <cell r="CC61">
            <v>0</v>
          </cell>
          <cell r="CD61">
            <v>0</v>
          </cell>
          <cell r="CE61">
            <v>0</v>
          </cell>
          <cell r="CF61">
            <v>0</v>
          </cell>
          <cell r="CI61">
            <v>0</v>
          </cell>
          <cell r="CJ61">
            <v>0</v>
          </cell>
          <cell r="CK61">
            <v>0</v>
          </cell>
          <cell r="CV61">
            <v>3.9767071830284745E-2</v>
          </cell>
          <cell r="DG61">
            <v>1730002793</v>
          </cell>
          <cell r="DR61">
            <v>581913565.08000124</v>
          </cell>
          <cell r="EC61">
            <v>2.9729549142958369</v>
          </cell>
          <cell r="EN61">
            <v>2.4095909012463064E-2</v>
          </cell>
        </row>
        <row r="62">
          <cell r="B62">
            <v>21520</v>
          </cell>
          <cell r="C62" t="str">
            <v>UNC-CH CB 1260</v>
          </cell>
          <cell r="D62">
            <v>7.2483871493836394E-2</v>
          </cell>
          <cell r="E62">
            <v>125413998.67616931</v>
          </cell>
          <cell r="F62">
            <v>97788170.927770525</v>
          </cell>
          <cell r="G62">
            <v>-2113104</v>
          </cell>
          <cell r="H62">
            <v>-34994962.003672041</v>
          </cell>
          <cell r="I62">
            <v>-1448157.5561361178</v>
          </cell>
          <cell r="J62">
            <v>105831869.29793215</v>
          </cell>
          <cell r="K62">
            <v>0</v>
          </cell>
          <cell r="L62">
            <v>-5560582.102970575</v>
          </cell>
          <cell r="M62">
            <v>997886.30412631284</v>
          </cell>
          <cell r="N62">
            <v>37617.679627871214</v>
          </cell>
          <cell r="O62">
            <v>-16976.447542571423</v>
          </cell>
          <cell r="P62">
            <v>0</v>
          </cell>
          <cell r="Q62">
            <v>0</v>
          </cell>
          <cell r="R62">
            <v>0</v>
          </cell>
          <cell r="S62">
            <v>285935760.77530485</v>
          </cell>
          <cell r="T62">
            <v>0</v>
          </cell>
          <cell r="U62">
            <v>529159346.4896608</v>
          </cell>
          <cell r="V62">
            <v>3991545.2165052514</v>
          </cell>
          <cell r="W62">
            <v>0</v>
          </cell>
          <cell r="X62">
            <v>533150891.70616603</v>
          </cell>
          <cell r="Y62">
            <v>10565518.759999998</v>
          </cell>
          <cell r="Z62">
            <v>0</v>
          </cell>
          <cell r="AA62">
            <v>0</v>
          </cell>
          <cell r="AB62">
            <v>7240787.7806805884</v>
          </cell>
          <cell r="AC62">
            <v>17806306.540680587</v>
          </cell>
          <cell r="AD62" t="str">
            <v>N/A</v>
          </cell>
          <cell r="AE62">
            <v>103268494</v>
          </cell>
          <cell r="AF62">
            <v>103268495</v>
          </cell>
          <cell r="AG62">
            <v>103268495</v>
          </cell>
          <cell r="AH62">
            <v>103268495</v>
          </cell>
          <cell r="AI62">
            <v>102270609</v>
          </cell>
          <cell r="AJ62">
            <v>0</v>
          </cell>
          <cell r="AK62">
            <v>515344588</v>
          </cell>
          <cell r="AL62">
            <v>2410938298</v>
          </cell>
          <cell r="AM62">
            <v>285935760.77530485</v>
          </cell>
          <cell r="AN62">
            <v>-58923861.240000002</v>
          </cell>
          <cell r="AO62">
            <v>525910103.92548549</v>
          </cell>
          <cell r="AP62">
            <v>0</v>
          </cell>
          <cell r="AQ62">
            <v>-10565518.759999998</v>
          </cell>
          <cell r="AR62">
            <v>0</v>
          </cell>
          <cell r="AS62">
            <v>0</v>
          </cell>
          <cell r="AT62">
            <v>3153294782.7007904</v>
          </cell>
          <cell r="AU62">
            <v>7.2718297661777884E-2</v>
          </cell>
          <cell r="AV62">
            <v>0</v>
          </cell>
          <cell r="AW62">
            <v>0</v>
          </cell>
          <cell r="AY62">
            <v>0</v>
          </cell>
          <cell r="AZ62">
            <v>0</v>
          </cell>
          <cell r="BA62">
            <v>0</v>
          </cell>
          <cell r="BB62">
            <v>0</v>
          </cell>
          <cell r="BC62">
            <v>0</v>
          </cell>
          <cell r="BD62">
            <v>0</v>
          </cell>
          <cell r="BE62">
            <v>0</v>
          </cell>
          <cell r="BF62">
            <v>0</v>
          </cell>
          <cell r="BG62">
            <v>0</v>
          </cell>
          <cell r="BH62">
            <v>0</v>
          </cell>
          <cell r="BJ62">
            <v>0</v>
          </cell>
          <cell r="BL62">
            <v>0</v>
          </cell>
          <cell r="BM62">
            <v>0</v>
          </cell>
          <cell r="BN62">
            <v>0</v>
          </cell>
          <cell r="BO62">
            <v>0</v>
          </cell>
          <cell r="BQ62">
            <v>0</v>
          </cell>
          <cell r="BR62">
            <v>0</v>
          </cell>
          <cell r="BS62">
            <v>0</v>
          </cell>
          <cell r="BT62">
            <v>0</v>
          </cell>
          <cell r="CB62">
            <v>0</v>
          </cell>
          <cell r="CC62">
            <v>0</v>
          </cell>
          <cell r="CD62">
            <v>0</v>
          </cell>
          <cell r="CE62">
            <v>0</v>
          </cell>
          <cell r="CF62">
            <v>0</v>
          </cell>
          <cell r="CI62">
            <v>0</v>
          </cell>
          <cell r="CJ62">
            <v>0</v>
          </cell>
          <cell r="CK62">
            <v>0</v>
          </cell>
          <cell r="CV62">
            <v>7.2483871493836394E-2</v>
          </cell>
          <cell r="DG62">
            <v>3153294783</v>
          </cell>
          <cell r="DR62">
            <v>1037963761.8100019</v>
          </cell>
          <cell r="EC62">
            <v>3.0379623056408853</v>
          </cell>
          <cell r="EN62">
            <v>2.4095909012463064E-2</v>
          </cell>
        </row>
        <row r="63">
          <cell r="B63">
            <v>21525</v>
          </cell>
          <cell r="C63" t="str">
            <v>UNC-General Administration</v>
          </cell>
          <cell r="D63">
            <v>1.7553154435545669E-3</v>
          </cell>
          <cell r="E63">
            <v>3037105.0024960591</v>
          </cell>
          <cell r="F63">
            <v>2368100.4213615349</v>
          </cell>
          <cell r="G63">
            <v>307283</v>
          </cell>
          <cell r="H63">
            <v>-847460.21405429789</v>
          </cell>
          <cell r="I63">
            <v>-35069.502643800173</v>
          </cell>
          <cell r="J63">
            <v>2562891.7270886307</v>
          </cell>
          <cell r="K63">
            <v>0</v>
          </cell>
          <cell r="L63">
            <v>-134658.58596318719</v>
          </cell>
          <cell r="M63">
            <v>24165.448181026764</v>
          </cell>
          <cell r="N63">
            <v>910.97360889594916</v>
          </cell>
          <cell r="O63">
            <v>-411.11243003491512</v>
          </cell>
          <cell r="P63">
            <v>0</v>
          </cell>
          <cell r="Q63">
            <v>0</v>
          </cell>
          <cell r="R63">
            <v>0</v>
          </cell>
          <cell r="S63">
            <v>7282857.1576448279</v>
          </cell>
          <cell r="T63">
            <v>1536416.2789071039</v>
          </cell>
          <cell r="U63">
            <v>12814458.635443155</v>
          </cell>
          <cell r="V63">
            <v>96661.792724107057</v>
          </cell>
          <cell r="W63">
            <v>0</v>
          </cell>
          <cell r="X63">
            <v>14447536.707074365</v>
          </cell>
          <cell r="Y63">
            <v>0</v>
          </cell>
          <cell r="Z63">
            <v>0</v>
          </cell>
          <cell r="AA63">
            <v>0</v>
          </cell>
          <cell r="AB63">
            <v>175347.51321900086</v>
          </cell>
          <cell r="AC63">
            <v>175347.51321900086</v>
          </cell>
          <cell r="AD63" t="str">
            <v>N/A</v>
          </cell>
          <cell r="AE63">
            <v>2859271</v>
          </cell>
          <cell r="AF63">
            <v>2859271</v>
          </cell>
          <cell r="AG63">
            <v>2859271</v>
          </cell>
          <cell r="AH63">
            <v>2859271</v>
          </cell>
          <cell r="AI63">
            <v>2835105</v>
          </cell>
          <cell r="AJ63">
            <v>0</v>
          </cell>
          <cell r="AK63">
            <v>14272189</v>
          </cell>
          <cell r="AL63">
            <v>56443267</v>
          </cell>
          <cell r="AM63">
            <v>7282857.1576448279</v>
          </cell>
          <cell r="AN63">
            <v>-1636125.2789071039</v>
          </cell>
          <cell r="AO63">
            <v>12735772.91494826</v>
          </cell>
          <cell r="AP63">
            <v>0</v>
          </cell>
          <cell r="AQ63">
            <v>1536416.2789071039</v>
          </cell>
          <cell r="AR63">
            <v>0</v>
          </cell>
          <cell r="AS63">
            <v>0</v>
          </cell>
          <cell r="AT63">
            <v>76362188.072593093</v>
          </cell>
          <cell r="AU63">
            <v>1.702431898495573E-3</v>
          </cell>
          <cell r="AV63">
            <v>0</v>
          </cell>
          <cell r="AW63">
            <v>0</v>
          </cell>
          <cell r="AY63">
            <v>0</v>
          </cell>
          <cell r="AZ63">
            <v>0</v>
          </cell>
          <cell r="BA63">
            <v>0</v>
          </cell>
          <cell r="BB63">
            <v>0</v>
          </cell>
          <cell r="BC63">
            <v>0</v>
          </cell>
          <cell r="BD63">
            <v>0</v>
          </cell>
          <cell r="BE63">
            <v>0</v>
          </cell>
          <cell r="BF63">
            <v>0</v>
          </cell>
          <cell r="BG63">
            <v>0</v>
          </cell>
          <cell r="BH63">
            <v>0</v>
          </cell>
          <cell r="BJ63">
            <v>0</v>
          </cell>
          <cell r="BL63">
            <v>0</v>
          </cell>
          <cell r="BM63">
            <v>0</v>
          </cell>
          <cell r="BN63">
            <v>0</v>
          </cell>
          <cell r="BO63">
            <v>0</v>
          </cell>
          <cell r="BQ63">
            <v>0</v>
          </cell>
          <cell r="BR63">
            <v>0</v>
          </cell>
          <cell r="BS63">
            <v>0</v>
          </cell>
          <cell r="BT63">
            <v>0</v>
          </cell>
          <cell r="CB63">
            <v>0</v>
          </cell>
          <cell r="CC63">
            <v>0</v>
          </cell>
          <cell r="CD63">
            <v>0</v>
          </cell>
          <cell r="CE63">
            <v>0</v>
          </cell>
          <cell r="CF63">
            <v>0</v>
          </cell>
          <cell r="CI63">
            <v>0</v>
          </cell>
          <cell r="CJ63">
            <v>0</v>
          </cell>
          <cell r="CK63">
            <v>0</v>
          </cell>
          <cell r="CV63">
            <v>1.7553154435545669E-3</v>
          </cell>
          <cell r="DG63">
            <v>76362188</v>
          </cell>
          <cell r="DR63">
            <v>27240178.579999987</v>
          </cell>
          <cell r="EC63">
            <v>2.8032924885472625</v>
          </cell>
          <cell r="EN63">
            <v>2.4095909012463064E-2</v>
          </cell>
        </row>
        <row r="64">
          <cell r="B64">
            <v>21550</v>
          </cell>
          <cell r="C64" t="str">
            <v>UNC Health Care System</v>
          </cell>
          <cell r="D64">
            <v>3.9173976380473784E-2</v>
          </cell>
          <cell r="E64">
            <v>67780113.295118302</v>
          </cell>
          <cell r="F64">
            <v>52849708.759554327</v>
          </cell>
          <cell r="G64">
            <v>10284265</v>
          </cell>
          <cell r="H64">
            <v>-18913060.060319748</v>
          </cell>
          <cell r="I64">
            <v>-782658.11041984579</v>
          </cell>
          <cell r="J64">
            <v>57196933.093331285</v>
          </cell>
          <cell r="K64">
            <v>0</v>
          </cell>
          <cell r="L64">
            <v>-3005221.8165799486</v>
          </cell>
          <cell r="M64">
            <v>539308.58965730807</v>
          </cell>
          <cell r="N64">
            <v>20330.510261938285</v>
          </cell>
          <cell r="O64">
            <v>-9174.9370080707649</v>
          </cell>
          <cell r="P64">
            <v>0</v>
          </cell>
          <cell r="Q64">
            <v>0</v>
          </cell>
          <cell r="R64">
            <v>0</v>
          </cell>
          <cell r="S64">
            <v>165960544.32359555</v>
          </cell>
          <cell r="T64">
            <v>53405997</v>
          </cell>
          <cell r="U64">
            <v>285984665.46665639</v>
          </cell>
          <cell r="V64">
            <v>2157234.3586292323</v>
          </cell>
          <cell r="W64">
            <v>0</v>
          </cell>
          <cell r="X64">
            <v>341547896.82528561</v>
          </cell>
          <cell r="Y64">
            <v>1984669.9900000058</v>
          </cell>
          <cell r="Z64">
            <v>0</v>
          </cell>
          <cell r="AA64">
            <v>0</v>
          </cell>
          <cell r="AB64">
            <v>3913290.5520992288</v>
          </cell>
          <cell r="AC64">
            <v>5897960.5420992346</v>
          </cell>
          <cell r="AD64" t="str">
            <v>N/A</v>
          </cell>
          <cell r="AE64">
            <v>67237849</v>
          </cell>
          <cell r="AF64">
            <v>67237850</v>
          </cell>
          <cell r="AG64">
            <v>67237850</v>
          </cell>
          <cell r="AH64">
            <v>67237850</v>
          </cell>
          <cell r="AI64">
            <v>66698541</v>
          </cell>
          <cell r="AJ64">
            <v>0</v>
          </cell>
          <cell r="AK64">
            <v>335649940</v>
          </cell>
          <cell r="AL64">
            <v>1234706134</v>
          </cell>
          <cell r="AM64">
            <v>165960544.32359555</v>
          </cell>
          <cell r="AN64">
            <v>-32115489.009999994</v>
          </cell>
          <cell r="AO64">
            <v>284228609.27318645</v>
          </cell>
          <cell r="AP64">
            <v>0</v>
          </cell>
          <cell r="AQ64">
            <v>51421327.00999999</v>
          </cell>
          <cell r="AR64">
            <v>0</v>
          </cell>
          <cell r="AS64">
            <v>0</v>
          </cell>
          <cell r="AT64">
            <v>1704201125.596782</v>
          </cell>
          <cell r="AU64">
            <v>3.7240989628804788E-2</v>
          </cell>
          <cell r="AV64">
            <v>0</v>
          </cell>
          <cell r="AW64">
            <v>0</v>
          </cell>
          <cell r="AY64">
            <v>0</v>
          </cell>
          <cell r="AZ64">
            <v>0</v>
          </cell>
          <cell r="BA64">
            <v>0</v>
          </cell>
          <cell r="BB64">
            <v>0</v>
          </cell>
          <cell r="BC64">
            <v>0</v>
          </cell>
          <cell r="BD64">
            <v>0</v>
          </cell>
          <cell r="BE64">
            <v>0</v>
          </cell>
          <cell r="BF64">
            <v>0</v>
          </cell>
          <cell r="BG64">
            <v>0</v>
          </cell>
          <cell r="BH64">
            <v>0</v>
          </cell>
          <cell r="BJ64">
            <v>0</v>
          </cell>
          <cell r="BL64">
            <v>0</v>
          </cell>
          <cell r="BM64">
            <v>0</v>
          </cell>
          <cell r="BN64">
            <v>0</v>
          </cell>
          <cell r="BO64">
            <v>0</v>
          </cell>
          <cell r="BQ64">
            <v>0</v>
          </cell>
          <cell r="BR64">
            <v>0</v>
          </cell>
          <cell r="BS64">
            <v>0</v>
          </cell>
          <cell r="BT64">
            <v>0</v>
          </cell>
          <cell r="CB64">
            <v>0</v>
          </cell>
          <cell r="CC64">
            <v>0</v>
          </cell>
          <cell r="CD64">
            <v>0</v>
          </cell>
          <cell r="CE64">
            <v>0</v>
          </cell>
          <cell r="CF64">
            <v>0</v>
          </cell>
          <cell r="CI64">
            <v>0</v>
          </cell>
          <cell r="CJ64">
            <v>0</v>
          </cell>
          <cell r="CK64">
            <v>0</v>
          </cell>
          <cell r="CV64">
            <v>3.9173976380473784E-2</v>
          </cell>
          <cell r="DG64">
            <v>1704201125</v>
          </cell>
          <cell r="DR64">
            <v>525945521.43999976</v>
          </cell>
          <cell r="EC64">
            <v>3.2402616916178388</v>
          </cell>
          <cell r="EN64">
            <v>2.4095909012463064E-2</v>
          </cell>
        </row>
        <row r="65">
          <cell r="B65">
            <v>21570</v>
          </cell>
          <cell r="C65" t="str">
            <v>University Of North Carolina Press</v>
          </cell>
          <cell r="D65">
            <v>1.5736830915027389E-4</v>
          </cell>
          <cell r="E65">
            <v>272283.86824125011</v>
          </cell>
          <cell r="F65">
            <v>212305.97644208046</v>
          </cell>
          <cell r="G65">
            <v>-47688</v>
          </cell>
          <cell r="H65">
            <v>-75976.874383210088</v>
          </cell>
          <cell r="I65">
            <v>-3144.0664149915406</v>
          </cell>
          <cell r="J65">
            <v>229769.49192131075</v>
          </cell>
          <cell r="K65">
            <v>0</v>
          </cell>
          <cell r="L65">
            <v>-12072.470542776728</v>
          </cell>
          <cell r="M65">
            <v>2166.4913472223575</v>
          </cell>
          <cell r="N65">
            <v>81.671005082809145</v>
          </cell>
          <cell r="O65">
            <v>-36.857231686085647</v>
          </cell>
          <cell r="P65">
            <v>0</v>
          </cell>
          <cell r="Q65">
            <v>0</v>
          </cell>
          <cell r="R65">
            <v>0</v>
          </cell>
          <cell r="S65">
            <v>577689.23038428195</v>
          </cell>
          <cell r="T65">
            <v>22111.889999999985</v>
          </cell>
          <cell r="U65">
            <v>1148847.4596065537</v>
          </cell>
          <cell r="V65">
            <v>8665.96538888943</v>
          </cell>
          <cell r="W65">
            <v>0</v>
          </cell>
          <cell r="X65">
            <v>1179625.314995443</v>
          </cell>
          <cell r="Y65">
            <v>260551</v>
          </cell>
          <cell r="Z65">
            <v>0</v>
          </cell>
          <cell r="AA65">
            <v>0</v>
          </cell>
          <cell r="AB65">
            <v>15720.332074957701</v>
          </cell>
          <cell r="AC65">
            <v>276271.33207495773</v>
          </cell>
          <cell r="AD65" t="str">
            <v>N/A</v>
          </cell>
          <cell r="AE65">
            <v>181104</v>
          </cell>
          <cell r="AF65">
            <v>181104</v>
          </cell>
          <cell r="AG65">
            <v>181104</v>
          </cell>
          <cell r="AH65">
            <v>181104</v>
          </cell>
          <cell r="AI65">
            <v>178937</v>
          </cell>
          <cell r="AJ65">
            <v>0</v>
          </cell>
          <cell r="AK65">
            <v>903353</v>
          </cell>
          <cell r="AL65">
            <v>5530128</v>
          </cell>
          <cell r="AM65">
            <v>577689.23038428195</v>
          </cell>
          <cell r="AN65">
            <v>-165114.88999999998</v>
          </cell>
          <cell r="AO65">
            <v>1141793.0929204854</v>
          </cell>
          <cell r="AP65">
            <v>0</v>
          </cell>
          <cell r="AQ65">
            <v>-238439.11000000002</v>
          </cell>
          <cell r="AR65">
            <v>0</v>
          </cell>
          <cell r="AS65">
            <v>0</v>
          </cell>
          <cell r="AT65">
            <v>6846056.3233047677</v>
          </cell>
          <cell r="AU65">
            <v>1.6679874902711403E-4</v>
          </cell>
          <cell r="AV65">
            <v>0</v>
          </cell>
          <cell r="AW65">
            <v>0</v>
          </cell>
          <cell r="AY65">
            <v>0</v>
          </cell>
          <cell r="AZ65">
            <v>0</v>
          </cell>
          <cell r="BA65">
            <v>0</v>
          </cell>
          <cell r="BB65">
            <v>0</v>
          </cell>
          <cell r="BC65">
            <v>0</v>
          </cell>
          <cell r="BD65">
            <v>0</v>
          </cell>
          <cell r="BE65">
            <v>0</v>
          </cell>
          <cell r="BF65">
            <v>0</v>
          </cell>
          <cell r="BG65">
            <v>0</v>
          </cell>
          <cell r="BH65">
            <v>0</v>
          </cell>
          <cell r="BJ65">
            <v>0</v>
          </cell>
          <cell r="BL65">
            <v>0</v>
          </cell>
          <cell r="BM65">
            <v>0</v>
          </cell>
          <cell r="BN65">
            <v>0</v>
          </cell>
          <cell r="BO65">
            <v>0</v>
          </cell>
          <cell r="BQ65">
            <v>0</v>
          </cell>
          <cell r="BR65">
            <v>0</v>
          </cell>
          <cell r="BS65">
            <v>0</v>
          </cell>
          <cell r="BT65">
            <v>0</v>
          </cell>
          <cell r="CB65">
            <v>0</v>
          </cell>
          <cell r="CC65">
            <v>0</v>
          </cell>
          <cell r="CD65">
            <v>0</v>
          </cell>
          <cell r="CE65">
            <v>0</v>
          </cell>
          <cell r="CF65">
            <v>0</v>
          </cell>
          <cell r="CI65">
            <v>0</v>
          </cell>
          <cell r="CJ65">
            <v>0</v>
          </cell>
          <cell r="CK65">
            <v>0</v>
          </cell>
          <cell r="CV65">
            <v>1.5736830915027389E-4</v>
          </cell>
          <cell r="DG65">
            <v>6846056</v>
          </cell>
          <cell r="DR65">
            <v>2811511.41</v>
          </cell>
          <cell r="EC65">
            <v>2.4350091469129054</v>
          </cell>
          <cell r="EN65">
            <v>2.4095909012463064E-2</v>
          </cell>
        </row>
        <row r="66">
          <cell r="B66">
            <v>21800</v>
          </cell>
          <cell r="C66" t="str">
            <v>Western Carolina University</v>
          </cell>
          <cell r="D66">
            <v>5.8611014472144491E-3</v>
          </cell>
          <cell r="E66">
            <v>10141072.130844343</v>
          </cell>
          <cell r="F66">
            <v>7907226.5089199431</v>
          </cell>
          <cell r="G66">
            <v>1043299</v>
          </cell>
          <cell r="H66">
            <v>-2829719.4702462624</v>
          </cell>
          <cell r="I66">
            <v>-117099.13078781523</v>
          </cell>
          <cell r="J66">
            <v>8557646.1289911438</v>
          </cell>
          <cell r="K66">
            <v>0</v>
          </cell>
          <cell r="L66">
            <v>-449632.93404998328</v>
          </cell>
          <cell r="M66">
            <v>80689.851973035838</v>
          </cell>
          <cell r="N66">
            <v>3041.7944290753549</v>
          </cell>
          <cell r="O66">
            <v>-1372.7285699520962</v>
          </cell>
          <cell r="P66">
            <v>0</v>
          </cell>
          <cell r="Q66">
            <v>0</v>
          </cell>
          <cell r="R66">
            <v>0</v>
          </cell>
          <cell r="S66">
            <v>24335151.151503529</v>
          </cell>
          <cell r="T66">
            <v>5488992</v>
          </cell>
          <cell r="U66">
            <v>42788230.644955724</v>
          </cell>
          <cell r="V66">
            <v>322759.40789214335</v>
          </cell>
          <cell r="W66">
            <v>0</v>
          </cell>
          <cell r="X66">
            <v>48599982.05284787</v>
          </cell>
          <cell r="Y66">
            <v>272497.79999999981</v>
          </cell>
          <cell r="Z66">
            <v>0</v>
          </cell>
          <cell r="AA66">
            <v>0</v>
          </cell>
          <cell r="AB66">
            <v>585495.65393907612</v>
          </cell>
          <cell r="AC66">
            <v>857993.45393907593</v>
          </cell>
          <cell r="AD66" t="str">
            <v>N/A</v>
          </cell>
          <cell r="AE66">
            <v>9564535</v>
          </cell>
          <cell r="AF66">
            <v>9564537</v>
          </cell>
          <cell r="AG66">
            <v>9564537</v>
          </cell>
          <cell r="AH66">
            <v>9564537</v>
          </cell>
          <cell r="AI66">
            <v>9483847</v>
          </cell>
          <cell r="AJ66">
            <v>0</v>
          </cell>
          <cell r="AK66">
            <v>47741993</v>
          </cell>
          <cell r="AL66">
            <v>187735057</v>
          </cell>
          <cell r="AM66">
            <v>24335151.151503529</v>
          </cell>
          <cell r="AN66">
            <v>-4834362.2</v>
          </cell>
          <cell r="AO66">
            <v>42525494.398908794</v>
          </cell>
          <cell r="AP66">
            <v>0</v>
          </cell>
          <cell r="AQ66">
            <v>5216494.2</v>
          </cell>
          <cell r="AR66">
            <v>0</v>
          </cell>
          <cell r="AS66">
            <v>0</v>
          </cell>
          <cell r="AT66">
            <v>254977834.55041233</v>
          </cell>
          <cell r="AU66">
            <v>5.6624318235166098E-3</v>
          </cell>
          <cell r="AV66">
            <v>0</v>
          </cell>
          <cell r="AW66">
            <v>0</v>
          </cell>
          <cell r="AY66">
            <v>0</v>
          </cell>
          <cell r="AZ66">
            <v>0</v>
          </cell>
          <cell r="BA66">
            <v>0</v>
          </cell>
          <cell r="BB66">
            <v>0</v>
          </cell>
          <cell r="BC66">
            <v>0</v>
          </cell>
          <cell r="BD66">
            <v>0</v>
          </cell>
          <cell r="BE66">
            <v>0</v>
          </cell>
          <cell r="BF66">
            <v>0</v>
          </cell>
          <cell r="BG66">
            <v>0</v>
          </cell>
          <cell r="BH66">
            <v>0</v>
          </cell>
          <cell r="BJ66">
            <v>0</v>
          </cell>
          <cell r="BL66">
            <v>0</v>
          </cell>
          <cell r="BM66">
            <v>0</v>
          </cell>
          <cell r="BN66">
            <v>0</v>
          </cell>
          <cell r="BO66">
            <v>0</v>
          </cell>
          <cell r="BQ66">
            <v>0</v>
          </cell>
          <cell r="BR66">
            <v>0</v>
          </cell>
          <cell r="BS66">
            <v>0</v>
          </cell>
          <cell r="BT66">
            <v>0</v>
          </cell>
          <cell r="CB66">
            <v>0</v>
          </cell>
          <cell r="CC66">
            <v>0</v>
          </cell>
          <cell r="CD66">
            <v>0</v>
          </cell>
          <cell r="CE66">
            <v>0</v>
          </cell>
          <cell r="CF66">
            <v>0</v>
          </cell>
          <cell r="CI66">
            <v>0</v>
          </cell>
          <cell r="CJ66">
            <v>0</v>
          </cell>
          <cell r="CK66">
            <v>0</v>
          </cell>
          <cell r="CV66">
            <v>5.8611014472144491E-3</v>
          </cell>
          <cell r="DG66">
            <v>254977835</v>
          </cell>
          <cell r="DR66">
            <v>84770573.239999905</v>
          </cell>
          <cell r="EC66">
            <v>3.0078578598037127</v>
          </cell>
          <cell r="EN66">
            <v>2.4095909012463064E-2</v>
          </cell>
        </row>
        <row r="67">
          <cell r="B67">
            <v>21900</v>
          </cell>
          <cell r="C67" t="str">
            <v>Winston-Salem State University</v>
          </cell>
          <cell r="D67">
            <v>3.375899071087787E-3</v>
          </cell>
          <cell r="E67">
            <v>5841092.5479923785</v>
          </cell>
          <cell r="F67">
            <v>4554433.815342024</v>
          </cell>
          <cell r="G67">
            <v>-1241208</v>
          </cell>
          <cell r="H67">
            <v>-1629872.3741735395</v>
          </cell>
          <cell r="I67">
            <v>-67447.194083229915</v>
          </cell>
          <cell r="J67">
            <v>4929064.9339109054</v>
          </cell>
          <cell r="K67">
            <v>0</v>
          </cell>
          <cell r="L67">
            <v>-258981.25430182074</v>
          </cell>
          <cell r="M67">
            <v>46476.041879712575</v>
          </cell>
          <cell r="N67">
            <v>1752.0240999131397</v>
          </cell>
          <cell r="O67">
            <v>-790.66932143947065</v>
          </cell>
          <cell r="P67">
            <v>0</v>
          </cell>
          <cell r="Q67">
            <v>0</v>
          </cell>
          <cell r="R67">
            <v>0</v>
          </cell>
          <cell r="S67">
            <v>12174519.871344903</v>
          </cell>
          <cell r="T67">
            <v>63977.5</v>
          </cell>
          <cell r="U67">
            <v>24645324.669554528</v>
          </cell>
          <cell r="V67">
            <v>185904.1675188503</v>
          </cell>
          <cell r="W67">
            <v>0</v>
          </cell>
          <cell r="X67">
            <v>24895206.337073378</v>
          </cell>
          <cell r="Y67">
            <v>6270020</v>
          </cell>
          <cell r="Z67">
            <v>0</v>
          </cell>
          <cell r="AA67">
            <v>0</v>
          </cell>
          <cell r="AB67">
            <v>337235.97041614959</v>
          </cell>
          <cell r="AC67">
            <v>6607255.9704161491</v>
          </cell>
          <cell r="AD67" t="str">
            <v>N/A</v>
          </cell>
          <cell r="AE67">
            <v>3666886</v>
          </cell>
          <cell r="AF67">
            <v>3666885</v>
          </cell>
          <cell r="AG67">
            <v>3666885</v>
          </cell>
          <cell r="AH67">
            <v>3666885</v>
          </cell>
          <cell r="AI67">
            <v>3620409</v>
          </cell>
          <cell r="AJ67">
            <v>0</v>
          </cell>
          <cell r="AK67">
            <v>18287950</v>
          </cell>
          <cell r="AL67">
            <v>119450246</v>
          </cell>
          <cell r="AM67">
            <v>12174519.871344903</v>
          </cell>
          <cell r="AN67">
            <v>-3049632.5</v>
          </cell>
          <cell r="AO67">
            <v>24493992.866657231</v>
          </cell>
          <cell r="AP67">
            <v>0</v>
          </cell>
          <cell r="AQ67">
            <v>-6206042.5</v>
          </cell>
          <cell r="AR67">
            <v>0</v>
          </cell>
          <cell r="AS67">
            <v>0</v>
          </cell>
          <cell r="AT67">
            <v>146863083.73800215</v>
          </cell>
          <cell r="AU67">
            <v>3.6028373334539257E-3</v>
          </cell>
          <cell r="AV67">
            <v>0</v>
          </cell>
          <cell r="AW67">
            <v>0</v>
          </cell>
          <cell r="AY67">
            <v>0</v>
          </cell>
          <cell r="AZ67">
            <v>0</v>
          </cell>
          <cell r="BA67">
            <v>0</v>
          </cell>
          <cell r="BB67">
            <v>0</v>
          </cell>
          <cell r="BC67">
            <v>0</v>
          </cell>
          <cell r="BD67">
            <v>0</v>
          </cell>
          <cell r="BE67">
            <v>0</v>
          </cell>
          <cell r="BF67">
            <v>0</v>
          </cell>
          <cell r="BG67">
            <v>0</v>
          </cell>
          <cell r="BH67">
            <v>0</v>
          </cell>
          <cell r="BJ67">
            <v>0</v>
          </cell>
          <cell r="BL67">
            <v>0</v>
          </cell>
          <cell r="BM67">
            <v>0</v>
          </cell>
          <cell r="BN67">
            <v>0</v>
          </cell>
          <cell r="BO67">
            <v>0</v>
          </cell>
          <cell r="BQ67">
            <v>0</v>
          </cell>
          <cell r="BR67">
            <v>0</v>
          </cell>
          <cell r="BS67">
            <v>0</v>
          </cell>
          <cell r="BT67">
            <v>0</v>
          </cell>
          <cell r="CB67">
            <v>0</v>
          </cell>
          <cell r="CC67">
            <v>0</v>
          </cell>
          <cell r="CD67">
            <v>0</v>
          </cell>
          <cell r="CE67">
            <v>0</v>
          </cell>
          <cell r="CF67">
            <v>0</v>
          </cell>
          <cell r="CI67">
            <v>0</v>
          </cell>
          <cell r="CJ67">
            <v>0</v>
          </cell>
          <cell r="CK67">
            <v>0</v>
          </cell>
          <cell r="CV67">
            <v>3.375899071087787E-3</v>
          </cell>
          <cell r="DG67">
            <v>146863084</v>
          </cell>
          <cell r="DR67">
            <v>53762735.439999938</v>
          </cell>
          <cell r="EC67">
            <v>2.7316892043914232</v>
          </cell>
          <cell r="EN67">
            <v>2.4095909012463064E-2</v>
          </cell>
        </row>
        <row r="68">
          <cell r="B68">
            <v>22000</v>
          </cell>
          <cell r="C68" t="str">
            <v>Department Of Public Instruction</v>
          </cell>
          <cell r="D68">
            <v>3.3172261313166723E-3</v>
          </cell>
          <cell r="E68">
            <v>5739574.6814776557</v>
          </cell>
          <cell r="F68">
            <v>4475278.0066782935</v>
          </cell>
          <cell r="G68">
            <v>-1917823</v>
          </cell>
          <cell r="H68">
            <v>-1601545.2821513026</v>
          </cell>
          <cell r="I68">
            <v>-66274.9655678493</v>
          </cell>
          <cell r="J68">
            <v>4843398.0570566515</v>
          </cell>
          <cell r="K68">
            <v>0</v>
          </cell>
          <cell r="L68">
            <v>-254480.17437747269</v>
          </cell>
          <cell r="M68">
            <v>45668.290833669147</v>
          </cell>
          <cell r="N68">
            <v>1721.5740176307265</v>
          </cell>
          <cell r="O68">
            <v>-776.92753221567784</v>
          </cell>
          <cell r="P68">
            <v>0</v>
          </cell>
          <cell r="Q68">
            <v>0</v>
          </cell>
          <cell r="R68">
            <v>0</v>
          </cell>
          <cell r="S68">
            <v>11264740.26043506</v>
          </cell>
          <cell r="T68">
            <v>522088.59000000032</v>
          </cell>
          <cell r="U68">
            <v>24216990.285283256</v>
          </cell>
          <cell r="V68">
            <v>182673.16333467659</v>
          </cell>
          <cell r="W68">
            <v>0</v>
          </cell>
          <cell r="X68">
            <v>24921752.038617931</v>
          </cell>
          <cell r="Y68">
            <v>10111207</v>
          </cell>
          <cell r="Z68">
            <v>0</v>
          </cell>
          <cell r="AA68">
            <v>0</v>
          </cell>
          <cell r="AB68">
            <v>331374.82783924654</v>
          </cell>
          <cell r="AC68">
            <v>10442581.827839246</v>
          </cell>
          <cell r="AD68" t="str">
            <v>N/A</v>
          </cell>
          <cell r="AE68">
            <v>2904968</v>
          </cell>
          <cell r="AF68">
            <v>2904967</v>
          </cell>
          <cell r="AG68">
            <v>2904967</v>
          </cell>
          <cell r="AH68">
            <v>2904967</v>
          </cell>
          <cell r="AI68">
            <v>2859299</v>
          </cell>
          <cell r="AJ68">
            <v>0</v>
          </cell>
          <cell r="AK68">
            <v>14479168</v>
          </cell>
          <cell r="AL68">
            <v>122114399</v>
          </cell>
          <cell r="AM68">
            <v>11264740.26043506</v>
          </cell>
          <cell r="AN68">
            <v>-3547697.5900000003</v>
          </cell>
          <cell r="AO68">
            <v>24068288.620778687</v>
          </cell>
          <cell r="AP68">
            <v>0</v>
          </cell>
          <cell r="AQ68">
            <v>-9589118.4100000001</v>
          </cell>
          <cell r="AR68">
            <v>0</v>
          </cell>
          <cell r="AS68">
            <v>0</v>
          </cell>
          <cell r="AT68">
            <v>144310611.88121375</v>
          </cell>
          <cell r="AU68">
            <v>3.6831930488218484E-3</v>
          </cell>
          <cell r="AV68">
            <v>0</v>
          </cell>
          <cell r="AW68">
            <v>0</v>
          </cell>
          <cell r="AY68">
            <v>0</v>
          </cell>
          <cell r="AZ68">
            <v>0</v>
          </cell>
          <cell r="BA68">
            <v>0</v>
          </cell>
          <cell r="BB68">
            <v>0</v>
          </cell>
          <cell r="BC68">
            <v>0</v>
          </cell>
          <cell r="BD68">
            <v>0</v>
          </cell>
          <cell r="BE68">
            <v>0</v>
          </cell>
          <cell r="BF68">
            <v>0</v>
          </cell>
          <cell r="BG68">
            <v>0</v>
          </cell>
          <cell r="BH68">
            <v>0</v>
          </cell>
          <cell r="BJ68">
            <v>0</v>
          </cell>
          <cell r="BL68">
            <v>0</v>
          </cell>
          <cell r="BM68">
            <v>0</v>
          </cell>
          <cell r="BN68">
            <v>0</v>
          </cell>
          <cell r="BO68">
            <v>0</v>
          </cell>
          <cell r="BQ68">
            <v>0</v>
          </cell>
          <cell r="BR68">
            <v>0</v>
          </cell>
          <cell r="BS68">
            <v>0</v>
          </cell>
          <cell r="BT68">
            <v>0</v>
          </cell>
          <cell r="CB68">
            <v>0</v>
          </cell>
          <cell r="CC68">
            <v>0</v>
          </cell>
          <cell r="CD68">
            <v>0</v>
          </cell>
          <cell r="CE68">
            <v>0</v>
          </cell>
          <cell r="CF68">
            <v>0</v>
          </cell>
          <cell r="CI68">
            <v>0</v>
          </cell>
          <cell r="CJ68">
            <v>0</v>
          </cell>
          <cell r="CK68">
            <v>0</v>
          </cell>
          <cell r="CV68">
            <v>3.3172261313166723E-3</v>
          </cell>
          <cell r="DG68">
            <v>144310612</v>
          </cell>
          <cell r="DR68">
            <v>61444720.999999948</v>
          </cell>
          <cell r="EC68">
            <v>2.3486250674000151</v>
          </cell>
          <cell r="EN68">
            <v>2.4095909012463064E-2</v>
          </cell>
        </row>
        <row r="69">
          <cell r="B69">
            <v>23000</v>
          </cell>
          <cell r="C69" t="str">
            <v>University Of North Carolina At Asheville</v>
          </cell>
          <cell r="D69">
            <v>2.5507239281802501E-3</v>
          </cell>
          <cell r="E69">
            <v>4413347.1454994427</v>
          </cell>
          <cell r="F69">
            <v>3441187.9820692898</v>
          </cell>
          <cell r="G69">
            <v>253446</v>
          </cell>
          <cell r="H69">
            <v>-1231480.6743747857</v>
          </cell>
          <cell r="I69">
            <v>-50960.993860896808</v>
          </cell>
          <cell r="J69">
            <v>3724247.5576823335</v>
          </cell>
          <cell r="K69">
            <v>0</v>
          </cell>
          <cell r="L69">
            <v>-195678.14925371343</v>
          </cell>
          <cell r="M69">
            <v>35115.846064524587</v>
          </cell>
          <cell r="N69">
            <v>1323.7747042469862</v>
          </cell>
          <cell r="O69">
            <v>-597.40505121909632</v>
          </cell>
          <cell r="P69">
            <v>0</v>
          </cell>
          <cell r="Q69">
            <v>0</v>
          </cell>
          <cell r="R69">
            <v>0</v>
          </cell>
          <cell r="S69">
            <v>10389951.083479226</v>
          </cell>
          <cell r="T69">
            <v>1292965</v>
          </cell>
          <cell r="U69">
            <v>18621237.788411669</v>
          </cell>
          <cell r="V69">
            <v>140463.38425809835</v>
          </cell>
          <cell r="W69">
            <v>0</v>
          </cell>
          <cell r="X69">
            <v>20054666.172669768</v>
          </cell>
          <cell r="Y69">
            <v>25737.870000000112</v>
          </cell>
          <cell r="Z69">
            <v>0</v>
          </cell>
          <cell r="AA69">
            <v>0</v>
          </cell>
          <cell r="AB69">
            <v>254804.96930448402</v>
          </cell>
          <cell r="AC69">
            <v>280542.83930448414</v>
          </cell>
          <cell r="AD69" t="str">
            <v>N/A</v>
          </cell>
          <cell r="AE69">
            <v>3961847</v>
          </cell>
          <cell r="AF69">
            <v>3961848</v>
          </cell>
          <cell r="AG69">
            <v>3961848</v>
          </cell>
          <cell r="AH69">
            <v>3961848</v>
          </cell>
          <cell r="AI69">
            <v>3926733</v>
          </cell>
          <cell r="AJ69">
            <v>0</v>
          </cell>
          <cell r="AK69">
            <v>19774124</v>
          </cell>
          <cell r="AL69">
            <v>83016401</v>
          </cell>
          <cell r="AM69">
            <v>10389951.083479226</v>
          </cell>
          <cell r="AN69">
            <v>-2215314.13</v>
          </cell>
          <cell r="AO69">
            <v>18506896.203365285</v>
          </cell>
          <cell r="AP69">
            <v>0</v>
          </cell>
          <cell r="AQ69">
            <v>1267227.1299999999</v>
          </cell>
          <cell r="AR69">
            <v>0</v>
          </cell>
          <cell r="AS69">
            <v>0</v>
          </cell>
          <cell r="AT69">
            <v>110965161.28684451</v>
          </cell>
          <cell r="AU69">
            <v>2.5039261020446458E-3</v>
          </cell>
          <cell r="AV69">
            <v>0</v>
          </cell>
          <cell r="AW69">
            <v>0</v>
          </cell>
          <cell r="AY69">
            <v>0</v>
          </cell>
          <cell r="AZ69">
            <v>0</v>
          </cell>
          <cell r="BA69">
            <v>0</v>
          </cell>
          <cell r="BB69">
            <v>0</v>
          </cell>
          <cell r="BC69">
            <v>0</v>
          </cell>
          <cell r="BD69">
            <v>0</v>
          </cell>
          <cell r="BE69">
            <v>0</v>
          </cell>
          <cell r="BF69">
            <v>0</v>
          </cell>
          <cell r="BG69">
            <v>0</v>
          </cell>
          <cell r="BH69">
            <v>0</v>
          </cell>
          <cell r="BJ69">
            <v>0</v>
          </cell>
          <cell r="BL69">
            <v>0</v>
          </cell>
          <cell r="BM69">
            <v>0</v>
          </cell>
          <cell r="BN69">
            <v>0</v>
          </cell>
          <cell r="BO69">
            <v>0</v>
          </cell>
          <cell r="BQ69">
            <v>0</v>
          </cell>
          <cell r="BR69">
            <v>0</v>
          </cell>
          <cell r="BS69">
            <v>0</v>
          </cell>
          <cell r="BT69">
            <v>0</v>
          </cell>
          <cell r="CB69">
            <v>0</v>
          </cell>
          <cell r="CC69">
            <v>0</v>
          </cell>
          <cell r="CD69">
            <v>0</v>
          </cell>
          <cell r="CE69">
            <v>0</v>
          </cell>
          <cell r="CF69">
            <v>0</v>
          </cell>
          <cell r="CI69">
            <v>0</v>
          </cell>
          <cell r="CJ69">
            <v>0</v>
          </cell>
          <cell r="CK69">
            <v>0</v>
          </cell>
          <cell r="CV69">
            <v>2.5507239281802501E-3</v>
          </cell>
          <cell r="DG69">
            <v>110965161</v>
          </cell>
          <cell r="DR69">
            <v>37896518.979999989</v>
          </cell>
          <cell r="EC69">
            <v>2.9281095991577017</v>
          </cell>
          <cell r="EN69">
            <v>2.4095909012463064E-2</v>
          </cell>
        </row>
        <row r="70">
          <cell r="B70">
            <v>23100</v>
          </cell>
          <cell r="C70" t="str">
            <v>University Of North Carolina At Charlotte</v>
          </cell>
          <cell r="D70">
            <v>1.4787953680502413E-2</v>
          </cell>
          <cell r="E70">
            <v>25586607.959640902</v>
          </cell>
          <cell r="F70">
            <v>19950465.012121905</v>
          </cell>
          <cell r="G70">
            <v>1673013</v>
          </cell>
          <cell r="H70">
            <v>-7139572.797311876</v>
          </cell>
          <cell r="I70">
            <v>-295448.99328440969</v>
          </cell>
          <cell r="J70">
            <v>21591517.517547164</v>
          </cell>
          <cell r="K70">
            <v>0</v>
          </cell>
          <cell r="L70">
            <v>-1134454.1741586181</v>
          </cell>
          <cell r="M70">
            <v>203585.93076919852</v>
          </cell>
          <cell r="N70">
            <v>7674.652201107142</v>
          </cell>
          <cell r="O70">
            <v>-3463.48663151047</v>
          </cell>
          <cell r="P70">
            <v>0</v>
          </cell>
          <cell r="Q70">
            <v>0</v>
          </cell>
          <cell r="R70">
            <v>0</v>
          </cell>
          <cell r="S70">
            <v>60439924.620893866</v>
          </cell>
          <cell r="T70">
            <v>8788706</v>
          </cell>
          <cell r="U70">
            <v>107957587.58773582</v>
          </cell>
          <cell r="V70">
            <v>814343.72307679406</v>
          </cell>
          <cell r="W70">
            <v>0</v>
          </cell>
          <cell r="X70">
            <v>117560637.31081261</v>
          </cell>
          <cell r="Y70">
            <v>423641.47000000067</v>
          </cell>
          <cell r="Z70">
            <v>0</v>
          </cell>
          <cell r="AA70">
            <v>0</v>
          </cell>
          <cell r="AB70">
            <v>1477244.9664220484</v>
          </cell>
          <cell r="AC70">
            <v>1900886.4364220491</v>
          </cell>
          <cell r="AD70" t="str">
            <v>N/A</v>
          </cell>
          <cell r="AE70">
            <v>23172667</v>
          </cell>
          <cell r="AF70">
            <v>23172667</v>
          </cell>
          <cell r="AG70">
            <v>23172667</v>
          </cell>
          <cell r="AH70">
            <v>23172667</v>
          </cell>
          <cell r="AI70">
            <v>22969082</v>
          </cell>
          <cell r="AJ70">
            <v>0</v>
          </cell>
          <cell r="AK70">
            <v>115659750</v>
          </cell>
          <cell r="AL70">
            <v>479740661</v>
          </cell>
          <cell r="AM70">
            <v>60439924.620893866</v>
          </cell>
          <cell r="AN70">
            <v>-12514087.529999999</v>
          </cell>
          <cell r="AO70">
            <v>107294686.34439057</v>
          </cell>
          <cell r="AP70">
            <v>0</v>
          </cell>
          <cell r="AQ70">
            <v>8365064.5299999993</v>
          </cell>
          <cell r="AR70">
            <v>0</v>
          </cell>
          <cell r="AS70">
            <v>0</v>
          </cell>
          <cell r="AT70">
            <v>643326248.96528435</v>
          </cell>
          <cell r="AU70">
            <v>1.4469853589673579E-2</v>
          </cell>
          <cell r="AV70">
            <v>0</v>
          </cell>
          <cell r="AW70">
            <v>0</v>
          </cell>
          <cell r="AY70">
            <v>0</v>
          </cell>
          <cell r="AZ70">
            <v>0</v>
          </cell>
          <cell r="BA70">
            <v>0</v>
          </cell>
          <cell r="BB70">
            <v>0</v>
          </cell>
          <cell r="BC70">
            <v>0</v>
          </cell>
          <cell r="BD70">
            <v>0</v>
          </cell>
          <cell r="BE70">
            <v>0</v>
          </cell>
          <cell r="BF70">
            <v>0</v>
          </cell>
          <cell r="BG70">
            <v>0</v>
          </cell>
          <cell r="BH70">
            <v>0</v>
          </cell>
          <cell r="BJ70">
            <v>0</v>
          </cell>
          <cell r="BL70">
            <v>0</v>
          </cell>
          <cell r="BM70">
            <v>0</v>
          </cell>
          <cell r="BN70">
            <v>0</v>
          </cell>
          <cell r="BO70">
            <v>0</v>
          </cell>
          <cell r="BQ70">
            <v>0</v>
          </cell>
          <cell r="BR70">
            <v>0</v>
          </cell>
          <cell r="BS70">
            <v>0</v>
          </cell>
          <cell r="BT70">
            <v>0</v>
          </cell>
          <cell r="CB70">
            <v>0</v>
          </cell>
          <cell r="CC70">
            <v>0</v>
          </cell>
          <cell r="CD70">
            <v>0</v>
          </cell>
          <cell r="CE70">
            <v>0</v>
          </cell>
          <cell r="CF70">
            <v>0</v>
          </cell>
          <cell r="CI70">
            <v>0</v>
          </cell>
          <cell r="CJ70">
            <v>0</v>
          </cell>
          <cell r="CK70">
            <v>0</v>
          </cell>
          <cell r="CV70">
            <v>1.4787953680502413E-2</v>
          </cell>
          <cell r="DG70">
            <v>643326249</v>
          </cell>
          <cell r="DR70">
            <v>214830271.9000006</v>
          </cell>
          <cell r="EC70">
            <v>2.9945791312848877</v>
          </cell>
          <cell r="EN70">
            <v>2.4095909012463064E-2</v>
          </cell>
        </row>
        <row r="71">
          <cell r="B71">
            <v>23200</v>
          </cell>
          <cell r="C71" t="str">
            <v>University Of North Carolina At Wilmington</v>
          </cell>
          <cell r="D71">
            <v>7.7945945589833572E-3</v>
          </cell>
          <cell r="E71">
            <v>13486466.044859931</v>
          </cell>
          <cell r="F71">
            <v>10515706.864682984</v>
          </cell>
          <cell r="G71">
            <v>1707341</v>
          </cell>
          <cell r="H71">
            <v>-3763203.2451363518</v>
          </cell>
          <cell r="I71">
            <v>-155728.45068808264</v>
          </cell>
          <cell r="J71">
            <v>11380690.567374645</v>
          </cell>
          <cell r="K71">
            <v>0</v>
          </cell>
          <cell r="L71">
            <v>-597960.3753406062</v>
          </cell>
          <cell r="M71">
            <v>107308.27419018831</v>
          </cell>
          <cell r="N71">
            <v>4045.2386842211827</v>
          </cell>
          <cell r="O71">
            <v>-1825.5719916594921</v>
          </cell>
          <cell r="P71">
            <v>0</v>
          </cell>
          <cell r="Q71">
            <v>0</v>
          </cell>
          <cell r="R71">
            <v>0</v>
          </cell>
          <cell r="S71">
            <v>32682840.346635271</v>
          </cell>
          <cell r="T71">
            <v>8768783</v>
          </cell>
          <cell r="U71">
            <v>56903452.836873226</v>
          </cell>
          <cell r="V71">
            <v>429233.09676075325</v>
          </cell>
          <cell r="W71">
            <v>0</v>
          </cell>
          <cell r="X71">
            <v>66101468.933633976</v>
          </cell>
          <cell r="Y71">
            <v>232081.92000000086</v>
          </cell>
          <cell r="Z71">
            <v>0</v>
          </cell>
          <cell r="AA71">
            <v>0</v>
          </cell>
          <cell r="AB71">
            <v>778642.25344041316</v>
          </cell>
          <cell r="AC71">
            <v>1010724.173440414</v>
          </cell>
          <cell r="AD71" t="str">
            <v>N/A</v>
          </cell>
          <cell r="AE71">
            <v>13039611</v>
          </cell>
          <cell r="AF71">
            <v>13039611</v>
          </cell>
          <cell r="AG71">
            <v>13039611</v>
          </cell>
          <cell r="AH71">
            <v>13039611</v>
          </cell>
          <cell r="AI71">
            <v>12932303</v>
          </cell>
          <cell r="AJ71">
            <v>0</v>
          </cell>
          <cell r="AK71">
            <v>65090747</v>
          </cell>
          <cell r="AL71">
            <v>247903292</v>
          </cell>
          <cell r="AM71">
            <v>32682840.346635271</v>
          </cell>
          <cell r="AN71">
            <v>-6585519.0799999991</v>
          </cell>
          <cell r="AO71">
            <v>56554043.680193573</v>
          </cell>
          <cell r="AP71">
            <v>0</v>
          </cell>
          <cell r="AQ71">
            <v>8536701.0799999982</v>
          </cell>
          <cell r="AR71">
            <v>0</v>
          </cell>
          <cell r="AS71">
            <v>0</v>
          </cell>
          <cell r="AT71">
            <v>339091358.02682883</v>
          </cell>
          <cell r="AU71">
            <v>7.47721556569761E-3</v>
          </cell>
          <cell r="AV71">
            <v>0</v>
          </cell>
          <cell r="AW71">
            <v>0</v>
          </cell>
          <cell r="AY71">
            <v>0</v>
          </cell>
          <cell r="AZ71">
            <v>0</v>
          </cell>
          <cell r="BA71">
            <v>0</v>
          </cell>
          <cell r="BB71">
            <v>0</v>
          </cell>
          <cell r="BC71">
            <v>0</v>
          </cell>
          <cell r="BD71">
            <v>0</v>
          </cell>
          <cell r="BE71">
            <v>0</v>
          </cell>
          <cell r="BF71">
            <v>0</v>
          </cell>
          <cell r="BG71">
            <v>0</v>
          </cell>
          <cell r="BH71">
            <v>0</v>
          </cell>
          <cell r="BJ71">
            <v>0</v>
          </cell>
          <cell r="BL71">
            <v>0</v>
          </cell>
          <cell r="BM71">
            <v>0</v>
          </cell>
          <cell r="BN71">
            <v>0</v>
          </cell>
          <cell r="BO71">
            <v>0</v>
          </cell>
          <cell r="BQ71">
            <v>0</v>
          </cell>
          <cell r="BR71">
            <v>0</v>
          </cell>
          <cell r="BS71">
            <v>0</v>
          </cell>
          <cell r="BT71">
            <v>0</v>
          </cell>
          <cell r="CB71">
            <v>0</v>
          </cell>
          <cell r="CC71">
            <v>0</v>
          </cell>
          <cell r="CD71">
            <v>0</v>
          </cell>
          <cell r="CE71">
            <v>0</v>
          </cell>
          <cell r="CF71">
            <v>0</v>
          </cell>
          <cell r="CI71">
            <v>0</v>
          </cell>
          <cell r="CJ71">
            <v>0</v>
          </cell>
          <cell r="CK71">
            <v>0</v>
          </cell>
          <cell r="CV71">
            <v>7.7945945589833572E-3</v>
          </cell>
          <cell r="DG71">
            <v>339091357</v>
          </cell>
          <cell r="DR71">
            <v>113827268.77999999</v>
          </cell>
          <cell r="EC71">
            <v>2.9789993262104875</v>
          </cell>
          <cell r="EN71">
            <v>2.4095909012463064E-2</v>
          </cell>
        </row>
        <row r="72">
          <cell r="B72">
            <v>30000</v>
          </cell>
          <cell r="C72" t="str">
            <v>Yancey County Schools</v>
          </cell>
          <cell r="D72">
            <v>8.7413810180883708E-4</v>
          </cell>
          <cell r="E72">
            <v>1512462.7380363487</v>
          </cell>
          <cell r="F72">
            <v>1179301.8826461027</v>
          </cell>
          <cell r="G72">
            <v>-89839</v>
          </cell>
          <cell r="H72">
            <v>-422030.84670171747</v>
          </cell>
          <cell r="I72">
            <v>-17464.432723472757</v>
          </cell>
          <cell r="J72">
            <v>1276306.9553596072</v>
          </cell>
          <cell r="K72">
            <v>0</v>
          </cell>
          <cell r="L72">
            <v>-67059.286214536944</v>
          </cell>
          <cell r="M72">
            <v>12034.269441363733</v>
          </cell>
          <cell r="N72">
            <v>453.66019207675026</v>
          </cell>
          <cell r="O72">
            <v>-204.73188482464772</v>
          </cell>
          <cell r="P72">
            <v>0</v>
          </cell>
          <cell r="Q72">
            <v>0</v>
          </cell>
          <cell r="R72">
            <v>0</v>
          </cell>
          <cell r="S72">
            <v>3383961.208150947</v>
          </cell>
          <cell r="T72">
            <v>0</v>
          </cell>
          <cell r="U72">
            <v>6381534.7767980359</v>
          </cell>
          <cell r="V72">
            <v>48137.077765454931</v>
          </cell>
          <cell r="W72">
            <v>0</v>
          </cell>
          <cell r="X72">
            <v>6429671.8545634905</v>
          </cell>
          <cell r="Y72">
            <v>449197.74</v>
          </cell>
          <cell r="Z72">
            <v>0</v>
          </cell>
          <cell r="AA72">
            <v>0</v>
          </cell>
          <cell r="AB72">
            <v>87322.163617363782</v>
          </cell>
          <cell r="AC72">
            <v>536519.90361736377</v>
          </cell>
          <cell r="AD72" t="str">
            <v>N/A</v>
          </cell>
          <cell r="AE72">
            <v>1181038</v>
          </cell>
          <cell r="AF72">
            <v>1181037</v>
          </cell>
          <cell r="AG72">
            <v>1181037</v>
          </cell>
          <cell r="AH72">
            <v>1181037</v>
          </cell>
          <cell r="AI72">
            <v>1169003</v>
          </cell>
          <cell r="AJ72">
            <v>0</v>
          </cell>
          <cell r="AK72">
            <v>5893152</v>
          </cell>
          <cell r="AL72">
            <v>29498154</v>
          </cell>
          <cell r="AM72">
            <v>3383961.208150947</v>
          </cell>
          <cell r="AN72">
            <v>-747288.26</v>
          </cell>
          <cell r="AO72">
            <v>6342349.6909461282</v>
          </cell>
          <cell r="AP72">
            <v>0</v>
          </cell>
          <cell r="AQ72">
            <v>-449197.74</v>
          </cell>
          <cell r="AR72">
            <v>0</v>
          </cell>
          <cell r="AS72">
            <v>0</v>
          </cell>
          <cell r="AT72">
            <v>38027978.89909707</v>
          </cell>
          <cell r="AU72">
            <v>8.8971815419173334E-4</v>
          </cell>
          <cell r="AV72">
            <v>0</v>
          </cell>
          <cell r="AW72">
            <v>0</v>
          </cell>
          <cell r="AY72">
            <v>0</v>
          </cell>
          <cell r="AZ72">
            <v>0</v>
          </cell>
          <cell r="BA72">
            <v>0</v>
          </cell>
          <cell r="BB72">
            <v>0</v>
          </cell>
          <cell r="BC72">
            <v>0</v>
          </cell>
          <cell r="BD72">
            <v>0</v>
          </cell>
          <cell r="BE72">
            <v>0</v>
          </cell>
          <cell r="BF72">
            <v>0</v>
          </cell>
          <cell r="BG72">
            <v>0</v>
          </cell>
          <cell r="BH72">
            <v>0</v>
          </cell>
          <cell r="BJ72">
            <v>0</v>
          </cell>
          <cell r="BL72">
            <v>0</v>
          </cell>
          <cell r="BM72">
            <v>0</v>
          </cell>
          <cell r="BN72">
            <v>0</v>
          </cell>
          <cell r="BO72">
            <v>0</v>
          </cell>
          <cell r="BQ72">
            <v>0</v>
          </cell>
          <cell r="BR72">
            <v>0</v>
          </cell>
          <cell r="BS72">
            <v>0</v>
          </cell>
          <cell r="BT72">
            <v>0</v>
          </cell>
          <cell r="CB72">
            <v>0</v>
          </cell>
          <cell r="CC72">
            <v>0</v>
          </cell>
          <cell r="CD72">
            <v>0</v>
          </cell>
          <cell r="CE72">
            <v>0</v>
          </cell>
          <cell r="CF72">
            <v>0</v>
          </cell>
          <cell r="CI72">
            <v>0</v>
          </cell>
          <cell r="CJ72">
            <v>0</v>
          </cell>
          <cell r="CK72">
            <v>0</v>
          </cell>
          <cell r="CV72">
            <v>8.7413810180883708E-4</v>
          </cell>
          <cell r="DG72">
            <v>38027979</v>
          </cell>
          <cell r="DR72">
            <v>13112906.86999999</v>
          </cell>
          <cell r="EC72">
            <v>2.9000418730191155</v>
          </cell>
          <cell r="EN72">
            <v>2.4095909012463064E-2</v>
          </cell>
        </row>
        <row r="73">
          <cell r="B73">
            <v>30100</v>
          </cell>
          <cell r="C73" t="str">
            <v>Alamance County Schools</v>
          </cell>
          <cell r="D73">
            <v>7.7277866075530473E-3</v>
          </cell>
          <cell r="E73">
            <v>13370872.711342268</v>
          </cell>
          <cell r="F73">
            <v>10425576.091599805</v>
          </cell>
          <cell r="G73">
            <v>1425662</v>
          </cell>
          <cell r="H73">
            <v>-3730948.5976725272</v>
          </cell>
          <cell r="I73">
            <v>-154393.69251802537</v>
          </cell>
          <cell r="J73">
            <v>11283145.965546411</v>
          </cell>
          <cell r="K73">
            <v>0</v>
          </cell>
          <cell r="L73">
            <v>-592835.22002807446</v>
          </cell>
          <cell r="M73">
            <v>106388.5283437663</v>
          </cell>
          <cell r="N73">
            <v>4010.5666935878803</v>
          </cell>
          <cell r="O73">
            <v>-1809.9249013549993</v>
          </cell>
          <cell r="P73">
            <v>0</v>
          </cell>
          <cell r="Q73">
            <v>0</v>
          </cell>
          <cell r="R73">
            <v>0</v>
          </cell>
          <cell r="S73">
            <v>32135668.428405862</v>
          </cell>
          <cell r="T73">
            <v>7473060</v>
          </cell>
          <cell r="U73">
            <v>56415729.827732056</v>
          </cell>
          <cell r="V73">
            <v>425554.11337506521</v>
          </cell>
          <cell r="W73">
            <v>0</v>
          </cell>
          <cell r="X73">
            <v>64314343.941107124</v>
          </cell>
          <cell r="Y73">
            <v>344752.54999999981</v>
          </cell>
          <cell r="Z73">
            <v>0</v>
          </cell>
          <cell r="AA73">
            <v>0</v>
          </cell>
          <cell r="AB73">
            <v>771968.4625901269</v>
          </cell>
          <cell r="AC73">
            <v>1116721.0125901266</v>
          </cell>
          <cell r="AD73" t="str">
            <v>N/A</v>
          </cell>
          <cell r="AE73">
            <v>12660802</v>
          </cell>
          <cell r="AF73">
            <v>12660803</v>
          </cell>
          <cell r="AG73">
            <v>12660803</v>
          </cell>
          <cell r="AH73">
            <v>12660803</v>
          </cell>
          <cell r="AI73">
            <v>12554414</v>
          </cell>
          <cell r="AJ73">
            <v>0</v>
          </cell>
          <cell r="AK73">
            <v>63197625</v>
          </cell>
          <cell r="AL73">
            <v>247243176</v>
          </cell>
          <cell r="AM73">
            <v>32135668.428405862</v>
          </cell>
          <cell r="AN73">
            <v>-6391482.4500000002</v>
          </cell>
          <cell r="AO73">
            <v>56069315.478516996</v>
          </cell>
          <cell r="AP73">
            <v>0</v>
          </cell>
          <cell r="AQ73">
            <v>7128307.4500000002</v>
          </cell>
          <cell r="AR73">
            <v>0</v>
          </cell>
          <cell r="AS73">
            <v>0</v>
          </cell>
          <cell r="AT73">
            <v>336184984.90692288</v>
          </cell>
          <cell r="AU73">
            <v>7.4573052725717048E-3</v>
          </cell>
          <cell r="AV73">
            <v>0</v>
          </cell>
          <cell r="AW73">
            <v>0</v>
          </cell>
          <cell r="AY73">
            <v>0</v>
          </cell>
          <cell r="AZ73">
            <v>0</v>
          </cell>
          <cell r="BA73">
            <v>0</v>
          </cell>
          <cell r="BB73">
            <v>0</v>
          </cell>
          <cell r="BC73">
            <v>0</v>
          </cell>
          <cell r="BD73">
            <v>0</v>
          </cell>
          <cell r="BE73">
            <v>0</v>
          </cell>
          <cell r="BF73">
            <v>0</v>
          </cell>
          <cell r="BG73">
            <v>0</v>
          </cell>
          <cell r="BH73">
            <v>0</v>
          </cell>
          <cell r="BJ73">
            <v>0</v>
          </cell>
          <cell r="BL73">
            <v>0</v>
          </cell>
          <cell r="BM73">
            <v>0</v>
          </cell>
          <cell r="BN73">
            <v>0</v>
          </cell>
          <cell r="BO73">
            <v>0</v>
          </cell>
          <cell r="BQ73">
            <v>0</v>
          </cell>
          <cell r="BR73">
            <v>0</v>
          </cell>
          <cell r="BS73">
            <v>0</v>
          </cell>
          <cell r="BT73">
            <v>0</v>
          </cell>
          <cell r="CB73">
            <v>0</v>
          </cell>
          <cell r="CC73">
            <v>0</v>
          </cell>
          <cell r="CD73">
            <v>0</v>
          </cell>
          <cell r="CE73">
            <v>0</v>
          </cell>
          <cell r="CF73">
            <v>0</v>
          </cell>
          <cell r="CI73">
            <v>0</v>
          </cell>
          <cell r="CJ73">
            <v>0</v>
          </cell>
          <cell r="CK73">
            <v>0</v>
          </cell>
          <cell r="CV73">
            <v>7.7277866075530473E-3</v>
          </cell>
          <cell r="DG73">
            <v>336184984</v>
          </cell>
          <cell r="DR73">
            <v>110519985.77999982</v>
          </cell>
          <cell r="EC73">
            <v>3.0418478759959946</v>
          </cell>
          <cell r="EN73">
            <v>2.4095909012463064E-2</v>
          </cell>
        </row>
        <row r="74">
          <cell r="B74">
            <v>30102</v>
          </cell>
          <cell r="C74" t="str">
            <v>Clover Garden Charter School</v>
          </cell>
          <cell r="D74">
            <v>1.4425642015125479E-4</v>
          </cell>
          <cell r="E74">
            <v>249597.24298690105</v>
          </cell>
          <cell r="F74">
            <v>194616.69445151981</v>
          </cell>
          <cell r="G74">
            <v>145691</v>
          </cell>
          <cell r="H74">
            <v>-69646.499806625055</v>
          </cell>
          <cell r="I74">
            <v>-2882.1035708743884</v>
          </cell>
          <cell r="J74">
            <v>210625.15409560309</v>
          </cell>
          <cell r="K74">
            <v>0</v>
          </cell>
          <cell r="L74">
            <v>-11066.595252157322</v>
          </cell>
          <cell r="M74">
            <v>1985.9798184685681</v>
          </cell>
          <cell r="N74">
            <v>74.866196930098212</v>
          </cell>
          <cell r="O74">
            <v>-33.786296163625387</v>
          </cell>
          <cell r="P74">
            <v>0</v>
          </cell>
          <cell r="Q74">
            <v>0</v>
          </cell>
          <cell r="R74">
            <v>0</v>
          </cell>
          <cell r="S74">
            <v>718961.95262360224</v>
          </cell>
          <cell r="T74">
            <v>741587</v>
          </cell>
          <cell r="U74">
            <v>1053125.7704780155</v>
          </cell>
          <cell r="V74">
            <v>7943.9192738742722</v>
          </cell>
          <cell r="W74">
            <v>0</v>
          </cell>
          <cell r="X74">
            <v>1802656.6897518898</v>
          </cell>
          <cell r="Y74">
            <v>13132.039999999994</v>
          </cell>
          <cell r="Z74">
            <v>0</v>
          </cell>
          <cell r="AA74">
            <v>0</v>
          </cell>
          <cell r="AB74">
            <v>14410.517854371941</v>
          </cell>
          <cell r="AC74">
            <v>27542.557854371935</v>
          </cell>
          <cell r="AD74" t="str">
            <v>N/A</v>
          </cell>
          <cell r="AE74">
            <v>355420</v>
          </cell>
          <cell r="AF74">
            <v>355420</v>
          </cell>
          <cell r="AG74">
            <v>355420</v>
          </cell>
          <cell r="AH74">
            <v>355420</v>
          </cell>
          <cell r="AI74">
            <v>353434</v>
          </cell>
          <cell r="AJ74">
            <v>0</v>
          </cell>
          <cell r="AK74">
            <v>1775114</v>
          </cell>
          <cell r="AL74">
            <v>3892844</v>
          </cell>
          <cell r="AM74">
            <v>718961.95262360224</v>
          </cell>
          <cell r="AN74">
            <v>-111275.96</v>
          </cell>
          <cell r="AO74">
            <v>1046659.1718975179</v>
          </cell>
          <cell r="AP74">
            <v>0</v>
          </cell>
          <cell r="AQ74">
            <v>728454.96</v>
          </cell>
          <cell r="AR74">
            <v>0</v>
          </cell>
          <cell r="AS74">
            <v>0</v>
          </cell>
          <cell r="AT74">
            <v>6275644.1245211195</v>
          </cell>
          <cell r="AU74">
            <v>1.1741527525209222E-4</v>
          </cell>
          <cell r="AV74">
            <v>0</v>
          </cell>
          <cell r="AW74">
            <v>0</v>
          </cell>
          <cell r="AY74">
            <v>0</v>
          </cell>
          <cell r="AZ74">
            <v>0</v>
          </cell>
          <cell r="BA74">
            <v>0</v>
          </cell>
          <cell r="BB74">
            <v>0</v>
          </cell>
          <cell r="BC74">
            <v>0</v>
          </cell>
          <cell r="BD74">
            <v>0</v>
          </cell>
          <cell r="BE74">
            <v>0</v>
          </cell>
          <cell r="BF74">
            <v>0</v>
          </cell>
          <cell r="BG74">
            <v>0</v>
          </cell>
          <cell r="BH74">
            <v>0</v>
          </cell>
          <cell r="BJ74">
            <v>0</v>
          </cell>
          <cell r="BL74">
            <v>0</v>
          </cell>
          <cell r="BM74">
            <v>0</v>
          </cell>
          <cell r="BN74">
            <v>0</v>
          </cell>
          <cell r="BO74">
            <v>0</v>
          </cell>
          <cell r="BQ74">
            <v>0</v>
          </cell>
          <cell r="BR74">
            <v>0</v>
          </cell>
          <cell r="BS74">
            <v>0</v>
          </cell>
          <cell r="BT74">
            <v>0</v>
          </cell>
          <cell r="CB74">
            <v>0</v>
          </cell>
          <cell r="CC74">
            <v>0</v>
          </cell>
          <cell r="CD74">
            <v>0</v>
          </cell>
          <cell r="CE74">
            <v>0</v>
          </cell>
          <cell r="CF74">
            <v>0</v>
          </cell>
          <cell r="CI74">
            <v>0</v>
          </cell>
          <cell r="CJ74">
            <v>0</v>
          </cell>
          <cell r="CK74">
            <v>0</v>
          </cell>
          <cell r="CV74">
            <v>1.4425642015125479E-4</v>
          </cell>
          <cell r="DG74">
            <v>6275645</v>
          </cell>
          <cell r="DR74">
            <v>1936670.5900000003</v>
          </cell>
          <cell r="EC74">
            <v>3.2404297521758716</v>
          </cell>
          <cell r="EN74">
            <v>2.4095909012463064E-2</v>
          </cell>
        </row>
        <row r="75">
          <cell r="B75">
            <v>30103</v>
          </cell>
          <cell r="C75" t="str">
            <v>River Mill Academy Charter</v>
          </cell>
          <cell r="D75">
            <v>1.6505168097535305E-4</v>
          </cell>
          <cell r="E75">
            <v>285577.89302276215</v>
          </cell>
          <cell r="F75">
            <v>222671.63244041312</v>
          </cell>
          <cell r="G75">
            <v>15632</v>
          </cell>
          <cell r="H75">
            <v>-79686.379677799574</v>
          </cell>
          <cell r="I75">
            <v>-3297.5727431688083</v>
          </cell>
          <cell r="J75">
            <v>240987.78898520774</v>
          </cell>
          <cell r="K75">
            <v>0</v>
          </cell>
          <cell r="L75">
            <v>-12661.898493857356</v>
          </cell>
          <cell r="M75">
            <v>2272.2684167378629</v>
          </cell>
          <cell r="N75">
            <v>85.658521392588725</v>
          </cell>
          <cell r="O75">
            <v>-38.65675420123744</v>
          </cell>
          <cell r="P75">
            <v>0</v>
          </cell>
          <cell r="Q75">
            <v>0</v>
          </cell>
          <cell r="R75">
            <v>0</v>
          </cell>
          <cell r="S75">
            <v>671542.7337174865</v>
          </cell>
          <cell r="T75">
            <v>91250</v>
          </cell>
          <cell r="U75">
            <v>1204938.9449260386</v>
          </cell>
          <cell r="V75">
            <v>9089.0736669514517</v>
          </cell>
          <cell r="W75">
            <v>0</v>
          </cell>
          <cell r="X75">
            <v>1305278.01859299</v>
          </cell>
          <cell r="Y75">
            <v>13090.050000000003</v>
          </cell>
          <cell r="Z75">
            <v>0</v>
          </cell>
          <cell r="AA75">
            <v>0</v>
          </cell>
          <cell r="AB75">
            <v>16487.86371584404</v>
          </cell>
          <cell r="AC75">
            <v>29577.913715844043</v>
          </cell>
          <cell r="AD75" t="str">
            <v>N/A</v>
          </cell>
          <cell r="AE75">
            <v>255594</v>
          </cell>
          <cell r="AF75">
            <v>255594</v>
          </cell>
          <cell r="AG75">
            <v>255594</v>
          </cell>
          <cell r="AH75">
            <v>255594</v>
          </cell>
          <cell r="AI75">
            <v>253322</v>
          </cell>
          <cell r="AJ75">
            <v>0</v>
          </cell>
          <cell r="AK75">
            <v>1275698</v>
          </cell>
          <cell r="AL75">
            <v>5362705</v>
          </cell>
          <cell r="AM75">
            <v>671542.7337174865</v>
          </cell>
          <cell r="AN75">
            <v>-129638.95</v>
          </cell>
          <cell r="AO75">
            <v>1197540.1548771462</v>
          </cell>
          <cell r="AP75">
            <v>0</v>
          </cell>
          <cell r="AQ75">
            <v>78159.95</v>
          </cell>
          <cell r="AR75">
            <v>0</v>
          </cell>
          <cell r="AS75">
            <v>0</v>
          </cell>
          <cell r="AT75">
            <v>7180308.888594632</v>
          </cell>
          <cell r="AU75">
            <v>1.617489716189338E-4</v>
          </cell>
          <cell r="AV75">
            <v>0</v>
          </cell>
          <cell r="AW75">
            <v>0</v>
          </cell>
          <cell r="AY75">
            <v>0</v>
          </cell>
          <cell r="AZ75">
            <v>0</v>
          </cell>
          <cell r="BA75">
            <v>0</v>
          </cell>
          <cell r="BB75">
            <v>0</v>
          </cell>
          <cell r="BC75">
            <v>0</v>
          </cell>
          <cell r="BD75">
            <v>0</v>
          </cell>
          <cell r="BE75">
            <v>0</v>
          </cell>
          <cell r="BF75">
            <v>0</v>
          </cell>
          <cell r="BG75">
            <v>0</v>
          </cell>
          <cell r="BH75">
            <v>0</v>
          </cell>
          <cell r="BJ75">
            <v>0</v>
          </cell>
          <cell r="BL75">
            <v>0</v>
          </cell>
          <cell r="BM75">
            <v>0</v>
          </cell>
          <cell r="BN75">
            <v>0</v>
          </cell>
          <cell r="BO75">
            <v>0</v>
          </cell>
          <cell r="BQ75">
            <v>0</v>
          </cell>
          <cell r="BR75">
            <v>0</v>
          </cell>
          <cell r="BS75">
            <v>0</v>
          </cell>
          <cell r="BT75">
            <v>0</v>
          </cell>
          <cell r="CB75">
            <v>0</v>
          </cell>
          <cell r="CC75">
            <v>0</v>
          </cell>
          <cell r="CD75">
            <v>0</v>
          </cell>
          <cell r="CE75">
            <v>0</v>
          </cell>
          <cell r="CF75">
            <v>0</v>
          </cell>
          <cell r="CI75">
            <v>0</v>
          </cell>
          <cell r="CJ75">
            <v>0</v>
          </cell>
          <cell r="CK75">
            <v>0</v>
          </cell>
          <cell r="CV75">
            <v>1.6505168097535305E-4</v>
          </cell>
          <cell r="DG75">
            <v>7180309</v>
          </cell>
          <cell r="DR75">
            <v>2194122.9700000007</v>
          </cell>
          <cell r="EC75">
            <v>3.2725189509319059</v>
          </cell>
          <cell r="EN75">
            <v>2.4095909012463064E-2</v>
          </cell>
        </row>
        <row r="76">
          <cell r="B76">
            <v>30104</v>
          </cell>
          <cell r="C76" t="str">
            <v>The Hawbridge School</v>
          </cell>
          <cell r="D76">
            <v>1.0524667875150715E-4</v>
          </cell>
          <cell r="E76">
            <v>182101.29450294518</v>
          </cell>
          <cell r="F76">
            <v>141988.55551207272</v>
          </cell>
          <cell r="G76">
            <v>140696</v>
          </cell>
          <cell r="H76">
            <v>-50812.73182593262</v>
          </cell>
          <cell r="I76">
            <v>-2102.7267163176575</v>
          </cell>
          <cell r="J76">
            <v>153668.01634785894</v>
          </cell>
          <cell r="K76">
            <v>0</v>
          </cell>
          <cell r="L76">
            <v>-8073.972681115536</v>
          </cell>
          <cell r="M76">
            <v>1448.932253706143</v>
          </cell>
          <cell r="N76">
            <v>54.62092133845718</v>
          </cell>
          <cell r="O76">
            <v>-24.649824630390491</v>
          </cell>
          <cell r="P76">
            <v>0</v>
          </cell>
          <cell r="Q76">
            <v>0</v>
          </cell>
          <cell r="R76">
            <v>0</v>
          </cell>
          <cell r="S76">
            <v>558943.33848992537</v>
          </cell>
          <cell r="T76">
            <v>720412</v>
          </cell>
          <cell r="U76">
            <v>768340.08173929469</v>
          </cell>
          <cell r="V76">
            <v>5795.729014824572</v>
          </cell>
          <cell r="W76">
            <v>0</v>
          </cell>
          <cell r="X76">
            <v>1494547.8107541194</v>
          </cell>
          <cell r="Y76">
            <v>16933.770000000004</v>
          </cell>
          <cell r="Z76">
            <v>0</v>
          </cell>
          <cell r="AA76">
            <v>0</v>
          </cell>
          <cell r="AB76">
            <v>10513.633581588289</v>
          </cell>
          <cell r="AC76">
            <v>27447.403581588293</v>
          </cell>
          <cell r="AD76" t="str">
            <v>N/A</v>
          </cell>
          <cell r="AE76">
            <v>293709</v>
          </cell>
          <cell r="AF76">
            <v>293710</v>
          </cell>
          <cell r="AG76">
            <v>293710</v>
          </cell>
          <cell r="AH76">
            <v>293710</v>
          </cell>
          <cell r="AI76">
            <v>292261</v>
          </cell>
          <cell r="AJ76">
            <v>0</v>
          </cell>
          <cell r="AK76">
            <v>1467100</v>
          </cell>
          <cell r="AL76">
            <v>2624905</v>
          </cell>
          <cell r="AM76">
            <v>558943.33848992537</v>
          </cell>
          <cell r="AN76">
            <v>-72361.23</v>
          </cell>
          <cell r="AO76">
            <v>763622.17717253102</v>
          </cell>
          <cell r="AP76">
            <v>0</v>
          </cell>
          <cell r="AQ76">
            <v>703478.23</v>
          </cell>
          <cell r="AR76">
            <v>0</v>
          </cell>
          <cell r="AS76">
            <v>0</v>
          </cell>
          <cell r="AT76">
            <v>4578587.5156624559</v>
          </cell>
          <cell r="AU76">
            <v>7.9171924691688201E-5</v>
          </cell>
          <cell r="AV76">
            <v>0</v>
          </cell>
          <cell r="AW76">
            <v>0</v>
          </cell>
          <cell r="AY76">
            <v>0</v>
          </cell>
          <cell r="AZ76">
            <v>0</v>
          </cell>
          <cell r="BA76">
            <v>0</v>
          </cell>
          <cell r="BB76">
            <v>0</v>
          </cell>
          <cell r="BC76">
            <v>0</v>
          </cell>
          <cell r="BD76">
            <v>0</v>
          </cell>
          <cell r="BE76">
            <v>0</v>
          </cell>
          <cell r="BF76">
            <v>0</v>
          </cell>
          <cell r="BG76">
            <v>0</v>
          </cell>
          <cell r="BH76">
            <v>0</v>
          </cell>
          <cell r="BJ76">
            <v>0</v>
          </cell>
          <cell r="BL76">
            <v>0</v>
          </cell>
          <cell r="BM76">
            <v>0</v>
          </cell>
          <cell r="BN76">
            <v>0</v>
          </cell>
          <cell r="BO76">
            <v>0</v>
          </cell>
          <cell r="BQ76">
            <v>0</v>
          </cell>
          <cell r="BR76">
            <v>0</v>
          </cell>
          <cell r="BS76">
            <v>0</v>
          </cell>
          <cell r="BT76">
            <v>0</v>
          </cell>
          <cell r="CB76">
            <v>0</v>
          </cell>
          <cell r="CC76">
            <v>0</v>
          </cell>
          <cell r="CD76">
            <v>0</v>
          </cell>
          <cell r="CE76">
            <v>0</v>
          </cell>
          <cell r="CF76">
            <v>0</v>
          </cell>
          <cell r="CI76">
            <v>0</v>
          </cell>
          <cell r="CJ76">
            <v>0</v>
          </cell>
          <cell r="CK76">
            <v>0</v>
          </cell>
          <cell r="CV76">
            <v>1.0524667875150715E-4</v>
          </cell>
          <cell r="DG76">
            <v>4578588</v>
          </cell>
          <cell r="DR76">
            <v>1290327.7399999995</v>
          </cell>
          <cell r="EC76">
            <v>3.5483915117565417</v>
          </cell>
          <cell r="EN76">
            <v>2.4095909012463064E-2</v>
          </cell>
        </row>
        <row r="77">
          <cell r="B77">
            <v>30105</v>
          </cell>
          <cell r="C77" t="str">
            <v>Alamance Community College</v>
          </cell>
          <cell r="D77">
            <v>7.1665148802620431E-4</v>
          </cell>
          <cell r="E77">
            <v>1239974.175196145</v>
          </cell>
          <cell r="F77">
            <v>966836.30113089026</v>
          </cell>
          <cell r="G77">
            <v>-119101</v>
          </cell>
          <cell r="H77">
            <v>-345996.85525192507</v>
          </cell>
          <cell r="I77">
            <v>-14318.002696497673</v>
          </cell>
          <cell r="J77">
            <v>1046364.7298338255</v>
          </cell>
          <cell r="K77">
            <v>0</v>
          </cell>
          <cell r="L77">
            <v>-54977.739961428582</v>
          </cell>
          <cell r="M77">
            <v>9866.1493928880809</v>
          </cell>
          <cell r="N77">
            <v>371.92778925583951</v>
          </cell>
          <cell r="O77">
            <v>-167.8469450106173</v>
          </cell>
          <cell r="P77">
            <v>0</v>
          </cell>
          <cell r="Q77">
            <v>0</v>
          </cell>
          <cell r="R77">
            <v>0</v>
          </cell>
          <cell r="S77">
            <v>2728851.8384881425</v>
          </cell>
          <cell r="T77">
            <v>58107.969999999972</v>
          </cell>
          <cell r="U77">
            <v>5231823.6491691275</v>
          </cell>
          <cell r="V77">
            <v>39464.597571552324</v>
          </cell>
          <cell r="W77">
            <v>0</v>
          </cell>
          <cell r="X77">
            <v>5329396.2167406799</v>
          </cell>
          <cell r="Y77">
            <v>653614</v>
          </cell>
          <cell r="Z77">
            <v>0</v>
          </cell>
          <cell r="AA77">
            <v>0</v>
          </cell>
          <cell r="AB77">
            <v>71590.013482488372</v>
          </cell>
          <cell r="AC77">
            <v>725204.01348248834</v>
          </cell>
          <cell r="AD77" t="str">
            <v>N/A</v>
          </cell>
          <cell r="AE77">
            <v>922812</v>
          </cell>
          <cell r="AF77">
            <v>922811</v>
          </cell>
          <cell r="AG77">
            <v>922811</v>
          </cell>
          <cell r="AH77">
            <v>922811</v>
          </cell>
          <cell r="AI77">
            <v>912945</v>
          </cell>
          <cell r="AJ77">
            <v>0</v>
          </cell>
          <cell r="AK77">
            <v>4604190</v>
          </cell>
          <cell r="AL77">
            <v>24544554</v>
          </cell>
          <cell r="AM77">
            <v>2728851.8384881425</v>
          </cell>
          <cell r="AN77">
            <v>-700821.97</v>
          </cell>
          <cell r="AO77">
            <v>5199698.2332581915</v>
          </cell>
          <cell r="AP77">
            <v>0</v>
          </cell>
          <cell r="AQ77">
            <v>-595506.03</v>
          </cell>
          <cell r="AR77">
            <v>0</v>
          </cell>
          <cell r="AS77">
            <v>0</v>
          </cell>
          <cell r="AT77">
            <v>31176776.071746334</v>
          </cell>
          <cell r="AU77">
            <v>7.4030852539940612E-4</v>
          </cell>
          <cell r="AV77">
            <v>0</v>
          </cell>
          <cell r="AW77">
            <v>0</v>
          </cell>
          <cell r="AY77">
            <v>0</v>
          </cell>
          <cell r="AZ77">
            <v>0</v>
          </cell>
          <cell r="BA77">
            <v>0</v>
          </cell>
          <cell r="BB77">
            <v>0</v>
          </cell>
          <cell r="BC77">
            <v>0</v>
          </cell>
          <cell r="BD77">
            <v>0</v>
          </cell>
          <cell r="BE77">
            <v>0</v>
          </cell>
          <cell r="BF77">
            <v>0</v>
          </cell>
          <cell r="BG77">
            <v>0</v>
          </cell>
          <cell r="BH77">
            <v>0</v>
          </cell>
          <cell r="BJ77">
            <v>0</v>
          </cell>
          <cell r="BL77">
            <v>0</v>
          </cell>
          <cell r="BM77">
            <v>0</v>
          </cell>
          <cell r="BN77">
            <v>0</v>
          </cell>
          <cell r="BO77">
            <v>0</v>
          </cell>
          <cell r="BQ77">
            <v>0</v>
          </cell>
          <cell r="BR77">
            <v>0</v>
          </cell>
          <cell r="BS77">
            <v>0</v>
          </cell>
          <cell r="BT77">
            <v>0</v>
          </cell>
          <cell r="CB77">
            <v>0</v>
          </cell>
          <cell r="CC77">
            <v>0</v>
          </cell>
          <cell r="CD77">
            <v>0</v>
          </cell>
          <cell r="CE77">
            <v>0</v>
          </cell>
          <cell r="CF77">
            <v>0</v>
          </cell>
          <cell r="CI77">
            <v>0</v>
          </cell>
          <cell r="CJ77">
            <v>0</v>
          </cell>
          <cell r="CK77">
            <v>0</v>
          </cell>
          <cell r="CV77">
            <v>7.1665148802620431E-4</v>
          </cell>
          <cell r="DG77">
            <v>31176776</v>
          </cell>
          <cell r="DR77">
            <v>12013260.689999999</v>
          </cell>
          <cell r="EC77">
            <v>2.595196824951278</v>
          </cell>
          <cell r="EN77">
            <v>2.4095909012463064E-2</v>
          </cell>
        </row>
        <row r="78">
          <cell r="B78">
            <v>30200</v>
          </cell>
          <cell r="C78" t="str">
            <v>Alexander County Schools</v>
          </cell>
          <cell r="D78">
            <v>1.6985906501332825E-3</v>
          </cell>
          <cell r="E78">
            <v>2938957.8834138797</v>
          </cell>
          <cell r="F78">
            <v>2291572.8617734034</v>
          </cell>
          <cell r="G78">
            <v>-231430</v>
          </cell>
          <cell r="H78">
            <v>-820073.68033951428</v>
          </cell>
          <cell r="I78">
            <v>-33936.196205825501</v>
          </cell>
          <cell r="J78">
            <v>2480069.2894954062</v>
          </cell>
          <cell r="K78">
            <v>0</v>
          </cell>
          <cell r="L78">
            <v>-130306.95759962885</v>
          </cell>
          <cell r="M78">
            <v>23384.517288499763</v>
          </cell>
          <cell r="N78">
            <v>881.53457560617096</v>
          </cell>
          <cell r="O78">
            <v>-397.82691616771609</v>
          </cell>
          <cell r="P78">
            <v>0</v>
          </cell>
          <cell r="Q78">
            <v>0</v>
          </cell>
          <cell r="R78">
            <v>0</v>
          </cell>
          <cell r="S78">
            <v>6518721.4254856585</v>
          </cell>
          <cell r="T78">
            <v>0</v>
          </cell>
          <cell r="U78">
            <v>12400346.447477031</v>
          </cell>
          <cell r="V78">
            <v>93538.069153999051</v>
          </cell>
          <cell r="W78">
            <v>0</v>
          </cell>
          <cell r="X78">
            <v>12493884.516631031</v>
          </cell>
          <cell r="Y78">
            <v>1157153.4000000001</v>
          </cell>
          <cell r="Z78">
            <v>0</v>
          </cell>
          <cell r="AA78">
            <v>0</v>
          </cell>
          <cell r="AB78">
            <v>169680.98102912752</v>
          </cell>
          <cell r="AC78">
            <v>1326834.3810291276</v>
          </cell>
          <cell r="AD78" t="str">
            <v>N/A</v>
          </cell>
          <cell r="AE78">
            <v>2238088</v>
          </cell>
          <cell r="AF78">
            <v>2238087</v>
          </cell>
          <cell r="AG78">
            <v>2238087</v>
          </cell>
          <cell r="AH78">
            <v>2238087</v>
          </cell>
          <cell r="AI78">
            <v>2214702</v>
          </cell>
          <cell r="AJ78">
            <v>0</v>
          </cell>
          <cell r="AK78">
            <v>11167051</v>
          </cell>
          <cell r="AL78">
            <v>57675940</v>
          </cell>
          <cell r="AM78">
            <v>6518721.4254856585</v>
          </cell>
          <cell r="AN78">
            <v>-1467244.5999999999</v>
          </cell>
          <cell r="AO78">
            <v>12324203.535601905</v>
          </cell>
          <cell r="AP78">
            <v>0</v>
          </cell>
          <cell r="AQ78">
            <v>-1157153.4000000001</v>
          </cell>
          <cell r="AR78">
            <v>0</v>
          </cell>
          <cell r="AS78">
            <v>0</v>
          </cell>
          <cell r="AT78">
            <v>73894466.961087555</v>
          </cell>
          <cell r="AU78">
            <v>1.7396115780678972E-3</v>
          </cell>
          <cell r="AV78">
            <v>0</v>
          </cell>
          <cell r="AW78">
            <v>0</v>
          </cell>
          <cell r="AY78">
            <v>0</v>
          </cell>
          <cell r="AZ78">
            <v>0</v>
          </cell>
          <cell r="BA78">
            <v>0</v>
          </cell>
          <cell r="BB78">
            <v>0</v>
          </cell>
          <cell r="BC78">
            <v>0</v>
          </cell>
          <cell r="BD78">
            <v>0</v>
          </cell>
          <cell r="BE78">
            <v>0</v>
          </cell>
          <cell r="BF78">
            <v>0</v>
          </cell>
          <cell r="BG78">
            <v>0</v>
          </cell>
          <cell r="BH78">
            <v>0</v>
          </cell>
          <cell r="BJ78">
            <v>0</v>
          </cell>
          <cell r="BL78">
            <v>0</v>
          </cell>
          <cell r="BM78">
            <v>0</v>
          </cell>
          <cell r="BN78">
            <v>0</v>
          </cell>
          <cell r="BO78">
            <v>0</v>
          </cell>
          <cell r="BQ78">
            <v>0</v>
          </cell>
          <cell r="BR78">
            <v>0</v>
          </cell>
          <cell r="BS78">
            <v>0</v>
          </cell>
          <cell r="BT78">
            <v>0</v>
          </cell>
          <cell r="CB78">
            <v>0</v>
          </cell>
          <cell r="CC78">
            <v>0</v>
          </cell>
          <cell r="CD78">
            <v>0</v>
          </cell>
          <cell r="CE78">
            <v>0</v>
          </cell>
          <cell r="CF78">
            <v>0</v>
          </cell>
          <cell r="CI78">
            <v>0</v>
          </cell>
          <cell r="CJ78">
            <v>0</v>
          </cell>
          <cell r="CK78">
            <v>0</v>
          </cell>
          <cell r="CV78">
            <v>1.6985906501332825E-3</v>
          </cell>
          <cell r="DG78">
            <v>73894467</v>
          </cell>
          <cell r="DR78">
            <v>25714708.279999994</v>
          </cell>
          <cell r="EC78">
            <v>2.873626494043199</v>
          </cell>
          <cell r="EN78">
            <v>2.4095909012463064E-2</v>
          </cell>
        </row>
        <row r="79">
          <cell r="B79">
            <v>30300</v>
          </cell>
          <cell r="C79" t="str">
            <v>Alleghany County Schools</v>
          </cell>
          <cell r="D79">
            <v>5.8215431358102669E-4</v>
          </cell>
          <cell r="E79">
            <v>1007262.7028343196</v>
          </cell>
          <cell r="F79">
            <v>785385.82928260346</v>
          </cell>
          <cell r="G79">
            <v>-50820</v>
          </cell>
          <cell r="H79">
            <v>-281062.08545682009</v>
          </cell>
          <cell r="I79">
            <v>-11630.879403582727</v>
          </cell>
          <cell r="J79">
            <v>849988.80380407965</v>
          </cell>
          <cell r="K79">
            <v>0</v>
          </cell>
          <cell r="L79">
            <v>-44659.822806802513</v>
          </cell>
          <cell r="M79">
            <v>8014.5252238625208</v>
          </cell>
          <cell r="N79">
            <v>302.12644566228124</v>
          </cell>
          <cell r="O79">
            <v>-136.34636178381226</v>
          </cell>
          <cell r="P79">
            <v>0</v>
          </cell>
          <cell r="Q79">
            <v>0</v>
          </cell>
          <cell r="R79">
            <v>0</v>
          </cell>
          <cell r="S79">
            <v>2262644.8535615378</v>
          </cell>
          <cell r="T79">
            <v>1218.9200000000419</v>
          </cell>
          <cell r="U79">
            <v>4249944.0190203981</v>
          </cell>
          <cell r="V79">
            <v>32058.100895450083</v>
          </cell>
          <cell r="W79">
            <v>0</v>
          </cell>
          <cell r="X79">
            <v>4283221.0399158485</v>
          </cell>
          <cell r="Y79">
            <v>255321</v>
          </cell>
          <cell r="Z79">
            <v>0</v>
          </cell>
          <cell r="AA79">
            <v>0</v>
          </cell>
          <cell r="AB79">
            <v>58154.39701791363</v>
          </cell>
          <cell r="AC79">
            <v>313475.39701791364</v>
          </cell>
          <cell r="AD79" t="str">
            <v>N/A</v>
          </cell>
          <cell r="AE79">
            <v>795552</v>
          </cell>
          <cell r="AF79">
            <v>795552</v>
          </cell>
          <cell r="AG79">
            <v>795552</v>
          </cell>
          <cell r="AH79">
            <v>795552</v>
          </cell>
          <cell r="AI79">
            <v>787538</v>
          </cell>
          <cell r="AJ79">
            <v>0</v>
          </cell>
          <cell r="AK79">
            <v>3969746</v>
          </cell>
          <cell r="AL79">
            <v>19607416</v>
          </cell>
          <cell r="AM79">
            <v>2262644.8535615378</v>
          </cell>
          <cell r="AN79">
            <v>-514114.92000000004</v>
          </cell>
          <cell r="AO79">
            <v>4223847.7228979347</v>
          </cell>
          <cell r="AP79">
            <v>0</v>
          </cell>
          <cell r="AQ79">
            <v>-254102.07999999996</v>
          </cell>
          <cell r="AR79">
            <v>0</v>
          </cell>
          <cell r="AS79">
            <v>0</v>
          </cell>
          <cell r="AT79">
            <v>25325691.576459475</v>
          </cell>
          <cell r="AU79">
            <v>5.9139542779070703E-4</v>
          </cell>
          <cell r="AV79">
            <v>0</v>
          </cell>
          <cell r="AW79">
            <v>0</v>
          </cell>
          <cell r="AY79">
            <v>0</v>
          </cell>
          <cell r="AZ79">
            <v>0</v>
          </cell>
          <cell r="BA79">
            <v>0</v>
          </cell>
          <cell r="BB79">
            <v>0</v>
          </cell>
          <cell r="BC79">
            <v>0</v>
          </cell>
          <cell r="BD79">
            <v>0</v>
          </cell>
          <cell r="BE79">
            <v>0</v>
          </cell>
          <cell r="BF79">
            <v>0</v>
          </cell>
          <cell r="BG79">
            <v>0</v>
          </cell>
          <cell r="BH79">
            <v>0</v>
          </cell>
          <cell r="BJ79">
            <v>0</v>
          </cell>
          <cell r="BL79">
            <v>0</v>
          </cell>
          <cell r="BM79">
            <v>0</v>
          </cell>
          <cell r="BN79">
            <v>0</v>
          </cell>
          <cell r="BO79">
            <v>0</v>
          </cell>
          <cell r="BQ79">
            <v>0</v>
          </cell>
          <cell r="BR79">
            <v>0</v>
          </cell>
          <cell r="BS79">
            <v>0</v>
          </cell>
          <cell r="BT79">
            <v>0</v>
          </cell>
          <cell r="CB79">
            <v>0</v>
          </cell>
          <cell r="CC79">
            <v>0</v>
          </cell>
          <cell r="CD79">
            <v>0</v>
          </cell>
          <cell r="CE79">
            <v>0</v>
          </cell>
          <cell r="CF79">
            <v>0</v>
          </cell>
          <cell r="CI79">
            <v>0</v>
          </cell>
          <cell r="CJ79">
            <v>0</v>
          </cell>
          <cell r="CK79">
            <v>0</v>
          </cell>
          <cell r="CV79">
            <v>5.8215431358102669E-4</v>
          </cell>
          <cell r="DG79">
            <v>25325691</v>
          </cell>
          <cell r="DR79">
            <v>8935775.4199999999</v>
          </cell>
          <cell r="EC79">
            <v>2.8341906336764224</v>
          </cell>
          <cell r="EN79">
            <v>2.4095909012463064E-2</v>
          </cell>
        </row>
        <row r="80">
          <cell r="B80">
            <v>30400</v>
          </cell>
          <cell r="C80" t="str">
            <v>Anson County Schools</v>
          </cell>
          <cell r="D80">
            <v>1.0721140620536731E-3</v>
          </cell>
          <cell r="E80">
            <v>1855007.3111165895</v>
          </cell>
          <cell r="F80">
            <v>1446391.741962706</v>
          </cell>
          <cell r="G80">
            <v>-415464</v>
          </cell>
          <cell r="H80">
            <v>-517612.95432958688</v>
          </cell>
          <cell r="I80">
            <v>-21419.80068124309</v>
          </cell>
          <cell r="J80">
            <v>1565366.6525992304</v>
          </cell>
          <cell r="K80">
            <v>0</v>
          </cell>
          <cell r="L80">
            <v>-82246.962571607073</v>
          </cell>
          <cell r="M80">
            <v>14759.80679475105</v>
          </cell>
          <cell r="N80">
            <v>556.40575592461528</v>
          </cell>
          <cell r="O80">
            <v>-251.09983447359076</v>
          </cell>
          <cell r="P80">
            <v>0</v>
          </cell>
          <cell r="Q80">
            <v>0</v>
          </cell>
          <cell r="R80">
            <v>0</v>
          </cell>
          <cell r="S80">
            <v>3845087.1008122903</v>
          </cell>
          <cell r="T80">
            <v>77784.530000000028</v>
          </cell>
          <cell r="U80">
            <v>7826833.262996152</v>
          </cell>
          <cell r="V80">
            <v>59039.2271790042</v>
          </cell>
          <cell r="W80">
            <v>0</v>
          </cell>
          <cell r="X80">
            <v>7963657.0201751562</v>
          </cell>
          <cell r="Y80">
            <v>2155105</v>
          </cell>
          <cell r="Z80">
            <v>0</v>
          </cell>
          <cell r="AA80">
            <v>0</v>
          </cell>
          <cell r="AB80">
            <v>107099.00340621544</v>
          </cell>
          <cell r="AC80">
            <v>2262204.0034062155</v>
          </cell>
          <cell r="AD80" t="str">
            <v>N/A</v>
          </cell>
          <cell r="AE80">
            <v>1143243</v>
          </cell>
          <cell r="AF80">
            <v>1143243</v>
          </cell>
          <cell r="AG80">
            <v>1143243</v>
          </cell>
          <cell r="AH80">
            <v>1143243</v>
          </cell>
          <cell r="AI80">
            <v>1128483</v>
          </cell>
          <cell r="AJ80">
            <v>0</v>
          </cell>
          <cell r="AK80">
            <v>5701455</v>
          </cell>
          <cell r="AL80">
            <v>38131524</v>
          </cell>
          <cell r="AM80">
            <v>3845087.1008122903</v>
          </cell>
          <cell r="AN80">
            <v>-1037458.53</v>
          </cell>
          <cell r="AO80">
            <v>7778773.4867689414</v>
          </cell>
          <cell r="AP80">
            <v>0</v>
          </cell>
          <cell r="AQ80">
            <v>-2077320.47</v>
          </cell>
          <cell r="AR80">
            <v>0</v>
          </cell>
          <cell r="AS80">
            <v>0</v>
          </cell>
          <cell r="AT80">
            <v>46640605.587581232</v>
          </cell>
          <cell r="AU80">
            <v>1.1501163195576055E-3</v>
          </cell>
          <cell r="AV80">
            <v>0</v>
          </cell>
          <cell r="AW80">
            <v>0</v>
          </cell>
          <cell r="AY80">
            <v>0</v>
          </cell>
          <cell r="AZ80">
            <v>0</v>
          </cell>
          <cell r="BA80">
            <v>0</v>
          </cell>
          <cell r="BB80">
            <v>0</v>
          </cell>
          <cell r="BC80">
            <v>0</v>
          </cell>
          <cell r="BD80">
            <v>0</v>
          </cell>
          <cell r="BE80">
            <v>0</v>
          </cell>
          <cell r="BF80">
            <v>0</v>
          </cell>
          <cell r="BG80">
            <v>0</v>
          </cell>
          <cell r="BH80">
            <v>0</v>
          </cell>
          <cell r="BJ80">
            <v>0</v>
          </cell>
          <cell r="BL80">
            <v>0</v>
          </cell>
          <cell r="BM80">
            <v>0</v>
          </cell>
          <cell r="BN80">
            <v>0</v>
          </cell>
          <cell r="BO80">
            <v>0</v>
          </cell>
          <cell r="BQ80">
            <v>0</v>
          </cell>
          <cell r="BR80">
            <v>0</v>
          </cell>
          <cell r="BS80">
            <v>0</v>
          </cell>
          <cell r="BT80">
            <v>0</v>
          </cell>
          <cell r="CB80">
            <v>0</v>
          </cell>
          <cell r="CC80">
            <v>0</v>
          </cell>
          <cell r="CD80">
            <v>0</v>
          </cell>
          <cell r="CE80">
            <v>0</v>
          </cell>
          <cell r="CF80">
            <v>0</v>
          </cell>
          <cell r="CI80">
            <v>0</v>
          </cell>
          <cell r="CJ80">
            <v>0</v>
          </cell>
          <cell r="CK80">
            <v>0</v>
          </cell>
          <cell r="CV80">
            <v>1.0721140620536731E-3</v>
          </cell>
          <cell r="DG80">
            <v>46640606</v>
          </cell>
          <cell r="DR80">
            <v>17862843.95999999</v>
          </cell>
          <cell r="EC80">
            <v>2.6110403306686014</v>
          </cell>
          <cell r="EN80">
            <v>2.4095909012463064E-2</v>
          </cell>
        </row>
        <row r="81">
          <cell r="B81">
            <v>30405</v>
          </cell>
          <cell r="C81" t="str">
            <v>South Piedmont Community College</v>
          </cell>
          <cell r="D81">
            <v>7.4381911771139971E-4</v>
          </cell>
          <cell r="E81">
            <v>1286980.5092005793</v>
          </cell>
          <cell r="F81">
            <v>1003488.2177656712</v>
          </cell>
          <cell r="G81">
            <v>-22799</v>
          </cell>
          <cell r="H81">
            <v>-359113.29272924847</v>
          </cell>
          <cell r="I81">
            <v>-14860.785627377258</v>
          </cell>
          <cell r="J81">
            <v>1086031.499485095</v>
          </cell>
          <cell r="K81">
            <v>0</v>
          </cell>
          <cell r="L81">
            <v>-57061.897889174972</v>
          </cell>
          <cell r="M81">
            <v>10240.16646757948</v>
          </cell>
          <cell r="N81">
            <v>386.0272457098622</v>
          </cell>
          <cell r="O81">
            <v>-174.20987555918691</v>
          </cell>
          <cell r="P81">
            <v>0</v>
          </cell>
          <cell r="Q81">
            <v>0</v>
          </cell>
          <cell r="R81">
            <v>0</v>
          </cell>
          <cell r="S81">
            <v>2933117.2340432755</v>
          </cell>
          <cell r="T81">
            <v>0</v>
          </cell>
          <cell r="U81">
            <v>5430157.4974254742</v>
          </cell>
          <cell r="V81">
            <v>40960.66587031792</v>
          </cell>
          <cell r="W81">
            <v>0</v>
          </cell>
          <cell r="X81">
            <v>5471118.1632957924</v>
          </cell>
          <cell r="Y81">
            <v>113993.44000000006</v>
          </cell>
          <cell r="Z81">
            <v>0</v>
          </cell>
          <cell r="AA81">
            <v>0</v>
          </cell>
          <cell r="AB81">
            <v>74303.928136886287</v>
          </cell>
          <cell r="AC81">
            <v>188297.36813688633</v>
          </cell>
          <cell r="AD81" t="str">
            <v>N/A</v>
          </cell>
          <cell r="AE81">
            <v>1058612</v>
          </cell>
          <cell r="AF81">
            <v>1058612</v>
          </cell>
          <cell r="AG81">
            <v>1058612</v>
          </cell>
          <cell r="AH81">
            <v>1058612</v>
          </cell>
          <cell r="AI81">
            <v>1048372</v>
          </cell>
          <cell r="AJ81">
            <v>0</v>
          </cell>
          <cell r="AK81">
            <v>5282820</v>
          </cell>
          <cell r="AL81">
            <v>24774399</v>
          </cell>
          <cell r="AM81">
            <v>2933117.2340432755</v>
          </cell>
          <cell r="AN81">
            <v>-631676.55999999994</v>
          </cell>
          <cell r="AO81">
            <v>5396814.2351589063</v>
          </cell>
          <cell r="AP81">
            <v>0</v>
          </cell>
          <cell r="AQ81">
            <v>-113993.44000000006</v>
          </cell>
          <cell r="AR81">
            <v>0</v>
          </cell>
          <cell r="AS81">
            <v>0</v>
          </cell>
          <cell r="AT81">
            <v>32358660.469202179</v>
          </cell>
          <cell r="AU81">
            <v>7.4724107298122365E-4</v>
          </cell>
          <cell r="AV81">
            <v>0</v>
          </cell>
          <cell r="AW81">
            <v>0</v>
          </cell>
          <cell r="AY81">
            <v>0</v>
          </cell>
          <cell r="AZ81">
            <v>0</v>
          </cell>
          <cell r="BA81">
            <v>0</v>
          </cell>
          <cell r="BB81">
            <v>0</v>
          </cell>
          <cell r="BC81">
            <v>0</v>
          </cell>
          <cell r="BD81">
            <v>0</v>
          </cell>
          <cell r="BE81">
            <v>0</v>
          </cell>
          <cell r="BF81">
            <v>0</v>
          </cell>
          <cell r="BG81">
            <v>0</v>
          </cell>
          <cell r="BH81">
            <v>0</v>
          </cell>
          <cell r="BJ81">
            <v>0</v>
          </cell>
          <cell r="BL81">
            <v>0</v>
          </cell>
          <cell r="BM81">
            <v>0</v>
          </cell>
          <cell r="BN81">
            <v>0</v>
          </cell>
          <cell r="BO81">
            <v>0</v>
          </cell>
          <cell r="BQ81">
            <v>0</v>
          </cell>
          <cell r="BR81">
            <v>0</v>
          </cell>
          <cell r="BS81">
            <v>0</v>
          </cell>
          <cell r="BT81">
            <v>0</v>
          </cell>
          <cell r="CB81">
            <v>0</v>
          </cell>
          <cell r="CC81">
            <v>0</v>
          </cell>
          <cell r="CD81">
            <v>0</v>
          </cell>
          <cell r="CE81">
            <v>0</v>
          </cell>
          <cell r="CF81">
            <v>0</v>
          </cell>
          <cell r="CI81">
            <v>0</v>
          </cell>
          <cell r="CJ81">
            <v>0</v>
          </cell>
          <cell r="CK81">
            <v>0</v>
          </cell>
          <cell r="CV81">
            <v>7.4381911771139971E-4</v>
          </cell>
          <cell r="DG81">
            <v>32358660</v>
          </cell>
          <cell r="DR81">
            <v>10981955.869999997</v>
          </cell>
          <cell r="EC81">
            <v>2.9465297787615321</v>
          </cell>
          <cell r="EN81">
            <v>2.4095909012463064E-2</v>
          </cell>
        </row>
        <row r="82">
          <cell r="B82">
            <v>30500</v>
          </cell>
          <cell r="C82" t="str">
            <v>Ashe County Schools</v>
          </cell>
          <cell r="D82">
            <v>1.1303530155867918E-3</v>
          </cell>
          <cell r="E82">
            <v>1955774.2802474413</v>
          </cell>
          <cell r="F82">
            <v>1524962.0587156597</v>
          </cell>
          <cell r="G82">
            <v>25543</v>
          </cell>
          <cell r="H82">
            <v>-545730.51929986326</v>
          </cell>
          <cell r="I82">
            <v>-22583.358571878358</v>
          </cell>
          <cell r="J82">
            <v>1650399.877113038</v>
          </cell>
          <cell r="K82">
            <v>0</v>
          </cell>
          <cell r="L82">
            <v>-86714.749350070371</v>
          </cell>
          <cell r="M82">
            <v>15561.583147195051</v>
          </cell>
          <cell r="N82">
            <v>586.63060802923326</v>
          </cell>
          <cell r="O82">
            <v>-264.73997978058253</v>
          </cell>
          <cell r="P82">
            <v>0</v>
          </cell>
          <cell r="Q82">
            <v>0</v>
          </cell>
          <cell r="R82">
            <v>0</v>
          </cell>
          <cell r="S82">
            <v>4517534.0626297714</v>
          </cell>
          <cell r="T82">
            <v>127714.52000000002</v>
          </cell>
          <cell r="U82">
            <v>8251999.3855651896</v>
          </cell>
          <cell r="V82">
            <v>62246.332588780206</v>
          </cell>
          <cell r="W82">
            <v>0</v>
          </cell>
          <cell r="X82">
            <v>8441960.2381539699</v>
          </cell>
          <cell r="Y82">
            <v>0</v>
          </cell>
          <cell r="Z82">
            <v>0</v>
          </cell>
          <cell r="AA82">
            <v>0</v>
          </cell>
          <cell r="AB82">
            <v>112916.79285939179</v>
          </cell>
          <cell r="AC82">
            <v>112916.79285939179</v>
          </cell>
          <cell r="AD82" t="str">
            <v>N/A</v>
          </cell>
          <cell r="AE82">
            <v>1668921</v>
          </cell>
          <cell r="AF82">
            <v>1668921</v>
          </cell>
          <cell r="AG82">
            <v>1668921</v>
          </cell>
          <cell r="AH82">
            <v>1668921</v>
          </cell>
          <cell r="AI82">
            <v>1653360</v>
          </cell>
          <cell r="AJ82">
            <v>0</v>
          </cell>
          <cell r="AK82">
            <v>8329044</v>
          </cell>
          <cell r="AL82">
            <v>37327809</v>
          </cell>
          <cell r="AM82">
            <v>4517534.0626297714</v>
          </cell>
          <cell r="AN82">
            <v>-1000188.52</v>
          </cell>
          <cell r="AO82">
            <v>8201328.925294579</v>
          </cell>
          <cell r="AP82">
            <v>0</v>
          </cell>
          <cell r="AQ82">
            <v>127714.52000000002</v>
          </cell>
          <cell r="AR82">
            <v>0</v>
          </cell>
          <cell r="AS82">
            <v>0</v>
          </cell>
          <cell r="AT82">
            <v>49174197.987924352</v>
          </cell>
          <cell r="AU82">
            <v>1.1258748290233754E-3</v>
          </cell>
          <cell r="AV82">
            <v>0</v>
          </cell>
          <cell r="AW82">
            <v>0</v>
          </cell>
          <cell r="AY82">
            <v>0</v>
          </cell>
          <cell r="AZ82">
            <v>0</v>
          </cell>
          <cell r="BA82">
            <v>0</v>
          </cell>
          <cell r="BB82">
            <v>0</v>
          </cell>
          <cell r="BC82">
            <v>0</v>
          </cell>
          <cell r="BD82">
            <v>0</v>
          </cell>
          <cell r="BE82">
            <v>0</v>
          </cell>
          <cell r="BF82">
            <v>0</v>
          </cell>
          <cell r="BG82">
            <v>0</v>
          </cell>
          <cell r="BH82">
            <v>0</v>
          </cell>
          <cell r="BJ82">
            <v>0</v>
          </cell>
          <cell r="BL82">
            <v>0</v>
          </cell>
          <cell r="BM82">
            <v>0</v>
          </cell>
          <cell r="BN82">
            <v>0</v>
          </cell>
          <cell r="BO82">
            <v>0</v>
          </cell>
          <cell r="BQ82">
            <v>0</v>
          </cell>
          <cell r="BR82">
            <v>0</v>
          </cell>
          <cell r="BS82">
            <v>0</v>
          </cell>
          <cell r="BT82">
            <v>0</v>
          </cell>
          <cell r="CB82">
            <v>0</v>
          </cell>
          <cell r="CC82">
            <v>0</v>
          </cell>
          <cell r="CD82">
            <v>0</v>
          </cell>
          <cell r="CE82">
            <v>0</v>
          </cell>
          <cell r="CF82">
            <v>0</v>
          </cell>
          <cell r="CI82">
            <v>0</v>
          </cell>
          <cell r="CJ82">
            <v>0</v>
          </cell>
          <cell r="CK82">
            <v>0</v>
          </cell>
          <cell r="CV82">
            <v>1.1303530155867918E-3</v>
          </cell>
          <cell r="DG82">
            <v>49174198</v>
          </cell>
          <cell r="DR82">
            <v>17406464.430000011</v>
          </cell>
          <cell r="EC82">
            <v>2.825053772278324</v>
          </cell>
          <cell r="EN82">
            <v>2.4095909012463064E-2</v>
          </cell>
        </row>
        <row r="83">
          <cell r="B83">
            <v>30600</v>
          </cell>
          <cell r="C83" t="str">
            <v>Avery County Schools</v>
          </cell>
          <cell r="D83">
            <v>8.8065594579946104E-4</v>
          </cell>
          <cell r="E83">
            <v>1523740.1278992938</v>
          </cell>
          <cell r="F83">
            <v>1188095.1221502849</v>
          </cell>
          <cell r="G83">
            <v>37218</v>
          </cell>
          <cell r="H83">
            <v>-425177.63919633668</v>
          </cell>
          <cell r="I83">
            <v>-17594.652934261871</v>
          </cell>
          <cell r="J83">
            <v>1285823.4946821334</v>
          </cell>
          <cell r="K83">
            <v>0</v>
          </cell>
          <cell r="L83">
            <v>-67559.300988820905</v>
          </cell>
          <cell r="M83">
            <v>12124.000675590491</v>
          </cell>
          <cell r="N83">
            <v>457.04282275100428</v>
          </cell>
          <cell r="O83">
            <v>-206.25842906569176</v>
          </cell>
          <cell r="P83">
            <v>0</v>
          </cell>
          <cell r="Q83">
            <v>0</v>
          </cell>
          <cell r="R83">
            <v>0</v>
          </cell>
          <cell r="S83">
            <v>3536919.9366815686</v>
          </cell>
          <cell r="T83">
            <v>186087.03999999992</v>
          </cell>
          <cell r="U83">
            <v>6429117.4734106669</v>
          </cell>
          <cell r="V83">
            <v>48496.002702361962</v>
          </cell>
          <cell r="W83">
            <v>0</v>
          </cell>
          <cell r="X83">
            <v>6663700.5161130289</v>
          </cell>
          <cell r="Y83">
            <v>0</v>
          </cell>
          <cell r="Z83">
            <v>0</v>
          </cell>
          <cell r="AA83">
            <v>0</v>
          </cell>
          <cell r="AB83">
            <v>87973.264671309356</v>
          </cell>
          <cell r="AC83">
            <v>87973.264671309356</v>
          </cell>
          <cell r="AD83" t="str">
            <v>N/A</v>
          </cell>
          <cell r="AE83">
            <v>1317571</v>
          </cell>
          <cell r="AF83">
            <v>1317571</v>
          </cell>
          <cell r="AG83">
            <v>1317571</v>
          </cell>
          <cell r="AH83">
            <v>1317571</v>
          </cell>
          <cell r="AI83">
            <v>1305447</v>
          </cell>
          <cell r="AJ83">
            <v>0</v>
          </cell>
          <cell r="AK83">
            <v>6575731</v>
          </cell>
          <cell r="AL83">
            <v>28980028</v>
          </cell>
          <cell r="AM83">
            <v>3536919.9366815686</v>
          </cell>
          <cell r="AN83">
            <v>-781149.03999999992</v>
          </cell>
          <cell r="AO83">
            <v>6389640.2114417199</v>
          </cell>
          <cell r="AP83">
            <v>0</v>
          </cell>
          <cell r="AQ83">
            <v>186087.03999999992</v>
          </cell>
          <cell r="AR83">
            <v>0</v>
          </cell>
          <cell r="AS83">
            <v>0</v>
          </cell>
          <cell r="AT83">
            <v>38311526.148123287</v>
          </cell>
          <cell r="AU83">
            <v>8.7409051284065005E-4</v>
          </cell>
          <cell r="AV83">
            <v>0</v>
          </cell>
          <cell r="AW83">
            <v>0</v>
          </cell>
          <cell r="AY83">
            <v>0</v>
          </cell>
          <cell r="AZ83">
            <v>0</v>
          </cell>
          <cell r="BA83">
            <v>0</v>
          </cell>
          <cell r="BB83">
            <v>0</v>
          </cell>
          <cell r="BC83">
            <v>0</v>
          </cell>
          <cell r="BD83">
            <v>0</v>
          </cell>
          <cell r="BE83">
            <v>0</v>
          </cell>
          <cell r="BF83">
            <v>0</v>
          </cell>
          <cell r="BG83">
            <v>0</v>
          </cell>
          <cell r="BH83">
            <v>0</v>
          </cell>
          <cell r="BJ83">
            <v>0</v>
          </cell>
          <cell r="BL83">
            <v>0</v>
          </cell>
          <cell r="BM83">
            <v>0</v>
          </cell>
          <cell r="BN83">
            <v>0</v>
          </cell>
          <cell r="BO83">
            <v>0</v>
          </cell>
          <cell r="BQ83">
            <v>0</v>
          </cell>
          <cell r="BR83">
            <v>0</v>
          </cell>
          <cell r="BS83">
            <v>0</v>
          </cell>
          <cell r="BT83">
            <v>0</v>
          </cell>
          <cell r="CB83">
            <v>0</v>
          </cell>
          <cell r="CC83">
            <v>0</v>
          </cell>
          <cell r="CD83">
            <v>0</v>
          </cell>
          <cell r="CE83">
            <v>0</v>
          </cell>
          <cell r="CF83">
            <v>0</v>
          </cell>
          <cell r="CI83">
            <v>0</v>
          </cell>
          <cell r="CJ83">
            <v>0</v>
          </cell>
          <cell r="CK83">
            <v>0</v>
          </cell>
          <cell r="CV83">
            <v>8.8065594579946104E-4</v>
          </cell>
          <cell r="DG83">
            <v>38311527</v>
          </cell>
          <cell r="DR83">
            <v>13750307.159999993</v>
          </cell>
          <cell r="EC83">
            <v>2.7862306313744938</v>
          </cell>
          <cell r="EN83">
            <v>2.4095909012463064E-2</v>
          </cell>
        </row>
        <row r="84">
          <cell r="B84">
            <v>30601</v>
          </cell>
          <cell r="C84" t="str">
            <v>Grandfather Academy</v>
          </cell>
          <cell r="D84">
            <v>2.2070122610231471E-5</v>
          </cell>
          <cell r="E84">
            <v>38186.45818411935</v>
          </cell>
          <cell r="F84">
            <v>29774.857188604896</v>
          </cell>
          <cell r="G84">
            <v>-4378</v>
          </cell>
          <cell r="H84">
            <v>-10655.378724177408</v>
          </cell>
          <cell r="I84">
            <v>-440.93967615368149</v>
          </cell>
          <cell r="J84">
            <v>32224.028371249049</v>
          </cell>
          <cell r="K84">
            <v>0</v>
          </cell>
          <cell r="L84">
            <v>-1693.1039452998173</v>
          </cell>
          <cell r="M84">
            <v>303.83963534579141</v>
          </cell>
          <cell r="N84">
            <v>11.453952232257929</v>
          </cell>
          <cell r="O84">
            <v>-5.1690434165423129</v>
          </cell>
          <cell r="P84">
            <v>0</v>
          </cell>
          <cell r="Q84">
            <v>0</v>
          </cell>
          <cell r="R84">
            <v>0</v>
          </cell>
          <cell r="S84">
            <v>83328.045942503886</v>
          </cell>
          <cell r="T84">
            <v>0</v>
          </cell>
          <cell r="U84">
            <v>161120.14185624526</v>
          </cell>
          <cell r="V84">
            <v>1215.3585413831656</v>
          </cell>
          <cell r="W84">
            <v>0</v>
          </cell>
          <cell r="X84">
            <v>162335.50039762844</v>
          </cell>
          <cell r="Y84">
            <v>21891.999999999996</v>
          </cell>
          <cell r="Z84">
            <v>0</v>
          </cell>
          <cell r="AA84">
            <v>0</v>
          </cell>
          <cell r="AB84">
            <v>2204.6983807684073</v>
          </cell>
          <cell r="AC84">
            <v>24096.698380768405</v>
          </cell>
          <cell r="AD84" t="str">
            <v>N/A</v>
          </cell>
          <cell r="AE84">
            <v>27709</v>
          </cell>
          <cell r="AF84">
            <v>27708</v>
          </cell>
          <cell r="AG84">
            <v>27708</v>
          </cell>
          <cell r="AH84">
            <v>27708</v>
          </cell>
          <cell r="AI84">
            <v>27404</v>
          </cell>
          <cell r="AJ84">
            <v>0</v>
          </cell>
          <cell r="AK84">
            <v>138237</v>
          </cell>
          <cell r="AL84">
            <v>755300</v>
          </cell>
          <cell r="AM84">
            <v>83328.045942503886</v>
          </cell>
          <cell r="AN84">
            <v>-16741.000000000004</v>
          </cell>
          <cell r="AO84">
            <v>160130.80201686002</v>
          </cell>
          <cell r="AP84">
            <v>0</v>
          </cell>
          <cell r="AQ84">
            <v>-21891.999999999996</v>
          </cell>
          <cell r="AR84">
            <v>0</v>
          </cell>
          <cell r="AS84">
            <v>0</v>
          </cell>
          <cell r="AT84">
            <v>960125.84795936383</v>
          </cell>
          <cell r="AU84">
            <v>2.2781225901468688E-5</v>
          </cell>
          <cell r="AV84">
            <v>0</v>
          </cell>
          <cell r="AW84">
            <v>0</v>
          </cell>
          <cell r="AY84">
            <v>0</v>
          </cell>
          <cell r="AZ84">
            <v>0</v>
          </cell>
          <cell r="BA84">
            <v>0</v>
          </cell>
          <cell r="BB84">
            <v>0</v>
          </cell>
          <cell r="BC84">
            <v>0</v>
          </cell>
          <cell r="BD84">
            <v>0</v>
          </cell>
          <cell r="BE84">
            <v>0</v>
          </cell>
          <cell r="BF84">
            <v>0</v>
          </cell>
          <cell r="BG84">
            <v>0</v>
          </cell>
          <cell r="BH84">
            <v>0</v>
          </cell>
          <cell r="BJ84">
            <v>0</v>
          </cell>
          <cell r="BL84">
            <v>0</v>
          </cell>
          <cell r="BM84">
            <v>0</v>
          </cell>
          <cell r="BN84">
            <v>0</v>
          </cell>
          <cell r="BO84">
            <v>0</v>
          </cell>
          <cell r="BQ84">
            <v>0</v>
          </cell>
          <cell r="BR84">
            <v>0</v>
          </cell>
          <cell r="BS84">
            <v>0</v>
          </cell>
          <cell r="BT84">
            <v>0</v>
          </cell>
          <cell r="CB84">
            <v>0</v>
          </cell>
          <cell r="CC84">
            <v>0</v>
          </cell>
          <cell r="CD84">
            <v>0</v>
          </cell>
          <cell r="CE84">
            <v>0</v>
          </cell>
          <cell r="CF84">
            <v>0</v>
          </cell>
          <cell r="CI84">
            <v>0</v>
          </cell>
          <cell r="CJ84">
            <v>0</v>
          </cell>
          <cell r="CK84">
            <v>0</v>
          </cell>
          <cell r="CV84">
            <v>2.2070122610231471E-5</v>
          </cell>
          <cell r="DG84">
            <v>960125</v>
          </cell>
          <cell r="DR84">
            <v>283559.88999999996</v>
          </cell>
          <cell r="EC84">
            <v>3.385969009932964</v>
          </cell>
          <cell r="EN84">
            <v>2.4095909012463064E-2</v>
          </cell>
        </row>
        <row r="85">
          <cell r="B85">
            <v>30700</v>
          </cell>
          <cell r="C85" t="str">
            <v>Beaufort County Schools</v>
          </cell>
          <cell r="D85">
            <v>2.2552872815913899E-3</v>
          </cell>
          <cell r="E85">
            <v>3902172.8602332659</v>
          </cell>
          <cell r="F85">
            <v>3042613.668921358</v>
          </cell>
          <cell r="G85">
            <v>-424220</v>
          </cell>
          <cell r="H85">
            <v>-1088844.8850771817</v>
          </cell>
          <cell r="I85">
            <v>-45058.455774840593</v>
          </cell>
          <cell r="J85">
            <v>3292887.9748781733</v>
          </cell>
          <cell r="K85">
            <v>0</v>
          </cell>
          <cell r="L85">
            <v>-173013.80067896389</v>
          </cell>
          <cell r="M85">
            <v>31048.566305701293</v>
          </cell>
          <cell r="N85">
            <v>1170.4489934002995</v>
          </cell>
          <cell r="O85">
            <v>-528.21083422151946</v>
          </cell>
          <cell r="P85">
            <v>0</v>
          </cell>
          <cell r="Q85">
            <v>0</v>
          </cell>
          <cell r="R85">
            <v>0</v>
          </cell>
          <cell r="S85">
            <v>8538228.1669666898</v>
          </cell>
          <cell r="T85">
            <v>65025.760000000242</v>
          </cell>
          <cell r="U85">
            <v>16464439.874390867</v>
          </cell>
          <cell r="V85">
            <v>124194.26522280517</v>
          </cell>
          <cell r="W85">
            <v>0</v>
          </cell>
          <cell r="X85">
            <v>16653659.899613671</v>
          </cell>
          <cell r="Y85">
            <v>2186127</v>
          </cell>
          <cell r="Z85">
            <v>0</v>
          </cell>
          <cell r="AA85">
            <v>0</v>
          </cell>
          <cell r="AB85">
            <v>225292.27887420295</v>
          </cell>
          <cell r="AC85">
            <v>2411419.2788742031</v>
          </cell>
          <cell r="AD85" t="str">
            <v>N/A</v>
          </cell>
          <cell r="AE85">
            <v>2854658</v>
          </cell>
          <cell r="AF85">
            <v>2854657</v>
          </cell>
          <cell r="AG85">
            <v>2854657</v>
          </cell>
          <cell r="AH85">
            <v>2854657</v>
          </cell>
          <cell r="AI85">
            <v>2823609</v>
          </cell>
          <cell r="AJ85">
            <v>0</v>
          </cell>
          <cell r="AK85">
            <v>14242238</v>
          </cell>
          <cell r="AL85">
            <v>77396259</v>
          </cell>
          <cell r="AM85">
            <v>8538228.1669666898</v>
          </cell>
          <cell r="AN85">
            <v>-2064064.7600000002</v>
          </cell>
          <cell r="AO85">
            <v>16363341.86073947</v>
          </cell>
          <cell r="AP85">
            <v>0</v>
          </cell>
          <cell r="AQ85">
            <v>-2121101.2399999998</v>
          </cell>
          <cell r="AR85">
            <v>0</v>
          </cell>
          <cell r="AS85">
            <v>0</v>
          </cell>
          <cell r="AT85">
            <v>98112663.027706161</v>
          </cell>
          <cell r="AU85">
            <v>2.3344123720872964E-3</v>
          </cell>
          <cell r="AV85">
            <v>0</v>
          </cell>
          <cell r="AW85">
            <v>0</v>
          </cell>
          <cell r="AY85">
            <v>0</v>
          </cell>
          <cell r="AZ85">
            <v>0</v>
          </cell>
          <cell r="BA85">
            <v>0</v>
          </cell>
          <cell r="BB85">
            <v>0</v>
          </cell>
          <cell r="BC85">
            <v>0</v>
          </cell>
          <cell r="BD85">
            <v>0</v>
          </cell>
          <cell r="BE85">
            <v>0</v>
          </cell>
          <cell r="BF85">
            <v>0</v>
          </cell>
          <cell r="BG85">
            <v>0</v>
          </cell>
          <cell r="BH85">
            <v>0</v>
          </cell>
          <cell r="BJ85">
            <v>0</v>
          </cell>
          <cell r="BL85">
            <v>0</v>
          </cell>
          <cell r="BM85">
            <v>0</v>
          </cell>
          <cell r="BN85">
            <v>0</v>
          </cell>
          <cell r="BO85">
            <v>0</v>
          </cell>
          <cell r="BQ85">
            <v>0</v>
          </cell>
          <cell r="BR85">
            <v>0</v>
          </cell>
          <cell r="BS85">
            <v>0</v>
          </cell>
          <cell r="BT85">
            <v>0</v>
          </cell>
          <cell r="CB85">
            <v>0</v>
          </cell>
          <cell r="CC85">
            <v>0</v>
          </cell>
          <cell r="CD85">
            <v>0</v>
          </cell>
          <cell r="CE85">
            <v>0</v>
          </cell>
          <cell r="CF85">
            <v>0</v>
          </cell>
          <cell r="CI85">
            <v>0</v>
          </cell>
          <cell r="CJ85">
            <v>0</v>
          </cell>
          <cell r="CK85">
            <v>0</v>
          </cell>
          <cell r="CV85">
            <v>2.2552872815913899E-3</v>
          </cell>
          <cell r="DG85">
            <v>98112662</v>
          </cell>
          <cell r="DR85">
            <v>35413191.710000023</v>
          </cell>
          <cell r="EC85">
            <v>2.7705117009347342</v>
          </cell>
          <cell r="EN85">
            <v>2.4095909012463064E-2</v>
          </cell>
        </row>
        <row r="86">
          <cell r="B86">
            <v>30705</v>
          </cell>
          <cell r="C86" t="str">
            <v>Beaufort County Community College</v>
          </cell>
          <cell r="D86">
            <v>4.4830303929421523E-4</v>
          </cell>
          <cell r="E86">
            <v>775668.78835036152</v>
          </cell>
          <cell r="F86">
            <v>604806.74294100772</v>
          </cell>
          <cell r="G86">
            <v>65992</v>
          </cell>
          <cell r="H86">
            <v>-216439.15402015747</v>
          </cell>
          <cell r="I86">
            <v>-8956.6605703161167</v>
          </cell>
          <cell r="J86">
            <v>654555.94027542463</v>
          </cell>
          <cell r="K86">
            <v>0</v>
          </cell>
          <cell r="L86">
            <v>-34391.455721549079</v>
          </cell>
          <cell r="M86">
            <v>6171.793169849353</v>
          </cell>
          <cell r="N86">
            <v>232.66031133291182</v>
          </cell>
          <cell r="O86">
            <v>-104.99705483309815</v>
          </cell>
          <cell r="P86">
            <v>0</v>
          </cell>
          <cell r="Q86">
            <v>0</v>
          </cell>
          <cell r="R86">
            <v>0</v>
          </cell>
          <cell r="S86">
            <v>1847535.6576811208</v>
          </cell>
          <cell r="T86">
            <v>329958.42999999993</v>
          </cell>
          <cell r="U86">
            <v>3272779.7013771231</v>
          </cell>
          <cell r="V86">
            <v>24687.172679397412</v>
          </cell>
          <cell r="W86">
            <v>0</v>
          </cell>
          <cell r="X86">
            <v>3627425.3040565206</v>
          </cell>
          <cell r="Y86">
            <v>0</v>
          </cell>
          <cell r="Z86">
            <v>0</v>
          </cell>
          <cell r="AA86">
            <v>0</v>
          </cell>
          <cell r="AB86">
            <v>44783.302851580578</v>
          </cell>
          <cell r="AC86">
            <v>44783.302851580578</v>
          </cell>
          <cell r="AD86" t="str">
            <v>N/A</v>
          </cell>
          <cell r="AE86">
            <v>717763</v>
          </cell>
          <cell r="AF86">
            <v>717763</v>
          </cell>
          <cell r="AG86">
            <v>717763</v>
          </cell>
          <cell r="AH86">
            <v>717763</v>
          </cell>
          <cell r="AI86">
            <v>711591</v>
          </cell>
          <cell r="AJ86">
            <v>0</v>
          </cell>
          <cell r="AK86">
            <v>3582643</v>
          </cell>
          <cell r="AL86">
            <v>14501690</v>
          </cell>
          <cell r="AM86">
            <v>1847535.6576811208</v>
          </cell>
          <cell r="AN86">
            <v>-429161.42999999993</v>
          </cell>
          <cell r="AO86">
            <v>3252683.5712049403</v>
          </cell>
          <cell r="AP86">
            <v>0</v>
          </cell>
          <cell r="AQ86">
            <v>329958.42999999993</v>
          </cell>
          <cell r="AR86">
            <v>0</v>
          </cell>
          <cell r="AS86">
            <v>0</v>
          </cell>
          <cell r="AT86">
            <v>19502706.22888606</v>
          </cell>
          <cell r="AU86">
            <v>4.3739742272357111E-4</v>
          </cell>
          <cell r="AV86">
            <v>0</v>
          </cell>
          <cell r="AW86">
            <v>0</v>
          </cell>
          <cell r="AY86">
            <v>0</v>
          </cell>
          <cell r="AZ86">
            <v>0</v>
          </cell>
          <cell r="BA86">
            <v>0</v>
          </cell>
          <cell r="BB86">
            <v>0</v>
          </cell>
          <cell r="BC86">
            <v>0</v>
          </cell>
          <cell r="BD86">
            <v>0</v>
          </cell>
          <cell r="BE86">
            <v>0</v>
          </cell>
          <cell r="BF86">
            <v>0</v>
          </cell>
          <cell r="BG86">
            <v>0</v>
          </cell>
          <cell r="BH86">
            <v>0</v>
          </cell>
          <cell r="BJ86">
            <v>0</v>
          </cell>
          <cell r="BL86">
            <v>0</v>
          </cell>
          <cell r="BM86">
            <v>0</v>
          </cell>
          <cell r="BN86">
            <v>0</v>
          </cell>
          <cell r="BO86">
            <v>0</v>
          </cell>
          <cell r="BQ86">
            <v>0</v>
          </cell>
          <cell r="BR86">
            <v>0</v>
          </cell>
          <cell r="BS86">
            <v>0</v>
          </cell>
          <cell r="BT86">
            <v>0</v>
          </cell>
          <cell r="CB86">
            <v>0</v>
          </cell>
          <cell r="CC86">
            <v>0</v>
          </cell>
          <cell r="CD86">
            <v>0</v>
          </cell>
          <cell r="CE86">
            <v>0</v>
          </cell>
          <cell r="CF86">
            <v>0</v>
          </cell>
          <cell r="CI86">
            <v>0</v>
          </cell>
          <cell r="CJ86">
            <v>0</v>
          </cell>
          <cell r="CK86">
            <v>0</v>
          </cell>
          <cell r="CV86">
            <v>4.4830303929421523E-4</v>
          </cell>
          <cell r="DG86">
            <v>19502706</v>
          </cell>
          <cell r="DR86">
            <v>7293056.6900000023</v>
          </cell>
          <cell r="EC86">
            <v>2.6741470454688039</v>
          </cell>
          <cell r="EN86">
            <v>2.4095909012463064E-2</v>
          </cell>
        </row>
        <row r="87">
          <cell r="B87">
            <v>30800</v>
          </cell>
          <cell r="C87" t="str">
            <v>Bertie County Schools</v>
          </cell>
          <cell r="D87">
            <v>8.7643852311274301E-4</v>
          </cell>
          <cell r="E87">
            <v>1516443.003279041</v>
          </cell>
          <cell r="F87">
            <v>1182405.3867365452</v>
          </cell>
          <cell r="G87">
            <v>-427061</v>
          </cell>
          <cell r="H87">
            <v>-423141.48213638068</v>
          </cell>
          <cell r="I87">
            <v>-17510.392913303829</v>
          </cell>
          <cell r="J87">
            <v>1279665.742380053</v>
          </cell>
          <cell r="K87">
            <v>0</v>
          </cell>
          <cell r="L87">
            <v>-67235.762460468133</v>
          </cell>
          <cell r="M87">
            <v>12065.939368280968</v>
          </cell>
          <cell r="N87">
            <v>454.85406472505139</v>
          </cell>
          <cell r="O87">
            <v>-205.27066649823553</v>
          </cell>
          <cell r="P87">
            <v>0</v>
          </cell>
          <cell r="Q87">
            <v>0</v>
          </cell>
          <cell r="R87">
            <v>0</v>
          </cell>
          <cell r="S87">
            <v>3055881.0176519942</v>
          </cell>
          <cell r="T87">
            <v>57022.130000000005</v>
          </cell>
          <cell r="U87">
            <v>6398328.711900265</v>
          </cell>
          <cell r="V87">
            <v>48263.757473123871</v>
          </cell>
          <cell r="W87">
            <v>0</v>
          </cell>
          <cell r="X87">
            <v>6503614.599373389</v>
          </cell>
          <cell r="Y87">
            <v>2192329</v>
          </cell>
          <cell r="Z87">
            <v>0</v>
          </cell>
          <cell r="AA87">
            <v>0</v>
          </cell>
          <cell r="AB87">
            <v>87551.964566519149</v>
          </cell>
          <cell r="AC87">
            <v>2279880.964566519</v>
          </cell>
          <cell r="AD87" t="str">
            <v>N/A</v>
          </cell>
          <cell r="AE87">
            <v>847159</v>
          </cell>
          <cell r="AF87">
            <v>847160</v>
          </cell>
          <cell r="AG87">
            <v>847160</v>
          </cell>
          <cell r="AH87">
            <v>847160</v>
          </cell>
          <cell r="AI87">
            <v>835094</v>
          </cell>
          <cell r="AJ87">
            <v>0</v>
          </cell>
          <cell r="AK87">
            <v>4223733</v>
          </cell>
          <cell r="AL87">
            <v>31688670</v>
          </cell>
          <cell r="AM87">
            <v>3055881.0176519942</v>
          </cell>
          <cell r="AN87">
            <v>-840230.13</v>
          </cell>
          <cell r="AO87">
            <v>6359040.5048068697</v>
          </cell>
          <cell r="AP87">
            <v>0</v>
          </cell>
          <cell r="AQ87">
            <v>-2135306.87</v>
          </cell>
          <cell r="AR87">
            <v>0</v>
          </cell>
          <cell r="AS87">
            <v>0</v>
          </cell>
          <cell r="AT87">
            <v>38128054.522458866</v>
          </cell>
          <cell r="AU87">
            <v>9.5578810444558906E-4</v>
          </cell>
          <cell r="AV87">
            <v>0</v>
          </cell>
          <cell r="AW87">
            <v>0</v>
          </cell>
          <cell r="AY87">
            <v>0</v>
          </cell>
          <cell r="AZ87">
            <v>0</v>
          </cell>
          <cell r="BA87">
            <v>0</v>
          </cell>
          <cell r="BB87">
            <v>0</v>
          </cell>
          <cell r="BC87">
            <v>0</v>
          </cell>
          <cell r="BD87">
            <v>0</v>
          </cell>
          <cell r="BE87">
            <v>0</v>
          </cell>
          <cell r="BF87">
            <v>0</v>
          </cell>
          <cell r="BG87">
            <v>0</v>
          </cell>
          <cell r="BH87">
            <v>0</v>
          </cell>
          <cell r="BJ87">
            <v>0</v>
          </cell>
          <cell r="BL87">
            <v>0</v>
          </cell>
          <cell r="BM87">
            <v>0</v>
          </cell>
          <cell r="BN87">
            <v>0</v>
          </cell>
          <cell r="BO87">
            <v>0</v>
          </cell>
          <cell r="BQ87">
            <v>0</v>
          </cell>
          <cell r="BR87">
            <v>0</v>
          </cell>
          <cell r="BS87">
            <v>0</v>
          </cell>
          <cell r="BT87">
            <v>0</v>
          </cell>
          <cell r="CB87">
            <v>0</v>
          </cell>
          <cell r="CC87">
            <v>0</v>
          </cell>
          <cell r="CD87">
            <v>0</v>
          </cell>
          <cell r="CE87">
            <v>0</v>
          </cell>
          <cell r="CF87">
            <v>0</v>
          </cell>
          <cell r="CI87">
            <v>0</v>
          </cell>
          <cell r="CJ87">
            <v>0</v>
          </cell>
          <cell r="CK87">
            <v>0</v>
          </cell>
          <cell r="CV87">
            <v>8.7643852311274301E-4</v>
          </cell>
          <cell r="DG87">
            <v>38128055</v>
          </cell>
          <cell r="DR87">
            <v>14297118.020000001</v>
          </cell>
          <cell r="EC87">
            <v>2.6668350185445275</v>
          </cell>
          <cell r="EN87">
            <v>2.4095909012463064E-2</v>
          </cell>
        </row>
        <row r="88">
          <cell r="B88">
            <v>30900</v>
          </cell>
          <cell r="C88" t="str">
            <v>Bladen County Schools</v>
          </cell>
          <cell r="D88">
            <v>1.4630847682845518E-3</v>
          </cell>
          <cell r="E88">
            <v>2531477.7951446106</v>
          </cell>
          <cell r="F88">
            <v>1973851.2920766564</v>
          </cell>
          <cell r="G88">
            <v>-356090</v>
          </cell>
          <cell r="H88">
            <v>-706372.25660087715</v>
          </cell>
          <cell r="I88">
            <v>-29231.016759902279</v>
          </cell>
          <cell r="J88">
            <v>2136213.1020009439</v>
          </cell>
          <cell r="K88">
            <v>0</v>
          </cell>
          <cell r="L88">
            <v>-112240.18267765587</v>
          </cell>
          <cell r="M88">
            <v>20142.305066736448</v>
          </cell>
          <cell r="N88">
            <v>759.31173304431672</v>
          </cell>
          <cell r="O88">
            <v>-342.66908357992486</v>
          </cell>
          <cell r="P88">
            <v>0</v>
          </cell>
          <cell r="Q88">
            <v>0</v>
          </cell>
          <cell r="R88">
            <v>0</v>
          </cell>
          <cell r="S88">
            <v>5458167.6808999768</v>
          </cell>
          <cell r="T88">
            <v>72471.319999999832</v>
          </cell>
          <cell r="U88">
            <v>10681065.51000472</v>
          </cell>
          <cell r="V88">
            <v>80569.220266945791</v>
          </cell>
          <cell r="W88">
            <v>0</v>
          </cell>
          <cell r="X88">
            <v>10834106.050271666</v>
          </cell>
          <cell r="Y88">
            <v>1852917</v>
          </cell>
          <cell r="Z88">
            <v>0</v>
          </cell>
          <cell r="AA88">
            <v>0</v>
          </cell>
          <cell r="AB88">
            <v>146155.0837995114</v>
          </cell>
          <cell r="AC88">
            <v>1999072.0837995114</v>
          </cell>
          <cell r="AD88" t="str">
            <v>N/A</v>
          </cell>
          <cell r="AE88">
            <v>1771035</v>
          </cell>
          <cell r="AF88">
            <v>1771034</v>
          </cell>
          <cell r="AG88">
            <v>1771034</v>
          </cell>
          <cell r="AH88">
            <v>1771034</v>
          </cell>
          <cell r="AI88">
            <v>1750892</v>
          </cell>
          <cell r="AJ88">
            <v>0</v>
          </cell>
          <cell r="AK88">
            <v>8835029</v>
          </cell>
          <cell r="AL88">
            <v>50731335</v>
          </cell>
          <cell r="AM88">
            <v>5458167.6808999768</v>
          </cell>
          <cell r="AN88">
            <v>-1375376.3199999998</v>
          </cell>
          <cell r="AO88">
            <v>10615479.646472154</v>
          </cell>
          <cell r="AP88">
            <v>0</v>
          </cell>
          <cell r="AQ88">
            <v>-1780445.6800000002</v>
          </cell>
          <cell r="AR88">
            <v>0</v>
          </cell>
          <cell r="AS88">
            <v>0</v>
          </cell>
          <cell r="AT88">
            <v>63649160.327372134</v>
          </cell>
          <cell r="AU88">
            <v>1.5301496183253258E-3</v>
          </cell>
          <cell r="AV88">
            <v>0</v>
          </cell>
          <cell r="AW88">
            <v>0</v>
          </cell>
          <cell r="AY88">
            <v>0</v>
          </cell>
          <cell r="AZ88">
            <v>0</v>
          </cell>
          <cell r="BA88">
            <v>0</v>
          </cell>
          <cell r="BB88">
            <v>0</v>
          </cell>
          <cell r="BC88">
            <v>0</v>
          </cell>
          <cell r="BD88">
            <v>0</v>
          </cell>
          <cell r="BE88">
            <v>0</v>
          </cell>
          <cell r="BF88">
            <v>0</v>
          </cell>
          <cell r="BG88">
            <v>0</v>
          </cell>
          <cell r="BH88">
            <v>0</v>
          </cell>
          <cell r="BJ88">
            <v>0</v>
          </cell>
          <cell r="BL88">
            <v>0</v>
          </cell>
          <cell r="BM88">
            <v>0</v>
          </cell>
          <cell r="BN88">
            <v>0</v>
          </cell>
          <cell r="BO88">
            <v>0</v>
          </cell>
          <cell r="BQ88">
            <v>0</v>
          </cell>
          <cell r="BR88">
            <v>0</v>
          </cell>
          <cell r="BS88">
            <v>0</v>
          </cell>
          <cell r="BT88">
            <v>0</v>
          </cell>
          <cell r="CB88">
            <v>0</v>
          </cell>
          <cell r="CC88">
            <v>0</v>
          </cell>
          <cell r="CD88">
            <v>0</v>
          </cell>
          <cell r="CE88">
            <v>0</v>
          </cell>
          <cell r="CF88">
            <v>0</v>
          </cell>
          <cell r="CI88">
            <v>0</v>
          </cell>
          <cell r="CJ88">
            <v>0</v>
          </cell>
          <cell r="CK88">
            <v>0</v>
          </cell>
          <cell r="CV88">
            <v>1.4630847682845518E-3</v>
          </cell>
          <cell r="DG88">
            <v>63649160</v>
          </cell>
          <cell r="DR88">
            <v>23961633.410000011</v>
          </cell>
          <cell r="EC88">
            <v>2.6562947070810718</v>
          </cell>
          <cell r="EN88">
            <v>2.4095909012463064E-2</v>
          </cell>
        </row>
        <row r="89">
          <cell r="B89">
            <v>30905</v>
          </cell>
          <cell r="C89" t="str">
            <v>Bladen Community College</v>
          </cell>
          <cell r="D89">
            <v>3.0286670498713838E-4</v>
          </cell>
          <cell r="E89">
            <v>524030.01875448454</v>
          </cell>
          <cell r="F89">
            <v>408598.22337347665</v>
          </cell>
          <cell r="G89">
            <v>-156197</v>
          </cell>
          <cell r="H89">
            <v>-146222.99574745423</v>
          </cell>
          <cell r="I89">
            <v>-6050.9834572849595</v>
          </cell>
          <cell r="J89">
            <v>442208.02333412616</v>
          </cell>
          <cell r="K89">
            <v>0</v>
          </cell>
          <cell r="L89">
            <v>-23234.343649543582</v>
          </cell>
          <cell r="M89">
            <v>4169.5694594380138</v>
          </cell>
          <cell r="N89">
            <v>157.18176255422509</v>
          </cell>
          <cell r="O89">
            <v>-70.934410975037679</v>
          </cell>
          <cell r="P89">
            <v>0</v>
          </cell>
          <cell r="Q89">
            <v>0</v>
          </cell>
          <cell r="R89">
            <v>0</v>
          </cell>
          <cell r="S89">
            <v>1047386.7594188218</v>
          </cell>
          <cell r="T89">
            <v>40756.950000000012</v>
          </cell>
          <cell r="U89">
            <v>2211040.1166706309</v>
          </cell>
          <cell r="V89">
            <v>16678.277837752055</v>
          </cell>
          <cell r="W89">
            <v>0</v>
          </cell>
          <cell r="X89">
            <v>2268475.344508383</v>
          </cell>
          <cell r="Y89">
            <v>821737</v>
          </cell>
          <cell r="Z89">
            <v>0</v>
          </cell>
          <cell r="AA89">
            <v>0</v>
          </cell>
          <cell r="AB89">
            <v>30254.917286424799</v>
          </cell>
          <cell r="AC89">
            <v>851991.91728642478</v>
          </cell>
          <cell r="AD89" t="str">
            <v>N/A</v>
          </cell>
          <cell r="AE89">
            <v>284131</v>
          </cell>
          <cell r="AF89">
            <v>284130</v>
          </cell>
          <cell r="AG89">
            <v>284130</v>
          </cell>
          <cell r="AH89">
            <v>284130</v>
          </cell>
          <cell r="AI89">
            <v>279960</v>
          </cell>
          <cell r="AJ89">
            <v>0</v>
          </cell>
          <cell r="AK89">
            <v>1416481</v>
          </cell>
          <cell r="AL89">
            <v>11027477</v>
          </cell>
          <cell r="AM89">
            <v>1047386.7594188218</v>
          </cell>
          <cell r="AN89">
            <v>-315615.95</v>
          </cell>
          <cell r="AO89">
            <v>2197463.4772219583</v>
          </cell>
          <cell r="AP89">
            <v>0</v>
          </cell>
          <cell r="AQ89">
            <v>-780980.05</v>
          </cell>
          <cell r="AR89">
            <v>0</v>
          </cell>
          <cell r="AS89">
            <v>0</v>
          </cell>
          <cell r="AT89">
            <v>13175731.236640779</v>
          </cell>
          <cell r="AU89">
            <v>3.3260882882919568E-4</v>
          </cell>
          <cell r="AV89">
            <v>0</v>
          </cell>
          <cell r="AW89">
            <v>0</v>
          </cell>
          <cell r="AY89">
            <v>0</v>
          </cell>
          <cell r="AZ89">
            <v>0</v>
          </cell>
          <cell r="BA89">
            <v>0</v>
          </cell>
          <cell r="BB89">
            <v>0</v>
          </cell>
          <cell r="BC89">
            <v>0</v>
          </cell>
          <cell r="BD89">
            <v>0</v>
          </cell>
          <cell r="BE89">
            <v>0</v>
          </cell>
          <cell r="BF89">
            <v>0</v>
          </cell>
          <cell r="BG89">
            <v>0</v>
          </cell>
          <cell r="BH89">
            <v>0</v>
          </cell>
          <cell r="BJ89">
            <v>0</v>
          </cell>
          <cell r="BL89">
            <v>0</v>
          </cell>
          <cell r="BM89">
            <v>0</v>
          </cell>
          <cell r="BN89">
            <v>0</v>
          </cell>
          <cell r="BO89">
            <v>0</v>
          </cell>
          <cell r="BQ89">
            <v>0</v>
          </cell>
          <cell r="BR89">
            <v>0</v>
          </cell>
          <cell r="BS89">
            <v>0</v>
          </cell>
          <cell r="BT89">
            <v>0</v>
          </cell>
          <cell r="CB89">
            <v>0</v>
          </cell>
          <cell r="CC89">
            <v>0</v>
          </cell>
          <cell r="CD89">
            <v>0</v>
          </cell>
          <cell r="CE89">
            <v>0</v>
          </cell>
          <cell r="CF89">
            <v>0</v>
          </cell>
          <cell r="CI89">
            <v>0</v>
          </cell>
          <cell r="CJ89">
            <v>0</v>
          </cell>
          <cell r="CK89">
            <v>0</v>
          </cell>
          <cell r="CV89">
            <v>3.0286670498713838E-4</v>
          </cell>
          <cell r="DG89">
            <v>13175731</v>
          </cell>
          <cell r="DR89">
            <v>5723122.6500000013</v>
          </cell>
          <cell r="EC89">
            <v>2.3021926674942037</v>
          </cell>
          <cell r="EN89">
            <v>2.4095909012463064E-2</v>
          </cell>
        </row>
        <row r="90">
          <cell r="B90">
            <v>31000</v>
          </cell>
          <cell r="C90" t="str">
            <v>Brunswick County Schools</v>
          </cell>
          <cell r="D90">
            <v>4.1676672482830312E-3</v>
          </cell>
          <cell r="E90">
            <v>7211036.1103342585</v>
          </cell>
          <cell r="F90">
            <v>5622610.2282606093</v>
          </cell>
          <cell r="G90">
            <v>-308896</v>
          </cell>
          <cell r="H90">
            <v>-2012135.3066801226</v>
          </cell>
          <cell r="I90">
            <v>-83265.955483287224</v>
          </cell>
          <cell r="J90">
            <v>6085105.6436060881</v>
          </cell>
          <cell r="K90">
            <v>0</v>
          </cell>
          <cell r="L90">
            <v>-319721.55231677828</v>
          </cell>
          <cell r="M90">
            <v>57376.323608364095</v>
          </cell>
          <cell r="N90">
            <v>2162.9359485139275</v>
          </cell>
          <cell r="O90">
            <v>-976.10934622036871</v>
          </cell>
          <cell r="P90">
            <v>0</v>
          </cell>
          <cell r="Q90">
            <v>0</v>
          </cell>
          <cell r="R90">
            <v>0</v>
          </cell>
          <cell r="S90">
            <v>16253296.317931427</v>
          </cell>
          <cell r="T90">
            <v>17427.320000000298</v>
          </cell>
          <cell r="U90">
            <v>30425528.218030442</v>
          </cell>
          <cell r="V90">
            <v>229505.29443345638</v>
          </cell>
          <cell r="W90">
            <v>0</v>
          </cell>
          <cell r="X90">
            <v>30672460.832463898</v>
          </cell>
          <cell r="Y90">
            <v>1561907</v>
          </cell>
          <cell r="Z90">
            <v>0</v>
          </cell>
          <cell r="AA90">
            <v>0</v>
          </cell>
          <cell r="AB90">
            <v>416329.77741643612</v>
          </cell>
          <cell r="AC90">
            <v>1978236.777416436</v>
          </cell>
          <cell r="AD90" t="str">
            <v>N/A</v>
          </cell>
          <cell r="AE90">
            <v>5750320</v>
          </cell>
          <cell r="AF90">
            <v>5750320</v>
          </cell>
          <cell r="AG90">
            <v>5750320</v>
          </cell>
          <cell r="AH90">
            <v>5750320</v>
          </cell>
          <cell r="AI90">
            <v>5692944</v>
          </cell>
          <cell r="AJ90">
            <v>0</v>
          </cell>
          <cell r="AK90">
            <v>28694224</v>
          </cell>
          <cell r="AL90">
            <v>140051183</v>
          </cell>
          <cell r="AM90">
            <v>16253296.317931427</v>
          </cell>
          <cell r="AN90">
            <v>-3691012.3200000003</v>
          </cell>
          <cell r="AO90">
            <v>30238703.735047463</v>
          </cell>
          <cell r="AP90">
            <v>0</v>
          </cell>
          <cell r="AQ90">
            <v>-1544479.6799999997</v>
          </cell>
          <cell r="AR90">
            <v>0</v>
          </cell>
          <cell r="AS90">
            <v>0</v>
          </cell>
          <cell r="AT90">
            <v>181307691.05297887</v>
          </cell>
          <cell r="AU90">
            <v>4.2241991804338845E-3</v>
          </cell>
          <cell r="AV90">
            <v>0</v>
          </cell>
          <cell r="AW90">
            <v>0</v>
          </cell>
          <cell r="AY90">
            <v>0</v>
          </cell>
          <cell r="AZ90">
            <v>0</v>
          </cell>
          <cell r="BA90">
            <v>0</v>
          </cell>
          <cell r="BB90">
            <v>0</v>
          </cell>
          <cell r="BC90">
            <v>0</v>
          </cell>
          <cell r="BD90">
            <v>0</v>
          </cell>
          <cell r="BE90">
            <v>0</v>
          </cell>
          <cell r="BF90">
            <v>0</v>
          </cell>
          <cell r="BG90">
            <v>0</v>
          </cell>
          <cell r="BH90">
            <v>0</v>
          </cell>
          <cell r="BJ90">
            <v>0</v>
          </cell>
          <cell r="BL90">
            <v>0</v>
          </cell>
          <cell r="BM90">
            <v>0</v>
          </cell>
          <cell r="BN90">
            <v>0</v>
          </cell>
          <cell r="BO90">
            <v>0</v>
          </cell>
          <cell r="BQ90">
            <v>0</v>
          </cell>
          <cell r="BR90">
            <v>0</v>
          </cell>
          <cell r="BS90">
            <v>0</v>
          </cell>
          <cell r="BT90">
            <v>0</v>
          </cell>
          <cell r="CB90">
            <v>0</v>
          </cell>
          <cell r="CC90">
            <v>0</v>
          </cell>
          <cell r="CD90">
            <v>0</v>
          </cell>
          <cell r="CE90">
            <v>0</v>
          </cell>
          <cell r="CF90">
            <v>0</v>
          </cell>
          <cell r="CI90">
            <v>0</v>
          </cell>
          <cell r="CJ90">
            <v>0</v>
          </cell>
          <cell r="CK90">
            <v>0</v>
          </cell>
          <cell r="CV90">
            <v>4.1676672482830312E-3</v>
          </cell>
          <cell r="DG90">
            <v>181307691</v>
          </cell>
          <cell r="DR90">
            <v>64067581.710000083</v>
          </cell>
          <cell r="EC90">
            <v>2.8299443518983378</v>
          </cell>
          <cell r="EN90">
            <v>2.4095909012463064E-2</v>
          </cell>
        </row>
        <row r="91">
          <cell r="B91">
            <v>31005</v>
          </cell>
          <cell r="C91" t="str">
            <v>Brunswick Community College</v>
          </cell>
          <cell r="D91">
            <v>4.139727274287298E-4</v>
          </cell>
          <cell r="E91">
            <v>716269.34405858442</v>
          </cell>
          <cell r="F91">
            <v>558491.63399996248</v>
          </cell>
          <cell r="G91">
            <v>-15265</v>
          </cell>
          <cell r="H91">
            <v>-199864.59840458122</v>
          </cell>
          <cell r="I91">
            <v>-8270.7741861052546</v>
          </cell>
          <cell r="J91">
            <v>604431.11935420416</v>
          </cell>
          <cell r="K91">
            <v>0</v>
          </cell>
          <cell r="L91">
            <v>-31757.814418809758</v>
          </cell>
          <cell r="M91">
            <v>5699.1673660542829</v>
          </cell>
          <cell r="N91">
            <v>214.8435660809622</v>
          </cell>
          <cell r="O91">
            <v>-96.956552491082803</v>
          </cell>
          <cell r="P91">
            <v>0</v>
          </cell>
          <cell r="Q91">
            <v>0</v>
          </cell>
          <cell r="R91">
            <v>0</v>
          </cell>
          <cell r="S91">
            <v>1629850.964782899</v>
          </cell>
          <cell r="T91">
            <v>54065.590000000026</v>
          </cell>
          <cell r="U91">
            <v>3022155.5967710209</v>
          </cell>
          <cell r="V91">
            <v>22796.669464217131</v>
          </cell>
          <cell r="W91">
            <v>0</v>
          </cell>
          <cell r="X91">
            <v>3099017.8562352378</v>
          </cell>
          <cell r="Y91">
            <v>130390</v>
          </cell>
          <cell r="Z91">
            <v>0</v>
          </cell>
          <cell r="AA91">
            <v>0</v>
          </cell>
          <cell r="AB91">
            <v>41353.870930526275</v>
          </cell>
          <cell r="AC91">
            <v>171743.87093052629</v>
          </cell>
          <cell r="AD91" t="str">
            <v>N/A</v>
          </cell>
          <cell r="AE91">
            <v>586595</v>
          </cell>
          <cell r="AF91">
            <v>586595</v>
          </cell>
          <cell r="AG91">
            <v>586595</v>
          </cell>
          <cell r="AH91">
            <v>586595</v>
          </cell>
          <cell r="AI91">
            <v>580895</v>
          </cell>
          <cell r="AJ91">
            <v>0</v>
          </cell>
          <cell r="AK91">
            <v>2927275</v>
          </cell>
          <cell r="AL91">
            <v>13881524</v>
          </cell>
          <cell r="AM91">
            <v>1629850.964782899</v>
          </cell>
          <cell r="AN91">
            <v>-429428.59</v>
          </cell>
          <cell r="AO91">
            <v>3003598.395304712</v>
          </cell>
          <cell r="AP91">
            <v>0</v>
          </cell>
          <cell r="AQ91">
            <v>-76324.409999999974</v>
          </cell>
          <cell r="AR91">
            <v>0</v>
          </cell>
          <cell r="AS91">
            <v>0</v>
          </cell>
          <cell r="AT91">
            <v>18009220.360087611</v>
          </cell>
          <cell r="AU91">
            <v>4.1869208054641017E-4</v>
          </cell>
          <cell r="AV91">
            <v>0</v>
          </cell>
          <cell r="AW91">
            <v>0</v>
          </cell>
          <cell r="AY91">
            <v>0</v>
          </cell>
          <cell r="AZ91">
            <v>0</v>
          </cell>
          <cell r="BA91">
            <v>0</v>
          </cell>
          <cell r="BB91">
            <v>0</v>
          </cell>
          <cell r="BC91">
            <v>0</v>
          </cell>
          <cell r="BD91">
            <v>0</v>
          </cell>
          <cell r="BE91">
            <v>0</v>
          </cell>
          <cell r="BF91">
            <v>0</v>
          </cell>
          <cell r="BG91">
            <v>0</v>
          </cell>
          <cell r="BH91">
            <v>0</v>
          </cell>
          <cell r="BJ91">
            <v>0</v>
          </cell>
          <cell r="BL91">
            <v>0</v>
          </cell>
          <cell r="BM91">
            <v>0</v>
          </cell>
          <cell r="BN91">
            <v>0</v>
          </cell>
          <cell r="BO91">
            <v>0</v>
          </cell>
          <cell r="BQ91">
            <v>0</v>
          </cell>
          <cell r="BR91">
            <v>0</v>
          </cell>
          <cell r="BS91">
            <v>0</v>
          </cell>
          <cell r="BT91">
            <v>0</v>
          </cell>
          <cell r="CB91">
            <v>0</v>
          </cell>
          <cell r="CC91">
            <v>0</v>
          </cell>
          <cell r="CD91">
            <v>0</v>
          </cell>
          <cell r="CE91">
            <v>0</v>
          </cell>
          <cell r="CF91">
            <v>0</v>
          </cell>
          <cell r="CI91">
            <v>0</v>
          </cell>
          <cell r="CJ91">
            <v>0</v>
          </cell>
          <cell r="CK91">
            <v>0</v>
          </cell>
          <cell r="CV91">
            <v>4.139727274287298E-4</v>
          </cell>
          <cell r="DG91">
            <v>18009221</v>
          </cell>
          <cell r="DR91">
            <v>7512434.1100000022</v>
          </cell>
          <cell r="EC91">
            <v>2.3972551021815209</v>
          </cell>
          <cell r="EN91">
            <v>2.4095909012463064E-2</v>
          </cell>
        </row>
        <row r="92">
          <cell r="B92">
            <v>31100</v>
          </cell>
          <cell r="C92" t="str">
            <v>Buncombe County Schools</v>
          </cell>
          <cell r="D92">
            <v>8.700026123423554E-3</v>
          </cell>
          <cell r="E92">
            <v>15053073.769913921</v>
          </cell>
          <cell r="F92">
            <v>11737226.835431313</v>
          </cell>
          <cell r="G92">
            <v>174364</v>
          </cell>
          <cell r="H92">
            <v>-4200342.4671659637</v>
          </cell>
          <cell r="I92">
            <v>-173818.09648907595</v>
          </cell>
          <cell r="J92">
            <v>12702688.316821644</v>
          </cell>
          <cell r="K92">
            <v>0</v>
          </cell>
          <cell r="L92">
            <v>-667420.33172716503</v>
          </cell>
          <cell r="M92">
            <v>119773.36109652669</v>
          </cell>
          <cell r="N92">
            <v>4515.1395575343558</v>
          </cell>
          <cell r="O92">
            <v>-2037.6331183670306</v>
          </cell>
          <cell r="P92">
            <v>0</v>
          </cell>
          <cell r="Q92">
            <v>0</v>
          </cell>
          <cell r="R92">
            <v>0</v>
          </cell>
          <cell r="S92">
            <v>34748022.894320369</v>
          </cell>
          <cell r="T92">
            <v>1054751</v>
          </cell>
          <cell r="U92">
            <v>63513441.584108219</v>
          </cell>
          <cell r="V92">
            <v>479093.44438610674</v>
          </cell>
          <cell r="W92">
            <v>0</v>
          </cell>
          <cell r="X92">
            <v>65047286.028494328</v>
          </cell>
          <cell r="Y92">
            <v>182932.5700000003</v>
          </cell>
          <cell r="Z92">
            <v>0</v>
          </cell>
          <cell r="AA92">
            <v>0</v>
          </cell>
          <cell r="AB92">
            <v>869090.48244537984</v>
          </cell>
          <cell r="AC92">
            <v>1052023.05244538</v>
          </cell>
          <cell r="AD92" t="str">
            <v>N/A</v>
          </cell>
          <cell r="AE92">
            <v>12823007</v>
          </cell>
          <cell r="AF92">
            <v>12823008</v>
          </cell>
          <cell r="AG92">
            <v>12823008</v>
          </cell>
          <cell r="AH92">
            <v>12823008</v>
          </cell>
          <cell r="AI92">
            <v>12703234</v>
          </cell>
          <cell r="AJ92">
            <v>0</v>
          </cell>
          <cell r="AK92">
            <v>63995265</v>
          </cell>
          <cell r="AL92">
            <v>287179255</v>
          </cell>
          <cell r="AM92">
            <v>34748022.894320369</v>
          </cell>
          <cell r="AN92">
            <v>-7441833.4299999997</v>
          </cell>
          <cell r="AO92">
            <v>63123444.546048947</v>
          </cell>
          <cell r="AP92">
            <v>0</v>
          </cell>
          <cell r="AQ92">
            <v>871818.4299999997</v>
          </cell>
          <cell r="AR92">
            <v>0</v>
          </cell>
          <cell r="AS92">
            <v>0</v>
          </cell>
          <cell r="AT92">
            <v>378480707.44036931</v>
          </cell>
          <cell r="AU92">
            <v>8.6618502728942094E-3</v>
          </cell>
          <cell r="AV92">
            <v>0</v>
          </cell>
          <cell r="AW92">
            <v>0</v>
          </cell>
          <cell r="AY92">
            <v>0</v>
          </cell>
          <cell r="AZ92">
            <v>0</v>
          </cell>
          <cell r="BA92">
            <v>0</v>
          </cell>
          <cell r="BB92">
            <v>0</v>
          </cell>
          <cell r="BC92">
            <v>0</v>
          </cell>
          <cell r="BD92">
            <v>0</v>
          </cell>
          <cell r="BE92">
            <v>0</v>
          </cell>
          <cell r="BF92">
            <v>0</v>
          </cell>
          <cell r="BG92">
            <v>0</v>
          </cell>
          <cell r="BH92">
            <v>0</v>
          </cell>
          <cell r="BJ92">
            <v>0</v>
          </cell>
          <cell r="BL92">
            <v>0</v>
          </cell>
          <cell r="BM92">
            <v>0</v>
          </cell>
          <cell r="BN92">
            <v>0</v>
          </cell>
          <cell r="BO92">
            <v>0</v>
          </cell>
          <cell r="BQ92">
            <v>0</v>
          </cell>
          <cell r="BR92">
            <v>0</v>
          </cell>
          <cell r="BS92">
            <v>0</v>
          </cell>
          <cell r="BT92">
            <v>0</v>
          </cell>
          <cell r="CB92">
            <v>0</v>
          </cell>
          <cell r="CC92">
            <v>0</v>
          </cell>
          <cell r="CD92">
            <v>0</v>
          </cell>
          <cell r="CE92">
            <v>0</v>
          </cell>
          <cell r="CF92">
            <v>0</v>
          </cell>
          <cell r="CI92">
            <v>0</v>
          </cell>
          <cell r="CJ92">
            <v>0</v>
          </cell>
          <cell r="CK92">
            <v>0</v>
          </cell>
          <cell r="CV92">
            <v>8.700026123423554E-3</v>
          </cell>
          <cell r="DG92">
            <v>378480708</v>
          </cell>
          <cell r="DR92">
            <v>129776898.55999997</v>
          </cell>
          <cell r="EC92">
            <v>2.9163950764705353</v>
          </cell>
          <cell r="EN92">
            <v>2.4095909012463064E-2</v>
          </cell>
        </row>
        <row r="93">
          <cell r="B93">
            <v>31101</v>
          </cell>
          <cell r="C93" t="str">
            <v>F. Delany New School For Children</v>
          </cell>
          <cell r="D93">
            <v>5.8952444093732966E-5</v>
          </cell>
          <cell r="E93">
            <v>102001.47416459493</v>
          </cell>
          <cell r="F93">
            <v>79532.888639067853</v>
          </cell>
          <cell r="G93">
            <v>-19370</v>
          </cell>
          <cell r="H93">
            <v>-28462.035740726325</v>
          </cell>
          <cell r="I93">
            <v>-1177.8127410632449</v>
          </cell>
          <cell r="J93">
            <v>86074.974053395199</v>
          </cell>
          <cell r="K93">
            <v>0</v>
          </cell>
          <cell r="L93">
            <v>-4522.5220286675767</v>
          </cell>
          <cell r="M93">
            <v>811.59898531234842</v>
          </cell>
          <cell r="N93">
            <v>30.595139435765535</v>
          </cell>
          <cell r="O93">
            <v>-13.807251931193198</v>
          </cell>
          <cell r="P93">
            <v>0</v>
          </cell>
          <cell r="Q93">
            <v>0</v>
          </cell>
          <cell r="R93">
            <v>0</v>
          </cell>
          <cell r="S93">
            <v>214905.35321941774</v>
          </cell>
          <cell r="T93">
            <v>0</v>
          </cell>
          <cell r="U93">
            <v>430374.87026697601</v>
          </cell>
          <cell r="V93">
            <v>3246.3959412493937</v>
          </cell>
          <cell r="W93">
            <v>0</v>
          </cell>
          <cell r="X93">
            <v>433621.2662082254</v>
          </cell>
          <cell r="Y93">
            <v>96854.32</v>
          </cell>
          <cell r="Z93">
            <v>0</v>
          </cell>
          <cell r="AA93">
            <v>0</v>
          </cell>
          <cell r="AB93">
            <v>5889.0637053162245</v>
          </cell>
          <cell r="AC93">
            <v>102743.38370531623</v>
          </cell>
          <cell r="AD93" t="str">
            <v>N/A</v>
          </cell>
          <cell r="AE93">
            <v>66339</v>
          </cell>
          <cell r="AF93">
            <v>66337</v>
          </cell>
          <cell r="AG93">
            <v>66337</v>
          </cell>
          <cell r="AH93">
            <v>66337</v>
          </cell>
          <cell r="AI93">
            <v>65525</v>
          </cell>
          <cell r="AJ93">
            <v>0</v>
          </cell>
          <cell r="AK93">
            <v>330875</v>
          </cell>
          <cell r="AL93">
            <v>2062750</v>
          </cell>
          <cell r="AM93">
            <v>214905.35321941774</v>
          </cell>
          <cell r="AN93">
            <v>-43901.68</v>
          </cell>
          <cell r="AO93">
            <v>427732.20250290923</v>
          </cell>
          <cell r="AP93">
            <v>0</v>
          </cell>
          <cell r="AQ93">
            <v>-96854.32</v>
          </cell>
          <cell r="AR93">
            <v>0</v>
          </cell>
          <cell r="AS93">
            <v>0</v>
          </cell>
          <cell r="AT93">
            <v>2564631.555722327</v>
          </cell>
          <cell r="AU93">
            <v>6.2216295870849605E-5</v>
          </cell>
          <cell r="AV93">
            <v>0</v>
          </cell>
          <cell r="AW93">
            <v>0</v>
          </cell>
          <cell r="AY93">
            <v>0</v>
          </cell>
          <cell r="AZ93">
            <v>0</v>
          </cell>
          <cell r="BA93">
            <v>0</v>
          </cell>
          <cell r="BB93">
            <v>0</v>
          </cell>
          <cell r="BC93">
            <v>0</v>
          </cell>
          <cell r="BD93">
            <v>0</v>
          </cell>
          <cell r="BE93">
            <v>0</v>
          </cell>
          <cell r="BF93">
            <v>0</v>
          </cell>
          <cell r="BG93">
            <v>0</v>
          </cell>
          <cell r="BH93">
            <v>0</v>
          </cell>
          <cell r="BJ93">
            <v>0</v>
          </cell>
          <cell r="BL93">
            <v>0</v>
          </cell>
          <cell r="BM93">
            <v>0</v>
          </cell>
          <cell r="BN93">
            <v>0</v>
          </cell>
          <cell r="BO93">
            <v>0</v>
          </cell>
          <cell r="BQ93">
            <v>0</v>
          </cell>
          <cell r="BR93">
            <v>0</v>
          </cell>
          <cell r="BS93">
            <v>0</v>
          </cell>
          <cell r="BT93">
            <v>0</v>
          </cell>
          <cell r="CB93">
            <v>0</v>
          </cell>
          <cell r="CC93">
            <v>0</v>
          </cell>
          <cell r="CD93">
            <v>0</v>
          </cell>
          <cell r="CE93">
            <v>0</v>
          </cell>
          <cell r="CF93">
            <v>0</v>
          </cell>
          <cell r="CI93">
            <v>0</v>
          </cell>
          <cell r="CJ93">
            <v>0</v>
          </cell>
          <cell r="CK93">
            <v>0</v>
          </cell>
          <cell r="CV93">
            <v>5.8952444093732966E-5</v>
          </cell>
          <cell r="DG93">
            <v>2564632</v>
          </cell>
          <cell r="DR93">
            <v>758738.24999999988</v>
          </cell>
          <cell r="EC93">
            <v>3.3801274682013203</v>
          </cell>
          <cell r="EN93">
            <v>2.4095909012463064E-2</v>
          </cell>
        </row>
        <row r="94">
          <cell r="B94">
            <v>31102</v>
          </cell>
          <cell r="C94" t="str">
            <v>Evergreen Community Charter School</v>
          </cell>
          <cell r="D94">
            <v>1.4625296914261404E-4</v>
          </cell>
          <cell r="E94">
            <v>253051.7382752843</v>
          </cell>
          <cell r="F94">
            <v>197310.24365093457</v>
          </cell>
          <cell r="G94">
            <v>24869</v>
          </cell>
          <cell r="H94">
            <v>-70610.426741695395</v>
          </cell>
          <cell r="I94">
            <v>-2921.9926861830086</v>
          </cell>
          <cell r="J94">
            <v>213540.26483052594</v>
          </cell>
          <cell r="K94">
            <v>0</v>
          </cell>
          <cell r="L94">
            <v>-11219.760009506137</v>
          </cell>
          <cell r="M94">
            <v>2013.4663317153668</v>
          </cell>
          <cell r="N94">
            <v>75.902365925633831</v>
          </cell>
          <cell r="O94">
            <v>-34.253907902891633</v>
          </cell>
          <cell r="P94">
            <v>0</v>
          </cell>
          <cell r="Q94">
            <v>0</v>
          </cell>
          <cell r="R94">
            <v>0</v>
          </cell>
          <cell r="S94">
            <v>606074.1821090983</v>
          </cell>
          <cell r="T94">
            <v>147564</v>
          </cell>
          <cell r="U94">
            <v>1067701.3241526298</v>
          </cell>
          <cell r="V94">
            <v>8053.8653268614671</v>
          </cell>
          <cell r="W94">
            <v>0</v>
          </cell>
          <cell r="X94">
            <v>1223319.1894794912</v>
          </cell>
          <cell r="Y94">
            <v>23219.53</v>
          </cell>
          <cell r="Z94">
            <v>0</v>
          </cell>
          <cell r="AA94">
            <v>0</v>
          </cell>
          <cell r="AB94">
            <v>14609.963430915042</v>
          </cell>
          <cell r="AC94">
            <v>37829.493430915041</v>
          </cell>
          <cell r="AD94" t="str">
            <v>N/A</v>
          </cell>
          <cell r="AE94">
            <v>237501</v>
          </cell>
          <cell r="AF94">
            <v>237501</v>
          </cell>
          <cell r="AG94">
            <v>237501</v>
          </cell>
          <cell r="AH94">
            <v>237501</v>
          </cell>
          <cell r="AI94">
            <v>235487</v>
          </cell>
          <cell r="AJ94">
            <v>0</v>
          </cell>
          <cell r="AK94">
            <v>1185491</v>
          </cell>
          <cell r="AL94">
            <v>4671866</v>
          </cell>
          <cell r="AM94">
            <v>606074.1821090983</v>
          </cell>
          <cell r="AN94">
            <v>-100928.47</v>
          </cell>
          <cell r="AO94">
            <v>1061145.2260485762</v>
          </cell>
          <cell r="AP94">
            <v>0</v>
          </cell>
          <cell r="AQ94">
            <v>124344.47</v>
          </cell>
          <cell r="AR94">
            <v>0</v>
          </cell>
          <cell r="AS94">
            <v>0</v>
          </cell>
          <cell r="AT94">
            <v>6362501.4081576737</v>
          </cell>
          <cell r="AU94">
            <v>1.4091199513457432E-4</v>
          </cell>
          <cell r="AV94">
            <v>0</v>
          </cell>
          <cell r="AW94">
            <v>0</v>
          </cell>
          <cell r="AY94">
            <v>0</v>
          </cell>
          <cell r="AZ94">
            <v>0</v>
          </cell>
          <cell r="BA94">
            <v>0</v>
          </cell>
          <cell r="BB94">
            <v>0</v>
          </cell>
          <cell r="BC94">
            <v>0</v>
          </cell>
          <cell r="BD94">
            <v>0</v>
          </cell>
          <cell r="BE94">
            <v>0</v>
          </cell>
          <cell r="BF94">
            <v>0</v>
          </cell>
          <cell r="BG94">
            <v>0</v>
          </cell>
          <cell r="BH94">
            <v>0</v>
          </cell>
          <cell r="BJ94">
            <v>0</v>
          </cell>
          <cell r="BL94">
            <v>0</v>
          </cell>
          <cell r="BM94">
            <v>0</v>
          </cell>
          <cell r="BN94">
            <v>0</v>
          </cell>
          <cell r="BO94">
            <v>0</v>
          </cell>
          <cell r="BQ94">
            <v>0</v>
          </cell>
          <cell r="BR94">
            <v>0</v>
          </cell>
          <cell r="BS94">
            <v>0</v>
          </cell>
          <cell r="BT94">
            <v>0</v>
          </cell>
          <cell r="CB94">
            <v>0</v>
          </cell>
          <cell r="CC94">
            <v>0</v>
          </cell>
          <cell r="CD94">
            <v>0</v>
          </cell>
          <cell r="CE94">
            <v>0</v>
          </cell>
          <cell r="CF94">
            <v>0</v>
          </cell>
          <cell r="CI94">
            <v>0</v>
          </cell>
          <cell r="CJ94">
            <v>0</v>
          </cell>
          <cell r="CK94">
            <v>0</v>
          </cell>
          <cell r="CV94">
            <v>1.4625296914261404E-4</v>
          </cell>
          <cell r="DG94">
            <v>6362501</v>
          </cell>
          <cell r="DR94">
            <v>1780792.73</v>
          </cell>
          <cell r="EC94">
            <v>3.5728475823236319</v>
          </cell>
          <cell r="EN94">
            <v>2.4095909012463064E-2</v>
          </cell>
        </row>
        <row r="95">
          <cell r="B95">
            <v>31105</v>
          </cell>
          <cell r="C95" t="str">
            <v>Asheville-Buncombe Technical College</v>
          </cell>
          <cell r="D95">
            <v>1.3901422219367123E-3</v>
          </cell>
          <cell r="E95">
            <v>2405270.1820222591</v>
          </cell>
          <cell r="F95">
            <v>1875444.3217649795</v>
          </cell>
          <cell r="G95">
            <v>-214565</v>
          </cell>
          <cell r="H95">
            <v>-671155.84796698135</v>
          </cell>
          <cell r="I95">
            <v>-27773.695324382446</v>
          </cell>
          <cell r="J95">
            <v>2029711.5331381476</v>
          </cell>
          <cell r="K95">
            <v>0</v>
          </cell>
          <cell r="L95">
            <v>-106644.41344778812</v>
          </cell>
          <cell r="M95">
            <v>19138.104180546237</v>
          </cell>
          <cell r="N95">
            <v>721.4560103407149</v>
          </cell>
          <cell r="O95">
            <v>-325.58520979979738</v>
          </cell>
          <cell r="P95">
            <v>0</v>
          </cell>
          <cell r="Q95">
            <v>0</v>
          </cell>
          <cell r="R95">
            <v>0</v>
          </cell>
          <cell r="S95">
            <v>5309821.055167322</v>
          </cell>
          <cell r="T95">
            <v>35917.379999999888</v>
          </cell>
          <cell r="U95">
            <v>10148557.665690737</v>
          </cell>
          <cell r="V95">
            <v>76552.416722184949</v>
          </cell>
          <cell r="W95">
            <v>0</v>
          </cell>
          <cell r="X95">
            <v>10261027.462412922</v>
          </cell>
          <cell r="Y95">
            <v>1108742</v>
          </cell>
          <cell r="Z95">
            <v>0</v>
          </cell>
          <cell r="AA95">
            <v>0</v>
          </cell>
          <cell r="AB95">
            <v>138868.47662191224</v>
          </cell>
          <cell r="AC95">
            <v>1247610.4766219123</v>
          </cell>
          <cell r="AD95" t="str">
            <v>N/A</v>
          </cell>
          <cell r="AE95">
            <v>1806511</v>
          </cell>
          <cell r="AF95">
            <v>1806511</v>
          </cell>
          <cell r="AG95">
            <v>1806511</v>
          </cell>
          <cell r="AH95">
            <v>1806511</v>
          </cell>
          <cell r="AI95">
            <v>1787373</v>
          </cell>
          <cell r="AJ95">
            <v>0</v>
          </cell>
          <cell r="AK95">
            <v>9013417</v>
          </cell>
          <cell r="AL95">
            <v>47419952</v>
          </cell>
          <cell r="AM95">
            <v>5309821.055167322</v>
          </cell>
          <cell r="AN95">
            <v>-1267278.3799999999</v>
          </cell>
          <cell r="AO95">
            <v>10086241.60579101</v>
          </cell>
          <cell r="AP95">
            <v>0</v>
          </cell>
          <cell r="AQ95">
            <v>-1072824.6200000001</v>
          </cell>
          <cell r="AR95">
            <v>0</v>
          </cell>
          <cell r="AS95">
            <v>0</v>
          </cell>
          <cell r="AT95">
            <v>60475911.660958335</v>
          </cell>
          <cell r="AU95">
            <v>1.4302722583608935E-3</v>
          </cell>
          <cell r="AV95">
            <v>0</v>
          </cell>
          <cell r="AW95">
            <v>0</v>
          </cell>
          <cell r="AY95">
            <v>0</v>
          </cell>
          <cell r="AZ95">
            <v>0</v>
          </cell>
          <cell r="BA95">
            <v>0</v>
          </cell>
          <cell r="BB95">
            <v>0</v>
          </cell>
          <cell r="BC95">
            <v>0</v>
          </cell>
          <cell r="BD95">
            <v>0</v>
          </cell>
          <cell r="BE95">
            <v>0</v>
          </cell>
          <cell r="BF95">
            <v>0</v>
          </cell>
          <cell r="BG95">
            <v>0</v>
          </cell>
          <cell r="BH95">
            <v>0</v>
          </cell>
          <cell r="BJ95">
            <v>0</v>
          </cell>
          <cell r="BL95">
            <v>0</v>
          </cell>
          <cell r="BM95">
            <v>0</v>
          </cell>
          <cell r="BN95">
            <v>0</v>
          </cell>
          <cell r="BO95">
            <v>0</v>
          </cell>
          <cell r="BQ95">
            <v>0</v>
          </cell>
          <cell r="BR95">
            <v>0</v>
          </cell>
          <cell r="BS95">
            <v>0</v>
          </cell>
          <cell r="BT95">
            <v>0</v>
          </cell>
          <cell r="CB95">
            <v>0</v>
          </cell>
          <cell r="CC95">
            <v>0</v>
          </cell>
          <cell r="CD95">
            <v>0</v>
          </cell>
          <cell r="CE95">
            <v>0</v>
          </cell>
          <cell r="CF95">
            <v>0</v>
          </cell>
          <cell r="CI95">
            <v>0</v>
          </cell>
          <cell r="CJ95">
            <v>0</v>
          </cell>
          <cell r="CK95">
            <v>0</v>
          </cell>
          <cell r="CV95">
            <v>1.3901422219367123E-3</v>
          </cell>
          <cell r="DG95">
            <v>60475912</v>
          </cell>
          <cell r="DR95">
            <v>21942969.110000011</v>
          </cell>
          <cell r="EC95">
            <v>2.7560496347068852</v>
          </cell>
          <cell r="EN95">
            <v>2.4095909012463064E-2</v>
          </cell>
        </row>
        <row r="96">
          <cell r="B96">
            <v>31110</v>
          </cell>
          <cell r="C96" t="str">
            <v>Asheville City Schools</v>
          </cell>
          <cell r="D96">
            <v>2.0197565345193864E-3</v>
          </cell>
          <cell r="E96">
            <v>3494649.7493299358</v>
          </cell>
          <cell r="F96">
            <v>2724858.553490181</v>
          </cell>
          <cell r="G96">
            <v>-299624</v>
          </cell>
          <cell r="H96">
            <v>-975131.45649490552</v>
          </cell>
          <cell r="I96">
            <v>-40352.779545836864</v>
          </cell>
          <cell r="J96">
            <v>2948995.4822994871</v>
          </cell>
          <cell r="K96">
            <v>0</v>
          </cell>
          <cell r="L96">
            <v>-154945.11822759622</v>
          </cell>
          <cell r="M96">
            <v>27806.011764119216</v>
          </cell>
          <cell r="N96">
            <v>1048.213246284871</v>
          </cell>
          <cell r="O96">
            <v>-473.04717794978546</v>
          </cell>
          <cell r="P96">
            <v>0</v>
          </cell>
          <cell r="Q96">
            <v>0</v>
          </cell>
          <cell r="R96">
            <v>0</v>
          </cell>
          <cell r="S96">
            <v>7726831.6086837193</v>
          </cell>
          <cell r="T96">
            <v>0</v>
          </cell>
          <cell r="U96">
            <v>14744977.411497435</v>
          </cell>
          <cell r="V96">
            <v>111224.04705647686</v>
          </cell>
          <cell r="W96">
            <v>0</v>
          </cell>
          <cell r="X96">
            <v>14856201.458553912</v>
          </cell>
          <cell r="Y96">
            <v>1498118.76</v>
          </cell>
          <cell r="Z96">
            <v>0</v>
          </cell>
          <cell r="AA96">
            <v>0</v>
          </cell>
          <cell r="AB96">
            <v>201763.89772918433</v>
          </cell>
          <cell r="AC96">
            <v>1699882.6577291843</v>
          </cell>
          <cell r="AD96" t="str">
            <v>N/A</v>
          </cell>
          <cell r="AE96">
            <v>2636825</v>
          </cell>
          <cell r="AF96">
            <v>2636826</v>
          </cell>
          <cell r="AG96">
            <v>2636826</v>
          </cell>
          <cell r="AH96">
            <v>2636826</v>
          </cell>
          <cell r="AI96">
            <v>2609020</v>
          </cell>
          <cell r="AJ96">
            <v>0</v>
          </cell>
          <cell r="AK96">
            <v>13156323</v>
          </cell>
          <cell r="AL96">
            <v>68615139</v>
          </cell>
          <cell r="AM96">
            <v>7726831.6086837193</v>
          </cell>
          <cell r="AN96">
            <v>-1632015.24</v>
          </cell>
          <cell r="AO96">
            <v>14654437.560824728</v>
          </cell>
          <cell r="AP96">
            <v>0</v>
          </cell>
          <cell r="AQ96">
            <v>-1498118.76</v>
          </cell>
          <cell r="AR96">
            <v>0</v>
          </cell>
          <cell r="AS96">
            <v>0</v>
          </cell>
          <cell r="AT96">
            <v>87866274.169508442</v>
          </cell>
          <cell r="AU96">
            <v>2.0695577845615447E-3</v>
          </cell>
          <cell r="AV96">
            <v>0</v>
          </cell>
          <cell r="AW96">
            <v>0</v>
          </cell>
          <cell r="AY96">
            <v>0</v>
          </cell>
          <cell r="AZ96">
            <v>0</v>
          </cell>
          <cell r="BA96">
            <v>0</v>
          </cell>
          <cell r="BB96">
            <v>0</v>
          </cell>
          <cell r="BC96">
            <v>0</v>
          </cell>
          <cell r="BD96">
            <v>0</v>
          </cell>
          <cell r="BE96">
            <v>0</v>
          </cell>
          <cell r="BF96">
            <v>0</v>
          </cell>
          <cell r="BG96">
            <v>0</v>
          </cell>
          <cell r="BH96">
            <v>0</v>
          </cell>
          <cell r="BJ96">
            <v>0</v>
          </cell>
          <cell r="BL96">
            <v>0</v>
          </cell>
          <cell r="BM96">
            <v>0</v>
          </cell>
          <cell r="BN96">
            <v>0</v>
          </cell>
          <cell r="BO96">
            <v>0</v>
          </cell>
          <cell r="BQ96">
            <v>0</v>
          </cell>
          <cell r="BR96">
            <v>0</v>
          </cell>
          <cell r="BS96">
            <v>0</v>
          </cell>
          <cell r="BT96">
            <v>0</v>
          </cell>
          <cell r="CB96">
            <v>0</v>
          </cell>
          <cell r="CC96">
            <v>0</v>
          </cell>
          <cell r="CD96">
            <v>0</v>
          </cell>
          <cell r="CE96">
            <v>0</v>
          </cell>
          <cell r="CF96">
            <v>0</v>
          </cell>
          <cell r="CI96">
            <v>0</v>
          </cell>
          <cell r="CJ96">
            <v>0</v>
          </cell>
          <cell r="CK96">
            <v>0</v>
          </cell>
          <cell r="CV96">
            <v>2.0197565345193864E-3</v>
          </cell>
          <cell r="DG96">
            <v>87866274</v>
          </cell>
          <cell r="DR96">
            <v>28443769.960000005</v>
          </cell>
          <cell r="EC96">
            <v>3.08912194563396</v>
          </cell>
          <cell r="EN96">
            <v>2.4095909012463064E-2</v>
          </cell>
        </row>
        <row r="97">
          <cell r="B97">
            <v>31200</v>
          </cell>
          <cell r="C97" t="str">
            <v>Burke County Schools</v>
          </cell>
          <cell r="D97">
            <v>4.11289503337617E-3</v>
          </cell>
          <cell r="E97">
            <v>7116267.4073628113</v>
          </cell>
          <cell r="F97">
            <v>5548716.8971923292</v>
          </cell>
          <cell r="G97">
            <v>-872569</v>
          </cell>
          <cell r="H97">
            <v>-1985691.4711065006</v>
          </cell>
          <cell r="I97">
            <v>-82171.659673074784</v>
          </cell>
          <cell r="J97">
            <v>6005134.1165654268</v>
          </cell>
          <cell r="K97">
            <v>0</v>
          </cell>
          <cell r="L97">
            <v>-315519.71552640974</v>
          </cell>
          <cell r="M97">
            <v>56622.273887015152</v>
          </cell>
          <cell r="N97">
            <v>2134.5102644215649</v>
          </cell>
          <cell r="O97">
            <v>-963.28114576703274</v>
          </cell>
          <cell r="P97">
            <v>0</v>
          </cell>
          <cell r="Q97">
            <v>0</v>
          </cell>
          <cell r="R97">
            <v>0</v>
          </cell>
          <cell r="S97">
            <v>15471960.077820253</v>
          </cell>
          <cell r="T97">
            <v>0</v>
          </cell>
          <cell r="U97">
            <v>30025670.582827132</v>
          </cell>
          <cell r="V97">
            <v>226489.09554806061</v>
          </cell>
          <cell r="W97">
            <v>0</v>
          </cell>
          <cell r="X97">
            <v>30252159.678375192</v>
          </cell>
          <cell r="Y97">
            <v>4362842.21</v>
          </cell>
          <cell r="Z97">
            <v>0</v>
          </cell>
          <cell r="AA97">
            <v>0</v>
          </cell>
          <cell r="AB97">
            <v>410858.29836537392</v>
          </cell>
          <cell r="AC97">
            <v>4773700.5083653741</v>
          </cell>
          <cell r="AD97" t="str">
            <v>N/A</v>
          </cell>
          <cell r="AE97">
            <v>5107016</v>
          </cell>
          <cell r="AF97">
            <v>5107016</v>
          </cell>
          <cell r="AG97">
            <v>5107016</v>
          </cell>
          <cell r="AH97">
            <v>5107016</v>
          </cell>
          <cell r="AI97">
            <v>5050393</v>
          </cell>
          <cell r="AJ97">
            <v>0</v>
          </cell>
          <cell r="AK97">
            <v>25478457</v>
          </cell>
          <cell r="AL97">
            <v>141550853</v>
          </cell>
          <cell r="AM97">
            <v>15471960.077820253</v>
          </cell>
          <cell r="AN97">
            <v>-3576358.79</v>
          </cell>
          <cell r="AO97">
            <v>29841301.380009823</v>
          </cell>
          <cell r="AP97">
            <v>0</v>
          </cell>
          <cell r="AQ97">
            <v>-4362842.21</v>
          </cell>
          <cell r="AR97">
            <v>0</v>
          </cell>
          <cell r="AS97">
            <v>0</v>
          </cell>
          <cell r="AT97">
            <v>178924913.45783007</v>
          </cell>
          <cell r="AU97">
            <v>4.2694319849186811E-3</v>
          </cell>
          <cell r="AV97">
            <v>0</v>
          </cell>
          <cell r="AW97">
            <v>0</v>
          </cell>
          <cell r="AY97">
            <v>0</v>
          </cell>
          <cell r="AZ97">
            <v>0</v>
          </cell>
          <cell r="BA97">
            <v>0</v>
          </cell>
          <cell r="BB97">
            <v>0</v>
          </cell>
          <cell r="BC97">
            <v>0</v>
          </cell>
          <cell r="BD97">
            <v>0</v>
          </cell>
          <cell r="BE97">
            <v>0</v>
          </cell>
          <cell r="BF97">
            <v>0</v>
          </cell>
          <cell r="BG97">
            <v>0</v>
          </cell>
          <cell r="BH97">
            <v>0</v>
          </cell>
          <cell r="BJ97">
            <v>0</v>
          </cell>
          <cell r="BL97">
            <v>0</v>
          </cell>
          <cell r="BM97">
            <v>0</v>
          </cell>
          <cell r="BN97">
            <v>0</v>
          </cell>
          <cell r="BO97">
            <v>0</v>
          </cell>
          <cell r="BQ97">
            <v>0</v>
          </cell>
          <cell r="BR97">
            <v>0</v>
          </cell>
          <cell r="BS97">
            <v>0</v>
          </cell>
          <cell r="BT97">
            <v>0</v>
          </cell>
          <cell r="CB97">
            <v>0</v>
          </cell>
          <cell r="CC97">
            <v>0</v>
          </cell>
          <cell r="CD97">
            <v>0</v>
          </cell>
          <cell r="CE97">
            <v>0</v>
          </cell>
          <cell r="CF97">
            <v>0</v>
          </cell>
          <cell r="CI97">
            <v>0</v>
          </cell>
          <cell r="CJ97">
            <v>0</v>
          </cell>
          <cell r="CK97">
            <v>0</v>
          </cell>
          <cell r="CV97">
            <v>4.11289503337617E-3</v>
          </cell>
          <cell r="DG97">
            <v>178924914</v>
          </cell>
          <cell r="DR97">
            <v>63059125.209999941</v>
          </cell>
          <cell r="EC97">
            <v>2.837415098990717</v>
          </cell>
          <cell r="EN97">
            <v>2.4095909012463064E-2</v>
          </cell>
        </row>
        <row r="98">
          <cell r="B98">
            <v>31205</v>
          </cell>
          <cell r="C98" t="str">
            <v>Western Piedmont Community College</v>
          </cell>
          <cell r="D98">
            <v>5.0568155364153356E-4</v>
          </cell>
          <cell r="E98">
            <v>874946.99706203409</v>
          </cell>
          <cell r="F98">
            <v>682216.23905290093</v>
          </cell>
          <cell r="G98">
            <v>-351857</v>
          </cell>
          <cell r="H98">
            <v>-244141.30193291488</v>
          </cell>
          <cell r="I98">
            <v>-10103.027719303176</v>
          </cell>
          <cell r="J98">
            <v>738332.85927500215</v>
          </cell>
          <cell r="K98">
            <v>0</v>
          </cell>
          <cell r="L98">
            <v>-38793.23412271891</v>
          </cell>
          <cell r="M98">
            <v>6961.7238459884293</v>
          </cell>
          <cell r="N98">
            <v>262.43861270888311</v>
          </cell>
          <cell r="O98">
            <v>-118.43567667838357</v>
          </cell>
          <cell r="P98">
            <v>0</v>
          </cell>
          <cell r="Q98">
            <v>0</v>
          </cell>
          <cell r="R98">
            <v>0</v>
          </cell>
          <cell r="S98">
            <v>1657707.2583970192</v>
          </cell>
          <cell r="T98">
            <v>45182.330000000016</v>
          </cell>
          <cell r="U98">
            <v>3691664.2963750111</v>
          </cell>
          <cell r="V98">
            <v>27846.895383953717</v>
          </cell>
          <cell r="W98">
            <v>0</v>
          </cell>
          <cell r="X98">
            <v>3764693.5217589648</v>
          </cell>
          <cell r="Y98">
            <v>1804464</v>
          </cell>
          <cell r="Z98">
            <v>0</v>
          </cell>
          <cell r="AA98">
            <v>0</v>
          </cell>
          <cell r="AB98">
            <v>50515.138596515877</v>
          </cell>
          <cell r="AC98">
            <v>1854979.1385965159</v>
          </cell>
          <cell r="AD98" t="str">
            <v>N/A</v>
          </cell>
          <cell r="AE98">
            <v>383335</v>
          </cell>
          <cell r="AF98">
            <v>383336</v>
          </cell>
          <cell r="AG98">
            <v>383336</v>
          </cell>
          <cell r="AH98">
            <v>383336</v>
          </cell>
          <cell r="AI98">
            <v>376374</v>
          </cell>
          <cell r="AJ98">
            <v>0</v>
          </cell>
          <cell r="AK98">
            <v>1909717</v>
          </cell>
          <cell r="AL98">
            <v>18930973</v>
          </cell>
          <cell r="AM98">
            <v>1657707.2583970192</v>
          </cell>
          <cell r="AN98">
            <v>-499527.33</v>
          </cell>
          <cell r="AO98">
            <v>3668996.053162449</v>
          </cell>
          <cell r="AP98">
            <v>0</v>
          </cell>
          <cell r="AQ98">
            <v>-1759281.67</v>
          </cell>
          <cell r="AR98">
            <v>0</v>
          </cell>
          <cell r="AS98">
            <v>0</v>
          </cell>
          <cell r="AT98">
            <v>21998867.311559469</v>
          </cell>
          <cell r="AU98">
            <v>5.709926743370314E-4</v>
          </cell>
          <cell r="AV98">
            <v>0</v>
          </cell>
          <cell r="AW98">
            <v>0</v>
          </cell>
          <cell r="AY98">
            <v>0</v>
          </cell>
          <cell r="AZ98">
            <v>0</v>
          </cell>
          <cell r="BA98">
            <v>0</v>
          </cell>
          <cell r="BB98">
            <v>0</v>
          </cell>
          <cell r="BC98">
            <v>0</v>
          </cell>
          <cell r="BD98">
            <v>0</v>
          </cell>
          <cell r="BE98">
            <v>0</v>
          </cell>
          <cell r="BF98">
            <v>0</v>
          </cell>
          <cell r="BG98">
            <v>0</v>
          </cell>
          <cell r="BH98">
            <v>0</v>
          </cell>
          <cell r="BJ98">
            <v>0</v>
          </cell>
          <cell r="BL98">
            <v>0</v>
          </cell>
          <cell r="BM98">
            <v>0</v>
          </cell>
          <cell r="BN98">
            <v>0</v>
          </cell>
          <cell r="BO98">
            <v>0</v>
          </cell>
          <cell r="BQ98">
            <v>0</v>
          </cell>
          <cell r="BR98">
            <v>0</v>
          </cell>
          <cell r="BS98">
            <v>0</v>
          </cell>
          <cell r="BT98">
            <v>0</v>
          </cell>
          <cell r="CB98">
            <v>0</v>
          </cell>
          <cell r="CC98">
            <v>0</v>
          </cell>
          <cell r="CD98">
            <v>0</v>
          </cell>
          <cell r="CE98">
            <v>0</v>
          </cell>
          <cell r="CF98">
            <v>0</v>
          </cell>
          <cell r="CI98">
            <v>0</v>
          </cell>
          <cell r="CJ98">
            <v>0</v>
          </cell>
          <cell r="CK98">
            <v>0</v>
          </cell>
          <cell r="CV98">
            <v>5.0568155364153356E-4</v>
          </cell>
          <cell r="DG98">
            <v>21998866</v>
          </cell>
          <cell r="DR98">
            <v>8767270.7700000014</v>
          </cell>
          <cell r="EC98">
            <v>2.5092034427950027</v>
          </cell>
          <cell r="EN98">
            <v>2.4095909012463064E-2</v>
          </cell>
        </row>
        <row r="99">
          <cell r="B99">
            <v>31300</v>
          </cell>
          <cell r="C99" t="str">
            <v>Cabarrus County Schools</v>
          </cell>
          <cell r="D99">
            <v>1.0384923954821533E-2</v>
          </cell>
          <cell r="E99">
            <v>17968339.884174876</v>
          </cell>
          <cell r="F99">
            <v>14010326.681465143</v>
          </cell>
          <cell r="G99">
            <v>2335173</v>
          </cell>
          <cell r="H99">
            <v>-5013805.3020651126</v>
          </cell>
          <cell r="I99">
            <v>-207480.72343724919</v>
          </cell>
          <cell r="J99">
            <v>15162765.067661908</v>
          </cell>
          <cell r="K99">
            <v>0</v>
          </cell>
          <cell r="L99">
            <v>-796676.84815650922</v>
          </cell>
          <cell r="M99">
            <v>142969.36918981871</v>
          </cell>
          <cell r="N99">
            <v>5389.5678340732793</v>
          </cell>
          <cell r="O99">
            <v>-2432.2530394587511</v>
          </cell>
          <cell r="P99">
            <v>0</v>
          </cell>
          <cell r="Q99">
            <v>0</v>
          </cell>
          <cell r="R99">
            <v>0</v>
          </cell>
          <cell r="S99">
            <v>43604568.443627484</v>
          </cell>
          <cell r="T99">
            <v>12332434</v>
          </cell>
          <cell r="U99">
            <v>75813825.338309541</v>
          </cell>
          <cell r="V99">
            <v>571877.47675927484</v>
          </cell>
          <cell r="W99">
            <v>0</v>
          </cell>
          <cell r="X99">
            <v>88718136.815068811</v>
          </cell>
          <cell r="Y99">
            <v>656569.02999999933</v>
          </cell>
          <cell r="Z99">
            <v>0</v>
          </cell>
          <cell r="AA99">
            <v>0</v>
          </cell>
          <cell r="AB99">
            <v>1037403.617186246</v>
          </cell>
          <cell r="AC99">
            <v>1693972.6471862453</v>
          </cell>
          <cell r="AD99" t="str">
            <v>N/A</v>
          </cell>
          <cell r="AE99">
            <v>17433427</v>
          </cell>
          <cell r="AF99">
            <v>17433427</v>
          </cell>
          <cell r="AG99">
            <v>17433427</v>
          </cell>
          <cell r="AH99">
            <v>17433427</v>
          </cell>
          <cell r="AI99">
            <v>17290457</v>
          </cell>
          <cell r="AJ99">
            <v>0</v>
          </cell>
          <cell r="AK99">
            <v>87024165</v>
          </cell>
          <cell r="AL99">
            <v>329507969</v>
          </cell>
          <cell r="AM99">
            <v>43604568.443627484</v>
          </cell>
          <cell r="AN99">
            <v>-8357210.9700000007</v>
          </cell>
          <cell r="AO99">
            <v>75348299.197882578</v>
          </cell>
          <cell r="AP99">
            <v>0</v>
          </cell>
          <cell r="AQ99">
            <v>11675864.970000001</v>
          </cell>
          <cell r="AR99">
            <v>0</v>
          </cell>
          <cell r="AS99">
            <v>0</v>
          </cell>
          <cell r="AT99">
            <v>451779490.64151007</v>
          </cell>
          <cell r="AU99">
            <v>9.9385615002979023E-3</v>
          </cell>
          <cell r="AV99">
            <v>0</v>
          </cell>
          <cell r="AW99">
            <v>0</v>
          </cell>
          <cell r="AY99">
            <v>0</v>
          </cell>
          <cell r="AZ99">
            <v>0</v>
          </cell>
          <cell r="BA99">
            <v>0</v>
          </cell>
          <cell r="BB99">
            <v>0</v>
          </cell>
          <cell r="BC99">
            <v>0</v>
          </cell>
          <cell r="BD99">
            <v>0</v>
          </cell>
          <cell r="BE99">
            <v>0</v>
          </cell>
          <cell r="BF99">
            <v>0</v>
          </cell>
          <cell r="BG99">
            <v>0</v>
          </cell>
          <cell r="BH99">
            <v>0</v>
          </cell>
          <cell r="BJ99">
            <v>0</v>
          </cell>
          <cell r="BL99">
            <v>0</v>
          </cell>
          <cell r="BM99">
            <v>0</v>
          </cell>
          <cell r="BN99">
            <v>0</v>
          </cell>
          <cell r="BO99">
            <v>0</v>
          </cell>
          <cell r="BQ99">
            <v>0</v>
          </cell>
          <cell r="BR99">
            <v>0</v>
          </cell>
          <cell r="BS99">
            <v>0</v>
          </cell>
          <cell r="BT99">
            <v>0</v>
          </cell>
          <cell r="CB99">
            <v>0</v>
          </cell>
          <cell r="CC99">
            <v>0</v>
          </cell>
          <cell r="CD99">
            <v>0</v>
          </cell>
          <cell r="CE99">
            <v>0</v>
          </cell>
          <cell r="CF99">
            <v>0</v>
          </cell>
          <cell r="CI99">
            <v>0</v>
          </cell>
          <cell r="CJ99">
            <v>0</v>
          </cell>
          <cell r="CK99">
            <v>0</v>
          </cell>
          <cell r="CV99">
            <v>1.0384923954821533E-2</v>
          </cell>
          <cell r="DG99">
            <v>451779490</v>
          </cell>
          <cell r="DR99">
            <v>143348965.94999999</v>
          </cell>
          <cell r="EC99">
            <v>3.151606201035174</v>
          </cell>
          <cell r="EN99">
            <v>2.4095909012463064E-2</v>
          </cell>
        </row>
        <row r="100">
          <cell r="B100">
            <v>31301</v>
          </cell>
          <cell r="C100" t="str">
            <v>Carolina International School</v>
          </cell>
          <cell r="D100">
            <v>2.0007692437743868E-4</v>
          </cell>
          <cell r="E100">
            <v>346179.73090934905</v>
          </cell>
          <cell r="F100">
            <v>269924.27524221438</v>
          </cell>
          <cell r="G100">
            <v>200175</v>
          </cell>
          <cell r="H100">
            <v>-96596.445831337987</v>
          </cell>
          <cell r="I100">
            <v>-3997.3431864811541</v>
          </cell>
          <cell r="J100">
            <v>292127.26188398898</v>
          </cell>
          <cell r="K100">
            <v>0</v>
          </cell>
          <cell r="L100">
            <v>-15348.851295907765</v>
          </cell>
          <cell r="M100">
            <v>2754.4613511012512</v>
          </cell>
          <cell r="N100">
            <v>103.83592221340312</v>
          </cell>
          <cell r="O100">
            <v>-46.860016458439915</v>
          </cell>
          <cell r="P100">
            <v>0</v>
          </cell>
          <cell r="Q100">
            <v>0</v>
          </cell>
          <cell r="R100">
            <v>0</v>
          </cell>
          <cell r="S100">
            <v>995275.06497868185</v>
          </cell>
          <cell r="T100">
            <v>1014031</v>
          </cell>
          <cell r="U100">
            <v>1460636.3094199446</v>
          </cell>
          <cell r="V100">
            <v>11017.845404405005</v>
          </cell>
          <cell r="W100">
            <v>0</v>
          </cell>
          <cell r="X100">
            <v>2485685.15482435</v>
          </cell>
          <cell r="Y100">
            <v>13152.789999999979</v>
          </cell>
          <cell r="Z100">
            <v>0</v>
          </cell>
          <cell r="AA100">
            <v>0</v>
          </cell>
          <cell r="AB100">
            <v>19986.715932405768</v>
          </cell>
          <cell r="AC100">
            <v>33139.505932405751</v>
          </cell>
          <cell r="AD100" t="str">
            <v>N/A</v>
          </cell>
          <cell r="AE100">
            <v>491059</v>
          </cell>
          <cell r="AF100">
            <v>491060</v>
          </cell>
          <cell r="AG100">
            <v>491060</v>
          </cell>
          <cell r="AH100">
            <v>491060</v>
          </cell>
          <cell r="AI100">
            <v>488306</v>
          </cell>
          <cell r="AJ100">
            <v>0</v>
          </cell>
          <cell r="AK100">
            <v>2452545</v>
          </cell>
          <cell r="AL100">
            <v>5416612</v>
          </cell>
          <cell r="AM100">
            <v>995275.06497868185</v>
          </cell>
          <cell r="AN100">
            <v>-160406.21000000002</v>
          </cell>
          <cell r="AO100">
            <v>1451667.438891944</v>
          </cell>
          <cell r="AP100">
            <v>0</v>
          </cell>
          <cell r="AQ100">
            <v>1000878.21</v>
          </cell>
          <cell r="AR100">
            <v>0</v>
          </cell>
          <cell r="AS100">
            <v>0</v>
          </cell>
          <cell r="AT100">
            <v>8704026.503870625</v>
          </cell>
          <cell r="AU100">
            <v>1.6337489588084882E-4</v>
          </cell>
          <cell r="AV100">
            <v>0</v>
          </cell>
          <cell r="AW100">
            <v>0</v>
          </cell>
          <cell r="AY100">
            <v>0</v>
          </cell>
          <cell r="AZ100">
            <v>0</v>
          </cell>
          <cell r="BA100">
            <v>0</v>
          </cell>
          <cell r="BB100">
            <v>0</v>
          </cell>
          <cell r="BC100">
            <v>0</v>
          </cell>
          <cell r="BD100">
            <v>0</v>
          </cell>
          <cell r="BE100">
            <v>0</v>
          </cell>
          <cell r="BF100">
            <v>0</v>
          </cell>
          <cell r="BG100">
            <v>0</v>
          </cell>
          <cell r="BH100">
            <v>0</v>
          </cell>
          <cell r="BJ100">
            <v>0</v>
          </cell>
          <cell r="BL100">
            <v>0</v>
          </cell>
          <cell r="BM100">
            <v>0</v>
          </cell>
          <cell r="BN100">
            <v>0</v>
          </cell>
          <cell r="BO100">
            <v>0</v>
          </cell>
          <cell r="BQ100">
            <v>0</v>
          </cell>
          <cell r="BR100">
            <v>0</v>
          </cell>
          <cell r="BS100">
            <v>0</v>
          </cell>
          <cell r="BT100">
            <v>0</v>
          </cell>
          <cell r="CB100">
            <v>0</v>
          </cell>
          <cell r="CC100">
            <v>0</v>
          </cell>
          <cell r="CD100">
            <v>0</v>
          </cell>
          <cell r="CE100">
            <v>0</v>
          </cell>
          <cell r="CF100">
            <v>0</v>
          </cell>
          <cell r="CI100">
            <v>0</v>
          </cell>
          <cell r="CJ100">
            <v>0</v>
          </cell>
          <cell r="CK100">
            <v>0</v>
          </cell>
          <cell r="CV100">
            <v>2.0007692437743868E-4</v>
          </cell>
          <cell r="DG100">
            <v>8704026</v>
          </cell>
          <cell r="DR100">
            <v>2594207.0499999993</v>
          </cell>
          <cell r="EC100">
            <v>3.355177837482171</v>
          </cell>
          <cell r="EN100">
            <v>2.4095909012463064E-2</v>
          </cell>
        </row>
        <row r="101">
          <cell r="B101">
            <v>31320</v>
          </cell>
          <cell r="C101" t="str">
            <v>Kannapolis City Schools</v>
          </cell>
          <cell r="D101">
            <v>1.9460158818062662E-3</v>
          </cell>
          <cell r="E101">
            <v>3367061.2261019852</v>
          </cell>
          <cell r="F101">
            <v>2625374.855900309</v>
          </cell>
          <cell r="G101">
            <v>-19395</v>
          </cell>
          <cell r="H101">
            <v>-939529.7248732571</v>
          </cell>
          <cell r="I101">
            <v>-38879.512718057187</v>
          </cell>
          <cell r="J101">
            <v>2841328.6184987207</v>
          </cell>
          <cell r="K101">
            <v>0</v>
          </cell>
          <cell r="L101">
            <v>-149288.12246719713</v>
          </cell>
          <cell r="M101">
            <v>26790.823338291069</v>
          </cell>
          <cell r="N101">
            <v>1009.9433223398161</v>
          </cell>
          <cell r="O101">
            <v>-455.77637967784563</v>
          </cell>
          <cell r="P101">
            <v>0</v>
          </cell>
          <cell r="Q101">
            <v>0</v>
          </cell>
          <cell r="R101">
            <v>0</v>
          </cell>
          <cell r="S101">
            <v>7714017.3307234561</v>
          </cell>
          <cell r="T101">
            <v>14953</v>
          </cell>
          <cell r="U101">
            <v>14206643.092493603</v>
          </cell>
          <cell r="V101">
            <v>107163.29335316428</v>
          </cell>
          <cell r="W101">
            <v>0</v>
          </cell>
          <cell r="X101">
            <v>14328759.385846768</v>
          </cell>
          <cell r="Y101">
            <v>111930.09000000008</v>
          </cell>
          <cell r="Z101">
            <v>0</v>
          </cell>
          <cell r="AA101">
            <v>0</v>
          </cell>
          <cell r="AB101">
            <v>194397.56359028592</v>
          </cell>
          <cell r="AC101">
            <v>306327.65359028603</v>
          </cell>
          <cell r="AD101" t="str">
            <v>N/A</v>
          </cell>
          <cell r="AE101">
            <v>2809845</v>
          </cell>
          <cell r="AF101">
            <v>2809845</v>
          </cell>
          <cell r="AG101">
            <v>2809845</v>
          </cell>
          <cell r="AH101">
            <v>2809845</v>
          </cell>
          <cell r="AI101">
            <v>2783054</v>
          </cell>
          <cell r="AJ101">
            <v>0</v>
          </cell>
          <cell r="AK101">
            <v>14022434</v>
          </cell>
          <cell r="AL101">
            <v>64501226</v>
          </cell>
          <cell r="AM101">
            <v>7714017.3307234561</v>
          </cell>
          <cell r="AN101">
            <v>-1579369.91</v>
          </cell>
          <cell r="AO101">
            <v>14119408.822256481</v>
          </cell>
          <cell r="AP101">
            <v>0</v>
          </cell>
          <cell r="AQ101">
            <v>-96977.090000000084</v>
          </cell>
          <cell r="AR101">
            <v>0</v>
          </cell>
          <cell r="AS101">
            <v>0</v>
          </cell>
          <cell r="AT101">
            <v>84658305.152979925</v>
          </cell>
          <cell r="AU101">
            <v>1.9454746614203044E-3</v>
          </cell>
          <cell r="AV101">
            <v>0</v>
          </cell>
          <cell r="AW101">
            <v>0</v>
          </cell>
          <cell r="AY101">
            <v>0</v>
          </cell>
          <cell r="AZ101">
            <v>0</v>
          </cell>
          <cell r="BA101">
            <v>0</v>
          </cell>
          <cell r="BB101">
            <v>0</v>
          </cell>
          <cell r="BC101">
            <v>0</v>
          </cell>
          <cell r="BD101">
            <v>0</v>
          </cell>
          <cell r="BE101">
            <v>0</v>
          </cell>
          <cell r="BF101">
            <v>0</v>
          </cell>
          <cell r="BG101">
            <v>0</v>
          </cell>
          <cell r="BH101">
            <v>0</v>
          </cell>
          <cell r="BJ101">
            <v>0</v>
          </cell>
          <cell r="BL101">
            <v>0</v>
          </cell>
          <cell r="BM101">
            <v>0</v>
          </cell>
          <cell r="BN101">
            <v>0</v>
          </cell>
          <cell r="BO101">
            <v>0</v>
          </cell>
          <cell r="BQ101">
            <v>0</v>
          </cell>
          <cell r="BR101">
            <v>0</v>
          </cell>
          <cell r="BS101">
            <v>0</v>
          </cell>
          <cell r="BT101">
            <v>0</v>
          </cell>
          <cell r="CB101">
            <v>0</v>
          </cell>
          <cell r="CC101">
            <v>0</v>
          </cell>
          <cell r="CD101">
            <v>0</v>
          </cell>
          <cell r="CE101">
            <v>0</v>
          </cell>
          <cell r="CF101">
            <v>0</v>
          </cell>
          <cell r="CI101">
            <v>0</v>
          </cell>
          <cell r="CJ101">
            <v>0</v>
          </cell>
          <cell r="CK101">
            <v>0</v>
          </cell>
          <cell r="CV101">
            <v>1.9460158818062662E-3</v>
          </cell>
          <cell r="DG101">
            <v>84658305</v>
          </cell>
          <cell r="DR101">
            <v>27324139.419999998</v>
          </cell>
          <cell r="EC101">
            <v>3.0982972125385242</v>
          </cell>
          <cell r="EN101">
            <v>2.4095909012463064E-2</v>
          </cell>
        </row>
        <row r="102">
          <cell r="B102">
            <v>31400</v>
          </cell>
          <cell r="C102" t="str">
            <v>Caldwell County Schools</v>
          </cell>
          <cell r="D102">
            <v>4.0574655579773767E-3</v>
          </cell>
          <cell r="E102">
            <v>7020361.4904875495</v>
          </cell>
          <cell r="F102">
            <v>5473936.854363149</v>
          </cell>
          <cell r="G102">
            <v>-264188</v>
          </cell>
          <cell r="H102">
            <v>-1958930.3124447535</v>
          </cell>
          <cell r="I102">
            <v>-81064.23243475116</v>
          </cell>
          <cell r="J102">
            <v>5924202.9400876788</v>
          </cell>
          <cell r="K102">
            <v>0</v>
          </cell>
          <cell r="L102">
            <v>-311267.4571615156</v>
          </cell>
          <cell r="M102">
            <v>55859.175652809135</v>
          </cell>
          <cell r="N102">
            <v>2105.7434752790991</v>
          </cell>
          <cell r="O102">
            <v>-950.29900833388137</v>
          </cell>
          <cell r="P102">
            <v>0</v>
          </cell>
          <cell r="Q102">
            <v>0</v>
          </cell>
          <cell r="R102">
            <v>0</v>
          </cell>
          <cell r="S102">
            <v>15860065.903017111</v>
          </cell>
          <cell r="T102">
            <v>23406.050000000279</v>
          </cell>
          <cell r="U102">
            <v>29621014.700438395</v>
          </cell>
          <cell r="V102">
            <v>223436.70261123654</v>
          </cell>
          <cell r="W102">
            <v>0</v>
          </cell>
          <cell r="X102">
            <v>29867857.453049634</v>
          </cell>
          <cell r="Y102">
            <v>1344345</v>
          </cell>
          <cell r="Z102">
            <v>0</v>
          </cell>
          <cell r="AA102">
            <v>0</v>
          </cell>
          <cell r="AB102">
            <v>405321.16217375582</v>
          </cell>
          <cell r="AC102">
            <v>1749666.1621737559</v>
          </cell>
          <cell r="AD102" t="str">
            <v>N/A</v>
          </cell>
          <cell r="AE102">
            <v>5634810</v>
          </cell>
          <cell r="AF102">
            <v>5634810</v>
          </cell>
          <cell r="AG102">
            <v>5634810</v>
          </cell>
          <cell r="AH102">
            <v>5634810</v>
          </cell>
          <cell r="AI102">
            <v>5578951</v>
          </cell>
          <cell r="AJ102">
            <v>0</v>
          </cell>
          <cell r="AK102">
            <v>28118191</v>
          </cell>
          <cell r="AL102">
            <v>136136428</v>
          </cell>
          <cell r="AM102">
            <v>15860065.903017111</v>
          </cell>
          <cell r="AN102">
            <v>-3601142.0500000003</v>
          </cell>
          <cell r="AO102">
            <v>29439130.240875877</v>
          </cell>
          <cell r="AP102">
            <v>0</v>
          </cell>
          <cell r="AQ102">
            <v>-1320938.9499999997</v>
          </cell>
          <cell r="AR102">
            <v>0</v>
          </cell>
          <cell r="AS102">
            <v>0</v>
          </cell>
          <cell r="AT102">
            <v>176513543.14389297</v>
          </cell>
          <cell r="AU102">
            <v>4.1061230439273901E-3</v>
          </cell>
          <cell r="AV102">
            <v>0</v>
          </cell>
          <cell r="AW102">
            <v>0</v>
          </cell>
          <cell r="AY102">
            <v>0</v>
          </cell>
          <cell r="AZ102">
            <v>0</v>
          </cell>
          <cell r="BA102">
            <v>0</v>
          </cell>
          <cell r="BB102">
            <v>0</v>
          </cell>
          <cell r="BC102">
            <v>0</v>
          </cell>
          <cell r="BD102">
            <v>0</v>
          </cell>
          <cell r="BE102">
            <v>0</v>
          </cell>
          <cell r="BF102">
            <v>0</v>
          </cell>
          <cell r="BG102">
            <v>0</v>
          </cell>
          <cell r="BH102">
            <v>0</v>
          </cell>
          <cell r="BJ102">
            <v>0</v>
          </cell>
          <cell r="BL102">
            <v>0</v>
          </cell>
          <cell r="BM102">
            <v>0</v>
          </cell>
          <cell r="BN102">
            <v>0</v>
          </cell>
          <cell r="BO102">
            <v>0</v>
          </cell>
          <cell r="BQ102">
            <v>0</v>
          </cell>
          <cell r="BR102">
            <v>0</v>
          </cell>
          <cell r="BS102">
            <v>0</v>
          </cell>
          <cell r="BT102">
            <v>0</v>
          </cell>
          <cell r="CB102">
            <v>0</v>
          </cell>
          <cell r="CC102">
            <v>0</v>
          </cell>
          <cell r="CD102">
            <v>0</v>
          </cell>
          <cell r="CE102">
            <v>0</v>
          </cell>
          <cell r="CF102">
            <v>0</v>
          </cell>
          <cell r="CI102">
            <v>0</v>
          </cell>
          <cell r="CJ102">
            <v>0</v>
          </cell>
          <cell r="CK102">
            <v>0</v>
          </cell>
          <cell r="CV102">
            <v>4.0574655579773767E-3</v>
          </cell>
          <cell r="DG102">
            <v>176513543</v>
          </cell>
          <cell r="DR102">
            <v>62632254.550000124</v>
          </cell>
          <cell r="EC102">
            <v>2.8182530593575712</v>
          </cell>
          <cell r="EN102">
            <v>2.4095909012463064E-2</v>
          </cell>
        </row>
        <row r="103">
          <cell r="B103">
            <v>31405</v>
          </cell>
          <cell r="C103" t="str">
            <v>Caldwell Community College</v>
          </cell>
          <cell r="D103">
            <v>8.1736013230384469E-4</v>
          </cell>
          <cell r="E103">
            <v>1414223.6119303405</v>
          </cell>
          <cell r="F103">
            <v>1102702.5830714647</v>
          </cell>
          <cell r="G103">
            <v>-407386</v>
          </cell>
          <cell r="H103">
            <v>-394618.63975797256</v>
          </cell>
          <cell r="I103">
            <v>-16330.063878843472</v>
          </cell>
          <cell r="J103">
            <v>1193406.8767101755</v>
          </cell>
          <cell r="K103">
            <v>0</v>
          </cell>
          <cell r="L103">
            <v>-62703.578460994599</v>
          </cell>
          <cell r="M103">
            <v>11252.60647307221</v>
          </cell>
          <cell r="N103">
            <v>424.19356146304932</v>
          </cell>
          <cell r="O103">
            <v>-191.43391658688347</v>
          </cell>
          <cell r="P103">
            <v>0</v>
          </cell>
          <cell r="Q103">
            <v>0</v>
          </cell>
          <cell r="R103">
            <v>0</v>
          </cell>
          <cell r="S103">
            <v>2840780.1557321185</v>
          </cell>
          <cell r="T103">
            <v>88598.320000000182</v>
          </cell>
          <cell r="U103">
            <v>5967034.3835508786</v>
          </cell>
          <cell r="V103">
            <v>45010.42589228884</v>
          </cell>
          <cell r="W103">
            <v>0</v>
          </cell>
          <cell r="X103">
            <v>6100643.1294431677</v>
          </cell>
          <cell r="Y103">
            <v>2125528</v>
          </cell>
          <cell r="Z103">
            <v>0</v>
          </cell>
          <cell r="AA103">
            <v>0</v>
          </cell>
          <cell r="AB103">
            <v>81650.319394217353</v>
          </cell>
          <cell r="AC103">
            <v>2207178.3193942173</v>
          </cell>
          <cell r="AD103" t="str">
            <v>N/A</v>
          </cell>
          <cell r="AE103">
            <v>780943</v>
          </cell>
          <cell r="AF103">
            <v>780943</v>
          </cell>
          <cell r="AG103">
            <v>780943</v>
          </cell>
          <cell r="AH103">
            <v>780943</v>
          </cell>
          <cell r="AI103">
            <v>769691</v>
          </cell>
          <cell r="AJ103">
            <v>0</v>
          </cell>
          <cell r="AK103">
            <v>3893463</v>
          </cell>
          <cell r="AL103">
            <v>29649795</v>
          </cell>
          <cell r="AM103">
            <v>2840780.1557321185</v>
          </cell>
          <cell r="AN103">
            <v>-826096.32000000018</v>
          </cell>
          <cell r="AO103">
            <v>5930394.4900489505</v>
          </cell>
          <cell r="AP103">
            <v>0</v>
          </cell>
          <cell r="AQ103">
            <v>-2036929.6799999997</v>
          </cell>
          <cell r="AR103">
            <v>0</v>
          </cell>
          <cell r="AS103">
            <v>0</v>
          </cell>
          <cell r="AT103">
            <v>35557943.64578107</v>
          </cell>
          <cell r="AU103">
            <v>8.9429191443774793E-4</v>
          </cell>
          <cell r="AV103">
            <v>0</v>
          </cell>
          <cell r="AW103">
            <v>0</v>
          </cell>
          <cell r="AY103">
            <v>0</v>
          </cell>
          <cell r="AZ103">
            <v>0</v>
          </cell>
          <cell r="BA103">
            <v>0</v>
          </cell>
          <cell r="BB103">
            <v>0</v>
          </cell>
          <cell r="BC103">
            <v>0</v>
          </cell>
          <cell r="BD103">
            <v>0</v>
          </cell>
          <cell r="BE103">
            <v>0</v>
          </cell>
          <cell r="BF103">
            <v>0</v>
          </cell>
          <cell r="BG103">
            <v>0</v>
          </cell>
          <cell r="BH103">
            <v>0</v>
          </cell>
          <cell r="BJ103">
            <v>0</v>
          </cell>
          <cell r="BL103">
            <v>0</v>
          </cell>
          <cell r="BM103">
            <v>0</v>
          </cell>
          <cell r="BN103">
            <v>0</v>
          </cell>
          <cell r="BO103">
            <v>0</v>
          </cell>
          <cell r="BQ103">
            <v>0</v>
          </cell>
          <cell r="BR103">
            <v>0</v>
          </cell>
          <cell r="BS103">
            <v>0</v>
          </cell>
          <cell r="BT103">
            <v>0</v>
          </cell>
          <cell r="CB103">
            <v>0</v>
          </cell>
          <cell r="CC103">
            <v>0</v>
          </cell>
          <cell r="CD103">
            <v>0</v>
          </cell>
          <cell r="CE103">
            <v>0</v>
          </cell>
          <cell r="CF103">
            <v>0</v>
          </cell>
          <cell r="CI103">
            <v>0</v>
          </cell>
          <cell r="CJ103">
            <v>0</v>
          </cell>
          <cell r="CK103">
            <v>0</v>
          </cell>
          <cell r="CV103">
            <v>8.1736013230384469E-4</v>
          </cell>
          <cell r="DG103">
            <v>35557944</v>
          </cell>
          <cell r="DR103">
            <v>14321380.540000012</v>
          </cell>
          <cell r="EC103">
            <v>2.4828572846511325</v>
          </cell>
          <cell r="EN103">
            <v>2.4095909012463064E-2</v>
          </cell>
        </row>
        <row r="104">
          <cell r="B104">
            <v>31500</v>
          </cell>
          <cell r="C104" t="str">
            <v>Camden County Schools</v>
          </cell>
          <cell r="D104">
            <v>6.2645628178972259E-4</v>
          </cell>
          <cell r="E104">
            <v>1083915.4376809888</v>
          </cell>
          <cell r="F104">
            <v>845153.72454461351</v>
          </cell>
          <cell r="G104">
            <v>-104824</v>
          </cell>
          <cell r="H104">
            <v>-302450.92220353044</v>
          </cell>
          <cell r="I104">
            <v>-12515.989824575905</v>
          </cell>
          <cell r="J104">
            <v>914672.98819539684</v>
          </cell>
          <cell r="K104">
            <v>0</v>
          </cell>
          <cell r="L104">
            <v>-48058.437236063422</v>
          </cell>
          <cell r="M104">
            <v>8624.4309368190388</v>
          </cell>
          <cell r="N104">
            <v>325.11828112323025</v>
          </cell>
          <cell r="O104">
            <v>-146.72232575797094</v>
          </cell>
          <cell r="P104">
            <v>0</v>
          </cell>
          <cell r="Q104">
            <v>0</v>
          </cell>
          <cell r="R104">
            <v>0</v>
          </cell>
          <cell r="S104">
            <v>2384695.6280490132</v>
          </cell>
          <cell r="T104">
            <v>26987.269999999902</v>
          </cell>
          <cell r="U104">
            <v>4573364.9409769839</v>
          </cell>
          <cell r="V104">
            <v>34497.723747276155</v>
          </cell>
          <cell r="W104">
            <v>0</v>
          </cell>
          <cell r="X104">
            <v>4634849.9347242592</v>
          </cell>
          <cell r="Y104">
            <v>551107</v>
          </cell>
          <cell r="Z104">
            <v>0</v>
          </cell>
          <cell r="AA104">
            <v>0</v>
          </cell>
          <cell r="AB104">
            <v>62579.949122879523</v>
          </cell>
          <cell r="AC104">
            <v>613686.94912287954</v>
          </cell>
          <cell r="AD104" t="str">
            <v>N/A</v>
          </cell>
          <cell r="AE104">
            <v>805957</v>
          </cell>
          <cell r="AF104">
            <v>805957</v>
          </cell>
          <cell r="AG104">
            <v>805957</v>
          </cell>
          <cell r="AH104">
            <v>805957</v>
          </cell>
          <cell r="AI104">
            <v>797333</v>
          </cell>
          <cell r="AJ104">
            <v>0</v>
          </cell>
          <cell r="AK104">
            <v>4021161</v>
          </cell>
          <cell r="AL104">
            <v>21431169</v>
          </cell>
          <cell r="AM104">
            <v>2384695.6280490132</v>
          </cell>
          <cell r="AN104">
            <v>-584050.2699999999</v>
          </cell>
          <cell r="AO104">
            <v>4545282.7156013809</v>
          </cell>
          <cell r="AP104">
            <v>0</v>
          </cell>
          <cell r="AQ104">
            <v>-524119.7300000001</v>
          </cell>
          <cell r="AR104">
            <v>0</v>
          </cell>
          <cell r="AS104">
            <v>0</v>
          </cell>
          <cell r="AT104">
            <v>27252977.343650393</v>
          </cell>
          <cell r="AU104">
            <v>6.4640315273709439E-4</v>
          </cell>
          <cell r="AV104">
            <v>0</v>
          </cell>
          <cell r="AW104">
            <v>0</v>
          </cell>
          <cell r="AY104">
            <v>0</v>
          </cell>
          <cell r="AZ104">
            <v>0</v>
          </cell>
          <cell r="BA104">
            <v>0</v>
          </cell>
          <cell r="BB104">
            <v>0</v>
          </cell>
          <cell r="BC104">
            <v>0</v>
          </cell>
          <cell r="BD104">
            <v>0</v>
          </cell>
          <cell r="BE104">
            <v>0</v>
          </cell>
          <cell r="BF104">
            <v>0</v>
          </cell>
          <cell r="BG104">
            <v>0</v>
          </cell>
          <cell r="BH104">
            <v>0</v>
          </cell>
          <cell r="BJ104">
            <v>0</v>
          </cell>
          <cell r="BL104">
            <v>0</v>
          </cell>
          <cell r="BM104">
            <v>0</v>
          </cell>
          <cell r="BN104">
            <v>0</v>
          </cell>
          <cell r="BO104">
            <v>0</v>
          </cell>
          <cell r="BQ104">
            <v>0</v>
          </cell>
          <cell r="BR104">
            <v>0</v>
          </cell>
          <cell r="BS104">
            <v>0</v>
          </cell>
          <cell r="BT104">
            <v>0</v>
          </cell>
          <cell r="CB104">
            <v>0</v>
          </cell>
          <cell r="CC104">
            <v>0</v>
          </cell>
          <cell r="CD104">
            <v>0</v>
          </cell>
          <cell r="CE104">
            <v>0</v>
          </cell>
          <cell r="CF104">
            <v>0</v>
          </cell>
          <cell r="CI104">
            <v>0</v>
          </cell>
          <cell r="CJ104">
            <v>0</v>
          </cell>
          <cell r="CK104">
            <v>0</v>
          </cell>
          <cell r="CV104">
            <v>6.2645628178972259E-4</v>
          </cell>
          <cell r="DG104">
            <v>27252978</v>
          </cell>
          <cell r="DR104">
            <v>10090422.93</v>
          </cell>
          <cell r="EC104">
            <v>2.7008756906485782</v>
          </cell>
          <cell r="EN104">
            <v>2.4095909012463064E-2</v>
          </cell>
        </row>
        <row r="105">
          <cell r="B105">
            <v>31600</v>
          </cell>
          <cell r="C105" t="str">
            <v>Carteret County Schools</v>
          </cell>
          <cell r="D105">
            <v>2.8955995387210634E-3</v>
          </cell>
          <cell r="E105">
            <v>5010062.3660362838</v>
          </cell>
          <cell r="F105">
            <v>3906460.5241858074</v>
          </cell>
          <cell r="G105">
            <v>9033</v>
          </cell>
          <cell r="H105">
            <v>-1397985.4241644714</v>
          </cell>
          <cell r="I105">
            <v>-57851.274568022178</v>
          </cell>
          <cell r="J105">
            <v>4227791.7225646349</v>
          </cell>
          <cell r="K105">
            <v>0</v>
          </cell>
          <cell r="L105">
            <v>-222135.19560349852</v>
          </cell>
          <cell r="M105">
            <v>39863.752616606893</v>
          </cell>
          <cell r="N105">
            <v>1502.7582486054575</v>
          </cell>
          <cell r="O105">
            <v>-678.1783679638603</v>
          </cell>
          <cell r="P105">
            <v>0</v>
          </cell>
          <cell r="Q105">
            <v>0</v>
          </cell>
          <cell r="R105">
            <v>0</v>
          </cell>
          <cell r="S105">
            <v>11516064.050947983</v>
          </cell>
          <cell r="T105">
            <v>53766</v>
          </cell>
          <cell r="U105">
            <v>21138958.612823177</v>
          </cell>
          <cell r="V105">
            <v>159455.01046642757</v>
          </cell>
          <cell r="W105">
            <v>0</v>
          </cell>
          <cell r="X105">
            <v>21352179.623289604</v>
          </cell>
          <cell r="Y105">
            <v>8597.8000000002794</v>
          </cell>
          <cell r="Z105">
            <v>0</v>
          </cell>
          <cell r="AA105">
            <v>0</v>
          </cell>
          <cell r="AB105">
            <v>289256.37284011091</v>
          </cell>
          <cell r="AC105">
            <v>297854.17284011119</v>
          </cell>
          <cell r="AD105" t="str">
            <v>N/A</v>
          </cell>
          <cell r="AE105">
            <v>4218837</v>
          </cell>
          <cell r="AF105">
            <v>4218838</v>
          </cell>
          <cell r="AG105">
            <v>4218838</v>
          </cell>
          <cell r="AH105">
            <v>4218838</v>
          </cell>
          <cell r="AI105">
            <v>4178974</v>
          </cell>
          <cell r="AJ105">
            <v>0</v>
          </cell>
          <cell r="AK105">
            <v>21054325</v>
          </cell>
          <cell r="AL105">
            <v>95937616</v>
          </cell>
          <cell r="AM105">
            <v>11516064.050947983</v>
          </cell>
          <cell r="AN105">
            <v>-2539583.1999999997</v>
          </cell>
          <cell r="AO105">
            <v>21009157.250449494</v>
          </cell>
          <cell r="AP105">
            <v>0</v>
          </cell>
          <cell r="AQ105">
            <v>45168.199999999721</v>
          </cell>
          <cell r="AR105">
            <v>0</v>
          </cell>
          <cell r="AS105">
            <v>0</v>
          </cell>
          <cell r="AT105">
            <v>125968422.30139747</v>
          </cell>
          <cell r="AU105">
            <v>2.8936535350860965E-3</v>
          </cell>
          <cell r="AV105">
            <v>0</v>
          </cell>
          <cell r="AW105">
            <v>0</v>
          </cell>
          <cell r="AY105">
            <v>0</v>
          </cell>
          <cell r="AZ105">
            <v>0</v>
          </cell>
          <cell r="BA105">
            <v>0</v>
          </cell>
          <cell r="BB105">
            <v>0</v>
          </cell>
          <cell r="BC105">
            <v>0</v>
          </cell>
          <cell r="BD105">
            <v>0</v>
          </cell>
          <cell r="BE105">
            <v>0</v>
          </cell>
          <cell r="BF105">
            <v>0</v>
          </cell>
          <cell r="BG105">
            <v>0</v>
          </cell>
          <cell r="BH105">
            <v>0</v>
          </cell>
          <cell r="BJ105">
            <v>0</v>
          </cell>
          <cell r="BL105">
            <v>0</v>
          </cell>
          <cell r="BM105">
            <v>0</v>
          </cell>
          <cell r="BN105">
            <v>0</v>
          </cell>
          <cell r="BO105">
            <v>0</v>
          </cell>
          <cell r="BQ105">
            <v>0</v>
          </cell>
          <cell r="BR105">
            <v>0</v>
          </cell>
          <cell r="BS105">
            <v>0</v>
          </cell>
          <cell r="BT105">
            <v>0</v>
          </cell>
          <cell r="CB105">
            <v>0</v>
          </cell>
          <cell r="CC105">
            <v>0</v>
          </cell>
          <cell r="CD105">
            <v>0</v>
          </cell>
          <cell r="CE105">
            <v>0</v>
          </cell>
          <cell r="CF105">
            <v>0</v>
          </cell>
          <cell r="CI105">
            <v>0</v>
          </cell>
          <cell r="CJ105">
            <v>0</v>
          </cell>
          <cell r="CK105">
            <v>0</v>
          </cell>
          <cell r="CV105">
            <v>2.8955995387210634E-3</v>
          </cell>
          <cell r="DG105">
            <v>125968422</v>
          </cell>
          <cell r="DR105">
            <v>44557895.530000061</v>
          </cell>
          <cell r="EC105">
            <v>2.8270729688117258</v>
          </cell>
          <cell r="EN105">
            <v>2.4095909012463064E-2</v>
          </cell>
        </row>
        <row r="106">
          <cell r="B106">
            <v>31605</v>
          </cell>
          <cell r="C106" t="str">
            <v>Carteret Community College</v>
          </cell>
          <cell r="D106">
            <v>3.9857591310894303E-4</v>
          </cell>
          <cell r="E106">
            <v>689629.26522555517</v>
          </cell>
          <cell r="F106">
            <v>537719.75358827005</v>
          </cell>
          <cell r="G106">
            <v>-34040</v>
          </cell>
          <cell r="H106">
            <v>-192431.06980029924</v>
          </cell>
          <cell r="I106">
            <v>-7963.1607468931952</v>
          </cell>
          <cell r="J106">
            <v>581950.61980148975</v>
          </cell>
          <cell r="K106">
            <v>0</v>
          </cell>
          <cell r="L106">
            <v>-30576.651652736375</v>
          </cell>
          <cell r="M106">
            <v>5487.1992437638282</v>
          </cell>
          <cell r="N106">
            <v>206.85292738527926</v>
          </cell>
          <cell r="O106">
            <v>-93.350464609245549</v>
          </cell>
          <cell r="P106">
            <v>0</v>
          </cell>
          <cell r="Q106">
            <v>0</v>
          </cell>
          <cell r="R106">
            <v>0</v>
          </cell>
          <cell r="S106">
            <v>1549889.4581219263</v>
          </cell>
          <cell r="T106">
            <v>56023.780000000028</v>
          </cell>
          <cell r="U106">
            <v>2909753.0990074486</v>
          </cell>
          <cell r="V106">
            <v>21948.796975055313</v>
          </cell>
          <cell r="W106">
            <v>0</v>
          </cell>
          <cell r="X106">
            <v>2987725.6759825037</v>
          </cell>
          <cell r="Y106">
            <v>226222</v>
          </cell>
          <cell r="Z106">
            <v>0</v>
          </cell>
          <cell r="AA106">
            <v>0</v>
          </cell>
          <cell r="AB106">
            <v>39815.803734465975</v>
          </cell>
          <cell r="AC106">
            <v>266037.80373446597</v>
          </cell>
          <cell r="AD106" t="str">
            <v>N/A</v>
          </cell>
          <cell r="AE106">
            <v>545436</v>
          </cell>
          <cell r="AF106">
            <v>545435</v>
          </cell>
          <cell r="AG106">
            <v>545435</v>
          </cell>
          <cell r="AH106">
            <v>545435</v>
          </cell>
          <cell r="AI106">
            <v>539947</v>
          </cell>
          <cell r="AJ106">
            <v>0</v>
          </cell>
          <cell r="AK106">
            <v>2721688</v>
          </cell>
          <cell r="AL106">
            <v>13486049</v>
          </cell>
          <cell r="AM106">
            <v>1549889.4581219263</v>
          </cell>
          <cell r="AN106">
            <v>-418219.78</v>
          </cell>
          <cell r="AO106">
            <v>2891886.0922480379</v>
          </cell>
          <cell r="AP106">
            <v>0</v>
          </cell>
          <cell r="AQ106">
            <v>-170198.21999999997</v>
          </cell>
          <cell r="AR106">
            <v>0</v>
          </cell>
          <cell r="AS106">
            <v>0</v>
          </cell>
          <cell r="AT106">
            <v>17339406.550369967</v>
          </cell>
          <cell r="AU106">
            <v>4.067638508859306E-4</v>
          </cell>
          <cell r="AV106">
            <v>0</v>
          </cell>
          <cell r="AW106">
            <v>0</v>
          </cell>
          <cell r="AY106">
            <v>0</v>
          </cell>
          <cell r="AZ106">
            <v>0</v>
          </cell>
          <cell r="BA106">
            <v>0</v>
          </cell>
          <cell r="BB106">
            <v>0</v>
          </cell>
          <cell r="BC106">
            <v>0</v>
          </cell>
          <cell r="BD106">
            <v>0</v>
          </cell>
          <cell r="BE106">
            <v>0</v>
          </cell>
          <cell r="BF106">
            <v>0</v>
          </cell>
          <cell r="BG106">
            <v>0</v>
          </cell>
          <cell r="BH106">
            <v>0</v>
          </cell>
          <cell r="BJ106">
            <v>0</v>
          </cell>
          <cell r="BL106">
            <v>0</v>
          </cell>
          <cell r="BM106">
            <v>0</v>
          </cell>
          <cell r="BN106">
            <v>0</v>
          </cell>
          <cell r="BO106">
            <v>0</v>
          </cell>
          <cell r="BQ106">
            <v>0</v>
          </cell>
          <cell r="BR106">
            <v>0</v>
          </cell>
          <cell r="BS106">
            <v>0</v>
          </cell>
          <cell r="BT106">
            <v>0</v>
          </cell>
          <cell r="CB106">
            <v>0</v>
          </cell>
          <cell r="CC106">
            <v>0</v>
          </cell>
          <cell r="CD106">
            <v>0</v>
          </cell>
          <cell r="CE106">
            <v>0</v>
          </cell>
          <cell r="CF106">
            <v>0</v>
          </cell>
          <cell r="CI106">
            <v>0</v>
          </cell>
          <cell r="CJ106">
            <v>0</v>
          </cell>
          <cell r="CK106">
            <v>0</v>
          </cell>
          <cell r="CV106">
            <v>3.9857591310894303E-4</v>
          </cell>
          <cell r="DG106">
            <v>17339407</v>
          </cell>
          <cell r="DR106">
            <v>7142382.8599999985</v>
          </cell>
          <cell r="EC106">
            <v>2.4276781768598727</v>
          </cell>
          <cell r="EN106">
            <v>2.4095909012463064E-2</v>
          </cell>
        </row>
        <row r="107">
          <cell r="B107">
            <v>31700</v>
          </cell>
          <cell r="C107" t="str">
            <v>Caswell County Schools</v>
          </cell>
          <cell r="D107">
            <v>8.4030413506430116E-4</v>
          </cell>
          <cell r="E107">
            <v>1453922.0865361099</v>
          </cell>
          <cell r="F107">
            <v>1133656.3941395937</v>
          </cell>
          <cell r="G107">
            <v>-145441</v>
          </cell>
          <cell r="H107">
            <v>-405695.9247907208</v>
          </cell>
          <cell r="I107">
            <v>-16788.462834097791</v>
          </cell>
          <cell r="J107">
            <v>1226906.8354081945</v>
          </cell>
          <cell r="K107">
            <v>0</v>
          </cell>
          <cell r="L107">
            <v>-64463.721903817612</v>
          </cell>
          <cell r="M107">
            <v>11568.476826636903</v>
          </cell>
          <cell r="N107">
            <v>436.101040015671</v>
          </cell>
          <cell r="O107">
            <v>-196.80763147340997</v>
          </cell>
          <cell r="P107">
            <v>0</v>
          </cell>
          <cell r="Q107">
            <v>0</v>
          </cell>
          <cell r="R107">
            <v>0</v>
          </cell>
          <cell r="S107">
            <v>3193903.9767904412</v>
          </cell>
          <cell r="T107">
            <v>59673.370000000112</v>
          </cell>
          <cell r="U107">
            <v>6134534.1770409727</v>
          </cell>
          <cell r="V107">
            <v>46273.907306547611</v>
          </cell>
          <cell r="W107">
            <v>0</v>
          </cell>
          <cell r="X107">
            <v>6240481.4543475201</v>
          </cell>
          <cell r="Y107">
            <v>786878</v>
          </cell>
          <cell r="Z107">
            <v>0</v>
          </cell>
          <cell r="AA107">
            <v>0</v>
          </cell>
          <cell r="AB107">
            <v>83942.314170488957</v>
          </cell>
          <cell r="AC107">
            <v>870820.31417048897</v>
          </cell>
          <cell r="AD107" t="str">
            <v>N/A</v>
          </cell>
          <cell r="AE107">
            <v>1076246</v>
          </cell>
          <cell r="AF107">
            <v>1076246</v>
          </cell>
          <cell r="AG107">
            <v>1076246</v>
          </cell>
          <cell r="AH107">
            <v>1076246</v>
          </cell>
          <cell r="AI107">
            <v>1064677</v>
          </cell>
          <cell r="AJ107">
            <v>0</v>
          </cell>
          <cell r="AK107">
            <v>5369661</v>
          </cell>
          <cell r="AL107">
            <v>28804112</v>
          </cell>
          <cell r="AM107">
            <v>3193903.9767904412</v>
          </cell>
          <cell r="AN107">
            <v>-811590.37000000011</v>
          </cell>
          <cell r="AO107">
            <v>6096865.7701770319</v>
          </cell>
          <cell r="AP107">
            <v>0</v>
          </cell>
          <cell r="AQ107">
            <v>-727204.62999999989</v>
          </cell>
          <cell r="AR107">
            <v>0</v>
          </cell>
          <cell r="AS107">
            <v>0</v>
          </cell>
          <cell r="AT107">
            <v>36556086.746967472</v>
          </cell>
          <cell r="AU107">
            <v>8.687845739421894E-4</v>
          </cell>
          <cell r="AV107">
            <v>0</v>
          </cell>
          <cell r="AW107">
            <v>0</v>
          </cell>
          <cell r="AY107">
            <v>0</v>
          </cell>
          <cell r="AZ107">
            <v>0</v>
          </cell>
          <cell r="BA107">
            <v>0</v>
          </cell>
          <cell r="BB107">
            <v>0</v>
          </cell>
          <cell r="BC107">
            <v>0</v>
          </cell>
          <cell r="BD107">
            <v>0</v>
          </cell>
          <cell r="BE107">
            <v>0</v>
          </cell>
          <cell r="BF107">
            <v>0</v>
          </cell>
          <cell r="BG107">
            <v>0</v>
          </cell>
          <cell r="BH107">
            <v>0</v>
          </cell>
          <cell r="BJ107">
            <v>0</v>
          </cell>
          <cell r="BL107">
            <v>0</v>
          </cell>
          <cell r="BM107">
            <v>0</v>
          </cell>
          <cell r="BN107">
            <v>0</v>
          </cell>
          <cell r="BO107">
            <v>0</v>
          </cell>
          <cell r="BQ107">
            <v>0</v>
          </cell>
          <cell r="BR107">
            <v>0</v>
          </cell>
          <cell r="BS107">
            <v>0</v>
          </cell>
          <cell r="BT107">
            <v>0</v>
          </cell>
          <cell r="CB107">
            <v>0</v>
          </cell>
          <cell r="CC107">
            <v>0</v>
          </cell>
          <cell r="CD107">
            <v>0</v>
          </cell>
          <cell r="CE107">
            <v>0</v>
          </cell>
          <cell r="CF107">
            <v>0</v>
          </cell>
          <cell r="CI107">
            <v>0</v>
          </cell>
          <cell r="CJ107">
            <v>0</v>
          </cell>
          <cell r="CK107">
            <v>0</v>
          </cell>
          <cell r="CV107">
            <v>8.4030413506430116E-4</v>
          </cell>
          <cell r="DG107">
            <v>36556086</v>
          </cell>
          <cell r="DR107">
            <v>13772995.999999993</v>
          </cell>
          <cell r="EC107">
            <v>2.6541854800509648</v>
          </cell>
          <cell r="EN107">
            <v>2.4095909012463064E-2</v>
          </cell>
        </row>
        <row r="108">
          <cell r="B108">
            <v>31800</v>
          </cell>
          <cell r="C108" t="str">
            <v>Catawba County Schools</v>
          </cell>
          <cell r="D108">
            <v>5.3273257682819267E-3</v>
          </cell>
          <cell r="E108">
            <v>9217515.7463497985</v>
          </cell>
          <cell r="F108">
            <v>7187108.4157110453</v>
          </cell>
          <cell r="G108">
            <v>-601939</v>
          </cell>
          <cell r="H108">
            <v>-2572014.4219678151</v>
          </cell>
          <cell r="I108">
            <v>-106434.8096526845</v>
          </cell>
          <cell r="J108">
            <v>7778293.7472408768</v>
          </cell>
          <cell r="K108">
            <v>0</v>
          </cell>
          <cell r="L108">
            <v>-408684.46612045856</v>
          </cell>
          <cell r="M108">
            <v>73341.355976546722</v>
          </cell>
          <cell r="N108">
            <v>2764.7755272229542</v>
          </cell>
          <cell r="O108">
            <v>-1247.71296818931</v>
          </cell>
          <cell r="P108">
            <v>0</v>
          </cell>
          <cell r="Q108">
            <v>0</v>
          </cell>
          <cell r="R108">
            <v>0</v>
          </cell>
          <cell r="S108">
            <v>20568703.630096346</v>
          </cell>
          <cell r="T108">
            <v>0</v>
          </cell>
          <cell r="U108">
            <v>38891468.736204386</v>
          </cell>
          <cell r="V108">
            <v>293365.42390618689</v>
          </cell>
          <cell r="W108">
            <v>0</v>
          </cell>
          <cell r="X108">
            <v>39184834.16011057</v>
          </cell>
          <cell r="Y108">
            <v>3009694.8499999996</v>
          </cell>
          <cell r="Z108">
            <v>0</v>
          </cell>
          <cell r="AA108">
            <v>0</v>
          </cell>
          <cell r="AB108">
            <v>532174.04826342256</v>
          </cell>
          <cell r="AC108">
            <v>3541868.8982634223</v>
          </cell>
          <cell r="AD108" t="str">
            <v>N/A</v>
          </cell>
          <cell r="AE108">
            <v>7143261</v>
          </cell>
          <cell r="AF108">
            <v>7143261</v>
          </cell>
          <cell r="AG108">
            <v>7143261</v>
          </cell>
          <cell r="AH108">
            <v>7143261</v>
          </cell>
          <cell r="AI108">
            <v>7069920</v>
          </cell>
          <cell r="AJ108">
            <v>0</v>
          </cell>
          <cell r="AK108">
            <v>35642964</v>
          </cell>
          <cell r="AL108">
            <v>180212050</v>
          </cell>
          <cell r="AM108">
            <v>20568703.630096346</v>
          </cell>
          <cell r="AN108">
            <v>-4666941.1500000004</v>
          </cell>
          <cell r="AO108">
            <v>38652660.111847155</v>
          </cell>
          <cell r="AP108">
            <v>0</v>
          </cell>
          <cell r="AQ108">
            <v>-3009694.8499999996</v>
          </cell>
          <cell r="AR108">
            <v>0</v>
          </cell>
          <cell r="AS108">
            <v>0</v>
          </cell>
          <cell r="AT108">
            <v>231756777.74194351</v>
          </cell>
          <cell r="AU108">
            <v>5.4355242125237579E-3</v>
          </cell>
          <cell r="AV108">
            <v>0</v>
          </cell>
          <cell r="AW108">
            <v>0</v>
          </cell>
          <cell r="AY108">
            <v>0</v>
          </cell>
          <cell r="AZ108">
            <v>0</v>
          </cell>
          <cell r="BA108">
            <v>0</v>
          </cell>
          <cell r="BB108">
            <v>0</v>
          </cell>
          <cell r="BC108">
            <v>0</v>
          </cell>
          <cell r="BD108">
            <v>0</v>
          </cell>
          <cell r="BE108">
            <v>0</v>
          </cell>
          <cell r="BF108">
            <v>0</v>
          </cell>
          <cell r="BG108">
            <v>0</v>
          </cell>
          <cell r="BH108">
            <v>0</v>
          </cell>
          <cell r="BJ108">
            <v>0</v>
          </cell>
          <cell r="BL108">
            <v>0</v>
          </cell>
          <cell r="BM108">
            <v>0</v>
          </cell>
          <cell r="BN108">
            <v>0</v>
          </cell>
          <cell r="BO108">
            <v>0</v>
          </cell>
          <cell r="BQ108">
            <v>0</v>
          </cell>
          <cell r="BR108">
            <v>0</v>
          </cell>
          <cell r="BS108">
            <v>0</v>
          </cell>
          <cell r="BT108">
            <v>0</v>
          </cell>
          <cell r="CB108">
            <v>0</v>
          </cell>
          <cell r="CC108">
            <v>0</v>
          </cell>
          <cell r="CD108">
            <v>0</v>
          </cell>
          <cell r="CE108">
            <v>0</v>
          </cell>
          <cell r="CF108">
            <v>0</v>
          </cell>
          <cell r="CI108">
            <v>0</v>
          </cell>
          <cell r="CJ108">
            <v>0</v>
          </cell>
          <cell r="CK108">
            <v>0</v>
          </cell>
          <cell r="CV108">
            <v>5.3273257682819267E-3</v>
          </cell>
          <cell r="DG108">
            <v>231756779</v>
          </cell>
          <cell r="DR108">
            <v>82414063.260000065</v>
          </cell>
          <cell r="EC108">
            <v>2.8121023261388438</v>
          </cell>
          <cell r="EN108">
            <v>2.4095909012463064E-2</v>
          </cell>
        </row>
        <row r="109">
          <cell r="B109">
            <v>31805</v>
          </cell>
          <cell r="C109" t="str">
            <v>Catawba Valley Community College</v>
          </cell>
          <cell r="D109">
            <v>9.9102628267439311E-4</v>
          </cell>
          <cell r="E109">
            <v>1714706.545634005</v>
          </cell>
          <cell r="F109">
            <v>1336996.017552916</v>
          </cell>
          <cell r="G109">
            <v>-204168</v>
          </cell>
          <cell r="H109">
            <v>-478464.05541099998</v>
          </cell>
          <cell r="I109">
            <v>-19799.745377927949</v>
          </cell>
          <cell r="J109">
            <v>1446972.4347951049</v>
          </cell>
          <cell r="K109">
            <v>0</v>
          </cell>
          <cell r="L109">
            <v>-76026.33382353597</v>
          </cell>
          <cell r="M109">
            <v>13643.470390431363</v>
          </cell>
          <cell r="N109">
            <v>514.32282018235651</v>
          </cell>
          <cell r="O109">
            <v>-232.1082656651696</v>
          </cell>
          <cell r="P109">
            <v>0</v>
          </cell>
          <cell r="Q109">
            <v>0</v>
          </cell>
          <cell r="R109">
            <v>0</v>
          </cell>
          <cell r="S109">
            <v>3734142.5483145108</v>
          </cell>
          <cell r="T109">
            <v>93127.410000000149</v>
          </cell>
          <cell r="U109">
            <v>7234862.1739755236</v>
          </cell>
          <cell r="V109">
            <v>54573.881561725451</v>
          </cell>
          <cell r="W109">
            <v>0</v>
          </cell>
          <cell r="X109">
            <v>7382563.4655372491</v>
          </cell>
          <cell r="Y109">
            <v>1113964</v>
          </cell>
          <cell r="Z109">
            <v>0</v>
          </cell>
          <cell r="AA109">
            <v>0</v>
          </cell>
          <cell r="AB109">
            <v>98998.726889639744</v>
          </cell>
          <cell r="AC109">
            <v>1212962.7268896396</v>
          </cell>
          <cell r="AD109" t="str">
            <v>N/A</v>
          </cell>
          <cell r="AE109">
            <v>1236648</v>
          </cell>
          <cell r="AF109">
            <v>1236649</v>
          </cell>
          <cell r="AG109">
            <v>1236649</v>
          </cell>
          <cell r="AH109">
            <v>1236649</v>
          </cell>
          <cell r="AI109">
            <v>1223006</v>
          </cell>
          <cell r="AJ109">
            <v>0</v>
          </cell>
          <cell r="AK109">
            <v>6169601</v>
          </cell>
          <cell r="AL109">
            <v>34193731</v>
          </cell>
          <cell r="AM109">
            <v>3734142.5483145108</v>
          </cell>
          <cell r="AN109">
            <v>-984462.41000000015</v>
          </cell>
          <cell r="AO109">
            <v>7190437.3286476098</v>
          </cell>
          <cell r="AP109">
            <v>0</v>
          </cell>
          <cell r="AQ109">
            <v>-1020836.5899999999</v>
          </cell>
          <cell r="AR109">
            <v>0</v>
          </cell>
          <cell r="AS109">
            <v>0</v>
          </cell>
          <cell r="AT109">
            <v>43113011.876962125</v>
          </cell>
          <cell r="AU109">
            <v>1.0313453086340505E-3</v>
          </cell>
          <cell r="AV109">
            <v>0</v>
          </cell>
          <cell r="AW109">
            <v>0</v>
          </cell>
          <cell r="AY109">
            <v>0</v>
          </cell>
          <cell r="AZ109">
            <v>0</v>
          </cell>
          <cell r="BA109">
            <v>0</v>
          </cell>
          <cell r="BB109">
            <v>0</v>
          </cell>
          <cell r="BC109">
            <v>0</v>
          </cell>
          <cell r="BD109">
            <v>0</v>
          </cell>
          <cell r="BE109">
            <v>0</v>
          </cell>
          <cell r="BF109">
            <v>0</v>
          </cell>
          <cell r="BG109">
            <v>0</v>
          </cell>
          <cell r="BH109">
            <v>0</v>
          </cell>
          <cell r="BJ109">
            <v>0</v>
          </cell>
          <cell r="BL109">
            <v>0</v>
          </cell>
          <cell r="BM109">
            <v>0</v>
          </cell>
          <cell r="BN109">
            <v>0</v>
          </cell>
          <cell r="BO109">
            <v>0</v>
          </cell>
          <cell r="BQ109">
            <v>0</v>
          </cell>
          <cell r="BR109">
            <v>0</v>
          </cell>
          <cell r="BS109">
            <v>0</v>
          </cell>
          <cell r="BT109">
            <v>0</v>
          </cell>
          <cell r="CB109">
            <v>0</v>
          </cell>
          <cell r="CC109">
            <v>0</v>
          </cell>
          <cell r="CD109">
            <v>0</v>
          </cell>
          <cell r="CE109">
            <v>0</v>
          </cell>
          <cell r="CF109">
            <v>0</v>
          </cell>
          <cell r="CI109">
            <v>0</v>
          </cell>
          <cell r="CJ109">
            <v>0</v>
          </cell>
          <cell r="CK109">
            <v>0</v>
          </cell>
          <cell r="CV109">
            <v>9.9102628267439311E-4</v>
          </cell>
          <cell r="DG109">
            <v>43113012</v>
          </cell>
          <cell r="DR109">
            <v>16926582.729999989</v>
          </cell>
          <cell r="EC109">
            <v>2.5470594205402279</v>
          </cell>
          <cell r="EN109">
            <v>2.4095909012463064E-2</v>
          </cell>
        </row>
        <row r="110">
          <cell r="B110">
            <v>31810</v>
          </cell>
          <cell r="C110" t="str">
            <v>Hickory City Schools</v>
          </cell>
          <cell r="D110">
            <v>1.3237118370651817E-3</v>
          </cell>
          <cell r="E110">
            <v>2290330.1266881009</v>
          </cell>
          <cell r="F110">
            <v>1785822.9246633195</v>
          </cell>
          <cell r="G110">
            <v>31680</v>
          </cell>
          <cell r="H110">
            <v>-639083.4883294832</v>
          </cell>
          <cell r="I110">
            <v>-26446.480568518891</v>
          </cell>
          <cell r="J110">
            <v>1932718.2067023073</v>
          </cell>
          <cell r="K110">
            <v>0</v>
          </cell>
          <cell r="L110">
            <v>-101548.22305953753</v>
          </cell>
          <cell r="M110">
            <v>18223.55629734194</v>
          </cell>
          <cell r="N110">
            <v>686.97996920008802</v>
          </cell>
          <cell r="O110">
            <v>-310.02654935903621</v>
          </cell>
          <cell r="P110">
            <v>0</v>
          </cell>
          <cell r="Q110">
            <v>0</v>
          </cell>
          <cell r="R110">
            <v>0</v>
          </cell>
          <cell r="S110">
            <v>5292073.5758133708</v>
          </cell>
          <cell r="T110">
            <v>159567</v>
          </cell>
          <cell r="U110">
            <v>9663591.0335115362</v>
          </cell>
          <cell r="V110">
            <v>72894.22518936776</v>
          </cell>
          <cell r="W110">
            <v>0</v>
          </cell>
          <cell r="X110">
            <v>9896052.2587009035</v>
          </cell>
          <cell r="Y110">
            <v>1165.6000000000931</v>
          </cell>
          <cell r="Z110">
            <v>0</v>
          </cell>
          <cell r="AA110">
            <v>0</v>
          </cell>
          <cell r="AB110">
            <v>132232.40284259446</v>
          </cell>
          <cell r="AC110">
            <v>133398.00284259455</v>
          </cell>
          <cell r="AD110" t="str">
            <v>N/A</v>
          </cell>
          <cell r="AE110">
            <v>1956175</v>
          </cell>
          <cell r="AF110">
            <v>1956176</v>
          </cell>
          <cell r="AG110">
            <v>1956176</v>
          </cell>
          <cell r="AH110">
            <v>1956176</v>
          </cell>
          <cell r="AI110">
            <v>1937953</v>
          </cell>
          <cell r="AJ110">
            <v>0</v>
          </cell>
          <cell r="AK110">
            <v>9762656</v>
          </cell>
          <cell r="AL110">
            <v>43695515</v>
          </cell>
          <cell r="AM110">
            <v>5292073.5758133708</v>
          </cell>
          <cell r="AN110">
            <v>-1164278.3999999999</v>
          </cell>
          <cell r="AO110">
            <v>9604252.8558583111</v>
          </cell>
          <cell r="AP110">
            <v>0</v>
          </cell>
          <cell r="AQ110">
            <v>158401.39999999991</v>
          </cell>
          <cell r="AR110">
            <v>0</v>
          </cell>
          <cell r="AS110">
            <v>0</v>
          </cell>
          <cell r="AT110">
            <v>57585964.431671679</v>
          </cell>
          <cell r="AU110">
            <v>1.3179364552008059E-3</v>
          </cell>
          <cell r="AV110">
            <v>0</v>
          </cell>
          <cell r="AW110">
            <v>0</v>
          </cell>
          <cell r="AY110">
            <v>0</v>
          </cell>
          <cell r="AZ110">
            <v>0</v>
          </cell>
          <cell r="BA110">
            <v>0</v>
          </cell>
          <cell r="BB110">
            <v>0</v>
          </cell>
          <cell r="BC110">
            <v>0</v>
          </cell>
          <cell r="BD110">
            <v>0</v>
          </cell>
          <cell r="BE110">
            <v>0</v>
          </cell>
          <cell r="BF110">
            <v>0</v>
          </cell>
          <cell r="BG110">
            <v>0</v>
          </cell>
          <cell r="BH110">
            <v>0</v>
          </cell>
          <cell r="BJ110">
            <v>0</v>
          </cell>
          <cell r="BL110">
            <v>0</v>
          </cell>
          <cell r="BM110">
            <v>0</v>
          </cell>
          <cell r="BN110">
            <v>0</v>
          </cell>
          <cell r="BO110">
            <v>0</v>
          </cell>
          <cell r="BQ110">
            <v>0</v>
          </cell>
          <cell r="BR110">
            <v>0</v>
          </cell>
          <cell r="BS110">
            <v>0</v>
          </cell>
          <cell r="BT110">
            <v>0</v>
          </cell>
          <cell r="CB110">
            <v>0</v>
          </cell>
          <cell r="CC110">
            <v>0</v>
          </cell>
          <cell r="CD110">
            <v>0</v>
          </cell>
          <cell r="CE110">
            <v>0</v>
          </cell>
          <cell r="CF110">
            <v>0</v>
          </cell>
          <cell r="CI110">
            <v>0</v>
          </cell>
          <cell r="CJ110">
            <v>0</v>
          </cell>
          <cell r="CK110">
            <v>0</v>
          </cell>
          <cell r="CV110">
            <v>1.3237118370651817E-3</v>
          </cell>
          <cell r="DG110">
            <v>57585964</v>
          </cell>
          <cell r="DR110">
            <v>20050932.22000001</v>
          </cell>
          <cell r="EC110">
            <v>2.8719843730038788</v>
          </cell>
          <cell r="EN110">
            <v>2.4095909012463064E-2</v>
          </cell>
        </row>
        <row r="111">
          <cell r="B111">
            <v>31820</v>
          </cell>
          <cell r="C111" t="str">
            <v>Newton-Conover City Schools</v>
          </cell>
          <cell r="D111">
            <v>1.1810036712035577E-3</v>
          </cell>
          <cell r="E111">
            <v>2043411.7246271656</v>
          </cell>
          <cell r="F111">
            <v>1593294.9839165041</v>
          </cell>
          <cell r="G111">
            <v>168497</v>
          </cell>
          <cell r="H111">
            <v>-570184.48032925627</v>
          </cell>
          <cell r="I111">
            <v>-23595.309618959294</v>
          </cell>
          <cell r="J111">
            <v>1724353.6195748209</v>
          </cell>
          <cell r="K111">
            <v>0</v>
          </cell>
          <cell r="L111">
            <v>-90600.401748621749</v>
          </cell>
          <cell r="M111">
            <v>16258.891313733688</v>
          </cell>
          <cell r="N111">
            <v>612.91728528122235</v>
          </cell>
          <cell r="O111">
            <v>-276.60286983258527</v>
          </cell>
          <cell r="P111">
            <v>0</v>
          </cell>
          <cell r="Q111">
            <v>0</v>
          </cell>
          <cell r="R111">
            <v>0</v>
          </cell>
          <cell r="S111">
            <v>4861772.3421508344</v>
          </cell>
          <cell r="T111">
            <v>903566</v>
          </cell>
          <cell r="U111">
            <v>8621768.097874105</v>
          </cell>
          <cell r="V111">
            <v>65035.565254934751</v>
          </cell>
          <cell r="W111">
            <v>0</v>
          </cell>
          <cell r="X111">
            <v>9590369.6631290391</v>
          </cell>
          <cell r="Y111">
            <v>61077.710000000196</v>
          </cell>
          <cell r="Z111">
            <v>0</v>
          </cell>
          <cell r="AA111">
            <v>0</v>
          </cell>
          <cell r="AB111">
            <v>117976.54809479647</v>
          </cell>
          <cell r="AC111">
            <v>179054.25809479668</v>
          </cell>
          <cell r="AD111" t="str">
            <v>N/A</v>
          </cell>
          <cell r="AE111">
            <v>1885514</v>
          </cell>
          <cell r="AF111">
            <v>1885515</v>
          </cell>
          <cell r="AG111">
            <v>1885515</v>
          </cell>
          <cell r="AH111">
            <v>1885515</v>
          </cell>
          <cell r="AI111">
            <v>1869256</v>
          </cell>
          <cell r="AJ111">
            <v>0</v>
          </cell>
          <cell r="AK111">
            <v>9411315</v>
          </cell>
          <cell r="AL111">
            <v>38071299</v>
          </cell>
          <cell r="AM111">
            <v>4861772.3421508344</v>
          </cell>
          <cell r="AN111">
            <v>-966713.2899999998</v>
          </cell>
          <cell r="AO111">
            <v>8568827.1150342431</v>
          </cell>
          <cell r="AP111">
            <v>0</v>
          </cell>
          <cell r="AQ111">
            <v>842488.2899999998</v>
          </cell>
          <cell r="AR111">
            <v>0</v>
          </cell>
          <cell r="AS111">
            <v>0</v>
          </cell>
          <cell r="AT111">
            <v>51377673.457185082</v>
          </cell>
          <cell r="AU111">
            <v>1.1482998345797451E-3</v>
          </cell>
          <cell r="AV111">
            <v>0</v>
          </cell>
          <cell r="AW111">
            <v>0</v>
          </cell>
          <cell r="AY111">
            <v>0</v>
          </cell>
          <cell r="AZ111">
            <v>0</v>
          </cell>
          <cell r="BA111">
            <v>0</v>
          </cell>
          <cell r="BB111">
            <v>0</v>
          </cell>
          <cell r="BC111">
            <v>0</v>
          </cell>
          <cell r="BD111">
            <v>0</v>
          </cell>
          <cell r="BE111">
            <v>0</v>
          </cell>
          <cell r="BF111">
            <v>0</v>
          </cell>
          <cell r="BG111">
            <v>0</v>
          </cell>
          <cell r="BH111">
            <v>0</v>
          </cell>
          <cell r="BJ111">
            <v>0</v>
          </cell>
          <cell r="BL111">
            <v>0</v>
          </cell>
          <cell r="BM111">
            <v>0</v>
          </cell>
          <cell r="BN111">
            <v>0</v>
          </cell>
          <cell r="BO111">
            <v>0</v>
          </cell>
          <cell r="BQ111">
            <v>0</v>
          </cell>
          <cell r="BR111">
            <v>0</v>
          </cell>
          <cell r="BS111">
            <v>0</v>
          </cell>
          <cell r="BT111">
            <v>0</v>
          </cell>
          <cell r="CB111">
            <v>0</v>
          </cell>
          <cell r="CC111">
            <v>0</v>
          </cell>
          <cell r="CD111">
            <v>0</v>
          </cell>
          <cell r="CE111">
            <v>0</v>
          </cell>
          <cell r="CF111">
            <v>0</v>
          </cell>
          <cell r="CI111">
            <v>0</v>
          </cell>
          <cell r="CJ111">
            <v>0</v>
          </cell>
          <cell r="CK111">
            <v>0</v>
          </cell>
          <cell r="CV111">
            <v>1.1810036712035577E-3</v>
          </cell>
          <cell r="DG111">
            <v>51377674</v>
          </cell>
          <cell r="DR111">
            <v>16854643.890000008</v>
          </cell>
          <cell r="EC111">
            <v>3.0482800072971448</v>
          </cell>
          <cell r="EN111">
            <v>2.4095909012463064E-2</v>
          </cell>
        </row>
        <row r="112">
          <cell r="B112">
            <v>31900</v>
          </cell>
          <cell r="C112" t="str">
            <v>Chatham County Schools</v>
          </cell>
          <cell r="D112">
            <v>3.1102419442671095E-3</v>
          </cell>
          <cell r="E112">
            <v>5381443.7755860025</v>
          </cell>
          <cell r="F112">
            <v>4196035.1262221988</v>
          </cell>
          <cell r="G112">
            <v>-242153</v>
          </cell>
          <cell r="H112">
            <v>-1501614.0338352362</v>
          </cell>
          <cell r="I112">
            <v>-62139.621962451456</v>
          </cell>
          <cell r="J112">
            <v>4541185.6754728286</v>
          </cell>
          <cell r="K112">
            <v>0</v>
          </cell>
          <cell r="L112">
            <v>-238601.4341503646</v>
          </cell>
          <cell r="M112">
            <v>42818.737116811724</v>
          </cell>
          <cell r="N112">
            <v>1614.1533642357444</v>
          </cell>
          <cell r="O112">
            <v>-728.44976576679971</v>
          </cell>
          <cell r="P112">
            <v>0</v>
          </cell>
          <cell r="Q112">
            <v>0</v>
          </cell>
          <cell r="R112">
            <v>0</v>
          </cell>
          <cell r="S112">
            <v>12117860.928048261</v>
          </cell>
          <cell r="T112">
            <v>0</v>
          </cell>
          <cell r="U112">
            <v>22705928.377364144</v>
          </cell>
          <cell r="V112">
            <v>171274.9484672469</v>
          </cell>
          <cell r="W112">
            <v>0</v>
          </cell>
          <cell r="X112">
            <v>22877203.325831391</v>
          </cell>
          <cell r="Y112">
            <v>1210768.4999999995</v>
          </cell>
          <cell r="Z112">
            <v>0</v>
          </cell>
          <cell r="AA112">
            <v>0</v>
          </cell>
          <cell r="AB112">
            <v>310698.10981225729</v>
          </cell>
          <cell r="AC112">
            <v>1521466.6098122569</v>
          </cell>
          <cell r="AD112" t="str">
            <v>N/A</v>
          </cell>
          <cell r="AE112">
            <v>4279712</v>
          </cell>
          <cell r="AF112">
            <v>4279711</v>
          </cell>
          <cell r="AG112">
            <v>4279711</v>
          </cell>
          <cell r="AH112">
            <v>4279711</v>
          </cell>
          <cell r="AI112">
            <v>4236892</v>
          </cell>
          <cell r="AJ112">
            <v>0</v>
          </cell>
          <cell r="AK112">
            <v>21355737</v>
          </cell>
          <cell r="AL112">
            <v>104488969</v>
          </cell>
          <cell r="AM112">
            <v>12117860.928048261</v>
          </cell>
          <cell r="AN112">
            <v>-2656470.5000000005</v>
          </cell>
          <cell r="AO112">
            <v>22566505.216019135</v>
          </cell>
          <cell r="AP112">
            <v>0</v>
          </cell>
          <cell r="AQ112">
            <v>-1210768.4999999995</v>
          </cell>
          <cell r="AR112">
            <v>0</v>
          </cell>
          <cell r="AS112">
            <v>0</v>
          </cell>
          <cell r="AT112">
            <v>135306096.14406738</v>
          </cell>
          <cell r="AU112">
            <v>3.1515779398981767E-3</v>
          </cell>
          <cell r="AV112">
            <v>0</v>
          </cell>
          <cell r="AW112">
            <v>0</v>
          </cell>
          <cell r="AY112">
            <v>0</v>
          </cell>
          <cell r="AZ112">
            <v>0</v>
          </cell>
          <cell r="BA112">
            <v>0</v>
          </cell>
          <cell r="BB112">
            <v>0</v>
          </cell>
          <cell r="BC112">
            <v>0</v>
          </cell>
          <cell r="BD112">
            <v>0</v>
          </cell>
          <cell r="BE112">
            <v>0</v>
          </cell>
          <cell r="BF112">
            <v>0</v>
          </cell>
          <cell r="BG112">
            <v>0</v>
          </cell>
          <cell r="BH112">
            <v>0</v>
          </cell>
          <cell r="BJ112">
            <v>0</v>
          </cell>
          <cell r="BL112">
            <v>0</v>
          </cell>
          <cell r="BM112">
            <v>0</v>
          </cell>
          <cell r="BN112">
            <v>0</v>
          </cell>
          <cell r="BO112">
            <v>0</v>
          </cell>
          <cell r="BQ112">
            <v>0</v>
          </cell>
          <cell r="BR112">
            <v>0</v>
          </cell>
          <cell r="BS112">
            <v>0</v>
          </cell>
          <cell r="BT112">
            <v>0</v>
          </cell>
          <cell r="CB112">
            <v>0</v>
          </cell>
          <cell r="CC112">
            <v>0</v>
          </cell>
          <cell r="CD112">
            <v>0</v>
          </cell>
          <cell r="CE112">
            <v>0</v>
          </cell>
          <cell r="CF112">
            <v>0</v>
          </cell>
          <cell r="CI112">
            <v>0</v>
          </cell>
          <cell r="CJ112">
            <v>0</v>
          </cell>
          <cell r="CK112">
            <v>0</v>
          </cell>
          <cell r="CV112">
            <v>3.1102419442671095E-3</v>
          </cell>
          <cell r="DG112">
            <v>135306096</v>
          </cell>
          <cell r="DR112">
            <v>45846473.449999966</v>
          </cell>
          <cell r="EC112">
            <v>2.951286889002803</v>
          </cell>
          <cell r="EN112">
            <v>2.4095909012463064E-2</v>
          </cell>
        </row>
        <row r="113">
          <cell r="B113">
            <v>32000</v>
          </cell>
          <cell r="C113" t="str">
            <v>Cherokee County Schools</v>
          </cell>
          <cell r="D113">
            <v>1.2502836665452377E-3</v>
          </cell>
          <cell r="E113">
            <v>2163282.2705155057</v>
          </cell>
          <cell r="F113">
            <v>1686760.7975758011</v>
          </cell>
          <cell r="G113">
            <v>280865</v>
          </cell>
          <cell r="H113">
            <v>-603632.62202796258</v>
          </cell>
          <cell r="I113">
            <v>-24979.456832338485</v>
          </cell>
          <cell r="J113">
            <v>1825507.5902562225</v>
          </cell>
          <cell r="K113">
            <v>0</v>
          </cell>
          <cell r="L113">
            <v>-95915.199292563484</v>
          </cell>
          <cell r="M113">
            <v>17212.669817511261</v>
          </cell>
          <cell r="N113">
            <v>648.87221726364749</v>
          </cell>
          <cell r="O113">
            <v>-292.82893754156009</v>
          </cell>
          <cell r="P113">
            <v>0</v>
          </cell>
          <cell r="Q113">
            <v>0</v>
          </cell>
          <cell r="R113">
            <v>0</v>
          </cell>
          <cell r="S113">
            <v>5249457.0932918983</v>
          </cell>
          <cell r="T113">
            <v>1414852</v>
          </cell>
          <cell r="U113">
            <v>9127537.9512811136</v>
          </cell>
          <cell r="V113">
            <v>68850.679270045046</v>
          </cell>
          <cell r="W113">
            <v>0</v>
          </cell>
          <cell r="X113">
            <v>10611240.630551159</v>
          </cell>
          <cell r="Y113">
            <v>10528.949999999953</v>
          </cell>
          <cell r="Z113">
            <v>0</v>
          </cell>
          <cell r="AA113">
            <v>0</v>
          </cell>
          <cell r="AB113">
            <v>124897.28416169241</v>
          </cell>
          <cell r="AC113">
            <v>135426.23416169238</v>
          </cell>
          <cell r="AD113" t="str">
            <v>N/A</v>
          </cell>
          <cell r="AE113">
            <v>2098605</v>
          </cell>
          <cell r="AF113">
            <v>2098606</v>
          </cell>
          <cell r="AG113">
            <v>2098606</v>
          </cell>
          <cell r="AH113">
            <v>2098606</v>
          </cell>
          <cell r="AI113">
            <v>2081393</v>
          </cell>
          <cell r="AJ113">
            <v>0</v>
          </cell>
          <cell r="AK113">
            <v>10475816</v>
          </cell>
          <cell r="AL113">
            <v>39754698</v>
          </cell>
          <cell r="AM113">
            <v>5249457.0932918983</v>
          </cell>
          <cell r="AN113">
            <v>-1088380.05</v>
          </cell>
          <cell r="AO113">
            <v>9071491.3463894669</v>
          </cell>
          <cell r="AP113">
            <v>0</v>
          </cell>
          <cell r="AQ113">
            <v>1404323.05</v>
          </cell>
          <cell r="AR113">
            <v>0</v>
          </cell>
          <cell r="AS113">
            <v>0</v>
          </cell>
          <cell r="AT113">
            <v>54391589.439681366</v>
          </cell>
          <cell r="AU113">
            <v>1.199074213095507E-3</v>
          </cell>
          <cell r="AV113">
            <v>0</v>
          </cell>
          <cell r="AW113">
            <v>0</v>
          </cell>
          <cell r="AY113">
            <v>0</v>
          </cell>
          <cell r="AZ113">
            <v>0</v>
          </cell>
          <cell r="BA113">
            <v>0</v>
          </cell>
          <cell r="BB113">
            <v>0</v>
          </cell>
          <cell r="BC113">
            <v>0</v>
          </cell>
          <cell r="BD113">
            <v>0</v>
          </cell>
          <cell r="BE113">
            <v>0</v>
          </cell>
          <cell r="BF113">
            <v>0</v>
          </cell>
          <cell r="BG113">
            <v>0</v>
          </cell>
          <cell r="BH113">
            <v>0</v>
          </cell>
          <cell r="BJ113">
            <v>0</v>
          </cell>
          <cell r="BL113">
            <v>0</v>
          </cell>
          <cell r="BM113">
            <v>0</v>
          </cell>
          <cell r="BN113">
            <v>0</v>
          </cell>
          <cell r="BO113">
            <v>0</v>
          </cell>
          <cell r="BQ113">
            <v>0</v>
          </cell>
          <cell r="BR113">
            <v>0</v>
          </cell>
          <cell r="BS113">
            <v>0</v>
          </cell>
          <cell r="BT113">
            <v>0</v>
          </cell>
          <cell r="CB113">
            <v>0</v>
          </cell>
          <cell r="CC113">
            <v>0</v>
          </cell>
          <cell r="CD113">
            <v>0</v>
          </cell>
          <cell r="CE113">
            <v>0</v>
          </cell>
          <cell r="CF113">
            <v>0</v>
          </cell>
          <cell r="CI113">
            <v>0</v>
          </cell>
          <cell r="CJ113">
            <v>0</v>
          </cell>
          <cell r="CK113">
            <v>0</v>
          </cell>
          <cell r="CV113">
            <v>1.2502836665452377E-3</v>
          </cell>
          <cell r="DG113">
            <v>54391589</v>
          </cell>
          <cell r="DR113">
            <v>18666686.109999992</v>
          </cell>
          <cell r="EC113">
            <v>2.9138320899316832</v>
          </cell>
          <cell r="EN113">
            <v>2.4095909012463064E-2</v>
          </cell>
        </row>
        <row r="114">
          <cell r="B114">
            <v>32005</v>
          </cell>
          <cell r="C114" t="str">
            <v>Tri-County Community College</v>
          </cell>
          <cell r="D114">
            <v>2.8196215099069024E-4</v>
          </cell>
          <cell r="E114">
            <v>487860.26604667847</v>
          </cell>
          <cell r="F114">
            <v>380395.83769451483</v>
          </cell>
          <cell r="G114">
            <v>90512</v>
          </cell>
          <cell r="H114">
            <v>-136130.34951136541</v>
          </cell>
          <cell r="I114">
            <v>-5633.3307132509153</v>
          </cell>
          <cell r="J114">
            <v>411685.81224511453</v>
          </cell>
          <cell r="K114">
            <v>0</v>
          </cell>
          <cell r="L114">
            <v>-21630.656009416412</v>
          </cell>
          <cell r="M114">
            <v>3881.7762207904557</v>
          </cell>
          <cell r="N114">
            <v>146.33271712114842</v>
          </cell>
          <cell r="O114">
            <v>-66.038355383529563</v>
          </cell>
          <cell r="P114">
            <v>0</v>
          </cell>
          <cell r="Q114">
            <v>0</v>
          </cell>
          <cell r="R114">
            <v>0</v>
          </cell>
          <cell r="S114">
            <v>1211021.6503348032</v>
          </cell>
          <cell r="T114">
            <v>452557.93000000005</v>
          </cell>
          <cell r="U114">
            <v>2058429.0612255728</v>
          </cell>
          <cell r="V114">
            <v>15527.104883161823</v>
          </cell>
          <cell r="W114">
            <v>0</v>
          </cell>
          <cell r="X114">
            <v>2526514.0961087346</v>
          </cell>
          <cell r="Y114">
            <v>0</v>
          </cell>
          <cell r="Z114">
            <v>0</v>
          </cell>
          <cell r="AA114">
            <v>0</v>
          </cell>
          <cell r="AB114">
            <v>28166.653566254572</v>
          </cell>
          <cell r="AC114">
            <v>28166.653566254572</v>
          </cell>
          <cell r="AD114" t="str">
            <v>N/A</v>
          </cell>
          <cell r="AE114">
            <v>500445</v>
          </cell>
          <cell r="AF114">
            <v>500446</v>
          </cell>
          <cell r="AG114">
            <v>500446</v>
          </cell>
          <cell r="AH114">
            <v>500446</v>
          </cell>
          <cell r="AI114">
            <v>496564</v>
          </cell>
          <cell r="AJ114">
            <v>0</v>
          </cell>
          <cell r="AK114">
            <v>2498347</v>
          </cell>
          <cell r="AL114">
            <v>8830263</v>
          </cell>
          <cell r="AM114">
            <v>1211021.6503348032</v>
          </cell>
          <cell r="AN114">
            <v>-273319.93000000005</v>
          </cell>
          <cell r="AO114">
            <v>2045789.5125424801</v>
          </cell>
          <cell r="AP114">
            <v>0</v>
          </cell>
          <cell r="AQ114">
            <v>452557.93000000005</v>
          </cell>
          <cell r="AR114">
            <v>0</v>
          </cell>
          <cell r="AS114">
            <v>0</v>
          </cell>
          <cell r="AT114">
            <v>12266312.162877284</v>
          </cell>
          <cell r="AU114">
            <v>2.6633683280864024E-4</v>
          </cell>
          <cell r="AV114">
            <v>0</v>
          </cell>
          <cell r="AW114">
            <v>0</v>
          </cell>
          <cell r="AY114">
            <v>0</v>
          </cell>
          <cell r="AZ114">
            <v>0</v>
          </cell>
          <cell r="BA114">
            <v>0</v>
          </cell>
          <cell r="BB114">
            <v>0</v>
          </cell>
          <cell r="BC114">
            <v>0</v>
          </cell>
          <cell r="BD114">
            <v>0</v>
          </cell>
          <cell r="BE114">
            <v>0</v>
          </cell>
          <cell r="BF114">
            <v>0</v>
          </cell>
          <cell r="BG114">
            <v>0</v>
          </cell>
          <cell r="BH114">
            <v>0</v>
          </cell>
          <cell r="BJ114">
            <v>0</v>
          </cell>
          <cell r="BL114">
            <v>0</v>
          </cell>
          <cell r="BM114">
            <v>0</v>
          </cell>
          <cell r="BN114">
            <v>0</v>
          </cell>
          <cell r="BO114">
            <v>0</v>
          </cell>
          <cell r="BQ114">
            <v>0</v>
          </cell>
          <cell r="BR114">
            <v>0</v>
          </cell>
          <cell r="BS114">
            <v>0</v>
          </cell>
          <cell r="BT114">
            <v>0</v>
          </cell>
          <cell r="CB114">
            <v>0</v>
          </cell>
          <cell r="CC114">
            <v>0</v>
          </cell>
          <cell r="CD114">
            <v>0</v>
          </cell>
          <cell r="CE114">
            <v>0</v>
          </cell>
          <cell r="CF114">
            <v>0</v>
          </cell>
          <cell r="CI114">
            <v>0</v>
          </cell>
          <cell r="CJ114">
            <v>0</v>
          </cell>
          <cell r="CK114">
            <v>0</v>
          </cell>
          <cell r="CV114">
            <v>2.8196215099069024E-4</v>
          </cell>
          <cell r="DG114">
            <v>12266312</v>
          </cell>
          <cell r="DR114">
            <v>4742534.0500000007</v>
          </cell>
          <cell r="EC114">
            <v>2.586446796307134</v>
          </cell>
          <cell r="EN114">
            <v>2.4095909012463064E-2</v>
          </cell>
        </row>
        <row r="115">
          <cell r="B115">
            <v>32100</v>
          </cell>
          <cell r="C115" t="str">
            <v>Edenton-Chowan County Schools</v>
          </cell>
          <cell r="D115">
            <v>7.7965061302360617E-4</v>
          </cell>
          <cell r="E115">
            <v>1348977.3508846269</v>
          </cell>
          <cell r="F115">
            <v>1051828.5770204277</v>
          </cell>
          <cell r="G115">
            <v>-215686</v>
          </cell>
          <cell r="H115">
            <v>-376412.61451136443</v>
          </cell>
          <cell r="I115">
            <v>-15576.664203046881</v>
          </cell>
          <cell r="J115">
            <v>1138348.1604260514</v>
          </cell>
          <cell r="K115">
            <v>0</v>
          </cell>
          <cell r="L115">
            <v>-59810.702105195247</v>
          </cell>
          <cell r="M115">
            <v>10733.459081391607</v>
          </cell>
          <cell r="N115">
            <v>404.62307514699114</v>
          </cell>
          <cell r="O115">
            <v>-182.60197007625879</v>
          </cell>
          <cell r="P115">
            <v>0</v>
          </cell>
          <cell r="Q115">
            <v>0</v>
          </cell>
          <cell r="R115">
            <v>0</v>
          </cell>
          <cell r="S115">
            <v>2882623.5876979628</v>
          </cell>
          <cell r="T115">
            <v>12292.670000000042</v>
          </cell>
          <cell r="U115">
            <v>5691740.8021302568</v>
          </cell>
          <cell r="V115">
            <v>42933.83632556643</v>
          </cell>
          <cell r="W115">
            <v>0</v>
          </cell>
          <cell r="X115">
            <v>5746967.308455823</v>
          </cell>
          <cell r="Y115">
            <v>1090723</v>
          </cell>
          <cell r="Z115">
            <v>0</v>
          </cell>
          <cell r="AA115">
            <v>0</v>
          </cell>
          <cell r="AB115">
            <v>77883.321015234396</v>
          </cell>
          <cell r="AC115">
            <v>1168606.3210152343</v>
          </cell>
          <cell r="AD115" t="str">
            <v>N/A</v>
          </cell>
          <cell r="AE115">
            <v>917819</v>
          </cell>
          <cell r="AF115">
            <v>917818</v>
          </cell>
          <cell r="AG115">
            <v>917818</v>
          </cell>
          <cell r="AH115">
            <v>917818</v>
          </cell>
          <cell r="AI115">
            <v>907084</v>
          </cell>
          <cell r="AJ115">
            <v>0</v>
          </cell>
          <cell r="AK115">
            <v>4578357</v>
          </cell>
          <cell r="AL115">
            <v>27157789</v>
          </cell>
          <cell r="AM115">
            <v>2882623.5876979628</v>
          </cell>
          <cell r="AN115">
            <v>-701321.67</v>
          </cell>
          <cell r="AO115">
            <v>5656791.3174405899</v>
          </cell>
          <cell r="AP115">
            <v>0</v>
          </cell>
          <cell r="AQ115">
            <v>-1078430.33</v>
          </cell>
          <cell r="AR115">
            <v>0</v>
          </cell>
          <cell r="AS115">
            <v>0</v>
          </cell>
          <cell r="AT115">
            <v>33917451.905138552</v>
          </cell>
          <cell r="AU115">
            <v>8.1912845509370526E-4</v>
          </cell>
          <cell r="AV115">
            <v>0</v>
          </cell>
          <cell r="AW115">
            <v>0</v>
          </cell>
          <cell r="AY115">
            <v>0</v>
          </cell>
          <cell r="AZ115">
            <v>0</v>
          </cell>
          <cell r="BA115">
            <v>0</v>
          </cell>
          <cell r="BB115">
            <v>0</v>
          </cell>
          <cell r="BC115">
            <v>0</v>
          </cell>
          <cell r="BD115">
            <v>0</v>
          </cell>
          <cell r="BE115">
            <v>0</v>
          </cell>
          <cell r="BF115">
            <v>0</v>
          </cell>
          <cell r="BG115">
            <v>0</v>
          </cell>
          <cell r="BH115">
            <v>0</v>
          </cell>
          <cell r="BJ115">
            <v>0</v>
          </cell>
          <cell r="BL115">
            <v>0</v>
          </cell>
          <cell r="BM115">
            <v>0</v>
          </cell>
          <cell r="BN115">
            <v>0</v>
          </cell>
          <cell r="BO115">
            <v>0</v>
          </cell>
          <cell r="BQ115">
            <v>0</v>
          </cell>
          <cell r="BR115">
            <v>0</v>
          </cell>
          <cell r="BS115">
            <v>0</v>
          </cell>
          <cell r="BT115">
            <v>0</v>
          </cell>
          <cell r="CB115">
            <v>0</v>
          </cell>
          <cell r="CC115">
            <v>0</v>
          </cell>
          <cell r="CD115">
            <v>0</v>
          </cell>
          <cell r="CE115">
            <v>0</v>
          </cell>
          <cell r="CF115">
            <v>0</v>
          </cell>
          <cell r="CI115">
            <v>0</v>
          </cell>
          <cell r="CJ115">
            <v>0</v>
          </cell>
          <cell r="CK115">
            <v>0</v>
          </cell>
          <cell r="CV115">
            <v>7.7965061302360617E-4</v>
          </cell>
          <cell r="DG115">
            <v>33917452</v>
          </cell>
          <cell r="DR115">
            <v>12404863.179999989</v>
          </cell>
          <cell r="EC115">
            <v>2.7342060535326302</v>
          </cell>
          <cell r="EN115">
            <v>2.4095909012463064E-2</v>
          </cell>
        </row>
        <row r="116">
          <cell r="B116">
            <v>32200</v>
          </cell>
          <cell r="C116" t="str">
            <v>Clay County Schools</v>
          </cell>
          <cell r="D116">
            <v>4.7996602982330541E-4</v>
          </cell>
          <cell r="E116">
            <v>830453.14479352627</v>
          </cell>
          <cell r="F116">
            <v>647523.36204718135</v>
          </cell>
          <cell r="G116">
            <v>109985</v>
          </cell>
          <cell r="H116">
            <v>-231725.93613667783</v>
          </cell>
          <cell r="I116">
            <v>-9589.2564573675863</v>
          </cell>
          <cell r="J116">
            <v>700786.27270932728</v>
          </cell>
          <cell r="K116">
            <v>0</v>
          </cell>
          <cell r="L116">
            <v>-36820.474133976968</v>
          </cell>
          <cell r="M116">
            <v>6607.6979297013013</v>
          </cell>
          <cell r="N116">
            <v>249.09277015769905</v>
          </cell>
          <cell r="O116">
            <v>-112.41284384491637</v>
          </cell>
          <cell r="P116">
            <v>0</v>
          </cell>
          <cell r="Q116">
            <v>0</v>
          </cell>
          <cell r="R116">
            <v>0</v>
          </cell>
          <cell r="S116">
            <v>2017356.4906780266</v>
          </cell>
          <cell r="T116">
            <v>549922.92999999993</v>
          </cell>
          <cell r="U116">
            <v>3503931.3635466364</v>
          </cell>
          <cell r="V116">
            <v>26430.791718805205</v>
          </cell>
          <cell r="W116">
            <v>0</v>
          </cell>
          <cell r="X116">
            <v>4080285.0852654418</v>
          </cell>
          <cell r="Y116">
            <v>0</v>
          </cell>
          <cell r="Z116">
            <v>0</v>
          </cell>
          <cell r="AA116">
            <v>0</v>
          </cell>
          <cell r="AB116">
            <v>47946.282286837937</v>
          </cell>
          <cell r="AC116">
            <v>47946.282286837937</v>
          </cell>
          <cell r="AD116" t="str">
            <v>N/A</v>
          </cell>
          <cell r="AE116">
            <v>807790</v>
          </cell>
          <cell r="AF116">
            <v>807790</v>
          </cell>
          <cell r="AG116">
            <v>807790</v>
          </cell>
          <cell r="AH116">
            <v>807790</v>
          </cell>
          <cell r="AI116">
            <v>801182</v>
          </cell>
          <cell r="AJ116">
            <v>0</v>
          </cell>
          <cell r="AK116">
            <v>4032342</v>
          </cell>
          <cell r="AL116">
            <v>15253619</v>
          </cell>
          <cell r="AM116">
            <v>2017356.4906780266</v>
          </cell>
          <cell r="AN116">
            <v>-423160.93</v>
          </cell>
          <cell r="AO116">
            <v>3482415.8729786039</v>
          </cell>
          <cell r="AP116">
            <v>0</v>
          </cell>
          <cell r="AQ116">
            <v>549922.92999999993</v>
          </cell>
          <cell r="AR116">
            <v>0</v>
          </cell>
          <cell r="AS116">
            <v>0</v>
          </cell>
          <cell r="AT116">
            <v>20880153.363656633</v>
          </cell>
          <cell r="AU116">
            <v>4.6007697330434149E-4</v>
          </cell>
          <cell r="AV116">
            <v>0</v>
          </cell>
          <cell r="AW116">
            <v>0</v>
          </cell>
          <cell r="AY116">
            <v>0</v>
          </cell>
          <cell r="AZ116">
            <v>0</v>
          </cell>
          <cell r="BA116">
            <v>0</v>
          </cell>
          <cell r="BB116">
            <v>0</v>
          </cell>
          <cell r="BC116">
            <v>0</v>
          </cell>
          <cell r="BD116">
            <v>0</v>
          </cell>
          <cell r="BE116">
            <v>0</v>
          </cell>
          <cell r="BF116">
            <v>0</v>
          </cell>
          <cell r="BG116">
            <v>0</v>
          </cell>
          <cell r="BH116">
            <v>0</v>
          </cell>
          <cell r="BJ116">
            <v>0</v>
          </cell>
          <cell r="BL116">
            <v>0</v>
          </cell>
          <cell r="BM116">
            <v>0</v>
          </cell>
          <cell r="BN116">
            <v>0</v>
          </cell>
          <cell r="BO116">
            <v>0</v>
          </cell>
          <cell r="BQ116">
            <v>0</v>
          </cell>
          <cell r="BR116">
            <v>0</v>
          </cell>
          <cell r="BS116">
            <v>0</v>
          </cell>
          <cell r="BT116">
            <v>0</v>
          </cell>
          <cell r="CB116">
            <v>0</v>
          </cell>
          <cell r="CC116">
            <v>0</v>
          </cell>
          <cell r="CD116">
            <v>0</v>
          </cell>
          <cell r="CE116">
            <v>0</v>
          </cell>
          <cell r="CF116">
            <v>0</v>
          </cell>
          <cell r="CI116">
            <v>0</v>
          </cell>
          <cell r="CJ116">
            <v>0</v>
          </cell>
          <cell r="CK116">
            <v>0</v>
          </cell>
          <cell r="CV116">
            <v>4.7996602982330541E-4</v>
          </cell>
          <cell r="DG116">
            <v>20880154</v>
          </cell>
          <cell r="DR116">
            <v>7296762.5800000038</v>
          </cell>
          <cell r="EC116">
            <v>2.8615641212215497</v>
          </cell>
          <cell r="EN116">
            <v>2.4095909012463064E-2</v>
          </cell>
        </row>
        <row r="117">
          <cell r="B117">
            <v>32300</v>
          </cell>
          <cell r="C117" t="str">
            <v>Cleveland County Schools</v>
          </cell>
          <cell r="D117">
            <v>5.4555043298767552E-3</v>
          </cell>
          <cell r="E117">
            <v>9439294.5451758802</v>
          </cell>
          <cell r="F117">
            <v>7360034.4312809603</v>
          </cell>
          <cell r="G117">
            <v>-193350</v>
          </cell>
          <cell r="H117">
            <v>-2633898.5873724981</v>
          </cell>
          <cell r="I117">
            <v>-108995.69318004954</v>
          </cell>
          <cell r="J117">
            <v>7965444.0263019828</v>
          </cell>
          <cell r="K117">
            <v>0</v>
          </cell>
          <cell r="L117">
            <v>-418517.65246798034</v>
          </cell>
          <cell r="M117">
            <v>75105.991728777022</v>
          </cell>
          <cell r="N117">
            <v>2831.2976371194386</v>
          </cell>
          <cell r="O117">
            <v>-1277.7336691004348</v>
          </cell>
          <cell r="P117">
            <v>0</v>
          </cell>
          <cell r="Q117">
            <v>0</v>
          </cell>
          <cell r="R117">
            <v>0</v>
          </cell>
          <cell r="S117">
            <v>21486670.625435088</v>
          </cell>
          <cell r="T117">
            <v>0</v>
          </cell>
          <cell r="U117">
            <v>39827220.131509915</v>
          </cell>
          <cell r="V117">
            <v>300423.96691510809</v>
          </cell>
          <cell r="W117">
            <v>0</v>
          </cell>
          <cell r="X117">
            <v>40127644.098425023</v>
          </cell>
          <cell r="Y117">
            <v>966750.41999999993</v>
          </cell>
          <cell r="Z117">
            <v>0</v>
          </cell>
          <cell r="AA117">
            <v>0</v>
          </cell>
          <cell r="AB117">
            <v>544978.46590024768</v>
          </cell>
          <cell r="AC117">
            <v>1511728.8859002476</v>
          </cell>
          <cell r="AD117" t="str">
            <v>N/A</v>
          </cell>
          <cell r="AE117">
            <v>7738204</v>
          </cell>
          <cell r="AF117">
            <v>7738203</v>
          </cell>
          <cell r="AG117">
            <v>7738203</v>
          </cell>
          <cell r="AH117">
            <v>7738203</v>
          </cell>
          <cell r="AI117">
            <v>7663097</v>
          </cell>
          <cell r="AJ117">
            <v>0</v>
          </cell>
          <cell r="AK117">
            <v>38615910</v>
          </cell>
          <cell r="AL117">
            <v>181830555</v>
          </cell>
          <cell r="AM117">
            <v>21486670.625435088</v>
          </cell>
          <cell r="AN117">
            <v>-4600158.58</v>
          </cell>
          <cell r="AO117">
            <v>39582665.632524781</v>
          </cell>
          <cell r="AP117">
            <v>0</v>
          </cell>
          <cell r="AQ117">
            <v>-966750.41999999993</v>
          </cell>
          <cell r="AR117">
            <v>0</v>
          </cell>
          <cell r="AS117">
            <v>0</v>
          </cell>
          <cell r="AT117">
            <v>237332982.25795987</v>
          </cell>
          <cell r="AU117">
            <v>5.4843412859807497E-3</v>
          </cell>
          <cell r="AV117">
            <v>0</v>
          </cell>
          <cell r="AW117">
            <v>0</v>
          </cell>
          <cell r="AY117">
            <v>0</v>
          </cell>
          <cell r="AZ117">
            <v>0</v>
          </cell>
          <cell r="BA117">
            <v>0</v>
          </cell>
          <cell r="BB117">
            <v>0</v>
          </cell>
          <cell r="BC117">
            <v>0</v>
          </cell>
          <cell r="BD117">
            <v>0</v>
          </cell>
          <cell r="BE117">
            <v>0</v>
          </cell>
          <cell r="BF117">
            <v>0</v>
          </cell>
          <cell r="BG117">
            <v>0</v>
          </cell>
          <cell r="BH117">
            <v>0</v>
          </cell>
          <cell r="BJ117">
            <v>0</v>
          </cell>
          <cell r="BL117">
            <v>0</v>
          </cell>
          <cell r="BM117">
            <v>0</v>
          </cell>
          <cell r="BN117">
            <v>0</v>
          </cell>
          <cell r="BO117">
            <v>0</v>
          </cell>
          <cell r="BQ117">
            <v>0</v>
          </cell>
          <cell r="BR117">
            <v>0</v>
          </cell>
          <cell r="BS117">
            <v>0</v>
          </cell>
          <cell r="BT117">
            <v>0</v>
          </cell>
          <cell r="CB117">
            <v>0</v>
          </cell>
          <cell r="CC117">
            <v>0</v>
          </cell>
          <cell r="CD117">
            <v>0</v>
          </cell>
          <cell r="CE117">
            <v>0</v>
          </cell>
          <cell r="CF117">
            <v>0</v>
          </cell>
          <cell r="CI117">
            <v>0</v>
          </cell>
          <cell r="CJ117">
            <v>0</v>
          </cell>
          <cell r="CK117">
            <v>0</v>
          </cell>
          <cell r="CV117">
            <v>5.4555043298767552E-3</v>
          </cell>
          <cell r="DG117">
            <v>237332982</v>
          </cell>
          <cell r="DR117">
            <v>80257674.519999996</v>
          </cell>
          <cell r="EC117">
            <v>2.9571375375554552</v>
          </cell>
          <cell r="EN117">
            <v>2.4095909012463064E-2</v>
          </cell>
        </row>
        <row r="118">
          <cell r="B118">
            <v>32305</v>
          </cell>
          <cell r="C118" t="str">
            <v>Cleveland Technical College</v>
          </cell>
          <cell r="D118">
            <v>5.6059646284835048E-4</v>
          </cell>
          <cell r="E118">
            <v>969962.59444429225</v>
          </cell>
          <cell r="F118">
            <v>756302.07935539982</v>
          </cell>
          <cell r="G118">
            <v>-53300</v>
          </cell>
          <cell r="H118">
            <v>-270654.02982012596</v>
          </cell>
          <cell r="I118">
            <v>-11200.174423437807</v>
          </cell>
          <cell r="J118">
            <v>818512.73065753246</v>
          </cell>
          <cell r="K118">
            <v>0</v>
          </cell>
          <cell r="L118">
            <v>-43006.017670678899</v>
          </cell>
          <cell r="M118">
            <v>7717.7380414288909</v>
          </cell>
          <cell r="N118">
            <v>290.93835228903691</v>
          </cell>
          <cell r="O118">
            <v>-131.29729756371216</v>
          </cell>
          <cell r="P118">
            <v>0</v>
          </cell>
          <cell r="Q118">
            <v>0</v>
          </cell>
          <cell r="R118">
            <v>0</v>
          </cell>
          <cell r="S118">
            <v>2174494.5616391362</v>
          </cell>
          <cell r="T118">
            <v>57607.459999999963</v>
          </cell>
          <cell r="U118">
            <v>4092563.6532876627</v>
          </cell>
          <cell r="V118">
            <v>30870.952165715564</v>
          </cell>
          <cell r="W118">
            <v>0</v>
          </cell>
          <cell r="X118">
            <v>4181042.065453378</v>
          </cell>
          <cell r="Y118">
            <v>324103</v>
          </cell>
          <cell r="Z118">
            <v>0</v>
          </cell>
          <cell r="AA118">
            <v>0</v>
          </cell>
          <cell r="AB118">
            <v>56000.872117189036</v>
          </cell>
          <cell r="AC118">
            <v>380103.87211718905</v>
          </cell>
          <cell r="AD118" t="str">
            <v>N/A</v>
          </cell>
          <cell r="AE118">
            <v>761730</v>
          </cell>
          <cell r="AF118">
            <v>761731</v>
          </cell>
          <cell r="AG118">
            <v>761731</v>
          </cell>
          <cell r="AH118">
            <v>761731</v>
          </cell>
          <cell r="AI118">
            <v>754014</v>
          </cell>
          <cell r="AJ118">
            <v>0</v>
          </cell>
          <cell r="AK118">
            <v>3800937</v>
          </cell>
          <cell r="AL118">
            <v>18975216</v>
          </cell>
          <cell r="AM118">
            <v>2174494.5616391362</v>
          </cell>
          <cell r="AN118">
            <v>-562796.46</v>
          </cell>
          <cell r="AO118">
            <v>4067433.7333361893</v>
          </cell>
          <cell r="AP118">
            <v>0</v>
          </cell>
          <cell r="AQ118">
            <v>-266495.54000000004</v>
          </cell>
          <cell r="AR118">
            <v>0</v>
          </cell>
          <cell r="AS118">
            <v>0</v>
          </cell>
          <cell r="AT118">
            <v>24387852.294975325</v>
          </cell>
          <cell r="AU118">
            <v>5.7232713659562172E-4</v>
          </cell>
          <cell r="AV118">
            <v>0</v>
          </cell>
          <cell r="AW118">
            <v>0</v>
          </cell>
          <cell r="AY118">
            <v>0</v>
          </cell>
          <cell r="AZ118">
            <v>0</v>
          </cell>
          <cell r="BA118">
            <v>0</v>
          </cell>
          <cell r="BB118">
            <v>0</v>
          </cell>
          <cell r="BC118">
            <v>0</v>
          </cell>
          <cell r="BD118">
            <v>0</v>
          </cell>
          <cell r="BE118">
            <v>0</v>
          </cell>
          <cell r="BF118">
            <v>0</v>
          </cell>
          <cell r="BG118">
            <v>0</v>
          </cell>
          <cell r="BH118">
            <v>0</v>
          </cell>
          <cell r="BJ118">
            <v>0</v>
          </cell>
          <cell r="BL118">
            <v>0</v>
          </cell>
          <cell r="BM118">
            <v>0</v>
          </cell>
          <cell r="BN118">
            <v>0</v>
          </cell>
          <cell r="BO118">
            <v>0</v>
          </cell>
          <cell r="BQ118">
            <v>0</v>
          </cell>
          <cell r="BR118">
            <v>0</v>
          </cell>
          <cell r="BS118">
            <v>0</v>
          </cell>
          <cell r="BT118">
            <v>0</v>
          </cell>
          <cell r="CB118">
            <v>0</v>
          </cell>
          <cell r="CC118">
            <v>0</v>
          </cell>
          <cell r="CD118">
            <v>0</v>
          </cell>
          <cell r="CE118">
            <v>0</v>
          </cell>
          <cell r="CF118">
            <v>0</v>
          </cell>
          <cell r="CI118">
            <v>0</v>
          </cell>
          <cell r="CJ118">
            <v>0</v>
          </cell>
          <cell r="CK118">
            <v>0</v>
          </cell>
          <cell r="CV118">
            <v>5.6059646284835048E-4</v>
          </cell>
          <cell r="DG118">
            <v>24387852</v>
          </cell>
          <cell r="DR118">
            <v>9632273.0300000012</v>
          </cell>
          <cell r="EC118">
            <v>2.5318896094455909</v>
          </cell>
          <cell r="EN118">
            <v>2.4095909012463064E-2</v>
          </cell>
        </row>
        <row r="119">
          <cell r="B119">
            <v>32400</v>
          </cell>
          <cell r="C119" t="str">
            <v>Columbus County Schools</v>
          </cell>
          <cell r="D119">
            <v>1.9323558965699554E-3</v>
          </cell>
          <cell r="E119">
            <v>3343426.2665580702</v>
          </cell>
          <cell r="F119">
            <v>2606946.1359157152</v>
          </cell>
          <cell r="G119">
            <v>127379</v>
          </cell>
          <cell r="H119">
            <v>-932934.73133243795</v>
          </cell>
          <cell r="I119">
            <v>-38606.599441917497</v>
          </cell>
          <cell r="J119">
            <v>2821384.019205844</v>
          </cell>
          <cell r="K119">
            <v>0</v>
          </cell>
          <cell r="L119">
            <v>-148240.20011058942</v>
          </cell>
          <cell r="M119">
            <v>26602.766162246859</v>
          </cell>
          <cell r="N119">
            <v>1002.8540632018754</v>
          </cell>
          <cell r="O119">
            <v>-452.57707453564927</v>
          </cell>
          <cell r="P119">
            <v>0</v>
          </cell>
          <cell r="Q119">
            <v>0</v>
          </cell>
          <cell r="R119">
            <v>0</v>
          </cell>
          <cell r="S119">
            <v>7806506.9339455971</v>
          </cell>
          <cell r="T119">
            <v>636893.70000000019</v>
          </cell>
          <cell r="U119">
            <v>14106920.09602922</v>
          </cell>
          <cell r="V119">
            <v>106411.06464898743</v>
          </cell>
          <cell r="W119">
            <v>0</v>
          </cell>
          <cell r="X119">
            <v>14850224.860678209</v>
          </cell>
          <cell r="Y119">
            <v>0</v>
          </cell>
          <cell r="Z119">
            <v>0</v>
          </cell>
          <cell r="AA119">
            <v>0</v>
          </cell>
          <cell r="AB119">
            <v>193032.99720958745</v>
          </cell>
          <cell r="AC119">
            <v>193032.99720958745</v>
          </cell>
          <cell r="AD119" t="str">
            <v>N/A</v>
          </cell>
          <cell r="AE119">
            <v>2936758</v>
          </cell>
          <cell r="AF119">
            <v>2936759</v>
          </cell>
          <cell r="AG119">
            <v>2936759</v>
          </cell>
          <cell r="AH119">
            <v>2936759</v>
          </cell>
          <cell r="AI119">
            <v>2910156</v>
          </cell>
          <cell r="AJ119">
            <v>0</v>
          </cell>
          <cell r="AK119">
            <v>14657191</v>
          </cell>
          <cell r="AL119">
            <v>63403607</v>
          </cell>
          <cell r="AM119">
            <v>7806506.9339455971</v>
          </cell>
          <cell r="AN119">
            <v>-1803256.7000000002</v>
          </cell>
          <cell r="AO119">
            <v>14020298.16346862</v>
          </cell>
          <cell r="AP119">
            <v>0</v>
          </cell>
          <cell r="AQ119">
            <v>636893.70000000019</v>
          </cell>
          <cell r="AR119">
            <v>0</v>
          </cell>
          <cell r="AS119">
            <v>0</v>
          </cell>
          <cell r="AT119">
            <v>84064049.09741421</v>
          </cell>
          <cell r="AU119">
            <v>1.9123684743540695E-3</v>
          </cell>
          <cell r="AV119">
            <v>0</v>
          </cell>
          <cell r="AW119">
            <v>0</v>
          </cell>
          <cell r="AY119">
            <v>0</v>
          </cell>
          <cell r="AZ119">
            <v>0</v>
          </cell>
          <cell r="BA119">
            <v>0</v>
          </cell>
          <cell r="BB119">
            <v>0</v>
          </cell>
          <cell r="BC119">
            <v>0</v>
          </cell>
          <cell r="BD119">
            <v>0</v>
          </cell>
          <cell r="BE119">
            <v>0</v>
          </cell>
          <cell r="BF119">
            <v>0</v>
          </cell>
          <cell r="BG119">
            <v>0</v>
          </cell>
          <cell r="BH119">
            <v>0</v>
          </cell>
          <cell r="BJ119">
            <v>0</v>
          </cell>
          <cell r="BL119">
            <v>0</v>
          </cell>
          <cell r="BM119">
            <v>0</v>
          </cell>
          <cell r="BN119">
            <v>0</v>
          </cell>
          <cell r="BO119">
            <v>0</v>
          </cell>
          <cell r="BQ119">
            <v>0</v>
          </cell>
          <cell r="BR119">
            <v>0</v>
          </cell>
          <cell r="BS119">
            <v>0</v>
          </cell>
          <cell r="BT119">
            <v>0</v>
          </cell>
          <cell r="CB119">
            <v>0</v>
          </cell>
          <cell r="CC119">
            <v>0</v>
          </cell>
          <cell r="CD119">
            <v>0</v>
          </cell>
          <cell r="CE119">
            <v>0</v>
          </cell>
          <cell r="CF119">
            <v>0</v>
          </cell>
          <cell r="CI119">
            <v>0</v>
          </cell>
          <cell r="CJ119">
            <v>0</v>
          </cell>
          <cell r="CK119">
            <v>0</v>
          </cell>
          <cell r="CV119">
            <v>1.9323558965699554E-3</v>
          </cell>
          <cell r="DG119">
            <v>84064050</v>
          </cell>
          <cell r="DR119">
            <v>31292810.310000047</v>
          </cell>
          <cell r="EC119">
            <v>2.6863694620976939</v>
          </cell>
          <cell r="EN119">
            <v>2.4095909012463064E-2</v>
          </cell>
        </row>
        <row r="120">
          <cell r="B120">
            <v>32405</v>
          </cell>
          <cell r="C120" t="str">
            <v>Southeastern Community College</v>
          </cell>
          <cell r="D120">
            <v>4.8297413324923321E-4</v>
          </cell>
          <cell r="E120">
            <v>835657.86511684908</v>
          </cell>
          <cell r="F120">
            <v>651581.60184481763</v>
          </cell>
          <cell r="G120">
            <v>-202811</v>
          </cell>
          <cell r="H120">
            <v>-233178.23804776452</v>
          </cell>
          <cell r="I120">
            <v>-9649.3554506486889</v>
          </cell>
          <cell r="J120">
            <v>705178.32851493533</v>
          </cell>
          <cell r="K120">
            <v>0</v>
          </cell>
          <cell r="L120">
            <v>-37051.240037196156</v>
          </cell>
          <cell r="M120">
            <v>6649.110524645047</v>
          </cell>
          <cell r="N120">
            <v>250.65391567368704</v>
          </cell>
          <cell r="O120">
            <v>-113.11737174830292</v>
          </cell>
          <cell r="P120">
            <v>0</v>
          </cell>
          <cell r="Q120">
            <v>0</v>
          </cell>
          <cell r="R120">
            <v>0</v>
          </cell>
          <cell r="S120">
            <v>1716514.6090095635</v>
          </cell>
          <cell r="T120">
            <v>52597.27999999997</v>
          </cell>
          <cell r="U120">
            <v>3525891.6425746768</v>
          </cell>
          <cell r="V120">
            <v>26596.442098580188</v>
          </cell>
          <cell r="W120">
            <v>0</v>
          </cell>
          <cell r="X120">
            <v>3605085.3646732569</v>
          </cell>
          <cell r="Y120">
            <v>1066649</v>
          </cell>
          <cell r="Z120">
            <v>0</v>
          </cell>
          <cell r="AA120">
            <v>0</v>
          </cell>
          <cell r="AB120">
            <v>48246.777253243439</v>
          </cell>
          <cell r="AC120">
            <v>1114895.7772532434</v>
          </cell>
          <cell r="AD120" t="str">
            <v>N/A</v>
          </cell>
          <cell r="AE120">
            <v>499367</v>
          </cell>
          <cell r="AF120">
            <v>499368</v>
          </cell>
          <cell r="AG120">
            <v>499368</v>
          </cell>
          <cell r="AH120">
            <v>499368</v>
          </cell>
          <cell r="AI120">
            <v>492719</v>
          </cell>
          <cell r="AJ120">
            <v>0</v>
          </cell>
          <cell r="AK120">
            <v>2490190</v>
          </cell>
          <cell r="AL120">
            <v>17292742</v>
          </cell>
          <cell r="AM120">
            <v>1716514.6090095635</v>
          </cell>
          <cell r="AN120">
            <v>-488429.27999999997</v>
          </cell>
          <cell r="AO120">
            <v>3504241.3074200135</v>
          </cell>
          <cell r="AP120">
            <v>0</v>
          </cell>
          <cell r="AQ120">
            <v>-1014051.72</v>
          </cell>
          <cell r="AR120">
            <v>0</v>
          </cell>
          <cell r="AS120">
            <v>0</v>
          </cell>
          <cell r="AT120">
            <v>21011016.916429579</v>
          </cell>
          <cell r="AU120">
            <v>5.2158064660007709E-4</v>
          </cell>
          <cell r="AV120">
            <v>0</v>
          </cell>
          <cell r="AW120">
            <v>0</v>
          </cell>
          <cell r="AY120">
            <v>0</v>
          </cell>
          <cell r="AZ120">
            <v>0</v>
          </cell>
          <cell r="BA120">
            <v>0</v>
          </cell>
          <cell r="BB120">
            <v>0</v>
          </cell>
          <cell r="BC120">
            <v>0</v>
          </cell>
          <cell r="BD120">
            <v>0</v>
          </cell>
          <cell r="BE120">
            <v>0</v>
          </cell>
          <cell r="BF120">
            <v>0</v>
          </cell>
          <cell r="BG120">
            <v>0</v>
          </cell>
          <cell r="BH120">
            <v>0</v>
          </cell>
          <cell r="BJ120">
            <v>0</v>
          </cell>
          <cell r="BL120">
            <v>0</v>
          </cell>
          <cell r="BM120">
            <v>0</v>
          </cell>
          <cell r="BN120">
            <v>0</v>
          </cell>
          <cell r="BO120">
            <v>0</v>
          </cell>
          <cell r="BQ120">
            <v>0</v>
          </cell>
          <cell r="BR120">
            <v>0</v>
          </cell>
          <cell r="BS120">
            <v>0</v>
          </cell>
          <cell r="BT120">
            <v>0</v>
          </cell>
          <cell r="CB120">
            <v>0</v>
          </cell>
          <cell r="CC120">
            <v>0</v>
          </cell>
          <cell r="CD120">
            <v>0</v>
          </cell>
          <cell r="CE120">
            <v>0</v>
          </cell>
          <cell r="CF120">
            <v>0</v>
          </cell>
          <cell r="CI120">
            <v>0</v>
          </cell>
          <cell r="CJ120">
            <v>0</v>
          </cell>
          <cell r="CK120">
            <v>0</v>
          </cell>
          <cell r="CV120">
            <v>4.8297413324923321E-4</v>
          </cell>
          <cell r="DG120">
            <v>21011016</v>
          </cell>
          <cell r="DR120">
            <v>8446599.3999999985</v>
          </cell>
          <cell r="EC120">
            <v>2.4875118381960917</v>
          </cell>
          <cell r="EN120">
            <v>2.4095909012463064E-2</v>
          </cell>
        </row>
        <row r="121">
          <cell r="B121">
            <v>32410</v>
          </cell>
          <cell r="C121" t="str">
            <v>Whiteville City Schools</v>
          </cell>
          <cell r="D121">
            <v>7.6961629253301256E-4</v>
          </cell>
          <cell r="E121">
            <v>1331615.6367434254</v>
          </cell>
          <cell r="F121">
            <v>1038291.250342704</v>
          </cell>
          <cell r="G121">
            <v>-125748</v>
          </cell>
          <cell r="H121">
            <v>-371568.07934700232</v>
          </cell>
          <cell r="I121">
            <v>-15376.188197286341</v>
          </cell>
          <cell r="J121">
            <v>1123697.3026177131</v>
          </cell>
          <cell r="K121">
            <v>0</v>
          </cell>
          <cell r="L121">
            <v>-59040.921714253927</v>
          </cell>
          <cell r="M121">
            <v>10595.316474182377</v>
          </cell>
          <cell r="N121">
            <v>399.41546349878286</v>
          </cell>
          <cell r="O121">
            <v>-180.25183187415686</v>
          </cell>
          <cell r="P121">
            <v>0</v>
          </cell>
          <cell r="Q121">
            <v>0</v>
          </cell>
          <cell r="R121">
            <v>0</v>
          </cell>
          <cell r="S121">
            <v>2932685.4805511069</v>
          </cell>
          <cell r="T121">
            <v>38754.969999999972</v>
          </cell>
          <cell r="U121">
            <v>5618486.5130885653</v>
          </cell>
          <cell r="V121">
            <v>42381.265896729506</v>
          </cell>
          <cell r="W121">
            <v>0</v>
          </cell>
          <cell r="X121">
            <v>5699622.7489852943</v>
          </cell>
          <cell r="Y121">
            <v>667493</v>
          </cell>
          <cell r="Z121">
            <v>0</v>
          </cell>
          <cell r="AA121">
            <v>0</v>
          </cell>
          <cell r="AB121">
            <v>76880.940986431699</v>
          </cell>
          <cell r="AC121">
            <v>744373.94098643167</v>
          </cell>
          <cell r="AD121" t="str">
            <v>N/A</v>
          </cell>
          <cell r="AE121">
            <v>993168</v>
          </cell>
          <cell r="AF121">
            <v>993168</v>
          </cell>
          <cell r="AG121">
            <v>993168</v>
          </cell>
          <cell r="AH121">
            <v>993168</v>
          </cell>
          <cell r="AI121">
            <v>982573</v>
          </cell>
          <cell r="AJ121">
            <v>0</v>
          </cell>
          <cell r="AK121">
            <v>4955245</v>
          </cell>
          <cell r="AL121">
            <v>26317230</v>
          </cell>
          <cell r="AM121">
            <v>2932685.4805511069</v>
          </cell>
          <cell r="AN121">
            <v>-724239.97</v>
          </cell>
          <cell r="AO121">
            <v>5583986.8379988633</v>
          </cell>
          <cell r="AP121">
            <v>0</v>
          </cell>
          <cell r="AQ121">
            <v>-628738.03</v>
          </cell>
          <cell r="AR121">
            <v>0</v>
          </cell>
          <cell r="AS121">
            <v>0</v>
          </cell>
          <cell r="AT121">
            <v>33480924.318549976</v>
          </cell>
          <cell r="AU121">
            <v>7.9377567437313972E-4</v>
          </cell>
          <cell r="AV121">
            <v>0</v>
          </cell>
          <cell r="AW121">
            <v>0</v>
          </cell>
          <cell r="AY121">
            <v>0</v>
          </cell>
          <cell r="AZ121">
            <v>0</v>
          </cell>
          <cell r="BA121">
            <v>0</v>
          </cell>
          <cell r="BB121">
            <v>0</v>
          </cell>
          <cell r="BC121">
            <v>0</v>
          </cell>
          <cell r="BD121">
            <v>0</v>
          </cell>
          <cell r="BE121">
            <v>0</v>
          </cell>
          <cell r="BF121">
            <v>0</v>
          </cell>
          <cell r="BG121">
            <v>0</v>
          </cell>
          <cell r="BH121">
            <v>0</v>
          </cell>
          <cell r="BJ121">
            <v>0</v>
          </cell>
          <cell r="BL121">
            <v>0</v>
          </cell>
          <cell r="BM121">
            <v>0</v>
          </cell>
          <cell r="BN121">
            <v>0</v>
          </cell>
          <cell r="BO121">
            <v>0</v>
          </cell>
          <cell r="BQ121">
            <v>0</v>
          </cell>
          <cell r="BR121">
            <v>0</v>
          </cell>
          <cell r="BS121">
            <v>0</v>
          </cell>
          <cell r="BT121">
            <v>0</v>
          </cell>
          <cell r="CB121">
            <v>0</v>
          </cell>
          <cell r="CC121">
            <v>0</v>
          </cell>
          <cell r="CD121">
            <v>0</v>
          </cell>
          <cell r="CE121">
            <v>0</v>
          </cell>
          <cell r="CF121">
            <v>0</v>
          </cell>
          <cell r="CI121">
            <v>0</v>
          </cell>
          <cell r="CJ121">
            <v>0</v>
          </cell>
          <cell r="CK121">
            <v>0</v>
          </cell>
          <cell r="CV121">
            <v>7.6961629253301256E-4</v>
          </cell>
          <cell r="DG121">
            <v>33480925</v>
          </cell>
          <cell r="DR121">
            <v>12612983.220000003</v>
          </cell>
          <cell r="EC121">
            <v>2.6544810546414088</v>
          </cell>
          <cell r="EN121">
            <v>2.4095909012463064E-2</v>
          </cell>
        </row>
        <row r="122">
          <cell r="B122">
            <v>32500</v>
          </cell>
          <cell r="C122" t="str">
            <v>New Bern/Craven County Board Of Education</v>
          </cell>
          <cell r="D122">
            <v>4.4128118097172247E-3</v>
          </cell>
          <cell r="E122">
            <v>7635193.3617276587</v>
          </cell>
          <cell r="F122">
            <v>5953335.3645080393</v>
          </cell>
          <cell r="G122">
            <v>203123</v>
          </cell>
          <cell r="H122">
            <v>-2130490.2515250039</v>
          </cell>
          <cell r="I122">
            <v>-88163.706412841129</v>
          </cell>
          <cell r="J122">
            <v>6443035.0236200765</v>
          </cell>
          <cell r="K122">
            <v>0</v>
          </cell>
          <cell r="L122">
            <v>-338527.75613644405</v>
          </cell>
          <cell r="M122">
            <v>60751.231644381944</v>
          </cell>
          <cell r="N122">
            <v>2290.1610730070452</v>
          </cell>
          <cell r="O122">
            <v>-1033.5246539538712</v>
          </cell>
          <cell r="P122">
            <v>0</v>
          </cell>
          <cell r="Q122">
            <v>0</v>
          </cell>
          <cell r="R122">
            <v>0</v>
          </cell>
          <cell r="S122">
            <v>17739512.903844923</v>
          </cell>
          <cell r="T122">
            <v>1038383</v>
          </cell>
          <cell r="U122">
            <v>32215175.118100382</v>
          </cell>
          <cell r="V122">
            <v>243004.92657752777</v>
          </cell>
          <cell r="W122">
            <v>0</v>
          </cell>
          <cell r="X122">
            <v>33496563.044677909</v>
          </cell>
          <cell r="Y122">
            <v>22772.470000000205</v>
          </cell>
          <cell r="Z122">
            <v>0</v>
          </cell>
          <cell r="AA122">
            <v>0</v>
          </cell>
          <cell r="AB122">
            <v>440818.53206420562</v>
          </cell>
          <cell r="AC122">
            <v>463591.00206420582</v>
          </cell>
          <cell r="AD122" t="str">
            <v>N/A</v>
          </cell>
          <cell r="AE122">
            <v>6618746</v>
          </cell>
          <cell r="AF122">
            <v>6618745</v>
          </cell>
          <cell r="AG122">
            <v>6618745</v>
          </cell>
          <cell r="AH122">
            <v>6618745</v>
          </cell>
          <cell r="AI122">
            <v>6557993</v>
          </cell>
          <cell r="AJ122">
            <v>0</v>
          </cell>
          <cell r="AK122">
            <v>33032974</v>
          </cell>
          <cell r="AL122">
            <v>145058479</v>
          </cell>
          <cell r="AM122">
            <v>17739512.903844923</v>
          </cell>
          <cell r="AN122">
            <v>-3858650.53</v>
          </cell>
          <cell r="AO122">
            <v>32017361.51261371</v>
          </cell>
          <cell r="AP122">
            <v>0</v>
          </cell>
          <cell r="AQ122">
            <v>1015610.5299999998</v>
          </cell>
          <cell r="AR122">
            <v>0</v>
          </cell>
          <cell r="AS122">
            <v>0</v>
          </cell>
          <cell r="AT122">
            <v>191972313.41645864</v>
          </cell>
          <cell r="AU122">
            <v>4.3752283820829383E-3</v>
          </cell>
          <cell r="AV122">
            <v>0</v>
          </cell>
          <cell r="AW122">
            <v>0</v>
          </cell>
          <cell r="AY122">
            <v>0</v>
          </cell>
          <cell r="AZ122">
            <v>0</v>
          </cell>
          <cell r="BA122">
            <v>0</v>
          </cell>
          <cell r="BB122">
            <v>0</v>
          </cell>
          <cell r="BC122">
            <v>0</v>
          </cell>
          <cell r="BD122">
            <v>0</v>
          </cell>
          <cell r="BE122">
            <v>0</v>
          </cell>
          <cell r="BF122">
            <v>0</v>
          </cell>
          <cell r="BG122">
            <v>0</v>
          </cell>
          <cell r="BH122">
            <v>0</v>
          </cell>
          <cell r="BJ122">
            <v>0</v>
          </cell>
          <cell r="BL122">
            <v>0</v>
          </cell>
          <cell r="BM122">
            <v>0</v>
          </cell>
          <cell r="BN122">
            <v>0</v>
          </cell>
          <cell r="BO122">
            <v>0</v>
          </cell>
          <cell r="BQ122">
            <v>0</v>
          </cell>
          <cell r="BR122">
            <v>0</v>
          </cell>
          <cell r="BS122">
            <v>0</v>
          </cell>
          <cell r="BT122">
            <v>0</v>
          </cell>
          <cell r="CB122">
            <v>0</v>
          </cell>
          <cell r="CC122">
            <v>0</v>
          </cell>
          <cell r="CD122">
            <v>0</v>
          </cell>
          <cell r="CE122">
            <v>0</v>
          </cell>
          <cell r="CF122">
            <v>0</v>
          </cell>
          <cell r="CI122">
            <v>0</v>
          </cell>
          <cell r="CJ122">
            <v>0</v>
          </cell>
          <cell r="CK122">
            <v>0</v>
          </cell>
          <cell r="CV122">
            <v>4.4128118097172247E-3</v>
          </cell>
          <cell r="DG122">
            <v>191972313</v>
          </cell>
          <cell r="DR122">
            <v>66814500.440000139</v>
          </cell>
          <cell r="EC122">
            <v>2.8732133254875176</v>
          </cell>
          <cell r="EN122">
            <v>2.4095909012463064E-2</v>
          </cell>
        </row>
        <row r="123">
          <cell r="B123">
            <v>32505</v>
          </cell>
          <cell r="C123" t="str">
            <v>Craven Community College</v>
          </cell>
          <cell r="D123">
            <v>6.4352270126326599E-4</v>
          </cell>
          <cell r="E123">
            <v>1113444.322730181</v>
          </cell>
          <cell r="F123">
            <v>868178.07341297949</v>
          </cell>
          <cell r="G123">
            <v>-29195</v>
          </cell>
          <cell r="H123">
            <v>-310690.53039093479</v>
          </cell>
          <cell r="I123">
            <v>-12856.96035784691</v>
          </cell>
          <cell r="J123">
            <v>939591.23604673182</v>
          </cell>
          <cell r="K123">
            <v>0</v>
          </cell>
          <cell r="L123">
            <v>-49367.683344619356</v>
          </cell>
          <cell r="M123">
            <v>8859.3845327313629</v>
          </cell>
          <cell r="N123">
            <v>333.97541150160976</v>
          </cell>
          <cell r="O123">
            <v>-150.71945186286953</v>
          </cell>
          <cell r="P123">
            <v>0</v>
          </cell>
          <cell r="Q123">
            <v>0</v>
          </cell>
          <cell r="R123">
            <v>0</v>
          </cell>
          <cell r="S123">
            <v>2528146.0985888615</v>
          </cell>
          <cell r="T123">
            <v>6751.8899999998976</v>
          </cell>
          <cell r="U123">
            <v>4697956.1802336592</v>
          </cell>
          <cell r="V123">
            <v>35437.538130925452</v>
          </cell>
          <cell r="W123">
            <v>0</v>
          </cell>
          <cell r="X123">
            <v>4740145.6083645839</v>
          </cell>
          <cell r="Y123">
            <v>152725</v>
          </cell>
          <cell r="Z123">
            <v>0</v>
          </cell>
          <cell r="AA123">
            <v>0</v>
          </cell>
          <cell r="AB123">
            <v>64284.801789234552</v>
          </cell>
          <cell r="AC123">
            <v>217009.80178923457</v>
          </cell>
          <cell r="AD123" t="str">
            <v>N/A</v>
          </cell>
          <cell r="AE123">
            <v>906399</v>
          </cell>
          <cell r="AF123">
            <v>906399</v>
          </cell>
          <cell r="AG123">
            <v>906399</v>
          </cell>
          <cell r="AH123">
            <v>906399</v>
          </cell>
          <cell r="AI123">
            <v>897539</v>
          </cell>
          <cell r="AJ123">
            <v>0</v>
          </cell>
          <cell r="AK123">
            <v>4523135</v>
          </cell>
          <cell r="AL123">
            <v>21518939</v>
          </cell>
          <cell r="AM123">
            <v>2528146.0985888615</v>
          </cell>
          <cell r="AN123">
            <v>-574795.8899999999</v>
          </cell>
          <cell r="AO123">
            <v>4669108.9165753499</v>
          </cell>
          <cell r="AP123">
            <v>0</v>
          </cell>
          <cell r="AQ123">
            <v>-145973.1100000001</v>
          </cell>
          <cell r="AR123">
            <v>0</v>
          </cell>
          <cell r="AS123">
            <v>0</v>
          </cell>
          <cell r="AT123">
            <v>27995425.015164211</v>
          </cell>
          <cell r="AU123">
            <v>6.4905044886177563E-4</v>
          </cell>
          <cell r="AV123">
            <v>0</v>
          </cell>
          <cell r="AW123">
            <v>0</v>
          </cell>
          <cell r="AY123">
            <v>0</v>
          </cell>
          <cell r="AZ123">
            <v>0</v>
          </cell>
          <cell r="BA123">
            <v>0</v>
          </cell>
          <cell r="BB123">
            <v>0</v>
          </cell>
          <cell r="BC123">
            <v>0</v>
          </cell>
          <cell r="BD123">
            <v>0</v>
          </cell>
          <cell r="BE123">
            <v>0</v>
          </cell>
          <cell r="BF123">
            <v>0</v>
          </cell>
          <cell r="BG123">
            <v>0</v>
          </cell>
          <cell r="BH123">
            <v>0</v>
          </cell>
          <cell r="BJ123">
            <v>0</v>
          </cell>
          <cell r="BL123">
            <v>0</v>
          </cell>
          <cell r="BM123">
            <v>0</v>
          </cell>
          <cell r="BN123">
            <v>0</v>
          </cell>
          <cell r="BO123">
            <v>0</v>
          </cell>
          <cell r="BQ123">
            <v>0</v>
          </cell>
          <cell r="BR123">
            <v>0</v>
          </cell>
          <cell r="BS123">
            <v>0</v>
          </cell>
          <cell r="BT123">
            <v>0</v>
          </cell>
          <cell r="CB123">
            <v>0</v>
          </cell>
          <cell r="CC123">
            <v>0</v>
          </cell>
          <cell r="CD123">
            <v>0</v>
          </cell>
          <cell r="CE123">
            <v>0</v>
          </cell>
          <cell r="CF123">
            <v>0</v>
          </cell>
          <cell r="CI123">
            <v>0</v>
          </cell>
          <cell r="CJ123">
            <v>0</v>
          </cell>
          <cell r="CK123">
            <v>0</v>
          </cell>
          <cell r="CV123">
            <v>6.4352270126326599E-4</v>
          </cell>
          <cell r="DG123">
            <v>27995425</v>
          </cell>
          <cell r="DR123">
            <v>10117872.079999996</v>
          </cell>
          <cell r="EC123">
            <v>2.7669281424637275</v>
          </cell>
          <cell r="EN123">
            <v>2.4095909012463064E-2</v>
          </cell>
        </row>
        <row r="124">
          <cell r="B124">
            <v>32600</v>
          </cell>
          <cell r="C124" t="str">
            <v>Cumberland County Schools</v>
          </cell>
          <cell r="D124">
            <v>1.5847388067665232E-2</v>
          </cell>
          <cell r="E124">
            <v>27419676.476689201</v>
          </cell>
          <cell r="F124">
            <v>21379750.573220074</v>
          </cell>
          <cell r="G124">
            <v>-3646100</v>
          </cell>
          <cell r="H124">
            <v>-7651064.048538697</v>
          </cell>
          <cell r="I124">
            <v>-316615.46634084312</v>
          </cell>
          <cell r="J124">
            <v>23138370.897219144</v>
          </cell>
          <cell r="K124">
            <v>0</v>
          </cell>
          <cell r="L124">
            <v>-1215728.418636993</v>
          </cell>
          <cell r="M124">
            <v>218171.17633186316</v>
          </cell>
          <cell r="N124">
            <v>8224.4774593569018</v>
          </cell>
          <cell r="O124">
            <v>-3711.6167593278738</v>
          </cell>
          <cell r="P124">
            <v>0</v>
          </cell>
          <cell r="Q124">
            <v>0</v>
          </cell>
          <cell r="R124">
            <v>0</v>
          </cell>
          <cell r="S124">
            <v>59330974.050643779</v>
          </cell>
          <cell r="T124">
            <v>0</v>
          </cell>
          <cell r="U124">
            <v>115691854.48609573</v>
          </cell>
          <cell r="V124">
            <v>872684.70532745263</v>
          </cell>
          <cell r="W124">
            <v>0</v>
          </cell>
          <cell r="X124">
            <v>116564539.19142318</v>
          </cell>
          <cell r="Y124">
            <v>18230496.579999998</v>
          </cell>
          <cell r="Z124">
            <v>0</v>
          </cell>
          <cell r="AA124">
            <v>0</v>
          </cell>
          <cell r="AB124">
            <v>1583077.3317042156</v>
          </cell>
          <cell r="AC124">
            <v>19813573.911704212</v>
          </cell>
          <cell r="AD124" t="str">
            <v>N/A</v>
          </cell>
          <cell r="AE124">
            <v>19393827</v>
          </cell>
          <cell r="AF124">
            <v>19393828</v>
          </cell>
          <cell r="AG124">
            <v>19393828</v>
          </cell>
          <cell r="AH124">
            <v>19393828</v>
          </cell>
          <cell r="AI124">
            <v>19175656</v>
          </cell>
          <cell r="AJ124">
            <v>0</v>
          </cell>
          <cell r="AK124">
            <v>96750967</v>
          </cell>
          <cell r="AL124">
            <v>546859441</v>
          </cell>
          <cell r="AM124">
            <v>59330974.050643779</v>
          </cell>
          <cell r="AN124">
            <v>-13526134.420000002</v>
          </cell>
          <cell r="AO124">
            <v>114981461.85971896</v>
          </cell>
          <cell r="AP124">
            <v>0</v>
          </cell>
          <cell r="AQ124">
            <v>-18230496.579999998</v>
          </cell>
          <cell r="AR124">
            <v>0</v>
          </cell>
          <cell r="AS124">
            <v>0</v>
          </cell>
          <cell r="AT124">
            <v>689415245.91036272</v>
          </cell>
          <cell r="AU124">
            <v>1.6494278452513444E-2</v>
          </cell>
          <cell r="AV124">
            <v>0</v>
          </cell>
          <cell r="AW124">
            <v>0</v>
          </cell>
          <cell r="AY124">
            <v>0</v>
          </cell>
          <cell r="AZ124">
            <v>0</v>
          </cell>
          <cell r="BA124">
            <v>0</v>
          </cell>
          <cell r="BB124">
            <v>0</v>
          </cell>
          <cell r="BC124">
            <v>0</v>
          </cell>
          <cell r="BD124">
            <v>0</v>
          </cell>
          <cell r="BE124">
            <v>0</v>
          </cell>
          <cell r="BF124">
            <v>0</v>
          </cell>
          <cell r="BG124">
            <v>0</v>
          </cell>
          <cell r="BH124">
            <v>0</v>
          </cell>
          <cell r="BJ124">
            <v>0</v>
          </cell>
          <cell r="BL124">
            <v>0</v>
          </cell>
          <cell r="BM124">
            <v>0</v>
          </cell>
          <cell r="BN124">
            <v>0</v>
          </cell>
          <cell r="BO124">
            <v>0</v>
          </cell>
          <cell r="BQ124">
            <v>0</v>
          </cell>
          <cell r="BR124">
            <v>0</v>
          </cell>
          <cell r="BS124">
            <v>0</v>
          </cell>
          <cell r="BT124">
            <v>0</v>
          </cell>
          <cell r="CB124">
            <v>0</v>
          </cell>
          <cell r="CC124">
            <v>0</v>
          </cell>
          <cell r="CD124">
            <v>0</v>
          </cell>
          <cell r="CE124">
            <v>0</v>
          </cell>
          <cell r="CF124">
            <v>0</v>
          </cell>
          <cell r="CI124">
            <v>0</v>
          </cell>
          <cell r="CJ124">
            <v>0</v>
          </cell>
          <cell r="CK124">
            <v>0</v>
          </cell>
          <cell r="CV124">
            <v>1.5847388067665232E-2</v>
          </cell>
          <cell r="DG124">
            <v>689415246</v>
          </cell>
          <cell r="DR124">
            <v>236983812.70999849</v>
          </cell>
          <cell r="EC124">
            <v>2.9091237840942759</v>
          </cell>
          <cell r="EN124">
            <v>2.4095909012463064E-2</v>
          </cell>
        </row>
        <row r="125">
          <cell r="B125">
            <v>32605</v>
          </cell>
          <cell r="C125" t="str">
            <v>Fayetteville Technical Community College</v>
          </cell>
          <cell r="D125">
            <v>2.2536259926727435E-3</v>
          </cell>
          <cell r="E125">
            <v>3899298.4430429316</v>
          </cell>
          <cell r="F125">
            <v>3040372.4199181115</v>
          </cell>
          <cell r="G125">
            <v>178428</v>
          </cell>
          <cell r="H125">
            <v>-1088042.8205435553</v>
          </cell>
          <cell r="I125">
            <v>-45025.264831105371</v>
          </cell>
          <cell r="J125">
            <v>3290462.3689043089</v>
          </cell>
          <cell r="K125">
            <v>0</v>
          </cell>
          <cell r="L125">
            <v>-172886.3553143813</v>
          </cell>
          <cell r="M125">
            <v>31025.695321785166</v>
          </cell>
          <cell r="N125">
            <v>1169.5868176773004</v>
          </cell>
          <cell r="O125">
            <v>-527.8217437438833</v>
          </cell>
          <cell r="P125">
            <v>0</v>
          </cell>
          <cell r="Q125">
            <v>0</v>
          </cell>
          <cell r="R125">
            <v>0</v>
          </cell>
          <cell r="S125">
            <v>9134274.2515720297</v>
          </cell>
          <cell r="T125">
            <v>892140.70000000019</v>
          </cell>
          <cell r="U125">
            <v>16452311.844521543</v>
          </cell>
          <cell r="V125">
            <v>124102.78128714066</v>
          </cell>
          <cell r="W125">
            <v>0</v>
          </cell>
          <cell r="X125">
            <v>17468555.325808685</v>
          </cell>
          <cell r="Y125">
            <v>0</v>
          </cell>
          <cell r="Z125">
            <v>0</v>
          </cell>
          <cell r="AA125">
            <v>0</v>
          </cell>
          <cell r="AB125">
            <v>225126.32415552685</v>
          </cell>
          <cell r="AC125">
            <v>225126.32415552685</v>
          </cell>
          <cell r="AD125" t="str">
            <v>N/A</v>
          </cell>
          <cell r="AE125">
            <v>3454891</v>
          </cell>
          <cell r="AF125">
            <v>3454891</v>
          </cell>
          <cell r="AG125">
            <v>3454891</v>
          </cell>
          <cell r="AH125">
            <v>3454891</v>
          </cell>
          <cell r="AI125">
            <v>3423865</v>
          </cell>
          <cell r="AJ125">
            <v>0</v>
          </cell>
          <cell r="AK125">
            <v>17243429</v>
          </cell>
          <cell r="AL125">
            <v>73794870</v>
          </cell>
          <cell r="AM125">
            <v>9134274.2515720297</v>
          </cell>
          <cell r="AN125">
            <v>-2132182.7000000002</v>
          </cell>
          <cell r="AO125">
            <v>16351288.301653158</v>
          </cell>
          <cell r="AP125">
            <v>0</v>
          </cell>
          <cell r="AQ125">
            <v>892140.70000000019</v>
          </cell>
          <cell r="AR125">
            <v>0</v>
          </cell>
          <cell r="AS125">
            <v>0</v>
          </cell>
          <cell r="AT125">
            <v>98040390.553225189</v>
          </cell>
          <cell r="AU125">
            <v>2.2257879065669993E-3</v>
          </cell>
          <cell r="AV125">
            <v>0</v>
          </cell>
          <cell r="AW125">
            <v>0</v>
          </cell>
          <cell r="AY125">
            <v>0</v>
          </cell>
          <cell r="AZ125">
            <v>0</v>
          </cell>
          <cell r="BA125">
            <v>0</v>
          </cell>
          <cell r="BB125">
            <v>0</v>
          </cell>
          <cell r="BC125">
            <v>0</v>
          </cell>
          <cell r="BD125">
            <v>0</v>
          </cell>
          <cell r="BE125">
            <v>0</v>
          </cell>
          <cell r="BF125">
            <v>0</v>
          </cell>
          <cell r="BG125">
            <v>0</v>
          </cell>
          <cell r="BH125">
            <v>0</v>
          </cell>
          <cell r="BJ125">
            <v>0</v>
          </cell>
          <cell r="BL125">
            <v>0</v>
          </cell>
          <cell r="BM125">
            <v>0</v>
          </cell>
          <cell r="BN125">
            <v>0</v>
          </cell>
          <cell r="BO125">
            <v>0</v>
          </cell>
          <cell r="BQ125">
            <v>0</v>
          </cell>
          <cell r="BR125">
            <v>0</v>
          </cell>
          <cell r="BS125">
            <v>0</v>
          </cell>
          <cell r="BT125">
            <v>0</v>
          </cell>
          <cell r="CB125">
            <v>0</v>
          </cell>
          <cell r="CC125">
            <v>0</v>
          </cell>
          <cell r="CD125">
            <v>0</v>
          </cell>
          <cell r="CE125">
            <v>0</v>
          </cell>
          <cell r="CF125">
            <v>0</v>
          </cell>
          <cell r="CI125">
            <v>0</v>
          </cell>
          <cell r="CJ125">
            <v>0</v>
          </cell>
          <cell r="CK125">
            <v>0</v>
          </cell>
          <cell r="CV125">
            <v>2.2536259926727435E-3</v>
          </cell>
          <cell r="DG125">
            <v>98040391</v>
          </cell>
          <cell r="DR125">
            <v>37431550.5</v>
          </cell>
          <cell r="EC125">
            <v>2.6191912889101401</v>
          </cell>
          <cell r="EN125">
            <v>2.4095909012463064E-2</v>
          </cell>
        </row>
        <row r="126">
          <cell r="B126">
            <v>32700</v>
          </cell>
          <cell r="C126" t="str">
            <v>Currituck County Schools</v>
          </cell>
          <cell r="D126">
            <v>1.3479360943731201E-3</v>
          </cell>
          <cell r="E126">
            <v>2332243.7401766866</v>
          </cell>
          <cell r="F126">
            <v>1818503.9303188797</v>
          </cell>
          <cell r="G126">
            <v>53234</v>
          </cell>
          <cell r="H126">
            <v>-650778.87582172779</v>
          </cell>
          <cell r="I126">
            <v>-26930.457769781653</v>
          </cell>
          <cell r="J126">
            <v>1968087.4327165554</v>
          </cell>
          <cell r="K126">
            <v>0</v>
          </cell>
          <cell r="L126">
            <v>-103406.58091030065</v>
          </cell>
          <cell r="M126">
            <v>18557.051930191505</v>
          </cell>
          <cell r="N126">
            <v>699.55187425776182</v>
          </cell>
          <cell r="O126">
            <v>-315.70011266312844</v>
          </cell>
          <cell r="P126">
            <v>0</v>
          </cell>
          <cell r="Q126">
            <v>0</v>
          </cell>
          <cell r="R126">
            <v>0</v>
          </cell>
          <cell r="S126">
            <v>5409894.0924020978</v>
          </cell>
          <cell r="T126">
            <v>266165.64999999991</v>
          </cell>
          <cell r="U126">
            <v>9840437.1635827776</v>
          </cell>
          <cell r="V126">
            <v>74228.207720766019</v>
          </cell>
          <cell r="W126">
            <v>0</v>
          </cell>
          <cell r="X126">
            <v>10180831.021303544</v>
          </cell>
          <cell r="Y126">
            <v>0</v>
          </cell>
          <cell r="Z126">
            <v>0</v>
          </cell>
          <cell r="AA126">
            <v>0</v>
          </cell>
          <cell r="AB126">
            <v>134652.28884890824</v>
          </cell>
          <cell r="AC126">
            <v>134652.28884890824</v>
          </cell>
          <cell r="AD126" t="str">
            <v>N/A</v>
          </cell>
          <cell r="AE126">
            <v>2012947</v>
          </cell>
          <cell r="AF126">
            <v>2012948</v>
          </cell>
          <cell r="AG126">
            <v>2012948</v>
          </cell>
          <cell r="AH126">
            <v>2012948</v>
          </cell>
          <cell r="AI126">
            <v>1994391</v>
          </cell>
          <cell r="AJ126">
            <v>0</v>
          </cell>
          <cell r="AK126">
            <v>10046182</v>
          </cell>
          <cell r="AL126">
            <v>44391503</v>
          </cell>
          <cell r="AM126">
            <v>5409894.0924020978</v>
          </cell>
          <cell r="AN126">
            <v>-1207773.6499999999</v>
          </cell>
          <cell r="AO126">
            <v>9780013.0824546367</v>
          </cell>
          <cell r="AP126">
            <v>0</v>
          </cell>
          <cell r="AQ126">
            <v>266165.64999999991</v>
          </cell>
          <cell r="AR126">
            <v>0</v>
          </cell>
          <cell r="AS126">
            <v>0</v>
          </cell>
          <cell r="AT126">
            <v>58639802.174856737</v>
          </cell>
          <cell r="AU126">
            <v>1.3389287312515854E-3</v>
          </cell>
          <cell r="AV126">
            <v>0</v>
          </cell>
          <cell r="AW126">
            <v>0</v>
          </cell>
          <cell r="AY126">
            <v>0</v>
          </cell>
          <cell r="AZ126">
            <v>0</v>
          </cell>
          <cell r="BA126">
            <v>0</v>
          </cell>
          <cell r="BB126">
            <v>0</v>
          </cell>
          <cell r="BC126">
            <v>0</v>
          </cell>
          <cell r="BD126">
            <v>0</v>
          </cell>
          <cell r="BE126">
            <v>0</v>
          </cell>
          <cell r="BF126">
            <v>0</v>
          </cell>
          <cell r="BG126">
            <v>0</v>
          </cell>
          <cell r="BH126">
            <v>0</v>
          </cell>
          <cell r="BJ126">
            <v>0</v>
          </cell>
          <cell r="BL126">
            <v>0</v>
          </cell>
          <cell r="BM126">
            <v>0</v>
          </cell>
          <cell r="BN126">
            <v>0</v>
          </cell>
          <cell r="BO126">
            <v>0</v>
          </cell>
          <cell r="BQ126">
            <v>0</v>
          </cell>
          <cell r="BR126">
            <v>0</v>
          </cell>
          <cell r="BS126">
            <v>0</v>
          </cell>
          <cell r="BT126">
            <v>0</v>
          </cell>
          <cell r="CB126">
            <v>0</v>
          </cell>
          <cell r="CC126">
            <v>0</v>
          </cell>
          <cell r="CD126">
            <v>0</v>
          </cell>
          <cell r="CE126">
            <v>0</v>
          </cell>
          <cell r="CF126">
            <v>0</v>
          </cell>
          <cell r="CI126">
            <v>0</v>
          </cell>
          <cell r="CJ126">
            <v>0</v>
          </cell>
          <cell r="CK126">
            <v>0</v>
          </cell>
          <cell r="CV126">
            <v>1.3479360943731201E-3</v>
          </cell>
          <cell r="DG126">
            <v>58639802</v>
          </cell>
          <cell r="DR126">
            <v>20714552.539999999</v>
          </cell>
          <cell r="EC126">
            <v>2.8308505282344854</v>
          </cell>
          <cell r="EN126">
            <v>2.4095909012463064E-2</v>
          </cell>
        </row>
        <row r="127">
          <cell r="B127">
            <v>32800</v>
          </cell>
          <cell r="C127" t="str">
            <v>Dare County Schools</v>
          </cell>
          <cell r="D127">
            <v>1.8069744625663399E-3</v>
          </cell>
          <cell r="E127">
            <v>3126487.1506682299</v>
          </cell>
          <cell r="F127">
            <v>2437793.7321212087</v>
          </cell>
          <cell r="G127">
            <v>-99826</v>
          </cell>
          <cell r="H127">
            <v>-872401.00943686359</v>
          </cell>
          <cell r="I127">
            <v>-36101.599814973481</v>
          </cell>
          <cell r="J127">
            <v>2638317.755464864</v>
          </cell>
          <cell r="K127">
            <v>0</v>
          </cell>
          <cell r="L127">
            <v>-138621.59470780575</v>
          </cell>
          <cell r="M127">
            <v>24876.638498183493</v>
          </cell>
          <cell r="N127">
            <v>937.78360658267911</v>
          </cell>
          <cell r="O127">
            <v>-423.21148887766248</v>
          </cell>
          <cell r="P127">
            <v>0</v>
          </cell>
          <cell r="Q127">
            <v>0</v>
          </cell>
          <cell r="R127">
            <v>0</v>
          </cell>
          <cell r="S127">
            <v>7081039.6449105479</v>
          </cell>
          <cell r="T127">
            <v>184499.01</v>
          </cell>
          <cell r="U127">
            <v>13191588.777324321</v>
          </cell>
          <cell r="V127">
            <v>99506.553992733971</v>
          </cell>
          <cell r="W127">
            <v>0</v>
          </cell>
          <cell r="X127">
            <v>13475594.341317054</v>
          </cell>
          <cell r="Y127">
            <v>683630</v>
          </cell>
          <cell r="Z127">
            <v>0</v>
          </cell>
          <cell r="AA127">
            <v>0</v>
          </cell>
          <cell r="AB127">
            <v>180507.9990748674</v>
          </cell>
          <cell r="AC127">
            <v>864137.99907486746</v>
          </cell>
          <cell r="AD127" t="str">
            <v>N/A</v>
          </cell>
          <cell r="AE127">
            <v>2527267</v>
          </cell>
          <cell r="AF127">
            <v>2527267</v>
          </cell>
          <cell r="AG127">
            <v>2527267</v>
          </cell>
          <cell r="AH127">
            <v>2527267</v>
          </cell>
          <cell r="AI127">
            <v>2502390</v>
          </cell>
          <cell r="AJ127">
            <v>0</v>
          </cell>
          <cell r="AK127">
            <v>12611458</v>
          </cell>
          <cell r="AL127">
            <v>60729678</v>
          </cell>
          <cell r="AM127">
            <v>7081039.6449105479</v>
          </cell>
          <cell r="AN127">
            <v>-1812643.01</v>
          </cell>
          <cell r="AO127">
            <v>13110587.332242187</v>
          </cell>
          <cell r="AP127">
            <v>0</v>
          </cell>
          <cell r="AQ127">
            <v>-499130.99</v>
          </cell>
          <cell r="AR127">
            <v>0</v>
          </cell>
          <cell r="AS127">
            <v>0</v>
          </cell>
          <cell r="AT127">
            <v>78609530.977152735</v>
          </cell>
          <cell r="AU127">
            <v>1.8317178800786238E-3</v>
          </cell>
          <cell r="AV127">
            <v>0</v>
          </cell>
          <cell r="AW127">
            <v>0</v>
          </cell>
          <cell r="AY127">
            <v>0</v>
          </cell>
          <cell r="AZ127">
            <v>0</v>
          </cell>
          <cell r="BA127">
            <v>0</v>
          </cell>
          <cell r="BB127">
            <v>0</v>
          </cell>
          <cell r="BC127">
            <v>0</v>
          </cell>
          <cell r="BD127">
            <v>0</v>
          </cell>
          <cell r="BE127">
            <v>0</v>
          </cell>
          <cell r="BF127">
            <v>0</v>
          </cell>
          <cell r="BG127">
            <v>0</v>
          </cell>
          <cell r="BH127">
            <v>0</v>
          </cell>
          <cell r="BJ127">
            <v>0</v>
          </cell>
          <cell r="BL127">
            <v>0</v>
          </cell>
          <cell r="BM127">
            <v>0</v>
          </cell>
          <cell r="BN127">
            <v>0</v>
          </cell>
          <cell r="BO127">
            <v>0</v>
          </cell>
          <cell r="BQ127">
            <v>0</v>
          </cell>
          <cell r="BR127">
            <v>0</v>
          </cell>
          <cell r="BS127">
            <v>0</v>
          </cell>
          <cell r="BT127">
            <v>0</v>
          </cell>
          <cell r="CB127">
            <v>0</v>
          </cell>
          <cell r="CC127">
            <v>0</v>
          </cell>
          <cell r="CD127">
            <v>0</v>
          </cell>
          <cell r="CE127">
            <v>0</v>
          </cell>
          <cell r="CF127">
            <v>0</v>
          </cell>
          <cell r="CI127">
            <v>0</v>
          </cell>
          <cell r="CJ127">
            <v>0</v>
          </cell>
          <cell r="CK127">
            <v>0</v>
          </cell>
          <cell r="CV127">
            <v>1.8069744625663399E-3</v>
          </cell>
          <cell r="DG127">
            <v>78609531</v>
          </cell>
          <cell r="DR127">
            <v>31559927.679999985</v>
          </cell>
          <cell r="EC127">
            <v>2.4908020004689706</v>
          </cell>
          <cell r="EN127">
            <v>2.4095909012463064E-2</v>
          </cell>
        </row>
        <row r="128">
          <cell r="B128">
            <v>32900</v>
          </cell>
          <cell r="C128" t="str">
            <v>Davidson County Schools</v>
          </cell>
          <cell r="D128">
            <v>5.7509570539636679E-3</v>
          </cell>
          <cell r="E128">
            <v>9950496.6482624616</v>
          </cell>
          <cell r="F128">
            <v>7758630.434621417</v>
          </cell>
          <cell r="G128">
            <v>-221218</v>
          </cell>
          <cell r="H128">
            <v>-2776542.1388304541</v>
          </cell>
          <cell r="I128">
            <v>-114898.55247894675</v>
          </cell>
          <cell r="J128">
            <v>8396827.0834548157</v>
          </cell>
          <cell r="K128">
            <v>0</v>
          </cell>
          <cell r="L128">
            <v>-441183.23442397855</v>
          </cell>
          <cell r="M128">
            <v>79173.492826703485</v>
          </cell>
          <cell r="N128">
            <v>2984.6316918660646</v>
          </cell>
          <cell r="O128">
            <v>-1346.9316516088306</v>
          </cell>
          <cell r="P128">
            <v>0</v>
          </cell>
          <cell r="Q128">
            <v>0</v>
          </cell>
          <cell r="R128">
            <v>0</v>
          </cell>
          <cell r="S128">
            <v>22632923.433472279</v>
          </cell>
          <cell r="T128">
            <v>0</v>
          </cell>
          <cell r="U128">
            <v>41984135.417274073</v>
          </cell>
          <cell r="V128">
            <v>316693.97130681394</v>
          </cell>
          <cell r="W128">
            <v>0</v>
          </cell>
          <cell r="X128">
            <v>42300829.388580889</v>
          </cell>
          <cell r="Y128">
            <v>1106094.79</v>
          </cell>
          <cell r="Z128">
            <v>0</v>
          </cell>
          <cell r="AA128">
            <v>0</v>
          </cell>
          <cell r="AB128">
            <v>574492.76239473373</v>
          </cell>
          <cell r="AC128">
            <v>1680587.5523947338</v>
          </cell>
          <cell r="AD128" t="str">
            <v>N/A</v>
          </cell>
          <cell r="AE128">
            <v>8139883</v>
          </cell>
          <cell r="AF128">
            <v>8139883</v>
          </cell>
          <cell r="AG128">
            <v>8139883</v>
          </cell>
          <cell r="AH128">
            <v>8139883</v>
          </cell>
          <cell r="AI128">
            <v>8060710</v>
          </cell>
          <cell r="AJ128">
            <v>0</v>
          </cell>
          <cell r="AK128">
            <v>40620242</v>
          </cell>
          <cell r="AL128">
            <v>191900254</v>
          </cell>
          <cell r="AM128">
            <v>22632923.433472279</v>
          </cell>
          <cell r="AN128">
            <v>-4967240.21</v>
          </cell>
          <cell r="AO128">
            <v>41726336.626186155</v>
          </cell>
          <cell r="AP128">
            <v>0</v>
          </cell>
          <cell r="AQ128">
            <v>-1106094.79</v>
          </cell>
          <cell r="AR128">
            <v>0</v>
          </cell>
          <cell r="AS128">
            <v>0</v>
          </cell>
          <cell r="AT128">
            <v>250186179.05965844</v>
          </cell>
          <cell r="AU128">
            <v>5.7880617574740442E-3</v>
          </cell>
          <cell r="AV128">
            <v>0</v>
          </cell>
          <cell r="AW128">
            <v>0</v>
          </cell>
          <cell r="AY128">
            <v>0</v>
          </cell>
          <cell r="AZ128">
            <v>0</v>
          </cell>
          <cell r="BA128">
            <v>0</v>
          </cell>
          <cell r="BB128">
            <v>0</v>
          </cell>
          <cell r="BC128">
            <v>0</v>
          </cell>
          <cell r="BD128">
            <v>0</v>
          </cell>
          <cell r="BE128">
            <v>0</v>
          </cell>
          <cell r="BF128">
            <v>0</v>
          </cell>
          <cell r="BG128">
            <v>0</v>
          </cell>
          <cell r="BH128">
            <v>0</v>
          </cell>
          <cell r="BJ128">
            <v>0</v>
          </cell>
          <cell r="BL128">
            <v>0</v>
          </cell>
          <cell r="BM128">
            <v>0</v>
          </cell>
          <cell r="BN128">
            <v>0</v>
          </cell>
          <cell r="BO128">
            <v>0</v>
          </cell>
          <cell r="BQ128">
            <v>0</v>
          </cell>
          <cell r="BR128">
            <v>0</v>
          </cell>
          <cell r="BS128">
            <v>0</v>
          </cell>
          <cell r="BT128">
            <v>0</v>
          </cell>
          <cell r="CB128">
            <v>0</v>
          </cell>
          <cell r="CC128">
            <v>0</v>
          </cell>
          <cell r="CD128">
            <v>0</v>
          </cell>
          <cell r="CE128">
            <v>0</v>
          </cell>
          <cell r="CF128">
            <v>0</v>
          </cell>
          <cell r="CI128">
            <v>0</v>
          </cell>
          <cell r="CJ128">
            <v>0</v>
          </cell>
          <cell r="CK128">
            <v>0</v>
          </cell>
          <cell r="CV128">
            <v>5.7509570539636679E-3</v>
          </cell>
          <cell r="DG128">
            <v>250186179</v>
          </cell>
          <cell r="DR128">
            <v>86770011.830000177</v>
          </cell>
          <cell r="EC128">
            <v>2.8833253992193155</v>
          </cell>
          <cell r="EN128">
            <v>2.4095909012463064E-2</v>
          </cell>
        </row>
        <row r="129">
          <cell r="B129">
            <v>32901</v>
          </cell>
          <cell r="C129" t="str">
            <v>Invest Collegiate Charter School</v>
          </cell>
          <cell r="D129">
            <v>1.9763566281025743E-4</v>
          </cell>
          <cell r="E129">
            <v>341955.77917160717</v>
          </cell>
          <cell r="F129">
            <v>266630.76320304</v>
          </cell>
          <cell r="G129">
            <v>479680</v>
          </cell>
          <cell r="H129">
            <v>-95417.813205571074</v>
          </cell>
          <cell r="I129">
            <v>-3948.5691445852426</v>
          </cell>
          <cell r="J129">
            <v>288562.83755378524</v>
          </cell>
          <cell r="K129">
            <v>0</v>
          </cell>
          <cell r="L129">
            <v>-15161.57052434616</v>
          </cell>
          <cell r="M129">
            <v>2720.8524746370954</v>
          </cell>
          <cell r="N129">
            <v>102.5689562852674</v>
          </cell>
          <cell r="O129">
            <v>-46.288248586790395</v>
          </cell>
          <cell r="P129">
            <v>0</v>
          </cell>
          <cell r="Q129">
            <v>0</v>
          </cell>
          <cell r="R129">
            <v>0</v>
          </cell>
          <cell r="S129">
            <v>1265078.5602362657</v>
          </cell>
          <cell r="T129">
            <v>2440401</v>
          </cell>
          <cell r="U129">
            <v>1442814.1877689261</v>
          </cell>
          <cell r="V129">
            <v>10883.409898548382</v>
          </cell>
          <cell r="W129">
            <v>0</v>
          </cell>
          <cell r="X129">
            <v>3894098.5976674743</v>
          </cell>
          <cell r="Y129">
            <v>42002.640000000029</v>
          </cell>
          <cell r="Z129">
            <v>0</v>
          </cell>
          <cell r="AA129">
            <v>0</v>
          </cell>
          <cell r="AB129">
            <v>19742.845722926213</v>
          </cell>
          <cell r="AC129">
            <v>61745.485722926242</v>
          </cell>
          <cell r="AD129" t="str">
            <v>N/A</v>
          </cell>
          <cell r="AE129">
            <v>767014</v>
          </cell>
          <cell r="AF129">
            <v>767015</v>
          </cell>
          <cell r="AG129">
            <v>767015</v>
          </cell>
          <cell r="AH129">
            <v>767015</v>
          </cell>
          <cell r="AI129">
            <v>764294</v>
          </cell>
          <cell r="AJ129">
            <v>0</v>
          </cell>
          <cell r="AK129">
            <v>3832353</v>
          </cell>
          <cell r="AL129">
            <v>3624029</v>
          </cell>
          <cell r="AM129">
            <v>1265078.5602362657</v>
          </cell>
          <cell r="AN129">
            <v>-123637.35999999997</v>
          </cell>
          <cell r="AO129">
            <v>1433954.7519445485</v>
          </cell>
          <cell r="AP129">
            <v>0</v>
          </cell>
          <cell r="AQ129">
            <v>2398398.36</v>
          </cell>
          <cell r="AR129">
            <v>0</v>
          </cell>
          <cell r="AS129">
            <v>0</v>
          </cell>
          <cell r="AT129">
            <v>8597823.3121808134</v>
          </cell>
          <cell r="AU129">
            <v>1.0930731873870581E-4</v>
          </cell>
          <cell r="AV129">
            <v>0</v>
          </cell>
          <cell r="AW129">
            <v>0</v>
          </cell>
          <cell r="AY129">
            <v>0</v>
          </cell>
          <cell r="AZ129">
            <v>0</v>
          </cell>
          <cell r="BA129">
            <v>0</v>
          </cell>
          <cell r="BB129">
            <v>0</v>
          </cell>
          <cell r="BC129">
            <v>0</v>
          </cell>
          <cell r="BD129">
            <v>0</v>
          </cell>
          <cell r="BE129">
            <v>0</v>
          </cell>
          <cell r="BF129">
            <v>0</v>
          </cell>
          <cell r="BG129">
            <v>0</v>
          </cell>
          <cell r="BH129">
            <v>0</v>
          </cell>
          <cell r="BJ129">
            <v>0</v>
          </cell>
          <cell r="BL129">
            <v>0</v>
          </cell>
          <cell r="BM129">
            <v>0</v>
          </cell>
          <cell r="BN129">
            <v>0</v>
          </cell>
          <cell r="BO129">
            <v>0</v>
          </cell>
          <cell r="BQ129">
            <v>0</v>
          </cell>
          <cell r="BR129">
            <v>0</v>
          </cell>
          <cell r="BS129">
            <v>0</v>
          </cell>
          <cell r="BT129">
            <v>0</v>
          </cell>
          <cell r="CB129">
            <v>0</v>
          </cell>
          <cell r="CC129">
            <v>0</v>
          </cell>
          <cell r="CD129">
            <v>0</v>
          </cell>
          <cell r="CE129">
            <v>0</v>
          </cell>
          <cell r="CF129">
            <v>0</v>
          </cell>
          <cell r="CI129">
            <v>0</v>
          </cell>
          <cell r="CJ129">
            <v>0</v>
          </cell>
          <cell r="CK129">
            <v>0</v>
          </cell>
          <cell r="CV129">
            <v>1.9763566281025743E-4</v>
          </cell>
          <cell r="DG129">
            <v>8597823</v>
          </cell>
          <cell r="DR129">
            <v>2206162.0200000005</v>
          </cell>
          <cell r="EC129">
            <v>3.8971856654480881</v>
          </cell>
          <cell r="EN129">
            <v>2.4095909012463064E-2</v>
          </cell>
        </row>
        <row r="130">
          <cell r="B130">
            <v>32905</v>
          </cell>
          <cell r="C130" t="str">
            <v>Davidson County Community College</v>
          </cell>
          <cell r="D130">
            <v>8.3108550435342281E-4</v>
          </cell>
          <cell r="E130">
            <v>1437971.705907386</v>
          </cell>
          <cell r="F130">
            <v>1121219.5165681187</v>
          </cell>
          <cell r="G130">
            <v>-159193</v>
          </cell>
          <cell r="H130">
            <v>-401245.20182567462</v>
          </cell>
          <cell r="I130">
            <v>-16604.283520189012</v>
          </cell>
          <cell r="J130">
            <v>1213446.945636957</v>
          </cell>
          <cell r="K130">
            <v>0</v>
          </cell>
          <cell r="L130">
            <v>-63756.516950655525</v>
          </cell>
          <cell r="M130">
            <v>11441.563830137178</v>
          </cell>
          <cell r="N130">
            <v>431.31675504933935</v>
          </cell>
          <cell r="O130">
            <v>-194.64853597461516</v>
          </cell>
          <cell r="P130">
            <v>0</v>
          </cell>
          <cell r="Q130">
            <v>0</v>
          </cell>
          <cell r="R130">
            <v>0</v>
          </cell>
          <cell r="S130">
            <v>3143517.3978651538</v>
          </cell>
          <cell r="T130">
            <v>30669.230000000098</v>
          </cell>
          <cell r="U130">
            <v>6067234.7281847848</v>
          </cell>
          <cell r="V130">
            <v>45766.255320548713</v>
          </cell>
          <cell r="W130">
            <v>0</v>
          </cell>
          <cell r="X130">
            <v>6143670.2135053342</v>
          </cell>
          <cell r="Y130">
            <v>826635</v>
          </cell>
          <cell r="Z130">
            <v>0</v>
          </cell>
          <cell r="AA130">
            <v>0</v>
          </cell>
          <cell r="AB130">
            <v>83021.41760094506</v>
          </cell>
          <cell r="AC130">
            <v>909656.4176009451</v>
          </cell>
          <cell r="AD130" t="str">
            <v>N/A</v>
          </cell>
          <cell r="AE130">
            <v>1049091</v>
          </cell>
          <cell r="AF130">
            <v>1049091</v>
          </cell>
          <cell r="AG130">
            <v>1049091</v>
          </cell>
          <cell r="AH130">
            <v>1049091</v>
          </cell>
          <cell r="AI130">
            <v>1037650</v>
          </cell>
          <cell r="AJ130">
            <v>0</v>
          </cell>
          <cell r="AK130">
            <v>5234014</v>
          </cell>
          <cell r="AL130">
            <v>28546181</v>
          </cell>
          <cell r="AM130">
            <v>3143517.3978651538</v>
          </cell>
          <cell r="AN130">
            <v>-768667.2300000001</v>
          </cell>
          <cell r="AO130">
            <v>6029979.5659043891</v>
          </cell>
          <cell r="AP130">
            <v>0</v>
          </cell>
          <cell r="AQ130">
            <v>-795965.7699999999</v>
          </cell>
          <cell r="AR130">
            <v>0</v>
          </cell>
          <cell r="AS130">
            <v>0</v>
          </cell>
          <cell r="AT130">
            <v>36155044.96376954</v>
          </cell>
          <cell r="AU130">
            <v>8.6100491293295814E-4</v>
          </cell>
          <cell r="AV130">
            <v>0</v>
          </cell>
          <cell r="AW130">
            <v>0</v>
          </cell>
          <cell r="AY130">
            <v>0</v>
          </cell>
          <cell r="AZ130">
            <v>0</v>
          </cell>
          <cell r="BA130">
            <v>0</v>
          </cell>
          <cell r="BB130">
            <v>0</v>
          </cell>
          <cell r="BC130">
            <v>0</v>
          </cell>
          <cell r="BD130">
            <v>0</v>
          </cell>
          <cell r="BE130">
            <v>0</v>
          </cell>
          <cell r="BF130">
            <v>0</v>
          </cell>
          <cell r="BG130">
            <v>0</v>
          </cell>
          <cell r="BH130">
            <v>0</v>
          </cell>
          <cell r="BJ130">
            <v>0</v>
          </cell>
          <cell r="BL130">
            <v>0</v>
          </cell>
          <cell r="BM130">
            <v>0</v>
          </cell>
          <cell r="BN130">
            <v>0</v>
          </cell>
          <cell r="BO130">
            <v>0</v>
          </cell>
          <cell r="BQ130">
            <v>0</v>
          </cell>
          <cell r="BR130">
            <v>0</v>
          </cell>
          <cell r="BS130">
            <v>0</v>
          </cell>
          <cell r="BT130">
            <v>0</v>
          </cell>
          <cell r="CB130">
            <v>0</v>
          </cell>
          <cell r="CC130">
            <v>0</v>
          </cell>
          <cell r="CD130">
            <v>0</v>
          </cell>
          <cell r="CE130">
            <v>0</v>
          </cell>
          <cell r="CF130">
            <v>0</v>
          </cell>
          <cell r="CI130">
            <v>0</v>
          </cell>
          <cell r="CJ130">
            <v>0</v>
          </cell>
          <cell r="CK130">
            <v>0</v>
          </cell>
          <cell r="CV130">
            <v>8.3108550435342281E-4</v>
          </cell>
          <cell r="DG130">
            <v>36155044</v>
          </cell>
          <cell r="DR130">
            <v>13363003.759999996</v>
          </cell>
          <cell r="EC130">
            <v>2.70560756019723</v>
          </cell>
          <cell r="EN130">
            <v>2.4095909012463064E-2</v>
          </cell>
        </row>
        <row r="131">
          <cell r="B131">
            <v>32910</v>
          </cell>
          <cell r="C131" t="str">
            <v>Lexington City Schools</v>
          </cell>
          <cell r="D131">
            <v>1.0467233667264405E-3</v>
          </cell>
          <cell r="E131">
            <v>1811075.4878774383</v>
          </cell>
          <cell r="F131">
            <v>1412137.0918803702</v>
          </cell>
          <cell r="G131">
            <v>-122411</v>
          </cell>
          <cell r="H131">
            <v>-505354.41460328549</v>
          </cell>
          <cell r="I131">
            <v>-20912.519177980554</v>
          </cell>
          <cell r="J131">
            <v>1528294.339905726</v>
          </cell>
          <cell r="K131">
            <v>0</v>
          </cell>
          <cell r="L131">
            <v>-80299.121719444622</v>
          </cell>
          <cell r="M131">
            <v>14410.252796087445</v>
          </cell>
          <cell r="N131">
            <v>543.22849286368807</v>
          </cell>
          <cell r="O131">
            <v>-245.15307972099964</v>
          </cell>
          <cell r="P131">
            <v>0</v>
          </cell>
          <cell r="Q131">
            <v>0</v>
          </cell>
          <cell r="R131">
            <v>0</v>
          </cell>
          <cell r="S131">
            <v>4037238.1923720534</v>
          </cell>
          <cell r="T131">
            <v>30062.839999999967</v>
          </cell>
          <cell r="U131">
            <v>7641471.6995286299</v>
          </cell>
          <cell r="V131">
            <v>57641.01118434978</v>
          </cell>
          <cell r="W131">
            <v>0</v>
          </cell>
          <cell r="X131">
            <v>7729175.5507129794</v>
          </cell>
          <cell r="Y131">
            <v>642117</v>
          </cell>
          <cell r="Z131">
            <v>0</v>
          </cell>
          <cell r="AA131">
            <v>0</v>
          </cell>
          <cell r="AB131">
            <v>104562.59588990276</v>
          </cell>
          <cell r="AC131">
            <v>746679.59588990279</v>
          </cell>
          <cell r="AD131" t="str">
            <v>N/A</v>
          </cell>
          <cell r="AE131">
            <v>1399382</v>
          </cell>
          <cell r="AF131">
            <v>1399380</v>
          </cell>
          <cell r="AG131">
            <v>1399380</v>
          </cell>
          <cell r="AH131">
            <v>1399380</v>
          </cell>
          <cell r="AI131">
            <v>1384970</v>
          </cell>
          <cell r="AJ131">
            <v>0</v>
          </cell>
          <cell r="AK131">
            <v>6982492</v>
          </cell>
          <cell r="AL131">
            <v>35474123</v>
          </cell>
          <cell r="AM131">
            <v>4037238.1923720534</v>
          </cell>
          <cell r="AN131">
            <v>-957832.84</v>
          </cell>
          <cell r="AO131">
            <v>7594550.1148230778</v>
          </cell>
          <cell r="AP131">
            <v>0</v>
          </cell>
          <cell r="AQ131">
            <v>-612054.16</v>
          </cell>
          <cell r="AR131">
            <v>0</v>
          </cell>
          <cell r="AS131">
            <v>0</v>
          </cell>
          <cell r="AT131">
            <v>45536024.307195134</v>
          </cell>
          <cell r="AU131">
            <v>1.0699642547046229E-3</v>
          </cell>
          <cell r="AV131">
            <v>0</v>
          </cell>
          <cell r="AW131">
            <v>0</v>
          </cell>
          <cell r="AY131">
            <v>0</v>
          </cell>
          <cell r="AZ131">
            <v>0</v>
          </cell>
          <cell r="BA131">
            <v>0</v>
          </cell>
          <cell r="BB131">
            <v>0</v>
          </cell>
          <cell r="BC131">
            <v>0</v>
          </cell>
          <cell r="BD131">
            <v>0</v>
          </cell>
          <cell r="BE131">
            <v>0</v>
          </cell>
          <cell r="BF131">
            <v>0</v>
          </cell>
          <cell r="BG131">
            <v>0</v>
          </cell>
          <cell r="BH131">
            <v>0</v>
          </cell>
          <cell r="BJ131">
            <v>0</v>
          </cell>
          <cell r="BL131">
            <v>0</v>
          </cell>
          <cell r="BM131">
            <v>0</v>
          </cell>
          <cell r="BN131">
            <v>0</v>
          </cell>
          <cell r="BO131">
            <v>0</v>
          </cell>
          <cell r="BQ131">
            <v>0</v>
          </cell>
          <cell r="BR131">
            <v>0</v>
          </cell>
          <cell r="BS131">
            <v>0</v>
          </cell>
          <cell r="BT131">
            <v>0</v>
          </cell>
          <cell r="CB131">
            <v>0</v>
          </cell>
          <cell r="CC131">
            <v>0</v>
          </cell>
          <cell r="CD131">
            <v>0</v>
          </cell>
          <cell r="CE131">
            <v>0</v>
          </cell>
          <cell r="CF131">
            <v>0</v>
          </cell>
          <cell r="CI131">
            <v>0</v>
          </cell>
          <cell r="CJ131">
            <v>0</v>
          </cell>
          <cell r="CK131">
            <v>0</v>
          </cell>
          <cell r="CV131">
            <v>1.0467233667264405E-3</v>
          </cell>
          <cell r="DG131">
            <v>45536024</v>
          </cell>
          <cell r="DR131">
            <v>16502634.739999995</v>
          </cell>
          <cell r="EC131">
            <v>2.7593184189932578</v>
          </cell>
          <cell r="EN131">
            <v>2.4095909012463064E-2</v>
          </cell>
        </row>
        <row r="132">
          <cell r="B132">
            <v>32920</v>
          </cell>
          <cell r="C132" t="str">
            <v>Thomasville City Schools</v>
          </cell>
          <cell r="D132">
            <v>8.5878063645003586E-4</v>
          </cell>
          <cell r="E132">
            <v>1485890.7420807825</v>
          </cell>
          <cell r="F132">
            <v>1158583.0880153347</v>
          </cell>
          <cell r="G132">
            <v>-165225</v>
          </cell>
          <cell r="H132">
            <v>-414616.31563945685</v>
          </cell>
          <cell r="I132">
            <v>-17157.605438394065</v>
          </cell>
          <cell r="J132">
            <v>1253883.9082305867</v>
          </cell>
          <cell r="K132">
            <v>0</v>
          </cell>
          <cell r="L132">
            <v>-65881.142094180424</v>
          </cell>
          <cell r="M132">
            <v>11822.843036678034</v>
          </cell>
          <cell r="N132">
            <v>445.68997470483959</v>
          </cell>
          <cell r="O132">
            <v>-201.1350128629629</v>
          </cell>
          <cell r="P132">
            <v>0</v>
          </cell>
          <cell r="Q132">
            <v>0</v>
          </cell>
          <cell r="R132">
            <v>0</v>
          </cell>
          <cell r="S132">
            <v>3247545.0731531926</v>
          </cell>
          <cell r="T132">
            <v>8362.9300000000512</v>
          </cell>
          <cell r="U132">
            <v>6269419.5411529327</v>
          </cell>
          <cell r="V132">
            <v>47291.372146712136</v>
          </cell>
          <cell r="W132">
            <v>0</v>
          </cell>
          <cell r="X132">
            <v>6325073.8432996441</v>
          </cell>
          <cell r="Y132">
            <v>834489</v>
          </cell>
          <cell r="Z132">
            <v>0</v>
          </cell>
          <cell r="AA132">
            <v>0</v>
          </cell>
          <cell r="AB132">
            <v>85788.027191970323</v>
          </cell>
          <cell r="AC132">
            <v>920277.02719197026</v>
          </cell>
          <cell r="AD132" t="str">
            <v>N/A</v>
          </cell>
          <cell r="AE132">
            <v>1083324</v>
          </cell>
          <cell r="AF132">
            <v>1083323</v>
          </cell>
          <cell r="AG132">
            <v>1083323</v>
          </cell>
          <cell r="AH132">
            <v>1083323</v>
          </cell>
          <cell r="AI132">
            <v>1071500</v>
          </cell>
          <cell r="AJ132">
            <v>0</v>
          </cell>
          <cell r="AK132">
            <v>5404793</v>
          </cell>
          <cell r="AL132">
            <v>29473824</v>
          </cell>
          <cell r="AM132">
            <v>3247545.0731531926</v>
          </cell>
          <cell r="AN132">
            <v>-766288.93</v>
          </cell>
          <cell r="AO132">
            <v>6230922.8861076757</v>
          </cell>
          <cell r="AP132">
            <v>0</v>
          </cell>
          <cell r="AQ132">
            <v>-826126.07</v>
          </cell>
          <cell r="AR132">
            <v>0</v>
          </cell>
          <cell r="AS132">
            <v>0</v>
          </cell>
          <cell r="AT132">
            <v>37359876.959260873</v>
          </cell>
          <cell r="AU132">
            <v>8.8898430386855824E-4</v>
          </cell>
          <cell r="AV132">
            <v>0</v>
          </cell>
          <cell r="AW132">
            <v>0</v>
          </cell>
          <cell r="AY132">
            <v>0</v>
          </cell>
          <cell r="AZ132">
            <v>0</v>
          </cell>
          <cell r="BA132">
            <v>0</v>
          </cell>
          <cell r="BB132">
            <v>0</v>
          </cell>
          <cell r="BC132">
            <v>0</v>
          </cell>
          <cell r="BD132">
            <v>0</v>
          </cell>
          <cell r="BE132">
            <v>0</v>
          </cell>
          <cell r="BF132">
            <v>0</v>
          </cell>
          <cell r="BG132">
            <v>0</v>
          </cell>
          <cell r="BH132">
            <v>0</v>
          </cell>
          <cell r="BJ132">
            <v>0</v>
          </cell>
          <cell r="BL132">
            <v>0</v>
          </cell>
          <cell r="BM132">
            <v>0</v>
          </cell>
          <cell r="BN132">
            <v>0</v>
          </cell>
          <cell r="BO132">
            <v>0</v>
          </cell>
          <cell r="BQ132">
            <v>0</v>
          </cell>
          <cell r="BR132">
            <v>0</v>
          </cell>
          <cell r="BS132">
            <v>0</v>
          </cell>
          <cell r="BT132">
            <v>0</v>
          </cell>
          <cell r="CB132">
            <v>0</v>
          </cell>
          <cell r="CC132">
            <v>0</v>
          </cell>
          <cell r="CD132">
            <v>0</v>
          </cell>
          <cell r="CE132">
            <v>0</v>
          </cell>
          <cell r="CF132">
            <v>0</v>
          </cell>
          <cell r="CI132">
            <v>0</v>
          </cell>
          <cell r="CJ132">
            <v>0</v>
          </cell>
          <cell r="CK132">
            <v>0</v>
          </cell>
          <cell r="CV132">
            <v>8.5878063645003586E-4</v>
          </cell>
          <cell r="DG132">
            <v>37359877</v>
          </cell>
          <cell r="DR132">
            <v>12899764.759999992</v>
          </cell>
          <cell r="EC132">
            <v>2.8961673096432512</v>
          </cell>
          <cell r="EN132">
            <v>2.4095909012463064E-2</v>
          </cell>
        </row>
        <row r="133">
          <cell r="B133">
            <v>33000</v>
          </cell>
          <cell r="C133" t="str">
            <v>Davie County Schools</v>
          </cell>
          <cell r="D133">
            <v>2.2214001891298269E-3</v>
          </cell>
          <cell r="E133">
            <v>3843540.2888552998</v>
          </cell>
          <cell r="F133">
            <v>2996896.5083781565</v>
          </cell>
          <cell r="G133">
            <v>-235496</v>
          </cell>
          <cell r="H133">
            <v>-1072484.3142540827</v>
          </cell>
          <cell r="I133">
            <v>-44381.424485088515</v>
          </cell>
          <cell r="J133">
            <v>3243410.2874096716</v>
          </cell>
          <cell r="K133">
            <v>0</v>
          </cell>
          <cell r="L133">
            <v>-170414.16084212792</v>
          </cell>
          <cell r="M133">
            <v>30582.042308608627</v>
          </cell>
          <cell r="N133">
            <v>1152.8622701545976</v>
          </cell>
          <cell r="O133">
            <v>-520.27413829609679</v>
          </cell>
          <cell r="P133">
            <v>0</v>
          </cell>
          <cell r="Q133">
            <v>0</v>
          </cell>
          <cell r="R133">
            <v>0</v>
          </cell>
          <cell r="S133">
            <v>8592285.8155022953</v>
          </cell>
          <cell r="T133">
            <v>0</v>
          </cell>
          <cell r="U133">
            <v>16217051.437048359</v>
          </cell>
          <cell r="V133">
            <v>122328.16923443451</v>
          </cell>
          <cell r="W133">
            <v>0</v>
          </cell>
          <cell r="X133">
            <v>16339379.606282793</v>
          </cell>
          <cell r="Y133">
            <v>1177479.46</v>
          </cell>
          <cell r="Z133">
            <v>0</v>
          </cell>
          <cell r="AA133">
            <v>0</v>
          </cell>
          <cell r="AB133">
            <v>221907.12242544259</v>
          </cell>
          <cell r="AC133">
            <v>1399386.5824254425</v>
          </cell>
          <cell r="AD133" t="str">
            <v>N/A</v>
          </cell>
          <cell r="AE133">
            <v>2994115</v>
          </cell>
          <cell r="AF133">
            <v>2994115</v>
          </cell>
          <cell r="AG133">
            <v>2994115</v>
          </cell>
          <cell r="AH133">
            <v>2994115</v>
          </cell>
          <cell r="AI133">
            <v>2963533</v>
          </cell>
          <cell r="AJ133">
            <v>0</v>
          </cell>
          <cell r="AK133">
            <v>14939993</v>
          </cell>
          <cell r="AL133">
            <v>74967610</v>
          </cell>
          <cell r="AM133">
            <v>8592285.8155022953</v>
          </cell>
          <cell r="AN133">
            <v>-1861430.54</v>
          </cell>
          <cell r="AO133">
            <v>16117472.483857352</v>
          </cell>
          <cell r="AP133">
            <v>0</v>
          </cell>
          <cell r="AQ133">
            <v>-1177479.46</v>
          </cell>
          <cell r="AR133">
            <v>0</v>
          </cell>
          <cell r="AS133">
            <v>0</v>
          </cell>
          <cell r="AT133">
            <v>96638458.299359649</v>
          </cell>
          <cell r="AU133">
            <v>2.2611599054885461E-3</v>
          </cell>
          <cell r="AV133">
            <v>0</v>
          </cell>
          <cell r="AW133">
            <v>0</v>
          </cell>
          <cell r="AY133">
            <v>0</v>
          </cell>
          <cell r="AZ133">
            <v>0</v>
          </cell>
          <cell r="BA133">
            <v>0</v>
          </cell>
          <cell r="BB133">
            <v>0</v>
          </cell>
          <cell r="BC133">
            <v>0</v>
          </cell>
          <cell r="BD133">
            <v>0</v>
          </cell>
          <cell r="BE133">
            <v>0</v>
          </cell>
          <cell r="BF133">
            <v>0</v>
          </cell>
          <cell r="BG133">
            <v>0</v>
          </cell>
          <cell r="BH133">
            <v>0</v>
          </cell>
          <cell r="BJ133">
            <v>0</v>
          </cell>
          <cell r="BL133">
            <v>0</v>
          </cell>
          <cell r="BM133">
            <v>0</v>
          </cell>
          <cell r="BN133">
            <v>0</v>
          </cell>
          <cell r="BO133">
            <v>0</v>
          </cell>
          <cell r="BQ133">
            <v>0</v>
          </cell>
          <cell r="BR133">
            <v>0</v>
          </cell>
          <cell r="BS133">
            <v>0</v>
          </cell>
          <cell r="BT133">
            <v>0</v>
          </cell>
          <cell r="CB133">
            <v>0</v>
          </cell>
          <cell r="CC133">
            <v>0</v>
          </cell>
          <cell r="CD133">
            <v>0</v>
          </cell>
          <cell r="CE133">
            <v>0</v>
          </cell>
          <cell r="CF133">
            <v>0</v>
          </cell>
          <cell r="CI133">
            <v>0</v>
          </cell>
          <cell r="CJ133">
            <v>0</v>
          </cell>
          <cell r="CK133">
            <v>0</v>
          </cell>
          <cell r="CV133">
            <v>2.2214001891298269E-3</v>
          </cell>
          <cell r="DG133">
            <v>96638459</v>
          </cell>
          <cell r="DR133">
            <v>32554020.660000037</v>
          </cell>
          <cell r="EC133">
            <v>2.9685567877869588</v>
          </cell>
          <cell r="EN133">
            <v>2.4095909012463064E-2</v>
          </cell>
        </row>
        <row r="134">
          <cell r="B134">
            <v>33001</v>
          </cell>
          <cell r="C134" t="str">
            <v>N.E. Regional School For Biotechnology</v>
          </cell>
          <cell r="D134">
            <v>5.9114053478424925E-5</v>
          </cell>
          <cell r="E134">
            <v>102281.09608241063</v>
          </cell>
          <cell r="F134">
            <v>79750.916261049017</v>
          </cell>
          <cell r="G134">
            <v>57272</v>
          </cell>
          <cell r="H134">
            <v>-28540.060191685912</v>
          </cell>
          <cell r="I134">
            <v>-1181.0415400603304</v>
          </cell>
          <cell r="J134">
            <v>86310.935832554489</v>
          </cell>
          <cell r="K134">
            <v>0</v>
          </cell>
          <cell r="L134">
            <v>-4534.9198522615698</v>
          </cell>
          <cell r="M134">
            <v>813.82386359601048</v>
          </cell>
          <cell r="N134">
            <v>30.679011474232968</v>
          </cell>
          <cell r="O134">
            <v>-13.845102465181903</v>
          </cell>
          <cell r="P134">
            <v>0</v>
          </cell>
          <cell r="Q134">
            <v>0</v>
          </cell>
          <cell r="R134">
            <v>0</v>
          </cell>
          <cell r="S134">
            <v>292189.58436461142</v>
          </cell>
          <cell r="T134">
            <v>288321</v>
          </cell>
          <cell r="U134">
            <v>431554.67916277243</v>
          </cell>
          <cell r="V134">
            <v>3255.2954543840419</v>
          </cell>
          <cell r="W134">
            <v>0</v>
          </cell>
          <cell r="X134">
            <v>723130.97461715643</v>
          </cell>
          <cell r="Y134">
            <v>1961.1400000000067</v>
          </cell>
          <cell r="Z134">
            <v>0</v>
          </cell>
          <cell r="AA134">
            <v>0</v>
          </cell>
          <cell r="AB134">
            <v>5905.207700301652</v>
          </cell>
          <cell r="AC134">
            <v>7866.3477003016587</v>
          </cell>
          <cell r="AD134" t="str">
            <v>N/A</v>
          </cell>
          <cell r="AE134">
            <v>143216</v>
          </cell>
          <cell r="AF134">
            <v>143216</v>
          </cell>
          <cell r="AG134">
            <v>143216</v>
          </cell>
          <cell r="AH134">
            <v>143216</v>
          </cell>
          <cell r="AI134">
            <v>142402</v>
          </cell>
          <cell r="AJ134">
            <v>0</v>
          </cell>
          <cell r="AK134">
            <v>715266</v>
          </cell>
          <cell r="AL134">
            <v>1613911</v>
          </cell>
          <cell r="AM134">
            <v>292189.58436461142</v>
          </cell>
          <cell r="AN134">
            <v>-49703.859999999993</v>
          </cell>
          <cell r="AO134">
            <v>428904.76691685483</v>
          </cell>
          <cell r="AP134">
            <v>0</v>
          </cell>
          <cell r="AQ134">
            <v>286359.86</v>
          </cell>
          <cell r="AR134">
            <v>0</v>
          </cell>
          <cell r="AS134">
            <v>0</v>
          </cell>
          <cell r="AT134">
            <v>2571661.351281466</v>
          </cell>
          <cell r="AU134">
            <v>4.8678510169402041E-5</v>
          </cell>
          <cell r="AV134">
            <v>0</v>
          </cell>
          <cell r="AW134">
            <v>0</v>
          </cell>
          <cell r="AY134">
            <v>0</v>
          </cell>
          <cell r="AZ134">
            <v>0</v>
          </cell>
          <cell r="BA134">
            <v>0</v>
          </cell>
          <cell r="BB134">
            <v>0</v>
          </cell>
          <cell r="BC134">
            <v>0</v>
          </cell>
          <cell r="BD134">
            <v>0</v>
          </cell>
          <cell r="BE134">
            <v>0</v>
          </cell>
          <cell r="BF134">
            <v>0</v>
          </cell>
          <cell r="BG134">
            <v>0</v>
          </cell>
          <cell r="BH134">
            <v>0</v>
          </cell>
          <cell r="BJ134">
            <v>0</v>
          </cell>
          <cell r="BL134">
            <v>0</v>
          </cell>
          <cell r="BM134">
            <v>0</v>
          </cell>
          <cell r="BN134">
            <v>0</v>
          </cell>
          <cell r="BO134">
            <v>0</v>
          </cell>
          <cell r="BQ134">
            <v>0</v>
          </cell>
          <cell r="BR134">
            <v>0</v>
          </cell>
          <cell r="BS134">
            <v>0</v>
          </cell>
          <cell r="BT134">
            <v>0</v>
          </cell>
          <cell r="CB134">
            <v>0</v>
          </cell>
          <cell r="CC134">
            <v>0</v>
          </cell>
          <cell r="CD134">
            <v>0</v>
          </cell>
          <cell r="CE134">
            <v>0</v>
          </cell>
          <cell r="CF134">
            <v>0</v>
          </cell>
          <cell r="CI134">
            <v>0</v>
          </cell>
          <cell r="CJ134">
            <v>0</v>
          </cell>
          <cell r="CK134">
            <v>0</v>
          </cell>
          <cell r="CV134">
            <v>5.9114053478424925E-5</v>
          </cell>
          <cell r="DG134">
            <v>2571662</v>
          </cell>
          <cell r="DR134">
            <v>746290.78</v>
          </cell>
          <cell r="EC134">
            <v>3.4459249248664174</v>
          </cell>
          <cell r="EN134">
            <v>2.4095909012463064E-2</v>
          </cell>
        </row>
        <row r="135">
          <cell r="B135">
            <v>33027</v>
          </cell>
          <cell r="C135" t="str">
            <v>Cornerstone Academy</v>
          </cell>
          <cell r="D135">
            <v>2.2844448469440254E-4</v>
          </cell>
          <cell r="E135">
            <v>395262.22469336813</v>
          </cell>
          <cell r="F135">
            <v>308195.02127038408</v>
          </cell>
          <cell r="G135">
            <v>281683</v>
          </cell>
          <cell r="H135">
            <v>-110292.20565997022</v>
          </cell>
          <cell r="I135">
            <v>-4564.0995693221503</v>
          </cell>
          <cell r="J135">
            <v>333546.01993172121</v>
          </cell>
          <cell r="K135">
            <v>0</v>
          </cell>
          <cell r="L135">
            <v>-17525.061602456593</v>
          </cell>
          <cell r="M135">
            <v>3144.9978847931975</v>
          </cell>
          <cell r="N135">
            <v>118.55811866670103</v>
          </cell>
          <cell r="O135">
            <v>-53.503982760276017</v>
          </cell>
          <cell r="P135">
            <v>0</v>
          </cell>
          <cell r="Q135">
            <v>0</v>
          </cell>
          <cell r="R135">
            <v>0</v>
          </cell>
          <cell r="S135">
            <v>1189514.9510844243</v>
          </cell>
          <cell r="T135">
            <v>1448018</v>
          </cell>
          <cell r="U135">
            <v>1667730.0996586061</v>
          </cell>
          <cell r="V135">
            <v>12579.99153917279</v>
          </cell>
          <cell r="W135">
            <v>0</v>
          </cell>
          <cell r="X135">
            <v>3128328.0911977789</v>
          </cell>
          <cell r="Y135">
            <v>39606.349999999977</v>
          </cell>
          <cell r="Z135">
            <v>0</v>
          </cell>
          <cell r="AA135">
            <v>0</v>
          </cell>
          <cell r="AB135">
            <v>22820.49784661075</v>
          </cell>
          <cell r="AC135">
            <v>62426.847846610726</v>
          </cell>
          <cell r="AD135" t="str">
            <v>N/A</v>
          </cell>
          <cell r="AE135">
            <v>613810</v>
          </cell>
          <cell r="AF135">
            <v>613810</v>
          </cell>
          <cell r="AG135">
            <v>613810</v>
          </cell>
          <cell r="AH135">
            <v>613810</v>
          </cell>
          <cell r="AI135">
            <v>610665</v>
          </cell>
          <cell r="AJ135">
            <v>0</v>
          </cell>
          <cell r="AK135">
            <v>3065905</v>
          </cell>
          <cell r="AL135">
            <v>5836339</v>
          </cell>
          <cell r="AM135">
            <v>1189514.9510844243</v>
          </cell>
          <cell r="AN135">
            <v>-153643.65000000002</v>
          </cell>
          <cell r="AO135">
            <v>1657489.5933511681</v>
          </cell>
          <cell r="AP135">
            <v>0</v>
          </cell>
          <cell r="AQ135">
            <v>1408411.65</v>
          </cell>
          <cell r="AR135">
            <v>0</v>
          </cell>
          <cell r="AS135">
            <v>0</v>
          </cell>
          <cell r="AT135">
            <v>9938111.5444355924</v>
          </cell>
          <cell r="AU135">
            <v>1.7603461970201124E-4</v>
          </cell>
          <cell r="AV135">
            <v>0</v>
          </cell>
          <cell r="AW135">
            <v>0</v>
          </cell>
          <cell r="AY135">
            <v>0</v>
          </cell>
          <cell r="AZ135">
            <v>0</v>
          </cell>
          <cell r="BA135">
            <v>0</v>
          </cell>
          <cell r="BB135">
            <v>0</v>
          </cell>
          <cell r="BC135">
            <v>0</v>
          </cell>
          <cell r="BD135">
            <v>0</v>
          </cell>
          <cell r="BE135">
            <v>0</v>
          </cell>
          <cell r="BF135">
            <v>0</v>
          </cell>
          <cell r="BG135">
            <v>0</v>
          </cell>
          <cell r="BH135">
            <v>0</v>
          </cell>
          <cell r="BJ135">
            <v>0</v>
          </cell>
          <cell r="BL135">
            <v>0</v>
          </cell>
          <cell r="BM135">
            <v>0</v>
          </cell>
          <cell r="BN135">
            <v>0</v>
          </cell>
          <cell r="BO135">
            <v>0</v>
          </cell>
          <cell r="BQ135">
            <v>0</v>
          </cell>
          <cell r="BR135">
            <v>0</v>
          </cell>
          <cell r="BS135">
            <v>0</v>
          </cell>
          <cell r="BT135">
            <v>0</v>
          </cell>
          <cell r="CB135">
            <v>0</v>
          </cell>
          <cell r="CC135">
            <v>0</v>
          </cell>
          <cell r="CD135">
            <v>0</v>
          </cell>
          <cell r="CE135">
            <v>0</v>
          </cell>
          <cell r="CF135">
            <v>0</v>
          </cell>
          <cell r="CI135">
            <v>0</v>
          </cell>
          <cell r="CJ135">
            <v>0</v>
          </cell>
          <cell r="CK135">
            <v>0</v>
          </cell>
          <cell r="CV135">
            <v>2.2844448469440254E-4</v>
          </cell>
          <cell r="DG135">
            <v>9938112</v>
          </cell>
          <cell r="DR135">
            <v>2796774.3499999982</v>
          </cell>
          <cell r="EC135">
            <v>3.5534193167925778</v>
          </cell>
          <cell r="EN135">
            <v>2.4095909012463064E-2</v>
          </cell>
        </row>
        <row r="136">
          <cell r="B136">
            <v>33100</v>
          </cell>
          <cell r="C136" t="str">
            <v>Duplin County Schools</v>
          </cell>
          <cell r="D136">
            <v>3.1759199237567891E-3</v>
          </cell>
          <cell r="E136">
            <v>5495081.9941719472</v>
          </cell>
          <cell r="F136">
            <v>4284641.4513558326</v>
          </cell>
          <cell r="G136">
            <v>822968</v>
          </cell>
          <cell r="H136">
            <v>-1533323.1347614296</v>
          </cell>
          <cell r="I136">
            <v>-63451.804387445409</v>
          </cell>
          <cell r="J136">
            <v>4637080.4338218644</v>
          </cell>
          <cell r="K136">
            <v>0</v>
          </cell>
          <cell r="L136">
            <v>-243639.90394761649</v>
          </cell>
          <cell r="M136">
            <v>43722.926626349901</v>
          </cell>
          <cell r="N136">
            <v>1648.2389220312984</v>
          </cell>
          <cell r="O136">
            <v>-743.83220534307759</v>
          </cell>
          <cell r="P136">
            <v>0</v>
          </cell>
          <cell r="Q136">
            <v>0</v>
          </cell>
          <cell r="R136">
            <v>0</v>
          </cell>
          <cell r="S136">
            <v>13443984.369596193</v>
          </cell>
          <cell r="T136">
            <v>4114837.9</v>
          </cell>
          <cell r="U136">
            <v>23185402.169109322</v>
          </cell>
          <cell r="V136">
            <v>174891.7065053996</v>
          </cell>
          <cell r="W136">
            <v>0</v>
          </cell>
          <cell r="X136">
            <v>27475131.77561472</v>
          </cell>
          <cell r="Y136">
            <v>0</v>
          </cell>
          <cell r="Z136">
            <v>0</v>
          </cell>
          <cell r="AA136">
            <v>0</v>
          </cell>
          <cell r="AB136">
            <v>317259.02193722705</v>
          </cell>
          <cell r="AC136">
            <v>317259.02193722705</v>
          </cell>
          <cell r="AD136" t="str">
            <v>N/A</v>
          </cell>
          <cell r="AE136">
            <v>5440319</v>
          </cell>
          <cell r="AF136">
            <v>5440320</v>
          </cell>
          <cell r="AG136">
            <v>5440320</v>
          </cell>
          <cell r="AH136">
            <v>5440320</v>
          </cell>
          <cell r="AI136">
            <v>5396597</v>
          </cell>
          <cell r="AJ136">
            <v>0</v>
          </cell>
          <cell r="AK136">
            <v>27157876</v>
          </cell>
          <cell r="AL136">
            <v>100376612</v>
          </cell>
          <cell r="AM136">
            <v>13443984.369596193</v>
          </cell>
          <cell r="AN136">
            <v>-2815157.9</v>
          </cell>
          <cell r="AO136">
            <v>23043034.853677496</v>
          </cell>
          <cell r="AP136">
            <v>0</v>
          </cell>
          <cell r="AQ136">
            <v>4114837.9</v>
          </cell>
          <cell r="AR136">
            <v>0</v>
          </cell>
          <cell r="AS136">
            <v>0</v>
          </cell>
          <cell r="AT136">
            <v>138163311.22327369</v>
          </cell>
          <cell r="AU136">
            <v>3.0275417569832828E-3</v>
          </cell>
          <cell r="AV136">
            <v>0</v>
          </cell>
          <cell r="AW136">
            <v>0</v>
          </cell>
          <cell r="AY136">
            <v>0</v>
          </cell>
          <cell r="AZ136">
            <v>0</v>
          </cell>
          <cell r="BA136">
            <v>0</v>
          </cell>
          <cell r="BB136">
            <v>0</v>
          </cell>
          <cell r="BC136">
            <v>0</v>
          </cell>
          <cell r="BD136">
            <v>0</v>
          </cell>
          <cell r="BE136">
            <v>0</v>
          </cell>
          <cell r="BF136">
            <v>0</v>
          </cell>
          <cell r="BG136">
            <v>0</v>
          </cell>
          <cell r="BH136">
            <v>0</v>
          </cell>
          <cell r="BJ136">
            <v>0</v>
          </cell>
          <cell r="BL136">
            <v>0</v>
          </cell>
          <cell r="BM136">
            <v>0</v>
          </cell>
          <cell r="BN136">
            <v>0</v>
          </cell>
          <cell r="BO136">
            <v>0</v>
          </cell>
          <cell r="BQ136">
            <v>0</v>
          </cell>
          <cell r="BR136">
            <v>0</v>
          </cell>
          <cell r="BS136">
            <v>0</v>
          </cell>
          <cell r="BT136">
            <v>0</v>
          </cell>
          <cell r="CB136">
            <v>0</v>
          </cell>
          <cell r="CC136">
            <v>0</v>
          </cell>
          <cell r="CD136">
            <v>0</v>
          </cell>
          <cell r="CE136">
            <v>0</v>
          </cell>
          <cell r="CF136">
            <v>0</v>
          </cell>
          <cell r="CI136">
            <v>0</v>
          </cell>
          <cell r="CJ136">
            <v>0</v>
          </cell>
          <cell r="CK136">
            <v>0</v>
          </cell>
          <cell r="CV136">
            <v>3.1759199237567891E-3</v>
          </cell>
          <cell r="DG136">
            <v>138163312</v>
          </cell>
          <cell r="DR136">
            <v>48424353.820000038</v>
          </cell>
          <cell r="EC136">
            <v>2.8531782275004014</v>
          </cell>
          <cell r="EN136">
            <v>2.4095909012463064E-2</v>
          </cell>
        </row>
        <row r="137">
          <cell r="B137">
            <v>33105</v>
          </cell>
          <cell r="C137" t="str">
            <v>James Sprunt Technical College</v>
          </cell>
          <cell r="D137">
            <v>3.5701058323638399E-4</v>
          </cell>
          <cell r="E137">
            <v>617711.55279962695</v>
          </cell>
          <cell r="F137">
            <v>481643.8638975186</v>
          </cell>
          <cell r="G137">
            <v>-164000</v>
          </cell>
          <cell r="H137">
            <v>-172363.47255993955</v>
          </cell>
          <cell r="I137">
            <v>-7132.725709584859</v>
          </cell>
          <cell r="J137">
            <v>521262.13189736108</v>
          </cell>
          <cell r="K137">
            <v>0</v>
          </cell>
          <cell r="L137">
            <v>-27387.97775011414</v>
          </cell>
          <cell r="M137">
            <v>4914.9688626942143</v>
          </cell>
          <cell r="N137">
            <v>185.28135248801857</v>
          </cell>
          <cell r="O137">
            <v>-83.61544869979349</v>
          </cell>
          <cell r="P137">
            <v>0</v>
          </cell>
          <cell r="Q137">
            <v>0</v>
          </cell>
          <cell r="R137">
            <v>0</v>
          </cell>
          <cell r="S137">
            <v>1254750.0073413504</v>
          </cell>
          <cell r="T137">
            <v>9507.2199999999139</v>
          </cell>
          <cell r="U137">
            <v>2606310.6594868056</v>
          </cell>
          <cell r="V137">
            <v>19659.875450776857</v>
          </cell>
          <cell r="W137">
            <v>0</v>
          </cell>
          <cell r="X137">
            <v>2635477.7549375822</v>
          </cell>
          <cell r="Y137">
            <v>829512</v>
          </cell>
          <cell r="Z137">
            <v>0</v>
          </cell>
          <cell r="AA137">
            <v>0</v>
          </cell>
          <cell r="AB137">
            <v>35663.628547924294</v>
          </cell>
          <cell r="AC137">
            <v>865175.62854792434</v>
          </cell>
          <cell r="AD137" t="str">
            <v>N/A</v>
          </cell>
          <cell r="AE137">
            <v>355043</v>
          </cell>
          <cell r="AF137">
            <v>355043</v>
          </cell>
          <cell r="AG137">
            <v>355043</v>
          </cell>
          <cell r="AH137">
            <v>355043</v>
          </cell>
          <cell r="AI137">
            <v>350128</v>
          </cell>
          <cell r="AJ137">
            <v>0</v>
          </cell>
          <cell r="AK137">
            <v>1770300</v>
          </cell>
          <cell r="AL137">
            <v>12831919</v>
          </cell>
          <cell r="AM137">
            <v>1254750.0073413504</v>
          </cell>
          <cell r="AN137">
            <v>-325797.21999999991</v>
          </cell>
          <cell r="AO137">
            <v>2590306.9063896583</v>
          </cell>
          <cell r="AP137">
            <v>0</v>
          </cell>
          <cell r="AQ137">
            <v>-820004.78</v>
          </cell>
          <cell r="AR137">
            <v>0</v>
          </cell>
          <cell r="AS137">
            <v>0</v>
          </cell>
          <cell r="AT137">
            <v>15531173.913731011</v>
          </cell>
          <cell r="AU137">
            <v>3.8703409191319041E-4</v>
          </cell>
          <cell r="AV137">
            <v>0</v>
          </cell>
          <cell r="AW137">
            <v>0</v>
          </cell>
          <cell r="AY137">
            <v>0</v>
          </cell>
          <cell r="AZ137">
            <v>0</v>
          </cell>
          <cell r="BA137">
            <v>0</v>
          </cell>
          <cell r="BB137">
            <v>0</v>
          </cell>
          <cell r="BC137">
            <v>0</v>
          </cell>
          <cell r="BD137">
            <v>0</v>
          </cell>
          <cell r="BE137">
            <v>0</v>
          </cell>
          <cell r="BF137">
            <v>0</v>
          </cell>
          <cell r="BG137">
            <v>0</v>
          </cell>
          <cell r="BH137">
            <v>0</v>
          </cell>
          <cell r="BJ137">
            <v>0</v>
          </cell>
          <cell r="BL137">
            <v>0</v>
          </cell>
          <cell r="BM137">
            <v>0</v>
          </cell>
          <cell r="BN137">
            <v>0</v>
          </cell>
          <cell r="BO137">
            <v>0</v>
          </cell>
          <cell r="BQ137">
            <v>0</v>
          </cell>
          <cell r="BR137">
            <v>0</v>
          </cell>
          <cell r="BS137">
            <v>0</v>
          </cell>
          <cell r="BT137">
            <v>0</v>
          </cell>
          <cell r="CB137">
            <v>0</v>
          </cell>
          <cell r="CC137">
            <v>0</v>
          </cell>
          <cell r="CD137">
            <v>0</v>
          </cell>
          <cell r="CE137">
            <v>0</v>
          </cell>
          <cell r="CF137">
            <v>0</v>
          </cell>
          <cell r="CI137">
            <v>0</v>
          </cell>
          <cell r="CJ137">
            <v>0</v>
          </cell>
          <cell r="CK137">
            <v>0</v>
          </cell>
          <cell r="CV137">
            <v>3.5701058323638399E-4</v>
          </cell>
          <cell r="DG137">
            <v>15531174</v>
          </cell>
          <cell r="DR137">
            <v>5705826.6699999999</v>
          </cell>
          <cell r="EC137">
            <v>2.7219848933826798</v>
          </cell>
          <cell r="EN137">
            <v>2.4095909012463064E-2</v>
          </cell>
        </row>
        <row r="138">
          <cell r="B138">
            <v>33200</v>
          </cell>
          <cell r="C138" t="str">
            <v>Durham Public Schools</v>
          </cell>
          <cell r="D138">
            <v>1.3861030528488062E-2</v>
          </cell>
          <cell r="E138">
            <v>23982814.776911646</v>
          </cell>
          <cell r="F138">
            <v>18699950.687237989</v>
          </cell>
          <cell r="G138">
            <v>2001565</v>
          </cell>
          <cell r="H138">
            <v>-6692057.5112689054</v>
          </cell>
          <cell r="I138">
            <v>-276929.96637700679</v>
          </cell>
          <cell r="J138">
            <v>20238140.444117088</v>
          </cell>
          <cell r="K138">
            <v>0</v>
          </cell>
          <cell r="L138">
            <v>-1063345.4959975963</v>
          </cell>
          <cell r="M138">
            <v>190824.96892610262</v>
          </cell>
          <cell r="N138">
            <v>7193.5976236747347</v>
          </cell>
          <cell r="O138">
            <v>-3246.3919600771892</v>
          </cell>
          <cell r="P138">
            <v>0</v>
          </cell>
          <cell r="Q138">
            <v>0</v>
          </cell>
          <cell r="R138">
            <v>0</v>
          </cell>
          <cell r="S138">
            <v>57084910.109212928</v>
          </cell>
          <cell r="T138">
            <v>10564641</v>
          </cell>
          <cell r="U138">
            <v>101190702.22058544</v>
          </cell>
          <cell r="V138">
            <v>763299.87570441049</v>
          </cell>
          <cell r="W138">
            <v>0</v>
          </cell>
          <cell r="X138">
            <v>112518643.09628984</v>
          </cell>
          <cell r="Y138">
            <v>556814.71999999881</v>
          </cell>
          <cell r="Z138">
            <v>0</v>
          </cell>
          <cell r="AA138">
            <v>0</v>
          </cell>
          <cell r="AB138">
            <v>1384649.831885034</v>
          </cell>
          <cell r="AC138">
            <v>1941464.5518850328</v>
          </cell>
          <cell r="AD138" t="str">
            <v>N/A</v>
          </cell>
          <cell r="AE138">
            <v>22153600</v>
          </cell>
          <cell r="AF138">
            <v>22153600</v>
          </cell>
          <cell r="AG138">
            <v>22153600</v>
          </cell>
          <cell r="AH138">
            <v>22153600</v>
          </cell>
          <cell r="AI138">
            <v>21962775</v>
          </cell>
          <cell r="AJ138">
            <v>0</v>
          </cell>
          <cell r="AK138">
            <v>110577175</v>
          </cell>
          <cell r="AL138">
            <v>446877872</v>
          </cell>
          <cell r="AM138">
            <v>57084910.109212928</v>
          </cell>
          <cell r="AN138">
            <v>-11538019.280000001</v>
          </cell>
          <cell r="AO138">
            <v>100569352.26440483</v>
          </cell>
          <cell r="AP138">
            <v>0</v>
          </cell>
          <cell r="AQ138">
            <v>10007826.280000001</v>
          </cell>
          <cell r="AR138">
            <v>0</v>
          </cell>
          <cell r="AS138">
            <v>0</v>
          </cell>
          <cell r="AT138">
            <v>603001941.37361765</v>
          </cell>
          <cell r="AU138">
            <v>1.3478651924261592E-2</v>
          </cell>
          <cell r="AV138">
            <v>0</v>
          </cell>
          <cell r="AW138">
            <v>0</v>
          </cell>
          <cell r="AY138">
            <v>0</v>
          </cell>
          <cell r="AZ138">
            <v>0</v>
          </cell>
          <cell r="BA138">
            <v>0</v>
          </cell>
          <cell r="BB138">
            <v>0</v>
          </cell>
          <cell r="BC138">
            <v>0</v>
          </cell>
          <cell r="BD138">
            <v>0</v>
          </cell>
          <cell r="BE138">
            <v>0</v>
          </cell>
          <cell r="BF138">
            <v>0</v>
          </cell>
          <cell r="BG138">
            <v>0</v>
          </cell>
          <cell r="BH138">
            <v>0</v>
          </cell>
          <cell r="BJ138">
            <v>0</v>
          </cell>
          <cell r="BL138">
            <v>0</v>
          </cell>
          <cell r="BM138">
            <v>0</v>
          </cell>
          <cell r="BN138">
            <v>0</v>
          </cell>
          <cell r="BO138">
            <v>0</v>
          </cell>
          <cell r="BQ138">
            <v>0</v>
          </cell>
          <cell r="BR138">
            <v>0</v>
          </cell>
          <cell r="BS138">
            <v>0</v>
          </cell>
          <cell r="BT138">
            <v>0</v>
          </cell>
          <cell r="CB138">
            <v>0</v>
          </cell>
          <cell r="CC138">
            <v>0</v>
          </cell>
          <cell r="CD138">
            <v>0</v>
          </cell>
          <cell r="CE138">
            <v>0</v>
          </cell>
          <cell r="CF138">
            <v>0</v>
          </cell>
          <cell r="CI138">
            <v>0</v>
          </cell>
          <cell r="CJ138">
            <v>0</v>
          </cell>
          <cell r="CK138">
            <v>0</v>
          </cell>
          <cell r="CV138">
            <v>1.3861030528488062E-2</v>
          </cell>
          <cell r="DG138">
            <v>603001942</v>
          </cell>
          <cell r="DR138">
            <v>198407653.93000114</v>
          </cell>
          <cell r="EC138">
            <v>3.0392070570661605</v>
          </cell>
          <cell r="EN138">
            <v>2.4095909012463064E-2</v>
          </cell>
        </row>
        <row r="139">
          <cell r="B139">
            <v>33202</v>
          </cell>
          <cell r="C139" t="str">
            <v>Central Park School For Children</v>
          </cell>
          <cell r="D139">
            <v>1.6583970091368149E-4</v>
          </cell>
          <cell r="E139">
            <v>286941.35125789134</v>
          </cell>
          <cell r="F139">
            <v>223734.75209497384</v>
          </cell>
          <cell r="G139">
            <v>113924</v>
          </cell>
          <cell r="H139">
            <v>-80066.832973568744</v>
          </cell>
          <cell r="I139">
            <v>-3313.3166183862527</v>
          </cell>
          <cell r="J139">
            <v>242138.3569860413</v>
          </cell>
          <cell r="K139">
            <v>0</v>
          </cell>
          <cell r="L139">
            <v>-12722.351246663553</v>
          </cell>
          <cell r="M139">
            <v>2283.1170964183248</v>
          </cell>
          <cell r="N139">
            <v>86.06748798018242</v>
          </cell>
          <cell r="O139">
            <v>-38.841316350993338</v>
          </cell>
          <cell r="P139">
            <v>0</v>
          </cell>
          <cell r="Q139">
            <v>0</v>
          </cell>
          <cell r="R139">
            <v>0</v>
          </cell>
          <cell r="S139">
            <v>772966.30276833544</v>
          </cell>
          <cell r="T139">
            <v>583485</v>
          </cell>
          <cell r="U139">
            <v>1210691.7849302064</v>
          </cell>
          <cell r="V139">
            <v>9132.4683856732991</v>
          </cell>
          <cell r="W139">
            <v>0</v>
          </cell>
          <cell r="X139">
            <v>1803309.2533158797</v>
          </cell>
          <cell r="Y139">
            <v>13867.510000000009</v>
          </cell>
          <cell r="Z139">
            <v>0</v>
          </cell>
          <cell r="AA139">
            <v>0</v>
          </cell>
          <cell r="AB139">
            <v>16566.583091931261</v>
          </cell>
          <cell r="AC139">
            <v>30434.09309193127</v>
          </cell>
          <cell r="AD139" t="str">
            <v>N/A</v>
          </cell>
          <cell r="AE139">
            <v>355031</v>
          </cell>
          <cell r="AF139">
            <v>355032</v>
          </cell>
          <cell r="AG139">
            <v>355032</v>
          </cell>
          <cell r="AH139">
            <v>355032</v>
          </cell>
          <cell r="AI139">
            <v>352749</v>
          </cell>
          <cell r="AJ139">
            <v>0</v>
          </cell>
          <cell r="AK139">
            <v>1772876</v>
          </cell>
          <cell r="AL139">
            <v>4798149</v>
          </cell>
          <cell r="AM139">
            <v>772966.30276833544</v>
          </cell>
          <cell r="AN139">
            <v>-129400.48999999999</v>
          </cell>
          <cell r="AO139">
            <v>1203257.6702239485</v>
          </cell>
          <cell r="AP139">
            <v>0</v>
          </cell>
          <cell r="AQ139">
            <v>569617.49</v>
          </cell>
          <cell r="AR139">
            <v>0</v>
          </cell>
          <cell r="AS139">
            <v>0</v>
          </cell>
          <cell r="AT139">
            <v>7214589.9729922842</v>
          </cell>
          <cell r="AU139">
            <v>1.4472092777425487E-4</v>
          </cell>
          <cell r="AV139">
            <v>0</v>
          </cell>
          <cell r="AW139">
            <v>0</v>
          </cell>
          <cell r="AY139">
            <v>0</v>
          </cell>
          <cell r="AZ139">
            <v>0</v>
          </cell>
          <cell r="BA139">
            <v>0</v>
          </cell>
          <cell r="BB139">
            <v>0</v>
          </cell>
          <cell r="BC139">
            <v>0</v>
          </cell>
          <cell r="BD139">
            <v>0</v>
          </cell>
          <cell r="BE139">
            <v>0</v>
          </cell>
          <cell r="BF139">
            <v>0</v>
          </cell>
          <cell r="BG139">
            <v>0</v>
          </cell>
          <cell r="BH139">
            <v>0</v>
          </cell>
          <cell r="BJ139">
            <v>0</v>
          </cell>
          <cell r="BL139">
            <v>0</v>
          </cell>
          <cell r="BM139">
            <v>0</v>
          </cell>
          <cell r="BN139">
            <v>0</v>
          </cell>
          <cell r="BO139">
            <v>0</v>
          </cell>
          <cell r="BQ139">
            <v>0</v>
          </cell>
          <cell r="BR139">
            <v>0</v>
          </cell>
          <cell r="BS139">
            <v>0</v>
          </cell>
          <cell r="BT139">
            <v>0</v>
          </cell>
          <cell r="CB139">
            <v>0</v>
          </cell>
          <cell r="CC139">
            <v>0</v>
          </cell>
          <cell r="CD139">
            <v>0</v>
          </cell>
          <cell r="CE139">
            <v>0</v>
          </cell>
          <cell r="CF139">
            <v>0</v>
          </cell>
          <cell r="CI139">
            <v>0</v>
          </cell>
          <cell r="CJ139">
            <v>0</v>
          </cell>
          <cell r="CK139">
            <v>0</v>
          </cell>
          <cell r="CV139">
            <v>1.6583970091368149E-4</v>
          </cell>
          <cell r="DG139">
            <v>7214591</v>
          </cell>
          <cell r="DR139">
            <v>2083307.32</v>
          </cell>
          <cell r="EC139">
            <v>3.4630469209890742</v>
          </cell>
          <cell r="EN139">
            <v>2.4095909012463064E-2</v>
          </cell>
        </row>
        <row r="140">
          <cell r="B140">
            <v>33203</v>
          </cell>
          <cell r="C140" t="str">
            <v>Healthy Start Academy</v>
          </cell>
          <cell r="D140">
            <v>1.1475133798238069E-4</v>
          </cell>
          <cell r="E140">
            <v>198546.57116424461</v>
          </cell>
          <cell r="F140">
            <v>154811.31486975838</v>
          </cell>
          <cell r="G140">
            <v>75281</v>
          </cell>
          <cell r="H140">
            <v>-55401.548369355711</v>
          </cell>
          <cell r="I140">
            <v>-2292.6206030543622</v>
          </cell>
          <cell r="J140">
            <v>167545.52913397894</v>
          </cell>
          <cell r="K140">
            <v>0</v>
          </cell>
          <cell r="L140">
            <v>-8803.1202407698747</v>
          </cell>
          <cell r="M140">
            <v>1579.7830081761626</v>
          </cell>
          <cell r="N140">
            <v>59.553649386095927</v>
          </cell>
          <cell r="O140">
            <v>-26.875910868853381</v>
          </cell>
          <cell r="P140">
            <v>0</v>
          </cell>
          <cell r="Q140">
            <v>0</v>
          </cell>
          <cell r="R140">
            <v>0</v>
          </cell>
          <cell r="S140">
            <v>531299.58670149522</v>
          </cell>
          <cell r="T140">
            <v>394559</v>
          </cell>
          <cell r="U140">
            <v>837727.64566989464</v>
          </cell>
          <cell r="V140">
            <v>6319.1320327046506</v>
          </cell>
          <cell r="W140">
            <v>0</v>
          </cell>
          <cell r="X140">
            <v>1238605.7777025993</v>
          </cell>
          <cell r="Y140">
            <v>18155.159999999989</v>
          </cell>
          <cell r="Z140">
            <v>0</v>
          </cell>
          <cell r="AA140">
            <v>0</v>
          </cell>
          <cell r="AB140">
            <v>11463.10301527181</v>
          </cell>
          <cell r="AC140">
            <v>29618.263015271797</v>
          </cell>
          <cell r="AD140" t="str">
            <v>N/A</v>
          </cell>
          <cell r="AE140">
            <v>242114</v>
          </cell>
          <cell r="AF140">
            <v>242114</v>
          </cell>
          <cell r="AG140">
            <v>242114</v>
          </cell>
          <cell r="AH140">
            <v>242114</v>
          </cell>
          <cell r="AI140">
            <v>240534</v>
          </cell>
          <cell r="AJ140">
            <v>0</v>
          </cell>
          <cell r="AK140">
            <v>1208990</v>
          </cell>
          <cell r="AL140">
            <v>3331051</v>
          </cell>
          <cell r="AM140">
            <v>531299.58670149522</v>
          </cell>
          <cell r="AN140">
            <v>-79264.840000000011</v>
          </cell>
          <cell r="AO140">
            <v>832583.67468732758</v>
          </cell>
          <cell r="AP140">
            <v>0</v>
          </cell>
          <cell r="AQ140">
            <v>376403.84</v>
          </cell>
          <cell r="AR140">
            <v>0</v>
          </cell>
          <cell r="AS140">
            <v>0</v>
          </cell>
          <cell r="AT140">
            <v>4992073.2613888225</v>
          </cell>
          <cell r="AU140">
            <v>1.0047057826492E-4</v>
          </cell>
          <cell r="AV140">
            <v>0</v>
          </cell>
          <cell r="AW140">
            <v>0</v>
          </cell>
          <cell r="AY140">
            <v>0</v>
          </cell>
          <cell r="AZ140">
            <v>0</v>
          </cell>
          <cell r="BA140">
            <v>0</v>
          </cell>
          <cell r="BB140">
            <v>0</v>
          </cell>
          <cell r="BC140">
            <v>0</v>
          </cell>
          <cell r="BD140">
            <v>0</v>
          </cell>
          <cell r="BE140">
            <v>0</v>
          </cell>
          <cell r="BF140">
            <v>0</v>
          </cell>
          <cell r="BG140">
            <v>0</v>
          </cell>
          <cell r="BH140">
            <v>0</v>
          </cell>
          <cell r="BJ140">
            <v>0</v>
          </cell>
          <cell r="BL140">
            <v>0</v>
          </cell>
          <cell r="BM140">
            <v>0</v>
          </cell>
          <cell r="BN140">
            <v>0</v>
          </cell>
          <cell r="BO140">
            <v>0</v>
          </cell>
          <cell r="BQ140">
            <v>0</v>
          </cell>
          <cell r="BR140">
            <v>0</v>
          </cell>
          <cell r="BS140">
            <v>0</v>
          </cell>
          <cell r="BT140">
            <v>0</v>
          </cell>
          <cell r="CB140">
            <v>0</v>
          </cell>
          <cell r="CC140">
            <v>0</v>
          </cell>
          <cell r="CD140">
            <v>0</v>
          </cell>
          <cell r="CE140">
            <v>0</v>
          </cell>
          <cell r="CF140">
            <v>0</v>
          </cell>
          <cell r="CI140">
            <v>0</v>
          </cell>
          <cell r="CJ140">
            <v>0</v>
          </cell>
          <cell r="CK140">
            <v>0</v>
          </cell>
          <cell r="CV140">
            <v>1.1475133798238069E-4</v>
          </cell>
          <cell r="DG140">
            <v>4992073</v>
          </cell>
          <cell r="DR140">
            <v>1400711.38</v>
          </cell>
          <cell r="EC140">
            <v>3.5639554809642515</v>
          </cell>
          <cell r="EN140">
            <v>2.4095909012463064E-2</v>
          </cell>
        </row>
        <row r="141">
          <cell r="B141">
            <v>33204</v>
          </cell>
          <cell r="C141" t="str">
            <v>Voyager Academy</v>
          </cell>
          <cell r="D141">
            <v>4.0490674464265631E-4</v>
          </cell>
          <cell r="E141">
            <v>700583.07993253705</v>
          </cell>
          <cell r="F141">
            <v>546260.69412269385</v>
          </cell>
          <cell r="G141">
            <v>198362</v>
          </cell>
          <cell r="H141">
            <v>-195487.57332871223</v>
          </cell>
          <cell r="I141">
            <v>-8089.6446299036561</v>
          </cell>
          <cell r="J141">
            <v>591194.10696097661</v>
          </cell>
          <cell r="K141">
            <v>0</v>
          </cell>
          <cell r="L141">
            <v>-31062.319813084039</v>
          </cell>
          <cell r="M141">
            <v>5574.3558753154512</v>
          </cell>
          <cell r="N141">
            <v>210.13850233464578</v>
          </cell>
          <cell r="O141">
            <v>-94.833208662756533</v>
          </cell>
          <cell r="P141">
            <v>0</v>
          </cell>
          <cell r="Q141">
            <v>0</v>
          </cell>
          <cell r="R141">
            <v>0</v>
          </cell>
          <cell r="S141">
            <v>1807450.0044134951</v>
          </cell>
          <cell r="T141">
            <v>1052110</v>
          </cell>
          <cell r="U141">
            <v>2955970.5348048829</v>
          </cell>
          <cell r="V141">
            <v>22297.423501261805</v>
          </cell>
          <cell r="W141">
            <v>0</v>
          </cell>
          <cell r="X141">
            <v>4030377.9583061449</v>
          </cell>
          <cell r="Y141">
            <v>60301.110000000044</v>
          </cell>
          <cell r="Z141">
            <v>0</v>
          </cell>
          <cell r="AA141">
            <v>0</v>
          </cell>
          <cell r="AB141">
            <v>40448.223149518279</v>
          </cell>
          <cell r="AC141">
            <v>100749.33314951832</v>
          </cell>
          <cell r="AD141" t="str">
            <v>N/A</v>
          </cell>
          <cell r="AE141">
            <v>787041</v>
          </cell>
          <cell r="AF141">
            <v>787041</v>
          </cell>
          <cell r="AG141">
            <v>787041</v>
          </cell>
          <cell r="AH141">
            <v>787041</v>
          </cell>
          <cell r="AI141">
            <v>781466</v>
          </cell>
          <cell r="AJ141">
            <v>0</v>
          </cell>
          <cell r="AK141">
            <v>3929630</v>
          </cell>
          <cell r="AL141">
            <v>12161946</v>
          </cell>
          <cell r="AM141">
            <v>1807450.0044134951</v>
          </cell>
          <cell r="AN141">
            <v>-284204.88999999996</v>
          </cell>
          <cell r="AO141">
            <v>2937819.7351566264</v>
          </cell>
          <cell r="AP141">
            <v>0</v>
          </cell>
          <cell r="AQ141">
            <v>991808.8899999999</v>
          </cell>
          <cell r="AR141">
            <v>0</v>
          </cell>
          <cell r="AS141">
            <v>0</v>
          </cell>
          <cell r="AT141">
            <v>17614819.739570122</v>
          </cell>
          <cell r="AU141">
            <v>3.6682647886358247E-4</v>
          </cell>
          <cell r="AV141">
            <v>0</v>
          </cell>
          <cell r="AW141">
            <v>0</v>
          </cell>
          <cell r="AY141">
            <v>0</v>
          </cell>
          <cell r="AZ141">
            <v>0</v>
          </cell>
          <cell r="BA141">
            <v>0</v>
          </cell>
          <cell r="BB141">
            <v>0</v>
          </cell>
          <cell r="BC141">
            <v>0</v>
          </cell>
          <cell r="BD141">
            <v>0</v>
          </cell>
          <cell r="BE141">
            <v>0</v>
          </cell>
          <cell r="BF141">
            <v>0</v>
          </cell>
          <cell r="BG141">
            <v>0</v>
          </cell>
          <cell r="BH141">
            <v>0</v>
          </cell>
          <cell r="BJ141">
            <v>0</v>
          </cell>
          <cell r="BL141">
            <v>0</v>
          </cell>
          <cell r="BM141">
            <v>0</v>
          </cell>
          <cell r="BN141">
            <v>0</v>
          </cell>
          <cell r="BO141">
            <v>0</v>
          </cell>
          <cell r="BQ141">
            <v>0</v>
          </cell>
          <cell r="BR141">
            <v>0</v>
          </cell>
          <cell r="BS141">
            <v>0</v>
          </cell>
          <cell r="BT141">
            <v>0</v>
          </cell>
          <cell r="CB141">
            <v>0</v>
          </cell>
          <cell r="CC141">
            <v>0</v>
          </cell>
          <cell r="CD141">
            <v>0</v>
          </cell>
          <cell r="CE141">
            <v>0</v>
          </cell>
          <cell r="CF141">
            <v>0</v>
          </cell>
          <cell r="CI141">
            <v>0</v>
          </cell>
          <cell r="CJ141">
            <v>0</v>
          </cell>
          <cell r="CK141">
            <v>0</v>
          </cell>
          <cell r="CV141">
            <v>4.0490674464265631E-4</v>
          </cell>
          <cell r="DG141">
            <v>17614820</v>
          </cell>
          <cell r="DR141">
            <v>4874017.7599999988</v>
          </cell>
          <cell r="EC141">
            <v>3.6140245824627453</v>
          </cell>
          <cell r="EN141">
            <v>2.4095909012463064E-2</v>
          </cell>
        </row>
        <row r="142">
          <cell r="B142">
            <v>33205</v>
          </cell>
          <cell r="C142" t="str">
            <v>Durham Technical Institute</v>
          </cell>
          <cell r="D142">
            <v>1.1182984542950423E-3</v>
          </cell>
          <cell r="E142">
            <v>1934917.0784627127</v>
          </cell>
          <cell r="F142">
            <v>1508699.2201591246</v>
          </cell>
          <cell r="G142">
            <v>202739</v>
          </cell>
          <cell r="H142">
            <v>-539910.61887675221</v>
          </cell>
          <cell r="I142">
            <v>-22342.520111393569</v>
          </cell>
          <cell r="J142">
            <v>1632799.3167569202</v>
          </cell>
          <cell r="K142">
            <v>0</v>
          </cell>
          <cell r="L142">
            <v>-85789.986690507358</v>
          </cell>
          <cell r="M142">
            <v>15395.627861317269</v>
          </cell>
          <cell r="N142">
            <v>580.37453181004105</v>
          </cell>
          <cell r="O142">
            <v>-261.91668098044187</v>
          </cell>
          <cell r="P142">
            <v>0</v>
          </cell>
          <cell r="Q142">
            <v>0</v>
          </cell>
          <cell r="R142">
            <v>0</v>
          </cell>
          <cell r="S142">
            <v>4646825.5754122511</v>
          </cell>
          <cell r="T142">
            <v>1013693.1900000001</v>
          </cell>
          <cell r="U142">
            <v>8163996.5837846017</v>
          </cell>
          <cell r="V142">
            <v>61582.511445269076</v>
          </cell>
          <cell r="W142">
            <v>0</v>
          </cell>
          <cell r="X142">
            <v>9239272.285229871</v>
          </cell>
          <cell r="Y142">
            <v>0</v>
          </cell>
          <cell r="Z142">
            <v>0</v>
          </cell>
          <cell r="AA142">
            <v>0</v>
          </cell>
          <cell r="AB142">
            <v>111712.60055696784</v>
          </cell>
          <cell r="AC142">
            <v>111712.60055696784</v>
          </cell>
          <cell r="AD142" t="str">
            <v>N/A</v>
          </cell>
          <cell r="AE142">
            <v>1828590</v>
          </cell>
          <cell r="AF142">
            <v>1828591</v>
          </cell>
          <cell r="AG142">
            <v>1828591</v>
          </cell>
          <cell r="AH142">
            <v>1828591</v>
          </cell>
          <cell r="AI142">
            <v>1813196</v>
          </cell>
          <cell r="AJ142">
            <v>0</v>
          </cell>
          <cell r="AK142">
            <v>9127559</v>
          </cell>
          <cell r="AL142">
            <v>35901235</v>
          </cell>
          <cell r="AM142">
            <v>4646825.5754122511</v>
          </cell>
          <cell r="AN142">
            <v>-1025837.1900000001</v>
          </cell>
          <cell r="AO142">
            <v>8113866.4946729029</v>
          </cell>
          <cell r="AP142">
            <v>0</v>
          </cell>
          <cell r="AQ142">
            <v>1013693.1900000001</v>
          </cell>
          <cell r="AR142">
            <v>0</v>
          </cell>
          <cell r="AS142">
            <v>0</v>
          </cell>
          <cell r="AT142">
            <v>48649783.070085153</v>
          </cell>
          <cell r="AU142">
            <v>1.0828467437052501E-3</v>
          </cell>
          <cell r="AV142">
            <v>0</v>
          </cell>
          <cell r="AW142">
            <v>0</v>
          </cell>
          <cell r="AY142">
            <v>0</v>
          </cell>
          <cell r="AZ142">
            <v>0</v>
          </cell>
          <cell r="BA142">
            <v>0</v>
          </cell>
          <cell r="BB142">
            <v>0</v>
          </cell>
          <cell r="BC142">
            <v>0</v>
          </cell>
          <cell r="BD142">
            <v>0</v>
          </cell>
          <cell r="BE142">
            <v>0</v>
          </cell>
          <cell r="BF142">
            <v>0</v>
          </cell>
          <cell r="BG142">
            <v>0</v>
          </cell>
          <cell r="BH142">
            <v>0</v>
          </cell>
          <cell r="BJ142">
            <v>0</v>
          </cell>
          <cell r="BL142">
            <v>0</v>
          </cell>
          <cell r="BM142">
            <v>0</v>
          </cell>
          <cell r="BN142">
            <v>0</v>
          </cell>
          <cell r="BO142">
            <v>0</v>
          </cell>
          <cell r="BQ142">
            <v>0</v>
          </cell>
          <cell r="BR142">
            <v>0</v>
          </cell>
          <cell r="BS142">
            <v>0</v>
          </cell>
          <cell r="BT142">
            <v>0</v>
          </cell>
          <cell r="CB142">
            <v>0</v>
          </cell>
          <cell r="CC142">
            <v>0</v>
          </cell>
          <cell r="CD142">
            <v>0</v>
          </cell>
          <cell r="CE142">
            <v>0</v>
          </cell>
          <cell r="CF142">
            <v>0</v>
          </cell>
          <cell r="CI142">
            <v>0</v>
          </cell>
          <cell r="CJ142">
            <v>0</v>
          </cell>
          <cell r="CK142">
            <v>0</v>
          </cell>
          <cell r="CV142">
            <v>1.1182984542950423E-3</v>
          </cell>
          <cell r="DG142">
            <v>48649784</v>
          </cell>
          <cell r="DR142">
            <v>17495640.5</v>
          </cell>
          <cell r="EC142">
            <v>2.780680364345621</v>
          </cell>
          <cell r="EN142">
            <v>2.4095909012463064E-2</v>
          </cell>
        </row>
        <row r="143">
          <cell r="B143">
            <v>33206</v>
          </cell>
          <cell r="C143" t="str">
            <v>Bear Grass Charter School</v>
          </cell>
          <cell r="D143">
            <v>9.1382949996967092E-5</v>
          </cell>
          <cell r="E143">
            <v>158113.81116582092</v>
          </cell>
          <cell r="F143">
            <v>123284.96464137135</v>
          </cell>
          <cell r="G143">
            <v>-27643</v>
          </cell>
          <cell r="H143">
            <v>-44119.371620475045</v>
          </cell>
          <cell r="I143">
            <v>-1825.7428419972032</v>
          </cell>
          <cell r="J143">
            <v>133425.93629206016</v>
          </cell>
          <cell r="K143">
            <v>0</v>
          </cell>
          <cell r="L143">
            <v>-7010.4201913800871</v>
          </cell>
          <cell r="M143">
            <v>1258.0701382705172</v>
          </cell>
          <cell r="N143">
            <v>47.425923389425982</v>
          </cell>
          <cell r="O143">
            <v>-21.402800718789663</v>
          </cell>
          <cell r="P143">
            <v>0</v>
          </cell>
          <cell r="Q143">
            <v>0</v>
          </cell>
          <cell r="R143">
            <v>0</v>
          </cell>
          <cell r="S143">
            <v>335510.27070634119</v>
          </cell>
          <cell r="T143">
            <v>0</v>
          </cell>
          <cell r="U143">
            <v>667129.68146030081</v>
          </cell>
          <cell r="V143">
            <v>5032.2805530820688</v>
          </cell>
          <cell r="W143">
            <v>0</v>
          </cell>
          <cell r="X143">
            <v>672161.96201338293</v>
          </cell>
          <cell r="Y143">
            <v>138212.82</v>
          </cell>
          <cell r="Z143">
            <v>0</v>
          </cell>
          <cell r="AA143">
            <v>0</v>
          </cell>
          <cell r="AB143">
            <v>9128.7142099860157</v>
          </cell>
          <cell r="AC143">
            <v>147341.53420998601</v>
          </cell>
          <cell r="AD143" t="str">
            <v>N/A</v>
          </cell>
          <cell r="AE143">
            <v>105215</v>
          </cell>
          <cell r="AF143">
            <v>105215</v>
          </cell>
          <cell r="AG143">
            <v>105215</v>
          </cell>
          <cell r="AH143">
            <v>105215</v>
          </cell>
          <cell r="AI143">
            <v>103957</v>
          </cell>
          <cell r="AJ143">
            <v>0</v>
          </cell>
          <cell r="AK143">
            <v>524817</v>
          </cell>
          <cell r="AL143">
            <v>3187367</v>
          </cell>
          <cell r="AM143">
            <v>335510.27070634119</v>
          </cell>
          <cell r="AN143">
            <v>-72229.179999999993</v>
          </cell>
          <cell r="AO143">
            <v>663033.24780339689</v>
          </cell>
          <cell r="AP143">
            <v>0</v>
          </cell>
          <cell r="AQ143">
            <v>-138212.82</v>
          </cell>
          <cell r="AR143">
            <v>0</v>
          </cell>
          <cell r="AS143">
            <v>0</v>
          </cell>
          <cell r="AT143">
            <v>3975468.5185097381</v>
          </cell>
          <cell r="AU143">
            <v>9.6136797168055663E-5</v>
          </cell>
          <cell r="AV143">
            <v>0</v>
          </cell>
          <cell r="AW143">
            <v>0</v>
          </cell>
          <cell r="AY143">
            <v>0</v>
          </cell>
          <cell r="AZ143">
            <v>0</v>
          </cell>
          <cell r="BA143">
            <v>0</v>
          </cell>
          <cell r="BB143">
            <v>0</v>
          </cell>
          <cell r="BC143">
            <v>0</v>
          </cell>
          <cell r="BD143">
            <v>0</v>
          </cell>
          <cell r="BE143">
            <v>0</v>
          </cell>
          <cell r="BF143">
            <v>0</v>
          </cell>
          <cell r="BG143">
            <v>0</v>
          </cell>
          <cell r="BH143">
            <v>0</v>
          </cell>
          <cell r="BJ143">
            <v>0</v>
          </cell>
          <cell r="BL143">
            <v>0</v>
          </cell>
          <cell r="BM143">
            <v>0</v>
          </cell>
          <cell r="BN143">
            <v>0</v>
          </cell>
          <cell r="BO143">
            <v>0</v>
          </cell>
          <cell r="BQ143">
            <v>0</v>
          </cell>
          <cell r="BR143">
            <v>0</v>
          </cell>
          <cell r="BS143">
            <v>0</v>
          </cell>
          <cell r="BT143">
            <v>0</v>
          </cell>
          <cell r="CB143">
            <v>0</v>
          </cell>
          <cell r="CC143">
            <v>0</v>
          </cell>
          <cell r="CD143">
            <v>0</v>
          </cell>
          <cell r="CE143">
            <v>0</v>
          </cell>
          <cell r="CF143">
            <v>0</v>
          </cell>
          <cell r="CI143">
            <v>0</v>
          </cell>
          <cell r="CJ143">
            <v>0</v>
          </cell>
          <cell r="CK143">
            <v>0</v>
          </cell>
          <cell r="CV143">
            <v>9.1382949996967092E-5</v>
          </cell>
          <cell r="DG143">
            <v>3975469</v>
          </cell>
          <cell r="DR143">
            <v>1272069.9199999997</v>
          </cell>
          <cell r="EC143">
            <v>3.1251969231376848</v>
          </cell>
          <cell r="EN143">
            <v>2.4095909012463064E-2</v>
          </cell>
        </row>
        <row r="144">
          <cell r="B144">
            <v>33207</v>
          </cell>
          <cell r="C144" t="str">
            <v>Invest Collegiate Charter (Buncombe)</v>
          </cell>
          <cell r="D144">
            <v>1.8750286738630526E-4</v>
          </cell>
          <cell r="E144">
            <v>324423.6804343937</v>
          </cell>
          <cell r="F144">
            <v>252960.58374832058</v>
          </cell>
          <cell r="G144">
            <v>656385</v>
          </cell>
          <cell r="H144">
            <v>-90525.73468459498</v>
          </cell>
          <cell r="I144">
            <v>-3746.1257050233039</v>
          </cell>
          <cell r="J144">
            <v>273768.19898344367</v>
          </cell>
          <cell r="K144">
            <v>0</v>
          </cell>
          <cell r="L144">
            <v>-14384.235653480691</v>
          </cell>
          <cell r="M144">
            <v>2581.3541618719519</v>
          </cell>
          <cell r="N144">
            <v>97.310238116144703</v>
          </cell>
          <cell r="O144">
            <v>-43.915046570546558</v>
          </cell>
          <cell r="P144">
            <v>0</v>
          </cell>
          <cell r="Q144">
            <v>0</v>
          </cell>
          <cell r="R144">
            <v>0</v>
          </cell>
          <cell r="S144">
            <v>1401516.1164764767</v>
          </cell>
          <cell r="T144">
            <v>3304737</v>
          </cell>
          <cell r="U144">
            <v>1368840.9949172183</v>
          </cell>
          <cell r="V144">
            <v>10325.416647487807</v>
          </cell>
          <cell r="W144">
            <v>0</v>
          </cell>
          <cell r="X144">
            <v>4683903.4115647068</v>
          </cell>
          <cell r="Y144">
            <v>22808.76999999999</v>
          </cell>
          <cell r="Z144">
            <v>0</v>
          </cell>
          <cell r="AA144">
            <v>0</v>
          </cell>
          <cell r="AB144">
            <v>18730.628525116517</v>
          </cell>
          <cell r="AC144">
            <v>41539.398525116507</v>
          </cell>
          <cell r="AD144" t="str">
            <v>N/A</v>
          </cell>
          <cell r="AE144">
            <v>928988</v>
          </cell>
          <cell r="AF144">
            <v>928989</v>
          </cell>
          <cell r="AG144">
            <v>928989</v>
          </cell>
          <cell r="AH144">
            <v>928989</v>
          </cell>
          <cell r="AI144">
            <v>926408</v>
          </cell>
          <cell r="AJ144">
            <v>0</v>
          </cell>
          <cell r="AK144">
            <v>4642363</v>
          </cell>
          <cell r="AL144">
            <v>2250879</v>
          </cell>
          <cell r="AM144">
            <v>1401516.1164764767</v>
          </cell>
          <cell r="AN144">
            <v>-137746.23000000001</v>
          </cell>
          <cell r="AO144">
            <v>1360435.7830395899</v>
          </cell>
          <cell r="AP144">
            <v>0</v>
          </cell>
          <cell r="AQ144">
            <v>3281928.23</v>
          </cell>
          <cell r="AR144">
            <v>0</v>
          </cell>
          <cell r="AS144">
            <v>0</v>
          </cell>
          <cell r="AT144">
            <v>8157012.8995160665</v>
          </cell>
          <cell r="AU144">
            <v>6.7890614210609432E-5</v>
          </cell>
          <cell r="AV144">
            <v>0</v>
          </cell>
          <cell r="AW144">
            <v>0</v>
          </cell>
          <cell r="AY144">
            <v>0</v>
          </cell>
          <cell r="AZ144">
            <v>0</v>
          </cell>
          <cell r="BA144">
            <v>0</v>
          </cell>
          <cell r="BB144">
            <v>0</v>
          </cell>
          <cell r="BC144">
            <v>0</v>
          </cell>
          <cell r="BD144">
            <v>0</v>
          </cell>
          <cell r="BE144">
            <v>0</v>
          </cell>
          <cell r="BF144">
            <v>0</v>
          </cell>
          <cell r="BG144">
            <v>0</v>
          </cell>
          <cell r="BH144">
            <v>0</v>
          </cell>
          <cell r="BJ144">
            <v>0</v>
          </cell>
          <cell r="BL144">
            <v>0</v>
          </cell>
          <cell r="BM144">
            <v>0</v>
          </cell>
          <cell r="BN144">
            <v>0</v>
          </cell>
          <cell r="BO144">
            <v>0</v>
          </cell>
          <cell r="BQ144">
            <v>0</v>
          </cell>
          <cell r="BR144">
            <v>0</v>
          </cell>
          <cell r="BS144">
            <v>0</v>
          </cell>
          <cell r="BT144">
            <v>0</v>
          </cell>
          <cell r="CB144">
            <v>0</v>
          </cell>
          <cell r="CC144">
            <v>0</v>
          </cell>
          <cell r="CD144">
            <v>0</v>
          </cell>
          <cell r="CE144">
            <v>0</v>
          </cell>
          <cell r="CF144">
            <v>0</v>
          </cell>
          <cell r="CI144">
            <v>0</v>
          </cell>
          <cell r="CJ144">
            <v>0</v>
          </cell>
          <cell r="CK144">
            <v>0</v>
          </cell>
          <cell r="CV144">
            <v>1.8750286738630526E-4</v>
          </cell>
          <cell r="DG144">
            <v>8157012</v>
          </cell>
          <cell r="DR144">
            <v>1940969.2600000007</v>
          </cell>
          <cell r="EC144">
            <v>4.2025456910121273</v>
          </cell>
          <cell r="EN144">
            <v>2.4095909012463064E-2</v>
          </cell>
        </row>
        <row r="145">
          <cell r="B145">
            <v>33208</v>
          </cell>
          <cell r="C145" t="str">
            <v>Kipp Halifax College Prep Charter</v>
          </cell>
          <cell r="D145">
            <v>2.9970915411450654E-5</v>
          </cell>
          <cell r="E145">
            <v>51856.671950185206</v>
          </cell>
          <cell r="F145">
            <v>40433.836365458301</v>
          </cell>
          <cell r="G145">
            <v>62822</v>
          </cell>
          <cell r="H145">
            <v>-14469.854112692794</v>
          </cell>
          <cell r="I145">
            <v>-598.78986487496593</v>
          </cell>
          <cell r="J145">
            <v>43759.776308771587</v>
          </cell>
          <cell r="K145">
            <v>0</v>
          </cell>
          <cell r="L145">
            <v>-2299.2112922766401</v>
          </cell>
          <cell r="M145">
            <v>412.60994197527117</v>
          </cell>
          <cell r="N145">
            <v>15.554305680234661</v>
          </cell>
          <cell r="O145">
            <v>-7.0194880985158576</v>
          </cell>
          <cell r="P145">
            <v>0</v>
          </cell>
          <cell r="Q145">
            <v>0</v>
          </cell>
          <cell r="R145">
            <v>0</v>
          </cell>
          <cell r="S145">
            <v>181925.57411412767</v>
          </cell>
          <cell r="T145">
            <v>314109.83</v>
          </cell>
          <cell r="U145">
            <v>218798.88154385795</v>
          </cell>
          <cell r="V145">
            <v>1650.4397679010847</v>
          </cell>
          <cell r="W145">
            <v>0</v>
          </cell>
          <cell r="X145">
            <v>534559.15131175902</v>
          </cell>
          <cell r="Y145">
            <v>0</v>
          </cell>
          <cell r="Z145">
            <v>0</v>
          </cell>
          <cell r="AA145">
            <v>0</v>
          </cell>
          <cell r="AB145">
            <v>2993.9493243748298</v>
          </cell>
          <cell r="AC145">
            <v>2993.9493243748298</v>
          </cell>
          <cell r="AD145" t="str">
            <v>N/A</v>
          </cell>
          <cell r="AE145">
            <v>106396</v>
          </cell>
          <cell r="AF145">
            <v>106396</v>
          </cell>
          <cell r="AG145">
            <v>106396</v>
          </cell>
          <cell r="AH145">
            <v>106396</v>
          </cell>
          <cell r="AI145">
            <v>105983</v>
          </cell>
          <cell r="AJ145">
            <v>0</v>
          </cell>
          <cell r="AK145">
            <v>531567</v>
          </cell>
          <cell r="AL145">
            <v>618533</v>
          </cell>
          <cell r="AM145">
            <v>181925.57411412767</v>
          </cell>
          <cell r="AN145">
            <v>-28186.83</v>
          </cell>
          <cell r="AO145">
            <v>217455.37198738422</v>
          </cell>
          <cell r="AP145">
            <v>0</v>
          </cell>
          <cell r="AQ145">
            <v>314109.83</v>
          </cell>
          <cell r="AR145">
            <v>0</v>
          </cell>
          <cell r="AS145">
            <v>0</v>
          </cell>
          <cell r="AT145">
            <v>1303836.9461015121</v>
          </cell>
          <cell r="AU145">
            <v>1.8656076932907597E-5</v>
          </cell>
          <cell r="AV145">
            <v>0</v>
          </cell>
          <cell r="AW145">
            <v>0</v>
          </cell>
          <cell r="AY145">
            <v>0</v>
          </cell>
          <cell r="AZ145">
            <v>0</v>
          </cell>
          <cell r="BA145">
            <v>0</v>
          </cell>
          <cell r="BB145">
            <v>0</v>
          </cell>
          <cell r="BC145">
            <v>0</v>
          </cell>
          <cell r="BD145">
            <v>0</v>
          </cell>
          <cell r="BE145">
            <v>0</v>
          </cell>
          <cell r="BF145">
            <v>0</v>
          </cell>
          <cell r="BG145">
            <v>0</v>
          </cell>
          <cell r="BH145">
            <v>0</v>
          </cell>
          <cell r="BJ145">
            <v>0</v>
          </cell>
          <cell r="BL145">
            <v>0</v>
          </cell>
          <cell r="BM145">
            <v>0</v>
          </cell>
          <cell r="BN145">
            <v>0</v>
          </cell>
          <cell r="BO145">
            <v>0</v>
          </cell>
          <cell r="BQ145">
            <v>0</v>
          </cell>
          <cell r="BR145">
            <v>0</v>
          </cell>
          <cell r="BS145">
            <v>0</v>
          </cell>
          <cell r="BT145">
            <v>0</v>
          </cell>
          <cell r="CB145">
            <v>0</v>
          </cell>
          <cell r="CC145">
            <v>0</v>
          </cell>
          <cell r="CD145">
            <v>0</v>
          </cell>
          <cell r="CE145">
            <v>0</v>
          </cell>
          <cell r="CF145">
            <v>0</v>
          </cell>
          <cell r="CI145">
            <v>0</v>
          </cell>
          <cell r="CJ145">
            <v>0</v>
          </cell>
          <cell r="CK145">
            <v>0</v>
          </cell>
          <cell r="CV145">
            <v>2.9970915411450654E-5</v>
          </cell>
          <cell r="DG145">
            <v>1303837</v>
          </cell>
          <cell r="DR145">
            <v>364821.84</v>
          </cell>
          <cell r="EC145">
            <v>3.5739006195462419</v>
          </cell>
          <cell r="EN145">
            <v>2.4095909012463064E-2</v>
          </cell>
        </row>
        <row r="146">
          <cell r="B146">
            <v>33209</v>
          </cell>
          <cell r="C146" t="str">
            <v>Pioneer Springs Community Charter</v>
          </cell>
          <cell r="D146">
            <v>6.9109201951951491E-5</v>
          </cell>
          <cell r="E146">
            <v>119575.03350038601</v>
          </cell>
          <cell r="F146">
            <v>93235.395873327638</v>
          </cell>
          <cell r="G146">
            <v>142841</v>
          </cell>
          <cell r="H146">
            <v>-33365.68324193739</v>
          </cell>
          <cell r="I146">
            <v>-1380.7349268556359</v>
          </cell>
          <cell r="J146">
            <v>100904.59956854352</v>
          </cell>
          <cell r="K146">
            <v>0</v>
          </cell>
          <cell r="L146">
            <v>-5301.6951716945496</v>
          </cell>
          <cell r="M146">
            <v>951.42718918947457</v>
          </cell>
          <cell r="N146">
            <v>35.866293629023787</v>
          </cell>
          <cell r="O146">
            <v>-16.18606618916656</v>
          </cell>
          <cell r="P146">
            <v>0</v>
          </cell>
          <cell r="Q146">
            <v>0</v>
          </cell>
          <cell r="R146">
            <v>0</v>
          </cell>
          <cell r="S146">
            <v>417479.02301839902</v>
          </cell>
          <cell r="T146">
            <v>727344</v>
          </cell>
          <cell r="U146">
            <v>504522.99784271762</v>
          </cell>
          <cell r="V146">
            <v>3805.7087567578983</v>
          </cell>
          <cell r="W146">
            <v>0</v>
          </cell>
          <cell r="X146">
            <v>1235672.7065994756</v>
          </cell>
          <cell r="Y146">
            <v>13140.879999999997</v>
          </cell>
          <cell r="Z146">
            <v>0</v>
          </cell>
          <cell r="AA146">
            <v>0</v>
          </cell>
          <cell r="AB146">
            <v>6903.6746342781789</v>
          </cell>
          <cell r="AC146">
            <v>20044.554634278174</v>
          </cell>
          <cell r="AD146" t="str">
            <v>N/A</v>
          </cell>
          <cell r="AE146">
            <v>243316</v>
          </cell>
          <cell r="AF146">
            <v>243316</v>
          </cell>
          <cell r="AG146">
            <v>243316</v>
          </cell>
          <cell r="AH146">
            <v>243316</v>
          </cell>
          <cell r="AI146">
            <v>242365</v>
          </cell>
          <cell r="AJ146">
            <v>0</v>
          </cell>
          <cell r="AK146">
            <v>1215629</v>
          </cell>
          <cell r="AL146">
            <v>1418468</v>
          </cell>
          <cell r="AM146">
            <v>417479.02301839902</v>
          </cell>
          <cell r="AN146">
            <v>-45089.120000000003</v>
          </cell>
          <cell r="AO146">
            <v>501425.03196519736</v>
          </cell>
          <cell r="AP146">
            <v>0</v>
          </cell>
          <cell r="AQ146">
            <v>714203.12</v>
          </cell>
          <cell r="AR146">
            <v>0</v>
          </cell>
          <cell r="AS146">
            <v>0</v>
          </cell>
          <cell r="AT146">
            <v>3006486.0549835963</v>
          </cell>
          <cell r="AU146">
            <v>4.2783569407861607E-5</v>
          </cell>
          <cell r="AV146">
            <v>0</v>
          </cell>
          <cell r="AW146">
            <v>0</v>
          </cell>
          <cell r="AY146">
            <v>0</v>
          </cell>
          <cell r="AZ146">
            <v>0</v>
          </cell>
          <cell r="BA146">
            <v>0</v>
          </cell>
          <cell r="BB146">
            <v>0</v>
          </cell>
          <cell r="BC146">
            <v>0</v>
          </cell>
          <cell r="BD146">
            <v>0</v>
          </cell>
          <cell r="BE146">
            <v>0</v>
          </cell>
          <cell r="BF146">
            <v>0</v>
          </cell>
          <cell r="BG146">
            <v>0</v>
          </cell>
          <cell r="BH146">
            <v>0</v>
          </cell>
          <cell r="BJ146">
            <v>0</v>
          </cell>
          <cell r="BL146">
            <v>0</v>
          </cell>
          <cell r="BM146">
            <v>0</v>
          </cell>
          <cell r="BN146">
            <v>0</v>
          </cell>
          <cell r="BO146">
            <v>0</v>
          </cell>
          <cell r="BQ146">
            <v>0</v>
          </cell>
          <cell r="BR146">
            <v>0</v>
          </cell>
          <cell r="BS146">
            <v>0</v>
          </cell>
          <cell r="BT146">
            <v>0</v>
          </cell>
          <cell r="CB146">
            <v>0</v>
          </cell>
          <cell r="CC146">
            <v>0</v>
          </cell>
          <cell r="CD146">
            <v>0</v>
          </cell>
          <cell r="CE146">
            <v>0</v>
          </cell>
          <cell r="CF146">
            <v>0</v>
          </cell>
          <cell r="CI146">
            <v>0</v>
          </cell>
          <cell r="CJ146">
            <v>0</v>
          </cell>
          <cell r="CK146">
            <v>0</v>
          </cell>
          <cell r="CV146">
            <v>6.9109201951951491E-5</v>
          </cell>
          <cell r="DG146">
            <v>3006485</v>
          </cell>
          <cell r="DR146">
            <v>801128.51</v>
          </cell>
          <cell r="EC146">
            <v>3.752812392109226</v>
          </cell>
          <cell r="EN146">
            <v>2.4095909012463064E-2</v>
          </cell>
        </row>
        <row r="147">
          <cell r="B147">
            <v>33300</v>
          </cell>
          <cell r="C147" t="str">
            <v>Edgecombe County Schools</v>
          </cell>
          <cell r="D147">
            <v>1.9979924577220956E-3</v>
          </cell>
          <cell r="E147">
            <v>3456992.8217626</v>
          </cell>
          <cell r="F147">
            <v>2695496.5834673797</v>
          </cell>
          <cell r="G147">
            <v>-66132</v>
          </cell>
          <cell r="H147">
            <v>-964623.83562878007</v>
          </cell>
          <cell r="I147">
            <v>-39917.954368638602</v>
          </cell>
          <cell r="J147">
            <v>2917218.3036867674</v>
          </cell>
          <cell r="K147">
            <v>0</v>
          </cell>
          <cell r="L147">
            <v>-153275.49251041879</v>
          </cell>
          <cell r="M147">
            <v>27506.38546504913</v>
          </cell>
          <cell r="N147">
            <v>1036.9181257086132</v>
          </cell>
          <cell r="O147">
            <v>-467.94981352309202</v>
          </cell>
          <cell r="P147">
            <v>0</v>
          </cell>
          <cell r="Q147">
            <v>0</v>
          </cell>
          <cell r="R147">
            <v>0</v>
          </cell>
          <cell r="S147">
            <v>7873833.7801861446</v>
          </cell>
          <cell r="T147">
            <v>0</v>
          </cell>
          <cell r="U147">
            <v>14586091.518433837</v>
          </cell>
          <cell r="V147">
            <v>110025.54186019652</v>
          </cell>
          <cell r="W147">
            <v>0</v>
          </cell>
          <cell r="X147">
            <v>14696117.060294034</v>
          </cell>
          <cell r="Y147">
            <v>330660.01</v>
          </cell>
          <cell r="Z147">
            <v>0</v>
          </cell>
          <cell r="AA147">
            <v>0</v>
          </cell>
          <cell r="AB147">
            <v>199589.77184319301</v>
          </cell>
          <cell r="AC147">
            <v>530249.78184319299</v>
          </cell>
          <cell r="AD147" t="str">
            <v>N/A</v>
          </cell>
          <cell r="AE147">
            <v>2838675</v>
          </cell>
          <cell r="AF147">
            <v>2838675</v>
          </cell>
          <cell r="AG147">
            <v>2838675</v>
          </cell>
          <cell r="AH147">
            <v>2838675</v>
          </cell>
          <cell r="AI147">
            <v>2811168</v>
          </cell>
          <cell r="AJ147">
            <v>0</v>
          </cell>
          <cell r="AK147">
            <v>14165868</v>
          </cell>
          <cell r="AL147">
            <v>66604119</v>
          </cell>
          <cell r="AM147">
            <v>7873833.7801861446</v>
          </cell>
          <cell r="AN147">
            <v>-1724356.99</v>
          </cell>
          <cell r="AO147">
            <v>14496527.288450843</v>
          </cell>
          <cell r="AP147">
            <v>0</v>
          </cell>
          <cell r="AQ147">
            <v>-330660.01</v>
          </cell>
          <cell r="AR147">
            <v>0</v>
          </cell>
          <cell r="AS147">
            <v>0</v>
          </cell>
          <cell r="AT147">
            <v>86919463.068636984</v>
          </cell>
          <cell r="AU147">
            <v>2.0089017525020784E-3</v>
          </cell>
          <cell r="AV147">
            <v>0</v>
          </cell>
          <cell r="AW147">
            <v>0</v>
          </cell>
          <cell r="AY147">
            <v>0</v>
          </cell>
          <cell r="AZ147">
            <v>0</v>
          </cell>
          <cell r="BA147">
            <v>0</v>
          </cell>
          <cell r="BB147">
            <v>0</v>
          </cell>
          <cell r="BC147">
            <v>0</v>
          </cell>
          <cell r="BD147">
            <v>0</v>
          </cell>
          <cell r="BE147">
            <v>0</v>
          </cell>
          <cell r="BF147">
            <v>0</v>
          </cell>
          <cell r="BG147">
            <v>0</v>
          </cell>
          <cell r="BH147">
            <v>0</v>
          </cell>
          <cell r="BJ147">
            <v>0</v>
          </cell>
          <cell r="BL147">
            <v>0</v>
          </cell>
          <cell r="BM147">
            <v>0</v>
          </cell>
          <cell r="BN147">
            <v>0</v>
          </cell>
          <cell r="BO147">
            <v>0</v>
          </cell>
          <cell r="BQ147">
            <v>0</v>
          </cell>
          <cell r="BR147">
            <v>0</v>
          </cell>
          <cell r="BS147">
            <v>0</v>
          </cell>
          <cell r="BT147">
            <v>0</v>
          </cell>
          <cell r="CB147">
            <v>0</v>
          </cell>
          <cell r="CC147">
            <v>0</v>
          </cell>
          <cell r="CD147">
            <v>0</v>
          </cell>
          <cell r="CE147">
            <v>0</v>
          </cell>
          <cell r="CF147">
            <v>0</v>
          </cell>
          <cell r="CI147">
            <v>0</v>
          </cell>
          <cell r="CJ147">
            <v>0</v>
          </cell>
          <cell r="CK147">
            <v>0</v>
          </cell>
          <cell r="CV147">
            <v>1.9979924577220956E-3</v>
          </cell>
          <cell r="DG147">
            <v>86919463</v>
          </cell>
          <cell r="DR147">
            <v>30152921.930000052</v>
          </cell>
          <cell r="EC147">
            <v>2.8826215648945519</v>
          </cell>
          <cell r="EN147">
            <v>2.4095909012463064E-2</v>
          </cell>
        </row>
        <row r="148">
          <cell r="B148">
            <v>33305</v>
          </cell>
          <cell r="C148" t="str">
            <v>Edgecombe Technical College</v>
          </cell>
          <cell r="D148">
            <v>5.0947246059903392E-4</v>
          </cell>
          <cell r="E148">
            <v>881506.15002049413</v>
          </cell>
          <cell r="F148">
            <v>687330.56103779713</v>
          </cell>
          <cell r="G148">
            <v>-132634</v>
          </cell>
          <cell r="H148">
            <v>-245971.53867666362</v>
          </cell>
          <cell r="I148">
            <v>-10178.76636904652</v>
          </cell>
          <cell r="J148">
            <v>743867.86673774396</v>
          </cell>
          <cell r="K148">
            <v>0</v>
          </cell>
          <cell r="L148">
            <v>-39084.052603402517</v>
          </cell>
          <cell r="M148">
            <v>7013.9133062799983</v>
          </cell>
          <cell r="N148">
            <v>264.40601760168664</v>
          </cell>
          <cell r="O148">
            <v>-119.32354499689974</v>
          </cell>
          <cell r="P148">
            <v>0</v>
          </cell>
          <cell r="Q148">
            <v>0</v>
          </cell>
          <cell r="R148">
            <v>0</v>
          </cell>
          <cell r="S148">
            <v>1891995.2159258076</v>
          </cell>
          <cell r="T148">
            <v>87548.70000000007</v>
          </cell>
          <cell r="U148">
            <v>3719339.3336887197</v>
          </cell>
          <cell r="V148">
            <v>28055.653225119993</v>
          </cell>
          <cell r="W148">
            <v>0</v>
          </cell>
          <cell r="X148">
            <v>3834943.68691384</v>
          </cell>
          <cell r="Y148">
            <v>750722</v>
          </cell>
          <cell r="Z148">
            <v>0</v>
          </cell>
          <cell r="AA148">
            <v>0</v>
          </cell>
          <cell r="AB148">
            <v>50893.831845232591</v>
          </cell>
          <cell r="AC148">
            <v>801615.83184523263</v>
          </cell>
          <cell r="AD148" t="str">
            <v>N/A</v>
          </cell>
          <cell r="AE148">
            <v>608069</v>
          </cell>
          <cell r="AF148">
            <v>608068</v>
          </cell>
          <cell r="AG148">
            <v>608068</v>
          </cell>
          <cell r="AH148">
            <v>608068</v>
          </cell>
          <cell r="AI148">
            <v>601054</v>
          </cell>
          <cell r="AJ148">
            <v>0</v>
          </cell>
          <cell r="AK148">
            <v>3033327</v>
          </cell>
          <cell r="AL148">
            <v>17792167</v>
          </cell>
          <cell r="AM148">
            <v>1891995.2159258076</v>
          </cell>
          <cell r="AN148">
            <v>-553706.70000000007</v>
          </cell>
          <cell r="AO148">
            <v>3696501.1550686075</v>
          </cell>
          <cell r="AP148">
            <v>0</v>
          </cell>
          <cell r="AQ148">
            <v>-663173.29999999993</v>
          </cell>
          <cell r="AR148">
            <v>0</v>
          </cell>
          <cell r="AS148">
            <v>0</v>
          </cell>
          <cell r="AT148">
            <v>22163783.370994415</v>
          </cell>
          <cell r="AU148">
            <v>5.3664421705445478E-4</v>
          </cell>
          <cell r="AV148">
            <v>0</v>
          </cell>
          <cell r="AW148">
            <v>0</v>
          </cell>
          <cell r="AY148">
            <v>0</v>
          </cell>
          <cell r="AZ148">
            <v>0</v>
          </cell>
          <cell r="BA148">
            <v>0</v>
          </cell>
          <cell r="BB148">
            <v>0</v>
          </cell>
          <cell r="BC148">
            <v>0</v>
          </cell>
          <cell r="BD148">
            <v>0</v>
          </cell>
          <cell r="BE148">
            <v>0</v>
          </cell>
          <cell r="BF148">
            <v>0</v>
          </cell>
          <cell r="BG148">
            <v>0</v>
          </cell>
          <cell r="BH148">
            <v>0</v>
          </cell>
          <cell r="BJ148">
            <v>0</v>
          </cell>
          <cell r="BL148">
            <v>0</v>
          </cell>
          <cell r="BM148">
            <v>0</v>
          </cell>
          <cell r="BN148">
            <v>0</v>
          </cell>
          <cell r="BO148">
            <v>0</v>
          </cell>
          <cell r="BQ148">
            <v>0</v>
          </cell>
          <cell r="BR148">
            <v>0</v>
          </cell>
          <cell r="BS148">
            <v>0</v>
          </cell>
          <cell r="BT148">
            <v>0</v>
          </cell>
          <cell r="CB148">
            <v>0</v>
          </cell>
          <cell r="CC148">
            <v>0</v>
          </cell>
          <cell r="CD148">
            <v>0</v>
          </cell>
          <cell r="CE148">
            <v>0</v>
          </cell>
          <cell r="CF148">
            <v>0</v>
          </cell>
          <cell r="CI148">
            <v>0</v>
          </cell>
          <cell r="CJ148">
            <v>0</v>
          </cell>
          <cell r="CK148">
            <v>0</v>
          </cell>
          <cell r="CV148">
            <v>5.0947246059903392E-4</v>
          </cell>
          <cell r="DG148">
            <v>22163784</v>
          </cell>
          <cell r="DR148">
            <v>9481893.4399999995</v>
          </cell>
          <cell r="EC148">
            <v>2.3374850329471748</v>
          </cell>
          <cell r="EN148">
            <v>2.4095909012463064E-2</v>
          </cell>
        </row>
        <row r="149">
          <cell r="B149">
            <v>33400</v>
          </cell>
          <cell r="C149" t="str">
            <v>Winston-Salem-Forsyth County Schools</v>
          </cell>
          <cell r="D149">
            <v>1.7769357204634899E-2</v>
          </cell>
          <cell r="E149">
            <v>30745131.227268424</v>
          </cell>
          <cell r="F149">
            <v>23972683.905980468</v>
          </cell>
          <cell r="G149">
            <v>89100</v>
          </cell>
          <cell r="H149">
            <v>-8578984.0883257985</v>
          </cell>
          <cell r="I149">
            <v>-355014.54838490469</v>
          </cell>
          <cell r="J149">
            <v>25944589.471177764</v>
          </cell>
          <cell r="K149">
            <v>0</v>
          </cell>
          <cell r="L149">
            <v>-1363171.8010783424</v>
          </cell>
          <cell r="M149">
            <v>244630.94785356766</v>
          </cell>
          <cell r="N149">
            <v>9221.9410020614196</v>
          </cell>
          <cell r="O149">
            <v>-4161.7611508975397</v>
          </cell>
          <cell r="P149">
            <v>0</v>
          </cell>
          <cell r="Q149">
            <v>0</v>
          </cell>
          <cell r="R149">
            <v>0</v>
          </cell>
          <cell r="S149">
            <v>70704025.294342324</v>
          </cell>
          <cell r="T149">
            <v>445495.31000000238</v>
          </cell>
          <cell r="U149">
            <v>129722947.35588881</v>
          </cell>
          <cell r="V149">
            <v>978523.79141427064</v>
          </cell>
          <cell r="W149">
            <v>0</v>
          </cell>
          <cell r="X149">
            <v>131146966.45730309</v>
          </cell>
          <cell r="Y149">
            <v>0</v>
          </cell>
          <cell r="Z149">
            <v>0</v>
          </cell>
          <cell r="AA149">
            <v>0</v>
          </cell>
          <cell r="AB149">
            <v>1775072.7419245234</v>
          </cell>
          <cell r="AC149">
            <v>1775072.7419245234</v>
          </cell>
          <cell r="AD149" t="str">
            <v>N/A</v>
          </cell>
          <cell r="AE149">
            <v>25923305</v>
          </cell>
          <cell r="AF149">
            <v>25923306</v>
          </cell>
          <cell r="AG149">
            <v>25923306</v>
          </cell>
          <cell r="AH149">
            <v>25923306</v>
          </cell>
          <cell r="AI149">
            <v>25678675</v>
          </cell>
          <cell r="AJ149">
            <v>0</v>
          </cell>
          <cell r="AK149">
            <v>129371898</v>
          </cell>
          <cell r="AL149">
            <v>588665314</v>
          </cell>
          <cell r="AM149">
            <v>70704025.294342324</v>
          </cell>
          <cell r="AN149">
            <v>-15713796.310000002</v>
          </cell>
          <cell r="AO149">
            <v>128926398.40537857</v>
          </cell>
          <cell r="AP149">
            <v>0</v>
          </cell>
          <cell r="AQ149">
            <v>445495.31000000238</v>
          </cell>
          <cell r="AR149">
            <v>0</v>
          </cell>
          <cell r="AS149">
            <v>0</v>
          </cell>
          <cell r="AT149">
            <v>773027436.69972086</v>
          </cell>
          <cell r="AU149">
            <v>1.7755219836229876E-2</v>
          </cell>
          <cell r="AV149">
            <v>0</v>
          </cell>
          <cell r="AW149">
            <v>0</v>
          </cell>
          <cell r="AY149">
            <v>0</v>
          </cell>
          <cell r="AZ149">
            <v>0</v>
          </cell>
          <cell r="BA149">
            <v>0</v>
          </cell>
          <cell r="BB149">
            <v>0</v>
          </cell>
          <cell r="BC149">
            <v>0</v>
          </cell>
          <cell r="BD149">
            <v>0</v>
          </cell>
          <cell r="BE149">
            <v>0</v>
          </cell>
          <cell r="BF149">
            <v>0</v>
          </cell>
          <cell r="BG149">
            <v>0</v>
          </cell>
          <cell r="BH149">
            <v>0</v>
          </cell>
          <cell r="BJ149">
            <v>0</v>
          </cell>
          <cell r="BL149">
            <v>0</v>
          </cell>
          <cell r="BM149">
            <v>0</v>
          </cell>
          <cell r="BN149">
            <v>0</v>
          </cell>
          <cell r="BO149">
            <v>0</v>
          </cell>
          <cell r="BQ149">
            <v>0</v>
          </cell>
          <cell r="BR149">
            <v>0</v>
          </cell>
          <cell r="BS149">
            <v>0</v>
          </cell>
          <cell r="BT149">
            <v>0</v>
          </cell>
          <cell r="CB149">
            <v>0</v>
          </cell>
          <cell r="CC149">
            <v>0</v>
          </cell>
          <cell r="CD149">
            <v>0</v>
          </cell>
          <cell r="CE149">
            <v>0</v>
          </cell>
          <cell r="CF149">
            <v>0</v>
          </cell>
          <cell r="CI149">
            <v>0</v>
          </cell>
          <cell r="CJ149">
            <v>0</v>
          </cell>
          <cell r="CK149">
            <v>0</v>
          </cell>
          <cell r="CV149">
            <v>1.7769357204634899E-2</v>
          </cell>
          <cell r="DG149">
            <v>773027436</v>
          </cell>
          <cell r="DR149">
            <v>271727145.94999874</v>
          </cell>
          <cell r="EC149">
            <v>2.8448664313511278</v>
          </cell>
          <cell r="EN149">
            <v>2.4095909012463064E-2</v>
          </cell>
        </row>
        <row r="150">
          <cell r="B150">
            <v>33402</v>
          </cell>
          <cell r="C150" t="str">
            <v>Arts Based Elementary Charter</v>
          </cell>
          <cell r="D150">
            <v>1.4056542009747432E-4</v>
          </cell>
          <cell r="E150">
            <v>243210.95226706928</v>
          </cell>
          <cell r="F150">
            <v>189637.1571183879</v>
          </cell>
          <cell r="G150">
            <v>43162</v>
          </cell>
          <cell r="H150">
            <v>-67864.497769819078</v>
          </cell>
          <cell r="I150">
            <v>-2808.360964313486</v>
          </cell>
          <cell r="J150">
            <v>205236.0181786071</v>
          </cell>
          <cell r="K150">
            <v>0</v>
          </cell>
          <cell r="L150">
            <v>-10783.441104646583</v>
          </cell>
          <cell r="M150">
            <v>1935.1657776855752</v>
          </cell>
          <cell r="N150">
            <v>72.950641722187228</v>
          </cell>
          <cell r="O150">
            <v>-32.921827041029459</v>
          </cell>
          <cell r="P150">
            <v>0</v>
          </cell>
          <cell r="Q150">
            <v>0</v>
          </cell>
          <cell r="R150">
            <v>0</v>
          </cell>
          <cell r="S150">
            <v>601765.02231765189</v>
          </cell>
          <cell r="T150">
            <v>232721</v>
          </cell>
          <cell r="U150">
            <v>1026180.0908930356</v>
          </cell>
          <cell r="V150">
            <v>7740.6631107423009</v>
          </cell>
          <cell r="W150">
            <v>0</v>
          </cell>
          <cell r="X150">
            <v>1266641.7540037781</v>
          </cell>
          <cell r="Y150">
            <v>16910.510000000009</v>
          </cell>
          <cell r="Z150">
            <v>0</v>
          </cell>
          <cell r="AA150">
            <v>0</v>
          </cell>
          <cell r="AB150">
            <v>14041.804821567428</v>
          </cell>
          <cell r="AC150">
            <v>30952.314821567437</v>
          </cell>
          <cell r="AD150" t="str">
            <v>N/A</v>
          </cell>
          <cell r="AE150">
            <v>247525</v>
          </cell>
          <cell r="AF150">
            <v>247525</v>
          </cell>
          <cell r="AG150">
            <v>247525</v>
          </cell>
          <cell r="AH150">
            <v>247525</v>
          </cell>
          <cell r="AI150">
            <v>245590</v>
          </cell>
          <cell r="AJ150">
            <v>0</v>
          </cell>
          <cell r="AK150">
            <v>1235690</v>
          </cell>
          <cell r="AL150">
            <v>4381110</v>
          </cell>
          <cell r="AM150">
            <v>601765.02231765189</v>
          </cell>
          <cell r="AN150">
            <v>-103491.48999999999</v>
          </cell>
          <cell r="AO150">
            <v>1019878.9491822105</v>
          </cell>
          <cell r="AP150">
            <v>0</v>
          </cell>
          <cell r="AQ150">
            <v>215810.49</v>
          </cell>
          <cell r="AR150">
            <v>0</v>
          </cell>
          <cell r="AS150">
            <v>0</v>
          </cell>
          <cell r="AT150">
            <v>6115072.9714998621</v>
          </cell>
          <cell r="AU150">
            <v>1.3214227145512793E-4</v>
          </cell>
          <cell r="AV150">
            <v>0</v>
          </cell>
          <cell r="AW150">
            <v>0</v>
          </cell>
          <cell r="AY150">
            <v>0</v>
          </cell>
          <cell r="AZ150">
            <v>0</v>
          </cell>
          <cell r="BA150">
            <v>0</v>
          </cell>
          <cell r="BB150">
            <v>0</v>
          </cell>
          <cell r="BC150">
            <v>0</v>
          </cell>
          <cell r="BD150">
            <v>0</v>
          </cell>
          <cell r="BE150">
            <v>0</v>
          </cell>
          <cell r="BF150">
            <v>0</v>
          </cell>
          <cell r="BG150">
            <v>0</v>
          </cell>
          <cell r="BH150">
            <v>0</v>
          </cell>
          <cell r="BJ150">
            <v>0</v>
          </cell>
          <cell r="BL150">
            <v>0</v>
          </cell>
          <cell r="BM150">
            <v>0</v>
          </cell>
          <cell r="BN150">
            <v>0</v>
          </cell>
          <cell r="BO150">
            <v>0</v>
          </cell>
          <cell r="BQ150">
            <v>0</v>
          </cell>
          <cell r="BR150">
            <v>0</v>
          </cell>
          <cell r="BS150">
            <v>0</v>
          </cell>
          <cell r="BT150">
            <v>0</v>
          </cell>
          <cell r="CB150">
            <v>0</v>
          </cell>
          <cell r="CC150">
            <v>0</v>
          </cell>
          <cell r="CD150">
            <v>0</v>
          </cell>
          <cell r="CE150">
            <v>0</v>
          </cell>
          <cell r="CF150">
            <v>0</v>
          </cell>
          <cell r="CI150">
            <v>0</v>
          </cell>
          <cell r="CJ150">
            <v>0</v>
          </cell>
          <cell r="CK150">
            <v>0</v>
          </cell>
          <cell r="CV150">
            <v>1.4056542009747432E-4</v>
          </cell>
          <cell r="DG150">
            <v>6115074</v>
          </cell>
          <cell r="DR150">
            <v>1807378.6900000004</v>
          </cell>
          <cell r="EC150">
            <v>3.3833938807810102</v>
          </cell>
          <cell r="EN150">
            <v>2.4095909012463064E-2</v>
          </cell>
        </row>
        <row r="151">
          <cell r="B151">
            <v>33405</v>
          </cell>
          <cell r="C151" t="str">
            <v>Forsyth Technical Institute</v>
          </cell>
          <cell r="D151">
            <v>1.7860272560133689E-3</v>
          </cell>
          <cell r="E151">
            <v>3090243.5990923853</v>
          </cell>
          <cell r="F151">
            <v>2409533.8037723838</v>
          </cell>
          <cell r="G151">
            <v>19382</v>
          </cell>
          <cell r="H151">
            <v>-862287.77069427492</v>
          </cell>
          <cell r="I151">
            <v>-35683.09491416657</v>
          </cell>
          <cell r="J151">
            <v>2607733.2684557876</v>
          </cell>
          <cell r="K151">
            <v>0</v>
          </cell>
          <cell r="L151">
            <v>-137014.63498745495</v>
          </cell>
          <cell r="M151">
            <v>24588.25806129289</v>
          </cell>
          <cell r="N151">
            <v>926.91242532581816</v>
          </cell>
          <cell r="O151">
            <v>-418.30544363089109</v>
          </cell>
          <cell r="P151">
            <v>0</v>
          </cell>
          <cell r="Q151">
            <v>0</v>
          </cell>
          <cell r="R151">
            <v>0</v>
          </cell>
          <cell r="S151">
            <v>7117004.0357676493</v>
          </cell>
          <cell r="T151">
            <v>96910.160000000149</v>
          </cell>
          <cell r="U151">
            <v>13038666.342278937</v>
          </cell>
          <cell r="V151">
            <v>98353.032245171562</v>
          </cell>
          <cell r="W151">
            <v>0</v>
          </cell>
          <cell r="X151">
            <v>13233929.534524109</v>
          </cell>
          <cell r="Y151">
            <v>0</v>
          </cell>
          <cell r="Z151">
            <v>0</v>
          </cell>
          <cell r="AA151">
            <v>0</v>
          </cell>
          <cell r="AB151">
            <v>178415.47457083286</v>
          </cell>
          <cell r="AC151">
            <v>178415.47457083286</v>
          </cell>
          <cell r="AD151" t="str">
            <v>N/A</v>
          </cell>
          <cell r="AE151">
            <v>2616020</v>
          </cell>
          <cell r="AF151">
            <v>2616021</v>
          </cell>
          <cell r="AG151">
            <v>2616021</v>
          </cell>
          <cell r="AH151">
            <v>2616021</v>
          </cell>
          <cell r="AI151">
            <v>2591433</v>
          </cell>
          <cell r="AJ151">
            <v>0</v>
          </cell>
          <cell r="AK151">
            <v>13055516</v>
          </cell>
          <cell r="AL151">
            <v>59204762</v>
          </cell>
          <cell r="AM151">
            <v>7117004.0357676493</v>
          </cell>
          <cell r="AN151">
            <v>-1679024.1600000001</v>
          </cell>
          <cell r="AO151">
            <v>12958603.899953278</v>
          </cell>
          <cell r="AP151">
            <v>0</v>
          </cell>
          <cell r="AQ151">
            <v>96910.160000000149</v>
          </cell>
          <cell r="AR151">
            <v>0</v>
          </cell>
          <cell r="AS151">
            <v>0</v>
          </cell>
          <cell r="AT151">
            <v>77698255.935720921</v>
          </cell>
          <cell r="AU151">
            <v>1.7857236360827411E-3</v>
          </cell>
          <cell r="AV151">
            <v>0</v>
          </cell>
          <cell r="AW151">
            <v>0</v>
          </cell>
          <cell r="AY151">
            <v>0</v>
          </cell>
          <cell r="AZ151">
            <v>0</v>
          </cell>
          <cell r="BA151">
            <v>0</v>
          </cell>
          <cell r="BB151">
            <v>0</v>
          </cell>
          <cell r="BC151">
            <v>0</v>
          </cell>
          <cell r="BD151">
            <v>0</v>
          </cell>
          <cell r="BE151">
            <v>0</v>
          </cell>
          <cell r="BF151">
            <v>0</v>
          </cell>
          <cell r="BG151">
            <v>0</v>
          </cell>
          <cell r="BH151">
            <v>0</v>
          </cell>
          <cell r="BJ151">
            <v>0</v>
          </cell>
          <cell r="BL151">
            <v>0</v>
          </cell>
          <cell r="BM151">
            <v>0</v>
          </cell>
          <cell r="BN151">
            <v>0</v>
          </cell>
          <cell r="BO151">
            <v>0</v>
          </cell>
          <cell r="BQ151">
            <v>0</v>
          </cell>
          <cell r="BR151">
            <v>0</v>
          </cell>
          <cell r="BS151">
            <v>0</v>
          </cell>
          <cell r="BT151">
            <v>0</v>
          </cell>
          <cell r="CB151">
            <v>0</v>
          </cell>
          <cell r="CC151">
            <v>0</v>
          </cell>
          <cell r="CD151">
            <v>0</v>
          </cell>
          <cell r="CE151">
            <v>0</v>
          </cell>
          <cell r="CF151">
            <v>0</v>
          </cell>
          <cell r="CI151">
            <v>0</v>
          </cell>
          <cell r="CJ151">
            <v>0</v>
          </cell>
          <cell r="CK151">
            <v>0</v>
          </cell>
          <cell r="CV151">
            <v>1.7860272560133689E-3</v>
          </cell>
          <cell r="DG151">
            <v>77698256</v>
          </cell>
          <cell r="DR151">
            <v>29326717.320000004</v>
          </cell>
          <cell r="EC151">
            <v>2.6494017435429758</v>
          </cell>
          <cell r="EN151">
            <v>2.4095909012463064E-2</v>
          </cell>
        </row>
        <row r="152">
          <cell r="B152">
            <v>33500</v>
          </cell>
          <cell r="C152" t="str">
            <v>Franklin County Schools</v>
          </cell>
          <cell r="D152">
            <v>2.9704637198475579E-3</v>
          </cell>
          <cell r="E152">
            <v>5139594.8553913683</v>
          </cell>
          <cell r="F152">
            <v>4007459.9767466127</v>
          </cell>
          <cell r="G152">
            <v>596271</v>
          </cell>
          <cell r="H152">
            <v>-1434129.5914111184</v>
          </cell>
          <cell r="I152">
            <v>-59346.988405430755</v>
          </cell>
          <cell r="J152">
            <v>4337099.0218132632</v>
          </cell>
          <cell r="K152">
            <v>0</v>
          </cell>
          <cell r="L152">
            <v>-227878.382565593</v>
          </cell>
          <cell r="M152">
            <v>40894.408671203993</v>
          </cell>
          <cell r="N152">
            <v>1541.6112613264856</v>
          </cell>
          <cell r="O152">
            <v>-695.71230782549651</v>
          </cell>
          <cell r="P152">
            <v>0</v>
          </cell>
          <cell r="Q152">
            <v>0</v>
          </cell>
          <cell r="R152">
            <v>0</v>
          </cell>
          <cell r="S152">
            <v>12400810.199193807</v>
          </cell>
          <cell r="T152">
            <v>3054213</v>
          </cell>
          <cell r="U152">
            <v>21685495.109066315</v>
          </cell>
          <cell r="V152">
            <v>163577.63468481597</v>
          </cell>
          <cell r="W152">
            <v>0</v>
          </cell>
          <cell r="X152">
            <v>24903285.743751131</v>
          </cell>
          <cell r="Y152">
            <v>72861.060000000522</v>
          </cell>
          <cell r="Z152">
            <v>0</v>
          </cell>
          <cell r="AA152">
            <v>0</v>
          </cell>
          <cell r="AB152">
            <v>296734.94202715374</v>
          </cell>
          <cell r="AC152">
            <v>369596.00202715426</v>
          </cell>
          <cell r="AD152" t="str">
            <v>N/A</v>
          </cell>
          <cell r="AE152">
            <v>4914917</v>
          </cell>
          <cell r="AF152">
            <v>4914917</v>
          </cell>
          <cell r="AG152">
            <v>4914917</v>
          </cell>
          <cell r="AH152">
            <v>4914917</v>
          </cell>
          <cell r="AI152">
            <v>4874023</v>
          </cell>
          <cell r="AJ152">
            <v>0</v>
          </cell>
          <cell r="AK152">
            <v>24533691</v>
          </cell>
          <cell r="AL152">
            <v>94819163</v>
          </cell>
          <cell r="AM152">
            <v>12400810.199193807</v>
          </cell>
          <cell r="AN152">
            <v>-2528393.9399999995</v>
          </cell>
          <cell r="AO152">
            <v>21552337.801723979</v>
          </cell>
          <cell r="AP152">
            <v>0</v>
          </cell>
          <cell r="AQ152">
            <v>2981351.9399999995</v>
          </cell>
          <cell r="AR152">
            <v>0</v>
          </cell>
          <cell r="AS152">
            <v>0</v>
          </cell>
          <cell r="AT152">
            <v>129225269.00091779</v>
          </cell>
          <cell r="AU152">
            <v>2.8599189544238654E-3</v>
          </cell>
          <cell r="AV152">
            <v>0</v>
          </cell>
          <cell r="AW152">
            <v>0</v>
          </cell>
          <cell r="AY152">
            <v>0</v>
          </cell>
          <cell r="AZ152">
            <v>0</v>
          </cell>
          <cell r="BA152">
            <v>0</v>
          </cell>
          <cell r="BB152">
            <v>0</v>
          </cell>
          <cell r="BC152">
            <v>0</v>
          </cell>
          <cell r="BD152">
            <v>0</v>
          </cell>
          <cell r="BE152">
            <v>0</v>
          </cell>
          <cell r="BF152">
            <v>0</v>
          </cell>
          <cell r="BG152">
            <v>0</v>
          </cell>
          <cell r="BH152">
            <v>0</v>
          </cell>
          <cell r="BJ152">
            <v>0</v>
          </cell>
          <cell r="BL152">
            <v>0</v>
          </cell>
          <cell r="BM152">
            <v>0</v>
          </cell>
          <cell r="BN152">
            <v>0</v>
          </cell>
          <cell r="BO152">
            <v>0</v>
          </cell>
          <cell r="BQ152">
            <v>0</v>
          </cell>
          <cell r="BR152">
            <v>0</v>
          </cell>
          <cell r="BS152">
            <v>0</v>
          </cell>
          <cell r="BT152">
            <v>0</v>
          </cell>
          <cell r="CB152">
            <v>0</v>
          </cell>
          <cell r="CC152">
            <v>0</v>
          </cell>
          <cell r="CD152">
            <v>0</v>
          </cell>
          <cell r="CE152">
            <v>0</v>
          </cell>
          <cell r="CF152">
            <v>0</v>
          </cell>
          <cell r="CI152">
            <v>0</v>
          </cell>
          <cell r="CJ152">
            <v>0</v>
          </cell>
          <cell r="CK152">
            <v>0</v>
          </cell>
          <cell r="CV152">
            <v>2.9704637198475579E-3</v>
          </cell>
          <cell r="DG152">
            <v>129225268</v>
          </cell>
          <cell r="DR152">
            <v>43377886.109999992</v>
          </cell>
          <cell r="EC152">
            <v>2.9790586768636804</v>
          </cell>
          <cell r="EN152">
            <v>2.4095909012463064E-2</v>
          </cell>
        </row>
        <row r="153">
          <cell r="B153">
            <v>33501</v>
          </cell>
          <cell r="C153" t="str">
            <v>A Childs Garden Charter (AKA Cross Creek Charter)</v>
          </cell>
          <cell r="D153">
            <v>6.1684665278100188E-5</v>
          </cell>
          <cell r="E153">
            <v>106728.85388283155</v>
          </cell>
          <cell r="F153">
            <v>83218.935019911311</v>
          </cell>
          <cell r="G153">
            <v>14396</v>
          </cell>
          <cell r="H153">
            <v>-29781.142661507856</v>
          </cell>
          <cell r="I153">
            <v>-1232.3998743334789</v>
          </cell>
          <cell r="J153">
            <v>90064.221168894292</v>
          </cell>
          <cell r="K153">
            <v>0</v>
          </cell>
          <cell r="L153">
            <v>-4732.1236946111703</v>
          </cell>
          <cell r="M153">
            <v>849.21350621932925</v>
          </cell>
          <cell r="N153">
            <v>32.013107586028433</v>
          </cell>
          <cell r="O153">
            <v>-14.447165454783844</v>
          </cell>
          <cell r="P153">
            <v>0</v>
          </cell>
          <cell r="Q153">
            <v>0</v>
          </cell>
          <cell r="R153">
            <v>0</v>
          </cell>
          <cell r="S153">
            <v>259529.12328953523</v>
          </cell>
          <cell r="T153">
            <v>76357</v>
          </cell>
          <cell r="U153">
            <v>450321.10584447143</v>
          </cell>
          <cell r="V153">
            <v>3396.854024877317</v>
          </cell>
          <cell r="W153">
            <v>0</v>
          </cell>
          <cell r="X153">
            <v>530074.95986934868</v>
          </cell>
          <cell r="Y153">
            <v>4382.8700000000026</v>
          </cell>
          <cell r="Z153">
            <v>0</v>
          </cell>
          <cell r="AA153">
            <v>0</v>
          </cell>
          <cell r="AB153">
            <v>6161.9993716673944</v>
          </cell>
          <cell r="AC153">
            <v>10544.869371667397</v>
          </cell>
          <cell r="AD153" t="str">
            <v>N/A</v>
          </cell>
          <cell r="AE153">
            <v>104075</v>
          </cell>
          <cell r="AF153">
            <v>104077</v>
          </cell>
          <cell r="AG153">
            <v>104077</v>
          </cell>
          <cell r="AH153">
            <v>104077</v>
          </cell>
          <cell r="AI153">
            <v>103228</v>
          </cell>
          <cell r="AJ153">
            <v>0</v>
          </cell>
          <cell r="AK153">
            <v>519534</v>
          </cell>
          <cell r="AL153">
            <v>1953495</v>
          </cell>
          <cell r="AM153">
            <v>259529.12328953523</v>
          </cell>
          <cell r="AN153">
            <v>-49061.13</v>
          </cell>
          <cell r="AO153">
            <v>447555.9604976814</v>
          </cell>
          <cell r="AP153">
            <v>0</v>
          </cell>
          <cell r="AQ153">
            <v>71974.13</v>
          </cell>
          <cell r="AR153">
            <v>0</v>
          </cell>
          <cell r="AS153">
            <v>0</v>
          </cell>
          <cell r="AT153">
            <v>2683493.0837872168</v>
          </cell>
          <cell r="AU153">
            <v>5.8920963816648025E-5</v>
          </cell>
          <cell r="AV153">
            <v>0</v>
          </cell>
          <cell r="AW153">
            <v>0</v>
          </cell>
          <cell r="AY153">
            <v>0</v>
          </cell>
          <cell r="AZ153">
            <v>0</v>
          </cell>
          <cell r="BA153">
            <v>0</v>
          </cell>
          <cell r="BB153">
            <v>0</v>
          </cell>
          <cell r="BC153">
            <v>0</v>
          </cell>
          <cell r="BD153">
            <v>0</v>
          </cell>
          <cell r="BE153">
            <v>0</v>
          </cell>
          <cell r="BF153">
            <v>0</v>
          </cell>
          <cell r="BG153">
            <v>0</v>
          </cell>
          <cell r="BH153">
            <v>0</v>
          </cell>
          <cell r="BJ153">
            <v>0</v>
          </cell>
          <cell r="BL153">
            <v>0</v>
          </cell>
          <cell r="BM153">
            <v>0</v>
          </cell>
          <cell r="BN153">
            <v>0</v>
          </cell>
          <cell r="BO153">
            <v>0</v>
          </cell>
          <cell r="BQ153">
            <v>0</v>
          </cell>
          <cell r="BR153">
            <v>0</v>
          </cell>
          <cell r="BS153">
            <v>0</v>
          </cell>
          <cell r="BT153">
            <v>0</v>
          </cell>
          <cell r="CB153">
            <v>0</v>
          </cell>
          <cell r="CC153">
            <v>0</v>
          </cell>
          <cell r="CD153">
            <v>0</v>
          </cell>
          <cell r="CE153">
            <v>0</v>
          </cell>
          <cell r="CF153">
            <v>0</v>
          </cell>
          <cell r="CI153">
            <v>0</v>
          </cell>
          <cell r="CJ153">
            <v>0</v>
          </cell>
          <cell r="CK153">
            <v>0</v>
          </cell>
          <cell r="CV153">
            <v>6.1684665278100188E-5</v>
          </cell>
          <cell r="DG153">
            <v>2683493</v>
          </cell>
          <cell r="DR153">
            <v>814819.99</v>
          </cell>
          <cell r="EC153">
            <v>3.2933568554202997</v>
          </cell>
          <cell r="EN153">
            <v>2.4095909012463064E-2</v>
          </cell>
        </row>
        <row r="154">
          <cell r="B154">
            <v>33600</v>
          </cell>
          <cell r="C154" t="str">
            <v>Gaston County Schools</v>
          </cell>
          <cell r="D154">
            <v>9.4147007227892501E-3</v>
          </cell>
          <cell r="E154">
            <v>16289627.466778236</v>
          </cell>
          <cell r="F154">
            <v>12701396.111163935</v>
          </cell>
          <cell r="G154">
            <v>1617097</v>
          </cell>
          <cell r="H154">
            <v>-4545384.8874224313</v>
          </cell>
          <cell r="I154">
            <v>-188096.60286463556</v>
          </cell>
          <cell r="J154">
            <v>13746166.641472859</v>
          </cell>
          <cell r="K154">
            <v>0</v>
          </cell>
          <cell r="L154">
            <v>-722246.41516861704</v>
          </cell>
          <cell r="M154">
            <v>129612.29464017207</v>
          </cell>
          <cell r="N154">
            <v>4886.0413811131648</v>
          </cell>
          <cell r="O154">
            <v>-2205.0170562844701</v>
          </cell>
          <cell r="P154">
            <v>0</v>
          </cell>
          <cell r="Q154">
            <v>0</v>
          </cell>
          <cell r="R154">
            <v>0</v>
          </cell>
          <cell r="S154">
            <v>39030852.632924341</v>
          </cell>
          <cell r="T154">
            <v>8281272</v>
          </cell>
          <cell r="U154">
            <v>68730833.207364291</v>
          </cell>
          <cell r="V154">
            <v>518449.17856068828</v>
          </cell>
          <cell r="W154">
            <v>0</v>
          </cell>
          <cell r="X154">
            <v>77530554.38592498</v>
          </cell>
          <cell r="Y154">
            <v>195786.12000000011</v>
          </cell>
          <cell r="Z154">
            <v>0</v>
          </cell>
          <cell r="AA154">
            <v>0</v>
          </cell>
          <cell r="AB154">
            <v>940483.01432317775</v>
          </cell>
          <cell r="AC154">
            <v>1136269.1343231779</v>
          </cell>
          <cell r="AD154" t="str">
            <v>N/A</v>
          </cell>
          <cell r="AE154">
            <v>15304779</v>
          </cell>
          <cell r="AF154">
            <v>15304780</v>
          </cell>
          <cell r="AG154">
            <v>15304780</v>
          </cell>
          <cell r="AH154">
            <v>15304780</v>
          </cell>
          <cell r="AI154">
            <v>15175168</v>
          </cell>
          <cell r="AJ154">
            <v>0</v>
          </cell>
          <cell r="AK154">
            <v>76394287</v>
          </cell>
          <cell r="AL154">
            <v>302202104</v>
          </cell>
          <cell r="AM154">
            <v>39030852.632924341</v>
          </cell>
          <cell r="AN154">
            <v>-8055759.8799999999</v>
          </cell>
          <cell r="AO154">
            <v>68308799.371601805</v>
          </cell>
          <cell r="AP154">
            <v>0</v>
          </cell>
          <cell r="AQ154">
            <v>8085485.8799999999</v>
          </cell>
          <cell r="AR154">
            <v>0</v>
          </cell>
          <cell r="AS154">
            <v>0</v>
          </cell>
          <cell r="AT154">
            <v>409571482.00452614</v>
          </cell>
          <cell r="AU154">
            <v>9.1149668153587826E-3</v>
          </cell>
          <cell r="AV154">
            <v>0</v>
          </cell>
          <cell r="AW154">
            <v>0</v>
          </cell>
          <cell r="AY154">
            <v>0</v>
          </cell>
          <cell r="AZ154">
            <v>0</v>
          </cell>
          <cell r="BA154">
            <v>0</v>
          </cell>
          <cell r="BB154">
            <v>0</v>
          </cell>
          <cell r="BC154">
            <v>0</v>
          </cell>
          <cell r="BD154">
            <v>0</v>
          </cell>
          <cell r="BE154">
            <v>0</v>
          </cell>
          <cell r="BF154">
            <v>0</v>
          </cell>
          <cell r="BG154">
            <v>0</v>
          </cell>
          <cell r="BH154">
            <v>0</v>
          </cell>
          <cell r="BJ154">
            <v>0</v>
          </cell>
          <cell r="BL154">
            <v>0</v>
          </cell>
          <cell r="BM154">
            <v>0</v>
          </cell>
          <cell r="BN154">
            <v>0</v>
          </cell>
          <cell r="BO154">
            <v>0</v>
          </cell>
          <cell r="BQ154">
            <v>0</v>
          </cell>
          <cell r="BR154">
            <v>0</v>
          </cell>
          <cell r="BS154">
            <v>0</v>
          </cell>
          <cell r="BT154">
            <v>0</v>
          </cell>
          <cell r="CB154">
            <v>0</v>
          </cell>
          <cell r="CC154">
            <v>0</v>
          </cell>
          <cell r="CD154">
            <v>0</v>
          </cell>
          <cell r="CE154">
            <v>0</v>
          </cell>
          <cell r="CF154">
            <v>0</v>
          </cell>
          <cell r="CI154">
            <v>0</v>
          </cell>
          <cell r="CJ154">
            <v>0</v>
          </cell>
          <cell r="CK154">
            <v>0</v>
          </cell>
          <cell r="CV154">
            <v>9.4147007227892501E-3</v>
          </cell>
          <cell r="DG154">
            <v>409571482</v>
          </cell>
          <cell r="DR154">
            <v>138243699.03999978</v>
          </cell>
          <cell r="EC154">
            <v>2.9626773939367288</v>
          </cell>
          <cell r="EN154">
            <v>2.4095909012463064E-2</v>
          </cell>
        </row>
        <row r="155">
          <cell r="B155">
            <v>33605</v>
          </cell>
          <cell r="C155" t="str">
            <v>Gaston College</v>
          </cell>
          <cell r="D155">
            <v>1.2534016746131289E-3</v>
          </cell>
          <cell r="E155">
            <v>2168677.1514957808</v>
          </cell>
          <cell r="F155">
            <v>1690967.3099986792</v>
          </cell>
          <cell r="G155">
            <v>48046</v>
          </cell>
          <cell r="H155">
            <v>-605137.98551937437</v>
          </cell>
          <cell r="I155">
            <v>-25041.751613929919</v>
          </cell>
          <cell r="J155">
            <v>1830060.1150525704</v>
          </cell>
          <cell r="K155">
            <v>0</v>
          </cell>
          <cell r="L155">
            <v>-96154.396502948541</v>
          </cell>
          <cell r="M155">
            <v>17255.595470942571</v>
          </cell>
          <cell r="N155">
            <v>650.49040109072166</v>
          </cell>
          <cell r="O155">
            <v>-293.55920621114092</v>
          </cell>
          <cell r="P155">
            <v>0</v>
          </cell>
          <cell r="Q155">
            <v>0</v>
          </cell>
          <cell r="R155">
            <v>0</v>
          </cell>
          <cell r="S155">
            <v>5029028.9695766</v>
          </cell>
          <cell r="T155">
            <v>240228.45999999996</v>
          </cell>
          <cell r="U155">
            <v>9150300.575262852</v>
          </cell>
          <cell r="V155">
            <v>69022.381883770286</v>
          </cell>
          <cell r="W155">
            <v>0</v>
          </cell>
          <cell r="X155">
            <v>9459551.4171466231</v>
          </cell>
          <cell r="Y155">
            <v>0</v>
          </cell>
          <cell r="Z155">
            <v>0</v>
          </cell>
          <cell r="AA155">
            <v>0</v>
          </cell>
          <cell r="AB155">
            <v>125208.75806964959</v>
          </cell>
          <cell r="AC155">
            <v>125208.75806964959</v>
          </cell>
          <cell r="AD155" t="str">
            <v>N/A</v>
          </cell>
          <cell r="AE155">
            <v>1870320</v>
          </cell>
          <cell r="AF155">
            <v>1870320</v>
          </cell>
          <cell r="AG155">
            <v>1870320</v>
          </cell>
          <cell r="AH155">
            <v>1870320</v>
          </cell>
          <cell r="AI155">
            <v>1853064</v>
          </cell>
          <cell r="AJ155">
            <v>0</v>
          </cell>
          <cell r="AK155">
            <v>9334344</v>
          </cell>
          <cell r="AL155">
            <v>41442769</v>
          </cell>
          <cell r="AM155">
            <v>5029028.9695766</v>
          </cell>
          <cell r="AN155">
            <v>-1278907.46</v>
          </cell>
          <cell r="AO155">
            <v>9094114.1990769729</v>
          </cell>
          <cell r="AP155">
            <v>0</v>
          </cell>
          <cell r="AQ155">
            <v>240228.45999999996</v>
          </cell>
          <cell r="AR155">
            <v>0</v>
          </cell>
          <cell r="AS155">
            <v>0</v>
          </cell>
          <cell r="AT155">
            <v>54527233.16865357</v>
          </cell>
          <cell r="AU155">
            <v>1.2499895237390113E-3</v>
          </cell>
          <cell r="AV155">
            <v>0</v>
          </cell>
          <cell r="AW155">
            <v>0</v>
          </cell>
          <cell r="AY155">
            <v>0</v>
          </cell>
          <cell r="AZ155">
            <v>0</v>
          </cell>
          <cell r="BA155">
            <v>0</v>
          </cell>
          <cell r="BB155">
            <v>0</v>
          </cell>
          <cell r="BC155">
            <v>0</v>
          </cell>
          <cell r="BD155">
            <v>0</v>
          </cell>
          <cell r="BE155">
            <v>0</v>
          </cell>
          <cell r="BF155">
            <v>0</v>
          </cell>
          <cell r="BG155">
            <v>0</v>
          </cell>
          <cell r="BH155">
            <v>0</v>
          </cell>
          <cell r="BJ155">
            <v>0</v>
          </cell>
          <cell r="BL155">
            <v>0</v>
          </cell>
          <cell r="BM155">
            <v>0</v>
          </cell>
          <cell r="BN155">
            <v>0</v>
          </cell>
          <cell r="BO155">
            <v>0</v>
          </cell>
          <cell r="BQ155">
            <v>0</v>
          </cell>
          <cell r="BR155">
            <v>0</v>
          </cell>
          <cell r="BS155">
            <v>0</v>
          </cell>
          <cell r="BT155">
            <v>0</v>
          </cell>
          <cell r="CB155">
            <v>0</v>
          </cell>
          <cell r="CC155">
            <v>0</v>
          </cell>
          <cell r="CD155">
            <v>0</v>
          </cell>
          <cell r="CE155">
            <v>0</v>
          </cell>
          <cell r="CF155">
            <v>0</v>
          </cell>
          <cell r="CI155">
            <v>0</v>
          </cell>
          <cell r="CJ155">
            <v>0</v>
          </cell>
          <cell r="CK155">
            <v>0</v>
          </cell>
          <cell r="CV155">
            <v>1.2534016746131289E-3</v>
          </cell>
          <cell r="DG155">
            <v>54527233</v>
          </cell>
          <cell r="DR155">
            <v>21891172.329999983</v>
          </cell>
          <cell r="EC155">
            <v>2.4908320202328809</v>
          </cell>
          <cell r="EN155">
            <v>2.4095909012463064E-2</v>
          </cell>
        </row>
        <row r="156">
          <cell r="B156">
            <v>33700</v>
          </cell>
          <cell r="C156" t="str">
            <v>Gates County Schools</v>
          </cell>
          <cell r="D156">
            <v>6.6795511279260232E-4</v>
          </cell>
          <cell r="E156">
            <v>1155718.0915568967</v>
          </cell>
          <cell r="F156">
            <v>901139.90044523915</v>
          </cell>
          <cell r="G156">
            <v>-246088</v>
          </cell>
          <cell r="H156">
            <v>-322486.41402002476</v>
          </cell>
          <cell r="I156">
            <v>-13345.096278868243</v>
          </cell>
          <cell r="J156">
            <v>975264.38278015214</v>
          </cell>
          <cell r="K156">
            <v>0</v>
          </cell>
          <cell r="L156">
            <v>-51242.009694502478</v>
          </cell>
          <cell r="M156">
            <v>9195.7458271743017</v>
          </cell>
          <cell r="N156">
            <v>346.65534443710476</v>
          </cell>
          <cell r="O156">
            <v>-156.44176696715539</v>
          </cell>
          <cell r="P156">
            <v>0</v>
          </cell>
          <cell r="Q156">
            <v>0</v>
          </cell>
          <cell r="R156">
            <v>0</v>
          </cell>
          <cell r="S156">
            <v>2408346.8141935365</v>
          </cell>
          <cell r="T156">
            <v>0</v>
          </cell>
          <cell r="U156">
            <v>4876321.9139007609</v>
          </cell>
          <cell r="V156">
            <v>36782.983308697207</v>
          </cell>
          <cell r="W156">
            <v>0</v>
          </cell>
          <cell r="X156">
            <v>4913104.8972094581</v>
          </cell>
          <cell r="Y156">
            <v>1230442.92</v>
          </cell>
          <cell r="Z156">
            <v>0</v>
          </cell>
          <cell r="AA156">
            <v>0</v>
          </cell>
          <cell r="AB156">
            <v>66725.481394341215</v>
          </cell>
          <cell r="AC156">
            <v>1297168.4013943411</v>
          </cell>
          <cell r="AD156" t="str">
            <v>N/A</v>
          </cell>
          <cell r="AE156">
            <v>725027</v>
          </cell>
          <cell r="AF156">
            <v>725027</v>
          </cell>
          <cell r="AG156">
            <v>725027</v>
          </cell>
          <cell r="AH156">
            <v>725027</v>
          </cell>
          <cell r="AI156">
            <v>715831</v>
          </cell>
          <cell r="AJ156">
            <v>0</v>
          </cell>
          <cell r="AK156">
            <v>3615939</v>
          </cell>
          <cell r="AL156">
            <v>23615834</v>
          </cell>
          <cell r="AM156">
            <v>2408346.8141935365</v>
          </cell>
          <cell r="AN156">
            <v>-581800.07999999996</v>
          </cell>
          <cell r="AO156">
            <v>4846379.4158151178</v>
          </cell>
          <cell r="AP156">
            <v>0</v>
          </cell>
          <cell r="AQ156">
            <v>-1230442.92</v>
          </cell>
          <cell r="AR156">
            <v>0</v>
          </cell>
          <cell r="AS156">
            <v>0</v>
          </cell>
          <cell r="AT156">
            <v>29058317.230008654</v>
          </cell>
          <cell r="AU156">
            <v>7.1229664502386436E-4</v>
          </cell>
          <cell r="AV156">
            <v>0</v>
          </cell>
          <cell r="AW156">
            <v>0</v>
          </cell>
          <cell r="AY156">
            <v>0</v>
          </cell>
          <cell r="AZ156">
            <v>0</v>
          </cell>
          <cell r="BA156">
            <v>0</v>
          </cell>
          <cell r="BB156">
            <v>0</v>
          </cell>
          <cell r="BC156">
            <v>0</v>
          </cell>
          <cell r="BD156">
            <v>0</v>
          </cell>
          <cell r="BE156">
            <v>0</v>
          </cell>
          <cell r="BF156">
            <v>0</v>
          </cell>
          <cell r="BG156">
            <v>0</v>
          </cell>
          <cell r="BH156">
            <v>0</v>
          </cell>
          <cell r="BJ156">
            <v>0</v>
          </cell>
          <cell r="BL156">
            <v>0</v>
          </cell>
          <cell r="BM156">
            <v>0</v>
          </cell>
          <cell r="BN156">
            <v>0</v>
          </cell>
          <cell r="BO156">
            <v>0</v>
          </cell>
          <cell r="BQ156">
            <v>0</v>
          </cell>
          <cell r="BR156">
            <v>0</v>
          </cell>
          <cell r="BS156">
            <v>0</v>
          </cell>
          <cell r="BT156">
            <v>0</v>
          </cell>
          <cell r="CB156">
            <v>0</v>
          </cell>
          <cell r="CC156">
            <v>0</v>
          </cell>
          <cell r="CD156">
            <v>0</v>
          </cell>
          <cell r="CE156">
            <v>0</v>
          </cell>
          <cell r="CF156">
            <v>0</v>
          </cell>
          <cell r="CI156">
            <v>0</v>
          </cell>
          <cell r="CJ156">
            <v>0</v>
          </cell>
          <cell r="CK156">
            <v>0</v>
          </cell>
          <cell r="CV156">
            <v>6.6795511279260232E-4</v>
          </cell>
          <cell r="DG156">
            <v>29058318</v>
          </cell>
          <cell r="DR156">
            <v>10624542.059999999</v>
          </cell>
          <cell r="EC156">
            <v>2.7350183975835289</v>
          </cell>
          <cell r="EN156">
            <v>2.4095909012463064E-2</v>
          </cell>
        </row>
        <row r="157">
          <cell r="B157">
            <v>33800</v>
          </cell>
          <cell r="C157" t="str">
            <v>Graham County Schools</v>
          </cell>
          <cell r="D157">
            <v>5.0504283975162081E-4</v>
          </cell>
          <cell r="E157">
            <v>873841.87310420605</v>
          </cell>
          <cell r="F157">
            <v>681354.54855881585</v>
          </cell>
          <cell r="G157">
            <v>34712</v>
          </cell>
          <cell r="H157">
            <v>-243832.93307998165</v>
          </cell>
          <cell r="I157">
            <v>-10090.266834339065</v>
          </cell>
          <cell r="J157">
            <v>737400.28926290281</v>
          </cell>
          <cell r="K157">
            <v>0</v>
          </cell>
          <cell r="L157">
            <v>-38744.235346136324</v>
          </cell>
          <cell r="M157">
            <v>6952.9306644176386</v>
          </cell>
          <cell r="N157">
            <v>262.10713297429618</v>
          </cell>
          <cell r="O157">
            <v>-118.28608349822711</v>
          </cell>
          <cell r="P157">
            <v>0</v>
          </cell>
          <cell r="Q157">
            <v>0</v>
          </cell>
          <cell r="R157">
            <v>0</v>
          </cell>
          <cell r="S157">
            <v>2041738.027379361</v>
          </cell>
          <cell r="T157">
            <v>173558.58999999997</v>
          </cell>
          <cell r="U157">
            <v>3687001.4463145137</v>
          </cell>
          <cell r="V157">
            <v>27811.722657670554</v>
          </cell>
          <cell r="W157">
            <v>0</v>
          </cell>
          <cell r="X157">
            <v>3888371.7589721843</v>
          </cell>
          <cell r="Y157">
            <v>0</v>
          </cell>
          <cell r="Z157">
            <v>0</v>
          </cell>
          <cell r="AA157">
            <v>0</v>
          </cell>
          <cell r="AB157">
            <v>50451.334171695329</v>
          </cell>
          <cell r="AC157">
            <v>50451.334171695329</v>
          </cell>
          <cell r="AD157" t="str">
            <v>N/A</v>
          </cell>
          <cell r="AE157">
            <v>768975</v>
          </cell>
          <cell r="AF157">
            <v>768975</v>
          </cell>
          <cell r="AG157">
            <v>768975</v>
          </cell>
          <cell r="AH157">
            <v>768975</v>
          </cell>
          <cell r="AI157">
            <v>762022</v>
          </cell>
          <cell r="AJ157">
            <v>0</v>
          </cell>
          <cell r="AK157">
            <v>3837922</v>
          </cell>
          <cell r="AL157">
            <v>16539444</v>
          </cell>
          <cell r="AM157">
            <v>2041738.027379361</v>
          </cell>
          <cell r="AN157">
            <v>-448022.58999999997</v>
          </cell>
          <cell r="AO157">
            <v>3664361.8348004892</v>
          </cell>
          <cell r="AP157">
            <v>0</v>
          </cell>
          <cell r="AQ157">
            <v>173558.58999999997</v>
          </cell>
          <cell r="AR157">
            <v>0</v>
          </cell>
          <cell r="AS157">
            <v>0</v>
          </cell>
          <cell r="AT157">
            <v>21971079.862179849</v>
          </cell>
          <cell r="AU157">
            <v>4.9885979553380099E-4</v>
          </cell>
          <cell r="AV157">
            <v>0</v>
          </cell>
          <cell r="AW157">
            <v>0</v>
          </cell>
          <cell r="AY157">
            <v>0</v>
          </cell>
          <cell r="AZ157">
            <v>0</v>
          </cell>
          <cell r="BA157">
            <v>0</v>
          </cell>
          <cell r="BB157">
            <v>0</v>
          </cell>
          <cell r="BC157">
            <v>0</v>
          </cell>
          <cell r="BD157">
            <v>0</v>
          </cell>
          <cell r="BE157">
            <v>0</v>
          </cell>
          <cell r="BF157">
            <v>0</v>
          </cell>
          <cell r="BG157">
            <v>0</v>
          </cell>
          <cell r="BH157">
            <v>0</v>
          </cell>
          <cell r="BJ157">
            <v>0</v>
          </cell>
          <cell r="BL157">
            <v>0</v>
          </cell>
          <cell r="BM157">
            <v>0</v>
          </cell>
          <cell r="BN157">
            <v>0</v>
          </cell>
          <cell r="BO157">
            <v>0</v>
          </cell>
          <cell r="BQ157">
            <v>0</v>
          </cell>
          <cell r="BR157">
            <v>0</v>
          </cell>
          <cell r="BS157">
            <v>0</v>
          </cell>
          <cell r="BT157">
            <v>0</v>
          </cell>
          <cell r="CB157">
            <v>0</v>
          </cell>
          <cell r="CC157">
            <v>0</v>
          </cell>
          <cell r="CD157">
            <v>0</v>
          </cell>
          <cell r="CE157">
            <v>0</v>
          </cell>
          <cell r="CF157">
            <v>0</v>
          </cell>
          <cell r="CI157">
            <v>0</v>
          </cell>
          <cell r="CJ157">
            <v>0</v>
          </cell>
          <cell r="CK157">
            <v>0</v>
          </cell>
          <cell r="CV157">
            <v>5.0504283975162081E-4</v>
          </cell>
          <cell r="DG157">
            <v>21971080</v>
          </cell>
          <cell r="DR157">
            <v>7657986.129999998</v>
          </cell>
          <cell r="EC157">
            <v>2.8690414982509256</v>
          </cell>
          <cell r="EN157">
            <v>2.4095909012463064E-2</v>
          </cell>
        </row>
        <row r="158">
          <cell r="B158">
            <v>33900</v>
          </cell>
          <cell r="C158" t="str">
            <v>Granville County Schools And Oxford Orphanage</v>
          </cell>
          <cell r="D158">
            <v>2.6348934399150169E-3</v>
          </cell>
          <cell r="E158">
            <v>4558980.0265214704</v>
          </cell>
          <cell r="F158">
            <v>3554741.2792483214</v>
          </cell>
          <cell r="G158">
            <v>150072</v>
          </cell>
          <cell r="H158">
            <v>-1272117.4229965294</v>
          </cell>
          <cell r="I158">
            <v>-52642.619192200407</v>
          </cell>
          <cell r="J158">
            <v>3847141.3350317138</v>
          </cell>
          <cell r="K158">
            <v>0</v>
          </cell>
          <cell r="L158">
            <v>-202135.19232995025</v>
          </cell>
          <cell r="M158">
            <v>36274.60871411988</v>
          </cell>
          <cell r="N158">
            <v>1367.4569974470955</v>
          </cell>
          <cell r="O158">
            <v>-617.11839256249607</v>
          </cell>
          <cell r="P158">
            <v>0</v>
          </cell>
          <cell r="Q158">
            <v>0</v>
          </cell>
          <cell r="R158">
            <v>0</v>
          </cell>
          <cell r="S158">
            <v>10621064.35360183</v>
          </cell>
          <cell r="T158">
            <v>750361.99000000022</v>
          </cell>
          <cell r="U158">
            <v>19235706.675158568</v>
          </cell>
          <cell r="V158">
            <v>145098.43485647952</v>
          </cell>
          <cell r="W158">
            <v>0</v>
          </cell>
          <cell r="X158">
            <v>20131167.100015048</v>
          </cell>
          <cell r="Y158">
            <v>0</v>
          </cell>
          <cell r="Z158">
            <v>0</v>
          </cell>
          <cell r="AA158">
            <v>0</v>
          </cell>
          <cell r="AB158">
            <v>263213.09596100199</v>
          </cell>
          <cell r="AC158">
            <v>263213.09596100199</v>
          </cell>
          <cell r="AD158" t="str">
            <v>N/A</v>
          </cell>
          <cell r="AE158">
            <v>3980845</v>
          </cell>
          <cell r="AF158">
            <v>3980845</v>
          </cell>
          <cell r="AG158">
            <v>3980845</v>
          </cell>
          <cell r="AH158">
            <v>3980845</v>
          </cell>
          <cell r="AI158">
            <v>3944571</v>
          </cell>
          <cell r="AJ158">
            <v>0</v>
          </cell>
          <cell r="AK158">
            <v>19867951</v>
          </cell>
          <cell r="AL158">
            <v>86459269</v>
          </cell>
          <cell r="AM158">
            <v>10621064.35360183</v>
          </cell>
          <cell r="AN158">
            <v>-2321466.9900000002</v>
          </cell>
          <cell r="AO158">
            <v>19117592.014054049</v>
          </cell>
          <cell r="AP158">
            <v>0</v>
          </cell>
          <cell r="AQ158">
            <v>750361.99000000022</v>
          </cell>
          <cell r="AR158">
            <v>0</v>
          </cell>
          <cell r="AS158">
            <v>0</v>
          </cell>
          <cell r="AT158">
            <v>114626820.36765587</v>
          </cell>
          <cell r="AU158">
            <v>2.6077692770783891E-3</v>
          </cell>
          <cell r="AV158">
            <v>0</v>
          </cell>
          <cell r="AW158">
            <v>0</v>
          </cell>
          <cell r="AY158">
            <v>0</v>
          </cell>
          <cell r="AZ158">
            <v>0</v>
          </cell>
          <cell r="BA158">
            <v>0</v>
          </cell>
          <cell r="BB158">
            <v>0</v>
          </cell>
          <cell r="BC158">
            <v>0</v>
          </cell>
          <cell r="BD158">
            <v>0</v>
          </cell>
          <cell r="BE158">
            <v>0</v>
          </cell>
          <cell r="BF158">
            <v>0</v>
          </cell>
          <cell r="BG158">
            <v>0</v>
          </cell>
          <cell r="BH158">
            <v>0</v>
          </cell>
          <cell r="BJ158">
            <v>0</v>
          </cell>
          <cell r="BL158">
            <v>0</v>
          </cell>
          <cell r="BM158">
            <v>0</v>
          </cell>
          <cell r="BN158">
            <v>0</v>
          </cell>
          <cell r="BO158">
            <v>0</v>
          </cell>
          <cell r="BQ158">
            <v>0</v>
          </cell>
          <cell r="BR158">
            <v>0</v>
          </cell>
          <cell r="BS158">
            <v>0</v>
          </cell>
          <cell r="BT158">
            <v>0</v>
          </cell>
          <cell r="CB158">
            <v>0</v>
          </cell>
          <cell r="CC158">
            <v>0</v>
          </cell>
          <cell r="CD158">
            <v>0</v>
          </cell>
          <cell r="CE158">
            <v>0</v>
          </cell>
          <cell r="CF158">
            <v>0</v>
          </cell>
          <cell r="CI158">
            <v>0</v>
          </cell>
          <cell r="CJ158">
            <v>0</v>
          </cell>
          <cell r="CK158">
            <v>0</v>
          </cell>
          <cell r="CV158">
            <v>2.6348934399150169E-3</v>
          </cell>
          <cell r="DG158">
            <v>114626821</v>
          </cell>
          <cell r="DR158">
            <v>40592529.850000031</v>
          </cell>
          <cell r="EC158">
            <v>2.823840283509699</v>
          </cell>
          <cell r="EN158">
            <v>2.4095909012463064E-2</v>
          </cell>
        </row>
        <row r="159">
          <cell r="B159">
            <v>34000</v>
          </cell>
          <cell r="C159" t="str">
            <v>Greene County Schools</v>
          </cell>
          <cell r="D159">
            <v>1.1494173860556655E-3</v>
          </cell>
          <cell r="E159">
            <v>1988760.0863787907</v>
          </cell>
          <cell r="F159">
            <v>1550681.8482304772</v>
          </cell>
          <cell r="G159">
            <v>-229834</v>
          </cell>
          <cell r="H159">
            <v>-554934.73130499735</v>
          </cell>
          <cell r="I159">
            <v>-22964.246231139568</v>
          </cell>
          <cell r="J159">
            <v>1678235.282729869</v>
          </cell>
          <cell r="K159">
            <v>0</v>
          </cell>
          <cell r="L159">
            <v>-88177.2677703597</v>
          </cell>
          <cell r="M159">
            <v>15824.042557759192</v>
          </cell>
          <cell r="N159">
            <v>596.52463501516934</v>
          </cell>
          <cell r="O159">
            <v>-269.20504598809742</v>
          </cell>
          <cell r="P159">
            <v>0</v>
          </cell>
          <cell r="Q159">
            <v>0</v>
          </cell>
          <cell r="R159">
            <v>0</v>
          </cell>
          <cell r="S159">
            <v>4337918.3341794265</v>
          </cell>
          <cell r="T159">
            <v>0</v>
          </cell>
          <cell r="U159">
            <v>8391176.4136493448</v>
          </cell>
          <cell r="V159">
            <v>63296.170231036769</v>
          </cell>
          <cell r="W159">
            <v>0</v>
          </cell>
          <cell r="X159">
            <v>8454472.5838803817</v>
          </cell>
          <cell r="Y159">
            <v>1149172.21</v>
          </cell>
          <cell r="Z159">
            <v>0</v>
          </cell>
          <cell r="AA159">
            <v>0</v>
          </cell>
          <cell r="AB159">
            <v>114821.23115569784</v>
          </cell>
          <cell r="AC159">
            <v>1263993.4411556977</v>
          </cell>
          <cell r="AD159" t="str">
            <v>N/A</v>
          </cell>
          <cell r="AE159">
            <v>1441261</v>
          </cell>
          <cell r="AF159">
            <v>1441260</v>
          </cell>
          <cell r="AG159">
            <v>1441260</v>
          </cell>
          <cell r="AH159">
            <v>1441260</v>
          </cell>
          <cell r="AI159">
            <v>1425436</v>
          </cell>
          <cell r="AJ159">
            <v>0</v>
          </cell>
          <cell r="AK159">
            <v>7190477</v>
          </cell>
          <cell r="AL159">
            <v>39436879</v>
          </cell>
          <cell r="AM159">
            <v>4337918.3341794265</v>
          </cell>
          <cell r="AN159">
            <v>-961712.79</v>
          </cell>
          <cell r="AO159">
            <v>8339651.3527246853</v>
          </cell>
          <cell r="AP159">
            <v>0</v>
          </cell>
          <cell r="AQ159">
            <v>-1149172.21</v>
          </cell>
          <cell r="AR159">
            <v>0</v>
          </cell>
          <cell r="AS159">
            <v>0</v>
          </cell>
          <cell r="AT159">
            <v>50003563.68690411</v>
          </cell>
          <cell r="AU159">
            <v>1.1894882282020263E-3</v>
          </cell>
          <cell r="AV159">
            <v>0</v>
          </cell>
          <cell r="AW159">
            <v>0</v>
          </cell>
          <cell r="AY159">
            <v>0</v>
          </cell>
          <cell r="AZ159">
            <v>0</v>
          </cell>
          <cell r="BA159">
            <v>0</v>
          </cell>
          <cell r="BB159">
            <v>0</v>
          </cell>
          <cell r="BC159">
            <v>0</v>
          </cell>
          <cell r="BD159">
            <v>0</v>
          </cell>
          <cell r="BE159">
            <v>0</v>
          </cell>
          <cell r="BF159">
            <v>0</v>
          </cell>
          <cell r="BG159">
            <v>0</v>
          </cell>
          <cell r="BH159">
            <v>0</v>
          </cell>
          <cell r="BJ159">
            <v>0</v>
          </cell>
          <cell r="BL159">
            <v>0</v>
          </cell>
          <cell r="BM159">
            <v>0</v>
          </cell>
          <cell r="BN159">
            <v>0</v>
          </cell>
          <cell r="BO159">
            <v>0</v>
          </cell>
          <cell r="BQ159">
            <v>0</v>
          </cell>
          <cell r="BR159">
            <v>0</v>
          </cell>
          <cell r="BS159">
            <v>0</v>
          </cell>
          <cell r="BT159">
            <v>0</v>
          </cell>
          <cell r="CB159">
            <v>0</v>
          </cell>
          <cell r="CC159">
            <v>0</v>
          </cell>
          <cell r="CD159">
            <v>0</v>
          </cell>
          <cell r="CE159">
            <v>0</v>
          </cell>
          <cell r="CF159">
            <v>0</v>
          </cell>
          <cell r="CI159">
            <v>0</v>
          </cell>
          <cell r="CJ159">
            <v>0</v>
          </cell>
          <cell r="CK159">
            <v>0</v>
          </cell>
          <cell r="CV159">
            <v>1.1494173860556655E-3</v>
          </cell>
          <cell r="DG159">
            <v>50003563</v>
          </cell>
          <cell r="DR159">
            <v>16688110.669999991</v>
          </cell>
          <cell r="EC159">
            <v>2.9963585446428507</v>
          </cell>
          <cell r="EN159">
            <v>2.4095909012463064E-2</v>
          </cell>
        </row>
        <row r="160">
          <cell r="B160">
            <v>34100</v>
          </cell>
          <cell r="C160" t="str">
            <v>Guilford County Schools</v>
          </cell>
          <cell r="D160">
            <v>2.6079346093567862E-2</v>
          </cell>
          <cell r="E160">
            <v>45123349.636921689</v>
          </cell>
          <cell r="F160">
            <v>35183710.540339403</v>
          </cell>
          <cell r="G160">
            <v>-3123597</v>
          </cell>
          <cell r="H160">
            <v>-12591017.930142242</v>
          </cell>
          <cell r="I160">
            <v>-521040.07865668065</v>
          </cell>
          <cell r="J160">
            <v>38077794.277099393</v>
          </cell>
          <cell r="K160">
            <v>0</v>
          </cell>
          <cell r="L160">
            <v>-2000670.5237509338</v>
          </cell>
          <cell r="M160">
            <v>359034.66179444315</v>
          </cell>
          <cell r="N160">
            <v>13534.659035639848</v>
          </cell>
          <cell r="O160">
            <v>-6108.0436485745286</v>
          </cell>
          <cell r="P160">
            <v>0</v>
          </cell>
          <cell r="Q160">
            <v>0</v>
          </cell>
          <cell r="R160">
            <v>0</v>
          </cell>
          <cell r="S160">
            <v>100514990.19899213</v>
          </cell>
          <cell r="T160">
            <v>0</v>
          </cell>
          <cell r="U160">
            <v>190388971.38549697</v>
          </cell>
          <cell r="V160">
            <v>1436138.6471777726</v>
          </cell>
          <cell r="W160">
            <v>0</v>
          </cell>
          <cell r="X160">
            <v>191825110.03267476</v>
          </cell>
          <cell r="Y160">
            <v>15617982.099999998</v>
          </cell>
          <cell r="Z160">
            <v>0</v>
          </cell>
          <cell r="AA160">
            <v>0</v>
          </cell>
          <cell r="AB160">
            <v>2605200.393283403</v>
          </cell>
          <cell r="AC160">
            <v>18223182.493283402</v>
          </cell>
          <cell r="AD160" t="str">
            <v>N/A</v>
          </cell>
          <cell r="AE160">
            <v>34792193</v>
          </cell>
          <cell r="AF160">
            <v>34792192</v>
          </cell>
          <cell r="AG160">
            <v>34792192</v>
          </cell>
          <cell r="AH160">
            <v>34792192</v>
          </cell>
          <cell r="AI160">
            <v>34433157</v>
          </cell>
          <cell r="AJ160">
            <v>0</v>
          </cell>
          <cell r="AK160">
            <v>173601926</v>
          </cell>
          <cell r="AL160">
            <v>882082297</v>
          </cell>
          <cell r="AM160">
            <v>100514990.19899213</v>
          </cell>
          <cell r="AN160">
            <v>-21659015.900000002</v>
          </cell>
          <cell r="AO160">
            <v>189219909.63939136</v>
          </cell>
          <cell r="AP160">
            <v>0</v>
          </cell>
          <cell r="AQ160">
            <v>-15617982.099999998</v>
          </cell>
          <cell r="AR160">
            <v>0</v>
          </cell>
          <cell r="AS160">
            <v>0</v>
          </cell>
          <cell r="AT160">
            <v>1134540198.8383837</v>
          </cell>
          <cell r="AU160">
            <v>2.6605211370241317E-2</v>
          </cell>
          <cell r="AV160">
            <v>0</v>
          </cell>
          <cell r="AW160">
            <v>0</v>
          </cell>
          <cell r="AY160">
            <v>0</v>
          </cell>
          <cell r="AZ160">
            <v>0</v>
          </cell>
          <cell r="BA160">
            <v>0</v>
          </cell>
          <cell r="BB160">
            <v>0</v>
          </cell>
          <cell r="BC160">
            <v>0</v>
          </cell>
          <cell r="BD160">
            <v>0</v>
          </cell>
          <cell r="BE160">
            <v>0</v>
          </cell>
          <cell r="BF160">
            <v>0</v>
          </cell>
          <cell r="BG160">
            <v>0</v>
          </cell>
          <cell r="BH160">
            <v>0</v>
          </cell>
          <cell r="BJ160">
            <v>0</v>
          </cell>
          <cell r="BL160">
            <v>0</v>
          </cell>
          <cell r="BM160">
            <v>0</v>
          </cell>
          <cell r="BN160">
            <v>0</v>
          </cell>
          <cell r="BO160">
            <v>0</v>
          </cell>
          <cell r="BQ160">
            <v>0</v>
          </cell>
          <cell r="BR160">
            <v>0</v>
          </cell>
          <cell r="BS160">
            <v>0</v>
          </cell>
          <cell r="BT160">
            <v>0</v>
          </cell>
          <cell r="CB160">
            <v>0</v>
          </cell>
          <cell r="CC160">
            <v>0</v>
          </cell>
          <cell r="CD160">
            <v>0</v>
          </cell>
          <cell r="CE160">
            <v>0</v>
          </cell>
          <cell r="CF160">
            <v>0</v>
          </cell>
          <cell r="CI160">
            <v>0</v>
          </cell>
          <cell r="CJ160">
            <v>0</v>
          </cell>
          <cell r="CK160">
            <v>0</v>
          </cell>
          <cell r="CV160">
            <v>2.6079346093567862E-2</v>
          </cell>
          <cell r="DG160">
            <v>1134540199</v>
          </cell>
          <cell r="DR160">
            <v>379271646.59000385</v>
          </cell>
          <cell r="EC160">
            <v>2.9913657116226471</v>
          </cell>
          <cell r="EN160">
            <v>2.4095909012463064E-2</v>
          </cell>
        </row>
        <row r="161">
          <cell r="B161">
            <v>34105</v>
          </cell>
          <cell r="C161" t="str">
            <v>Guilford Technical Community College</v>
          </cell>
          <cell r="D161">
            <v>2.1879300458095808E-3</v>
          </cell>
          <cell r="E161">
            <v>3785629.1367114261</v>
          </cell>
          <cell r="F161">
            <v>2951741.8549563186</v>
          </cell>
          <cell r="G161">
            <v>-618986</v>
          </cell>
          <cell r="H161">
            <v>-1056325.0450317003</v>
          </cell>
          <cell r="I161">
            <v>-43712.723435389555</v>
          </cell>
          <cell r="J161">
            <v>3194541.3768472364</v>
          </cell>
          <cell r="K161">
            <v>0</v>
          </cell>
          <cell r="L161">
            <v>-167846.50715455902</v>
          </cell>
          <cell r="M161">
            <v>30121.258455206724</v>
          </cell>
          <cell r="N161">
            <v>1135.4919351742562</v>
          </cell>
          <cell r="O161">
            <v>-512.43509602906192</v>
          </cell>
          <cell r="P161">
            <v>0</v>
          </cell>
          <cell r="Q161">
            <v>0</v>
          </cell>
          <cell r="R161">
            <v>0</v>
          </cell>
          <cell r="S161">
            <v>8075786.4081876837</v>
          </cell>
          <cell r="T161">
            <v>88477.240000000224</v>
          </cell>
          <cell r="U161">
            <v>15972706.884236181</v>
          </cell>
          <cell r="V161">
            <v>120485.03382082689</v>
          </cell>
          <cell r="W161">
            <v>0</v>
          </cell>
          <cell r="X161">
            <v>16181669.158057008</v>
          </cell>
          <cell r="Y161">
            <v>3183409</v>
          </cell>
          <cell r="Z161">
            <v>0</v>
          </cell>
          <cell r="AA161">
            <v>0</v>
          </cell>
          <cell r="AB161">
            <v>218563.61717694777</v>
          </cell>
          <cell r="AC161">
            <v>3401972.6171769476</v>
          </cell>
          <cell r="AD161" t="str">
            <v>N/A</v>
          </cell>
          <cell r="AE161">
            <v>2561963</v>
          </cell>
          <cell r="AF161">
            <v>2561964</v>
          </cell>
          <cell r="AG161">
            <v>2561964</v>
          </cell>
          <cell r="AH161">
            <v>2561964</v>
          </cell>
          <cell r="AI161">
            <v>2531843</v>
          </cell>
          <cell r="AJ161">
            <v>0</v>
          </cell>
          <cell r="AK161">
            <v>12779698</v>
          </cell>
          <cell r="AL161">
            <v>76359803</v>
          </cell>
          <cell r="AM161">
            <v>8075786.4081876837</v>
          </cell>
          <cell r="AN161">
            <v>-2032892.2400000002</v>
          </cell>
          <cell r="AO161">
            <v>15874628.300880061</v>
          </cell>
          <cell r="AP161">
            <v>0</v>
          </cell>
          <cell r="AQ161">
            <v>-3094931.76</v>
          </cell>
          <cell r="AR161">
            <v>0</v>
          </cell>
          <cell r="AS161">
            <v>0</v>
          </cell>
          <cell r="AT161">
            <v>95182393.709067747</v>
          </cell>
          <cell r="AU161">
            <v>2.3031509821002847E-3</v>
          </cell>
          <cell r="AV161">
            <v>0</v>
          </cell>
          <cell r="AW161">
            <v>0</v>
          </cell>
          <cell r="AY161">
            <v>0</v>
          </cell>
          <cell r="AZ161">
            <v>0</v>
          </cell>
          <cell r="BA161">
            <v>0</v>
          </cell>
          <cell r="BB161">
            <v>0</v>
          </cell>
          <cell r="BC161">
            <v>0</v>
          </cell>
          <cell r="BD161">
            <v>0</v>
          </cell>
          <cell r="BE161">
            <v>0</v>
          </cell>
          <cell r="BF161">
            <v>0</v>
          </cell>
          <cell r="BG161">
            <v>0</v>
          </cell>
          <cell r="BH161">
            <v>0</v>
          </cell>
          <cell r="BJ161">
            <v>0</v>
          </cell>
          <cell r="BL161">
            <v>0</v>
          </cell>
          <cell r="BM161">
            <v>0</v>
          </cell>
          <cell r="BN161">
            <v>0</v>
          </cell>
          <cell r="BO161">
            <v>0</v>
          </cell>
          <cell r="BQ161">
            <v>0</v>
          </cell>
          <cell r="BR161">
            <v>0</v>
          </cell>
          <cell r="BS161">
            <v>0</v>
          </cell>
          <cell r="BT161">
            <v>0</v>
          </cell>
          <cell r="CB161">
            <v>0</v>
          </cell>
          <cell r="CC161">
            <v>0</v>
          </cell>
          <cell r="CD161">
            <v>0</v>
          </cell>
          <cell r="CE161">
            <v>0</v>
          </cell>
          <cell r="CF161">
            <v>0</v>
          </cell>
          <cell r="CI161">
            <v>0</v>
          </cell>
          <cell r="CJ161">
            <v>0</v>
          </cell>
          <cell r="CK161">
            <v>0</v>
          </cell>
          <cell r="CV161">
            <v>2.1879300458095808E-3</v>
          </cell>
          <cell r="DG161">
            <v>95182394</v>
          </cell>
          <cell r="DR161">
            <v>35328585.719999991</v>
          </cell>
          <cell r="EC161">
            <v>2.6942033500683262</v>
          </cell>
          <cell r="EN161">
            <v>2.4095909012463064E-2</v>
          </cell>
        </row>
        <row r="162">
          <cell r="B162">
            <v>34200</v>
          </cell>
          <cell r="C162" t="str">
            <v>Halifax County Schools</v>
          </cell>
          <cell r="D162">
            <v>1.0017279265030735E-3</v>
          </cell>
          <cell r="E162">
            <v>1733222.8847492118</v>
          </cell>
          <cell r="F162">
            <v>1351433.6318022611</v>
          </cell>
          <cell r="G162">
            <v>-931635</v>
          </cell>
          <cell r="H162">
            <v>-483630.77197074314</v>
          </cell>
          <cell r="I162">
            <v>-20013.553857720573</v>
          </cell>
          <cell r="J162">
            <v>1462597.6345479386</v>
          </cell>
          <cell r="K162">
            <v>0</v>
          </cell>
          <cell r="L162">
            <v>-76847.307757732982</v>
          </cell>
          <cell r="M162">
            <v>13790.800045818025</v>
          </cell>
          <cell r="N162">
            <v>519.87675929656507</v>
          </cell>
          <cell r="O162">
            <v>-234.61469766628483</v>
          </cell>
          <cell r="P162">
            <v>0</v>
          </cell>
          <cell r="Q162">
            <v>0</v>
          </cell>
          <cell r="R162">
            <v>0</v>
          </cell>
          <cell r="S162">
            <v>3049203.5796206635</v>
          </cell>
          <cell r="T162">
            <v>10833.380000000005</v>
          </cell>
          <cell r="U162">
            <v>7312988.172739693</v>
          </cell>
          <cell r="V162">
            <v>55163.2001832721</v>
          </cell>
          <cell r="W162">
            <v>0</v>
          </cell>
          <cell r="X162">
            <v>7378984.7529229652</v>
          </cell>
          <cell r="Y162">
            <v>4669012</v>
          </cell>
          <cell r="Z162">
            <v>0</v>
          </cell>
          <cell r="AA162">
            <v>0</v>
          </cell>
          <cell r="AB162">
            <v>100067.76928860285</v>
          </cell>
          <cell r="AC162">
            <v>4769079.7692886032</v>
          </cell>
          <cell r="AD162" t="str">
            <v>N/A</v>
          </cell>
          <cell r="AE162">
            <v>524740</v>
          </cell>
          <cell r="AF162">
            <v>524739</v>
          </cell>
          <cell r="AG162">
            <v>524739</v>
          </cell>
          <cell r="AH162">
            <v>524739</v>
          </cell>
          <cell r="AI162">
            <v>510948</v>
          </cell>
          <cell r="AJ162">
            <v>0</v>
          </cell>
          <cell r="AK162">
            <v>2609905</v>
          </cell>
          <cell r="AL162">
            <v>38814596</v>
          </cell>
          <cell r="AM162">
            <v>3049203.5796206635</v>
          </cell>
          <cell r="AN162">
            <v>-895134.38</v>
          </cell>
          <cell r="AO162">
            <v>7268083.6036343621</v>
          </cell>
          <cell r="AP162">
            <v>0</v>
          </cell>
          <cell r="AQ162">
            <v>-4658178.62</v>
          </cell>
          <cell r="AR162">
            <v>0</v>
          </cell>
          <cell r="AS162">
            <v>0</v>
          </cell>
          <cell r="AT162">
            <v>43578570.183255032</v>
          </cell>
          <cell r="AU162">
            <v>1.1707190288918895E-3</v>
          </cell>
          <cell r="AV162">
            <v>0</v>
          </cell>
          <cell r="AW162">
            <v>0</v>
          </cell>
          <cell r="AY162">
            <v>0</v>
          </cell>
          <cell r="AZ162">
            <v>0</v>
          </cell>
          <cell r="BA162">
            <v>0</v>
          </cell>
          <cell r="BB162">
            <v>0</v>
          </cell>
          <cell r="BC162">
            <v>0</v>
          </cell>
          <cell r="BD162">
            <v>0</v>
          </cell>
          <cell r="BE162">
            <v>0</v>
          </cell>
          <cell r="BF162">
            <v>0</v>
          </cell>
          <cell r="BG162">
            <v>0</v>
          </cell>
          <cell r="BH162">
            <v>0</v>
          </cell>
          <cell r="BJ162">
            <v>0</v>
          </cell>
          <cell r="BL162">
            <v>0</v>
          </cell>
          <cell r="BM162">
            <v>0</v>
          </cell>
          <cell r="BN162">
            <v>0</v>
          </cell>
          <cell r="BO162">
            <v>0</v>
          </cell>
          <cell r="BQ162">
            <v>0</v>
          </cell>
          <cell r="BR162">
            <v>0</v>
          </cell>
          <cell r="BS162">
            <v>0</v>
          </cell>
          <cell r="BT162">
            <v>0</v>
          </cell>
          <cell r="CB162">
            <v>0</v>
          </cell>
          <cell r="CC162">
            <v>0</v>
          </cell>
          <cell r="CD162">
            <v>0</v>
          </cell>
          <cell r="CE162">
            <v>0</v>
          </cell>
          <cell r="CF162">
            <v>0</v>
          </cell>
          <cell r="CI162">
            <v>0</v>
          </cell>
          <cell r="CJ162">
            <v>0</v>
          </cell>
          <cell r="CK162">
            <v>0</v>
          </cell>
          <cell r="CV162">
            <v>1.0017279265030735E-3</v>
          </cell>
          <cell r="DG162">
            <v>43578570</v>
          </cell>
          <cell r="DR162">
            <v>16579502.449999988</v>
          </cell>
          <cell r="EC162">
            <v>2.6284606628831635</v>
          </cell>
          <cell r="EN162">
            <v>2.4095909012463064E-2</v>
          </cell>
        </row>
        <row r="163">
          <cell r="B163">
            <v>34205</v>
          </cell>
          <cell r="C163" t="str">
            <v>Halifax Community College</v>
          </cell>
          <cell r="D163">
            <v>4.0870677652817434E-4</v>
          </cell>
          <cell r="E163">
            <v>707158.02114411793</v>
          </cell>
          <cell r="F163">
            <v>551387.32657062553</v>
          </cell>
          <cell r="G163">
            <v>-90396</v>
          </cell>
          <cell r="H163">
            <v>-197322.21555609041</v>
          </cell>
          <cell r="I163">
            <v>-8165.5655868718422</v>
          </cell>
          <cell r="J163">
            <v>596742.43750055484</v>
          </cell>
          <cell r="K163">
            <v>0</v>
          </cell>
          <cell r="L163">
            <v>-31353.838310342093</v>
          </cell>
          <cell r="M163">
            <v>5626.6709585974495</v>
          </cell>
          <cell r="N163">
            <v>212.11064288259192</v>
          </cell>
          <cell r="O163">
            <v>-95.723214130663706</v>
          </cell>
          <cell r="P163">
            <v>0</v>
          </cell>
          <cell r="Q163">
            <v>0</v>
          </cell>
          <cell r="R163">
            <v>0</v>
          </cell>
          <cell r="S163">
            <v>1533793.2241493433</v>
          </cell>
          <cell r="T163">
            <v>31915.049999999988</v>
          </cell>
          <cell r="U163">
            <v>2983712.1875027739</v>
          </cell>
          <cell r="V163">
            <v>22506.683834389798</v>
          </cell>
          <cell r="W163">
            <v>0</v>
          </cell>
          <cell r="X163">
            <v>3038133.9213371635</v>
          </cell>
          <cell r="Y163">
            <v>483893</v>
          </cell>
          <cell r="Z163">
            <v>0</v>
          </cell>
          <cell r="AA163">
            <v>0</v>
          </cell>
          <cell r="AB163">
            <v>40827.827934359215</v>
          </cell>
          <cell r="AC163">
            <v>524720.8279343592</v>
          </cell>
          <cell r="AD163" t="str">
            <v>N/A</v>
          </cell>
          <cell r="AE163">
            <v>503808</v>
          </cell>
          <cell r="AF163">
            <v>503808</v>
          </cell>
          <cell r="AG163">
            <v>503808</v>
          </cell>
          <cell r="AH163">
            <v>503808</v>
          </cell>
          <cell r="AI163">
            <v>498181</v>
          </cell>
          <cell r="AJ163">
            <v>0</v>
          </cell>
          <cell r="AK163">
            <v>2513413</v>
          </cell>
          <cell r="AL163">
            <v>14131138</v>
          </cell>
          <cell r="AM163">
            <v>1533793.2241493433</v>
          </cell>
          <cell r="AN163">
            <v>-398210.05</v>
          </cell>
          <cell r="AO163">
            <v>2965391.043402805</v>
          </cell>
          <cell r="AP163">
            <v>0</v>
          </cell>
          <cell r="AQ163">
            <v>-451977.95</v>
          </cell>
          <cell r="AR163">
            <v>0</v>
          </cell>
          <cell r="AS163">
            <v>0</v>
          </cell>
          <cell r="AT163">
            <v>17780134.267552149</v>
          </cell>
          <cell r="AU163">
            <v>4.2622090937176506E-4</v>
          </cell>
          <cell r="AV163">
            <v>0</v>
          </cell>
          <cell r="AW163">
            <v>0</v>
          </cell>
          <cell r="AY163">
            <v>0</v>
          </cell>
          <cell r="AZ163">
            <v>0</v>
          </cell>
          <cell r="BA163">
            <v>0</v>
          </cell>
          <cell r="BB163">
            <v>0</v>
          </cell>
          <cell r="BC163">
            <v>0</v>
          </cell>
          <cell r="BD163">
            <v>0</v>
          </cell>
          <cell r="BE163">
            <v>0</v>
          </cell>
          <cell r="BF163">
            <v>0</v>
          </cell>
          <cell r="BG163">
            <v>0</v>
          </cell>
          <cell r="BH163">
            <v>0</v>
          </cell>
          <cell r="BJ163">
            <v>0</v>
          </cell>
          <cell r="BL163">
            <v>0</v>
          </cell>
          <cell r="BM163">
            <v>0</v>
          </cell>
          <cell r="BN163">
            <v>0</v>
          </cell>
          <cell r="BO163">
            <v>0</v>
          </cell>
          <cell r="BQ163">
            <v>0</v>
          </cell>
          <cell r="BR163">
            <v>0</v>
          </cell>
          <cell r="BS163">
            <v>0</v>
          </cell>
          <cell r="BT163">
            <v>0</v>
          </cell>
          <cell r="CB163">
            <v>0</v>
          </cell>
          <cell r="CC163">
            <v>0</v>
          </cell>
          <cell r="CD163">
            <v>0</v>
          </cell>
          <cell r="CE163">
            <v>0</v>
          </cell>
          <cell r="CF163">
            <v>0</v>
          </cell>
          <cell r="CI163">
            <v>0</v>
          </cell>
          <cell r="CJ163">
            <v>0</v>
          </cell>
          <cell r="CK163">
            <v>0</v>
          </cell>
          <cell r="CV163">
            <v>4.0870677652817434E-4</v>
          </cell>
          <cell r="DG163">
            <v>17780134</v>
          </cell>
          <cell r="DR163">
            <v>7032339.1499999976</v>
          </cell>
          <cell r="EC163">
            <v>2.528338525880113</v>
          </cell>
          <cell r="EN163">
            <v>2.4095909012463064E-2</v>
          </cell>
        </row>
        <row r="164">
          <cell r="B164">
            <v>34220</v>
          </cell>
          <cell r="C164" t="str">
            <v>Roanoke Rapids City Schools</v>
          </cell>
          <cell r="D164">
            <v>9.1141766955882503E-4</v>
          </cell>
          <cell r="E164">
            <v>1576965.0826833607</v>
          </cell>
          <cell r="F164">
            <v>1229595.8400205956</v>
          </cell>
          <cell r="G164">
            <v>-122229</v>
          </cell>
          <cell r="H164">
            <v>-440029.29283928452</v>
          </cell>
          <cell r="I164">
            <v>-18209.242384077381</v>
          </cell>
          <cell r="J164">
            <v>1330737.910278118</v>
          </cell>
          <cell r="K164">
            <v>0</v>
          </cell>
          <cell r="L164">
            <v>-69919.178946048793</v>
          </cell>
          <cell r="M164">
            <v>12547.497685313496</v>
          </cell>
          <cell r="N164">
            <v>473.00754214763901</v>
          </cell>
          <cell r="O164">
            <v>-213.46313238737241</v>
          </cell>
          <cell r="P164">
            <v>0</v>
          </cell>
          <cell r="Q164">
            <v>0</v>
          </cell>
          <cell r="R164">
            <v>0</v>
          </cell>
          <cell r="S164">
            <v>3499719.1609077374</v>
          </cell>
          <cell r="T164">
            <v>61156.439999999944</v>
          </cell>
          <cell r="U164">
            <v>6653689.5513905901</v>
          </cell>
          <cell r="V164">
            <v>50189.990741253983</v>
          </cell>
          <cell r="W164">
            <v>0</v>
          </cell>
          <cell r="X164">
            <v>6765035.9821318435</v>
          </cell>
          <cell r="Y164">
            <v>672300</v>
          </cell>
          <cell r="Z164">
            <v>0</v>
          </cell>
          <cell r="AA164">
            <v>0</v>
          </cell>
          <cell r="AB164">
            <v>91046.211920386893</v>
          </cell>
          <cell r="AC164">
            <v>763346.21192038688</v>
          </cell>
          <cell r="AD164" t="str">
            <v>N/A</v>
          </cell>
          <cell r="AE164">
            <v>1202847</v>
          </cell>
          <cell r="AF164">
            <v>1202847</v>
          </cell>
          <cell r="AG164">
            <v>1202847</v>
          </cell>
          <cell r="AH164">
            <v>1202847</v>
          </cell>
          <cell r="AI164">
            <v>1190300</v>
          </cell>
          <cell r="AJ164">
            <v>0</v>
          </cell>
          <cell r="AK164">
            <v>6001688</v>
          </cell>
          <cell r="AL164">
            <v>31024351</v>
          </cell>
          <cell r="AM164">
            <v>3499719.1609077374</v>
          </cell>
          <cell r="AN164">
            <v>-875993.44</v>
          </cell>
          <cell r="AO164">
            <v>6612833.3302114578</v>
          </cell>
          <cell r="AP164">
            <v>0</v>
          </cell>
          <cell r="AQ164">
            <v>-611143.56000000006</v>
          </cell>
          <cell r="AR164">
            <v>0</v>
          </cell>
          <cell r="AS164">
            <v>0</v>
          </cell>
          <cell r="AT164">
            <v>39649766.491119199</v>
          </cell>
          <cell r="AU164">
            <v>9.3575101871192694E-4</v>
          </cell>
          <cell r="AV164">
            <v>0</v>
          </cell>
          <cell r="AW164">
            <v>0</v>
          </cell>
          <cell r="AY164">
            <v>0</v>
          </cell>
          <cell r="AZ164">
            <v>0</v>
          </cell>
          <cell r="BA164">
            <v>0</v>
          </cell>
          <cell r="BB164">
            <v>0</v>
          </cell>
          <cell r="BC164">
            <v>0</v>
          </cell>
          <cell r="BD164">
            <v>0</v>
          </cell>
          <cell r="BE164">
            <v>0</v>
          </cell>
          <cell r="BF164">
            <v>0</v>
          </cell>
          <cell r="BG164">
            <v>0</v>
          </cell>
          <cell r="BH164">
            <v>0</v>
          </cell>
          <cell r="BJ164">
            <v>0</v>
          </cell>
          <cell r="BL164">
            <v>0</v>
          </cell>
          <cell r="BM164">
            <v>0</v>
          </cell>
          <cell r="BN164">
            <v>0</v>
          </cell>
          <cell r="BO164">
            <v>0</v>
          </cell>
          <cell r="BQ164">
            <v>0</v>
          </cell>
          <cell r="BR164">
            <v>0</v>
          </cell>
          <cell r="BS164">
            <v>0</v>
          </cell>
          <cell r="BT164">
            <v>0</v>
          </cell>
          <cell r="CB164">
            <v>0</v>
          </cell>
          <cell r="CC164">
            <v>0</v>
          </cell>
          <cell r="CD164">
            <v>0</v>
          </cell>
          <cell r="CE164">
            <v>0</v>
          </cell>
          <cell r="CF164">
            <v>0</v>
          </cell>
          <cell r="CI164">
            <v>0</v>
          </cell>
          <cell r="CJ164">
            <v>0</v>
          </cell>
          <cell r="CK164">
            <v>0</v>
          </cell>
          <cell r="CV164">
            <v>9.1141766955882503E-4</v>
          </cell>
          <cell r="DG164">
            <v>39649767</v>
          </cell>
          <cell r="DR164">
            <v>15110977.050000003</v>
          </cell>
          <cell r="EC164">
            <v>2.6239049181799925</v>
          </cell>
          <cell r="EN164">
            <v>2.4095909012463064E-2</v>
          </cell>
        </row>
        <row r="165">
          <cell r="B165">
            <v>34230</v>
          </cell>
          <cell r="C165" t="str">
            <v>Weldon City Schools</v>
          </cell>
          <cell r="D165">
            <v>4.2912639671802925E-4</v>
          </cell>
          <cell r="E165">
            <v>742488.72529498697</v>
          </cell>
          <cell r="F165">
            <v>578935.48684757052</v>
          </cell>
          <cell r="G165">
            <v>-31160</v>
          </cell>
          <cell r="H165">
            <v>-207180.73743063115</v>
          </cell>
          <cell r="I165">
            <v>-8573.5298230796525</v>
          </cell>
          <cell r="J165">
            <v>626556.60899151757</v>
          </cell>
          <cell r="K165">
            <v>0</v>
          </cell>
          <cell r="L165">
            <v>-32920.324374580799</v>
          </cell>
          <cell r="M165">
            <v>5907.7881078745831</v>
          </cell>
          <cell r="N165">
            <v>222.70801736872281</v>
          </cell>
          <cell r="O165">
            <v>-100.50569337532963</v>
          </cell>
          <cell r="P165">
            <v>0</v>
          </cell>
          <cell r="Q165">
            <v>0</v>
          </cell>
          <cell r="R165">
            <v>0</v>
          </cell>
          <cell r="S165">
            <v>1674176.2199376514</v>
          </cell>
          <cell r="T165">
            <v>4594.6300000000047</v>
          </cell>
          <cell r="U165">
            <v>3132783.0449575875</v>
          </cell>
          <cell r="V165">
            <v>23631.152431498333</v>
          </cell>
          <cell r="W165">
            <v>0</v>
          </cell>
          <cell r="X165">
            <v>3161008.8273890857</v>
          </cell>
          <cell r="Y165">
            <v>160392</v>
          </cell>
          <cell r="Z165">
            <v>0</v>
          </cell>
          <cell r="AA165">
            <v>0</v>
          </cell>
          <cell r="AB165">
            <v>42867.649115398264</v>
          </cell>
          <cell r="AC165">
            <v>203259.64911539826</v>
          </cell>
          <cell r="AD165" t="str">
            <v>N/A</v>
          </cell>
          <cell r="AE165">
            <v>592732</v>
          </cell>
          <cell r="AF165">
            <v>592731</v>
          </cell>
          <cell r="AG165">
            <v>592731</v>
          </cell>
          <cell r="AH165">
            <v>592731</v>
          </cell>
          <cell r="AI165">
            <v>586823</v>
          </cell>
          <cell r="AJ165">
            <v>0</v>
          </cell>
          <cell r="AK165">
            <v>2957748</v>
          </cell>
          <cell r="AL165">
            <v>14419939</v>
          </cell>
          <cell r="AM165">
            <v>1674176.2199376514</v>
          </cell>
          <cell r="AN165">
            <v>-383407.63</v>
          </cell>
          <cell r="AO165">
            <v>3113546.5482736882</v>
          </cell>
          <cell r="AP165">
            <v>0</v>
          </cell>
          <cell r="AQ165">
            <v>-155797.37</v>
          </cell>
          <cell r="AR165">
            <v>0</v>
          </cell>
          <cell r="AS165">
            <v>0</v>
          </cell>
          <cell r="AT165">
            <v>18668456.768211339</v>
          </cell>
          <cell r="AU165">
            <v>4.3493167610547304E-4</v>
          </cell>
          <cell r="AV165">
            <v>0</v>
          </cell>
          <cell r="AW165">
            <v>0</v>
          </cell>
          <cell r="AY165">
            <v>0</v>
          </cell>
          <cell r="AZ165">
            <v>0</v>
          </cell>
          <cell r="BA165">
            <v>0</v>
          </cell>
          <cell r="BB165">
            <v>0</v>
          </cell>
          <cell r="BC165">
            <v>0</v>
          </cell>
          <cell r="BD165">
            <v>0</v>
          </cell>
          <cell r="BE165">
            <v>0</v>
          </cell>
          <cell r="BF165">
            <v>0</v>
          </cell>
          <cell r="BG165">
            <v>0</v>
          </cell>
          <cell r="BH165">
            <v>0</v>
          </cell>
          <cell r="BJ165">
            <v>0</v>
          </cell>
          <cell r="BL165">
            <v>0</v>
          </cell>
          <cell r="BM165">
            <v>0</v>
          </cell>
          <cell r="BN165">
            <v>0</v>
          </cell>
          <cell r="BO165">
            <v>0</v>
          </cell>
          <cell r="BQ165">
            <v>0</v>
          </cell>
          <cell r="BR165">
            <v>0</v>
          </cell>
          <cell r="BS165">
            <v>0</v>
          </cell>
          <cell r="BT165">
            <v>0</v>
          </cell>
          <cell r="CB165">
            <v>0</v>
          </cell>
          <cell r="CC165">
            <v>0</v>
          </cell>
          <cell r="CD165">
            <v>0</v>
          </cell>
          <cell r="CE165">
            <v>0</v>
          </cell>
          <cell r="CF165">
            <v>0</v>
          </cell>
          <cell r="CI165">
            <v>0</v>
          </cell>
          <cell r="CJ165">
            <v>0</v>
          </cell>
          <cell r="CK165">
            <v>0</v>
          </cell>
          <cell r="CV165">
            <v>4.2912639671802925E-4</v>
          </cell>
          <cell r="DG165">
            <v>18668457</v>
          </cell>
          <cell r="DR165">
            <v>6807248.9900000021</v>
          </cell>
          <cell r="EC165">
            <v>2.742437808198932</v>
          </cell>
          <cell r="EN165">
            <v>2.4095909012463064E-2</v>
          </cell>
        </row>
        <row r="166">
          <cell r="B166">
            <v>34300</v>
          </cell>
          <cell r="C166" t="str">
            <v>Harnett County Schools</v>
          </cell>
          <cell r="D166">
            <v>6.1604554914126784E-3</v>
          </cell>
          <cell r="E166">
            <v>10659024.427390411</v>
          </cell>
          <cell r="F166">
            <v>8311085.7929051407</v>
          </cell>
          <cell r="G166">
            <v>-539295</v>
          </cell>
          <cell r="H166">
            <v>-2974246.5655360525</v>
          </cell>
          <cell r="I166">
            <v>-123079.93468434046</v>
          </cell>
          <cell r="J166">
            <v>8994725.4050627649</v>
          </cell>
          <cell r="K166">
            <v>0</v>
          </cell>
          <cell r="L166">
            <v>-472597.80480419076</v>
          </cell>
          <cell r="M166">
            <v>84811.06259043004</v>
          </cell>
          <cell r="N166">
            <v>3197.1531909333517</v>
          </cell>
          <cell r="O166">
            <v>-1442.8402806437634</v>
          </cell>
          <cell r="P166">
            <v>0</v>
          </cell>
          <cell r="Q166">
            <v>0</v>
          </cell>
          <cell r="R166">
            <v>0</v>
          </cell>
          <cell r="S166">
            <v>23942181.695834454</v>
          </cell>
          <cell r="T166">
            <v>0</v>
          </cell>
          <cell r="U166">
            <v>44973627.025313824</v>
          </cell>
          <cell r="V166">
            <v>339244.25036172016</v>
          </cell>
          <cell r="W166">
            <v>0</v>
          </cell>
          <cell r="X166">
            <v>45312871.275675543</v>
          </cell>
          <cell r="Y166">
            <v>2696478.37</v>
          </cell>
          <cell r="Z166">
            <v>0</v>
          </cell>
          <cell r="AA166">
            <v>0</v>
          </cell>
          <cell r="AB166">
            <v>615399.67342170235</v>
          </cell>
          <cell r="AC166">
            <v>3311878.0434217025</v>
          </cell>
          <cell r="AD166" t="str">
            <v>N/A</v>
          </cell>
          <cell r="AE166">
            <v>8417162</v>
          </cell>
          <cell r="AF166">
            <v>8417161</v>
          </cell>
          <cell r="AG166">
            <v>8417161</v>
          </cell>
          <cell r="AH166">
            <v>8417161</v>
          </cell>
          <cell r="AI166">
            <v>8332349</v>
          </cell>
          <cell r="AJ166">
            <v>0</v>
          </cell>
          <cell r="AK166">
            <v>42000994</v>
          </cell>
          <cell r="AL166">
            <v>207203370</v>
          </cell>
          <cell r="AM166">
            <v>23942181.695834454</v>
          </cell>
          <cell r="AN166">
            <v>-5145791.63</v>
          </cell>
          <cell r="AO166">
            <v>44697471.602253847</v>
          </cell>
          <cell r="AP166">
            <v>0</v>
          </cell>
          <cell r="AQ166">
            <v>-2696478.37</v>
          </cell>
          <cell r="AR166">
            <v>0</v>
          </cell>
          <cell r="AS166">
            <v>0</v>
          </cell>
          <cell r="AT166">
            <v>268000753.29808831</v>
          </cell>
          <cell r="AU166">
            <v>6.2496316588030757E-3</v>
          </cell>
          <cell r="AV166">
            <v>0</v>
          </cell>
          <cell r="AW166">
            <v>0</v>
          </cell>
          <cell r="AY166">
            <v>0</v>
          </cell>
          <cell r="AZ166">
            <v>0</v>
          </cell>
          <cell r="BA166">
            <v>0</v>
          </cell>
          <cell r="BB166">
            <v>0</v>
          </cell>
          <cell r="BC166">
            <v>0</v>
          </cell>
          <cell r="BD166">
            <v>0</v>
          </cell>
          <cell r="BE166">
            <v>0</v>
          </cell>
          <cell r="BF166">
            <v>0</v>
          </cell>
          <cell r="BG166">
            <v>0</v>
          </cell>
          <cell r="BH166">
            <v>0</v>
          </cell>
          <cell r="BJ166">
            <v>0</v>
          </cell>
          <cell r="BL166">
            <v>0</v>
          </cell>
          <cell r="BM166">
            <v>0</v>
          </cell>
          <cell r="BN166">
            <v>0</v>
          </cell>
          <cell r="BO166">
            <v>0</v>
          </cell>
          <cell r="BQ166">
            <v>0</v>
          </cell>
          <cell r="BR166">
            <v>0</v>
          </cell>
          <cell r="BS166">
            <v>0</v>
          </cell>
          <cell r="BT166">
            <v>0</v>
          </cell>
          <cell r="CB166">
            <v>0</v>
          </cell>
          <cell r="CC166">
            <v>0</v>
          </cell>
          <cell r="CD166">
            <v>0</v>
          </cell>
          <cell r="CE166">
            <v>0</v>
          </cell>
          <cell r="CF166">
            <v>0</v>
          </cell>
          <cell r="CI166">
            <v>0</v>
          </cell>
          <cell r="CJ166">
            <v>0</v>
          </cell>
          <cell r="CK166">
            <v>0</v>
          </cell>
          <cell r="CV166">
            <v>6.1604554914126784E-3</v>
          </cell>
          <cell r="DG166">
            <v>268000753</v>
          </cell>
          <cell r="DR166">
            <v>88020095.33999981</v>
          </cell>
          <cell r="EC166">
            <v>3.0447678108593217</v>
          </cell>
          <cell r="EN166">
            <v>2.4095909012463064E-2</v>
          </cell>
        </row>
        <row r="167">
          <cell r="B167">
            <v>34400</v>
          </cell>
          <cell r="C167" t="str">
            <v>Haywood County Schools</v>
          </cell>
          <cell r="D167">
            <v>2.6150590035770769E-3</v>
          </cell>
          <cell r="E167">
            <v>4524661.8268811479</v>
          </cell>
          <cell r="F167">
            <v>3527982.5919583444</v>
          </cell>
          <cell r="G167">
            <v>10604</v>
          </cell>
          <cell r="H167">
            <v>-1262541.4258580557</v>
          </cell>
          <cell r="I167">
            <v>-52246.346362638164</v>
          </cell>
          <cell r="J167">
            <v>3818181.575696928</v>
          </cell>
          <cell r="K167">
            <v>0</v>
          </cell>
          <cell r="L167">
            <v>-200613.59849879518</v>
          </cell>
          <cell r="M167">
            <v>36001.547797756182</v>
          </cell>
          <cell r="N167">
            <v>1357.1633216764315</v>
          </cell>
          <cell r="O167">
            <v>-612.47296922778719</v>
          </cell>
          <cell r="P167">
            <v>0</v>
          </cell>
          <cell r="Q167">
            <v>0</v>
          </cell>
          <cell r="R167">
            <v>0</v>
          </cell>
          <cell r="S167">
            <v>10402774.861967133</v>
          </cell>
          <cell r="T167">
            <v>137906</v>
          </cell>
          <cell r="U167">
            <v>19090907.87848464</v>
          </cell>
          <cell r="V167">
            <v>144006.19119102473</v>
          </cell>
          <cell r="W167">
            <v>0</v>
          </cell>
          <cell r="X167">
            <v>19372820.069675665</v>
          </cell>
          <cell r="Y167">
            <v>84885.049999999814</v>
          </cell>
          <cell r="Z167">
            <v>0</v>
          </cell>
          <cell r="AA167">
            <v>0</v>
          </cell>
          <cell r="AB167">
            <v>261231.7318131908</v>
          </cell>
          <cell r="AC167">
            <v>346116.78181319061</v>
          </cell>
          <cell r="AD167" t="str">
            <v>N/A</v>
          </cell>
          <cell r="AE167">
            <v>3812541</v>
          </cell>
          <cell r="AF167">
            <v>3812541</v>
          </cell>
          <cell r="AG167">
            <v>3812541</v>
          </cell>
          <cell r="AH167">
            <v>3812541</v>
          </cell>
          <cell r="AI167">
            <v>3776539</v>
          </cell>
          <cell r="AJ167">
            <v>0</v>
          </cell>
          <cell r="AK167">
            <v>19026703</v>
          </cell>
          <cell r="AL167">
            <v>86535469</v>
          </cell>
          <cell r="AM167">
            <v>10402774.861967133</v>
          </cell>
          <cell r="AN167">
            <v>-2200991.9500000002</v>
          </cell>
          <cell r="AO167">
            <v>18973682.337862477</v>
          </cell>
          <cell r="AP167">
            <v>0</v>
          </cell>
          <cell r="AQ167">
            <v>53020.950000000186</v>
          </cell>
          <cell r="AR167">
            <v>0</v>
          </cell>
          <cell r="AS167">
            <v>0</v>
          </cell>
          <cell r="AT167">
            <v>113763955.19982961</v>
          </cell>
          <cell r="AU167">
            <v>2.6100676176731594E-3</v>
          </cell>
          <cell r="AV167">
            <v>0</v>
          </cell>
          <cell r="AW167">
            <v>0</v>
          </cell>
          <cell r="AY167">
            <v>0</v>
          </cell>
          <cell r="AZ167">
            <v>0</v>
          </cell>
          <cell r="BA167">
            <v>0</v>
          </cell>
          <cell r="BB167">
            <v>0</v>
          </cell>
          <cell r="BC167">
            <v>0</v>
          </cell>
          <cell r="BD167">
            <v>0</v>
          </cell>
          <cell r="BE167">
            <v>0</v>
          </cell>
          <cell r="BF167">
            <v>0</v>
          </cell>
          <cell r="BG167">
            <v>0</v>
          </cell>
          <cell r="BH167">
            <v>0</v>
          </cell>
          <cell r="BJ167">
            <v>0</v>
          </cell>
          <cell r="BL167">
            <v>0</v>
          </cell>
          <cell r="BM167">
            <v>0</v>
          </cell>
          <cell r="BN167">
            <v>0</v>
          </cell>
          <cell r="BO167">
            <v>0</v>
          </cell>
          <cell r="BQ167">
            <v>0</v>
          </cell>
          <cell r="BR167">
            <v>0</v>
          </cell>
          <cell r="BS167">
            <v>0</v>
          </cell>
          <cell r="BT167">
            <v>0</v>
          </cell>
          <cell r="CB167">
            <v>0</v>
          </cell>
          <cell r="CC167">
            <v>0</v>
          </cell>
          <cell r="CD167">
            <v>0</v>
          </cell>
          <cell r="CE167">
            <v>0</v>
          </cell>
          <cell r="CF167">
            <v>0</v>
          </cell>
          <cell r="CI167">
            <v>0</v>
          </cell>
          <cell r="CJ167">
            <v>0</v>
          </cell>
          <cell r="CK167">
            <v>0</v>
          </cell>
          <cell r="CV167">
            <v>2.6150590035770769E-3</v>
          </cell>
          <cell r="DG167">
            <v>113763955</v>
          </cell>
          <cell r="DR167">
            <v>38324638.400000051</v>
          </cell>
          <cell r="EC167">
            <v>2.9684286597208924</v>
          </cell>
          <cell r="EN167">
            <v>2.4095909012463064E-2</v>
          </cell>
        </row>
        <row r="168">
          <cell r="B168">
            <v>34405</v>
          </cell>
          <cell r="C168" t="str">
            <v>Haywood Technical College</v>
          </cell>
          <cell r="D168">
            <v>5.4795195720686181E-4</v>
          </cell>
          <cell r="E168">
            <v>948084.65137778095</v>
          </cell>
          <cell r="F168">
            <v>739243.34541246749</v>
          </cell>
          <cell r="G168">
            <v>81268</v>
          </cell>
          <cell r="H168">
            <v>-264549.30630909302</v>
          </cell>
          <cell r="I168">
            <v>-10947.549446171181</v>
          </cell>
          <cell r="J168">
            <v>800050.8074626493</v>
          </cell>
          <cell r="K168">
            <v>0</v>
          </cell>
          <cell r="L168">
            <v>-42035.997577630325</v>
          </cell>
          <cell r="M168">
            <v>7543.6609848086146</v>
          </cell>
          <cell r="N168">
            <v>284.37610675121715</v>
          </cell>
          <cell r="O168">
            <v>-128.33582789741911</v>
          </cell>
          <cell r="P168">
            <v>0</v>
          </cell>
          <cell r="Q168">
            <v>0</v>
          </cell>
          <cell r="R168">
            <v>0</v>
          </cell>
          <cell r="S168">
            <v>2258813.6521836654</v>
          </cell>
          <cell r="T168">
            <v>416047</v>
          </cell>
          <cell r="U168">
            <v>4000254.0373132462</v>
          </cell>
          <cell r="V168">
            <v>30174.643939234458</v>
          </cell>
          <cell r="W168">
            <v>0</v>
          </cell>
          <cell r="X168">
            <v>4446475.6812524805</v>
          </cell>
          <cell r="Y168">
            <v>9709.960000000021</v>
          </cell>
          <cell r="Z168">
            <v>0</v>
          </cell>
          <cell r="AA168">
            <v>0</v>
          </cell>
          <cell r="AB168">
            <v>54737.747230855901</v>
          </cell>
          <cell r="AC168">
            <v>64447.707230855922</v>
          </cell>
          <cell r="AD168" t="str">
            <v>N/A</v>
          </cell>
          <cell r="AE168">
            <v>877914</v>
          </cell>
          <cell r="AF168">
            <v>877915</v>
          </cell>
          <cell r="AG168">
            <v>877915</v>
          </cell>
          <cell r="AH168">
            <v>877915</v>
          </cell>
          <cell r="AI168">
            <v>870371</v>
          </cell>
          <cell r="AJ168">
            <v>0</v>
          </cell>
          <cell r="AK168">
            <v>4382030</v>
          </cell>
          <cell r="AL168">
            <v>17667812</v>
          </cell>
          <cell r="AM168">
            <v>2258813.6521836654</v>
          </cell>
          <cell r="AN168">
            <v>-470881.04</v>
          </cell>
          <cell r="AO168">
            <v>3975690.9340216252</v>
          </cell>
          <cell r="AP168">
            <v>0</v>
          </cell>
          <cell r="AQ168">
            <v>406337.04</v>
          </cell>
          <cell r="AR168">
            <v>0</v>
          </cell>
          <cell r="AS168">
            <v>0</v>
          </cell>
          <cell r="AT168">
            <v>23837772.586205292</v>
          </cell>
          <cell r="AU168">
            <v>5.3289343165832496E-4</v>
          </cell>
          <cell r="AV168">
            <v>0</v>
          </cell>
          <cell r="AW168">
            <v>0</v>
          </cell>
          <cell r="AY168">
            <v>0</v>
          </cell>
          <cell r="AZ168">
            <v>0</v>
          </cell>
          <cell r="BA168">
            <v>0</v>
          </cell>
          <cell r="BB168">
            <v>0</v>
          </cell>
          <cell r="BC168">
            <v>0</v>
          </cell>
          <cell r="BD168">
            <v>0</v>
          </cell>
          <cell r="BE168">
            <v>0</v>
          </cell>
          <cell r="BF168">
            <v>0</v>
          </cell>
          <cell r="BG168">
            <v>0</v>
          </cell>
          <cell r="BH168">
            <v>0</v>
          </cell>
          <cell r="BJ168">
            <v>0</v>
          </cell>
          <cell r="BL168">
            <v>0</v>
          </cell>
          <cell r="BM168">
            <v>0</v>
          </cell>
          <cell r="BN168">
            <v>0</v>
          </cell>
          <cell r="BO168">
            <v>0</v>
          </cell>
          <cell r="BQ168">
            <v>0</v>
          </cell>
          <cell r="BR168">
            <v>0</v>
          </cell>
          <cell r="BS168">
            <v>0</v>
          </cell>
          <cell r="BT168">
            <v>0</v>
          </cell>
          <cell r="CB168">
            <v>0</v>
          </cell>
          <cell r="CC168">
            <v>0</v>
          </cell>
          <cell r="CD168">
            <v>0</v>
          </cell>
          <cell r="CE168">
            <v>0</v>
          </cell>
          <cell r="CF168">
            <v>0</v>
          </cell>
          <cell r="CI168">
            <v>0</v>
          </cell>
          <cell r="CJ168">
            <v>0</v>
          </cell>
          <cell r="CK168">
            <v>0</v>
          </cell>
          <cell r="CV168">
            <v>5.4795195720686181E-4</v>
          </cell>
          <cell r="DG168">
            <v>23837773</v>
          </cell>
          <cell r="DR168">
            <v>8141265.6999999993</v>
          </cell>
          <cell r="EC168">
            <v>2.9280180598945447</v>
          </cell>
          <cell r="EN168">
            <v>2.4095909012463064E-2</v>
          </cell>
        </row>
        <row r="169">
          <cell r="B169">
            <v>34500</v>
          </cell>
          <cell r="C169" t="str">
            <v>Henderson County Schools</v>
          </cell>
          <cell r="D169">
            <v>4.4938371957256697E-3</v>
          </cell>
          <cell r="E169">
            <v>7775386.172130499</v>
          </cell>
          <cell r="F169">
            <v>6062646.913866384</v>
          </cell>
          <cell r="G169">
            <v>299864</v>
          </cell>
          <cell r="H169">
            <v>-2169609.0271403417</v>
          </cell>
          <cell r="I169">
            <v>-89782.515157031245</v>
          </cell>
          <cell r="J169">
            <v>6561338.1424399568</v>
          </cell>
          <cell r="K169">
            <v>0</v>
          </cell>
          <cell r="L169">
            <v>-344743.59839265072</v>
          </cell>
          <cell r="M169">
            <v>61866.709078437743</v>
          </cell>
          <cell r="N169">
            <v>2332.211627837708</v>
          </cell>
          <cell r="O169">
            <v>-1052.5016096109091</v>
          </cell>
          <cell r="P169">
            <v>0</v>
          </cell>
          <cell r="Q169">
            <v>0</v>
          </cell>
          <cell r="R169">
            <v>0</v>
          </cell>
          <cell r="S169">
            <v>18158246.506843481</v>
          </cell>
          <cell r="T169">
            <v>1613282</v>
          </cell>
          <cell r="U169">
            <v>32806690.712199785</v>
          </cell>
          <cell r="V169">
            <v>247466.83631375097</v>
          </cell>
          <cell r="W169">
            <v>0</v>
          </cell>
          <cell r="X169">
            <v>34667439.548513539</v>
          </cell>
          <cell r="Y169">
            <v>113965.67000000039</v>
          </cell>
          <cell r="Z169">
            <v>0</v>
          </cell>
          <cell r="AA169">
            <v>0</v>
          </cell>
          <cell r="AB169">
            <v>448912.57578515622</v>
          </cell>
          <cell r="AC169">
            <v>562878.24578515661</v>
          </cell>
          <cell r="AD169" t="str">
            <v>N/A</v>
          </cell>
          <cell r="AE169">
            <v>6833285</v>
          </cell>
          <cell r="AF169">
            <v>6833286</v>
          </cell>
          <cell r="AG169">
            <v>6833286</v>
          </cell>
          <cell r="AH169">
            <v>6833286</v>
          </cell>
          <cell r="AI169">
            <v>6771420</v>
          </cell>
          <cell r="AJ169">
            <v>0</v>
          </cell>
          <cell r="AK169">
            <v>34104563</v>
          </cell>
          <cell r="AL169">
            <v>147054955</v>
          </cell>
          <cell r="AM169">
            <v>18158246.506843481</v>
          </cell>
          <cell r="AN169">
            <v>-3820570.3299999996</v>
          </cell>
          <cell r="AO169">
            <v>32605244.972728383</v>
          </cell>
          <cell r="AP169">
            <v>0</v>
          </cell>
          <cell r="AQ169">
            <v>1499316.3299999996</v>
          </cell>
          <cell r="AR169">
            <v>0</v>
          </cell>
          <cell r="AS169">
            <v>0</v>
          </cell>
          <cell r="AT169">
            <v>195497192.47957185</v>
          </cell>
          <cell r="AU169">
            <v>4.4354457241586528E-3</v>
          </cell>
          <cell r="AV169">
            <v>0</v>
          </cell>
          <cell r="AW169">
            <v>0</v>
          </cell>
          <cell r="AY169">
            <v>0</v>
          </cell>
          <cell r="AZ169">
            <v>0</v>
          </cell>
          <cell r="BA169">
            <v>0</v>
          </cell>
          <cell r="BB169">
            <v>0</v>
          </cell>
          <cell r="BC169">
            <v>0</v>
          </cell>
          <cell r="BD169">
            <v>0</v>
          </cell>
          <cell r="BE169">
            <v>0</v>
          </cell>
          <cell r="BF169">
            <v>0</v>
          </cell>
          <cell r="BG169">
            <v>0</v>
          </cell>
          <cell r="BH169">
            <v>0</v>
          </cell>
          <cell r="BJ169">
            <v>0</v>
          </cell>
          <cell r="BL169">
            <v>0</v>
          </cell>
          <cell r="BM169">
            <v>0</v>
          </cell>
          <cell r="BN169">
            <v>0</v>
          </cell>
          <cell r="BO169">
            <v>0</v>
          </cell>
          <cell r="BQ169">
            <v>0</v>
          </cell>
          <cell r="BR169">
            <v>0</v>
          </cell>
          <cell r="BS169">
            <v>0</v>
          </cell>
          <cell r="BT169">
            <v>0</v>
          </cell>
          <cell r="CB169">
            <v>0</v>
          </cell>
          <cell r="CC169">
            <v>0</v>
          </cell>
          <cell r="CD169">
            <v>0</v>
          </cell>
          <cell r="CE169">
            <v>0</v>
          </cell>
          <cell r="CF169">
            <v>0</v>
          </cell>
          <cell r="CI169">
            <v>0</v>
          </cell>
          <cell r="CJ169">
            <v>0</v>
          </cell>
          <cell r="CK169">
            <v>0</v>
          </cell>
          <cell r="CV169">
            <v>4.4938371957256697E-3</v>
          </cell>
          <cell r="DG169">
            <v>195497193</v>
          </cell>
          <cell r="DR169">
            <v>66754769.790000111</v>
          </cell>
          <cell r="EC169">
            <v>2.9285876292436193</v>
          </cell>
          <cell r="EN169">
            <v>2.4095909012463064E-2</v>
          </cell>
        </row>
        <row r="170">
          <cell r="B170">
            <v>34501</v>
          </cell>
          <cell r="C170" t="str">
            <v>Mountain Community School</v>
          </cell>
          <cell r="D170">
            <v>5.1589004249023141E-5</v>
          </cell>
          <cell r="E170">
            <v>89261.00630734177</v>
          </cell>
          <cell r="F170">
            <v>69598.853669480595</v>
          </cell>
          <cell r="G170">
            <v>-31116</v>
          </cell>
          <cell r="H170">
            <v>-24906.992497708368</v>
          </cell>
          <cell r="I170">
            <v>-1030.6983440186962</v>
          </cell>
          <cell r="J170">
            <v>75323.801590224801</v>
          </cell>
          <cell r="K170">
            <v>0</v>
          </cell>
          <cell r="L170">
            <v>-3957.6375795763661</v>
          </cell>
          <cell r="M170">
            <v>710.22642310147455</v>
          </cell>
          <cell r="N170">
            <v>26.773661425158028</v>
          </cell>
          <cell r="O170">
            <v>-12.08266068516371</v>
          </cell>
          <cell r="P170">
            <v>0</v>
          </cell>
          <cell r="Q170">
            <v>0</v>
          </cell>
          <cell r="R170">
            <v>0</v>
          </cell>
          <cell r="S170">
            <v>173897.25056958519</v>
          </cell>
          <cell r="T170">
            <v>0</v>
          </cell>
          <cell r="U170">
            <v>376619.00795112399</v>
          </cell>
          <cell r="V170">
            <v>2840.9056924058982</v>
          </cell>
          <cell r="W170">
            <v>0</v>
          </cell>
          <cell r="X170">
            <v>379459.91364352987</v>
          </cell>
          <cell r="Y170">
            <v>155576.72</v>
          </cell>
          <cell r="Z170">
            <v>0</v>
          </cell>
          <cell r="AA170">
            <v>0</v>
          </cell>
          <cell r="AB170">
            <v>5153.4917200934806</v>
          </cell>
          <cell r="AC170">
            <v>160730.21172009347</v>
          </cell>
          <cell r="AD170" t="str">
            <v>N/A</v>
          </cell>
          <cell r="AE170">
            <v>43887</v>
          </cell>
          <cell r="AF170">
            <v>43887</v>
          </cell>
          <cell r="AG170">
            <v>43887</v>
          </cell>
          <cell r="AH170">
            <v>43887</v>
          </cell>
          <cell r="AI170">
            <v>43177</v>
          </cell>
          <cell r="AJ170">
            <v>0</v>
          </cell>
          <cell r="AK170">
            <v>218725</v>
          </cell>
          <cell r="AL170">
            <v>1895421</v>
          </cell>
          <cell r="AM170">
            <v>173897.25056958519</v>
          </cell>
          <cell r="AN170">
            <v>-43751.279999999992</v>
          </cell>
          <cell r="AO170">
            <v>374306.42192343646</v>
          </cell>
          <cell r="AP170">
            <v>0</v>
          </cell>
          <cell r="AQ170">
            <v>-155576.72</v>
          </cell>
          <cell r="AR170">
            <v>0</v>
          </cell>
          <cell r="AS170">
            <v>0</v>
          </cell>
          <cell r="AT170">
            <v>2244296.6724930215</v>
          </cell>
          <cell r="AU170">
            <v>5.7169358129020601E-5</v>
          </cell>
          <cell r="AV170">
            <v>0</v>
          </cell>
          <cell r="AW170">
            <v>0</v>
          </cell>
          <cell r="AY170">
            <v>0</v>
          </cell>
          <cell r="AZ170">
            <v>0</v>
          </cell>
          <cell r="BA170">
            <v>0</v>
          </cell>
          <cell r="BB170">
            <v>0</v>
          </cell>
          <cell r="BC170">
            <v>0</v>
          </cell>
          <cell r="BD170">
            <v>0</v>
          </cell>
          <cell r="BE170">
            <v>0</v>
          </cell>
          <cell r="BF170">
            <v>0</v>
          </cell>
          <cell r="BG170">
            <v>0</v>
          </cell>
          <cell r="BH170">
            <v>0</v>
          </cell>
          <cell r="BJ170">
            <v>0</v>
          </cell>
          <cell r="BL170">
            <v>0</v>
          </cell>
          <cell r="BM170">
            <v>0</v>
          </cell>
          <cell r="BN170">
            <v>0</v>
          </cell>
          <cell r="BO170">
            <v>0</v>
          </cell>
          <cell r="BQ170">
            <v>0</v>
          </cell>
          <cell r="BR170">
            <v>0</v>
          </cell>
          <cell r="BS170">
            <v>0</v>
          </cell>
          <cell r="BT170">
            <v>0</v>
          </cell>
          <cell r="CB170">
            <v>0</v>
          </cell>
          <cell r="CC170">
            <v>0</v>
          </cell>
          <cell r="CD170">
            <v>0</v>
          </cell>
          <cell r="CE170">
            <v>0</v>
          </cell>
          <cell r="CF170">
            <v>0</v>
          </cell>
          <cell r="CI170">
            <v>0</v>
          </cell>
          <cell r="CJ170">
            <v>0</v>
          </cell>
          <cell r="CK170">
            <v>0</v>
          </cell>
          <cell r="CV170">
            <v>5.1589004249023141E-5</v>
          </cell>
          <cell r="DG170">
            <v>2244297</v>
          </cell>
          <cell r="DR170">
            <v>756108.58000000007</v>
          </cell>
          <cell r="EC170">
            <v>2.9682205166882247</v>
          </cell>
          <cell r="EN170">
            <v>2.4095909012463064E-2</v>
          </cell>
        </row>
        <row r="171">
          <cell r="B171">
            <v>34505</v>
          </cell>
          <cell r="C171" t="str">
            <v>Blue Ridge Community College</v>
          </cell>
          <cell r="D171">
            <v>5.5545647658876765E-4</v>
          </cell>
          <cell r="E171">
            <v>961069.21972975775</v>
          </cell>
          <cell r="F171">
            <v>749367.71113582677</v>
          </cell>
          <cell r="G171">
            <v>37200</v>
          </cell>
          <cell r="H171">
            <v>-268172.46226383455</v>
          </cell>
          <cell r="I171">
            <v>-11097.482475741779</v>
          </cell>
          <cell r="J171">
            <v>811007.96659338346</v>
          </cell>
          <cell r="K171">
            <v>0</v>
          </cell>
          <cell r="L171">
            <v>-42611.704908191023</v>
          </cell>
          <cell r="M171">
            <v>7646.975790653265</v>
          </cell>
          <cell r="N171">
            <v>288.27080222003866</v>
          </cell>
          <cell r="O171">
            <v>-130.09346138185526</v>
          </cell>
          <cell r="P171">
            <v>0</v>
          </cell>
          <cell r="Q171">
            <v>0</v>
          </cell>
          <cell r="R171">
            <v>0</v>
          </cell>
          <cell r="S171">
            <v>2244568.4009426916</v>
          </cell>
          <cell r="T171">
            <v>186003.14999999991</v>
          </cell>
          <cell r="U171">
            <v>4055039.8329669177</v>
          </cell>
          <cell r="V171">
            <v>30587.90316261306</v>
          </cell>
          <cell r="W171">
            <v>0</v>
          </cell>
          <cell r="X171">
            <v>4271630.8861295311</v>
          </cell>
          <cell r="Y171">
            <v>0</v>
          </cell>
          <cell r="Z171">
            <v>0</v>
          </cell>
          <cell r="AA171">
            <v>0</v>
          </cell>
          <cell r="AB171">
            <v>55487.412378708897</v>
          </cell>
          <cell r="AC171">
            <v>55487.412378708897</v>
          </cell>
          <cell r="AD171" t="str">
            <v>N/A</v>
          </cell>
          <cell r="AE171">
            <v>844757</v>
          </cell>
          <cell r="AF171">
            <v>844758</v>
          </cell>
          <cell r="AG171">
            <v>844758</v>
          </cell>
          <cell r="AH171">
            <v>844758</v>
          </cell>
          <cell r="AI171">
            <v>837111</v>
          </cell>
          <cell r="AJ171">
            <v>0</v>
          </cell>
          <cell r="AK171">
            <v>4216142</v>
          </cell>
          <cell r="AL171">
            <v>18253907</v>
          </cell>
          <cell r="AM171">
            <v>2244568.4009426916</v>
          </cell>
          <cell r="AN171">
            <v>-550374.14999999991</v>
          </cell>
          <cell r="AO171">
            <v>4030140.3237508219</v>
          </cell>
          <cell r="AP171">
            <v>0</v>
          </cell>
          <cell r="AQ171">
            <v>186003.14999999991</v>
          </cell>
          <cell r="AR171">
            <v>0</v>
          </cell>
          <cell r="AS171">
            <v>0</v>
          </cell>
          <cell r="AT171">
            <v>24164244.724693514</v>
          </cell>
          <cell r="AU171">
            <v>5.5057112825791289E-4</v>
          </cell>
          <cell r="AV171">
            <v>0</v>
          </cell>
          <cell r="AW171">
            <v>0</v>
          </cell>
          <cell r="AY171">
            <v>0</v>
          </cell>
          <cell r="AZ171">
            <v>0</v>
          </cell>
          <cell r="BA171">
            <v>0</v>
          </cell>
          <cell r="BB171">
            <v>0</v>
          </cell>
          <cell r="BC171">
            <v>0</v>
          </cell>
          <cell r="BD171">
            <v>0</v>
          </cell>
          <cell r="BE171">
            <v>0</v>
          </cell>
          <cell r="BF171">
            <v>0</v>
          </cell>
          <cell r="BG171">
            <v>0</v>
          </cell>
          <cell r="BH171">
            <v>0</v>
          </cell>
          <cell r="BJ171">
            <v>0</v>
          </cell>
          <cell r="BL171">
            <v>0</v>
          </cell>
          <cell r="BM171">
            <v>0</v>
          </cell>
          <cell r="BN171">
            <v>0</v>
          </cell>
          <cell r="BO171">
            <v>0</v>
          </cell>
          <cell r="BQ171">
            <v>0</v>
          </cell>
          <cell r="BR171">
            <v>0</v>
          </cell>
          <cell r="BS171">
            <v>0</v>
          </cell>
          <cell r="BT171">
            <v>0</v>
          </cell>
          <cell r="CB171">
            <v>0</v>
          </cell>
          <cell r="CC171">
            <v>0</v>
          </cell>
          <cell r="CD171">
            <v>0</v>
          </cell>
          <cell r="CE171">
            <v>0</v>
          </cell>
          <cell r="CF171">
            <v>0</v>
          </cell>
          <cell r="CI171">
            <v>0</v>
          </cell>
          <cell r="CJ171">
            <v>0</v>
          </cell>
          <cell r="CK171">
            <v>0</v>
          </cell>
          <cell r="CV171">
            <v>5.5545647658876765E-4</v>
          </cell>
          <cell r="DG171">
            <v>24164245</v>
          </cell>
          <cell r="DR171">
            <v>9672640.7699999996</v>
          </cell>
          <cell r="EC171">
            <v>2.4982055650144859</v>
          </cell>
          <cell r="EN171">
            <v>2.4095909012463064E-2</v>
          </cell>
        </row>
        <row r="172">
          <cell r="B172">
            <v>34600</v>
          </cell>
          <cell r="C172" t="str">
            <v>Hertford County Schools</v>
          </cell>
          <cell r="D172">
            <v>1.0584263195967936E-3</v>
          </cell>
          <cell r="E172">
            <v>1831324.325108967</v>
          </cell>
          <cell r="F172">
            <v>1427925.5746429535</v>
          </cell>
          <cell r="G172">
            <v>-158584</v>
          </cell>
          <cell r="H172">
            <v>-511004.55969885475</v>
          </cell>
          <cell r="I172">
            <v>-21146.332842717649</v>
          </cell>
          <cell r="J172">
            <v>1545381.5256899509</v>
          </cell>
          <cell r="K172">
            <v>0</v>
          </cell>
          <cell r="L172">
            <v>-81196.910826754203</v>
          </cell>
          <cell r="M172">
            <v>14571.367484727582</v>
          </cell>
          <cell r="N172">
            <v>549.30209134434392</v>
          </cell>
          <cell r="O172">
            <v>-247.89402831276502</v>
          </cell>
          <cell r="P172">
            <v>0</v>
          </cell>
          <cell r="Q172">
            <v>0</v>
          </cell>
          <cell r="R172">
            <v>0</v>
          </cell>
          <cell r="S172">
            <v>4047572.3976213033</v>
          </cell>
          <cell r="T172">
            <v>31111.170000000042</v>
          </cell>
          <cell r="U172">
            <v>7726907.6284497548</v>
          </cell>
          <cell r="V172">
            <v>58285.469938910326</v>
          </cell>
          <cell r="W172">
            <v>0</v>
          </cell>
          <cell r="X172">
            <v>7816304.2683886653</v>
          </cell>
          <cell r="Y172">
            <v>824032</v>
          </cell>
          <cell r="Z172">
            <v>0</v>
          </cell>
          <cell r="AA172">
            <v>0</v>
          </cell>
          <cell r="AB172">
            <v>105731.66421358824</v>
          </cell>
          <cell r="AC172">
            <v>929763.66421358823</v>
          </cell>
          <cell r="AD172" t="str">
            <v>N/A</v>
          </cell>
          <cell r="AE172">
            <v>1380223</v>
          </cell>
          <cell r="AF172">
            <v>1380222</v>
          </cell>
          <cell r="AG172">
            <v>1380222</v>
          </cell>
          <cell r="AH172">
            <v>1380222</v>
          </cell>
          <cell r="AI172">
            <v>1365650</v>
          </cell>
          <cell r="AJ172">
            <v>0</v>
          </cell>
          <cell r="AK172">
            <v>6886539</v>
          </cell>
          <cell r="AL172">
            <v>36080426</v>
          </cell>
          <cell r="AM172">
            <v>4047572.3976213033</v>
          </cell>
          <cell r="AN172">
            <v>-969396.17</v>
          </cell>
          <cell r="AO172">
            <v>7679461.4341750769</v>
          </cell>
          <cell r="AP172">
            <v>0</v>
          </cell>
          <cell r="AQ172">
            <v>-792920.83</v>
          </cell>
          <cell r="AR172">
            <v>0</v>
          </cell>
          <cell r="AS172">
            <v>0</v>
          </cell>
          <cell r="AT172">
            <v>46045142.831796378</v>
          </cell>
          <cell r="AU172">
            <v>1.0882514752291229E-3</v>
          </cell>
          <cell r="AV172">
            <v>0</v>
          </cell>
          <cell r="AW172">
            <v>0</v>
          </cell>
          <cell r="AY172">
            <v>0</v>
          </cell>
          <cell r="AZ172">
            <v>0</v>
          </cell>
          <cell r="BA172">
            <v>0</v>
          </cell>
          <cell r="BB172">
            <v>0</v>
          </cell>
          <cell r="BC172">
            <v>0</v>
          </cell>
          <cell r="BD172">
            <v>0</v>
          </cell>
          <cell r="BE172">
            <v>0</v>
          </cell>
          <cell r="BF172">
            <v>0</v>
          </cell>
          <cell r="BG172">
            <v>0</v>
          </cell>
          <cell r="BH172">
            <v>0</v>
          </cell>
          <cell r="BJ172">
            <v>0</v>
          </cell>
          <cell r="BL172">
            <v>0</v>
          </cell>
          <cell r="BM172">
            <v>0</v>
          </cell>
          <cell r="BN172">
            <v>0</v>
          </cell>
          <cell r="BO172">
            <v>0</v>
          </cell>
          <cell r="BQ172">
            <v>0</v>
          </cell>
          <cell r="BR172">
            <v>0</v>
          </cell>
          <cell r="BS172">
            <v>0</v>
          </cell>
          <cell r="BT172">
            <v>0</v>
          </cell>
          <cell r="CB172">
            <v>0</v>
          </cell>
          <cell r="CC172">
            <v>0</v>
          </cell>
          <cell r="CD172">
            <v>0</v>
          </cell>
          <cell r="CE172">
            <v>0</v>
          </cell>
          <cell r="CF172">
            <v>0</v>
          </cell>
          <cell r="CI172">
            <v>0</v>
          </cell>
          <cell r="CJ172">
            <v>0</v>
          </cell>
          <cell r="CK172">
            <v>0</v>
          </cell>
          <cell r="CV172">
            <v>1.0584263195967936E-3</v>
          </cell>
          <cell r="DG172">
            <v>46045142</v>
          </cell>
          <cell r="DR172">
            <v>16910461.929999992</v>
          </cell>
          <cell r="EC172">
            <v>2.7228790195443242</v>
          </cell>
          <cell r="EN172">
            <v>2.4095909012463064E-2</v>
          </cell>
        </row>
        <row r="173">
          <cell r="B173">
            <v>34605</v>
          </cell>
          <cell r="C173" t="str">
            <v>Roanoke-Chowan Community College</v>
          </cell>
          <cell r="D173">
            <v>2.4764422203784329E-4</v>
          </cell>
          <cell r="E173">
            <v>428482.24708107725</v>
          </cell>
          <cell r="F173">
            <v>334097.43457164289</v>
          </cell>
          <cell r="G173">
            <v>62984</v>
          </cell>
          <cell r="H173">
            <v>-119561.77232310474</v>
          </cell>
          <cell r="I173">
            <v>-4947.6917276424574</v>
          </cell>
          <cell r="J173">
            <v>361579.07130175503</v>
          </cell>
          <cell r="K173">
            <v>0</v>
          </cell>
          <cell r="L173">
            <v>-18997.964658728233</v>
          </cell>
          <cell r="M173">
            <v>3409.3208926980833</v>
          </cell>
          <cell r="N173">
            <v>128.52239835319992</v>
          </cell>
          <cell r="O173">
            <v>-58.000753243483274</v>
          </cell>
          <cell r="P173">
            <v>0</v>
          </cell>
          <cell r="Q173">
            <v>0</v>
          </cell>
          <cell r="R173">
            <v>0</v>
          </cell>
          <cell r="S173">
            <v>1047115.1667828076</v>
          </cell>
          <cell r="T173">
            <v>314917.58999999997</v>
          </cell>
          <cell r="U173">
            <v>1807895.3565087754</v>
          </cell>
          <cell r="V173">
            <v>13637.283570792333</v>
          </cell>
          <cell r="W173">
            <v>0</v>
          </cell>
          <cell r="X173">
            <v>2136450.230079568</v>
          </cell>
          <cell r="Y173">
            <v>0</v>
          </cell>
          <cell r="Z173">
            <v>0</v>
          </cell>
          <cell r="AA173">
            <v>0</v>
          </cell>
          <cell r="AB173">
            <v>24738.458638212287</v>
          </cell>
          <cell r="AC173">
            <v>24738.458638212287</v>
          </cell>
          <cell r="AD173" t="str">
            <v>N/A</v>
          </cell>
          <cell r="AE173">
            <v>423025</v>
          </cell>
          <cell r="AF173">
            <v>423025</v>
          </cell>
          <cell r="AG173">
            <v>423025</v>
          </cell>
          <cell r="AH173">
            <v>423025</v>
          </cell>
          <cell r="AI173">
            <v>419615</v>
          </cell>
          <cell r="AJ173">
            <v>0</v>
          </cell>
          <cell r="AK173">
            <v>2111715</v>
          </cell>
          <cell r="AL173">
            <v>7856029</v>
          </cell>
          <cell r="AM173">
            <v>1047115.1667828076</v>
          </cell>
          <cell r="AN173">
            <v>-241490.59</v>
          </cell>
          <cell r="AO173">
            <v>1796794.1814413555</v>
          </cell>
          <cell r="AP173">
            <v>0</v>
          </cell>
          <cell r="AQ173">
            <v>314917.58999999997</v>
          </cell>
          <cell r="AR173">
            <v>0</v>
          </cell>
          <cell r="AS173">
            <v>0</v>
          </cell>
          <cell r="AT173">
            <v>10773365.348224163</v>
          </cell>
          <cell r="AU173">
            <v>2.3695216199379654E-4</v>
          </cell>
          <cell r="AV173">
            <v>0</v>
          </cell>
          <cell r="AW173">
            <v>0</v>
          </cell>
          <cell r="AY173">
            <v>0</v>
          </cell>
          <cell r="AZ173">
            <v>0</v>
          </cell>
          <cell r="BA173">
            <v>0</v>
          </cell>
          <cell r="BB173">
            <v>0</v>
          </cell>
          <cell r="BC173">
            <v>0</v>
          </cell>
          <cell r="BD173">
            <v>0</v>
          </cell>
          <cell r="BE173">
            <v>0</v>
          </cell>
          <cell r="BF173">
            <v>0</v>
          </cell>
          <cell r="BG173">
            <v>0</v>
          </cell>
          <cell r="BH173">
            <v>0</v>
          </cell>
          <cell r="BJ173">
            <v>0</v>
          </cell>
          <cell r="BL173">
            <v>0</v>
          </cell>
          <cell r="BM173">
            <v>0</v>
          </cell>
          <cell r="BN173">
            <v>0</v>
          </cell>
          <cell r="BO173">
            <v>0</v>
          </cell>
          <cell r="BQ173">
            <v>0</v>
          </cell>
          <cell r="BR173">
            <v>0</v>
          </cell>
          <cell r="BS173">
            <v>0</v>
          </cell>
          <cell r="BT173">
            <v>0</v>
          </cell>
          <cell r="CB173">
            <v>0</v>
          </cell>
          <cell r="CC173">
            <v>0</v>
          </cell>
          <cell r="CD173">
            <v>0</v>
          </cell>
          <cell r="CE173">
            <v>0</v>
          </cell>
          <cell r="CF173">
            <v>0</v>
          </cell>
          <cell r="CI173">
            <v>0</v>
          </cell>
          <cell r="CJ173">
            <v>0</v>
          </cell>
          <cell r="CK173">
            <v>0</v>
          </cell>
          <cell r="CV173">
            <v>2.4764422203784329E-4</v>
          </cell>
          <cell r="DG173">
            <v>10773365</v>
          </cell>
          <cell r="DR173">
            <v>4201772.21</v>
          </cell>
          <cell r="EC173">
            <v>2.5640050106381183</v>
          </cell>
          <cell r="EN173">
            <v>2.4095909012463064E-2</v>
          </cell>
        </row>
        <row r="174">
          <cell r="B174">
            <v>34700</v>
          </cell>
          <cell r="C174" t="str">
            <v>Hoke County Schools</v>
          </cell>
          <cell r="D174">
            <v>2.9499284301126028E-3</v>
          </cell>
          <cell r="E174">
            <v>5104064.0159569234</v>
          </cell>
          <cell r="F174">
            <v>3979755.7663992965</v>
          </cell>
          <cell r="G174">
            <v>731778</v>
          </cell>
          <cell r="H174">
            <v>-1424215.2246809935</v>
          </cell>
          <cell r="I174">
            <v>-58936.713203730906</v>
          </cell>
          <cell r="J174">
            <v>4307115.964142154</v>
          </cell>
          <cell r="K174">
            <v>0</v>
          </cell>
          <cell r="L174">
            <v>-226303.02294108376</v>
          </cell>
          <cell r="M174">
            <v>40611.699097950586</v>
          </cell>
          <cell r="N174">
            <v>1530.9538566598385</v>
          </cell>
          <cell r="O174">
            <v>-690.90273761667265</v>
          </cell>
          <cell r="P174">
            <v>0</v>
          </cell>
          <cell r="Q174">
            <v>0</v>
          </cell>
          <cell r="R174">
            <v>0</v>
          </cell>
          <cell r="S174">
            <v>12454710.535889557</v>
          </cell>
          <cell r="T174">
            <v>3920876</v>
          </cell>
          <cell r="U174">
            <v>21535579.820710771</v>
          </cell>
          <cell r="V174">
            <v>162446.79639180235</v>
          </cell>
          <cell r="W174">
            <v>0</v>
          </cell>
          <cell r="X174">
            <v>25618902.617102575</v>
          </cell>
          <cell r="Y174">
            <v>261986.9700000002</v>
          </cell>
          <cell r="Z174">
            <v>0</v>
          </cell>
          <cell r="AA174">
            <v>0</v>
          </cell>
          <cell r="AB174">
            <v>294683.5660186545</v>
          </cell>
          <cell r="AC174">
            <v>556670.5360186547</v>
          </cell>
          <cell r="AD174" t="str">
            <v>N/A</v>
          </cell>
          <cell r="AE174">
            <v>5020569</v>
          </cell>
          <cell r="AF174">
            <v>5020569</v>
          </cell>
          <cell r="AG174">
            <v>5020569</v>
          </cell>
          <cell r="AH174">
            <v>5020569</v>
          </cell>
          <cell r="AI174">
            <v>4979957</v>
          </cell>
          <cell r="AJ174">
            <v>0</v>
          </cell>
          <cell r="AK174">
            <v>25062233</v>
          </cell>
          <cell r="AL174">
            <v>93098331</v>
          </cell>
          <cell r="AM174">
            <v>12454710.535889557</v>
          </cell>
          <cell r="AN174">
            <v>-2283360.0299999998</v>
          </cell>
          <cell r="AO174">
            <v>21403343.051083922</v>
          </cell>
          <cell r="AP174">
            <v>0</v>
          </cell>
          <cell r="AQ174">
            <v>3658889.03</v>
          </cell>
          <cell r="AR174">
            <v>0</v>
          </cell>
          <cell r="AS174">
            <v>0</v>
          </cell>
          <cell r="AT174">
            <v>128331913.58697347</v>
          </cell>
          <cell r="AU174">
            <v>2.808015515772702E-3</v>
          </cell>
          <cell r="AV174">
            <v>0</v>
          </cell>
          <cell r="AW174">
            <v>0</v>
          </cell>
          <cell r="AY174">
            <v>0</v>
          </cell>
          <cell r="AZ174">
            <v>0</v>
          </cell>
          <cell r="BA174">
            <v>0</v>
          </cell>
          <cell r="BB174">
            <v>0</v>
          </cell>
          <cell r="BC174">
            <v>0</v>
          </cell>
          <cell r="BD174">
            <v>0</v>
          </cell>
          <cell r="BE174">
            <v>0</v>
          </cell>
          <cell r="BF174">
            <v>0</v>
          </cell>
          <cell r="BG174">
            <v>0</v>
          </cell>
          <cell r="BH174">
            <v>0</v>
          </cell>
          <cell r="BJ174">
            <v>0</v>
          </cell>
          <cell r="BL174">
            <v>0</v>
          </cell>
          <cell r="BM174">
            <v>0</v>
          </cell>
          <cell r="BN174">
            <v>0</v>
          </cell>
          <cell r="BO174">
            <v>0</v>
          </cell>
          <cell r="BQ174">
            <v>0</v>
          </cell>
          <cell r="BR174">
            <v>0</v>
          </cell>
          <cell r="BS174">
            <v>0</v>
          </cell>
          <cell r="BT174">
            <v>0</v>
          </cell>
          <cell r="CB174">
            <v>0</v>
          </cell>
          <cell r="CC174">
            <v>0</v>
          </cell>
          <cell r="CD174">
            <v>0</v>
          </cell>
          <cell r="CE174">
            <v>0</v>
          </cell>
          <cell r="CF174">
            <v>0</v>
          </cell>
          <cell r="CI174">
            <v>0</v>
          </cell>
          <cell r="CJ174">
            <v>0</v>
          </cell>
          <cell r="CK174">
            <v>0</v>
          </cell>
          <cell r="CV174">
            <v>2.9499284301126028E-3</v>
          </cell>
          <cell r="DG174">
            <v>128331914</v>
          </cell>
          <cell r="DR174">
            <v>39591307.19000005</v>
          </cell>
          <cell r="EC174">
            <v>3.2414164398293472</v>
          </cell>
          <cell r="EN174">
            <v>2.4095909012463064E-2</v>
          </cell>
        </row>
        <row r="175">
          <cell r="B175">
            <v>34800</v>
          </cell>
          <cell r="C175" t="str">
            <v>Hyde County Schools</v>
          </cell>
          <cell r="D175">
            <v>3.0197101229566622E-4</v>
          </cell>
          <cell r="E175">
            <v>522480.26155046851</v>
          </cell>
          <cell r="F175">
            <v>407389.84214042005</v>
          </cell>
          <cell r="G175">
            <v>96968</v>
          </cell>
          <cell r="H175">
            <v>-145790.55841954879</v>
          </cell>
          <cell r="I175">
            <v>-6033.0883847343493</v>
          </cell>
          <cell r="J175">
            <v>440900.24506702495</v>
          </cell>
          <cell r="K175">
            <v>0</v>
          </cell>
          <cell r="L175">
            <v>-23165.630808365044</v>
          </cell>
          <cell r="M175">
            <v>4157.2384477093956</v>
          </cell>
          <cell r="N175">
            <v>156.71691596120485</v>
          </cell>
          <cell r="O175">
            <v>-70.724630789767986</v>
          </cell>
          <cell r="P175">
            <v>0</v>
          </cell>
          <cell r="Q175">
            <v>0</v>
          </cell>
          <cell r="R175">
            <v>0</v>
          </cell>
          <cell r="S175">
            <v>1296992.3018781461</v>
          </cell>
          <cell r="T175">
            <v>484837.2</v>
          </cell>
          <cell r="U175">
            <v>2204501.2253351249</v>
          </cell>
          <cell r="V175">
            <v>16628.953790837582</v>
          </cell>
          <cell r="W175">
            <v>0</v>
          </cell>
          <cell r="X175">
            <v>2705967.3791259625</v>
          </cell>
          <cell r="Y175">
            <v>0</v>
          </cell>
          <cell r="Z175">
            <v>0</v>
          </cell>
          <cell r="AA175">
            <v>0</v>
          </cell>
          <cell r="AB175">
            <v>30165.441923671748</v>
          </cell>
          <cell r="AC175">
            <v>30165.441923671748</v>
          </cell>
          <cell r="AD175" t="str">
            <v>N/A</v>
          </cell>
          <cell r="AE175">
            <v>535992</v>
          </cell>
          <cell r="AF175">
            <v>535992</v>
          </cell>
          <cell r="AG175">
            <v>535992</v>
          </cell>
          <cell r="AH175">
            <v>535992</v>
          </cell>
          <cell r="AI175">
            <v>531835</v>
          </cell>
          <cell r="AJ175">
            <v>0</v>
          </cell>
          <cell r="AK175">
            <v>2675803</v>
          </cell>
          <cell r="AL175">
            <v>9466808</v>
          </cell>
          <cell r="AM175">
            <v>1296992.3018781461</v>
          </cell>
          <cell r="AN175">
            <v>-302836.2</v>
          </cell>
          <cell r="AO175">
            <v>2190964.7372022909</v>
          </cell>
          <cell r="AP175">
            <v>0</v>
          </cell>
          <cell r="AQ175">
            <v>484837.2</v>
          </cell>
          <cell r="AR175">
            <v>0</v>
          </cell>
          <cell r="AS175">
            <v>0</v>
          </cell>
          <cell r="AT175">
            <v>13136766.039080437</v>
          </cell>
          <cell r="AU175">
            <v>2.8553619787913319E-4</v>
          </cell>
          <cell r="AV175">
            <v>0</v>
          </cell>
          <cell r="AW175">
            <v>0</v>
          </cell>
          <cell r="AY175">
            <v>0</v>
          </cell>
          <cell r="AZ175">
            <v>0</v>
          </cell>
          <cell r="BA175">
            <v>0</v>
          </cell>
          <cell r="BB175">
            <v>0</v>
          </cell>
          <cell r="BC175">
            <v>0</v>
          </cell>
          <cell r="BD175">
            <v>0</v>
          </cell>
          <cell r="BE175">
            <v>0</v>
          </cell>
          <cell r="BF175">
            <v>0</v>
          </cell>
          <cell r="BG175">
            <v>0</v>
          </cell>
          <cell r="BH175">
            <v>0</v>
          </cell>
          <cell r="BJ175">
            <v>0</v>
          </cell>
          <cell r="BL175">
            <v>0</v>
          </cell>
          <cell r="BM175">
            <v>0</v>
          </cell>
          <cell r="BN175">
            <v>0</v>
          </cell>
          <cell r="BO175">
            <v>0</v>
          </cell>
          <cell r="BQ175">
            <v>0</v>
          </cell>
          <cell r="BR175">
            <v>0</v>
          </cell>
          <cell r="BS175">
            <v>0</v>
          </cell>
          <cell r="BT175">
            <v>0</v>
          </cell>
          <cell r="CB175">
            <v>0</v>
          </cell>
          <cell r="CC175">
            <v>0</v>
          </cell>
          <cell r="CD175">
            <v>0</v>
          </cell>
          <cell r="CE175">
            <v>0</v>
          </cell>
          <cell r="CF175">
            <v>0</v>
          </cell>
          <cell r="CI175">
            <v>0</v>
          </cell>
          <cell r="CJ175">
            <v>0</v>
          </cell>
          <cell r="CK175">
            <v>0</v>
          </cell>
          <cell r="CV175">
            <v>3.0197101229566622E-4</v>
          </cell>
          <cell r="DG175">
            <v>13136765</v>
          </cell>
          <cell r="DR175">
            <v>5121679.4700000016</v>
          </cell>
          <cell r="EC175">
            <v>2.5649330609125363</v>
          </cell>
          <cell r="EN175">
            <v>2.4095909012463064E-2</v>
          </cell>
        </row>
        <row r="176">
          <cell r="B176">
            <v>34900</v>
          </cell>
          <cell r="C176" t="str">
            <v>Iredell County Schools</v>
          </cell>
          <cell r="D176">
            <v>6.4268871434988049E-3</v>
          </cell>
          <cell r="E176">
            <v>11120013.309101295</v>
          </cell>
          <cell r="F176">
            <v>8670529.3959828522</v>
          </cell>
          <cell r="G176">
            <v>-645571</v>
          </cell>
          <cell r="H176">
            <v>-3102878.8439888172</v>
          </cell>
          <cell r="I176">
            <v>-128402.98106984103</v>
          </cell>
          <cell r="J176">
            <v>9383735.5282707773</v>
          </cell>
          <cell r="K176">
            <v>0</v>
          </cell>
          <cell r="L176">
            <v>-493037.04246799269</v>
          </cell>
          <cell r="M176">
            <v>88479.030251692457</v>
          </cell>
          <cell r="N176">
            <v>3335.4258897330096</v>
          </cell>
          <cell r="O176">
            <v>-1505.2412378788551</v>
          </cell>
          <cell r="P176">
            <v>0</v>
          </cell>
          <cell r="Q176">
            <v>0</v>
          </cell>
          <cell r="R176">
            <v>0</v>
          </cell>
          <cell r="S176">
            <v>24894697.58073182</v>
          </cell>
          <cell r="T176">
            <v>0</v>
          </cell>
          <cell r="U176">
            <v>46918677.64135389</v>
          </cell>
          <cell r="V176">
            <v>353916.12100676983</v>
          </cell>
          <cell r="W176">
            <v>0</v>
          </cell>
          <cell r="X176">
            <v>47272593.762360662</v>
          </cell>
          <cell r="Y176">
            <v>3227851.1899999995</v>
          </cell>
          <cell r="Z176">
            <v>0</v>
          </cell>
          <cell r="AA176">
            <v>0</v>
          </cell>
          <cell r="AB176">
            <v>642014.90534920513</v>
          </cell>
          <cell r="AC176">
            <v>3869866.0953492047</v>
          </cell>
          <cell r="AD176" t="str">
            <v>N/A</v>
          </cell>
          <cell r="AE176">
            <v>8698242</v>
          </cell>
          <cell r="AF176">
            <v>8698241</v>
          </cell>
          <cell r="AG176">
            <v>8698241</v>
          </cell>
          <cell r="AH176">
            <v>8698241</v>
          </cell>
          <cell r="AI176">
            <v>8609762</v>
          </cell>
          <cell r="AJ176">
            <v>0</v>
          </cell>
          <cell r="AK176">
            <v>43402727</v>
          </cell>
          <cell r="AL176">
            <v>216810108</v>
          </cell>
          <cell r="AM176">
            <v>24894697.58073182</v>
          </cell>
          <cell r="AN176">
            <v>-5516097.8100000005</v>
          </cell>
          <cell r="AO176">
            <v>46630578.85701146</v>
          </cell>
          <cell r="AP176">
            <v>0</v>
          </cell>
          <cell r="AQ176">
            <v>-3227851.1899999995</v>
          </cell>
          <cell r="AR176">
            <v>0</v>
          </cell>
          <cell r="AS176">
            <v>0</v>
          </cell>
          <cell r="AT176">
            <v>279591435.43774325</v>
          </cell>
          <cell r="AU176">
            <v>6.5393884122890216E-3</v>
          </cell>
          <cell r="AV176">
            <v>0</v>
          </cell>
          <cell r="AW176">
            <v>0</v>
          </cell>
          <cell r="AY176">
            <v>0</v>
          </cell>
          <cell r="AZ176">
            <v>0</v>
          </cell>
          <cell r="BA176">
            <v>0</v>
          </cell>
          <cell r="BB176">
            <v>0</v>
          </cell>
          <cell r="BC176">
            <v>0</v>
          </cell>
          <cell r="BD176">
            <v>0</v>
          </cell>
          <cell r="BE176">
            <v>0</v>
          </cell>
          <cell r="BF176">
            <v>0</v>
          </cell>
          <cell r="BG176">
            <v>0</v>
          </cell>
          <cell r="BH176">
            <v>0</v>
          </cell>
          <cell r="BJ176">
            <v>0</v>
          </cell>
          <cell r="BL176">
            <v>0</v>
          </cell>
          <cell r="BM176">
            <v>0</v>
          </cell>
          <cell r="BN176">
            <v>0</v>
          </cell>
          <cell r="BO176">
            <v>0</v>
          </cell>
          <cell r="BQ176">
            <v>0</v>
          </cell>
          <cell r="BR176">
            <v>0</v>
          </cell>
          <cell r="BS176">
            <v>0</v>
          </cell>
          <cell r="BT176">
            <v>0</v>
          </cell>
          <cell r="CB176">
            <v>0</v>
          </cell>
          <cell r="CC176">
            <v>0</v>
          </cell>
          <cell r="CD176">
            <v>0</v>
          </cell>
          <cell r="CE176">
            <v>0</v>
          </cell>
          <cell r="CF176">
            <v>0</v>
          </cell>
          <cell r="CI176">
            <v>0</v>
          </cell>
          <cell r="CJ176">
            <v>0</v>
          </cell>
          <cell r="CK176">
            <v>0</v>
          </cell>
          <cell r="CV176">
            <v>6.4268871434988049E-3</v>
          </cell>
          <cell r="DG176">
            <v>279591436</v>
          </cell>
          <cell r="DR176">
            <v>96933813.520000041</v>
          </cell>
          <cell r="EC176">
            <v>2.8843540334076798</v>
          </cell>
          <cell r="EN176">
            <v>2.4095909012463064E-2</v>
          </cell>
        </row>
        <row r="177">
          <cell r="B177">
            <v>34901</v>
          </cell>
          <cell r="C177" t="str">
            <v>American Renaissance Middle School</v>
          </cell>
          <cell r="D177">
            <v>1.6389090689676063E-4</v>
          </cell>
          <cell r="E177">
            <v>283569.4832102661</v>
          </cell>
          <cell r="F177">
            <v>221105.62925009546</v>
          </cell>
          <cell r="G177">
            <v>47511</v>
          </cell>
          <cell r="H177">
            <v>-79125.961974688282</v>
          </cell>
          <cell r="I177">
            <v>-3274.3816012190641</v>
          </cell>
          <cell r="J177">
            <v>239292.97208265768</v>
          </cell>
          <cell r="K177">
            <v>0</v>
          </cell>
          <cell r="L177">
            <v>-12572.850000254719</v>
          </cell>
          <cell r="M177">
            <v>2256.2880264615142</v>
          </cell>
          <cell r="N177">
            <v>85.056102861280834</v>
          </cell>
          <cell r="O177">
            <v>-38.384889304290304</v>
          </cell>
          <cell r="P177">
            <v>0</v>
          </cell>
          <cell r="Q177">
            <v>0</v>
          </cell>
          <cell r="R177">
            <v>0</v>
          </cell>
          <cell r="S177">
            <v>698808.85020687571</v>
          </cell>
          <cell r="T177">
            <v>255662</v>
          </cell>
          <cell r="U177">
            <v>1196464.8604132885</v>
          </cell>
          <cell r="V177">
            <v>9025.1521058460567</v>
          </cell>
          <cell r="W177">
            <v>0</v>
          </cell>
          <cell r="X177">
            <v>1461152.0125191344</v>
          </cell>
          <cell r="Y177">
            <v>18112.839999999982</v>
          </cell>
          <cell r="Z177">
            <v>0</v>
          </cell>
          <cell r="AA177">
            <v>0</v>
          </cell>
          <cell r="AB177">
            <v>16371.90800609532</v>
          </cell>
          <cell r="AC177">
            <v>34484.748006095302</v>
          </cell>
          <cell r="AD177" t="str">
            <v>N/A</v>
          </cell>
          <cell r="AE177">
            <v>285784</v>
          </cell>
          <cell r="AF177">
            <v>285786</v>
          </cell>
          <cell r="AG177">
            <v>285786</v>
          </cell>
          <cell r="AH177">
            <v>285786</v>
          </cell>
          <cell r="AI177">
            <v>283530</v>
          </cell>
          <cell r="AJ177">
            <v>0</v>
          </cell>
          <cell r="AK177">
            <v>1426672</v>
          </cell>
          <cell r="AL177">
            <v>5126925</v>
          </cell>
          <cell r="AM177">
            <v>698808.85020687571</v>
          </cell>
          <cell r="AN177">
            <v>-122589.16000000002</v>
          </cell>
          <cell r="AO177">
            <v>1189118.1045130391</v>
          </cell>
          <cell r="AP177">
            <v>0</v>
          </cell>
          <cell r="AQ177">
            <v>237549.16000000003</v>
          </cell>
          <cell r="AR177">
            <v>0</v>
          </cell>
          <cell r="AS177">
            <v>0</v>
          </cell>
          <cell r="AT177">
            <v>7129811.9547199151</v>
          </cell>
          <cell r="AU177">
            <v>1.5463741092972694E-4</v>
          </cell>
          <cell r="AV177">
            <v>0</v>
          </cell>
          <cell r="AW177">
            <v>0</v>
          </cell>
          <cell r="AY177">
            <v>0</v>
          </cell>
          <cell r="AZ177">
            <v>0</v>
          </cell>
          <cell r="BA177">
            <v>0</v>
          </cell>
          <cell r="BB177">
            <v>0</v>
          </cell>
          <cell r="BC177">
            <v>0</v>
          </cell>
          <cell r="BD177">
            <v>0</v>
          </cell>
          <cell r="BE177">
            <v>0</v>
          </cell>
          <cell r="BF177">
            <v>0</v>
          </cell>
          <cell r="BG177">
            <v>0</v>
          </cell>
          <cell r="BH177">
            <v>0</v>
          </cell>
          <cell r="BJ177">
            <v>0</v>
          </cell>
          <cell r="BL177">
            <v>0</v>
          </cell>
          <cell r="BM177">
            <v>0</v>
          </cell>
          <cell r="BN177">
            <v>0</v>
          </cell>
          <cell r="BO177">
            <v>0</v>
          </cell>
          <cell r="BQ177">
            <v>0</v>
          </cell>
          <cell r="BR177">
            <v>0</v>
          </cell>
          <cell r="BS177">
            <v>0</v>
          </cell>
          <cell r="BT177">
            <v>0</v>
          </cell>
          <cell r="CB177">
            <v>0</v>
          </cell>
          <cell r="CC177">
            <v>0</v>
          </cell>
          <cell r="CD177">
            <v>0</v>
          </cell>
          <cell r="CE177">
            <v>0</v>
          </cell>
          <cell r="CF177">
            <v>0</v>
          </cell>
          <cell r="CI177">
            <v>0</v>
          </cell>
          <cell r="CJ177">
            <v>0</v>
          </cell>
          <cell r="CK177">
            <v>0</v>
          </cell>
          <cell r="CV177">
            <v>1.6389090689676063E-4</v>
          </cell>
          <cell r="DG177">
            <v>7129812</v>
          </cell>
          <cell r="DR177">
            <v>2162233.81</v>
          </cell>
          <cell r="EC177">
            <v>3.2974287826902495</v>
          </cell>
          <cell r="EN177">
            <v>2.4095909012463064E-2</v>
          </cell>
        </row>
        <row r="178">
          <cell r="B178">
            <v>34903</v>
          </cell>
          <cell r="C178" t="str">
            <v>Success Institute</v>
          </cell>
          <cell r="D178">
            <v>1.0277800466765437E-5</v>
          </cell>
          <cell r="E178">
            <v>17782.99127196124</v>
          </cell>
          <cell r="F178">
            <v>13865.806117862256</v>
          </cell>
          <cell r="G178">
            <v>-27445</v>
          </cell>
          <cell r="H178">
            <v>-4962.0864532099895</v>
          </cell>
          <cell r="I178">
            <v>-205.34049988860383</v>
          </cell>
          <cell r="J178">
            <v>15006.356769470283</v>
          </cell>
          <cell r="K178">
            <v>0</v>
          </cell>
          <cell r="L178">
            <v>-788.45889651821733</v>
          </cell>
          <cell r="M178">
            <v>141.49459888052991</v>
          </cell>
          <cell r="N178">
            <v>5.3339728862419262</v>
          </cell>
          <cell r="O178">
            <v>-2.4071636473211329</v>
          </cell>
          <cell r="P178">
            <v>0</v>
          </cell>
          <cell r="Q178">
            <v>0</v>
          </cell>
          <cell r="R178">
            <v>0</v>
          </cell>
          <cell r="S178">
            <v>13398.689717796418</v>
          </cell>
          <cell r="T178">
            <v>5130.6699999999983</v>
          </cell>
          <cell r="U178">
            <v>75031.783847351413</v>
          </cell>
          <cell r="V178">
            <v>565.97839552211963</v>
          </cell>
          <cell r="W178">
            <v>0</v>
          </cell>
          <cell r="X178">
            <v>80728.432242873532</v>
          </cell>
          <cell r="Y178">
            <v>142353</v>
          </cell>
          <cell r="Z178">
            <v>0</v>
          </cell>
          <cell r="AA178">
            <v>0</v>
          </cell>
          <cell r="AB178">
            <v>1026.7024994430192</v>
          </cell>
          <cell r="AC178">
            <v>143379.70249944302</v>
          </cell>
          <cell r="AD178" t="str">
            <v>N/A</v>
          </cell>
          <cell r="AE178">
            <v>-12502</v>
          </cell>
          <cell r="AF178">
            <v>-12502</v>
          </cell>
          <cell r="AG178">
            <v>-12502</v>
          </cell>
          <cell r="AH178">
            <v>-12502</v>
          </cell>
          <cell r="AI178">
            <v>-12644</v>
          </cell>
          <cell r="AJ178">
            <v>0</v>
          </cell>
          <cell r="AK178">
            <v>-62652</v>
          </cell>
          <cell r="AL178">
            <v>511579</v>
          </cell>
          <cell r="AM178">
            <v>13398.689717796418</v>
          </cell>
          <cell r="AN178">
            <v>-15207.669999999998</v>
          </cell>
          <cell r="AO178">
            <v>74571.059743430524</v>
          </cell>
          <cell r="AP178">
            <v>0</v>
          </cell>
          <cell r="AQ178">
            <v>-137222.33000000002</v>
          </cell>
          <cell r="AR178">
            <v>0</v>
          </cell>
          <cell r="AS178">
            <v>0</v>
          </cell>
          <cell r="AT178">
            <v>447118.74946122692</v>
          </cell>
          <cell r="AU178">
            <v>1.5430163940450943E-5</v>
          </cell>
          <cell r="AV178">
            <v>0</v>
          </cell>
          <cell r="AW178">
            <v>0</v>
          </cell>
          <cell r="AY178">
            <v>0</v>
          </cell>
          <cell r="AZ178">
            <v>0</v>
          </cell>
          <cell r="BA178">
            <v>0</v>
          </cell>
          <cell r="BB178">
            <v>0</v>
          </cell>
          <cell r="BC178">
            <v>0</v>
          </cell>
          <cell r="BD178">
            <v>0</v>
          </cell>
          <cell r="BE178">
            <v>0</v>
          </cell>
          <cell r="BF178">
            <v>0</v>
          </cell>
          <cell r="BG178">
            <v>0</v>
          </cell>
          <cell r="BH178">
            <v>0</v>
          </cell>
          <cell r="BJ178">
            <v>0</v>
          </cell>
          <cell r="BL178">
            <v>0</v>
          </cell>
          <cell r="BM178">
            <v>0</v>
          </cell>
          <cell r="BN178">
            <v>0</v>
          </cell>
          <cell r="BO178">
            <v>0</v>
          </cell>
          <cell r="BQ178">
            <v>0</v>
          </cell>
          <cell r="BR178">
            <v>0</v>
          </cell>
          <cell r="BS178">
            <v>0</v>
          </cell>
          <cell r="BT178">
            <v>0</v>
          </cell>
          <cell r="CB178">
            <v>0</v>
          </cell>
          <cell r="CC178">
            <v>0</v>
          </cell>
          <cell r="CD178">
            <v>0</v>
          </cell>
          <cell r="CE178">
            <v>0</v>
          </cell>
          <cell r="CF178">
            <v>0</v>
          </cell>
          <cell r="CI178">
            <v>0</v>
          </cell>
          <cell r="CJ178">
            <v>0</v>
          </cell>
          <cell r="CK178">
            <v>0</v>
          </cell>
          <cell r="CV178">
            <v>1.0277800466765437E-5</v>
          </cell>
          <cell r="DG178">
            <v>447119</v>
          </cell>
          <cell r="DR178">
            <v>241292.06</v>
          </cell>
          <cell r="EC178">
            <v>1.8530199460355223</v>
          </cell>
          <cell r="EN178">
            <v>2.4095909012463064E-2</v>
          </cell>
        </row>
        <row r="179">
          <cell r="B179">
            <v>34905</v>
          </cell>
          <cell r="C179" t="str">
            <v>Mitchell Community College</v>
          </cell>
          <cell r="D179">
            <v>6.4680458820755033E-4</v>
          </cell>
          <cell r="E179">
            <v>1119122.7523780898</v>
          </cell>
          <cell r="F179">
            <v>872605.67523472523</v>
          </cell>
          <cell r="G179">
            <v>-278301</v>
          </cell>
          <cell r="H179">
            <v>-312275.01403603569</v>
          </cell>
          <cell r="I179">
            <v>-12922.529280681752</v>
          </cell>
          <cell r="J179">
            <v>944383.03624972759</v>
          </cell>
          <cell r="K179">
            <v>0</v>
          </cell>
          <cell r="L179">
            <v>-49619.452482087574</v>
          </cell>
          <cell r="M179">
            <v>8904.5663085650485</v>
          </cell>
          <cell r="N179">
            <v>335.67864518795449</v>
          </cell>
          <cell r="O179">
            <v>-151.48810260409036</v>
          </cell>
          <cell r="P179">
            <v>0</v>
          </cell>
          <cell r="Q179">
            <v>0</v>
          </cell>
          <cell r="R179">
            <v>0</v>
          </cell>
          <cell r="S179">
            <v>2292082.2249148865</v>
          </cell>
          <cell r="T179">
            <v>4387.6899999999441</v>
          </cell>
          <cell r="U179">
            <v>4721915.1812486378</v>
          </cell>
          <cell r="V179">
            <v>35618.265234260194</v>
          </cell>
          <cell r="W179">
            <v>0</v>
          </cell>
          <cell r="X179">
            <v>4761921.1364828981</v>
          </cell>
          <cell r="Y179">
            <v>1395896</v>
          </cell>
          <cell r="Z179">
            <v>0</v>
          </cell>
          <cell r="AA179">
            <v>0</v>
          </cell>
          <cell r="AB179">
            <v>64612.646403408755</v>
          </cell>
          <cell r="AC179">
            <v>1460508.6464034088</v>
          </cell>
          <cell r="AD179" t="str">
            <v>N/A</v>
          </cell>
          <cell r="AE179">
            <v>662064</v>
          </cell>
          <cell r="AF179">
            <v>662063</v>
          </cell>
          <cell r="AG179">
            <v>662063</v>
          </cell>
          <cell r="AH179">
            <v>662063</v>
          </cell>
          <cell r="AI179">
            <v>653159</v>
          </cell>
          <cell r="AJ179">
            <v>0</v>
          </cell>
          <cell r="AK179">
            <v>3301412</v>
          </cell>
          <cell r="AL179">
            <v>23119553</v>
          </cell>
          <cell r="AM179">
            <v>2292082.2249148865</v>
          </cell>
          <cell r="AN179">
            <v>-574849.68999999994</v>
          </cell>
          <cell r="AO179">
            <v>4692920.8000794901</v>
          </cell>
          <cell r="AP179">
            <v>0</v>
          </cell>
          <cell r="AQ179">
            <v>-1391508.31</v>
          </cell>
          <cell r="AR179">
            <v>0</v>
          </cell>
          <cell r="AS179">
            <v>0</v>
          </cell>
          <cell r="AT179">
            <v>28138198.024994377</v>
          </cell>
          <cell r="AU179">
            <v>6.9732791259809873E-4</v>
          </cell>
          <cell r="AV179">
            <v>0</v>
          </cell>
          <cell r="AW179">
            <v>0</v>
          </cell>
          <cell r="AY179">
            <v>0</v>
          </cell>
          <cell r="AZ179">
            <v>0</v>
          </cell>
          <cell r="BA179">
            <v>0</v>
          </cell>
          <cell r="BB179">
            <v>0</v>
          </cell>
          <cell r="BC179">
            <v>0</v>
          </cell>
          <cell r="BD179">
            <v>0</v>
          </cell>
          <cell r="BE179">
            <v>0</v>
          </cell>
          <cell r="BF179">
            <v>0</v>
          </cell>
          <cell r="BG179">
            <v>0</v>
          </cell>
          <cell r="BH179">
            <v>0</v>
          </cell>
          <cell r="BJ179">
            <v>0</v>
          </cell>
          <cell r="BL179">
            <v>0</v>
          </cell>
          <cell r="BM179">
            <v>0</v>
          </cell>
          <cell r="BN179">
            <v>0</v>
          </cell>
          <cell r="BO179">
            <v>0</v>
          </cell>
          <cell r="BQ179">
            <v>0</v>
          </cell>
          <cell r="BR179">
            <v>0</v>
          </cell>
          <cell r="BS179">
            <v>0</v>
          </cell>
          <cell r="BT179">
            <v>0</v>
          </cell>
          <cell r="CB179">
            <v>0</v>
          </cell>
          <cell r="CC179">
            <v>0</v>
          </cell>
          <cell r="CD179">
            <v>0</v>
          </cell>
          <cell r="CE179">
            <v>0</v>
          </cell>
          <cell r="CF179">
            <v>0</v>
          </cell>
          <cell r="CI179">
            <v>0</v>
          </cell>
          <cell r="CJ179">
            <v>0</v>
          </cell>
          <cell r="CK179">
            <v>0</v>
          </cell>
          <cell r="CV179">
            <v>6.4680458820755033E-4</v>
          </cell>
          <cell r="DG179">
            <v>28138198</v>
          </cell>
          <cell r="DR179">
            <v>10185169.599999998</v>
          </cell>
          <cell r="EC179">
            <v>2.7626636673777143</v>
          </cell>
          <cell r="EN179">
            <v>2.4095909012463064E-2</v>
          </cell>
        </row>
        <row r="180">
          <cell r="B180">
            <v>34910</v>
          </cell>
          <cell r="C180" t="str">
            <v>Mooresville City Schools</v>
          </cell>
          <cell r="D180">
            <v>2.0249211906262152E-3</v>
          </cell>
          <cell r="E180">
            <v>3503585.8086324492</v>
          </cell>
          <cell r="F180">
            <v>2731826.2038619011</v>
          </cell>
          <cell r="G180">
            <v>292746</v>
          </cell>
          <cell r="H180">
            <v>-977624.93456796731</v>
          </cell>
          <cell r="I180">
            <v>-40455.964373189592</v>
          </cell>
          <cell r="J180">
            <v>2956536.2661842597</v>
          </cell>
          <cell r="K180">
            <v>0</v>
          </cell>
          <cell r="L180">
            <v>-155341.32353125568</v>
          </cell>
          <cell r="M180">
            <v>27877.113644969562</v>
          </cell>
          <cell r="N180">
            <v>1050.8935995111931</v>
          </cell>
          <cell r="O180">
            <v>-474.25679205656587</v>
          </cell>
          <cell r="P180">
            <v>0</v>
          </cell>
          <cell r="Q180">
            <v>0</v>
          </cell>
          <cell r="R180">
            <v>0</v>
          </cell>
          <cell r="S180">
            <v>8339725.80665862</v>
          </cell>
          <cell r="T180">
            <v>1563174</v>
          </cell>
          <cell r="U180">
            <v>14782681.3309213</v>
          </cell>
          <cell r="V180">
            <v>111508.45457987825</v>
          </cell>
          <cell r="W180">
            <v>0</v>
          </cell>
          <cell r="X180">
            <v>16457363.785501178</v>
          </cell>
          <cell r="Y180">
            <v>99443.689999999944</v>
          </cell>
          <cell r="Z180">
            <v>0</v>
          </cell>
          <cell r="AA180">
            <v>0</v>
          </cell>
          <cell r="AB180">
            <v>202279.82186594795</v>
          </cell>
          <cell r="AC180">
            <v>301723.51186594786</v>
          </cell>
          <cell r="AD180" t="str">
            <v>N/A</v>
          </cell>
          <cell r="AE180">
            <v>3236703</v>
          </cell>
          <cell r="AF180">
            <v>3236703</v>
          </cell>
          <cell r="AG180">
            <v>3236703</v>
          </cell>
          <cell r="AH180">
            <v>3236703</v>
          </cell>
          <cell r="AI180">
            <v>3208826</v>
          </cell>
          <cell r="AJ180">
            <v>0</v>
          </cell>
          <cell r="AK180">
            <v>16155638</v>
          </cell>
          <cell r="AL180">
            <v>65259427</v>
          </cell>
          <cell r="AM180">
            <v>8339725.80665862</v>
          </cell>
          <cell r="AN180">
            <v>-1663838.31</v>
          </cell>
          <cell r="AO180">
            <v>14691909.96363523</v>
          </cell>
          <cell r="AP180">
            <v>0</v>
          </cell>
          <cell r="AQ180">
            <v>1463730.31</v>
          </cell>
          <cell r="AR180">
            <v>0</v>
          </cell>
          <cell r="AS180">
            <v>0</v>
          </cell>
          <cell r="AT180">
            <v>88090954.770293862</v>
          </cell>
          <cell r="AU180">
            <v>1.9683433939587879E-3</v>
          </cell>
          <cell r="AV180">
            <v>0</v>
          </cell>
          <cell r="AW180">
            <v>0</v>
          </cell>
          <cell r="AY180">
            <v>0</v>
          </cell>
          <cell r="AZ180">
            <v>0</v>
          </cell>
          <cell r="BA180">
            <v>0</v>
          </cell>
          <cell r="BB180">
            <v>0</v>
          </cell>
          <cell r="BC180">
            <v>0</v>
          </cell>
          <cell r="BD180">
            <v>0</v>
          </cell>
          <cell r="BE180">
            <v>0</v>
          </cell>
          <cell r="BF180">
            <v>0</v>
          </cell>
          <cell r="BG180">
            <v>0</v>
          </cell>
          <cell r="BH180">
            <v>0</v>
          </cell>
          <cell r="BJ180">
            <v>0</v>
          </cell>
          <cell r="BL180">
            <v>0</v>
          </cell>
          <cell r="BM180">
            <v>0</v>
          </cell>
          <cell r="BN180">
            <v>0</v>
          </cell>
          <cell r="BO180">
            <v>0</v>
          </cell>
          <cell r="BQ180">
            <v>0</v>
          </cell>
          <cell r="BR180">
            <v>0</v>
          </cell>
          <cell r="BS180">
            <v>0</v>
          </cell>
          <cell r="BT180">
            <v>0</v>
          </cell>
          <cell r="CB180">
            <v>0</v>
          </cell>
          <cell r="CC180">
            <v>0</v>
          </cell>
          <cell r="CD180">
            <v>0</v>
          </cell>
          <cell r="CE180">
            <v>0</v>
          </cell>
          <cell r="CF180">
            <v>0</v>
          </cell>
          <cell r="CI180">
            <v>0</v>
          </cell>
          <cell r="CJ180">
            <v>0</v>
          </cell>
          <cell r="CK180">
            <v>0</v>
          </cell>
          <cell r="CV180">
            <v>2.0249211906262152E-3</v>
          </cell>
          <cell r="DG180">
            <v>88090955</v>
          </cell>
          <cell r="DR180">
            <v>28760253.99000001</v>
          </cell>
          <cell r="EC180">
            <v>3.0629407873320376</v>
          </cell>
          <cell r="EN180">
            <v>2.4095909012463064E-2</v>
          </cell>
        </row>
        <row r="181">
          <cell r="B181">
            <v>35000</v>
          </cell>
          <cell r="C181" t="str">
            <v>Jackson County Schools</v>
          </cell>
          <cell r="D181">
            <v>1.3013259753777465E-3</v>
          </cell>
          <cell r="E181">
            <v>2251597.3662798544</v>
          </cell>
          <cell r="F181">
            <v>1755622.1031020361</v>
          </cell>
          <cell r="G181">
            <v>-42224</v>
          </cell>
          <cell r="H181">
            <v>-628275.67187285447</v>
          </cell>
          <cell r="I181">
            <v>-25999.232731377164</v>
          </cell>
          <cell r="J181">
            <v>1900033.1756823007</v>
          </cell>
          <cell r="K181">
            <v>0</v>
          </cell>
          <cell r="L181">
            <v>-99830.897269767709</v>
          </cell>
          <cell r="M181">
            <v>17915.369878438294</v>
          </cell>
          <cell r="N181">
            <v>675.36215470154286</v>
          </cell>
          <cell r="O181">
            <v>-304.78355669322201</v>
          </cell>
          <cell r="P181">
            <v>0</v>
          </cell>
          <cell r="Q181">
            <v>0</v>
          </cell>
          <cell r="R181">
            <v>0</v>
          </cell>
          <cell r="S181">
            <v>5129208.791666639</v>
          </cell>
          <cell r="T181">
            <v>0</v>
          </cell>
          <cell r="U181">
            <v>9500165.8784115035</v>
          </cell>
          <cell r="V181">
            <v>71661.479513753176</v>
          </cell>
          <cell r="W181">
            <v>0</v>
          </cell>
          <cell r="X181">
            <v>9571827.3579252567</v>
          </cell>
          <cell r="Y181">
            <v>211122.25</v>
          </cell>
          <cell r="Z181">
            <v>0</v>
          </cell>
          <cell r="AA181">
            <v>0</v>
          </cell>
          <cell r="AB181">
            <v>129996.16365688581</v>
          </cell>
          <cell r="AC181">
            <v>341118.41365688579</v>
          </cell>
          <cell r="AD181" t="str">
            <v>N/A</v>
          </cell>
          <cell r="AE181">
            <v>1849725</v>
          </cell>
          <cell r="AF181">
            <v>1849724</v>
          </cell>
          <cell r="AG181">
            <v>1849724</v>
          </cell>
          <cell r="AH181">
            <v>1849724</v>
          </cell>
          <cell r="AI181">
            <v>1831809</v>
          </cell>
          <cell r="AJ181">
            <v>0</v>
          </cell>
          <cell r="AK181">
            <v>9230706</v>
          </cell>
          <cell r="AL181">
            <v>43375569</v>
          </cell>
          <cell r="AM181">
            <v>5129208.791666639</v>
          </cell>
          <cell r="AN181">
            <v>-1123383.75</v>
          </cell>
          <cell r="AO181">
            <v>9441831.1942683719</v>
          </cell>
          <cell r="AP181">
            <v>0</v>
          </cell>
          <cell r="AQ181">
            <v>-211122.25</v>
          </cell>
          <cell r="AR181">
            <v>0</v>
          </cell>
          <cell r="AS181">
            <v>0</v>
          </cell>
          <cell r="AT181">
            <v>56612102.985935017</v>
          </cell>
          <cell r="AU181">
            <v>1.3082863040847189E-3</v>
          </cell>
          <cell r="AV181">
            <v>0</v>
          </cell>
          <cell r="AW181">
            <v>0</v>
          </cell>
          <cell r="AY181">
            <v>0</v>
          </cell>
          <cell r="AZ181">
            <v>0</v>
          </cell>
          <cell r="BA181">
            <v>0</v>
          </cell>
          <cell r="BB181">
            <v>0</v>
          </cell>
          <cell r="BC181">
            <v>0</v>
          </cell>
          <cell r="BD181">
            <v>0</v>
          </cell>
          <cell r="BE181">
            <v>0</v>
          </cell>
          <cell r="BF181">
            <v>0</v>
          </cell>
          <cell r="BG181">
            <v>0</v>
          </cell>
          <cell r="BH181">
            <v>0</v>
          </cell>
          <cell r="BJ181">
            <v>0</v>
          </cell>
          <cell r="BL181">
            <v>0</v>
          </cell>
          <cell r="BM181">
            <v>0</v>
          </cell>
          <cell r="BN181">
            <v>0</v>
          </cell>
          <cell r="BO181">
            <v>0</v>
          </cell>
          <cell r="BQ181">
            <v>0</v>
          </cell>
          <cell r="BR181">
            <v>0</v>
          </cell>
          <cell r="BS181">
            <v>0</v>
          </cell>
          <cell r="BT181">
            <v>0</v>
          </cell>
          <cell r="CB181">
            <v>0</v>
          </cell>
          <cell r="CC181">
            <v>0</v>
          </cell>
          <cell r="CD181">
            <v>0</v>
          </cell>
          <cell r="CE181">
            <v>0</v>
          </cell>
          <cell r="CF181">
            <v>0</v>
          </cell>
          <cell r="CI181">
            <v>0</v>
          </cell>
          <cell r="CJ181">
            <v>0</v>
          </cell>
          <cell r="CK181">
            <v>0</v>
          </cell>
          <cell r="CV181">
            <v>1.3013259753777465E-3</v>
          </cell>
          <cell r="DG181">
            <v>56612103</v>
          </cell>
          <cell r="DR181">
            <v>18923949.79000001</v>
          </cell>
          <cell r="EC181">
            <v>2.9915585080401956</v>
          </cell>
          <cell r="EN181">
            <v>2.4095909012463064E-2</v>
          </cell>
        </row>
        <row r="182">
          <cell r="B182">
            <v>35005</v>
          </cell>
          <cell r="C182" t="str">
            <v>Southwestern Community College</v>
          </cell>
          <cell r="D182">
            <v>6.1334207961408302E-4</v>
          </cell>
          <cell r="E182">
            <v>1061224.8100917251</v>
          </cell>
          <cell r="F182">
            <v>827461.32184173318</v>
          </cell>
          <cell r="G182">
            <v>48096</v>
          </cell>
          <cell r="H182">
            <v>-296119.43083328812</v>
          </cell>
          <cell r="I182">
            <v>-12253.980765430049</v>
          </cell>
          <cell r="J182">
            <v>895525.27295895328</v>
          </cell>
          <cell r="K182">
            <v>0</v>
          </cell>
          <cell r="L182">
            <v>-47052.384490677156</v>
          </cell>
          <cell r="M182">
            <v>8443.8875625357414</v>
          </cell>
          <cell r="N182">
            <v>318.31227247811682</v>
          </cell>
          <cell r="O182">
            <v>-143.65084846641437</v>
          </cell>
          <cell r="P182">
            <v>0</v>
          </cell>
          <cell r="Q182">
            <v>0</v>
          </cell>
          <cell r="R182">
            <v>0</v>
          </cell>
          <cell r="S182">
            <v>2485500.1577895633</v>
          </cell>
          <cell r="T182">
            <v>240482.01</v>
          </cell>
          <cell r="U182">
            <v>4477626.3647947665</v>
          </cell>
          <cell r="V182">
            <v>33775.550250142966</v>
          </cell>
          <cell r="W182">
            <v>0</v>
          </cell>
          <cell r="X182">
            <v>4751883.9250449091</v>
          </cell>
          <cell r="Y182">
            <v>0</v>
          </cell>
          <cell r="Z182">
            <v>0</v>
          </cell>
          <cell r="AA182">
            <v>0</v>
          </cell>
          <cell r="AB182">
            <v>61269.90382715025</v>
          </cell>
          <cell r="AC182">
            <v>61269.90382715025</v>
          </cell>
          <cell r="AD182" t="str">
            <v>N/A</v>
          </cell>
          <cell r="AE182">
            <v>939811</v>
          </cell>
          <cell r="AF182">
            <v>939811</v>
          </cell>
          <cell r="AG182">
            <v>939811</v>
          </cell>
          <cell r="AH182">
            <v>939811</v>
          </cell>
          <cell r="AI182">
            <v>931367</v>
          </cell>
          <cell r="AJ182">
            <v>0</v>
          </cell>
          <cell r="AK182">
            <v>4690611</v>
          </cell>
          <cell r="AL182">
            <v>20053303</v>
          </cell>
          <cell r="AM182">
            <v>2485500.1577895633</v>
          </cell>
          <cell r="AN182">
            <v>-546952.01</v>
          </cell>
          <cell r="AO182">
            <v>4450132.0112177599</v>
          </cell>
          <cell r="AP182">
            <v>0</v>
          </cell>
          <cell r="AQ182">
            <v>240482.01</v>
          </cell>
          <cell r="AR182">
            <v>0</v>
          </cell>
          <cell r="AS182">
            <v>0</v>
          </cell>
          <cell r="AT182">
            <v>26682465.16900732</v>
          </cell>
          <cell r="AU182">
            <v>6.0484421486170265E-4</v>
          </cell>
          <cell r="AV182">
            <v>0</v>
          </cell>
          <cell r="AW182">
            <v>0</v>
          </cell>
          <cell r="AY182">
            <v>0</v>
          </cell>
          <cell r="AZ182">
            <v>0</v>
          </cell>
          <cell r="BA182">
            <v>0</v>
          </cell>
          <cell r="BB182">
            <v>0</v>
          </cell>
          <cell r="BC182">
            <v>0</v>
          </cell>
          <cell r="BD182">
            <v>0</v>
          </cell>
          <cell r="BE182">
            <v>0</v>
          </cell>
          <cell r="BF182">
            <v>0</v>
          </cell>
          <cell r="BG182">
            <v>0</v>
          </cell>
          <cell r="BH182">
            <v>0</v>
          </cell>
          <cell r="BJ182">
            <v>0</v>
          </cell>
          <cell r="BL182">
            <v>0</v>
          </cell>
          <cell r="BM182">
            <v>0</v>
          </cell>
          <cell r="BN182">
            <v>0</v>
          </cell>
          <cell r="BO182">
            <v>0</v>
          </cell>
          <cell r="BQ182">
            <v>0</v>
          </cell>
          <cell r="BR182">
            <v>0</v>
          </cell>
          <cell r="BS182">
            <v>0</v>
          </cell>
          <cell r="BT182">
            <v>0</v>
          </cell>
          <cell r="CB182">
            <v>0</v>
          </cell>
          <cell r="CC182">
            <v>0</v>
          </cell>
          <cell r="CD182">
            <v>0</v>
          </cell>
          <cell r="CE182">
            <v>0</v>
          </cell>
          <cell r="CF182">
            <v>0</v>
          </cell>
          <cell r="CI182">
            <v>0</v>
          </cell>
          <cell r="CJ182">
            <v>0</v>
          </cell>
          <cell r="CK182">
            <v>0</v>
          </cell>
          <cell r="CV182">
            <v>6.1334207961408302E-4</v>
          </cell>
          <cell r="DG182">
            <v>26682465</v>
          </cell>
          <cell r="DR182">
            <v>9473854.3199999947</v>
          </cell>
          <cell r="EC182">
            <v>2.8164318448164627</v>
          </cell>
          <cell r="EN182">
            <v>2.4095909012463064E-2</v>
          </cell>
        </row>
        <row r="183">
          <cell r="B183">
            <v>35100</v>
          </cell>
          <cell r="C183" t="str">
            <v>Johnston County Schools</v>
          </cell>
          <cell r="D183">
            <v>1.1413440915809547E-2</v>
          </cell>
          <cell r="E183">
            <v>19747914.044955414</v>
          </cell>
          <cell r="F183">
            <v>15397901.466177898</v>
          </cell>
          <cell r="G183">
            <v>950099</v>
          </cell>
          <cell r="H183">
            <v>-5510369.727062312</v>
          </cell>
          <cell r="I183">
            <v>-228029.49626039513</v>
          </cell>
          <cell r="J183">
            <v>16664476.694575293</v>
          </cell>
          <cell r="K183">
            <v>0</v>
          </cell>
          <cell r="L183">
            <v>-875579.27000573336</v>
          </cell>
          <cell r="M183">
            <v>157128.97418579124</v>
          </cell>
          <cell r="N183">
            <v>5923.3475664868383</v>
          </cell>
          <cell r="O183">
            <v>-2673.1419968917539</v>
          </cell>
          <cell r="P183">
            <v>0</v>
          </cell>
          <cell r="Q183">
            <v>0</v>
          </cell>
          <cell r="R183">
            <v>0</v>
          </cell>
          <cell r="S183">
            <v>46306791.892135561</v>
          </cell>
          <cell r="T183">
            <v>5393316</v>
          </cell>
          <cell r="U183">
            <v>83322383.472876459</v>
          </cell>
          <cell r="V183">
            <v>628515.89674316498</v>
          </cell>
          <cell r="W183">
            <v>0</v>
          </cell>
          <cell r="X183">
            <v>89344215.369619623</v>
          </cell>
          <cell r="Y183">
            <v>642818.80000000075</v>
          </cell>
          <cell r="Z183">
            <v>0</v>
          </cell>
          <cell r="AA183">
            <v>0</v>
          </cell>
          <cell r="AB183">
            <v>1140147.4813019757</v>
          </cell>
          <cell r="AC183">
            <v>1782966.2813019764</v>
          </cell>
          <cell r="AD183" t="str">
            <v>N/A</v>
          </cell>
          <cell r="AE183">
            <v>17543675</v>
          </cell>
          <cell r="AF183">
            <v>17543675</v>
          </cell>
          <cell r="AG183">
            <v>17543675</v>
          </cell>
          <cell r="AH183">
            <v>17543675</v>
          </cell>
          <cell r="AI183">
            <v>17386546</v>
          </cell>
          <cell r="AJ183">
            <v>0</v>
          </cell>
          <cell r="AK183">
            <v>87561246</v>
          </cell>
          <cell r="AL183">
            <v>371934869</v>
          </cell>
          <cell r="AM183">
            <v>46306791.892135561</v>
          </cell>
          <cell r="AN183">
            <v>-9279436.1999999993</v>
          </cell>
          <cell r="AO183">
            <v>82810751.888317659</v>
          </cell>
          <cell r="AP183">
            <v>0</v>
          </cell>
          <cell r="AQ183">
            <v>4750497.1999999993</v>
          </cell>
          <cell r="AR183">
            <v>0</v>
          </cell>
          <cell r="AS183">
            <v>0</v>
          </cell>
          <cell r="AT183">
            <v>496523473.78045321</v>
          </cell>
          <cell r="AU183">
            <v>1.1218234207632584E-2</v>
          </cell>
          <cell r="AV183">
            <v>0</v>
          </cell>
          <cell r="AW183">
            <v>0</v>
          </cell>
          <cell r="AY183">
            <v>0</v>
          </cell>
          <cell r="AZ183">
            <v>0</v>
          </cell>
          <cell r="BA183">
            <v>0</v>
          </cell>
          <cell r="BB183">
            <v>0</v>
          </cell>
          <cell r="BC183">
            <v>0</v>
          </cell>
          <cell r="BD183">
            <v>0</v>
          </cell>
          <cell r="BE183">
            <v>0</v>
          </cell>
          <cell r="BF183">
            <v>0</v>
          </cell>
          <cell r="BG183">
            <v>0</v>
          </cell>
          <cell r="BH183">
            <v>0</v>
          </cell>
          <cell r="BJ183">
            <v>0</v>
          </cell>
          <cell r="BL183">
            <v>0</v>
          </cell>
          <cell r="BM183">
            <v>0</v>
          </cell>
          <cell r="BN183">
            <v>0</v>
          </cell>
          <cell r="BO183">
            <v>0</v>
          </cell>
          <cell r="BQ183">
            <v>0</v>
          </cell>
          <cell r="BR183">
            <v>0</v>
          </cell>
          <cell r="BS183">
            <v>0</v>
          </cell>
          <cell r="BT183">
            <v>0</v>
          </cell>
          <cell r="CB183">
            <v>0</v>
          </cell>
          <cell r="CC183">
            <v>0</v>
          </cell>
          <cell r="CD183">
            <v>0</v>
          </cell>
          <cell r="CE183">
            <v>0</v>
          </cell>
          <cell r="CF183">
            <v>0</v>
          </cell>
          <cell r="CI183">
            <v>0</v>
          </cell>
          <cell r="CJ183">
            <v>0</v>
          </cell>
          <cell r="CK183">
            <v>0</v>
          </cell>
          <cell r="CV183">
            <v>1.1413440915809547E-2</v>
          </cell>
          <cell r="DG183">
            <v>496523474</v>
          </cell>
          <cell r="DR183">
            <v>160761230.99999928</v>
          </cell>
          <cell r="EC183">
            <v>3.0885772080210199</v>
          </cell>
          <cell r="EN183">
            <v>2.4095909012463064E-2</v>
          </cell>
        </row>
        <row r="184">
          <cell r="B184">
            <v>35105</v>
          </cell>
          <cell r="C184" t="str">
            <v>Johnston Technical College</v>
          </cell>
          <cell r="D184">
            <v>1.0623775128854984E-3</v>
          </cell>
          <cell r="E184">
            <v>1838160.8107942143</v>
          </cell>
          <cell r="F184">
            <v>1433256.1393150871</v>
          </cell>
          <cell r="G184">
            <v>183872</v>
          </cell>
          <cell r="H184">
            <v>-512912.18212792359</v>
          </cell>
          <cell r="I184">
            <v>-21225.273858130695</v>
          </cell>
          <cell r="J184">
            <v>1551150.5631748848</v>
          </cell>
          <cell r="K184">
            <v>0</v>
          </cell>
          <cell r="L184">
            <v>-81500.025633313868</v>
          </cell>
          <cell r="M184">
            <v>14625.763608810021</v>
          </cell>
          <cell r="N184">
            <v>551.35268163731598</v>
          </cell>
          <cell r="O184">
            <v>-248.81943729291257</v>
          </cell>
          <cell r="P184">
            <v>0</v>
          </cell>
          <cell r="Q184">
            <v>0</v>
          </cell>
          <cell r="R184">
            <v>0</v>
          </cell>
          <cell r="S184">
            <v>4405730.3285179716</v>
          </cell>
          <cell r="T184">
            <v>959474</v>
          </cell>
          <cell r="U184">
            <v>7755752.8158744238</v>
          </cell>
          <cell r="V184">
            <v>58503.054435240083</v>
          </cell>
          <cell r="W184">
            <v>0</v>
          </cell>
          <cell r="X184">
            <v>8773729.8703096639</v>
          </cell>
          <cell r="Y184">
            <v>40113.789999999804</v>
          </cell>
          <cell r="Z184">
            <v>0</v>
          </cell>
          <cell r="AA184">
            <v>0</v>
          </cell>
          <cell r="AB184">
            <v>106126.36929065347</v>
          </cell>
          <cell r="AC184">
            <v>146240.15929065328</v>
          </cell>
          <cell r="AD184" t="str">
            <v>N/A</v>
          </cell>
          <cell r="AE184">
            <v>1728423</v>
          </cell>
          <cell r="AF184">
            <v>1728423</v>
          </cell>
          <cell r="AG184">
            <v>1728423</v>
          </cell>
          <cell r="AH184">
            <v>1728423</v>
          </cell>
          <cell r="AI184">
            <v>1713797</v>
          </cell>
          <cell r="AJ184">
            <v>0</v>
          </cell>
          <cell r="AK184">
            <v>8627489</v>
          </cell>
          <cell r="AL184">
            <v>34071219</v>
          </cell>
          <cell r="AM184">
            <v>4405730.3285179716</v>
          </cell>
          <cell r="AN184">
            <v>-887406.2100000002</v>
          </cell>
          <cell r="AO184">
            <v>7708129.5010190113</v>
          </cell>
          <cell r="AP184">
            <v>0</v>
          </cell>
          <cell r="AQ184">
            <v>919360.2100000002</v>
          </cell>
          <cell r="AR184">
            <v>0</v>
          </cell>
          <cell r="AS184">
            <v>0</v>
          </cell>
          <cell r="AT184">
            <v>46217032.829536982</v>
          </cell>
          <cell r="AU184">
            <v>1.0276501268383588E-3</v>
          </cell>
          <cell r="AV184">
            <v>0</v>
          </cell>
          <cell r="AW184">
            <v>0</v>
          </cell>
          <cell r="AY184">
            <v>0</v>
          </cell>
          <cell r="AZ184">
            <v>0</v>
          </cell>
          <cell r="BA184">
            <v>0</v>
          </cell>
          <cell r="BB184">
            <v>0</v>
          </cell>
          <cell r="BC184">
            <v>0</v>
          </cell>
          <cell r="BD184">
            <v>0</v>
          </cell>
          <cell r="BE184">
            <v>0</v>
          </cell>
          <cell r="BF184">
            <v>0</v>
          </cell>
          <cell r="BG184">
            <v>0</v>
          </cell>
          <cell r="BH184">
            <v>0</v>
          </cell>
          <cell r="BJ184">
            <v>0</v>
          </cell>
          <cell r="BL184">
            <v>0</v>
          </cell>
          <cell r="BM184">
            <v>0</v>
          </cell>
          <cell r="BN184">
            <v>0</v>
          </cell>
          <cell r="BO184">
            <v>0</v>
          </cell>
          <cell r="BQ184">
            <v>0</v>
          </cell>
          <cell r="BR184">
            <v>0</v>
          </cell>
          <cell r="BS184">
            <v>0</v>
          </cell>
          <cell r="BT184">
            <v>0</v>
          </cell>
          <cell r="CB184">
            <v>0</v>
          </cell>
          <cell r="CC184">
            <v>0</v>
          </cell>
          <cell r="CD184">
            <v>0</v>
          </cell>
          <cell r="CE184">
            <v>0</v>
          </cell>
          <cell r="CF184">
            <v>0</v>
          </cell>
          <cell r="CI184">
            <v>0</v>
          </cell>
          <cell r="CJ184">
            <v>0</v>
          </cell>
          <cell r="CK184">
            <v>0</v>
          </cell>
          <cell r="CV184">
            <v>1.0623775128854984E-3</v>
          </cell>
          <cell r="DG184">
            <v>46217033</v>
          </cell>
          <cell r="DR184">
            <v>15728539.479999999</v>
          </cell>
          <cell r="EC184">
            <v>2.9384186026152253</v>
          </cell>
          <cell r="EN184">
            <v>2.4095909012463064E-2</v>
          </cell>
        </row>
        <row r="185">
          <cell r="B185">
            <v>35106</v>
          </cell>
          <cell r="C185" t="str">
            <v>Neuse Charter School</v>
          </cell>
          <cell r="D185">
            <v>2.6629198982874028E-4</v>
          </cell>
          <cell r="E185">
            <v>460747.23344069708</v>
          </cell>
          <cell r="F185">
            <v>359255.18437964912</v>
          </cell>
          <cell r="G185">
            <v>158620</v>
          </cell>
          <cell r="H185">
            <v>-128564.8499988223</v>
          </cell>
          <cell r="I185">
            <v>-5320.2560688525646</v>
          </cell>
          <cell r="J185">
            <v>388806.20587488858</v>
          </cell>
          <cell r="K185">
            <v>0</v>
          </cell>
          <cell r="L185">
            <v>-20428.523508599137</v>
          </cell>
          <cell r="M185">
            <v>3666.0449293363063</v>
          </cell>
          <cell r="N185">
            <v>138.20021688131962</v>
          </cell>
          <cell r="O185">
            <v>-62.368246937789259</v>
          </cell>
          <cell r="P185">
            <v>0</v>
          </cell>
          <cell r="Q185">
            <v>0</v>
          </cell>
          <cell r="R185">
            <v>0</v>
          </cell>
          <cell r="S185">
            <v>1216856.8710182405</v>
          </cell>
          <cell r="T185">
            <v>828574</v>
          </cell>
          <cell r="U185">
            <v>1944031.0293744428</v>
          </cell>
          <cell r="V185">
            <v>14664.179717345225</v>
          </cell>
          <cell r="W185">
            <v>0</v>
          </cell>
          <cell r="X185">
            <v>2787269.2090917882</v>
          </cell>
          <cell r="Y185">
            <v>35472.290000000008</v>
          </cell>
          <cell r="Z185">
            <v>0</v>
          </cell>
          <cell r="AA185">
            <v>0</v>
          </cell>
          <cell r="AB185">
            <v>26601.280344262821</v>
          </cell>
          <cell r="AC185">
            <v>62073.570344262829</v>
          </cell>
          <cell r="AD185" t="str">
            <v>N/A</v>
          </cell>
          <cell r="AE185">
            <v>545773</v>
          </cell>
          <cell r="AF185">
            <v>545772</v>
          </cell>
          <cell r="AG185">
            <v>545772</v>
          </cell>
          <cell r="AH185">
            <v>545772</v>
          </cell>
          <cell r="AI185">
            <v>542106</v>
          </cell>
          <cell r="AJ185">
            <v>0</v>
          </cell>
          <cell r="AK185">
            <v>2725195</v>
          </cell>
          <cell r="AL185">
            <v>7834487</v>
          </cell>
          <cell r="AM185">
            <v>1216856.8710182405</v>
          </cell>
          <cell r="AN185">
            <v>-191932.71</v>
          </cell>
          <cell r="AO185">
            <v>1932093.9287475254</v>
          </cell>
          <cell r="AP185">
            <v>0</v>
          </cell>
          <cell r="AQ185">
            <v>793101.71</v>
          </cell>
          <cell r="AR185">
            <v>0</v>
          </cell>
          <cell r="AS185">
            <v>0</v>
          </cell>
          <cell r="AT185">
            <v>11584606.799765766</v>
          </cell>
          <cell r="AU185">
            <v>2.3630241392937746E-4</v>
          </cell>
          <cell r="AV185">
            <v>0</v>
          </cell>
          <cell r="AW185">
            <v>0</v>
          </cell>
          <cell r="AY185">
            <v>0</v>
          </cell>
          <cell r="AZ185">
            <v>0</v>
          </cell>
          <cell r="BA185">
            <v>0</v>
          </cell>
          <cell r="BB185">
            <v>0</v>
          </cell>
          <cell r="BC185">
            <v>0</v>
          </cell>
          <cell r="BD185">
            <v>0</v>
          </cell>
          <cell r="BE185">
            <v>0</v>
          </cell>
          <cell r="BF185">
            <v>0</v>
          </cell>
          <cell r="BG185">
            <v>0</v>
          </cell>
          <cell r="BH185">
            <v>0</v>
          </cell>
          <cell r="BJ185">
            <v>0</v>
          </cell>
          <cell r="BL185">
            <v>0</v>
          </cell>
          <cell r="BM185">
            <v>0</v>
          </cell>
          <cell r="BN185">
            <v>0</v>
          </cell>
          <cell r="BO185">
            <v>0</v>
          </cell>
          <cell r="BQ185">
            <v>0</v>
          </cell>
          <cell r="BR185">
            <v>0</v>
          </cell>
          <cell r="BS185">
            <v>0</v>
          </cell>
          <cell r="BT185">
            <v>0</v>
          </cell>
          <cell r="CB185">
            <v>0</v>
          </cell>
          <cell r="CC185">
            <v>0</v>
          </cell>
          <cell r="CD185">
            <v>0</v>
          </cell>
          <cell r="CE185">
            <v>0</v>
          </cell>
          <cell r="CF185">
            <v>0</v>
          </cell>
          <cell r="CI185">
            <v>0</v>
          </cell>
          <cell r="CJ185">
            <v>0</v>
          </cell>
          <cell r="CK185">
            <v>0</v>
          </cell>
          <cell r="CV185">
            <v>2.6629198982874028E-4</v>
          </cell>
          <cell r="DG185">
            <v>11584607</v>
          </cell>
          <cell r="DR185">
            <v>3395559.830000001</v>
          </cell>
          <cell r="EC185">
            <v>3.4116927929377692</v>
          </cell>
          <cell r="EN185">
            <v>2.4095909012463064E-2</v>
          </cell>
        </row>
        <row r="186">
          <cell r="B186">
            <v>35200</v>
          </cell>
          <cell r="C186" t="str">
            <v>Jones County Schools</v>
          </cell>
          <cell r="D186">
            <v>4.906476542015859E-4</v>
          </cell>
          <cell r="E186">
            <v>848934.84559162613</v>
          </cell>
          <cell r="F186">
            <v>661933.96800630644</v>
          </cell>
          <cell r="G186">
            <v>51397</v>
          </cell>
          <cell r="H186">
            <v>-236882.98737513451</v>
          </cell>
          <cell r="I186">
            <v>-9802.6649679288639</v>
          </cell>
          <cell r="J186">
            <v>716382.24256846914</v>
          </cell>
          <cell r="K186">
            <v>0</v>
          </cell>
          <cell r="L186">
            <v>-37639.912281035264</v>
          </cell>
          <cell r="M186">
            <v>6754.7519770808512</v>
          </cell>
          <cell r="N186">
            <v>254.63631957753904</v>
          </cell>
          <cell r="O186">
            <v>-114.91458709055344</v>
          </cell>
          <cell r="P186">
            <v>0</v>
          </cell>
          <cell r="Q186">
            <v>0</v>
          </cell>
          <cell r="R186">
            <v>0</v>
          </cell>
          <cell r="S186">
            <v>2001216.9652518709</v>
          </cell>
          <cell r="T186">
            <v>256982.06</v>
          </cell>
          <cell r="U186">
            <v>3581911.2128423457</v>
          </cell>
          <cell r="V186">
            <v>27019.007908323405</v>
          </cell>
          <cell r="W186">
            <v>0</v>
          </cell>
          <cell r="X186">
            <v>3865912.2807506691</v>
          </cell>
          <cell r="Y186">
            <v>0</v>
          </cell>
          <cell r="Z186">
            <v>0</v>
          </cell>
          <cell r="AA186">
            <v>0</v>
          </cell>
          <cell r="AB186">
            <v>49013.324839644323</v>
          </cell>
          <cell r="AC186">
            <v>49013.324839644323</v>
          </cell>
          <cell r="AD186" t="str">
            <v>N/A</v>
          </cell>
          <cell r="AE186">
            <v>764730</v>
          </cell>
          <cell r="AF186">
            <v>764731</v>
          </cell>
          <cell r="AG186">
            <v>764731</v>
          </cell>
          <cell r="AH186">
            <v>764731</v>
          </cell>
          <cell r="AI186">
            <v>757977</v>
          </cell>
          <cell r="AJ186">
            <v>0</v>
          </cell>
          <cell r="AK186">
            <v>3816900</v>
          </cell>
          <cell r="AL186">
            <v>16003381</v>
          </cell>
          <cell r="AM186">
            <v>2001216.9652518709</v>
          </cell>
          <cell r="AN186">
            <v>-476656.06</v>
          </cell>
          <cell r="AO186">
            <v>3559916.8959110253</v>
          </cell>
          <cell r="AP186">
            <v>0</v>
          </cell>
          <cell r="AQ186">
            <v>256982.06</v>
          </cell>
          <cell r="AR186">
            <v>0</v>
          </cell>
          <cell r="AS186">
            <v>0</v>
          </cell>
          <cell r="AT186">
            <v>21344840.861162897</v>
          </cell>
          <cell r="AU186">
            <v>4.8269115606973812E-4</v>
          </cell>
          <cell r="AV186">
            <v>0</v>
          </cell>
          <cell r="AW186">
            <v>0</v>
          </cell>
          <cell r="AY186">
            <v>0</v>
          </cell>
          <cell r="AZ186">
            <v>0</v>
          </cell>
          <cell r="BA186">
            <v>0</v>
          </cell>
          <cell r="BB186">
            <v>0</v>
          </cell>
          <cell r="BC186">
            <v>0</v>
          </cell>
          <cell r="BD186">
            <v>0</v>
          </cell>
          <cell r="BE186">
            <v>0</v>
          </cell>
          <cell r="BF186">
            <v>0</v>
          </cell>
          <cell r="BG186">
            <v>0</v>
          </cell>
          <cell r="BH186">
            <v>0</v>
          </cell>
          <cell r="BJ186">
            <v>0</v>
          </cell>
          <cell r="BL186">
            <v>0</v>
          </cell>
          <cell r="BM186">
            <v>0</v>
          </cell>
          <cell r="BN186">
            <v>0</v>
          </cell>
          <cell r="BO186">
            <v>0</v>
          </cell>
          <cell r="BQ186">
            <v>0</v>
          </cell>
          <cell r="BR186">
            <v>0</v>
          </cell>
          <cell r="BS186">
            <v>0</v>
          </cell>
          <cell r="BT186">
            <v>0</v>
          </cell>
          <cell r="CB186">
            <v>0</v>
          </cell>
          <cell r="CC186">
            <v>0</v>
          </cell>
          <cell r="CD186">
            <v>0</v>
          </cell>
          <cell r="CE186">
            <v>0</v>
          </cell>
          <cell r="CF186">
            <v>0</v>
          </cell>
          <cell r="CI186">
            <v>0</v>
          </cell>
          <cell r="CJ186">
            <v>0</v>
          </cell>
          <cell r="CK186">
            <v>0</v>
          </cell>
          <cell r="CV186">
            <v>4.906476542015859E-4</v>
          </cell>
          <cell r="DG186">
            <v>21344841</v>
          </cell>
          <cell r="DR186">
            <v>8278732.1899999976</v>
          </cell>
          <cell r="EC186">
            <v>2.5782741258115278</v>
          </cell>
          <cell r="EN186">
            <v>2.4095909012463064E-2</v>
          </cell>
        </row>
        <row r="187">
          <cell r="B187">
            <v>35300</v>
          </cell>
          <cell r="C187" t="str">
            <v>Sanford-Lee County Board Of Education</v>
          </cell>
          <cell r="D187">
            <v>3.3455649867538506E-3</v>
          </cell>
          <cell r="E187">
            <v>5788607.509126558</v>
          </cell>
          <cell r="F187">
            <v>4513510.0268819025</v>
          </cell>
          <cell r="G187">
            <v>750283</v>
          </cell>
          <cell r="H187">
            <v>-1615227.1833634353</v>
          </cell>
          <cell r="I187">
            <v>-66841.148454991155</v>
          </cell>
          <cell r="J187">
            <v>4884774.9038347034</v>
          </cell>
          <cell r="K187">
            <v>0</v>
          </cell>
          <cell r="L187">
            <v>-256654.18259633615</v>
          </cell>
          <cell r="M187">
            <v>46058.432186946346</v>
          </cell>
          <cell r="N187">
            <v>1736.2813168255134</v>
          </cell>
          <cell r="O187">
            <v>-783.56477554761932</v>
          </cell>
          <cell r="P187">
            <v>0</v>
          </cell>
          <cell r="Q187">
            <v>0</v>
          </cell>
          <cell r="R187">
            <v>0</v>
          </cell>
          <cell r="S187">
            <v>14045464.074156627</v>
          </cell>
          <cell r="T187">
            <v>3848715</v>
          </cell>
          <cell r="U187">
            <v>24423874.519173514</v>
          </cell>
          <cell r="V187">
            <v>184233.72874778538</v>
          </cell>
          <cell r="W187">
            <v>0</v>
          </cell>
          <cell r="X187">
            <v>28456823.247921299</v>
          </cell>
          <cell r="Y187">
            <v>97301.279999999795</v>
          </cell>
          <cell r="Z187">
            <v>0</v>
          </cell>
          <cell r="AA187">
            <v>0</v>
          </cell>
          <cell r="AB187">
            <v>334205.74227495573</v>
          </cell>
          <cell r="AC187">
            <v>431507.02227495553</v>
          </cell>
          <cell r="AD187" t="str">
            <v>N/A</v>
          </cell>
          <cell r="AE187">
            <v>5614275</v>
          </cell>
          <cell r="AF187">
            <v>5614275</v>
          </cell>
          <cell r="AG187">
            <v>5614275</v>
          </cell>
          <cell r="AH187">
            <v>5614275</v>
          </cell>
          <cell r="AI187">
            <v>5568217</v>
          </cell>
          <cell r="AJ187">
            <v>0</v>
          </cell>
          <cell r="AK187">
            <v>28025317</v>
          </cell>
          <cell r="AL187">
            <v>106302053</v>
          </cell>
          <cell r="AM187">
            <v>14045464.074156627</v>
          </cell>
          <cell r="AN187">
            <v>-2829384.72</v>
          </cell>
          <cell r="AO187">
            <v>24273902.505646344</v>
          </cell>
          <cell r="AP187">
            <v>0</v>
          </cell>
          <cell r="AQ187">
            <v>3751413.72</v>
          </cell>
          <cell r="AR187">
            <v>0</v>
          </cell>
          <cell r="AS187">
            <v>0</v>
          </cell>
          <cell r="AT187">
            <v>145543448.57980296</v>
          </cell>
          <cell r="AU187">
            <v>3.2062638597825256E-3</v>
          </cell>
          <cell r="AV187">
            <v>0</v>
          </cell>
          <cell r="AW187">
            <v>0</v>
          </cell>
          <cell r="AY187">
            <v>0</v>
          </cell>
          <cell r="AZ187">
            <v>0</v>
          </cell>
          <cell r="BA187">
            <v>0</v>
          </cell>
          <cell r="BB187">
            <v>0</v>
          </cell>
          <cell r="BC187">
            <v>0</v>
          </cell>
          <cell r="BD187">
            <v>0</v>
          </cell>
          <cell r="BE187">
            <v>0</v>
          </cell>
          <cell r="BF187">
            <v>0</v>
          </cell>
          <cell r="BG187">
            <v>0</v>
          </cell>
          <cell r="BH187">
            <v>0</v>
          </cell>
          <cell r="BJ187">
            <v>0</v>
          </cell>
          <cell r="BL187">
            <v>0</v>
          </cell>
          <cell r="BM187">
            <v>0</v>
          </cell>
          <cell r="BN187">
            <v>0</v>
          </cell>
          <cell r="BO187">
            <v>0</v>
          </cell>
          <cell r="BQ187">
            <v>0</v>
          </cell>
          <cell r="BR187">
            <v>0</v>
          </cell>
          <cell r="BS187">
            <v>0</v>
          </cell>
          <cell r="BT187">
            <v>0</v>
          </cell>
          <cell r="CB187">
            <v>0</v>
          </cell>
          <cell r="CC187">
            <v>0</v>
          </cell>
          <cell r="CD187">
            <v>0</v>
          </cell>
          <cell r="CE187">
            <v>0</v>
          </cell>
          <cell r="CF187">
            <v>0</v>
          </cell>
          <cell r="CI187">
            <v>0</v>
          </cell>
          <cell r="CJ187">
            <v>0</v>
          </cell>
          <cell r="CK187">
            <v>0</v>
          </cell>
          <cell r="CV187">
            <v>3.3455649867538506E-3</v>
          </cell>
          <cell r="DG187">
            <v>145543449</v>
          </cell>
          <cell r="DR187">
            <v>47527684.359999925</v>
          </cell>
          <cell r="EC187">
            <v>3.0622878215058114</v>
          </cell>
          <cell r="EN187">
            <v>2.4095909012463064E-2</v>
          </cell>
        </row>
        <row r="188">
          <cell r="B188">
            <v>35305</v>
          </cell>
          <cell r="C188" t="str">
            <v>Central Carolina Community College</v>
          </cell>
          <cell r="D188">
            <v>1.2597015295089031E-3</v>
          </cell>
          <cell r="E188">
            <v>2179577.3693963364</v>
          </cell>
          <cell r="F188">
            <v>1699466.4598739792</v>
          </cell>
          <cell r="G188">
            <v>536665</v>
          </cell>
          <cell r="H188">
            <v>-608179.53363432304</v>
          </cell>
          <cell r="I188">
            <v>-25167.616613713384</v>
          </cell>
          <cell r="J188">
            <v>1839258.3740056974</v>
          </cell>
          <cell r="K188">
            <v>0</v>
          </cell>
          <cell r="L188">
            <v>-96637.688298251334</v>
          </cell>
          <cell r="M188">
            <v>17342.325646758451</v>
          </cell>
          <cell r="N188">
            <v>653.75989978453049</v>
          </cell>
          <cell r="O188">
            <v>-295.03469522628018</v>
          </cell>
          <cell r="P188">
            <v>0</v>
          </cell>
          <cell r="Q188">
            <v>0</v>
          </cell>
          <cell r="R188">
            <v>0</v>
          </cell>
          <cell r="S188">
            <v>5542683.415581041</v>
          </cell>
          <cell r="T188">
            <v>2683324.21</v>
          </cell>
          <cell r="U188">
            <v>9196291.8700284883</v>
          </cell>
          <cell r="V188">
            <v>69369.302587033802</v>
          </cell>
          <cell r="W188">
            <v>0</v>
          </cell>
          <cell r="X188">
            <v>11948985.382615523</v>
          </cell>
          <cell r="Y188">
            <v>0</v>
          </cell>
          <cell r="Z188">
            <v>0</v>
          </cell>
          <cell r="AA188">
            <v>0</v>
          </cell>
          <cell r="AB188">
            <v>125838.08306856692</v>
          </cell>
          <cell r="AC188">
            <v>125838.08306856692</v>
          </cell>
          <cell r="AD188" t="str">
            <v>N/A</v>
          </cell>
          <cell r="AE188">
            <v>2368098</v>
          </cell>
          <cell r="AF188">
            <v>2368098</v>
          </cell>
          <cell r="AG188">
            <v>2368098</v>
          </cell>
          <cell r="AH188">
            <v>2368098</v>
          </cell>
          <cell r="AI188">
            <v>2350756</v>
          </cell>
          <cell r="AJ188">
            <v>0</v>
          </cell>
          <cell r="AK188">
            <v>11823148</v>
          </cell>
          <cell r="AL188">
            <v>38557191</v>
          </cell>
          <cell r="AM188">
            <v>5542683.415581041</v>
          </cell>
          <cell r="AN188">
            <v>-1121723.2100000002</v>
          </cell>
          <cell r="AO188">
            <v>9139823.0895469561</v>
          </cell>
          <cell r="AP188">
            <v>0</v>
          </cell>
          <cell r="AQ188">
            <v>2683324.21</v>
          </cell>
          <cell r="AR188">
            <v>0</v>
          </cell>
          <cell r="AS188">
            <v>0</v>
          </cell>
          <cell r="AT188">
            <v>54801298.505127996</v>
          </cell>
          <cell r="AU188">
            <v>1.1629552377531902E-3</v>
          </cell>
          <cell r="AV188">
            <v>0</v>
          </cell>
          <cell r="AW188">
            <v>0</v>
          </cell>
          <cell r="AY188">
            <v>0</v>
          </cell>
          <cell r="AZ188">
            <v>0</v>
          </cell>
          <cell r="BA188">
            <v>0</v>
          </cell>
          <cell r="BB188">
            <v>0</v>
          </cell>
          <cell r="BC188">
            <v>0</v>
          </cell>
          <cell r="BD188">
            <v>0</v>
          </cell>
          <cell r="BE188">
            <v>0</v>
          </cell>
          <cell r="BF188">
            <v>0</v>
          </cell>
          <cell r="BG188">
            <v>0</v>
          </cell>
          <cell r="BH188">
            <v>0</v>
          </cell>
          <cell r="BJ188">
            <v>0</v>
          </cell>
          <cell r="BL188">
            <v>0</v>
          </cell>
          <cell r="BM188">
            <v>0</v>
          </cell>
          <cell r="BN188">
            <v>0</v>
          </cell>
          <cell r="BO188">
            <v>0</v>
          </cell>
          <cell r="BQ188">
            <v>0</v>
          </cell>
          <cell r="BR188">
            <v>0</v>
          </cell>
          <cell r="BS188">
            <v>0</v>
          </cell>
          <cell r="BT188">
            <v>0</v>
          </cell>
          <cell r="CB188">
            <v>0</v>
          </cell>
          <cell r="CC188">
            <v>0</v>
          </cell>
          <cell r="CD188">
            <v>0</v>
          </cell>
          <cell r="CE188">
            <v>0</v>
          </cell>
          <cell r="CF188">
            <v>0</v>
          </cell>
          <cell r="CI188">
            <v>0</v>
          </cell>
          <cell r="CJ188">
            <v>0</v>
          </cell>
          <cell r="CK188">
            <v>0</v>
          </cell>
          <cell r="CV188">
            <v>1.2597015295089031E-3</v>
          </cell>
          <cell r="DG188">
            <v>54801298</v>
          </cell>
          <cell r="DR188">
            <v>18830477.289999992</v>
          </cell>
          <cell r="EC188">
            <v>2.9102447673539573</v>
          </cell>
          <cell r="EN188">
            <v>2.4095909012463064E-2</v>
          </cell>
        </row>
        <row r="189">
          <cell r="B189">
            <v>35400</v>
          </cell>
          <cell r="C189" t="str">
            <v>Lenoir County Schools</v>
          </cell>
          <cell r="D189">
            <v>2.6768339883394055E-3</v>
          </cell>
          <cell r="E189">
            <v>4631546.9545313986</v>
          </cell>
          <cell r="F189">
            <v>3611323.3772185892</v>
          </cell>
          <cell r="G189">
            <v>-87210</v>
          </cell>
          <cell r="H189">
            <v>-1292366.1744535959</v>
          </cell>
          <cell r="I189">
            <v>-53480.550732797485</v>
          </cell>
          <cell r="J189">
            <v>3908377.6700626169</v>
          </cell>
          <cell r="K189">
            <v>0</v>
          </cell>
          <cell r="L189">
            <v>-205352.65103008682</v>
          </cell>
          <cell r="M189">
            <v>36852.004733368143</v>
          </cell>
          <cell r="N189">
            <v>1389.2233032683846</v>
          </cell>
          <cell r="O189">
            <v>-626.94128840897213</v>
          </cell>
          <cell r="P189">
            <v>0</v>
          </cell>
          <cell r="Q189">
            <v>0</v>
          </cell>
          <cell r="R189">
            <v>0</v>
          </cell>
          <cell r="S189">
            <v>10550452.912344351</v>
          </cell>
          <cell r="T189">
            <v>50329.89000000013</v>
          </cell>
          <cell r="U189">
            <v>19541888.350313082</v>
          </cell>
          <cell r="V189">
            <v>147408.01893347257</v>
          </cell>
          <cell r="W189">
            <v>0</v>
          </cell>
          <cell r="X189">
            <v>19739626.259246554</v>
          </cell>
          <cell r="Y189">
            <v>486381</v>
          </cell>
          <cell r="Z189">
            <v>0</v>
          </cell>
          <cell r="AA189">
            <v>0</v>
          </cell>
          <cell r="AB189">
            <v>267402.75366398745</v>
          </cell>
          <cell r="AC189">
            <v>753783.75366398739</v>
          </cell>
          <cell r="AD189" t="str">
            <v>N/A</v>
          </cell>
          <cell r="AE189">
            <v>3804539</v>
          </cell>
          <cell r="AF189">
            <v>3804539</v>
          </cell>
          <cell r="AG189">
            <v>3804539</v>
          </cell>
          <cell r="AH189">
            <v>3804539</v>
          </cell>
          <cell r="AI189">
            <v>3767687</v>
          </cell>
          <cell r="AJ189">
            <v>0</v>
          </cell>
          <cell r="AK189">
            <v>18985843</v>
          </cell>
          <cell r="AL189">
            <v>89332731</v>
          </cell>
          <cell r="AM189">
            <v>10550452.912344351</v>
          </cell>
          <cell r="AN189">
            <v>-2417648.89</v>
          </cell>
          <cell r="AO189">
            <v>19421893.61558257</v>
          </cell>
          <cell r="AP189">
            <v>0</v>
          </cell>
          <cell r="AQ189">
            <v>-436051.10999999987</v>
          </cell>
          <cell r="AR189">
            <v>0</v>
          </cell>
          <cell r="AS189">
            <v>0</v>
          </cell>
          <cell r="AT189">
            <v>116451377.52792692</v>
          </cell>
          <cell r="AU189">
            <v>2.6944381381537237E-3</v>
          </cell>
          <cell r="AV189">
            <v>0</v>
          </cell>
          <cell r="AW189">
            <v>0</v>
          </cell>
          <cell r="AY189">
            <v>0</v>
          </cell>
          <cell r="AZ189">
            <v>0</v>
          </cell>
          <cell r="BA189">
            <v>0</v>
          </cell>
          <cell r="BB189">
            <v>0</v>
          </cell>
          <cell r="BC189">
            <v>0</v>
          </cell>
          <cell r="BD189">
            <v>0</v>
          </cell>
          <cell r="BE189">
            <v>0</v>
          </cell>
          <cell r="BF189">
            <v>0</v>
          </cell>
          <cell r="BG189">
            <v>0</v>
          </cell>
          <cell r="BH189">
            <v>0</v>
          </cell>
          <cell r="BJ189">
            <v>0</v>
          </cell>
          <cell r="BL189">
            <v>0</v>
          </cell>
          <cell r="BM189">
            <v>0</v>
          </cell>
          <cell r="BN189">
            <v>0</v>
          </cell>
          <cell r="BO189">
            <v>0</v>
          </cell>
          <cell r="BQ189">
            <v>0</v>
          </cell>
          <cell r="BR189">
            <v>0</v>
          </cell>
          <cell r="BS189">
            <v>0</v>
          </cell>
          <cell r="BT189">
            <v>0</v>
          </cell>
          <cell r="CB189">
            <v>0</v>
          </cell>
          <cell r="CC189">
            <v>0</v>
          </cell>
          <cell r="CD189">
            <v>0</v>
          </cell>
          <cell r="CE189">
            <v>0</v>
          </cell>
          <cell r="CF189">
            <v>0</v>
          </cell>
          <cell r="CI189">
            <v>0</v>
          </cell>
          <cell r="CJ189">
            <v>0</v>
          </cell>
          <cell r="CK189">
            <v>0</v>
          </cell>
          <cell r="CV189">
            <v>2.6768339883394055E-3</v>
          </cell>
          <cell r="DG189">
            <v>116451377</v>
          </cell>
          <cell r="DR189">
            <v>41850396.309999958</v>
          </cell>
          <cell r="EC189">
            <v>2.7825633032816581</v>
          </cell>
          <cell r="EN189">
            <v>2.4095909012463064E-2</v>
          </cell>
        </row>
        <row r="190">
          <cell r="B190">
            <v>35401</v>
          </cell>
          <cell r="C190" t="str">
            <v>Childrens Village Academy</v>
          </cell>
          <cell r="D190">
            <v>2.4651261078602637E-5</v>
          </cell>
          <cell r="E190">
            <v>42652.429575877002</v>
          </cell>
          <cell r="F190">
            <v>33257.077502330641</v>
          </cell>
          <cell r="G190">
            <v>-3724</v>
          </cell>
          <cell r="H190">
            <v>-11901.543433171271</v>
          </cell>
          <cell r="I190">
            <v>-492.50832307292279</v>
          </cell>
          <cell r="J190">
            <v>35992.683430571466</v>
          </cell>
          <cell r="K190">
            <v>0</v>
          </cell>
          <cell r="L190">
            <v>-1891.1153384099941</v>
          </cell>
          <cell r="M190">
            <v>339.37419873980349</v>
          </cell>
          <cell r="N190">
            <v>12.793511474573197</v>
          </cell>
          <cell r="O190">
            <v>-5.7735718572195234</v>
          </cell>
          <cell r="P190">
            <v>0</v>
          </cell>
          <cell r="Q190">
            <v>0</v>
          </cell>
          <cell r="R190">
            <v>0</v>
          </cell>
          <cell r="S190">
            <v>94239.417552482104</v>
          </cell>
          <cell r="T190">
            <v>825.77999999999884</v>
          </cell>
          <cell r="U190">
            <v>179963.41715285732</v>
          </cell>
          <cell r="V190">
            <v>1357.496794959214</v>
          </cell>
          <cell r="W190">
            <v>0</v>
          </cell>
          <cell r="X190">
            <v>182146.69394781653</v>
          </cell>
          <cell r="Y190">
            <v>19443</v>
          </cell>
          <cell r="Z190">
            <v>0</v>
          </cell>
          <cell r="AA190">
            <v>0</v>
          </cell>
          <cell r="AB190">
            <v>2462.5416153646138</v>
          </cell>
          <cell r="AC190">
            <v>21905.541615364615</v>
          </cell>
          <cell r="AD190" t="str">
            <v>N/A</v>
          </cell>
          <cell r="AE190">
            <v>32116</v>
          </cell>
          <cell r="AF190">
            <v>32116</v>
          </cell>
          <cell r="AG190">
            <v>32116</v>
          </cell>
          <cell r="AH190">
            <v>32116</v>
          </cell>
          <cell r="AI190">
            <v>31776</v>
          </cell>
          <cell r="AJ190">
            <v>0</v>
          </cell>
          <cell r="AK190">
            <v>160240</v>
          </cell>
          <cell r="AL190">
            <v>840632</v>
          </cell>
          <cell r="AM190">
            <v>94239.417552482104</v>
          </cell>
          <cell r="AN190">
            <v>-22698.78</v>
          </cell>
          <cell r="AO190">
            <v>178858.37233245192</v>
          </cell>
          <cell r="AP190">
            <v>0</v>
          </cell>
          <cell r="AQ190">
            <v>-18617.22</v>
          </cell>
          <cell r="AR190">
            <v>0</v>
          </cell>
          <cell r="AS190">
            <v>0</v>
          </cell>
          <cell r="AT190">
            <v>1072413.789884934</v>
          </cell>
          <cell r="AU190">
            <v>2.5354994484920251E-5</v>
          </cell>
          <cell r="AV190">
            <v>0</v>
          </cell>
          <cell r="AW190">
            <v>0</v>
          </cell>
          <cell r="AY190">
            <v>0</v>
          </cell>
          <cell r="AZ190">
            <v>0</v>
          </cell>
          <cell r="BA190">
            <v>0</v>
          </cell>
          <cell r="BB190">
            <v>0</v>
          </cell>
          <cell r="BC190">
            <v>0</v>
          </cell>
          <cell r="BD190">
            <v>0</v>
          </cell>
          <cell r="BE190">
            <v>0</v>
          </cell>
          <cell r="BF190">
            <v>0</v>
          </cell>
          <cell r="BG190">
            <v>0</v>
          </cell>
          <cell r="BH190">
            <v>0</v>
          </cell>
          <cell r="BJ190">
            <v>0</v>
          </cell>
          <cell r="BL190">
            <v>0</v>
          </cell>
          <cell r="BM190">
            <v>0</v>
          </cell>
          <cell r="BN190">
            <v>0</v>
          </cell>
          <cell r="BO190">
            <v>0</v>
          </cell>
          <cell r="BQ190">
            <v>0</v>
          </cell>
          <cell r="BR190">
            <v>0</v>
          </cell>
          <cell r="BS190">
            <v>0</v>
          </cell>
          <cell r="BT190">
            <v>0</v>
          </cell>
          <cell r="CB190">
            <v>0</v>
          </cell>
          <cell r="CC190">
            <v>0</v>
          </cell>
          <cell r="CD190">
            <v>0</v>
          </cell>
          <cell r="CE190">
            <v>0</v>
          </cell>
          <cell r="CF190">
            <v>0</v>
          </cell>
          <cell r="CI190">
            <v>0</v>
          </cell>
          <cell r="CJ190">
            <v>0</v>
          </cell>
          <cell r="CK190">
            <v>0</v>
          </cell>
          <cell r="CV190">
            <v>2.4651261078602637E-5</v>
          </cell>
          <cell r="DG190">
            <v>1072414</v>
          </cell>
          <cell r="DR190">
            <v>344520.31</v>
          </cell>
          <cell r="EC190">
            <v>3.1127743963773864</v>
          </cell>
          <cell r="EN190">
            <v>2.4095909012463064E-2</v>
          </cell>
        </row>
        <row r="191">
          <cell r="B191">
            <v>35405</v>
          </cell>
          <cell r="C191" t="str">
            <v>Lenoir County Community College</v>
          </cell>
          <cell r="D191">
            <v>9.2830572145810521E-4</v>
          </cell>
          <cell r="E191">
            <v>1606185.3502392888</v>
          </cell>
          <cell r="F191">
            <v>1252379.552751838</v>
          </cell>
          <cell r="G191">
            <v>239268</v>
          </cell>
          <cell r="H191">
            <v>-448182.78577987076</v>
          </cell>
          <cell r="I191">
            <v>-18546.649305952975</v>
          </cell>
          <cell r="J191">
            <v>1355395.7281411346</v>
          </cell>
          <cell r="K191">
            <v>0</v>
          </cell>
          <cell r="L191">
            <v>-71214.741630682183</v>
          </cell>
          <cell r="M191">
            <v>12779.995692750903</v>
          </cell>
          <cell r="N191">
            <v>481.77210332232744</v>
          </cell>
          <cell r="O191">
            <v>-217.41848302270282</v>
          </cell>
          <cell r="P191">
            <v>0</v>
          </cell>
          <cell r="Q191">
            <v>0</v>
          </cell>
          <cell r="R191">
            <v>0</v>
          </cell>
          <cell r="S191">
            <v>3928328.8037288059</v>
          </cell>
          <cell r="T191">
            <v>1197255</v>
          </cell>
          <cell r="U191">
            <v>6776978.640705673</v>
          </cell>
          <cell r="V191">
            <v>51119.982771003612</v>
          </cell>
          <cell r="W191">
            <v>0</v>
          </cell>
          <cell r="X191">
            <v>8025353.6234766766</v>
          </cell>
          <cell r="Y191">
            <v>915.47999999998137</v>
          </cell>
          <cell r="Z191">
            <v>0</v>
          </cell>
          <cell r="AA191">
            <v>0</v>
          </cell>
          <cell r="AB191">
            <v>92733.246529764874</v>
          </cell>
          <cell r="AC191">
            <v>93648.726529764856</v>
          </cell>
          <cell r="AD191" t="str">
            <v>N/A</v>
          </cell>
          <cell r="AE191">
            <v>1588897</v>
          </cell>
          <cell r="AF191">
            <v>1588897</v>
          </cell>
          <cell r="AG191">
            <v>1588897</v>
          </cell>
          <cell r="AH191">
            <v>1588897</v>
          </cell>
          <cell r="AI191">
            <v>1576117</v>
          </cell>
          <cell r="AJ191">
            <v>0</v>
          </cell>
          <cell r="AK191">
            <v>7931705</v>
          </cell>
          <cell r="AL191">
            <v>29340800</v>
          </cell>
          <cell r="AM191">
            <v>3928328.8037288059</v>
          </cell>
          <cell r="AN191">
            <v>-816379.52</v>
          </cell>
          <cell r="AO191">
            <v>6735365.3769469121</v>
          </cell>
          <cell r="AP191">
            <v>0</v>
          </cell>
          <cell r="AQ191">
            <v>1196339.52</v>
          </cell>
          <cell r="AR191">
            <v>0</v>
          </cell>
          <cell r="AS191">
            <v>0</v>
          </cell>
          <cell r="AT191">
            <v>40384454.180675723</v>
          </cell>
          <cell r="AU191">
            <v>8.8497206143644657E-4</v>
          </cell>
          <cell r="AV191">
            <v>0</v>
          </cell>
          <cell r="AW191">
            <v>0</v>
          </cell>
          <cell r="AY191">
            <v>0</v>
          </cell>
          <cell r="AZ191">
            <v>0</v>
          </cell>
          <cell r="BA191">
            <v>0</v>
          </cell>
          <cell r="BB191">
            <v>0</v>
          </cell>
          <cell r="BC191">
            <v>0</v>
          </cell>
          <cell r="BD191">
            <v>0</v>
          </cell>
          <cell r="BE191">
            <v>0</v>
          </cell>
          <cell r="BF191">
            <v>0</v>
          </cell>
          <cell r="BG191">
            <v>0</v>
          </cell>
          <cell r="BH191">
            <v>0</v>
          </cell>
          <cell r="BJ191">
            <v>0</v>
          </cell>
          <cell r="BL191">
            <v>0</v>
          </cell>
          <cell r="BM191">
            <v>0</v>
          </cell>
          <cell r="BN191">
            <v>0</v>
          </cell>
          <cell r="BO191">
            <v>0</v>
          </cell>
          <cell r="BQ191">
            <v>0</v>
          </cell>
          <cell r="BR191">
            <v>0</v>
          </cell>
          <cell r="BS191">
            <v>0</v>
          </cell>
          <cell r="BT191">
            <v>0</v>
          </cell>
          <cell r="CB191">
            <v>0</v>
          </cell>
          <cell r="CC191">
            <v>0</v>
          </cell>
          <cell r="CD191">
            <v>0</v>
          </cell>
          <cell r="CE191">
            <v>0</v>
          </cell>
          <cell r="CF191">
            <v>0</v>
          </cell>
          <cell r="CI191">
            <v>0</v>
          </cell>
          <cell r="CJ191">
            <v>0</v>
          </cell>
          <cell r="CK191">
            <v>0</v>
          </cell>
          <cell r="CV191">
            <v>9.2830572145810521E-4</v>
          </cell>
          <cell r="DG191">
            <v>40384454</v>
          </cell>
          <cell r="DR191">
            <v>14071193.000000006</v>
          </cell>
          <cell r="EC191">
            <v>2.8700092451293919</v>
          </cell>
          <cell r="EN191">
            <v>2.4095909012463064E-2</v>
          </cell>
        </row>
        <row r="192">
          <cell r="B192">
            <v>35500</v>
          </cell>
          <cell r="C192" t="str">
            <v>Lincoln County Schools</v>
          </cell>
          <cell r="D192">
            <v>3.816186104927143E-3</v>
          </cell>
          <cell r="E192">
            <v>6602891.7778218575</v>
          </cell>
          <cell r="F192">
            <v>5148426.1454292098</v>
          </cell>
          <cell r="G192">
            <v>21964</v>
          </cell>
          <cell r="H192">
            <v>-1842441.4285352109</v>
          </cell>
          <cell r="I192">
            <v>-76243.702627581617</v>
          </cell>
          <cell r="J192">
            <v>5571916.907164338</v>
          </cell>
          <cell r="K192">
            <v>0</v>
          </cell>
          <cell r="L192">
            <v>-292757.76416643674</v>
          </cell>
          <cell r="M192">
            <v>52537.478608986232</v>
          </cell>
          <cell r="N192">
            <v>1980.5242647350888</v>
          </cell>
          <cell r="O192">
            <v>-893.78894763498613</v>
          </cell>
          <cell r="P192">
            <v>0</v>
          </cell>
          <cell r="Q192">
            <v>0</v>
          </cell>
          <cell r="R192">
            <v>0</v>
          </cell>
          <cell r="S192">
            <v>15187380.149012258</v>
          </cell>
          <cell r="T192">
            <v>262040</v>
          </cell>
          <cell r="U192">
            <v>27859584.535821691</v>
          </cell>
          <cell r="V192">
            <v>210149.91443594493</v>
          </cell>
          <cell r="W192">
            <v>0</v>
          </cell>
          <cell r="X192">
            <v>28331774.450257637</v>
          </cell>
          <cell r="Y192">
            <v>152220.91999999946</v>
          </cell>
          <cell r="Z192">
            <v>0</v>
          </cell>
          <cell r="AA192">
            <v>0</v>
          </cell>
          <cell r="AB192">
            <v>381218.51313790807</v>
          </cell>
          <cell r="AC192">
            <v>533439.43313790753</v>
          </cell>
          <cell r="AD192" t="str">
            <v>N/A</v>
          </cell>
          <cell r="AE192">
            <v>5570175</v>
          </cell>
          <cell r="AF192">
            <v>5570175</v>
          </cell>
          <cell r="AG192">
            <v>5570175</v>
          </cell>
          <cell r="AH192">
            <v>5570175</v>
          </cell>
          <cell r="AI192">
            <v>5517637</v>
          </cell>
          <cell r="AJ192">
            <v>0</v>
          </cell>
          <cell r="AK192">
            <v>27798337</v>
          </cell>
          <cell r="AL192">
            <v>126209268</v>
          </cell>
          <cell r="AM192">
            <v>15187380.149012258</v>
          </cell>
          <cell r="AN192">
            <v>-3177916.0800000005</v>
          </cell>
          <cell r="AO192">
            <v>27688515.93711973</v>
          </cell>
          <cell r="AP192">
            <v>0</v>
          </cell>
          <cell r="AQ192">
            <v>109819.08000000054</v>
          </cell>
          <cell r="AR192">
            <v>0</v>
          </cell>
          <cell r="AS192">
            <v>0</v>
          </cell>
          <cell r="AT192">
            <v>166017067.08613199</v>
          </cell>
          <cell r="AU192">
            <v>3.8067017956261722E-3</v>
          </cell>
          <cell r="AV192">
            <v>0</v>
          </cell>
          <cell r="AW192">
            <v>0</v>
          </cell>
          <cell r="AY192">
            <v>0</v>
          </cell>
          <cell r="AZ192">
            <v>0</v>
          </cell>
          <cell r="BA192">
            <v>0</v>
          </cell>
          <cell r="BB192">
            <v>0</v>
          </cell>
          <cell r="BC192">
            <v>0</v>
          </cell>
          <cell r="BD192">
            <v>0</v>
          </cell>
          <cell r="BE192">
            <v>0</v>
          </cell>
          <cell r="BF192">
            <v>0</v>
          </cell>
          <cell r="BG192">
            <v>0</v>
          </cell>
          <cell r="BH192">
            <v>0</v>
          </cell>
          <cell r="BJ192">
            <v>0</v>
          </cell>
          <cell r="BL192">
            <v>0</v>
          </cell>
          <cell r="BM192">
            <v>0</v>
          </cell>
          <cell r="BN192">
            <v>0</v>
          </cell>
          <cell r="BO192">
            <v>0</v>
          </cell>
          <cell r="BQ192">
            <v>0</v>
          </cell>
          <cell r="BR192">
            <v>0</v>
          </cell>
          <cell r="BS192">
            <v>0</v>
          </cell>
          <cell r="BT192">
            <v>0</v>
          </cell>
          <cell r="CB192">
            <v>0</v>
          </cell>
          <cell r="CC192">
            <v>0</v>
          </cell>
          <cell r="CD192">
            <v>0</v>
          </cell>
          <cell r="CE192">
            <v>0</v>
          </cell>
          <cell r="CF192">
            <v>0</v>
          </cell>
          <cell r="CI192">
            <v>0</v>
          </cell>
          <cell r="CJ192">
            <v>0</v>
          </cell>
          <cell r="CK192">
            <v>0</v>
          </cell>
          <cell r="CV192">
            <v>3.816186104927143E-3</v>
          </cell>
          <cell r="DG192">
            <v>166017067</v>
          </cell>
          <cell r="DR192">
            <v>55798882.090000018</v>
          </cell>
          <cell r="EC192">
            <v>2.9752758618394024</v>
          </cell>
          <cell r="EN192">
            <v>2.4095909012463064E-2</v>
          </cell>
        </row>
        <row r="193">
          <cell r="B193">
            <v>35600</v>
          </cell>
          <cell r="C193" t="str">
            <v>Macon County Schools</v>
          </cell>
          <cell r="D193">
            <v>1.4624347078516144E-3</v>
          </cell>
          <cell r="E193">
            <v>2530353.039021688</v>
          </cell>
          <cell r="F193">
            <v>1972974.293933216</v>
          </cell>
          <cell r="G193">
            <v>-123243</v>
          </cell>
          <cell r="H193">
            <v>-706058.40967628697</v>
          </cell>
          <cell r="I193">
            <v>-29218.02918199699</v>
          </cell>
          <cell r="J193">
            <v>2135263.9651880707</v>
          </cell>
          <cell r="K193">
            <v>0</v>
          </cell>
          <cell r="L193">
            <v>-112190.3134538583</v>
          </cell>
          <cell r="M193">
            <v>20133.355677175517</v>
          </cell>
          <cell r="N193">
            <v>758.97436468083083</v>
          </cell>
          <cell r="O193">
            <v>-342.51683292592662</v>
          </cell>
          <cell r="P193">
            <v>0</v>
          </cell>
          <cell r="Q193">
            <v>0</v>
          </cell>
          <cell r="R193">
            <v>0</v>
          </cell>
          <cell r="S193">
            <v>5688431.359039763</v>
          </cell>
          <cell r="T193">
            <v>14387.350000000326</v>
          </cell>
          <cell r="U193">
            <v>10676319.825940352</v>
          </cell>
          <cell r="V193">
            <v>80533.42270870207</v>
          </cell>
          <cell r="W193">
            <v>0</v>
          </cell>
          <cell r="X193">
            <v>10771240.598649053</v>
          </cell>
          <cell r="Y193">
            <v>630600</v>
          </cell>
          <cell r="Z193">
            <v>0</v>
          </cell>
          <cell r="AA193">
            <v>0</v>
          </cell>
          <cell r="AB193">
            <v>146090.14590998495</v>
          </cell>
          <cell r="AC193">
            <v>776690.14590998495</v>
          </cell>
          <cell r="AD193" t="str">
            <v>N/A</v>
          </cell>
          <cell r="AE193">
            <v>2002936</v>
          </cell>
          <cell r="AF193">
            <v>2002937</v>
          </cell>
          <cell r="AG193">
            <v>2002937</v>
          </cell>
          <cell r="AH193">
            <v>2002937</v>
          </cell>
          <cell r="AI193">
            <v>1982804</v>
          </cell>
          <cell r="AJ193">
            <v>0</v>
          </cell>
          <cell r="AK193">
            <v>9994551</v>
          </cell>
          <cell r="AL193">
            <v>49243001</v>
          </cell>
          <cell r="AM193">
            <v>5688431.359039763</v>
          </cell>
          <cell r="AN193">
            <v>-1305102.3500000003</v>
          </cell>
          <cell r="AO193">
            <v>10610763.102739071</v>
          </cell>
          <cell r="AP193">
            <v>0</v>
          </cell>
          <cell r="AQ193">
            <v>-616212.64999999967</v>
          </cell>
          <cell r="AR193">
            <v>0</v>
          </cell>
          <cell r="AS193">
            <v>0</v>
          </cell>
          <cell r="AT193">
            <v>63620880.461778834</v>
          </cell>
          <cell r="AU193">
            <v>1.4852587410871857E-3</v>
          </cell>
          <cell r="AV193">
            <v>0</v>
          </cell>
          <cell r="AW193">
            <v>0</v>
          </cell>
          <cell r="AY193">
            <v>0</v>
          </cell>
          <cell r="AZ193">
            <v>0</v>
          </cell>
          <cell r="BA193">
            <v>0</v>
          </cell>
          <cell r="BB193">
            <v>0</v>
          </cell>
          <cell r="BC193">
            <v>0</v>
          </cell>
          <cell r="BD193">
            <v>0</v>
          </cell>
          <cell r="BE193">
            <v>0</v>
          </cell>
          <cell r="BF193">
            <v>0</v>
          </cell>
          <cell r="BG193">
            <v>0</v>
          </cell>
          <cell r="BH193">
            <v>0</v>
          </cell>
          <cell r="BJ193">
            <v>0</v>
          </cell>
          <cell r="BL193">
            <v>0</v>
          </cell>
          <cell r="BM193">
            <v>0</v>
          </cell>
          <cell r="BN193">
            <v>0</v>
          </cell>
          <cell r="BO193">
            <v>0</v>
          </cell>
          <cell r="BQ193">
            <v>0</v>
          </cell>
          <cell r="BR193">
            <v>0</v>
          </cell>
          <cell r="BS193">
            <v>0</v>
          </cell>
          <cell r="BT193">
            <v>0</v>
          </cell>
          <cell r="CB193">
            <v>0</v>
          </cell>
          <cell r="CC193">
            <v>0</v>
          </cell>
          <cell r="CD193">
            <v>0</v>
          </cell>
          <cell r="CE193">
            <v>0</v>
          </cell>
          <cell r="CF193">
            <v>0</v>
          </cell>
          <cell r="CI193">
            <v>0</v>
          </cell>
          <cell r="CJ193">
            <v>0</v>
          </cell>
          <cell r="CK193">
            <v>0</v>
          </cell>
          <cell r="CV193">
            <v>1.4624347078516144E-3</v>
          </cell>
          <cell r="DG193">
            <v>63620881</v>
          </cell>
          <cell r="DR193">
            <v>22403744.750000019</v>
          </cell>
          <cell r="EC193">
            <v>2.8397431639190565</v>
          </cell>
          <cell r="EN193">
            <v>2.4095909012463064E-2</v>
          </cell>
        </row>
        <row r="194">
          <cell r="B194">
            <v>35700</v>
          </cell>
          <cell r="C194" t="str">
            <v>Madison County Schools</v>
          </cell>
          <cell r="D194">
            <v>8.2385240165957683E-4</v>
          </cell>
          <cell r="E194">
            <v>1425456.7517117104</v>
          </cell>
          <cell r="F194">
            <v>1111461.3197722416</v>
          </cell>
          <cell r="G194">
            <v>-334675</v>
          </cell>
          <cell r="H194">
            <v>-397753.08490748104</v>
          </cell>
          <cell r="I194">
            <v>-16459.773133194958</v>
          </cell>
          <cell r="J194">
            <v>1202886.0751544978</v>
          </cell>
          <cell r="K194">
            <v>0</v>
          </cell>
          <cell r="L194">
            <v>-63201.631283548624</v>
          </cell>
          <cell r="M194">
            <v>11341.985621002174</v>
          </cell>
          <cell r="N194">
            <v>427.5629194132872</v>
          </cell>
          <cell r="O194">
            <v>-192.95447099268949</v>
          </cell>
          <cell r="P194">
            <v>0</v>
          </cell>
          <cell r="Q194">
            <v>0</v>
          </cell>
          <cell r="R194">
            <v>0</v>
          </cell>
          <cell r="S194">
            <v>2939291.2513836478</v>
          </cell>
          <cell r="T194">
            <v>12655.170000000042</v>
          </cell>
          <cell r="U194">
            <v>6014430.3757724883</v>
          </cell>
          <cell r="V194">
            <v>45367.942484008694</v>
          </cell>
          <cell r="W194">
            <v>0</v>
          </cell>
          <cell r="X194">
            <v>6072453.4882564973</v>
          </cell>
          <cell r="Y194">
            <v>1686031</v>
          </cell>
          <cell r="Z194">
            <v>0</v>
          </cell>
          <cell r="AA194">
            <v>0</v>
          </cell>
          <cell r="AB194">
            <v>82298.865665974779</v>
          </cell>
          <cell r="AC194">
            <v>1768329.8656659748</v>
          </cell>
          <cell r="AD194" t="str">
            <v>N/A</v>
          </cell>
          <cell r="AE194">
            <v>863093</v>
          </cell>
          <cell r="AF194">
            <v>863093</v>
          </cell>
          <cell r="AG194">
            <v>863093</v>
          </cell>
          <cell r="AH194">
            <v>863093</v>
          </cell>
          <cell r="AI194">
            <v>851751</v>
          </cell>
          <cell r="AJ194">
            <v>0</v>
          </cell>
          <cell r="AK194">
            <v>4304123</v>
          </cell>
          <cell r="AL194">
            <v>29337646</v>
          </cell>
          <cell r="AM194">
            <v>2939291.2513836478</v>
          </cell>
          <cell r="AN194">
            <v>-740681.17</v>
          </cell>
          <cell r="AO194">
            <v>5977499.4525905233</v>
          </cell>
          <cell r="AP194">
            <v>0</v>
          </cell>
          <cell r="AQ194">
            <v>-1673375.83</v>
          </cell>
          <cell r="AR194">
            <v>0</v>
          </cell>
          <cell r="AS194">
            <v>0</v>
          </cell>
          <cell r="AT194">
            <v>35840379.703974172</v>
          </cell>
          <cell r="AU194">
            <v>8.8487693575365961E-4</v>
          </cell>
          <cell r="AV194">
            <v>0</v>
          </cell>
          <cell r="AW194">
            <v>0</v>
          </cell>
          <cell r="AY194">
            <v>0</v>
          </cell>
          <cell r="AZ194">
            <v>0</v>
          </cell>
          <cell r="BA194">
            <v>0</v>
          </cell>
          <cell r="BB194">
            <v>0</v>
          </cell>
          <cell r="BC194">
            <v>0</v>
          </cell>
          <cell r="BD194">
            <v>0</v>
          </cell>
          <cell r="BE194">
            <v>0</v>
          </cell>
          <cell r="BF194">
            <v>0</v>
          </cell>
          <cell r="BG194">
            <v>0</v>
          </cell>
          <cell r="BH194">
            <v>0</v>
          </cell>
          <cell r="BJ194">
            <v>0</v>
          </cell>
          <cell r="BL194">
            <v>0</v>
          </cell>
          <cell r="BM194">
            <v>0</v>
          </cell>
          <cell r="BN194">
            <v>0</v>
          </cell>
          <cell r="BO194">
            <v>0</v>
          </cell>
          <cell r="BQ194">
            <v>0</v>
          </cell>
          <cell r="BR194">
            <v>0</v>
          </cell>
          <cell r="BS194">
            <v>0</v>
          </cell>
          <cell r="BT194">
            <v>0</v>
          </cell>
          <cell r="CB194">
            <v>0</v>
          </cell>
          <cell r="CC194">
            <v>0</v>
          </cell>
          <cell r="CD194">
            <v>0</v>
          </cell>
          <cell r="CE194">
            <v>0</v>
          </cell>
          <cell r="CF194">
            <v>0</v>
          </cell>
          <cell r="CI194">
            <v>0</v>
          </cell>
          <cell r="CJ194">
            <v>0</v>
          </cell>
          <cell r="CK194">
            <v>0</v>
          </cell>
          <cell r="CV194">
            <v>8.2385240165957683E-4</v>
          </cell>
          <cell r="DG194">
            <v>35840380</v>
          </cell>
          <cell r="DR194">
            <v>12609939.180000005</v>
          </cell>
          <cell r="EC194">
            <v>2.8422325824413677</v>
          </cell>
          <cell r="EN194">
            <v>2.4095909012463064E-2</v>
          </cell>
        </row>
        <row r="195">
          <cell r="B195">
            <v>35800</v>
          </cell>
          <cell r="C195" t="str">
            <v>Martin County Schools</v>
          </cell>
          <cell r="D195">
            <v>1.1867186442876363E-3</v>
          </cell>
          <cell r="E195">
            <v>2053299.9606171807</v>
          </cell>
          <cell r="F195">
            <v>1601005.0682880459</v>
          </cell>
          <cell r="G195">
            <v>-339263</v>
          </cell>
          <cell r="H195">
            <v>-572943.64953210903</v>
          </cell>
          <cell r="I195">
            <v>-23709.489246568268</v>
          </cell>
          <cell r="J195">
            <v>1732697.9073730635</v>
          </cell>
          <cell r="K195">
            <v>0</v>
          </cell>
          <cell r="L195">
            <v>-91038.824481780917</v>
          </cell>
          <cell r="M195">
            <v>16337.569414827356</v>
          </cell>
          <cell r="N195">
            <v>615.88324201239743</v>
          </cell>
          <cell r="O195">
            <v>-277.94137367860731</v>
          </cell>
          <cell r="P195">
            <v>0</v>
          </cell>
          <cell r="Q195">
            <v>0</v>
          </cell>
          <cell r="R195">
            <v>0</v>
          </cell>
          <cell r="S195">
            <v>4376723.4843009925</v>
          </cell>
          <cell r="T195">
            <v>73051.520000000019</v>
          </cell>
          <cell r="U195">
            <v>8663489.5368653163</v>
          </cell>
          <cell r="V195">
            <v>65350.277659309424</v>
          </cell>
          <cell r="W195">
            <v>0</v>
          </cell>
          <cell r="X195">
            <v>8801891.3345246259</v>
          </cell>
          <cell r="Y195">
            <v>1769364</v>
          </cell>
          <cell r="Z195">
            <v>0</v>
          </cell>
          <cell r="AA195">
            <v>0</v>
          </cell>
          <cell r="AB195">
            <v>118547.44623284134</v>
          </cell>
          <cell r="AC195">
            <v>1887911.4462328414</v>
          </cell>
          <cell r="AD195" t="str">
            <v>N/A</v>
          </cell>
          <cell r="AE195">
            <v>1386063</v>
          </cell>
          <cell r="AF195">
            <v>1386063</v>
          </cell>
          <cell r="AG195">
            <v>1386063</v>
          </cell>
          <cell r="AH195">
            <v>1386063</v>
          </cell>
          <cell r="AI195">
            <v>1369725</v>
          </cell>
          <cell r="AJ195">
            <v>0</v>
          </cell>
          <cell r="AK195">
            <v>6913977</v>
          </cell>
          <cell r="AL195">
            <v>41468292</v>
          </cell>
          <cell r="AM195">
            <v>4376723.4843009925</v>
          </cell>
          <cell r="AN195">
            <v>-1132700.52</v>
          </cell>
          <cell r="AO195">
            <v>8610292.3682917859</v>
          </cell>
          <cell r="AP195">
            <v>0</v>
          </cell>
          <cell r="AQ195">
            <v>-1696312.48</v>
          </cell>
          <cell r="AR195">
            <v>0</v>
          </cell>
          <cell r="AS195">
            <v>0</v>
          </cell>
          <cell r="AT195">
            <v>51626294.852592781</v>
          </cell>
          <cell r="AU195">
            <v>1.2507593363649612E-3</v>
          </cell>
          <cell r="AV195">
            <v>0</v>
          </cell>
          <cell r="AW195">
            <v>0</v>
          </cell>
          <cell r="AY195">
            <v>0</v>
          </cell>
          <cell r="AZ195">
            <v>0</v>
          </cell>
          <cell r="BA195">
            <v>0</v>
          </cell>
          <cell r="BB195">
            <v>0</v>
          </cell>
          <cell r="BC195">
            <v>0</v>
          </cell>
          <cell r="BD195">
            <v>0</v>
          </cell>
          <cell r="BE195">
            <v>0</v>
          </cell>
          <cell r="BF195">
            <v>0</v>
          </cell>
          <cell r="BG195">
            <v>0</v>
          </cell>
          <cell r="BH195">
            <v>0</v>
          </cell>
          <cell r="BJ195">
            <v>0</v>
          </cell>
          <cell r="BL195">
            <v>0</v>
          </cell>
          <cell r="BM195">
            <v>0</v>
          </cell>
          <cell r="BN195">
            <v>0</v>
          </cell>
          <cell r="BO195">
            <v>0</v>
          </cell>
          <cell r="BQ195">
            <v>0</v>
          </cell>
          <cell r="BR195">
            <v>0</v>
          </cell>
          <cell r="BS195">
            <v>0</v>
          </cell>
          <cell r="BT195">
            <v>0</v>
          </cell>
          <cell r="CB195">
            <v>0</v>
          </cell>
          <cell r="CC195">
            <v>0</v>
          </cell>
          <cell r="CD195">
            <v>0</v>
          </cell>
          <cell r="CE195">
            <v>0</v>
          </cell>
          <cell r="CF195">
            <v>0</v>
          </cell>
          <cell r="CI195">
            <v>0</v>
          </cell>
          <cell r="CJ195">
            <v>0</v>
          </cell>
          <cell r="CK195">
            <v>0</v>
          </cell>
          <cell r="CV195">
            <v>1.1867186442876363E-3</v>
          </cell>
          <cell r="DG195">
            <v>51626295</v>
          </cell>
          <cell r="DR195">
            <v>19721483.920000002</v>
          </cell>
          <cell r="EC195">
            <v>2.6177692920787066</v>
          </cell>
          <cell r="EN195">
            <v>2.4095909012463064E-2</v>
          </cell>
        </row>
        <row r="196">
          <cell r="B196">
            <v>35805</v>
          </cell>
          <cell r="C196" t="str">
            <v>Martin Community College</v>
          </cell>
          <cell r="D196">
            <v>1.8563772340785819E-4</v>
          </cell>
          <cell r="E196">
            <v>321196.54645792395</v>
          </cell>
          <cell r="F196">
            <v>250444.31337795561</v>
          </cell>
          <cell r="G196">
            <v>24617</v>
          </cell>
          <cell r="H196">
            <v>-89625.24963444582</v>
          </cell>
          <cell r="I196">
            <v>-3708.8619346147434</v>
          </cell>
          <cell r="J196">
            <v>271044.94938762678</v>
          </cell>
          <cell r="K196">
            <v>0</v>
          </cell>
          <cell r="L196">
            <v>-14241.151598886587</v>
          </cell>
          <cell r="M196">
            <v>2555.6767029702946</v>
          </cell>
          <cell r="N196">
            <v>96.342265694210241</v>
          </cell>
          <cell r="O196">
            <v>-43.478211199354469</v>
          </cell>
          <cell r="P196">
            <v>0</v>
          </cell>
          <cell r="Q196">
            <v>0</v>
          </cell>
          <cell r="R196">
            <v>0</v>
          </cell>
          <cell r="S196">
            <v>762336.08681302425</v>
          </cell>
          <cell r="T196">
            <v>123083.18</v>
          </cell>
          <cell r="U196">
            <v>1355224.7469381338</v>
          </cell>
          <cell r="V196">
            <v>10222.706811881179</v>
          </cell>
          <cell r="W196">
            <v>0</v>
          </cell>
          <cell r="X196">
            <v>1488530.6337500149</v>
          </cell>
          <cell r="Y196">
            <v>0</v>
          </cell>
          <cell r="Z196">
            <v>0</v>
          </cell>
          <cell r="AA196">
            <v>0</v>
          </cell>
          <cell r="AB196">
            <v>18544.309673073716</v>
          </cell>
          <cell r="AC196">
            <v>18544.309673073716</v>
          </cell>
          <cell r="AD196" t="str">
            <v>N/A</v>
          </cell>
          <cell r="AE196">
            <v>294509</v>
          </cell>
          <cell r="AF196">
            <v>294509</v>
          </cell>
          <cell r="AG196">
            <v>294509</v>
          </cell>
          <cell r="AH196">
            <v>294509</v>
          </cell>
          <cell r="AI196">
            <v>291953</v>
          </cell>
          <cell r="AJ196">
            <v>0</v>
          </cell>
          <cell r="AK196">
            <v>1469989</v>
          </cell>
          <cell r="AL196">
            <v>6053909</v>
          </cell>
          <cell r="AM196">
            <v>762336.08681302425</v>
          </cell>
          <cell r="AN196">
            <v>-210359.18</v>
          </cell>
          <cell r="AO196">
            <v>1346903.1440769415</v>
          </cell>
          <cell r="AP196">
            <v>0</v>
          </cell>
          <cell r="AQ196">
            <v>123083.18</v>
          </cell>
          <cell r="AR196">
            <v>0</v>
          </cell>
          <cell r="AS196">
            <v>0</v>
          </cell>
          <cell r="AT196">
            <v>8075872.2308899658</v>
          </cell>
          <cell r="AU196">
            <v>1.8259693092330072E-4</v>
          </cell>
          <cell r="AV196">
            <v>0</v>
          </cell>
          <cell r="AW196">
            <v>0</v>
          </cell>
          <cell r="AY196">
            <v>0</v>
          </cell>
          <cell r="AZ196">
            <v>0</v>
          </cell>
          <cell r="BA196">
            <v>0</v>
          </cell>
          <cell r="BB196">
            <v>0</v>
          </cell>
          <cell r="BC196">
            <v>0</v>
          </cell>
          <cell r="BD196">
            <v>0</v>
          </cell>
          <cell r="BE196">
            <v>0</v>
          </cell>
          <cell r="BF196">
            <v>0</v>
          </cell>
          <cell r="BG196">
            <v>0</v>
          </cell>
          <cell r="BH196">
            <v>0</v>
          </cell>
          <cell r="BJ196">
            <v>0</v>
          </cell>
          <cell r="BL196">
            <v>0</v>
          </cell>
          <cell r="BM196">
            <v>0</v>
          </cell>
          <cell r="BN196">
            <v>0</v>
          </cell>
          <cell r="BO196">
            <v>0</v>
          </cell>
          <cell r="BQ196">
            <v>0</v>
          </cell>
          <cell r="BR196">
            <v>0</v>
          </cell>
          <cell r="BS196">
            <v>0</v>
          </cell>
          <cell r="BT196">
            <v>0</v>
          </cell>
          <cell r="CB196">
            <v>0</v>
          </cell>
          <cell r="CC196">
            <v>0</v>
          </cell>
          <cell r="CD196">
            <v>0</v>
          </cell>
          <cell r="CE196">
            <v>0</v>
          </cell>
          <cell r="CF196">
            <v>0</v>
          </cell>
          <cell r="CI196">
            <v>0</v>
          </cell>
          <cell r="CJ196">
            <v>0</v>
          </cell>
          <cell r="CK196">
            <v>0</v>
          </cell>
          <cell r="CV196">
            <v>1.8563772340785819E-4</v>
          </cell>
          <cell r="DG196">
            <v>8075872</v>
          </cell>
          <cell r="DR196">
            <v>3495280.6200000006</v>
          </cell>
          <cell r="EC196">
            <v>2.3105074750764931</v>
          </cell>
          <cell r="EN196">
            <v>2.4095909012463064E-2</v>
          </cell>
        </row>
        <row r="197">
          <cell r="B197">
            <v>35900</v>
          </cell>
          <cell r="C197" t="str">
            <v>Mcdowell County Schools</v>
          </cell>
          <cell r="D197">
            <v>2.225742813351026E-3</v>
          </cell>
          <cell r="E197">
            <v>3851054.0413233214</v>
          </cell>
          <cell r="F197">
            <v>3002755.1534927986</v>
          </cell>
          <cell r="G197">
            <v>-62690</v>
          </cell>
          <cell r="H197">
            <v>-1074580.9181810683</v>
          </cell>
          <cell r="I197">
            <v>-44468.185911455264</v>
          </cell>
          <cell r="J197">
            <v>3249750.8433087459</v>
          </cell>
          <cell r="K197">
            <v>0</v>
          </cell>
          <cell r="L197">
            <v>-170747.30417493652</v>
          </cell>
          <cell r="M197">
            <v>30641.827266903387</v>
          </cell>
          <cell r="N197">
            <v>1155.1160052729156</v>
          </cell>
          <cell r="O197">
            <v>-521.29122431494386</v>
          </cell>
          <cell r="P197">
            <v>0</v>
          </cell>
          <cell r="Q197">
            <v>0</v>
          </cell>
          <cell r="R197">
            <v>0</v>
          </cell>
          <cell r="S197">
            <v>8782349.2819052674</v>
          </cell>
          <cell r="T197">
            <v>0</v>
          </cell>
          <cell r="U197">
            <v>16248754.21654373</v>
          </cell>
          <cell r="V197">
            <v>122567.30906761355</v>
          </cell>
          <cell r="W197">
            <v>0</v>
          </cell>
          <cell r="X197">
            <v>16371321.525611345</v>
          </cell>
          <cell r="Y197">
            <v>313446.18000000017</v>
          </cell>
          <cell r="Z197">
            <v>0</v>
          </cell>
          <cell r="AA197">
            <v>0</v>
          </cell>
          <cell r="AB197">
            <v>222340.92955727631</v>
          </cell>
          <cell r="AC197">
            <v>535787.10955727648</v>
          </cell>
          <cell r="AD197" t="str">
            <v>N/A</v>
          </cell>
          <cell r="AE197">
            <v>3173235</v>
          </cell>
          <cell r="AF197">
            <v>3173234</v>
          </cell>
          <cell r="AG197">
            <v>3173234</v>
          </cell>
          <cell r="AH197">
            <v>3173234</v>
          </cell>
          <cell r="AI197">
            <v>3142593</v>
          </cell>
          <cell r="AJ197">
            <v>0</v>
          </cell>
          <cell r="AK197">
            <v>15835530</v>
          </cell>
          <cell r="AL197">
            <v>74108822</v>
          </cell>
          <cell r="AM197">
            <v>8782349.2819052674</v>
          </cell>
          <cell r="AN197">
            <v>-1899327.8199999998</v>
          </cell>
          <cell r="AO197">
            <v>16148980.596054068</v>
          </cell>
          <cell r="AP197">
            <v>0</v>
          </cell>
          <cell r="AQ197">
            <v>-313446.18000000017</v>
          </cell>
          <cell r="AR197">
            <v>0</v>
          </cell>
          <cell r="AS197">
            <v>0</v>
          </cell>
          <cell r="AT197">
            <v>96827377.877959326</v>
          </cell>
          <cell r="AU197">
            <v>2.2352572897208051E-3</v>
          </cell>
          <cell r="AV197">
            <v>0</v>
          </cell>
          <cell r="AW197">
            <v>0</v>
          </cell>
          <cell r="AY197">
            <v>0</v>
          </cell>
          <cell r="AZ197">
            <v>0</v>
          </cell>
          <cell r="BA197">
            <v>0</v>
          </cell>
          <cell r="BB197">
            <v>0</v>
          </cell>
          <cell r="BC197">
            <v>0</v>
          </cell>
          <cell r="BD197">
            <v>0</v>
          </cell>
          <cell r="BE197">
            <v>0</v>
          </cell>
          <cell r="BF197">
            <v>0</v>
          </cell>
          <cell r="BG197">
            <v>0</v>
          </cell>
          <cell r="BH197">
            <v>0</v>
          </cell>
          <cell r="BJ197">
            <v>0</v>
          </cell>
          <cell r="BL197">
            <v>0</v>
          </cell>
          <cell r="BM197">
            <v>0</v>
          </cell>
          <cell r="BN197">
            <v>0</v>
          </cell>
          <cell r="BO197">
            <v>0</v>
          </cell>
          <cell r="BQ197">
            <v>0</v>
          </cell>
          <cell r="BR197">
            <v>0</v>
          </cell>
          <cell r="BS197">
            <v>0</v>
          </cell>
          <cell r="BT197">
            <v>0</v>
          </cell>
          <cell r="CB197">
            <v>0</v>
          </cell>
          <cell r="CC197">
            <v>0</v>
          </cell>
          <cell r="CD197">
            <v>0</v>
          </cell>
          <cell r="CE197">
            <v>0</v>
          </cell>
          <cell r="CF197">
            <v>0</v>
          </cell>
          <cell r="CI197">
            <v>0</v>
          </cell>
          <cell r="CJ197">
            <v>0</v>
          </cell>
          <cell r="CK197">
            <v>0</v>
          </cell>
          <cell r="CV197">
            <v>2.225742813351026E-3</v>
          </cell>
          <cell r="DG197">
            <v>96827378</v>
          </cell>
          <cell r="DR197">
            <v>33198038.550000027</v>
          </cell>
          <cell r="EC197">
            <v>2.9166596048789732</v>
          </cell>
          <cell r="EN197">
            <v>2.4095909012463064E-2</v>
          </cell>
        </row>
        <row r="198">
          <cell r="B198">
            <v>35905</v>
          </cell>
          <cell r="C198" t="str">
            <v>Mcdowell Technical College</v>
          </cell>
          <cell r="D198">
            <v>2.9266541278908449E-4</v>
          </cell>
          <cell r="E198">
            <v>506379.40462675079</v>
          </cell>
          <cell r="F198">
            <v>394835.63475081656</v>
          </cell>
          <cell r="G198">
            <v>-132166</v>
          </cell>
          <cell r="H198">
            <v>-141297.84722128024</v>
          </cell>
          <cell r="I198">
            <v>-5847.1715185115136</v>
          </cell>
          <cell r="J198">
            <v>427313.37435464584</v>
          </cell>
          <cell r="K198">
            <v>0</v>
          </cell>
          <cell r="L198">
            <v>-22451.754065756031</v>
          </cell>
          <cell r="M198">
            <v>4029.1281507850367</v>
          </cell>
          <cell r="N198">
            <v>151.88749592927908</v>
          </cell>
          <cell r="O198">
            <v>-68.545166329331479</v>
          </cell>
          <cell r="P198">
            <v>0</v>
          </cell>
          <cell r="Q198">
            <v>0</v>
          </cell>
          <cell r="R198">
            <v>0</v>
          </cell>
          <cell r="S198">
            <v>1030878.1114070503</v>
          </cell>
          <cell r="T198">
            <v>57614.160000000033</v>
          </cell>
          <cell r="U198">
            <v>2136566.871773229</v>
          </cell>
          <cell r="V198">
            <v>16116.512603140147</v>
          </cell>
          <cell r="W198">
            <v>0</v>
          </cell>
          <cell r="X198">
            <v>2210297.5443763691</v>
          </cell>
          <cell r="Y198">
            <v>718445</v>
          </cell>
          <cell r="Z198">
            <v>0</v>
          </cell>
          <cell r="AA198">
            <v>0</v>
          </cell>
          <cell r="AB198">
            <v>29235.857592557564</v>
          </cell>
          <cell r="AC198">
            <v>747680.85759255756</v>
          </cell>
          <cell r="AD198" t="str">
            <v>N/A</v>
          </cell>
          <cell r="AE198">
            <v>293329</v>
          </cell>
          <cell r="AF198">
            <v>293329</v>
          </cell>
          <cell r="AG198">
            <v>293329</v>
          </cell>
          <cell r="AH198">
            <v>293329</v>
          </cell>
          <cell r="AI198">
            <v>289300</v>
          </cell>
          <cell r="AJ198">
            <v>0</v>
          </cell>
          <cell r="AK198">
            <v>1462616</v>
          </cell>
          <cell r="AL198">
            <v>10565307</v>
          </cell>
          <cell r="AM198">
            <v>1030878.1114070503</v>
          </cell>
          <cell r="AN198">
            <v>-326862.16000000003</v>
          </cell>
          <cell r="AO198">
            <v>2123447.5267838119</v>
          </cell>
          <cell r="AP198">
            <v>0</v>
          </cell>
          <cell r="AQ198">
            <v>-660830.84</v>
          </cell>
          <cell r="AR198">
            <v>0</v>
          </cell>
          <cell r="AS198">
            <v>0</v>
          </cell>
          <cell r="AT198">
            <v>12731939.638190862</v>
          </cell>
          <cell r="AU198">
            <v>3.1866893214690196E-4</v>
          </cell>
          <cell r="AV198">
            <v>0</v>
          </cell>
          <cell r="AW198">
            <v>0</v>
          </cell>
          <cell r="AY198">
            <v>0</v>
          </cell>
          <cell r="AZ198">
            <v>0</v>
          </cell>
          <cell r="BA198">
            <v>0</v>
          </cell>
          <cell r="BB198">
            <v>0</v>
          </cell>
          <cell r="BC198">
            <v>0</v>
          </cell>
          <cell r="BD198">
            <v>0</v>
          </cell>
          <cell r="BE198">
            <v>0</v>
          </cell>
          <cell r="BF198">
            <v>0</v>
          </cell>
          <cell r="BG198">
            <v>0</v>
          </cell>
          <cell r="BH198">
            <v>0</v>
          </cell>
          <cell r="BJ198">
            <v>0</v>
          </cell>
          <cell r="BL198">
            <v>0</v>
          </cell>
          <cell r="BM198">
            <v>0</v>
          </cell>
          <cell r="BN198">
            <v>0</v>
          </cell>
          <cell r="BO198">
            <v>0</v>
          </cell>
          <cell r="BQ198">
            <v>0</v>
          </cell>
          <cell r="BR198">
            <v>0</v>
          </cell>
          <cell r="BS198">
            <v>0</v>
          </cell>
          <cell r="BT198">
            <v>0</v>
          </cell>
          <cell r="CB198">
            <v>0</v>
          </cell>
          <cell r="CC198">
            <v>0</v>
          </cell>
          <cell r="CD198">
            <v>0</v>
          </cell>
          <cell r="CE198">
            <v>0</v>
          </cell>
          <cell r="CF198">
            <v>0</v>
          </cell>
          <cell r="CI198">
            <v>0</v>
          </cell>
          <cell r="CJ198">
            <v>0</v>
          </cell>
          <cell r="CK198">
            <v>0</v>
          </cell>
          <cell r="CV198">
            <v>2.9266541278908449E-4</v>
          </cell>
          <cell r="DG198">
            <v>12731940</v>
          </cell>
          <cell r="DR198">
            <v>5626005.3199999994</v>
          </cell>
          <cell r="EC198">
            <v>2.2630515393824764</v>
          </cell>
          <cell r="EN198">
            <v>2.4095909012463064E-2</v>
          </cell>
        </row>
        <row r="199">
          <cell r="B199">
            <v>36000</v>
          </cell>
          <cell r="C199" t="str">
            <v>Charlotte-Mecklenburg County Schools</v>
          </cell>
          <cell r="D199">
            <v>5.223530484919834E-2</v>
          </cell>
          <cell r="E199">
            <v>90379257.042909518</v>
          </cell>
          <cell r="F199">
            <v>70470779.413210034</v>
          </cell>
          <cell r="G199">
            <v>10876567</v>
          </cell>
          <cell r="H199">
            <v>-25219024.18806868</v>
          </cell>
          <cell r="I199">
            <v>-1043610.8041065739</v>
          </cell>
          <cell r="J199">
            <v>76267448.766282901</v>
          </cell>
          <cell r="K199">
            <v>0</v>
          </cell>
          <cell r="L199">
            <v>-4007218.3687423943</v>
          </cell>
          <cell r="M199">
            <v>719124.05100092094</v>
          </cell>
          <cell r="N199">
            <v>27109.078510636955</v>
          </cell>
          <cell r="O199">
            <v>-12234.030748730744</v>
          </cell>
          <cell r="P199">
            <v>0</v>
          </cell>
          <cell r="Q199">
            <v>0</v>
          </cell>
          <cell r="R199">
            <v>0</v>
          </cell>
          <cell r="S199">
            <v>218458197.96024761</v>
          </cell>
          <cell r="T199">
            <v>58077887</v>
          </cell>
          <cell r="U199">
            <v>381337243.83141446</v>
          </cell>
          <cell r="V199">
            <v>2876496.2040036838</v>
          </cell>
          <cell r="W199">
            <v>0</v>
          </cell>
          <cell r="X199">
            <v>442291627.03541815</v>
          </cell>
          <cell r="Y199">
            <v>3695054.8200000003</v>
          </cell>
          <cell r="Z199">
            <v>0</v>
          </cell>
          <cell r="AA199">
            <v>0</v>
          </cell>
          <cell r="AB199">
            <v>5218054.0205328697</v>
          </cell>
          <cell r="AC199">
            <v>8913108.8405328691</v>
          </cell>
          <cell r="AD199" t="str">
            <v>N/A</v>
          </cell>
          <cell r="AE199">
            <v>86819528</v>
          </cell>
          <cell r="AF199">
            <v>86819529</v>
          </cell>
          <cell r="AG199">
            <v>86819529</v>
          </cell>
          <cell r="AH199">
            <v>86819529</v>
          </cell>
          <cell r="AI199">
            <v>86100405</v>
          </cell>
          <cell r="AJ199">
            <v>0</v>
          </cell>
          <cell r="AK199">
            <v>433378520</v>
          </cell>
          <cell r="AL199">
            <v>1662141589</v>
          </cell>
          <cell r="AM199">
            <v>218458197.96024761</v>
          </cell>
          <cell r="AN199">
            <v>-41564996.18</v>
          </cell>
          <cell r="AO199">
            <v>378995686.01488531</v>
          </cell>
          <cell r="AP199">
            <v>0</v>
          </cell>
          <cell r="AQ199">
            <v>54382832.18</v>
          </cell>
          <cell r="AR199">
            <v>0</v>
          </cell>
          <cell r="AS199">
            <v>0</v>
          </cell>
          <cell r="AT199">
            <v>2272413308.9751325</v>
          </cell>
          <cell r="AU199">
            <v>5.0133222789853771E-2</v>
          </cell>
          <cell r="AV199">
            <v>0</v>
          </cell>
          <cell r="AW199">
            <v>0</v>
          </cell>
          <cell r="AY199">
            <v>0</v>
          </cell>
          <cell r="AZ199">
            <v>0</v>
          </cell>
          <cell r="BA199">
            <v>0</v>
          </cell>
          <cell r="BB199">
            <v>0</v>
          </cell>
          <cell r="BC199">
            <v>0</v>
          </cell>
          <cell r="BD199">
            <v>0</v>
          </cell>
          <cell r="BE199">
            <v>0</v>
          </cell>
          <cell r="BF199">
            <v>0</v>
          </cell>
          <cell r="BG199">
            <v>0</v>
          </cell>
          <cell r="BH199">
            <v>0</v>
          </cell>
          <cell r="BJ199">
            <v>0</v>
          </cell>
          <cell r="BL199">
            <v>0</v>
          </cell>
          <cell r="BM199">
            <v>0</v>
          </cell>
          <cell r="BN199">
            <v>0</v>
          </cell>
          <cell r="BO199">
            <v>0</v>
          </cell>
          <cell r="BQ199">
            <v>0</v>
          </cell>
          <cell r="BR199">
            <v>0</v>
          </cell>
          <cell r="BS199">
            <v>0</v>
          </cell>
          <cell r="BT199">
            <v>0</v>
          </cell>
          <cell r="CB199">
            <v>0</v>
          </cell>
          <cell r="CC199">
            <v>0</v>
          </cell>
          <cell r="CD199">
            <v>0</v>
          </cell>
          <cell r="CE199">
            <v>0</v>
          </cell>
          <cell r="CF199">
            <v>0</v>
          </cell>
          <cell r="CI199">
            <v>0</v>
          </cell>
          <cell r="CJ199">
            <v>0</v>
          </cell>
          <cell r="CK199">
            <v>0</v>
          </cell>
          <cell r="CV199">
            <v>5.223530484919834E-2</v>
          </cell>
          <cell r="DG199">
            <v>2272413309</v>
          </cell>
          <cell r="DR199">
            <v>714265233.25000679</v>
          </cell>
          <cell r="EC199">
            <v>3.1814698563168213</v>
          </cell>
          <cell r="EN199">
            <v>2.4095909012463064E-2</v>
          </cell>
        </row>
        <row r="200">
          <cell r="B200">
            <v>36001</v>
          </cell>
          <cell r="C200" t="str">
            <v>Community Charter School</v>
          </cell>
          <cell r="D200">
            <v>2.6673578625407405E-5</v>
          </cell>
          <cell r="E200">
            <v>46151.51047360932</v>
          </cell>
          <cell r="F200">
            <v>35985.391123851121</v>
          </cell>
          <cell r="G200">
            <v>-10042</v>
          </cell>
          <cell r="H200">
            <v>-12877.911337523759</v>
          </cell>
          <cell r="I200">
            <v>-532.91226916403377</v>
          </cell>
          <cell r="J200">
            <v>38945.418182199021</v>
          </cell>
          <cell r="K200">
            <v>0</v>
          </cell>
          <cell r="L200">
            <v>-2046.2569240555979</v>
          </cell>
          <cell r="M200">
            <v>367.2154679899208</v>
          </cell>
          <cell r="N200">
            <v>13.843053835013935</v>
          </cell>
          <cell r="O200">
            <v>-6.2472188498566679</v>
          </cell>
          <cell r="P200">
            <v>0</v>
          </cell>
          <cell r="Q200">
            <v>0</v>
          </cell>
          <cell r="R200">
            <v>0</v>
          </cell>
          <cell r="S200">
            <v>95958.050551891152</v>
          </cell>
          <cell r="T200">
            <v>0</v>
          </cell>
          <cell r="U200">
            <v>194727.09091099512</v>
          </cell>
          <cell r="V200">
            <v>1468.8618719596832</v>
          </cell>
          <cell r="W200">
            <v>0</v>
          </cell>
          <cell r="X200">
            <v>196195.95278295479</v>
          </cell>
          <cell r="Y200">
            <v>50209.94</v>
          </cell>
          <cell r="Z200">
            <v>0</v>
          </cell>
          <cell r="AA200">
            <v>0</v>
          </cell>
          <cell r="AB200">
            <v>2664.5613458201688</v>
          </cell>
          <cell r="AC200">
            <v>52874.501345820172</v>
          </cell>
          <cell r="AD200" t="str">
            <v>N/A</v>
          </cell>
          <cell r="AE200">
            <v>28738</v>
          </cell>
          <cell r="AF200">
            <v>28738</v>
          </cell>
          <cell r="AG200">
            <v>28738</v>
          </cell>
          <cell r="AH200">
            <v>28738</v>
          </cell>
          <cell r="AI200">
            <v>28371</v>
          </cell>
          <cell r="AJ200">
            <v>0</v>
          </cell>
          <cell r="AK200">
            <v>143323</v>
          </cell>
          <cell r="AL200">
            <v>941855</v>
          </cell>
          <cell r="AM200">
            <v>95958.050551891152</v>
          </cell>
          <cell r="AN200">
            <v>-20743.060000000001</v>
          </cell>
          <cell r="AO200">
            <v>193531.39143713465</v>
          </cell>
          <cell r="AP200">
            <v>0</v>
          </cell>
          <cell r="AQ200">
            <v>-50209.94</v>
          </cell>
          <cell r="AR200">
            <v>0</v>
          </cell>
          <cell r="AS200">
            <v>0</v>
          </cell>
          <cell r="AT200">
            <v>1160391.4419890258</v>
          </cell>
          <cell r="AU200">
            <v>2.8408073839590356E-5</v>
          </cell>
          <cell r="AV200">
            <v>0</v>
          </cell>
          <cell r="AW200">
            <v>0</v>
          </cell>
          <cell r="AY200">
            <v>0</v>
          </cell>
          <cell r="AZ200">
            <v>0</v>
          </cell>
          <cell r="BA200">
            <v>0</v>
          </cell>
          <cell r="BB200">
            <v>0</v>
          </cell>
          <cell r="BC200">
            <v>0</v>
          </cell>
          <cell r="BD200">
            <v>0</v>
          </cell>
          <cell r="BE200">
            <v>0</v>
          </cell>
          <cell r="BF200">
            <v>0</v>
          </cell>
          <cell r="BG200">
            <v>0</v>
          </cell>
          <cell r="BH200">
            <v>0</v>
          </cell>
          <cell r="BJ200">
            <v>0</v>
          </cell>
          <cell r="BL200">
            <v>0</v>
          </cell>
          <cell r="BM200">
            <v>0</v>
          </cell>
          <cell r="BN200">
            <v>0</v>
          </cell>
          <cell r="BO200">
            <v>0</v>
          </cell>
          <cell r="BQ200">
            <v>0</v>
          </cell>
          <cell r="BR200">
            <v>0</v>
          </cell>
          <cell r="BS200">
            <v>0</v>
          </cell>
          <cell r="BT200">
            <v>0</v>
          </cell>
          <cell r="CB200">
            <v>0</v>
          </cell>
          <cell r="CC200">
            <v>0</v>
          </cell>
          <cell r="CD200">
            <v>0</v>
          </cell>
          <cell r="CE200">
            <v>0</v>
          </cell>
          <cell r="CF200">
            <v>0</v>
          </cell>
          <cell r="CI200">
            <v>0</v>
          </cell>
          <cell r="CJ200">
            <v>0</v>
          </cell>
          <cell r="CK200">
            <v>0</v>
          </cell>
          <cell r="CV200">
            <v>2.6673578625407405E-5</v>
          </cell>
          <cell r="DG200">
            <v>1160391</v>
          </cell>
          <cell r="DR200">
            <v>353785.51</v>
          </cell>
          <cell r="EC200">
            <v>3.2799279993123518</v>
          </cell>
          <cell r="EN200">
            <v>2.4095909012463064E-2</v>
          </cell>
        </row>
        <row r="201">
          <cell r="B201">
            <v>36002</v>
          </cell>
          <cell r="C201" t="str">
            <v>Kennedy Charter</v>
          </cell>
          <cell r="D201">
            <v>1.4676337160561461E-4</v>
          </cell>
          <cell r="E201">
            <v>253934.85354630719</v>
          </cell>
          <cell r="F201">
            <v>197998.82888052042</v>
          </cell>
          <cell r="G201">
            <v>-293915</v>
          </cell>
          <cell r="H201">
            <v>-70856.8472823091</v>
          </cell>
          <cell r="I201">
            <v>-2932.1900330993858</v>
          </cell>
          <cell r="J201">
            <v>214285.49057027153</v>
          </cell>
          <cell r="K201">
            <v>0</v>
          </cell>
          <cell r="L201">
            <v>-11258.915407011558</v>
          </cell>
          <cell r="M201">
            <v>2020.4930483755541</v>
          </cell>
          <cell r="N201">
            <v>76.167254595881872</v>
          </cell>
          <cell r="O201">
            <v>-34.373449263750999</v>
          </cell>
          <cell r="P201">
            <v>0</v>
          </cell>
          <cell r="Q201">
            <v>0</v>
          </cell>
          <cell r="R201">
            <v>0</v>
          </cell>
          <cell r="S201">
            <v>289318.50712838676</v>
          </cell>
          <cell r="T201">
            <v>0</v>
          </cell>
          <cell r="U201">
            <v>1071427.4528513576</v>
          </cell>
          <cell r="V201">
            <v>8081.9721935022162</v>
          </cell>
          <cell r="W201">
            <v>0</v>
          </cell>
          <cell r="X201">
            <v>1079509.4250448598</v>
          </cell>
          <cell r="Y201">
            <v>1469574.41</v>
          </cell>
          <cell r="Z201">
            <v>0</v>
          </cell>
          <cell r="AA201">
            <v>0</v>
          </cell>
          <cell r="AB201">
            <v>14660.950165496928</v>
          </cell>
          <cell r="AC201">
            <v>1484235.3601654968</v>
          </cell>
          <cell r="AD201" t="str">
            <v>N/A</v>
          </cell>
          <cell r="AE201">
            <v>-80541</v>
          </cell>
          <cell r="AF201">
            <v>-80541</v>
          </cell>
          <cell r="AG201">
            <v>-80541</v>
          </cell>
          <cell r="AH201">
            <v>-80541</v>
          </cell>
          <cell r="AI201">
            <v>-82562</v>
          </cell>
          <cell r="AJ201">
            <v>0</v>
          </cell>
          <cell r="AK201">
            <v>-404726</v>
          </cell>
          <cell r="AL201">
            <v>6600441</v>
          </cell>
          <cell r="AM201">
            <v>289318.50712838676</v>
          </cell>
          <cell r="AN201">
            <v>-100328.58999999998</v>
          </cell>
          <cell r="AO201">
            <v>1064848.4748793631</v>
          </cell>
          <cell r="AP201">
            <v>0</v>
          </cell>
          <cell r="AQ201">
            <v>-1469574.41</v>
          </cell>
          <cell r="AR201">
            <v>0</v>
          </cell>
          <cell r="AS201">
            <v>0</v>
          </cell>
          <cell r="AT201">
            <v>6384704.9820077494</v>
          </cell>
          <cell r="AU201">
            <v>1.9908134100986438E-4</v>
          </cell>
          <cell r="AV201">
            <v>0</v>
          </cell>
          <cell r="AW201">
            <v>0</v>
          </cell>
          <cell r="AY201">
            <v>0</v>
          </cell>
          <cell r="AZ201">
            <v>0</v>
          </cell>
          <cell r="BA201">
            <v>0</v>
          </cell>
          <cell r="BB201">
            <v>0</v>
          </cell>
          <cell r="BC201">
            <v>0</v>
          </cell>
          <cell r="BD201">
            <v>0</v>
          </cell>
          <cell r="BE201">
            <v>0</v>
          </cell>
          <cell r="BF201">
            <v>0</v>
          </cell>
          <cell r="BG201">
            <v>0</v>
          </cell>
          <cell r="BH201">
            <v>0</v>
          </cell>
          <cell r="BJ201">
            <v>0</v>
          </cell>
          <cell r="BL201">
            <v>0</v>
          </cell>
          <cell r="BM201">
            <v>0</v>
          </cell>
          <cell r="BN201">
            <v>0</v>
          </cell>
          <cell r="BO201">
            <v>0</v>
          </cell>
          <cell r="BQ201">
            <v>0</v>
          </cell>
          <cell r="BR201">
            <v>0</v>
          </cell>
          <cell r="BS201">
            <v>0</v>
          </cell>
          <cell r="BT201">
            <v>0</v>
          </cell>
          <cell r="CB201">
            <v>0</v>
          </cell>
          <cell r="CC201">
            <v>0</v>
          </cell>
          <cell r="CD201">
            <v>0</v>
          </cell>
          <cell r="CE201">
            <v>0</v>
          </cell>
          <cell r="CF201">
            <v>0</v>
          </cell>
          <cell r="CI201">
            <v>0</v>
          </cell>
          <cell r="CJ201">
            <v>0</v>
          </cell>
          <cell r="CK201">
            <v>0</v>
          </cell>
          <cell r="CV201">
            <v>1.4676337160561461E-4</v>
          </cell>
          <cell r="DG201">
            <v>6384706</v>
          </cell>
          <cell r="DR201">
            <v>1857050.5799999996</v>
          </cell>
          <cell r="EC201">
            <v>3.438089446115141</v>
          </cell>
          <cell r="EN201">
            <v>2.4095909012463064E-2</v>
          </cell>
        </row>
        <row r="202">
          <cell r="B202">
            <v>36003</v>
          </cell>
          <cell r="C202" t="str">
            <v>Community School Of Davidson</v>
          </cell>
          <cell r="D202">
            <v>3.876324350915837E-4</v>
          </cell>
          <cell r="E202">
            <v>670694.49657569767</v>
          </cell>
          <cell r="F202">
            <v>522955.8802347774</v>
          </cell>
          <cell r="G202">
            <v>19404</v>
          </cell>
          <cell r="H202">
            <v>-187147.5965322071</v>
          </cell>
          <cell r="I202">
            <v>-7744.5206542127698</v>
          </cell>
          <cell r="J202">
            <v>565972.32406025787</v>
          </cell>
          <cell r="K202">
            <v>0</v>
          </cell>
          <cell r="L202">
            <v>-29737.125469139039</v>
          </cell>
          <cell r="M202">
            <v>5336.5402542814736</v>
          </cell>
          <cell r="N202">
            <v>201.1734811638301</v>
          </cell>
          <cell r="O202">
            <v>-90.787392622799814</v>
          </cell>
          <cell r="P202">
            <v>0</v>
          </cell>
          <cell r="Q202">
            <v>0</v>
          </cell>
          <cell r="R202">
            <v>0</v>
          </cell>
          <cell r="S202">
            <v>1559844.3845579964</v>
          </cell>
          <cell r="T202">
            <v>148457</v>
          </cell>
          <cell r="U202">
            <v>2829861.620301289</v>
          </cell>
          <cell r="V202">
            <v>21346.161017125894</v>
          </cell>
          <cell r="W202">
            <v>0</v>
          </cell>
          <cell r="X202">
            <v>2999664.781318415</v>
          </cell>
          <cell r="Y202">
            <v>51432.159999999974</v>
          </cell>
          <cell r="Z202">
            <v>0</v>
          </cell>
          <cell r="AA202">
            <v>0</v>
          </cell>
          <cell r="AB202">
            <v>38722.603271063846</v>
          </cell>
          <cell r="AC202">
            <v>90154.763271063828</v>
          </cell>
          <cell r="AD202" t="str">
            <v>N/A</v>
          </cell>
          <cell r="AE202">
            <v>582969</v>
          </cell>
          <cell r="AF202">
            <v>582969</v>
          </cell>
          <cell r="AG202">
            <v>582969</v>
          </cell>
          <cell r="AH202">
            <v>582969</v>
          </cell>
          <cell r="AI202">
            <v>577633</v>
          </cell>
          <cell r="AJ202">
            <v>0</v>
          </cell>
          <cell r="AK202">
            <v>2909509</v>
          </cell>
          <cell r="AL202">
            <v>12673609</v>
          </cell>
          <cell r="AM202">
            <v>1559844.3845579964</v>
          </cell>
          <cell r="AN202">
            <v>-279634.84000000003</v>
          </cell>
          <cell r="AO202">
            <v>2812485.1780473515</v>
          </cell>
          <cell r="AP202">
            <v>0</v>
          </cell>
          <cell r="AQ202">
            <v>97024.840000000026</v>
          </cell>
          <cell r="AR202">
            <v>0</v>
          </cell>
          <cell r="AS202">
            <v>0</v>
          </cell>
          <cell r="AT202">
            <v>16863328.562605347</v>
          </cell>
          <cell r="AU202">
            <v>3.8225918370144178E-4</v>
          </cell>
          <cell r="AV202">
            <v>0</v>
          </cell>
          <cell r="AW202">
            <v>0</v>
          </cell>
          <cell r="AY202">
            <v>0</v>
          </cell>
          <cell r="AZ202">
            <v>0</v>
          </cell>
          <cell r="BA202">
            <v>0</v>
          </cell>
          <cell r="BB202">
            <v>0</v>
          </cell>
          <cell r="BC202">
            <v>0</v>
          </cell>
          <cell r="BD202">
            <v>0</v>
          </cell>
          <cell r="BE202">
            <v>0</v>
          </cell>
          <cell r="BF202">
            <v>0</v>
          </cell>
          <cell r="BG202">
            <v>0</v>
          </cell>
          <cell r="BH202">
            <v>0</v>
          </cell>
          <cell r="BJ202">
            <v>0</v>
          </cell>
          <cell r="BL202">
            <v>0</v>
          </cell>
          <cell r="BM202">
            <v>0</v>
          </cell>
          <cell r="BN202">
            <v>0</v>
          </cell>
          <cell r="BO202">
            <v>0</v>
          </cell>
          <cell r="BQ202">
            <v>0</v>
          </cell>
          <cell r="BR202">
            <v>0</v>
          </cell>
          <cell r="BS202">
            <v>0</v>
          </cell>
          <cell r="BT202">
            <v>0</v>
          </cell>
          <cell r="CB202">
            <v>0</v>
          </cell>
          <cell r="CC202">
            <v>0</v>
          </cell>
          <cell r="CD202">
            <v>0</v>
          </cell>
          <cell r="CE202">
            <v>0</v>
          </cell>
          <cell r="CF202">
            <v>0</v>
          </cell>
          <cell r="CI202">
            <v>0</v>
          </cell>
          <cell r="CJ202">
            <v>0</v>
          </cell>
          <cell r="CK202">
            <v>0</v>
          </cell>
          <cell r="CV202">
            <v>3.876324350915837E-4</v>
          </cell>
          <cell r="DG202">
            <v>16863328</v>
          </cell>
          <cell r="DR202">
            <v>4819997.4300000006</v>
          </cell>
          <cell r="EC202">
            <v>3.4986176330803556</v>
          </cell>
          <cell r="EN202">
            <v>2.4095909012463064E-2</v>
          </cell>
        </row>
        <row r="203">
          <cell r="B203">
            <v>36004</v>
          </cell>
          <cell r="C203" t="str">
            <v>Corvian Community School</v>
          </cell>
          <cell r="D203">
            <v>1.9730645184590787E-4</v>
          </cell>
          <cell r="E203">
            <v>341386.1674414911</v>
          </cell>
          <cell r="F203">
            <v>266186.62387397769</v>
          </cell>
          <cell r="G203">
            <v>221317</v>
          </cell>
          <cell r="H203">
            <v>-95258.871292685188</v>
          </cell>
          <cell r="I203">
            <v>-3941.9918283387419</v>
          </cell>
          <cell r="J203">
            <v>288082.16494300379</v>
          </cell>
          <cell r="K203">
            <v>0</v>
          </cell>
          <cell r="L203">
            <v>-15136.315187417593</v>
          </cell>
          <cell r="M203">
            <v>2716.3202234518012</v>
          </cell>
          <cell r="N203">
            <v>102.39810237898926</v>
          </cell>
          <cell r="O203">
            <v>-46.211144086830082</v>
          </cell>
          <cell r="P203">
            <v>0</v>
          </cell>
          <cell r="Q203">
            <v>0</v>
          </cell>
          <cell r="R203">
            <v>0</v>
          </cell>
          <cell r="S203">
            <v>1005407.2851317751</v>
          </cell>
          <cell r="T203">
            <v>1142128</v>
          </cell>
          <cell r="U203">
            <v>1440410.824715019</v>
          </cell>
          <cell r="V203">
            <v>10865.280893807205</v>
          </cell>
          <cell r="W203">
            <v>0</v>
          </cell>
          <cell r="X203">
            <v>2593404.1056088265</v>
          </cell>
          <cell r="Y203">
            <v>35545.830000000016</v>
          </cell>
          <cell r="Z203">
            <v>0</v>
          </cell>
          <cell r="AA203">
            <v>0</v>
          </cell>
          <cell r="AB203">
            <v>19709.959141693711</v>
          </cell>
          <cell r="AC203">
            <v>55255.789141693727</v>
          </cell>
          <cell r="AD203" t="str">
            <v>N/A</v>
          </cell>
          <cell r="AE203">
            <v>508173</v>
          </cell>
          <cell r="AF203">
            <v>508173</v>
          </cell>
          <cell r="AG203">
            <v>508173</v>
          </cell>
          <cell r="AH203">
            <v>508173</v>
          </cell>
          <cell r="AI203">
            <v>505457</v>
          </cell>
          <cell r="AJ203">
            <v>0</v>
          </cell>
          <cell r="AK203">
            <v>2538149</v>
          </cell>
          <cell r="AL203">
            <v>5171041</v>
          </cell>
          <cell r="AM203">
            <v>1005407.2851317751</v>
          </cell>
          <cell r="AN203">
            <v>-131096.16999999998</v>
          </cell>
          <cell r="AO203">
            <v>1431566.1464671325</v>
          </cell>
          <cell r="AP203">
            <v>0</v>
          </cell>
          <cell r="AQ203">
            <v>1106582.17</v>
          </cell>
          <cell r="AR203">
            <v>0</v>
          </cell>
          <cell r="AS203">
            <v>0</v>
          </cell>
          <cell r="AT203">
            <v>8583500.4315989073</v>
          </cell>
          <cell r="AU203">
            <v>1.5596802992803741E-4</v>
          </cell>
          <cell r="AV203">
            <v>0</v>
          </cell>
          <cell r="AW203">
            <v>0</v>
          </cell>
          <cell r="AY203">
            <v>0</v>
          </cell>
          <cell r="AZ203">
            <v>0</v>
          </cell>
          <cell r="BA203">
            <v>0</v>
          </cell>
          <cell r="BB203">
            <v>0</v>
          </cell>
          <cell r="BC203">
            <v>0</v>
          </cell>
          <cell r="BD203">
            <v>0</v>
          </cell>
          <cell r="BE203">
            <v>0</v>
          </cell>
          <cell r="BF203">
            <v>0</v>
          </cell>
          <cell r="BG203">
            <v>0</v>
          </cell>
          <cell r="BH203">
            <v>0</v>
          </cell>
          <cell r="BJ203">
            <v>0</v>
          </cell>
          <cell r="BL203">
            <v>0</v>
          </cell>
          <cell r="BM203">
            <v>0</v>
          </cell>
          <cell r="BN203">
            <v>0</v>
          </cell>
          <cell r="BO203">
            <v>0</v>
          </cell>
          <cell r="BQ203">
            <v>0</v>
          </cell>
          <cell r="BR203">
            <v>0</v>
          </cell>
          <cell r="BS203">
            <v>0</v>
          </cell>
          <cell r="BT203">
            <v>0</v>
          </cell>
          <cell r="CB203">
            <v>0</v>
          </cell>
          <cell r="CC203">
            <v>0</v>
          </cell>
          <cell r="CD203">
            <v>0</v>
          </cell>
          <cell r="CE203">
            <v>0</v>
          </cell>
          <cell r="CF203">
            <v>0</v>
          </cell>
          <cell r="CI203">
            <v>0</v>
          </cell>
          <cell r="CJ203">
            <v>0</v>
          </cell>
          <cell r="CK203">
            <v>0</v>
          </cell>
          <cell r="CV203">
            <v>1.9730645184590787E-4</v>
          </cell>
          <cell r="DG203">
            <v>8583501</v>
          </cell>
          <cell r="DR203">
            <v>2255330.2499999995</v>
          </cell>
          <cell r="EC203">
            <v>3.805873219675922</v>
          </cell>
          <cell r="EN203">
            <v>2.4095909012463064E-2</v>
          </cell>
        </row>
        <row r="204">
          <cell r="B204">
            <v>36005</v>
          </cell>
          <cell r="C204" t="str">
            <v>Central Piedmont Community College</v>
          </cell>
          <cell r="D204">
            <v>4.444733449763769E-3</v>
          </cell>
          <cell r="E204">
            <v>7690425.242145068</v>
          </cell>
          <cell r="F204">
            <v>5996400.9283201443</v>
          </cell>
          <cell r="G204">
            <v>1388775</v>
          </cell>
          <cell r="H204">
            <v>-2145901.9087323411</v>
          </cell>
          <cell r="I204">
            <v>-88801.469866764673</v>
          </cell>
          <cell r="J204">
            <v>6489643.0036790445</v>
          </cell>
          <cell r="K204">
            <v>0</v>
          </cell>
          <cell r="L204">
            <v>-340976.6167820206</v>
          </cell>
          <cell r="M204">
            <v>61190.69723515692</v>
          </cell>
          <cell r="N204">
            <v>2306.7277657584009</v>
          </cell>
          <cell r="O204">
            <v>-1041.0010212691723</v>
          </cell>
          <cell r="P204">
            <v>0</v>
          </cell>
          <cell r="Q204">
            <v>0</v>
          </cell>
          <cell r="R204">
            <v>0</v>
          </cell>
          <cell r="S204">
            <v>19052020.602742776</v>
          </cell>
          <cell r="T204">
            <v>6943875.2200000007</v>
          </cell>
          <cell r="U204">
            <v>32448215.018395223</v>
          </cell>
          <cell r="V204">
            <v>244762.78894062768</v>
          </cell>
          <cell r="W204">
            <v>0</v>
          </cell>
          <cell r="X204">
            <v>39636853.027335852</v>
          </cell>
          <cell r="Y204">
            <v>0</v>
          </cell>
          <cell r="Z204">
            <v>0</v>
          </cell>
          <cell r="AA204">
            <v>0</v>
          </cell>
          <cell r="AB204">
            <v>444007.34933382337</v>
          </cell>
          <cell r="AC204">
            <v>444007.34933382337</v>
          </cell>
          <cell r="AD204" t="str">
            <v>N/A</v>
          </cell>
          <cell r="AE204">
            <v>7850807</v>
          </cell>
          <cell r="AF204">
            <v>7850807</v>
          </cell>
          <cell r="AG204">
            <v>7850807</v>
          </cell>
          <cell r="AH204">
            <v>7850807</v>
          </cell>
          <cell r="AI204">
            <v>7789617</v>
          </cell>
          <cell r="AJ204">
            <v>0</v>
          </cell>
          <cell r="AK204">
            <v>39192845</v>
          </cell>
          <cell r="AL204">
            <v>139117085</v>
          </cell>
          <cell r="AM204">
            <v>19052020.602742776</v>
          </cell>
          <cell r="AN204">
            <v>-4000939.22</v>
          </cell>
          <cell r="AO204">
            <v>32248970.458002031</v>
          </cell>
          <cell r="AP204">
            <v>0</v>
          </cell>
          <cell r="AQ204">
            <v>6943875.2200000007</v>
          </cell>
          <cell r="AR204">
            <v>0</v>
          </cell>
          <cell r="AS204">
            <v>0</v>
          </cell>
          <cell r="AT204">
            <v>193361012.06074482</v>
          </cell>
          <cell r="AU204">
            <v>4.1960250917593847E-3</v>
          </cell>
          <cell r="AV204">
            <v>0</v>
          </cell>
          <cell r="AW204">
            <v>0</v>
          </cell>
          <cell r="AY204">
            <v>0</v>
          </cell>
          <cell r="AZ204">
            <v>0</v>
          </cell>
          <cell r="BA204">
            <v>0</v>
          </cell>
          <cell r="BB204">
            <v>0</v>
          </cell>
          <cell r="BC204">
            <v>0</v>
          </cell>
          <cell r="BD204">
            <v>0</v>
          </cell>
          <cell r="BE204">
            <v>0</v>
          </cell>
          <cell r="BF204">
            <v>0</v>
          </cell>
          <cell r="BG204">
            <v>0</v>
          </cell>
          <cell r="BH204">
            <v>0</v>
          </cell>
          <cell r="BJ204">
            <v>0</v>
          </cell>
          <cell r="BL204">
            <v>0</v>
          </cell>
          <cell r="BM204">
            <v>0</v>
          </cell>
          <cell r="BN204">
            <v>0</v>
          </cell>
          <cell r="BO204">
            <v>0</v>
          </cell>
          <cell r="BQ204">
            <v>0</v>
          </cell>
          <cell r="BR204">
            <v>0</v>
          </cell>
          <cell r="BS204">
            <v>0</v>
          </cell>
          <cell r="BT204">
            <v>0</v>
          </cell>
          <cell r="CB204">
            <v>0</v>
          </cell>
          <cell r="CC204">
            <v>0</v>
          </cell>
          <cell r="CD204">
            <v>0</v>
          </cell>
          <cell r="CE204">
            <v>0</v>
          </cell>
          <cell r="CF204">
            <v>0</v>
          </cell>
          <cell r="CI204">
            <v>0</v>
          </cell>
          <cell r="CJ204">
            <v>0</v>
          </cell>
          <cell r="CK204">
            <v>0</v>
          </cell>
          <cell r="CV204">
            <v>4.444733449763769E-3</v>
          </cell>
          <cell r="DG204">
            <v>193361013</v>
          </cell>
          <cell r="DR204">
            <v>69143334.120000049</v>
          </cell>
          <cell r="EC204">
            <v>2.7965242848199501</v>
          </cell>
          <cell r="EN204">
            <v>2.4095909012463064E-2</v>
          </cell>
        </row>
        <row r="205">
          <cell r="B205">
            <v>36006</v>
          </cell>
          <cell r="C205" t="str">
            <v>Lake Norman Charter School</v>
          </cell>
          <cell r="D205">
            <v>4.8326750042809637E-4</v>
          </cell>
          <cell r="E205">
            <v>836165.458740414</v>
          </cell>
          <cell r="F205">
            <v>651977.38423392072</v>
          </cell>
          <cell r="G205">
            <v>35473</v>
          </cell>
          <cell r="H205">
            <v>-233319.87470521475</v>
          </cell>
          <cell r="I205">
            <v>-9655.2166427737411</v>
          </cell>
          <cell r="J205">
            <v>705606.666520203</v>
          </cell>
          <cell r="K205">
            <v>0</v>
          </cell>
          <cell r="L205">
            <v>-37073.745627071061</v>
          </cell>
          <cell r="M205">
            <v>6653.149314017558</v>
          </cell>
          <cell r="N205">
            <v>250.80616737217346</v>
          </cell>
          <cell r="O205">
            <v>-113.18608127526446</v>
          </cell>
          <cell r="P205">
            <v>0</v>
          </cell>
          <cell r="Q205">
            <v>0</v>
          </cell>
          <cell r="R205">
            <v>0</v>
          </cell>
          <cell r="S205">
            <v>1955964.4419195927</v>
          </cell>
          <cell r="T205">
            <v>238779</v>
          </cell>
          <cell r="U205">
            <v>3528033.332601015</v>
          </cell>
          <cell r="V205">
            <v>26612.597256070232</v>
          </cell>
          <cell r="W205">
            <v>0</v>
          </cell>
          <cell r="X205">
            <v>3793424.929857085</v>
          </cell>
          <cell r="Y205">
            <v>61412.820000000007</v>
          </cell>
          <cell r="Z205">
            <v>0</v>
          </cell>
          <cell r="AA205">
            <v>0</v>
          </cell>
          <cell r="AB205">
            <v>48276.083213868704</v>
          </cell>
          <cell r="AC205">
            <v>109688.9032138687</v>
          </cell>
          <cell r="AD205" t="str">
            <v>N/A</v>
          </cell>
          <cell r="AE205">
            <v>738078</v>
          </cell>
          <cell r="AF205">
            <v>738079</v>
          </cell>
          <cell r="AG205">
            <v>738079</v>
          </cell>
          <cell r="AH205">
            <v>738079</v>
          </cell>
          <cell r="AI205">
            <v>731425</v>
          </cell>
          <cell r="AJ205">
            <v>0</v>
          </cell>
          <cell r="AK205">
            <v>3683740</v>
          </cell>
          <cell r="AL205">
            <v>15735954</v>
          </cell>
          <cell r="AM205">
            <v>1955964.4419195927</v>
          </cell>
          <cell r="AN205">
            <v>-351875.18</v>
          </cell>
          <cell r="AO205">
            <v>3506369.8466432169</v>
          </cell>
          <cell r="AP205">
            <v>0</v>
          </cell>
          <cell r="AQ205">
            <v>177366.18</v>
          </cell>
          <cell r="AR205">
            <v>0</v>
          </cell>
          <cell r="AS205">
            <v>0</v>
          </cell>
          <cell r="AT205">
            <v>21023779.288562808</v>
          </cell>
          <cell r="AU205">
            <v>4.7462507611900477E-4</v>
          </cell>
          <cell r="AV205">
            <v>0</v>
          </cell>
          <cell r="AW205">
            <v>0</v>
          </cell>
          <cell r="AY205">
            <v>0</v>
          </cell>
          <cell r="AZ205">
            <v>0</v>
          </cell>
          <cell r="BA205">
            <v>0</v>
          </cell>
          <cell r="BB205">
            <v>0</v>
          </cell>
          <cell r="BC205">
            <v>0</v>
          </cell>
          <cell r="BD205">
            <v>0</v>
          </cell>
          <cell r="BE205">
            <v>0</v>
          </cell>
          <cell r="BF205">
            <v>0</v>
          </cell>
          <cell r="BG205">
            <v>0</v>
          </cell>
          <cell r="BH205">
            <v>0</v>
          </cell>
          <cell r="BJ205">
            <v>0</v>
          </cell>
          <cell r="BL205">
            <v>0</v>
          </cell>
          <cell r="BM205">
            <v>0</v>
          </cell>
          <cell r="BN205">
            <v>0</v>
          </cell>
          <cell r="BO205">
            <v>0</v>
          </cell>
          <cell r="BQ205">
            <v>0</v>
          </cell>
          <cell r="BR205">
            <v>0</v>
          </cell>
          <cell r="BS205">
            <v>0</v>
          </cell>
          <cell r="BT205">
            <v>0</v>
          </cell>
          <cell r="CB205">
            <v>0</v>
          </cell>
          <cell r="CC205">
            <v>0</v>
          </cell>
          <cell r="CD205">
            <v>0</v>
          </cell>
          <cell r="CE205">
            <v>0</v>
          </cell>
          <cell r="CF205">
            <v>0</v>
          </cell>
          <cell r="CI205">
            <v>0</v>
          </cell>
          <cell r="CJ205">
            <v>0</v>
          </cell>
          <cell r="CK205">
            <v>0</v>
          </cell>
          <cell r="CV205">
            <v>4.8326750042809637E-4</v>
          </cell>
          <cell r="DG205">
            <v>21023779</v>
          </cell>
          <cell r="DR205">
            <v>6132666.4799999995</v>
          </cell>
          <cell r="EC205">
            <v>3.4281627850728973</v>
          </cell>
          <cell r="EN205">
            <v>2.4095909012463064E-2</v>
          </cell>
        </row>
        <row r="206">
          <cell r="B206">
            <v>36007</v>
          </cell>
          <cell r="C206" t="str">
            <v>Socrates Academy</v>
          </cell>
          <cell r="D206">
            <v>1.6440453688332634E-4</v>
          </cell>
          <cell r="E206">
            <v>284458.18284961511</v>
          </cell>
          <cell r="F206">
            <v>221798.56873973334</v>
          </cell>
          <cell r="G206">
            <v>-9512</v>
          </cell>
          <cell r="H206">
            <v>-79373.940752496012</v>
          </cell>
          <cell r="I206">
            <v>-3284.6434309306087</v>
          </cell>
          <cell r="J206">
            <v>240042.91024800998</v>
          </cell>
          <cell r="K206">
            <v>0</v>
          </cell>
          <cell r="L206">
            <v>-12612.252996424553</v>
          </cell>
          <cell r="M206">
            <v>2263.35917647626</v>
          </cell>
          <cell r="N206">
            <v>85.322666551708707</v>
          </cell>
          <cell r="O206">
            <v>-38.505186583443859</v>
          </cell>
          <cell r="P206">
            <v>0</v>
          </cell>
          <cell r="Q206">
            <v>0</v>
          </cell>
          <cell r="R206">
            <v>0</v>
          </cell>
          <cell r="S206">
            <v>643827.00131395168</v>
          </cell>
          <cell r="T206">
            <v>0</v>
          </cell>
          <cell r="U206">
            <v>1200214.55124005</v>
          </cell>
          <cell r="V206">
            <v>9053.4367059050401</v>
          </cell>
          <cell r="W206">
            <v>0</v>
          </cell>
          <cell r="X206">
            <v>1209267.987945955</v>
          </cell>
          <cell r="Y206">
            <v>47562.17</v>
          </cell>
          <cell r="Z206">
            <v>0</v>
          </cell>
          <cell r="AA206">
            <v>0</v>
          </cell>
          <cell r="AB206">
            <v>16423.217154653044</v>
          </cell>
          <cell r="AC206">
            <v>63985.387154653043</v>
          </cell>
          <cell r="AD206" t="str">
            <v>N/A</v>
          </cell>
          <cell r="AE206">
            <v>229510</v>
          </cell>
          <cell r="AF206">
            <v>229509</v>
          </cell>
          <cell r="AG206">
            <v>229509</v>
          </cell>
          <cell r="AH206">
            <v>229509</v>
          </cell>
          <cell r="AI206">
            <v>227245</v>
          </cell>
          <cell r="AJ206">
            <v>0</v>
          </cell>
          <cell r="AK206">
            <v>1145282</v>
          </cell>
          <cell r="AL206">
            <v>5487475</v>
          </cell>
          <cell r="AM206">
            <v>643827.00131395168</v>
          </cell>
          <cell r="AN206">
            <v>-124428.83</v>
          </cell>
          <cell r="AO206">
            <v>1192844.770791302</v>
          </cell>
          <cell r="AP206">
            <v>0</v>
          </cell>
          <cell r="AQ206">
            <v>-47562.17</v>
          </cell>
          <cell r="AR206">
            <v>0</v>
          </cell>
          <cell r="AS206">
            <v>0</v>
          </cell>
          <cell r="AT206">
            <v>7152155.7721052542</v>
          </cell>
          <cell r="AU206">
            <v>1.6551226589657202E-4</v>
          </cell>
          <cell r="AV206">
            <v>0</v>
          </cell>
          <cell r="AW206">
            <v>0</v>
          </cell>
          <cell r="AY206">
            <v>0</v>
          </cell>
          <cell r="AZ206">
            <v>0</v>
          </cell>
          <cell r="BA206">
            <v>0</v>
          </cell>
          <cell r="BB206">
            <v>0</v>
          </cell>
          <cell r="BC206">
            <v>0</v>
          </cell>
          <cell r="BD206">
            <v>0</v>
          </cell>
          <cell r="BE206">
            <v>0</v>
          </cell>
          <cell r="BF206">
            <v>0</v>
          </cell>
          <cell r="BG206">
            <v>0</v>
          </cell>
          <cell r="BH206">
            <v>0</v>
          </cell>
          <cell r="BJ206">
            <v>0</v>
          </cell>
          <cell r="BL206">
            <v>0</v>
          </cell>
          <cell r="BM206">
            <v>0</v>
          </cell>
          <cell r="BN206">
            <v>0</v>
          </cell>
          <cell r="BO206">
            <v>0</v>
          </cell>
          <cell r="BQ206">
            <v>0</v>
          </cell>
          <cell r="BR206">
            <v>0</v>
          </cell>
          <cell r="BS206">
            <v>0</v>
          </cell>
          <cell r="BT206">
            <v>0</v>
          </cell>
          <cell r="CB206">
            <v>0</v>
          </cell>
          <cell r="CC206">
            <v>0</v>
          </cell>
          <cell r="CD206">
            <v>0</v>
          </cell>
          <cell r="CE206">
            <v>0</v>
          </cell>
          <cell r="CF206">
            <v>0</v>
          </cell>
          <cell r="CI206">
            <v>0</v>
          </cell>
          <cell r="CJ206">
            <v>0</v>
          </cell>
          <cell r="CK206">
            <v>0</v>
          </cell>
          <cell r="CV206">
            <v>1.6440453688332634E-4</v>
          </cell>
          <cell r="DG206">
            <v>7152156</v>
          </cell>
          <cell r="DR206">
            <v>2123885.6199999996</v>
          </cell>
          <cell r="EC206">
            <v>3.3674864280120702</v>
          </cell>
          <cell r="EN206">
            <v>2.4095909012463064E-2</v>
          </cell>
        </row>
        <row r="207">
          <cell r="B207">
            <v>36008</v>
          </cell>
          <cell r="C207" t="str">
            <v>Pine Lake Prep Charter</v>
          </cell>
          <cell r="D207">
            <v>5.1236741829565377E-4</v>
          </cell>
          <cell r="E207">
            <v>886515.10185003758</v>
          </cell>
          <cell r="F207">
            <v>691236.15565121127</v>
          </cell>
          <cell r="G207">
            <v>125540</v>
          </cell>
          <cell r="H207">
            <v>-247369.21422168557</v>
          </cell>
          <cell r="I207">
            <v>-10236.604820230945</v>
          </cell>
          <cell r="J207">
            <v>748094.72132287419</v>
          </cell>
          <cell r="K207">
            <v>0</v>
          </cell>
          <cell r="L207">
            <v>-39306.138560249477</v>
          </cell>
          <cell r="M207">
            <v>7053.7682226489123</v>
          </cell>
          <cell r="N207">
            <v>265.90844274707837</v>
          </cell>
          <cell r="O207">
            <v>-120.00157303902508</v>
          </cell>
          <cell r="P207">
            <v>0</v>
          </cell>
          <cell r="Q207">
            <v>0</v>
          </cell>
          <cell r="R207">
            <v>0</v>
          </cell>
          <cell r="S207">
            <v>2161673.6963143134</v>
          </cell>
          <cell r="T207">
            <v>723078</v>
          </cell>
          <cell r="U207">
            <v>3740473.6066143708</v>
          </cell>
          <cell r="V207">
            <v>28215.072890595649</v>
          </cell>
          <cell r="W207">
            <v>0</v>
          </cell>
          <cell r="X207">
            <v>4491766.6795049664</v>
          </cell>
          <cell r="Y207">
            <v>95380.920000000042</v>
          </cell>
          <cell r="Z207">
            <v>0</v>
          </cell>
          <cell r="AA207">
            <v>0</v>
          </cell>
          <cell r="AB207">
            <v>51183.024101154719</v>
          </cell>
          <cell r="AC207">
            <v>146563.94410115475</v>
          </cell>
          <cell r="AD207" t="str">
            <v>N/A</v>
          </cell>
          <cell r="AE207">
            <v>870452</v>
          </cell>
          <cell r="AF207">
            <v>870452</v>
          </cell>
          <cell r="AG207">
            <v>870452</v>
          </cell>
          <cell r="AH207">
            <v>870452</v>
          </cell>
          <cell r="AI207">
            <v>863398</v>
          </cell>
          <cell r="AJ207">
            <v>0</v>
          </cell>
          <cell r="AK207">
            <v>4345206</v>
          </cell>
          <cell r="AL207">
            <v>16119588</v>
          </cell>
          <cell r="AM207">
            <v>2161673.6963143134</v>
          </cell>
          <cell r="AN207">
            <v>-336740.07999999996</v>
          </cell>
          <cell r="AO207">
            <v>3717505.655403812</v>
          </cell>
          <cell r="AP207">
            <v>0</v>
          </cell>
          <cell r="AQ207">
            <v>627697.07999999996</v>
          </cell>
          <cell r="AR207">
            <v>0</v>
          </cell>
          <cell r="AS207">
            <v>0</v>
          </cell>
          <cell r="AT207">
            <v>22289724.351718124</v>
          </cell>
          <cell r="AU207">
            <v>4.8619618220996239E-4</v>
          </cell>
          <cell r="AV207">
            <v>0</v>
          </cell>
          <cell r="AW207">
            <v>0</v>
          </cell>
          <cell r="AY207">
            <v>0</v>
          </cell>
          <cell r="AZ207">
            <v>0</v>
          </cell>
          <cell r="BA207">
            <v>0</v>
          </cell>
          <cell r="BB207">
            <v>0</v>
          </cell>
          <cell r="BC207">
            <v>0</v>
          </cell>
          <cell r="BD207">
            <v>0</v>
          </cell>
          <cell r="BE207">
            <v>0</v>
          </cell>
          <cell r="BF207">
            <v>0</v>
          </cell>
          <cell r="BG207">
            <v>0</v>
          </cell>
          <cell r="BH207">
            <v>0</v>
          </cell>
          <cell r="BJ207">
            <v>0</v>
          </cell>
          <cell r="BL207">
            <v>0</v>
          </cell>
          <cell r="BM207">
            <v>0</v>
          </cell>
          <cell r="BN207">
            <v>0</v>
          </cell>
          <cell r="BO207">
            <v>0</v>
          </cell>
          <cell r="BQ207">
            <v>0</v>
          </cell>
          <cell r="BR207">
            <v>0</v>
          </cell>
          <cell r="BS207">
            <v>0</v>
          </cell>
          <cell r="BT207">
            <v>0</v>
          </cell>
          <cell r="CB207">
            <v>0</v>
          </cell>
          <cell r="CC207">
            <v>0</v>
          </cell>
          <cell r="CD207">
            <v>0</v>
          </cell>
          <cell r="CE207">
            <v>0</v>
          </cell>
          <cell r="CF207">
            <v>0</v>
          </cell>
          <cell r="CI207">
            <v>0</v>
          </cell>
          <cell r="CJ207">
            <v>0</v>
          </cell>
          <cell r="CK207">
            <v>0</v>
          </cell>
          <cell r="CV207">
            <v>5.1236741829565377E-4</v>
          </cell>
          <cell r="DG207">
            <v>22289724</v>
          </cell>
          <cell r="DR207">
            <v>5994908.870000002</v>
          </cell>
          <cell r="EC207">
            <v>3.7181088959572444</v>
          </cell>
          <cell r="EN207">
            <v>2.4095909012463064E-2</v>
          </cell>
        </row>
        <row r="208">
          <cell r="B208">
            <v>36009</v>
          </cell>
          <cell r="C208" t="str">
            <v>Charlotte Secondary Charter</v>
          </cell>
          <cell r="D208">
            <v>1.5927350958971524E-4</v>
          </cell>
          <cell r="E208">
            <v>275580.3092351649</v>
          </cell>
          <cell r="F208">
            <v>214876.2870833877</v>
          </cell>
          <cell r="G208">
            <v>136423</v>
          </cell>
          <cell r="H208">
            <v>-76896.69855393334</v>
          </cell>
          <cell r="I208">
            <v>-3182.1304746984706</v>
          </cell>
          <cell r="J208">
            <v>232551.22694370762</v>
          </cell>
          <cell r="K208">
            <v>0</v>
          </cell>
          <cell r="L208">
            <v>-12218.62751877421</v>
          </cell>
          <cell r="M208">
            <v>2192.7202638896415</v>
          </cell>
          <cell r="N208">
            <v>82.659766006870413</v>
          </cell>
          <cell r="O208">
            <v>-37.303448681007204</v>
          </cell>
          <cell r="P208">
            <v>0</v>
          </cell>
          <cell r="Q208">
            <v>0</v>
          </cell>
          <cell r="R208">
            <v>0</v>
          </cell>
          <cell r="S208">
            <v>769371.44329606974</v>
          </cell>
          <cell r="T208">
            <v>707265</v>
          </cell>
          <cell r="U208">
            <v>1162756.134718538</v>
          </cell>
          <cell r="V208">
            <v>8770.881055558566</v>
          </cell>
          <cell r="W208">
            <v>0</v>
          </cell>
          <cell r="X208">
            <v>1878792.0157740966</v>
          </cell>
          <cell r="Y208">
            <v>25151.42</v>
          </cell>
          <cell r="Z208">
            <v>0</v>
          </cell>
          <cell r="AA208">
            <v>0</v>
          </cell>
          <cell r="AB208">
            <v>15910.652373492352</v>
          </cell>
          <cell r="AC208">
            <v>41062.072373492352</v>
          </cell>
          <cell r="AD208" t="str">
            <v>N/A</v>
          </cell>
          <cell r="AE208">
            <v>367985</v>
          </cell>
          <cell r="AF208">
            <v>367985</v>
          </cell>
          <cell r="AG208">
            <v>367985</v>
          </cell>
          <cell r="AH208">
            <v>367985</v>
          </cell>
          <cell r="AI208">
            <v>365792</v>
          </cell>
          <cell r="AJ208">
            <v>0</v>
          </cell>
          <cell r="AK208">
            <v>1837732</v>
          </cell>
          <cell r="AL208">
            <v>4431914</v>
          </cell>
          <cell r="AM208">
            <v>769371.44329606974</v>
          </cell>
          <cell r="AN208">
            <v>-110076.58</v>
          </cell>
          <cell r="AO208">
            <v>1155616.3634006043</v>
          </cell>
          <cell r="AP208">
            <v>0</v>
          </cell>
          <cell r="AQ208">
            <v>682113.58</v>
          </cell>
          <cell r="AR208">
            <v>0</v>
          </cell>
          <cell r="AS208">
            <v>0</v>
          </cell>
          <cell r="AT208">
            <v>6928938.8066966739</v>
          </cell>
          <cell r="AU208">
            <v>1.3367459981016111E-4</v>
          </cell>
          <cell r="AV208">
            <v>0</v>
          </cell>
          <cell r="AW208">
            <v>0</v>
          </cell>
          <cell r="AY208">
            <v>0</v>
          </cell>
          <cell r="AZ208">
            <v>0</v>
          </cell>
          <cell r="BA208">
            <v>0</v>
          </cell>
          <cell r="BB208">
            <v>0</v>
          </cell>
          <cell r="BC208">
            <v>0</v>
          </cell>
          <cell r="BD208">
            <v>0</v>
          </cell>
          <cell r="BE208">
            <v>0</v>
          </cell>
          <cell r="BF208">
            <v>0</v>
          </cell>
          <cell r="BG208">
            <v>0</v>
          </cell>
          <cell r="BH208">
            <v>0</v>
          </cell>
          <cell r="BJ208">
            <v>0</v>
          </cell>
          <cell r="BL208">
            <v>0</v>
          </cell>
          <cell r="BM208">
            <v>0</v>
          </cell>
          <cell r="BN208">
            <v>0</v>
          </cell>
          <cell r="BO208">
            <v>0</v>
          </cell>
          <cell r="BQ208">
            <v>0</v>
          </cell>
          <cell r="BR208">
            <v>0</v>
          </cell>
          <cell r="BS208">
            <v>0</v>
          </cell>
          <cell r="BT208">
            <v>0</v>
          </cell>
          <cell r="CB208">
            <v>0</v>
          </cell>
          <cell r="CC208">
            <v>0</v>
          </cell>
          <cell r="CD208">
            <v>0</v>
          </cell>
          <cell r="CE208">
            <v>0</v>
          </cell>
          <cell r="CF208">
            <v>0</v>
          </cell>
          <cell r="CI208">
            <v>0</v>
          </cell>
          <cell r="CJ208">
            <v>0</v>
          </cell>
          <cell r="CK208">
            <v>0</v>
          </cell>
          <cell r="CV208">
            <v>1.5927350958971524E-4</v>
          </cell>
          <cell r="DG208">
            <v>6928939</v>
          </cell>
          <cell r="DR208">
            <v>1841895.1</v>
          </cell>
          <cell r="EC208">
            <v>3.761853213030427</v>
          </cell>
          <cell r="EN208">
            <v>2.4095909012463064E-2</v>
          </cell>
        </row>
        <row r="209">
          <cell r="B209">
            <v>36100</v>
          </cell>
          <cell r="C209" t="str">
            <v>Mitchell County Schools</v>
          </cell>
          <cell r="D209">
            <v>6.7253678859313421E-4</v>
          </cell>
          <cell r="E209">
            <v>1163645.4589965816</v>
          </cell>
          <cell r="F209">
            <v>907321.05063885346</v>
          </cell>
          <cell r="G209">
            <v>-82714</v>
          </cell>
          <cell r="H209">
            <v>-324698.43122120848</v>
          </cell>
          <cell r="I209">
            <v>-13436.633724282847</v>
          </cell>
          <cell r="J209">
            <v>981953.9718500271</v>
          </cell>
          <cell r="K209">
            <v>0</v>
          </cell>
          <cell r="L209">
            <v>-51593.491809530198</v>
          </cell>
          <cell r="M209">
            <v>9258.8218113494368</v>
          </cell>
          <cell r="N209">
            <v>349.03314254406479</v>
          </cell>
          <cell r="O209">
            <v>-157.51484125639797</v>
          </cell>
          <cell r="P209">
            <v>0</v>
          </cell>
          <cell r="Q209">
            <v>0</v>
          </cell>
          <cell r="R209">
            <v>0</v>
          </cell>
          <cell r="S209">
            <v>2589928.2648430779</v>
          </cell>
          <cell r="T209">
            <v>30312.339999999967</v>
          </cell>
          <cell r="U209">
            <v>4909769.8592501357</v>
          </cell>
          <cell r="V209">
            <v>37035.287245397747</v>
          </cell>
          <cell r="W209">
            <v>0</v>
          </cell>
          <cell r="X209">
            <v>4977117.486495533</v>
          </cell>
          <cell r="Y209">
            <v>443879</v>
          </cell>
          <cell r="Z209">
            <v>0</v>
          </cell>
          <cell r="AA209">
            <v>0</v>
          </cell>
          <cell r="AB209">
            <v>67183.168621414225</v>
          </cell>
          <cell r="AC209">
            <v>511062.16862141422</v>
          </cell>
          <cell r="AD209" t="str">
            <v>N/A</v>
          </cell>
          <cell r="AE209">
            <v>895062</v>
          </cell>
          <cell r="AF209">
            <v>895063</v>
          </cell>
          <cell r="AG209">
            <v>895063</v>
          </cell>
          <cell r="AH209">
            <v>895063</v>
          </cell>
          <cell r="AI209">
            <v>885804</v>
          </cell>
          <cell r="AJ209">
            <v>0</v>
          </cell>
          <cell r="AK209">
            <v>4466055</v>
          </cell>
          <cell r="AL209">
            <v>22830271</v>
          </cell>
          <cell r="AM209">
            <v>2589928.2648430779</v>
          </cell>
          <cell r="AN209">
            <v>-628618.34</v>
          </cell>
          <cell r="AO209">
            <v>4879621.9778741198</v>
          </cell>
          <cell r="AP209">
            <v>0</v>
          </cell>
          <cell r="AQ209">
            <v>-413566.66000000003</v>
          </cell>
          <cell r="AR209">
            <v>0</v>
          </cell>
          <cell r="AS209">
            <v>0</v>
          </cell>
          <cell r="AT209">
            <v>29257636.242717195</v>
          </cell>
          <cell r="AU209">
            <v>6.8860262771461116E-4</v>
          </cell>
          <cell r="AV209">
            <v>0</v>
          </cell>
          <cell r="AW209">
            <v>0</v>
          </cell>
          <cell r="AY209">
            <v>0</v>
          </cell>
          <cell r="AZ209">
            <v>0</v>
          </cell>
          <cell r="BA209">
            <v>0</v>
          </cell>
          <cell r="BB209">
            <v>0</v>
          </cell>
          <cell r="BC209">
            <v>0</v>
          </cell>
          <cell r="BD209">
            <v>0</v>
          </cell>
          <cell r="BE209">
            <v>0</v>
          </cell>
          <cell r="BF209">
            <v>0</v>
          </cell>
          <cell r="BG209">
            <v>0</v>
          </cell>
          <cell r="BH209">
            <v>0</v>
          </cell>
          <cell r="BJ209">
            <v>0</v>
          </cell>
          <cell r="BL209">
            <v>0</v>
          </cell>
          <cell r="BM209">
            <v>0</v>
          </cell>
          <cell r="BN209">
            <v>0</v>
          </cell>
          <cell r="BO209">
            <v>0</v>
          </cell>
          <cell r="BQ209">
            <v>0</v>
          </cell>
          <cell r="BR209">
            <v>0</v>
          </cell>
          <cell r="BS209">
            <v>0</v>
          </cell>
          <cell r="BT209">
            <v>0</v>
          </cell>
          <cell r="CB209">
            <v>0</v>
          </cell>
          <cell r="CC209">
            <v>0</v>
          </cell>
          <cell r="CD209">
            <v>0</v>
          </cell>
          <cell r="CE209">
            <v>0</v>
          </cell>
          <cell r="CF209">
            <v>0</v>
          </cell>
          <cell r="CI209">
            <v>0</v>
          </cell>
          <cell r="CJ209">
            <v>0</v>
          </cell>
          <cell r="CK209">
            <v>0</v>
          </cell>
          <cell r="CV209">
            <v>6.7253678859313421E-4</v>
          </cell>
          <cell r="DG209">
            <v>29257636</v>
          </cell>
          <cell r="DR209">
            <v>10989867.26999999</v>
          </cell>
          <cell r="EC209">
            <v>2.6622374302797223</v>
          </cell>
          <cell r="EN209">
            <v>2.4095909012463064E-2</v>
          </cell>
        </row>
        <row r="210">
          <cell r="B210">
            <v>36102</v>
          </cell>
          <cell r="C210" t="str">
            <v>Kipp Charlotte Charter</v>
          </cell>
          <cell r="D210">
            <v>1.6273927781060074E-4</v>
          </cell>
          <cell r="E210">
            <v>281576.89636700711</v>
          </cell>
          <cell r="F210">
            <v>219551.96359176523</v>
          </cell>
          <cell r="G210">
            <v>177923</v>
          </cell>
          <cell r="H210">
            <v>-78569.959442236417</v>
          </cell>
          <cell r="I210">
            <v>-3251.3731673617422</v>
          </cell>
          <cell r="J210">
            <v>237611.50755248926</v>
          </cell>
          <cell r="K210">
            <v>0</v>
          </cell>
          <cell r="L210">
            <v>-12484.503062463109</v>
          </cell>
          <cell r="M210">
            <v>2240.433535402628</v>
          </cell>
          <cell r="N210">
            <v>84.458430398145566</v>
          </cell>
          <cell r="O210">
            <v>-38.1151662560208</v>
          </cell>
          <cell r="P210">
            <v>0</v>
          </cell>
          <cell r="Q210">
            <v>0</v>
          </cell>
          <cell r="R210">
            <v>0</v>
          </cell>
          <cell r="S210">
            <v>824644.3086387451</v>
          </cell>
          <cell r="T210">
            <v>923911</v>
          </cell>
          <cell r="U210">
            <v>1188057.5377624463</v>
          </cell>
          <cell r="V210">
            <v>8961.7341416105119</v>
          </cell>
          <cell r="W210">
            <v>0</v>
          </cell>
          <cell r="X210">
            <v>2120930.2719040569</v>
          </cell>
          <cell r="Y210">
            <v>34294.78</v>
          </cell>
          <cell r="Z210">
            <v>0</v>
          </cell>
          <cell r="AA210">
            <v>0</v>
          </cell>
          <cell r="AB210">
            <v>16256.865836808709</v>
          </cell>
          <cell r="AC210">
            <v>50551.645836808704</v>
          </cell>
          <cell r="AD210" t="str">
            <v>N/A</v>
          </cell>
          <cell r="AE210">
            <v>414524</v>
          </cell>
          <cell r="AF210">
            <v>414524</v>
          </cell>
          <cell r="AG210">
            <v>414524</v>
          </cell>
          <cell r="AH210">
            <v>414524</v>
          </cell>
          <cell r="AI210">
            <v>412283</v>
          </cell>
          <cell r="AJ210">
            <v>0</v>
          </cell>
          <cell r="AK210">
            <v>2070379</v>
          </cell>
          <cell r="AL210">
            <v>4286845</v>
          </cell>
          <cell r="AM210">
            <v>824644.3086387451</v>
          </cell>
          <cell r="AN210">
            <v>-102156.22</v>
          </cell>
          <cell r="AO210">
            <v>1180762.4060672482</v>
          </cell>
          <cell r="AP210">
            <v>0</v>
          </cell>
          <cell r="AQ210">
            <v>889616.22</v>
          </cell>
          <cell r="AR210">
            <v>0</v>
          </cell>
          <cell r="AS210">
            <v>0</v>
          </cell>
          <cell r="AT210">
            <v>7079711.7147059934</v>
          </cell>
          <cell r="AU210">
            <v>1.2929906699602807E-4</v>
          </cell>
          <cell r="AV210">
            <v>0</v>
          </cell>
          <cell r="AW210">
            <v>0</v>
          </cell>
          <cell r="AY210">
            <v>0</v>
          </cell>
          <cell r="AZ210">
            <v>0</v>
          </cell>
          <cell r="BA210">
            <v>0</v>
          </cell>
          <cell r="BB210">
            <v>0</v>
          </cell>
          <cell r="BC210">
            <v>0</v>
          </cell>
          <cell r="BD210">
            <v>0</v>
          </cell>
          <cell r="BE210">
            <v>0</v>
          </cell>
          <cell r="BF210">
            <v>0</v>
          </cell>
          <cell r="BG210">
            <v>0</v>
          </cell>
          <cell r="BH210">
            <v>0</v>
          </cell>
          <cell r="BJ210">
            <v>0</v>
          </cell>
          <cell r="BL210">
            <v>0</v>
          </cell>
          <cell r="BM210">
            <v>0</v>
          </cell>
          <cell r="BN210">
            <v>0</v>
          </cell>
          <cell r="BO210">
            <v>0</v>
          </cell>
          <cell r="BQ210">
            <v>0</v>
          </cell>
          <cell r="BR210">
            <v>0</v>
          </cell>
          <cell r="BS210">
            <v>0</v>
          </cell>
          <cell r="BT210">
            <v>0</v>
          </cell>
          <cell r="CB210">
            <v>0</v>
          </cell>
          <cell r="CC210">
            <v>0</v>
          </cell>
          <cell r="CD210">
            <v>0</v>
          </cell>
          <cell r="CE210">
            <v>0</v>
          </cell>
          <cell r="CF210">
            <v>0</v>
          </cell>
          <cell r="CI210">
            <v>0</v>
          </cell>
          <cell r="CJ210">
            <v>0</v>
          </cell>
          <cell r="CK210">
            <v>0</v>
          </cell>
          <cell r="CV210">
            <v>1.6273927781060074E-4</v>
          </cell>
          <cell r="DG210">
            <v>7079712</v>
          </cell>
          <cell r="DR210">
            <v>1834403.22</v>
          </cell>
          <cell r="EC210">
            <v>3.8594088381506442</v>
          </cell>
          <cell r="EN210">
            <v>2.4095909012463064E-2</v>
          </cell>
        </row>
        <row r="211">
          <cell r="B211">
            <v>36105</v>
          </cell>
          <cell r="C211" t="str">
            <v>Mayland Technical College</v>
          </cell>
          <cell r="D211">
            <v>3.4452709511830436E-4</v>
          </cell>
          <cell r="E211">
            <v>596112.20759290818</v>
          </cell>
          <cell r="F211">
            <v>464802.3590950417</v>
          </cell>
          <cell r="G211">
            <v>-77364</v>
          </cell>
          <cell r="H211">
            <v>-166336.48775128959</v>
          </cell>
          <cell r="I211">
            <v>-6883.3177065000664</v>
          </cell>
          <cell r="J211">
            <v>503035.30631993269</v>
          </cell>
          <cell r="K211">
            <v>0</v>
          </cell>
          <cell r="L211">
            <v>-26430.310076169018</v>
          </cell>
          <cell r="M211">
            <v>4743.1085361964151</v>
          </cell>
          <cell r="N211">
            <v>178.80267182449759</v>
          </cell>
          <cell r="O211">
            <v>-80.69169094765806</v>
          </cell>
          <cell r="P211">
            <v>0</v>
          </cell>
          <cell r="Q211">
            <v>0</v>
          </cell>
          <cell r="R211">
            <v>0</v>
          </cell>
          <cell r="S211">
            <v>1291776.9769909973</v>
          </cell>
          <cell r="T211">
            <v>39895.189999999944</v>
          </cell>
          <cell r="U211">
            <v>2515176.5315996632</v>
          </cell>
          <cell r="V211">
            <v>18972.43414478566</v>
          </cell>
          <cell r="W211">
            <v>0</v>
          </cell>
          <cell r="X211">
            <v>2574044.1557444488</v>
          </cell>
          <cell r="Y211">
            <v>426715</v>
          </cell>
          <cell r="Z211">
            <v>0</v>
          </cell>
          <cell r="AA211">
            <v>0</v>
          </cell>
          <cell r="AB211">
            <v>34416.588532500333</v>
          </cell>
          <cell r="AC211">
            <v>461131.58853250032</v>
          </cell>
          <cell r="AD211" t="str">
            <v>N/A</v>
          </cell>
          <cell r="AE211">
            <v>423531</v>
          </cell>
          <cell r="AF211">
            <v>423531</v>
          </cell>
          <cell r="AG211">
            <v>423531</v>
          </cell>
          <cell r="AH211">
            <v>423531</v>
          </cell>
          <cell r="AI211">
            <v>418788</v>
          </cell>
          <cell r="AJ211">
            <v>0</v>
          </cell>
          <cell r="AK211">
            <v>2112912</v>
          </cell>
          <cell r="AL211">
            <v>11934679</v>
          </cell>
          <cell r="AM211">
            <v>1291776.9769909973</v>
          </cell>
          <cell r="AN211">
            <v>-351269.18999999994</v>
          </cell>
          <cell r="AO211">
            <v>2499732.3772119489</v>
          </cell>
          <cell r="AP211">
            <v>0</v>
          </cell>
          <cell r="AQ211">
            <v>-386819.81000000006</v>
          </cell>
          <cell r="AR211">
            <v>0</v>
          </cell>
          <cell r="AS211">
            <v>0</v>
          </cell>
          <cell r="AT211">
            <v>14988099.354202947</v>
          </cell>
          <cell r="AU211">
            <v>3.599716783877378E-4</v>
          </cell>
          <cell r="AV211">
            <v>0</v>
          </cell>
          <cell r="AW211">
            <v>0</v>
          </cell>
          <cell r="AY211">
            <v>0</v>
          </cell>
          <cell r="AZ211">
            <v>0</v>
          </cell>
          <cell r="BA211">
            <v>0</v>
          </cell>
          <cell r="BB211">
            <v>0</v>
          </cell>
          <cell r="BC211">
            <v>0</v>
          </cell>
          <cell r="BD211">
            <v>0</v>
          </cell>
          <cell r="BE211">
            <v>0</v>
          </cell>
          <cell r="BF211">
            <v>0</v>
          </cell>
          <cell r="BG211">
            <v>0</v>
          </cell>
          <cell r="BH211">
            <v>0</v>
          </cell>
          <cell r="BJ211">
            <v>0</v>
          </cell>
          <cell r="BL211">
            <v>0</v>
          </cell>
          <cell r="BM211">
            <v>0</v>
          </cell>
          <cell r="BN211">
            <v>0</v>
          </cell>
          <cell r="BO211">
            <v>0</v>
          </cell>
          <cell r="BQ211">
            <v>0</v>
          </cell>
          <cell r="BR211">
            <v>0</v>
          </cell>
          <cell r="BS211">
            <v>0</v>
          </cell>
          <cell r="BT211">
            <v>0</v>
          </cell>
          <cell r="CB211">
            <v>0</v>
          </cell>
          <cell r="CC211">
            <v>0</v>
          </cell>
          <cell r="CD211">
            <v>0</v>
          </cell>
          <cell r="CE211">
            <v>0</v>
          </cell>
          <cell r="CF211">
            <v>0</v>
          </cell>
          <cell r="CI211">
            <v>0</v>
          </cell>
          <cell r="CJ211">
            <v>0</v>
          </cell>
          <cell r="CK211">
            <v>0</v>
          </cell>
          <cell r="CV211">
            <v>3.4452709511830436E-4</v>
          </cell>
          <cell r="DG211">
            <v>14988100</v>
          </cell>
          <cell r="DR211">
            <v>5969869.6899999995</v>
          </cell>
          <cell r="EC211">
            <v>2.5106243148164933</v>
          </cell>
          <cell r="EN211">
            <v>2.4095909012463064E-2</v>
          </cell>
        </row>
        <row r="212">
          <cell r="B212">
            <v>36200</v>
          </cell>
          <cell r="C212" t="str">
            <v>Montgomery County Schools</v>
          </cell>
          <cell r="D212">
            <v>1.3812649658540327E-3</v>
          </cell>
          <cell r="E212">
            <v>2389910.4590983</v>
          </cell>
          <cell r="F212">
            <v>1863467.9935516545</v>
          </cell>
          <cell r="G212">
            <v>90690</v>
          </cell>
          <cell r="H212">
            <v>-666869.93948958092</v>
          </cell>
          <cell r="I212">
            <v>-27596.336344944091</v>
          </cell>
          <cell r="J212">
            <v>2016750.0758359348</v>
          </cell>
          <cell r="K212">
            <v>0</v>
          </cell>
          <cell r="L212">
            <v>-105963.39696398962</v>
          </cell>
          <cell r="M212">
            <v>19015.890892533866</v>
          </cell>
          <cell r="N212">
            <v>716.84889197892585</v>
          </cell>
          <cell r="O212">
            <v>-323.50606765267298</v>
          </cell>
          <cell r="P212">
            <v>0</v>
          </cell>
          <cell r="Q212">
            <v>0</v>
          </cell>
          <cell r="R212">
            <v>0</v>
          </cell>
          <cell r="S212">
            <v>5579798.0894042356</v>
          </cell>
          <cell r="T212">
            <v>453449.17999999993</v>
          </cell>
          <cell r="U212">
            <v>10083750.379179675</v>
          </cell>
          <cell r="V212">
            <v>76063.563570135462</v>
          </cell>
          <cell r="W212">
            <v>0</v>
          </cell>
          <cell r="X212">
            <v>10613263.122749811</v>
          </cell>
          <cell r="Y212">
            <v>0</v>
          </cell>
          <cell r="Z212">
            <v>0</v>
          </cell>
          <cell r="AA212">
            <v>0</v>
          </cell>
          <cell r="AB212">
            <v>137981.68172472046</v>
          </cell>
          <cell r="AC212">
            <v>137981.68172472046</v>
          </cell>
          <cell r="AD212" t="str">
            <v>N/A</v>
          </cell>
          <cell r="AE212">
            <v>2098860</v>
          </cell>
          <cell r="AF212">
            <v>2098860</v>
          </cell>
          <cell r="AG212">
            <v>2098860</v>
          </cell>
          <cell r="AH212">
            <v>2098860</v>
          </cell>
          <cell r="AI212">
            <v>2079844</v>
          </cell>
          <cell r="AJ212">
            <v>0</v>
          </cell>
          <cell r="AK212">
            <v>10475284</v>
          </cell>
          <cell r="AL212">
            <v>45314695</v>
          </cell>
          <cell r="AM212">
            <v>5579798.0894042356</v>
          </cell>
          <cell r="AN212">
            <v>-1280053.18</v>
          </cell>
          <cell r="AO212">
            <v>10021832.26102509</v>
          </cell>
          <cell r="AP212">
            <v>0</v>
          </cell>
          <cell r="AQ212">
            <v>453449.17999999993</v>
          </cell>
          <cell r="AR212">
            <v>0</v>
          </cell>
          <cell r="AS212">
            <v>0</v>
          </cell>
          <cell r="AT212">
            <v>60089721.350429319</v>
          </cell>
          <cell r="AU212">
            <v>1.3667738617282928E-3</v>
          </cell>
          <cell r="AV212">
            <v>0</v>
          </cell>
          <cell r="AW212">
            <v>0</v>
          </cell>
          <cell r="AY212">
            <v>0</v>
          </cell>
          <cell r="AZ212">
            <v>0</v>
          </cell>
          <cell r="BA212">
            <v>0</v>
          </cell>
          <cell r="BB212">
            <v>0</v>
          </cell>
          <cell r="BC212">
            <v>0</v>
          </cell>
          <cell r="BD212">
            <v>0</v>
          </cell>
          <cell r="BE212">
            <v>0</v>
          </cell>
          <cell r="BF212">
            <v>0</v>
          </cell>
          <cell r="BG212">
            <v>0</v>
          </cell>
          <cell r="BH212">
            <v>0</v>
          </cell>
          <cell r="BJ212">
            <v>0</v>
          </cell>
          <cell r="BL212">
            <v>0</v>
          </cell>
          <cell r="BM212">
            <v>0</v>
          </cell>
          <cell r="BN212">
            <v>0</v>
          </cell>
          <cell r="BO212">
            <v>0</v>
          </cell>
          <cell r="BQ212">
            <v>0</v>
          </cell>
          <cell r="BR212">
            <v>0</v>
          </cell>
          <cell r="BS212">
            <v>0</v>
          </cell>
          <cell r="BT212">
            <v>0</v>
          </cell>
          <cell r="CB212">
            <v>0</v>
          </cell>
          <cell r="CC212">
            <v>0</v>
          </cell>
          <cell r="CD212">
            <v>0</v>
          </cell>
          <cell r="CE212">
            <v>0</v>
          </cell>
          <cell r="CF212">
            <v>0</v>
          </cell>
          <cell r="CI212">
            <v>0</v>
          </cell>
          <cell r="CJ212">
            <v>0</v>
          </cell>
          <cell r="CK212">
            <v>0</v>
          </cell>
          <cell r="CV212">
            <v>1.3812649658540327E-3</v>
          </cell>
          <cell r="DG212">
            <v>60089721</v>
          </cell>
          <cell r="DR212">
            <v>22195620.610000007</v>
          </cell>
          <cell r="EC212">
            <v>2.7072782534824551</v>
          </cell>
          <cell r="EN212">
            <v>2.4095909012463064E-2</v>
          </cell>
        </row>
        <row r="213">
          <cell r="B213">
            <v>36205</v>
          </cell>
          <cell r="C213" t="str">
            <v>Montgomery Community College</v>
          </cell>
          <cell r="D213">
            <v>2.4367880035541003E-4</v>
          </cell>
          <cell r="E213">
            <v>421621.14295705943</v>
          </cell>
          <cell r="F213">
            <v>328747.67433821713</v>
          </cell>
          <cell r="G213">
            <v>-2007</v>
          </cell>
          <cell r="H213">
            <v>-117647.28047484455</v>
          </cell>
          <cell r="I213">
            <v>-4868.4664427020689</v>
          </cell>
          <cell r="J213">
            <v>355789.25929865107</v>
          </cell>
          <cell r="K213">
            <v>0</v>
          </cell>
          <cell r="L213">
            <v>-18693.758324496419</v>
          </cell>
          <cell r="M213">
            <v>3354.7288861532597</v>
          </cell>
          <cell r="N213">
            <v>126.4644238084507</v>
          </cell>
          <cell r="O213">
            <v>-57.072011831240587</v>
          </cell>
          <cell r="P213">
            <v>0</v>
          </cell>
          <cell r="Q213">
            <v>0</v>
          </cell>
          <cell r="R213">
            <v>0</v>
          </cell>
          <cell r="S213">
            <v>966365.69265001523</v>
          </cell>
          <cell r="T213">
            <v>7384.5199999999895</v>
          </cell>
          <cell r="U213">
            <v>1778946.2964932553</v>
          </cell>
          <cell r="V213">
            <v>13418.915544613039</v>
          </cell>
          <cell r="W213">
            <v>0</v>
          </cell>
          <cell r="X213">
            <v>1799749.7320378684</v>
          </cell>
          <cell r="Y213">
            <v>17419</v>
          </cell>
          <cell r="Z213">
            <v>0</v>
          </cell>
          <cell r="AA213">
            <v>0</v>
          </cell>
          <cell r="AB213">
            <v>24342.332213510344</v>
          </cell>
          <cell r="AC213">
            <v>41761.332213510344</v>
          </cell>
          <cell r="AD213" t="str">
            <v>N/A</v>
          </cell>
          <cell r="AE213">
            <v>352269</v>
          </cell>
          <cell r="AF213">
            <v>352269</v>
          </cell>
          <cell r="AG213">
            <v>352269</v>
          </cell>
          <cell r="AH213">
            <v>352269</v>
          </cell>
          <cell r="AI213">
            <v>348914</v>
          </cell>
          <cell r="AJ213">
            <v>0</v>
          </cell>
          <cell r="AK213">
            <v>1757990</v>
          </cell>
          <cell r="AL213">
            <v>8099950</v>
          </cell>
          <cell r="AM213">
            <v>966365.69265001523</v>
          </cell>
          <cell r="AN213">
            <v>-223448.52</v>
          </cell>
          <cell r="AO213">
            <v>1768022.879824358</v>
          </cell>
          <cell r="AP213">
            <v>0</v>
          </cell>
          <cell r="AQ213">
            <v>-10034.48000000001</v>
          </cell>
          <cell r="AR213">
            <v>0</v>
          </cell>
          <cell r="AS213">
            <v>0</v>
          </cell>
          <cell r="AT213">
            <v>10600855.572474372</v>
          </cell>
          <cell r="AU213">
            <v>2.4430927666928694E-4</v>
          </cell>
          <cell r="AV213">
            <v>0</v>
          </cell>
          <cell r="AW213">
            <v>0</v>
          </cell>
          <cell r="AY213">
            <v>0</v>
          </cell>
          <cell r="AZ213">
            <v>0</v>
          </cell>
          <cell r="BA213">
            <v>0</v>
          </cell>
          <cell r="BB213">
            <v>0</v>
          </cell>
          <cell r="BC213">
            <v>0</v>
          </cell>
          <cell r="BD213">
            <v>0</v>
          </cell>
          <cell r="BE213">
            <v>0</v>
          </cell>
          <cell r="BF213">
            <v>0</v>
          </cell>
          <cell r="BG213">
            <v>0</v>
          </cell>
          <cell r="BH213">
            <v>0</v>
          </cell>
          <cell r="BJ213">
            <v>0</v>
          </cell>
          <cell r="BL213">
            <v>0</v>
          </cell>
          <cell r="BM213">
            <v>0</v>
          </cell>
          <cell r="BN213">
            <v>0</v>
          </cell>
          <cell r="BO213">
            <v>0</v>
          </cell>
          <cell r="BQ213">
            <v>0</v>
          </cell>
          <cell r="BR213">
            <v>0</v>
          </cell>
          <cell r="BS213">
            <v>0</v>
          </cell>
          <cell r="BT213">
            <v>0</v>
          </cell>
          <cell r="CB213">
            <v>0</v>
          </cell>
          <cell r="CC213">
            <v>0</v>
          </cell>
          <cell r="CD213">
            <v>0</v>
          </cell>
          <cell r="CE213">
            <v>0</v>
          </cell>
          <cell r="CF213">
            <v>0</v>
          </cell>
          <cell r="CI213">
            <v>0</v>
          </cell>
          <cell r="CJ213">
            <v>0</v>
          </cell>
          <cell r="CK213">
            <v>0</v>
          </cell>
          <cell r="CV213">
            <v>2.4367880035541003E-4</v>
          </cell>
          <cell r="DG213">
            <v>10600856</v>
          </cell>
          <cell r="DR213">
            <v>3891820.2999999989</v>
          </cell>
          <cell r="EC213">
            <v>2.7238811617278431</v>
          </cell>
          <cell r="EN213">
            <v>2.4095909012463064E-2</v>
          </cell>
        </row>
        <row r="214">
          <cell r="B214">
            <v>36300</v>
          </cell>
          <cell r="C214" t="str">
            <v>Moore County Schools</v>
          </cell>
          <cell r="D214">
            <v>4.3680148372305747E-3</v>
          </cell>
          <cell r="E214">
            <v>7557684.1540604765</v>
          </cell>
          <cell r="F214">
            <v>5892899.6577461055</v>
          </cell>
          <cell r="G214">
            <v>563426</v>
          </cell>
          <cell r="H214">
            <v>-2108862.428428066</v>
          </cell>
          <cell r="I214">
            <v>-87268.706285756576</v>
          </cell>
          <cell r="J214">
            <v>6377628.0959899304</v>
          </cell>
          <cell r="K214">
            <v>0</v>
          </cell>
          <cell r="L214">
            <v>-335091.16757759877</v>
          </cell>
          <cell r="M214">
            <v>60134.511201758338</v>
          </cell>
          <cell r="N214">
            <v>2266.9123402259238</v>
          </cell>
          <cell r="O214">
            <v>-1023.0327550277729</v>
          </cell>
          <cell r="P214">
            <v>0</v>
          </cell>
          <cell r="Q214">
            <v>0</v>
          </cell>
          <cell r="R214">
            <v>0</v>
          </cell>
          <cell r="S214">
            <v>17921793.996292051</v>
          </cell>
          <cell r="T214">
            <v>2833370</v>
          </cell>
          <cell r="U214">
            <v>31888140.479949649</v>
          </cell>
          <cell r="V214">
            <v>240538.04480703335</v>
          </cell>
          <cell r="W214">
            <v>0</v>
          </cell>
          <cell r="X214">
            <v>34962048.524756685</v>
          </cell>
          <cell r="Y214">
            <v>16239.030000000726</v>
          </cell>
          <cell r="Z214">
            <v>0</v>
          </cell>
          <cell r="AA214">
            <v>0</v>
          </cell>
          <cell r="AB214">
            <v>436343.53142878285</v>
          </cell>
          <cell r="AC214">
            <v>452582.56142878358</v>
          </cell>
          <cell r="AD214" t="str">
            <v>N/A</v>
          </cell>
          <cell r="AE214">
            <v>6913920</v>
          </cell>
          <cell r="AF214">
            <v>6913920</v>
          </cell>
          <cell r="AG214">
            <v>6913920</v>
          </cell>
          <cell r="AH214">
            <v>6913920</v>
          </cell>
          <cell r="AI214">
            <v>6853785</v>
          </cell>
          <cell r="AJ214">
            <v>0</v>
          </cell>
          <cell r="AK214">
            <v>34509465</v>
          </cell>
          <cell r="AL214">
            <v>141419274</v>
          </cell>
          <cell r="AM214">
            <v>17921793.996292051</v>
          </cell>
          <cell r="AN214">
            <v>-3827040.9699999993</v>
          </cell>
          <cell r="AO214">
            <v>31692334.993327904</v>
          </cell>
          <cell r="AP214">
            <v>0</v>
          </cell>
          <cell r="AQ214">
            <v>2817130.9699999993</v>
          </cell>
          <cell r="AR214">
            <v>0</v>
          </cell>
          <cell r="AS214">
            <v>0</v>
          </cell>
          <cell r="AT214">
            <v>190023492.98961997</v>
          </cell>
          <cell r="AU214">
            <v>4.2654633217207253E-3</v>
          </cell>
          <cell r="AV214">
            <v>0</v>
          </cell>
          <cell r="AW214">
            <v>0</v>
          </cell>
          <cell r="AY214">
            <v>0</v>
          </cell>
          <cell r="AZ214">
            <v>0</v>
          </cell>
          <cell r="BA214">
            <v>0</v>
          </cell>
          <cell r="BB214">
            <v>0</v>
          </cell>
          <cell r="BC214">
            <v>0</v>
          </cell>
          <cell r="BD214">
            <v>0</v>
          </cell>
          <cell r="BE214">
            <v>0</v>
          </cell>
          <cell r="BF214">
            <v>0</v>
          </cell>
          <cell r="BG214">
            <v>0</v>
          </cell>
          <cell r="BH214">
            <v>0</v>
          </cell>
          <cell r="BJ214">
            <v>0</v>
          </cell>
          <cell r="BL214">
            <v>0</v>
          </cell>
          <cell r="BM214">
            <v>0</v>
          </cell>
          <cell r="BN214">
            <v>0</v>
          </cell>
          <cell r="BO214">
            <v>0</v>
          </cell>
          <cell r="BQ214">
            <v>0</v>
          </cell>
          <cell r="BR214">
            <v>0</v>
          </cell>
          <cell r="BS214">
            <v>0</v>
          </cell>
          <cell r="BT214">
            <v>0</v>
          </cell>
          <cell r="CB214">
            <v>0</v>
          </cell>
          <cell r="CC214">
            <v>0</v>
          </cell>
          <cell r="CD214">
            <v>0</v>
          </cell>
          <cell r="CE214">
            <v>0</v>
          </cell>
          <cell r="CF214">
            <v>0</v>
          </cell>
          <cell r="CI214">
            <v>0</v>
          </cell>
          <cell r="CJ214">
            <v>0</v>
          </cell>
          <cell r="CK214">
            <v>0</v>
          </cell>
          <cell r="CV214">
            <v>4.3680148372305747E-3</v>
          </cell>
          <cell r="DG214">
            <v>190023492</v>
          </cell>
          <cell r="DR214">
            <v>65112504.539999925</v>
          </cell>
          <cell r="EC214">
            <v>2.9183870800617835</v>
          </cell>
          <cell r="EN214">
            <v>2.4095909012463064E-2</v>
          </cell>
        </row>
        <row r="215">
          <cell r="B215">
            <v>36301</v>
          </cell>
          <cell r="C215" t="str">
            <v>Academy Of Moore County</v>
          </cell>
          <cell r="D215">
            <v>5.6376106519571636E-5</v>
          </cell>
          <cell r="E215">
            <v>97543.809439239994</v>
          </cell>
          <cell r="F215">
            <v>76057.145223635802</v>
          </cell>
          <cell r="G215">
            <v>57027</v>
          </cell>
          <cell r="H215">
            <v>-27218.188886822074</v>
          </cell>
          <cell r="I215">
            <v>-1126.3400113609362</v>
          </cell>
          <cell r="J215">
            <v>82313.328658403043</v>
          </cell>
          <cell r="K215">
            <v>0</v>
          </cell>
          <cell r="L215">
            <v>-4324.8789349579602</v>
          </cell>
          <cell r="M215">
            <v>776.13051588490873</v>
          </cell>
          <cell r="N215">
            <v>29.258071761527287</v>
          </cell>
          <cell r="O215">
            <v>-13.203847907948873</v>
          </cell>
          <cell r="P215">
            <v>0</v>
          </cell>
          <cell r="Q215">
            <v>0</v>
          </cell>
          <cell r="R215">
            <v>0</v>
          </cell>
          <cell r="S215">
            <v>281064.06022787635</v>
          </cell>
          <cell r="T215">
            <v>292499</v>
          </cell>
          <cell r="U215">
            <v>411566.64329201519</v>
          </cell>
          <cell r="V215">
            <v>3104.5220635396349</v>
          </cell>
          <cell r="W215">
            <v>0</v>
          </cell>
          <cell r="X215">
            <v>707170.16535555478</v>
          </cell>
          <cell r="Y215">
            <v>7364.4700000000012</v>
          </cell>
          <cell r="Z215">
            <v>0</v>
          </cell>
          <cell r="AA215">
            <v>0</v>
          </cell>
          <cell r="AB215">
            <v>5631.7000568046806</v>
          </cell>
          <cell r="AC215">
            <v>12996.170056804682</v>
          </cell>
          <cell r="AD215" t="str">
            <v>N/A</v>
          </cell>
          <cell r="AE215">
            <v>138990</v>
          </cell>
          <cell r="AF215">
            <v>138990</v>
          </cell>
          <cell r="AG215">
            <v>138990</v>
          </cell>
          <cell r="AH215">
            <v>138990</v>
          </cell>
          <cell r="AI215">
            <v>138214</v>
          </cell>
          <cell r="AJ215">
            <v>0</v>
          </cell>
          <cell r="AK215">
            <v>694174</v>
          </cell>
          <cell r="AL215">
            <v>1518122</v>
          </cell>
          <cell r="AM215">
            <v>281064.06022787635</v>
          </cell>
          <cell r="AN215">
            <v>-40808.53</v>
          </cell>
          <cell r="AO215">
            <v>409039.46529875015</v>
          </cell>
          <cell r="AP215">
            <v>0</v>
          </cell>
          <cell r="AQ215">
            <v>285134.53000000003</v>
          </cell>
          <cell r="AR215">
            <v>0</v>
          </cell>
          <cell r="AS215">
            <v>0</v>
          </cell>
          <cell r="AT215">
            <v>2452551.525526626</v>
          </cell>
          <cell r="AU215">
            <v>4.5789344165860129E-5</v>
          </cell>
          <cell r="AV215">
            <v>0</v>
          </cell>
          <cell r="AW215">
            <v>0</v>
          </cell>
          <cell r="AY215">
            <v>0</v>
          </cell>
          <cell r="AZ215">
            <v>0</v>
          </cell>
          <cell r="BA215">
            <v>0</v>
          </cell>
          <cell r="BB215">
            <v>0</v>
          </cell>
          <cell r="BC215">
            <v>0</v>
          </cell>
          <cell r="BD215">
            <v>0</v>
          </cell>
          <cell r="BE215">
            <v>0</v>
          </cell>
          <cell r="BF215">
            <v>0</v>
          </cell>
          <cell r="BG215">
            <v>0</v>
          </cell>
          <cell r="BH215">
            <v>0</v>
          </cell>
          <cell r="BJ215">
            <v>0</v>
          </cell>
          <cell r="BL215">
            <v>0</v>
          </cell>
          <cell r="BM215">
            <v>0</v>
          </cell>
          <cell r="BN215">
            <v>0</v>
          </cell>
          <cell r="BO215">
            <v>0</v>
          </cell>
          <cell r="BQ215">
            <v>0</v>
          </cell>
          <cell r="BR215">
            <v>0</v>
          </cell>
          <cell r="BS215">
            <v>0</v>
          </cell>
          <cell r="BT215">
            <v>0</v>
          </cell>
          <cell r="CB215">
            <v>0</v>
          </cell>
          <cell r="CC215">
            <v>0</v>
          </cell>
          <cell r="CD215">
            <v>0</v>
          </cell>
          <cell r="CE215">
            <v>0</v>
          </cell>
          <cell r="CF215">
            <v>0</v>
          </cell>
          <cell r="CI215">
            <v>0</v>
          </cell>
          <cell r="CJ215">
            <v>0</v>
          </cell>
          <cell r="CK215">
            <v>0</v>
          </cell>
          <cell r="CV215">
            <v>5.6376106519571636E-5</v>
          </cell>
          <cell r="DG215">
            <v>2452552</v>
          </cell>
          <cell r="DR215">
            <v>726906.58000000007</v>
          </cell>
          <cell r="EC215">
            <v>3.3739576274024095</v>
          </cell>
          <cell r="EN215">
            <v>2.4095909012463064E-2</v>
          </cell>
        </row>
        <row r="216">
          <cell r="B216">
            <v>36302</v>
          </cell>
          <cell r="C216" t="str">
            <v>Stars Charter School</v>
          </cell>
          <cell r="D216">
            <v>1.1096453713236779E-4</v>
          </cell>
          <cell r="E216">
            <v>191994.52272915488</v>
          </cell>
          <cell r="F216">
            <v>149702.53244466431</v>
          </cell>
          <cell r="G216">
            <v>24268</v>
          </cell>
          <cell r="H216">
            <v>-53573.294040074434</v>
          </cell>
          <cell r="I216">
            <v>-2216.9639893620988</v>
          </cell>
          <cell r="J216">
            <v>162016.51689502943</v>
          </cell>
          <cell r="K216">
            <v>0</v>
          </cell>
          <cell r="L216">
            <v>-8512.6167590969053</v>
          </cell>
          <cell r="M216">
            <v>1527.6500767142568</v>
          </cell>
          <cell r="N216">
            <v>57.588375480956238</v>
          </cell>
          <cell r="O216">
            <v>-25.989004241771859</v>
          </cell>
          <cell r="P216">
            <v>0</v>
          </cell>
          <cell r="Q216">
            <v>0</v>
          </cell>
          <cell r="R216">
            <v>0</v>
          </cell>
          <cell r="S216">
            <v>465237.94672826858</v>
          </cell>
          <cell r="T216">
            <v>135052</v>
          </cell>
          <cell r="U216">
            <v>810082.58447514719</v>
          </cell>
          <cell r="V216">
            <v>6110.6003068570271</v>
          </cell>
          <cell r="W216">
            <v>0</v>
          </cell>
          <cell r="X216">
            <v>951245.18478200422</v>
          </cell>
          <cell r="Y216">
            <v>13712.070000000007</v>
          </cell>
          <cell r="Z216">
            <v>0</v>
          </cell>
          <cell r="AA216">
            <v>0</v>
          </cell>
          <cell r="AB216">
            <v>11084.819946810494</v>
          </cell>
          <cell r="AC216">
            <v>24796.889946810501</v>
          </cell>
          <cell r="AD216" t="str">
            <v>N/A</v>
          </cell>
          <cell r="AE216">
            <v>185595</v>
          </cell>
          <cell r="AF216">
            <v>185595</v>
          </cell>
          <cell r="AG216">
            <v>185595</v>
          </cell>
          <cell r="AH216">
            <v>185595</v>
          </cell>
          <cell r="AI216">
            <v>184068</v>
          </cell>
          <cell r="AJ216">
            <v>0</v>
          </cell>
          <cell r="AK216">
            <v>926448</v>
          </cell>
          <cell r="AL216">
            <v>3516911</v>
          </cell>
          <cell r="AM216">
            <v>465237.94672826858</v>
          </cell>
          <cell r="AN216">
            <v>-81262.929999999993</v>
          </cell>
          <cell r="AO216">
            <v>805108.36483519385</v>
          </cell>
          <cell r="AP216">
            <v>0</v>
          </cell>
          <cell r="AQ216">
            <v>121339.93</v>
          </cell>
          <cell r="AR216">
            <v>0</v>
          </cell>
          <cell r="AS216">
            <v>0</v>
          </cell>
          <cell r="AT216">
            <v>4827334.311563462</v>
          </cell>
          <cell r="AU216">
            <v>1.0607645393740597E-4</v>
          </cell>
          <cell r="AV216">
            <v>0</v>
          </cell>
          <cell r="AW216">
            <v>0</v>
          </cell>
          <cell r="AY216">
            <v>0</v>
          </cell>
          <cell r="AZ216">
            <v>0</v>
          </cell>
          <cell r="BA216">
            <v>0</v>
          </cell>
          <cell r="BB216">
            <v>0</v>
          </cell>
          <cell r="BC216">
            <v>0</v>
          </cell>
          <cell r="BD216">
            <v>0</v>
          </cell>
          <cell r="BE216">
            <v>0</v>
          </cell>
          <cell r="BF216">
            <v>0</v>
          </cell>
          <cell r="BG216">
            <v>0</v>
          </cell>
          <cell r="BH216">
            <v>0</v>
          </cell>
          <cell r="BJ216">
            <v>0</v>
          </cell>
          <cell r="BL216">
            <v>0</v>
          </cell>
          <cell r="BM216">
            <v>0</v>
          </cell>
          <cell r="BN216">
            <v>0</v>
          </cell>
          <cell r="BO216">
            <v>0</v>
          </cell>
          <cell r="BQ216">
            <v>0</v>
          </cell>
          <cell r="BR216">
            <v>0</v>
          </cell>
          <cell r="BS216">
            <v>0</v>
          </cell>
          <cell r="BT216">
            <v>0</v>
          </cell>
          <cell r="CB216">
            <v>0</v>
          </cell>
          <cell r="CC216">
            <v>0</v>
          </cell>
          <cell r="CD216">
            <v>0</v>
          </cell>
          <cell r="CE216">
            <v>0</v>
          </cell>
          <cell r="CF216">
            <v>0</v>
          </cell>
          <cell r="CI216">
            <v>0</v>
          </cell>
          <cell r="CJ216">
            <v>0</v>
          </cell>
          <cell r="CK216">
            <v>0</v>
          </cell>
          <cell r="CV216">
            <v>1.1096453713236779E-4</v>
          </cell>
          <cell r="DG216">
            <v>4827335</v>
          </cell>
          <cell r="DR216">
            <v>1436669.5200000003</v>
          </cell>
          <cell r="EC216">
            <v>3.3600872941189697</v>
          </cell>
          <cell r="EN216">
            <v>2.4095909012463064E-2</v>
          </cell>
        </row>
        <row r="217">
          <cell r="B217">
            <v>36305</v>
          </cell>
          <cell r="C217" t="str">
            <v>Sandhills Community College</v>
          </cell>
          <cell r="D217">
            <v>8.7947635124209923E-4</v>
          </cell>
          <cell r="E217">
            <v>1521699.1542701744</v>
          </cell>
          <cell r="F217">
            <v>1186503.7282053495</v>
          </cell>
          <cell r="G217">
            <v>176391</v>
          </cell>
          <cell r="H217">
            <v>-424608.13503128773</v>
          </cell>
          <cell r="I217">
            <v>-17571.085777372828</v>
          </cell>
          <cell r="J217">
            <v>1284101.1984740745</v>
          </cell>
          <cell r="K217">
            <v>0</v>
          </cell>
          <cell r="L217">
            <v>-67468.808686888806</v>
          </cell>
          <cell r="M217">
            <v>12107.761183563449</v>
          </cell>
          <cell r="N217">
            <v>456.43063676762466</v>
          </cell>
          <cell r="O217">
            <v>-205.98215622441205</v>
          </cell>
          <cell r="P217">
            <v>0</v>
          </cell>
          <cell r="Q217">
            <v>0</v>
          </cell>
          <cell r="R217">
            <v>0</v>
          </cell>
          <cell r="S217">
            <v>3671405.2611181564</v>
          </cell>
          <cell r="T217">
            <v>881950.71000000008</v>
          </cell>
          <cell r="U217">
            <v>6420505.9923703726</v>
          </cell>
          <cell r="V217">
            <v>48431.044734253795</v>
          </cell>
          <cell r="W217">
            <v>0</v>
          </cell>
          <cell r="X217">
            <v>7350887.7471046261</v>
          </cell>
          <cell r="Y217">
            <v>0</v>
          </cell>
          <cell r="Z217">
            <v>0</v>
          </cell>
          <cell r="AA217">
            <v>0</v>
          </cell>
          <cell r="AB217">
            <v>87855.428886864131</v>
          </cell>
          <cell r="AC217">
            <v>87855.428886864131</v>
          </cell>
          <cell r="AD217" t="str">
            <v>N/A</v>
          </cell>
          <cell r="AE217">
            <v>1455028</v>
          </cell>
          <cell r="AF217">
            <v>1455029</v>
          </cell>
          <cell r="AG217">
            <v>1455029</v>
          </cell>
          <cell r="AH217">
            <v>1455029</v>
          </cell>
          <cell r="AI217">
            <v>1442921</v>
          </cell>
          <cell r="AJ217">
            <v>0</v>
          </cell>
          <cell r="AK217">
            <v>7263036</v>
          </cell>
          <cell r="AL217">
            <v>28178928</v>
          </cell>
          <cell r="AM217">
            <v>3671405.2611181564</v>
          </cell>
          <cell r="AN217">
            <v>-853154.71000000008</v>
          </cell>
          <cell r="AO217">
            <v>6381081.6082177628</v>
          </cell>
          <cell r="AP217">
            <v>0</v>
          </cell>
          <cell r="AQ217">
            <v>881950.71000000008</v>
          </cell>
          <cell r="AR217">
            <v>0</v>
          </cell>
          <cell r="AS217">
            <v>0</v>
          </cell>
          <cell r="AT217">
            <v>38260210.86933592</v>
          </cell>
          <cell r="AU217">
            <v>8.4992788967464417E-4</v>
          </cell>
          <cell r="AV217">
            <v>0</v>
          </cell>
          <cell r="AW217">
            <v>0</v>
          </cell>
          <cell r="AY217">
            <v>0</v>
          </cell>
          <cell r="AZ217">
            <v>0</v>
          </cell>
          <cell r="BA217">
            <v>0</v>
          </cell>
          <cell r="BB217">
            <v>0</v>
          </cell>
          <cell r="BC217">
            <v>0</v>
          </cell>
          <cell r="BD217">
            <v>0</v>
          </cell>
          <cell r="BE217">
            <v>0</v>
          </cell>
          <cell r="BF217">
            <v>0</v>
          </cell>
          <cell r="BG217">
            <v>0</v>
          </cell>
          <cell r="BH217">
            <v>0</v>
          </cell>
          <cell r="BJ217">
            <v>0</v>
          </cell>
          <cell r="BL217">
            <v>0</v>
          </cell>
          <cell r="BM217">
            <v>0</v>
          </cell>
          <cell r="BN217">
            <v>0</v>
          </cell>
          <cell r="BO217">
            <v>0</v>
          </cell>
          <cell r="BQ217">
            <v>0</v>
          </cell>
          <cell r="BR217">
            <v>0</v>
          </cell>
          <cell r="BS217">
            <v>0</v>
          </cell>
          <cell r="BT217">
            <v>0</v>
          </cell>
          <cell r="CB217">
            <v>0</v>
          </cell>
          <cell r="CC217">
            <v>0</v>
          </cell>
          <cell r="CD217">
            <v>0</v>
          </cell>
          <cell r="CE217">
            <v>0</v>
          </cell>
          <cell r="CF217">
            <v>0</v>
          </cell>
          <cell r="CI217">
            <v>0</v>
          </cell>
          <cell r="CJ217">
            <v>0</v>
          </cell>
          <cell r="CK217">
            <v>0</v>
          </cell>
          <cell r="CV217">
            <v>8.7947635124209923E-4</v>
          </cell>
          <cell r="DG217">
            <v>38260211</v>
          </cell>
          <cell r="DR217">
            <v>14893977.860000012</v>
          </cell>
          <cell r="EC217">
            <v>2.5688376442906815</v>
          </cell>
          <cell r="EN217">
            <v>2.4095909012463064E-2</v>
          </cell>
        </row>
        <row r="218">
          <cell r="B218">
            <v>36400</v>
          </cell>
          <cell r="C218" t="str">
            <v>Nash-Rocky Mount Schools</v>
          </cell>
          <cell r="D218">
            <v>4.6871375997386069E-3</v>
          </cell>
          <cell r="E218">
            <v>8109840.9427347835</v>
          </cell>
          <cell r="F218">
            <v>6323428.9686664166</v>
          </cell>
          <cell r="G218">
            <v>-150925</v>
          </cell>
          <cell r="H218">
            <v>-2262933.7924200553</v>
          </cell>
          <cell r="I218">
            <v>-93644.470029285862</v>
          </cell>
          <cell r="J218">
            <v>6843571.178163969</v>
          </cell>
          <cell r="K218">
            <v>0</v>
          </cell>
          <cell r="L218">
            <v>-359572.59062084206</v>
          </cell>
          <cell r="M218">
            <v>64527.877994656512</v>
          </cell>
          <cell r="N218">
            <v>2432.5306715123425</v>
          </cell>
          <cell r="O218">
            <v>-1097.7744972347791</v>
          </cell>
          <cell r="P218">
            <v>0</v>
          </cell>
          <cell r="Q218">
            <v>0</v>
          </cell>
          <cell r="R218">
            <v>0</v>
          </cell>
          <cell r="S218">
            <v>18475627.870663922</v>
          </cell>
          <cell r="T218">
            <v>163868.46999999881</v>
          </cell>
          <cell r="U218">
            <v>34217855.890819848</v>
          </cell>
          <cell r="V218">
            <v>258111.51197862605</v>
          </cell>
          <cell r="W218">
            <v>0</v>
          </cell>
          <cell r="X218">
            <v>34639835.872798473</v>
          </cell>
          <cell r="Y218">
            <v>918494</v>
          </cell>
          <cell r="Z218">
            <v>0</v>
          </cell>
          <cell r="AA218">
            <v>0</v>
          </cell>
          <cell r="AB218">
            <v>468222.35014642932</v>
          </cell>
          <cell r="AC218">
            <v>1386716.3501464294</v>
          </cell>
          <cell r="AD218" t="str">
            <v>N/A</v>
          </cell>
          <cell r="AE218">
            <v>6663530</v>
          </cell>
          <cell r="AF218">
            <v>6663530</v>
          </cell>
          <cell r="AG218">
            <v>6663530</v>
          </cell>
          <cell r="AH218">
            <v>6663530</v>
          </cell>
          <cell r="AI218">
            <v>6599002</v>
          </cell>
          <cell r="AJ218">
            <v>0</v>
          </cell>
          <cell r="AK218">
            <v>33253122</v>
          </cell>
          <cell r="AL218">
            <v>156501864</v>
          </cell>
          <cell r="AM218">
            <v>18475627.870663922</v>
          </cell>
          <cell r="AN218">
            <v>-4324194.4699999988</v>
          </cell>
          <cell r="AO218">
            <v>34007745.052652046</v>
          </cell>
          <cell r="AP218">
            <v>0</v>
          </cell>
          <cell r="AQ218">
            <v>-754625.53000000119</v>
          </cell>
          <cell r="AR218">
            <v>0</v>
          </cell>
          <cell r="AS218">
            <v>0</v>
          </cell>
          <cell r="AT218">
            <v>203906416.92331597</v>
          </cell>
          <cell r="AU218">
            <v>4.7203817312791458E-3</v>
          </cell>
          <cell r="AV218">
            <v>0</v>
          </cell>
          <cell r="AW218">
            <v>0</v>
          </cell>
          <cell r="AY218">
            <v>0</v>
          </cell>
          <cell r="AZ218">
            <v>0</v>
          </cell>
          <cell r="BA218">
            <v>0</v>
          </cell>
          <cell r="BB218">
            <v>0</v>
          </cell>
          <cell r="BC218">
            <v>0</v>
          </cell>
          <cell r="BD218">
            <v>0</v>
          </cell>
          <cell r="BE218">
            <v>0</v>
          </cell>
          <cell r="BF218">
            <v>0</v>
          </cell>
          <cell r="BG218">
            <v>0</v>
          </cell>
          <cell r="BH218">
            <v>0</v>
          </cell>
          <cell r="BJ218">
            <v>0</v>
          </cell>
          <cell r="BL218">
            <v>0</v>
          </cell>
          <cell r="BM218">
            <v>0</v>
          </cell>
          <cell r="BN218">
            <v>0</v>
          </cell>
          <cell r="BO218">
            <v>0</v>
          </cell>
          <cell r="BQ218">
            <v>0</v>
          </cell>
          <cell r="BR218">
            <v>0</v>
          </cell>
          <cell r="BS218">
            <v>0</v>
          </cell>
          <cell r="BT218">
            <v>0</v>
          </cell>
          <cell r="CB218">
            <v>0</v>
          </cell>
          <cell r="CC218">
            <v>0</v>
          </cell>
          <cell r="CD218">
            <v>0</v>
          </cell>
          <cell r="CE218">
            <v>0</v>
          </cell>
          <cell r="CF218">
            <v>0</v>
          </cell>
          <cell r="CI218">
            <v>0</v>
          </cell>
          <cell r="CJ218">
            <v>0</v>
          </cell>
          <cell r="CK218">
            <v>0</v>
          </cell>
          <cell r="CV218">
            <v>4.6871375997386069E-3</v>
          </cell>
          <cell r="DG218">
            <v>203906417</v>
          </cell>
          <cell r="DR218">
            <v>73556121.539999887</v>
          </cell>
          <cell r="EC218">
            <v>2.7721202903434148</v>
          </cell>
          <cell r="EN218">
            <v>2.4095909012463064E-2</v>
          </cell>
        </row>
        <row r="219">
          <cell r="B219">
            <v>36405</v>
          </cell>
          <cell r="C219" t="str">
            <v>Nash Technical College</v>
          </cell>
          <cell r="D219">
            <v>7.9709936527595955E-4</v>
          </cell>
          <cell r="E219">
            <v>1379167.760789312</v>
          </cell>
          <cell r="F219">
            <v>1075368.7319895858</v>
          </cell>
          <cell r="G219">
            <v>260459</v>
          </cell>
          <cell r="H219">
            <v>-384836.81163961132</v>
          </cell>
          <cell r="I219">
            <v>-15925.273374971996</v>
          </cell>
          <cell r="J219">
            <v>1163824.6427072177</v>
          </cell>
          <cell r="K219">
            <v>0</v>
          </cell>
          <cell r="L219">
            <v>-61149.278777411964</v>
          </cell>
          <cell r="M219">
            <v>10973.676257128382</v>
          </cell>
          <cell r="N219">
            <v>413.67862859091747</v>
          </cell>
          <cell r="O219">
            <v>-186.68864234128247</v>
          </cell>
          <cell r="P219">
            <v>0</v>
          </cell>
          <cell r="Q219">
            <v>0</v>
          </cell>
          <cell r="R219">
            <v>0</v>
          </cell>
          <cell r="S219">
            <v>3428109.4379374981</v>
          </cell>
          <cell r="T219">
            <v>1302291.57</v>
          </cell>
          <cell r="U219">
            <v>5819123.2135360893</v>
          </cell>
          <cell r="V219">
            <v>43894.705028513526</v>
          </cell>
          <cell r="W219">
            <v>0</v>
          </cell>
          <cell r="X219">
            <v>7165309.488564603</v>
          </cell>
          <cell r="Y219">
            <v>0</v>
          </cell>
          <cell r="Z219">
            <v>0</v>
          </cell>
          <cell r="AA219">
            <v>0</v>
          </cell>
          <cell r="AB219">
            <v>79626.366874859974</v>
          </cell>
          <cell r="AC219">
            <v>79626.366874859974</v>
          </cell>
          <cell r="AD219" t="str">
            <v>N/A</v>
          </cell>
          <cell r="AE219">
            <v>1419331</v>
          </cell>
          <cell r="AF219">
            <v>1419332</v>
          </cell>
          <cell r="AG219">
            <v>1419332</v>
          </cell>
          <cell r="AH219">
            <v>1419332</v>
          </cell>
          <cell r="AI219">
            <v>1408358</v>
          </cell>
          <cell r="AJ219">
            <v>0</v>
          </cell>
          <cell r="AK219">
            <v>7085685</v>
          </cell>
          <cell r="AL219">
            <v>24893168</v>
          </cell>
          <cell r="AM219">
            <v>3428109.4379374981</v>
          </cell>
          <cell r="AN219">
            <v>-730429.57000000007</v>
          </cell>
          <cell r="AO219">
            <v>5783391.5516897431</v>
          </cell>
          <cell r="AP219">
            <v>0</v>
          </cell>
          <cell r="AQ219">
            <v>1302291.57</v>
          </cell>
          <cell r="AR219">
            <v>0</v>
          </cell>
          <cell r="AS219">
            <v>0</v>
          </cell>
          <cell r="AT219">
            <v>34676530.989627242</v>
          </cell>
          <cell r="AU219">
            <v>7.5082335496289888E-4</v>
          </cell>
          <cell r="AV219">
            <v>0</v>
          </cell>
          <cell r="AW219">
            <v>0</v>
          </cell>
          <cell r="AY219">
            <v>0</v>
          </cell>
          <cell r="AZ219">
            <v>0</v>
          </cell>
          <cell r="BA219">
            <v>0</v>
          </cell>
          <cell r="BB219">
            <v>0</v>
          </cell>
          <cell r="BC219">
            <v>0</v>
          </cell>
          <cell r="BD219">
            <v>0</v>
          </cell>
          <cell r="BE219">
            <v>0</v>
          </cell>
          <cell r="BF219">
            <v>0</v>
          </cell>
          <cell r="BG219">
            <v>0</v>
          </cell>
          <cell r="BH219">
            <v>0</v>
          </cell>
          <cell r="BJ219">
            <v>0</v>
          </cell>
          <cell r="BL219">
            <v>0</v>
          </cell>
          <cell r="BM219">
            <v>0</v>
          </cell>
          <cell r="BN219">
            <v>0</v>
          </cell>
          <cell r="BO219">
            <v>0</v>
          </cell>
          <cell r="BQ219">
            <v>0</v>
          </cell>
          <cell r="BR219">
            <v>0</v>
          </cell>
          <cell r="BS219">
            <v>0</v>
          </cell>
          <cell r="BT219">
            <v>0</v>
          </cell>
          <cell r="CB219">
            <v>0</v>
          </cell>
          <cell r="CC219">
            <v>0</v>
          </cell>
          <cell r="CD219">
            <v>0</v>
          </cell>
          <cell r="CE219">
            <v>0</v>
          </cell>
          <cell r="CF219">
            <v>0</v>
          </cell>
          <cell r="CI219">
            <v>0</v>
          </cell>
          <cell r="CJ219">
            <v>0</v>
          </cell>
          <cell r="CK219">
            <v>0</v>
          </cell>
          <cell r="CV219">
            <v>7.9709936527595955E-4</v>
          </cell>
          <cell r="DG219">
            <v>34676532</v>
          </cell>
          <cell r="DR219">
            <v>12522920.060000004</v>
          </cell>
          <cell r="EC219">
            <v>2.7690452253833193</v>
          </cell>
          <cell r="EN219">
            <v>2.4095909012463064E-2</v>
          </cell>
        </row>
        <row r="220">
          <cell r="B220">
            <v>36500</v>
          </cell>
          <cell r="C220" t="str">
            <v>New Hanover County Schools</v>
          </cell>
          <cell r="D220">
            <v>9.2600936236601917E-3</v>
          </cell>
          <cell r="E220">
            <v>16022121.135702267</v>
          </cell>
          <cell r="F220">
            <v>12492815.290014435</v>
          </cell>
          <cell r="G220">
            <v>792952</v>
          </cell>
          <cell r="H220">
            <v>-4470741.1156699881</v>
          </cell>
          <cell r="I220">
            <v>-185007.70275180053</v>
          </cell>
          <cell r="J220">
            <v>13520428.72253526</v>
          </cell>
          <cell r="K220">
            <v>0</v>
          </cell>
          <cell r="L220">
            <v>-710385.77016316436</v>
          </cell>
          <cell r="M220">
            <v>127483.81690351163</v>
          </cell>
          <cell r="N220">
            <v>4805.8033888071659</v>
          </cell>
          <cell r="O220">
            <v>-2168.8065275974536</v>
          </cell>
          <cell r="P220">
            <v>0</v>
          </cell>
          <cell r="Q220">
            <v>0</v>
          </cell>
          <cell r="R220">
            <v>0</v>
          </cell>
          <cell r="S220">
            <v>37592303.37343172</v>
          </cell>
          <cell r="T220">
            <v>4166781</v>
          </cell>
          <cell r="U220">
            <v>67602143.612676308</v>
          </cell>
          <cell r="V220">
            <v>509935.26761404652</v>
          </cell>
          <cell r="W220">
            <v>0</v>
          </cell>
          <cell r="X220">
            <v>72278859.880290359</v>
          </cell>
          <cell r="Y220">
            <v>202021.27000000048</v>
          </cell>
          <cell r="Z220">
            <v>0</v>
          </cell>
          <cell r="AA220">
            <v>0</v>
          </cell>
          <cell r="AB220">
            <v>925038.51375900256</v>
          </cell>
          <cell r="AC220">
            <v>1127059.783759003</v>
          </cell>
          <cell r="AD220" t="str">
            <v>N/A</v>
          </cell>
          <cell r="AE220">
            <v>14255857</v>
          </cell>
          <cell r="AF220">
            <v>14255857</v>
          </cell>
          <cell r="AG220">
            <v>14255857</v>
          </cell>
          <cell r="AH220">
            <v>14255857</v>
          </cell>
          <cell r="AI220">
            <v>14128373</v>
          </cell>
          <cell r="AJ220">
            <v>0</v>
          </cell>
          <cell r="AK220">
            <v>71151801</v>
          </cell>
          <cell r="AL220">
            <v>302013573</v>
          </cell>
          <cell r="AM220">
            <v>37592303.37343172</v>
          </cell>
          <cell r="AN220">
            <v>-7912128.7299999995</v>
          </cell>
          <cell r="AO220">
            <v>67187040.366531342</v>
          </cell>
          <cell r="AP220">
            <v>0</v>
          </cell>
          <cell r="AQ220">
            <v>3964759.7299999995</v>
          </cell>
          <cell r="AR220">
            <v>0</v>
          </cell>
          <cell r="AS220">
            <v>0</v>
          </cell>
          <cell r="AT220">
            <v>402845547.73996305</v>
          </cell>
          <cell r="AU220">
            <v>9.1092803688785605E-3</v>
          </cell>
          <cell r="AV220">
            <v>0</v>
          </cell>
          <cell r="AW220">
            <v>0</v>
          </cell>
          <cell r="AY220">
            <v>0</v>
          </cell>
          <cell r="AZ220">
            <v>0</v>
          </cell>
          <cell r="BA220">
            <v>0</v>
          </cell>
          <cell r="BB220">
            <v>0</v>
          </cell>
          <cell r="BC220">
            <v>0</v>
          </cell>
          <cell r="BD220">
            <v>0</v>
          </cell>
          <cell r="BE220">
            <v>0</v>
          </cell>
          <cell r="BF220">
            <v>0</v>
          </cell>
          <cell r="BG220">
            <v>0</v>
          </cell>
          <cell r="BH220">
            <v>0</v>
          </cell>
          <cell r="BJ220">
            <v>0</v>
          </cell>
          <cell r="BL220">
            <v>0</v>
          </cell>
          <cell r="BM220">
            <v>0</v>
          </cell>
          <cell r="BN220">
            <v>0</v>
          </cell>
          <cell r="BO220">
            <v>0</v>
          </cell>
          <cell r="BQ220">
            <v>0</v>
          </cell>
          <cell r="BR220">
            <v>0</v>
          </cell>
          <cell r="BS220">
            <v>0</v>
          </cell>
          <cell r="BT220">
            <v>0</v>
          </cell>
          <cell r="CB220">
            <v>0</v>
          </cell>
          <cell r="CC220">
            <v>0</v>
          </cell>
          <cell r="CD220">
            <v>0</v>
          </cell>
          <cell r="CE220">
            <v>0</v>
          </cell>
          <cell r="CF220">
            <v>0</v>
          </cell>
          <cell r="CI220">
            <v>0</v>
          </cell>
          <cell r="CJ220">
            <v>0</v>
          </cell>
          <cell r="CK220">
            <v>0</v>
          </cell>
          <cell r="CV220">
            <v>9.2600936236601917E-3</v>
          </cell>
          <cell r="DG220">
            <v>402845548</v>
          </cell>
          <cell r="DR220">
            <v>137779977.63999993</v>
          </cell>
          <cell r="EC220">
            <v>2.9238322933436658</v>
          </cell>
          <cell r="EN220">
            <v>2.4095909012463064E-2</v>
          </cell>
        </row>
        <row r="221">
          <cell r="B221">
            <v>36501</v>
          </cell>
          <cell r="C221" t="str">
            <v>Cape Fear Center For Inquiry</v>
          </cell>
          <cell r="D221">
            <v>1.1067121475554864E-4</v>
          </cell>
          <cell r="E221">
            <v>191487.0066235725</v>
          </cell>
          <cell r="F221">
            <v>149306.81049811002</v>
          </cell>
          <cell r="G221">
            <v>-6393</v>
          </cell>
          <cell r="H221">
            <v>-53431.679012895795</v>
          </cell>
          <cell r="I221">
            <v>-2211.1036923384972</v>
          </cell>
          <cell r="J221">
            <v>161588.2443040942</v>
          </cell>
          <cell r="K221">
            <v>0</v>
          </cell>
          <cell r="L221">
            <v>-8490.1146061996224</v>
          </cell>
          <cell r="M221">
            <v>1523.6119041320087</v>
          </cell>
          <cell r="N221">
            <v>57.436147033834636</v>
          </cell>
          <cell r="O221">
            <v>-25.920305207897048</v>
          </cell>
          <cell r="P221">
            <v>0</v>
          </cell>
          <cell r="Q221">
            <v>0</v>
          </cell>
          <cell r="R221">
            <v>0</v>
          </cell>
          <cell r="S221">
            <v>433411.29186030076</v>
          </cell>
          <cell r="T221">
            <v>0</v>
          </cell>
          <cell r="U221">
            <v>807941.22152047104</v>
          </cell>
          <cell r="V221">
            <v>6094.4476165280348</v>
          </cell>
          <cell r="W221">
            <v>0</v>
          </cell>
          <cell r="X221">
            <v>814035.66913699906</v>
          </cell>
          <cell r="Y221">
            <v>31959.699999999997</v>
          </cell>
          <cell r="Z221">
            <v>0</v>
          </cell>
          <cell r="AA221">
            <v>0</v>
          </cell>
          <cell r="AB221">
            <v>11055.518461692485</v>
          </cell>
          <cell r="AC221">
            <v>43015.218461692479</v>
          </cell>
          <cell r="AD221" t="str">
            <v>N/A</v>
          </cell>
          <cell r="AE221">
            <v>154509</v>
          </cell>
          <cell r="AF221">
            <v>154509</v>
          </cell>
          <cell r="AG221">
            <v>154509</v>
          </cell>
          <cell r="AH221">
            <v>154509</v>
          </cell>
          <cell r="AI221">
            <v>152985</v>
          </cell>
          <cell r="AJ221">
            <v>0</v>
          </cell>
          <cell r="AK221">
            <v>771021</v>
          </cell>
          <cell r="AL221">
            <v>3695273</v>
          </cell>
          <cell r="AM221">
            <v>433411.29186030076</v>
          </cell>
          <cell r="AN221">
            <v>-85130.3</v>
          </cell>
          <cell r="AO221">
            <v>802980.15067530656</v>
          </cell>
          <cell r="AP221">
            <v>0</v>
          </cell>
          <cell r="AQ221">
            <v>-31959.699999999997</v>
          </cell>
          <cell r="AR221">
            <v>0</v>
          </cell>
          <cell r="AS221">
            <v>0</v>
          </cell>
          <cell r="AT221">
            <v>4814574.4425356071</v>
          </cell>
          <cell r="AU221">
            <v>1.1145617199183244E-4</v>
          </cell>
          <cell r="AV221">
            <v>0</v>
          </cell>
          <cell r="AW221">
            <v>0</v>
          </cell>
          <cell r="AY221">
            <v>0</v>
          </cell>
          <cell r="AZ221">
            <v>0</v>
          </cell>
          <cell r="BA221">
            <v>0</v>
          </cell>
          <cell r="BB221">
            <v>0</v>
          </cell>
          <cell r="BC221">
            <v>0</v>
          </cell>
          <cell r="BD221">
            <v>0</v>
          </cell>
          <cell r="BE221">
            <v>0</v>
          </cell>
          <cell r="BF221">
            <v>0</v>
          </cell>
          <cell r="BG221">
            <v>0</v>
          </cell>
          <cell r="BH221">
            <v>0</v>
          </cell>
          <cell r="BJ221">
            <v>0</v>
          </cell>
          <cell r="BL221">
            <v>0</v>
          </cell>
          <cell r="BM221">
            <v>0</v>
          </cell>
          <cell r="BN221">
            <v>0</v>
          </cell>
          <cell r="BO221">
            <v>0</v>
          </cell>
          <cell r="BQ221">
            <v>0</v>
          </cell>
          <cell r="BR221">
            <v>0</v>
          </cell>
          <cell r="BS221">
            <v>0</v>
          </cell>
          <cell r="BT221">
            <v>0</v>
          </cell>
          <cell r="CB221">
            <v>0</v>
          </cell>
          <cell r="CC221">
            <v>0</v>
          </cell>
          <cell r="CD221">
            <v>0</v>
          </cell>
          <cell r="CE221">
            <v>0</v>
          </cell>
          <cell r="CF221">
            <v>0</v>
          </cell>
          <cell r="CI221">
            <v>0</v>
          </cell>
          <cell r="CJ221">
            <v>0</v>
          </cell>
          <cell r="CK221">
            <v>0</v>
          </cell>
          <cell r="CV221">
            <v>1.1067121475554864E-4</v>
          </cell>
          <cell r="DG221">
            <v>4814574</v>
          </cell>
          <cell r="DR221">
            <v>1499516.45</v>
          </cell>
          <cell r="EC221">
            <v>3.2107510391099745</v>
          </cell>
          <cell r="EN221">
            <v>2.4095909012463064E-2</v>
          </cell>
        </row>
        <row r="222">
          <cell r="B222">
            <v>36502</v>
          </cell>
          <cell r="C222" t="str">
            <v>Wilmington Preparatory Academy</v>
          </cell>
          <cell r="D222">
            <v>4.5678848884780135E-5</v>
          </cell>
          <cell r="E222">
            <v>79035.059462185251</v>
          </cell>
          <cell r="F222">
            <v>61625.448399352055</v>
          </cell>
          <cell r="G222">
            <v>-5546</v>
          </cell>
          <cell r="H222">
            <v>-22053.589966290467</v>
          </cell>
          <cell r="I222">
            <v>-912.61916347444628</v>
          </cell>
          <cell r="J222">
            <v>66694.533076439271</v>
          </cell>
          <cell r="K222">
            <v>0</v>
          </cell>
          <cell r="L222">
            <v>-3504.2414865299324</v>
          </cell>
          <cell r="M222">
            <v>628.86124528066432</v>
          </cell>
          <cell r="N222">
            <v>23.706408994223196</v>
          </cell>
          <cell r="O222">
            <v>-10.698443197304355</v>
          </cell>
          <cell r="P222">
            <v>0</v>
          </cell>
          <cell r="Q222">
            <v>0</v>
          </cell>
          <cell r="R222">
            <v>0</v>
          </cell>
          <cell r="S222">
            <v>175980.4595327593</v>
          </cell>
          <cell r="T222">
            <v>0</v>
          </cell>
          <cell r="U222">
            <v>333472.66538219637</v>
          </cell>
          <cell r="V222">
            <v>2515.4449811226573</v>
          </cell>
          <cell r="W222">
            <v>0</v>
          </cell>
          <cell r="X222">
            <v>335988.11036331905</v>
          </cell>
          <cell r="Y222">
            <v>27727.260000000006</v>
          </cell>
          <cell r="Z222">
            <v>0</v>
          </cell>
          <cell r="AA222">
            <v>0</v>
          </cell>
          <cell r="AB222">
            <v>4563.0958173722311</v>
          </cell>
          <cell r="AC222">
            <v>32290.355817372238</v>
          </cell>
          <cell r="AD222" t="str">
            <v>N/A</v>
          </cell>
          <cell r="AE222">
            <v>60866</v>
          </cell>
          <cell r="AF222">
            <v>60865</v>
          </cell>
          <cell r="AG222">
            <v>60865</v>
          </cell>
          <cell r="AH222">
            <v>60865</v>
          </cell>
          <cell r="AI222">
            <v>60236</v>
          </cell>
          <cell r="AJ222">
            <v>0</v>
          </cell>
          <cell r="AK222">
            <v>303697</v>
          </cell>
          <cell r="AL222">
            <v>1539314</v>
          </cell>
          <cell r="AM222">
            <v>175980.4595327593</v>
          </cell>
          <cell r="AN222">
            <v>-31806.739999999994</v>
          </cell>
          <cell r="AO222">
            <v>331425.01454594685</v>
          </cell>
          <cell r="AP222">
            <v>0</v>
          </cell>
          <cell r="AQ222">
            <v>-27727.260000000006</v>
          </cell>
          <cell r="AR222">
            <v>0</v>
          </cell>
          <cell r="AS222">
            <v>0</v>
          </cell>
          <cell r="AT222">
            <v>1987185.4740787062</v>
          </cell>
          <cell r="AU222">
            <v>4.6428511604156449E-5</v>
          </cell>
          <cell r="AV222">
            <v>0</v>
          </cell>
          <cell r="AW222">
            <v>0</v>
          </cell>
          <cell r="AY222">
            <v>0</v>
          </cell>
          <cell r="AZ222">
            <v>0</v>
          </cell>
          <cell r="BA222">
            <v>0</v>
          </cell>
          <cell r="BB222">
            <v>0</v>
          </cell>
          <cell r="BC222">
            <v>0</v>
          </cell>
          <cell r="BD222">
            <v>0</v>
          </cell>
          <cell r="BE222">
            <v>0</v>
          </cell>
          <cell r="BF222">
            <v>0</v>
          </cell>
          <cell r="BG222">
            <v>0</v>
          </cell>
          <cell r="BH222">
            <v>0</v>
          </cell>
          <cell r="BJ222">
            <v>0</v>
          </cell>
          <cell r="BL222">
            <v>0</v>
          </cell>
          <cell r="BM222">
            <v>0</v>
          </cell>
          <cell r="BN222">
            <v>0</v>
          </cell>
          <cell r="BO222">
            <v>0</v>
          </cell>
          <cell r="BQ222">
            <v>0</v>
          </cell>
          <cell r="BR222">
            <v>0</v>
          </cell>
          <cell r="BS222">
            <v>0</v>
          </cell>
          <cell r="BT222">
            <v>0</v>
          </cell>
          <cell r="CB222">
            <v>0</v>
          </cell>
          <cell r="CC222">
            <v>0</v>
          </cell>
          <cell r="CD222">
            <v>0</v>
          </cell>
          <cell r="CE222">
            <v>0</v>
          </cell>
          <cell r="CF222">
            <v>0</v>
          </cell>
          <cell r="CI222">
            <v>0</v>
          </cell>
          <cell r="CJ222">
            <v>0</v>
          </cell>
          <cell r="CK222">
            <v>0</v>
          </cell>
          <cell r="CV222">
            <v>4.5678848884780135E-5</v>
          </cell>
          <cell r="DG222">
            <v>1987185</v>
          </cell>
          <cell r="DR222">
            <v>539505.5</v>
          </cell>
          <cell r="EC222">
            <v>3.6833452114946001</v>
          </cell>
          <cell r="EN222">
            <v>2.4095909012463064E-2</v>
          </cell>
        </row>
        <row r="223">
          <cell r="B223">
            <v>36505</v>
          </cell>
          <cell r="C223" t="str">
            <v>Cape Fear Community College</v>
          </cell>
          <cell r="D223">
            <v>1.8479689584723819E-3</v>
          </cell>
          <cell r="E223">
            <v>3197417.187231299</v>
          </cell>
          <cell r="F223">
            <v>2493099.5082909972</v>
          </cell>
          <cell r="G223">
            <v>-104580</v>
          </cell>
          <cell r="H223">
            <v>-892193.01001610456</v>
          </cell>
          <cell r="I223">
            <v>-36920.630142449496</v>
          </cell>
          <cell r="J223">
            <v>2698172.7831179025</v>
          </cell>
          <cell r="K223">
            <v>0</v>
          </cell>
          <cell r="L223">
            <v>-141766.4772252196</v>
          </cell>
          <cell r="M223">
            <v>25441.010201379286</v>
          </cell>
          <cell r="N223">
            <v>959.05893006799681</v>
          </cell>
          <cell r="O223">
            <v>-432.81280976381657</v>
          </cell>
          <cell r="P223">
            <v>0</v>
          </cell>
          <cell r="Q223">
            <v>0</v>
          </cell>
          <cell r="R223">
            <v>0</v>
          </cell>
          <cell r="S223">
            <v>7239196.6175781097</v>
          </cell>
          <cell r="T223">
            <v>93130.929999999935</v>
          </cell>
          <cell r="U223">
            <v>13490863.915589513</v>
          </cell>
          <cell r="V223">
            <v>101764.04080551714</v>
          </cell>
          <cell r="W223">
            <v>0</v>
          </cell>
          <cell r="X223">
            <v>13685758.88639503</v>
          </cell>
          <cell r="Y223">
            <v>616031</v>
          </cell>
          <cell r="Z223">
            <v>0</v>
          </cell>
          <cell r="AA223">
            <v>0</v>
          </cell>
          <cell r="AB223">
            <v>184603.15071224747</v>
          </cell>
          <cell r="AC223">
            <v>800634.15071224747</v>
          </cell>
          <cell r="AD223" t="str">
            <v>N/A</v>
          </cell>
          <cell r="AE223">
            <v>2582113</v>
          </cell>
          <cell r="AF223">
            <v>2582113</v>
          </cell>
          <cell r="AG223">
            <v>2582113</v>
          </cell>
          <cell r="AH223">
            <v>2582113</v>
          </cell>
          <cell r="AI223">
            <v>2556672</v>
          </cell>
          <cell r="AJ223">
            <v>0</v>
          </cell>
          <cell r="AK223">
            <v>12885124</v>
          </cell>
          <cell r="AL223">
            <v>62007711</v>
          </cell>
          <cell r="AM223">
            <v>7239196.6175781097</v>
          </cell>
          <cell r="AN223">
            <v>-1739101.93</v>
          </cell>
          <cell r="AO223">
            <v>13408024.805682784</v>
          </cell>
          <cell r="AP223">
            <v>0</v>
          </cell>
          <cell r="AQ223">
            <v>-522900.07000000007</v>
          </cell>
          <cell r="AR223">
            <v>0</v>
          </cell>
          <cell r="AS223">
            <v>0</v>
          </cell>
          <cell r="AT223">
            <v>80392930.423260882</v>
          </cell>
          <cell r="AU223">
            <v>1.8702656823009782E-3</v>
          </cell>
          <cell r="AV223">
            <v>0</v>
          </cell>
          <cell r="AW223">
            <v>0</v>
          </cell>
          <cell r="AY223">
            <v>0</v>
          </cell>
          <cell r="AZ223">
            <v>0</v>
          </cell>
          <cell r="BA223">
            <v>0</v>
          </cell>
          <cell r="BB223">
            <v>0</v>
          </cell>
          <cell r="BC223">
            <v>0</v>
          </cell>
          <cell r="BD223">
            <v>0</v>
          </cell>
          <cell r="BE223">
            <v>0</v>
          </cell>
          <cell r="BF223">
            <v>0</v>
          </cell>
          <cell r="BG223">
            <v>0</v>
          </cell>
          <cell r="BH223">
            <v>0</v>
          </cell>
          <cell r="BJ223">
            <v>0</v>
          </cell>
          <cell r="BL223">
            <v>0</v>
          </cell>
          <cell r="BM223">
            <v>0</v>
          </cell>
          <cell r="BN223">
            <v>0</v>
          </cell>
          <cell r="BO223">
            <v>0</v>
          </cell>
          <cell r="BQ223">
            <v>0</v>
          </cell>
          <cell r="BR223">
            <v>0</v>
          </cell>
          <cell r="BS223">
            <v>0</v>
          </cell>
          <cell r="BT223">
            <v>0</v>
          </cell>
          <cell r="CB223">
            <v>0</v>
          </cell>
          <cell r="CC223">
            <v>0</v>
          </cell>
          <cell r="CD223">
            <v>0</v>
          </cell>
          <cell r="CE223">
            <v>0</v>
          </cell>
          <cell r="CF223">
            <v>0</v>
          </cell>
          <cell r="CI223">
            <v>0</v>
          </cell>
          <cell r="CJ223">
            <v>0</v>
          </cell>
          <cell r="CK223">
            <v>0</v>
          </cell>
          <cell r="CV223">
            <v>1.8479689584723819E-3</v>
          </cell>
          <cell r="DG223">
            <v>80392931</v>
          </cell>
          <cell r="DR223">
            <v>29087117.839999989</v>
          </cell>
          <cell r="EC223">
            <v>2.7638672020452071</v>
          </cell>
          <cell r="EN223">
            <v>2.4095909012463064E-2</v>
          </cell>
        </row>
        <row r="224">
          <cell r="B224">
            <v>36600</v>
          </cell>
          <cell r="C224" t="str">
            <v>Northampton County Schools</v>
          </cell>
          <cell r="D224">
            <v>6.8401931828023085E-4</v>
          </cell>
          <cell r="E224">
            <v>1183512.9127252235</v>
          </cell>
          <cell r="F224">
            <v>922812.15993784403</v>
          </cell>
          <cell r="G224">
            <v>-294057</v>
          </cell>
          <cell r="H224">
            <v>-330242.15676765854</v>
          </cell>
          <cell r="I224">
            <v>-13666.043547285199</v>
          </cell>
          <cell r="J224">
            <v>998719.32331387349</v>
          </cell>
          <cell r="K224">
            <v>0</v>
          </cell>
          <cell r="L224">
            <v>-52474.371207374272</v>
          </cell>
          <cell r="M224">
            <v>9416.901931455217</v>
          </cell>
          <cell r="N224">
            <v>354.99234580107418</v>
          </cell>
          <cell r="O224">
            <v>-160.20416453441285</v>
          </cell>
          <cell r="P224">
            <v>0</v>
          </cell>
          <cell r="Q224">
            <v>0</v>
          </cell>
          <cell r="R224">
            <v>0</v>
          </cell>
          <cell r="S224">
            <v>2424216.5145673454</v>
          </cell>
          <cell r="T224">
            <v>57133.199999999953</v>
          </cell>
          <cell r="U224">
            <v>4993596.6165693672</v>
          </cell>
          <cell r="V224">
            <v>37667.607725820868</v>
          </cell>
          <cell r="W224">
            <v>0</v>
          </cell>
          <cell r="X224">
            <v>5088397.4242951879</v>
          </cell>
          <cell r="Y224">
            <v>1527418</v>
          </cell>
          <cell r="Z224">
            <v>0</v>
          </cell>
          <cell r="AA224">
            <v>0</v>
          </cell>
          <cell r="AB224">
            <v>68330.217736425999</v>
          </cell>
          <cell r="AC224">
            <v>1595748.217736426</v>
          </cell>
          <cell r="AD224" t="str">
            <v>N/A</v>
          </cell>
          <cell r="AE224">
            <v>700413</v>
          </cell>
          <cell r="AF224">
            <v>700413</v>
          </cell>
          <cell r="AG224">
            <v>700413</v>
          </cell>
          <cell r="AH224">
            <v>700413</v>
          </cell>
          <cell r="AI224">
            <v>690996</v>
          </cell>
          <cell r="AJ224">
            <v>0</v>
          </cell>
          <cell r="AK224">
            <v>3492648</v>
          </cell>
          <cell r="AL224">
            <v>24511216</v>
          </cell>
          <cell r="AM224">
            <v>2424216.5145673454</v>
          </cell>
          <cell r="AN224">
            <v>-670916.19999999995</v>
          </cell>
          <cell r="AO224">
            <v>4962934.0065587629</v>
          </cell>
          <cell r="AP224">
            <v>0</v>
          </cell>
          <cell r="AQ224">
            <v>-1470284.8</v>
          </cell>
          <cell r="AR224">
            <v>0</v>
          </cell>
          <cell r="AS224">
            <v>0</v>
          </cell>
          <cell r="AT224">
            <v>29757165.52112611</v>
          </cell>
          <cell r="AU224">
            <v>7.393029996716463E-4</v>
          </cell>
          <cell r="AV224">
            <v>0</v>
          </cell>
          <cell r="AW224">
            <v>0</v>
          </cell>
          <cell r="AY224">
            <v>0</v>
          </cell>
          <cell r="AZ224">
            <v>0</v>
          </cell>
          <cell r="BA224">
            <v>0</v>
          </cell>
          <cell r="BB224">
            <v>0</v>
          </cell>
          <cell r="BC224">
            <v>0</v>
          </cell>
          <cell r="BD224">
            <v>0</v>
          </cell>
          <cell r="BE224">
            <v>0</v>
          </cell>
          <cell r="BF224">
            <v>0</v>
          </cell>
          <cell r="BG224">
            <v>0</v>
          </cell>
          <cell r="BH224">
            <v>0</v>
          </cell>
          <cell r="BJ224">
            <v>0</v>
          </cell>
          <cell r="BL224">
            <v>0</v>
          </cell>
          <cell r="BM224">
            <v>0</v>
          </cell>
          <cell r="BN224">
            <v>0</v>
          </cell>
          <cell r="BO224">
            <v>0</v>
          </cell>
          <cell r="BQ224">
            <v>0</v>
          </cell>
          <cell r="BR224">
            <v>0</v>
          </cell>
          <cell r="BS224">
            <v>0</v>
          </cell>
          <cell r="BT224">
            <v>0</v>
          </cell>
          <cell r="CB224">
            <v>0</v>
          </cell>
          <cell r="CC224">
            <v>0</v>
          </cell>
          <cell r="CD224">
            <v>0</v>
          </cell>
          <cell r="CE224">
            <v>0</v>
          </cell>
          <cell r="CF224">
            <v>0</v>
          </cell>
          <cell r="CI224">
            <v>0</v>
          </cell>
          <cell r="CJ224">
            <v>0</v>
          </cell>
          <cell r="CK224">
            <v>0</v>
          </cell>
          <cell r="CV224">
            <v>6.8401931828023085E-4</v>
          </cell>
          <cell r="DG224">
            <v>29757165</v>
          </cell>
          <cell r="DR224">
            <v>11393591.629999992</v>
          </cell>
          <cell r="EC224">
            <v>2.6117457924020768</v>
          </cell>
          <cell r="EN224">
            <v>2.4095909012463064E-2</v>
          </cell>
        </row>
        <row r="225">
          <cell r="B225">
            <v>36601</v>
          </cell>
          <cell r="C225" t="str">
            <v>Gaston College Preparatory Charter</v>
          </cell>
          <cell r="D225">
            <v>3.6765854569084986E-4</v>
          </cell>
          <cell r="E225">
            <v>636135.01062061044</v>
          </cell>
          <cell r="F225">
            <v>496009.05647168087</v>
          </cell>
          <cell r="G225">
            <v>305635</v>
          </cell>
          <cell r="H225">
            <v>-177504.27193821565</v>
          </cell>
          <cell r="I225">
            <v>-7345.4616875078873</v>
          </cell>
          <cell r="J225">
            <v>536808.95283208648</v>
          </cell>
          <cell r="K225">
            <v>0</v>
          </cell>
          <cell r="L225">
            <v>-28204.833531092125</v>
          </cell>
          <cell r="M225">
            <v>5061.5594859760595</v>
          </cell>
          <cell r="N225">
            <v>190.80743204263726</v>
          </cell>
          <cell r="O225">
            <v>-86.109307986253938</v>
          </cell>
          <cell r="P225">
            <v>0</v>
          </cell>
          <cell r="Q225">
            <v>0</v>
          </cell>
          <cell r="R225">
            <v>0</v>
          </cell>
          <cell r="S225">
            <v>1766699.7103775947</v>
          </cell>
          <cell r="T225">
            <v>1577724</v>
          </cell>
          <cell r="U225">
            <v>2684044.7641604324</v>
          </cell>
          <cell r="V225">
            <v>20246.237943904238</v>
          </cell>
          <cell r="W225">
            <v>0</v>
          </cell>
          <cell r="X225">
            <v>4282015.0021043364</v>
          </cell>
          <cell r="Y225">
            <v>49549.429999999993</v>
          </cell>
          <cell r="Z225">
            <v>0</v>
          </cell>
          <cell r="AA225">
            <v>0</v>
          </cell>
          <cell r="AB225">
            <v>36727.308437539439</v>
          </cell>
          <cell r="AC225">
            <v>86276.738437539432</v>
          </cell>
          <cell r="AD225" t="str">
            <v>N/A</v>
          </cell>
          <cell r="AE225">
            <v>840160</v>
          </cell>
          <cell r="AF225">
            <v>840160</v>
          </cell>
          <cell r="AG225">
            <v>840160</v>
          </cell>
          <cell r="AH225">
            <v>840160</v>
          </cell>
          <cell r="AI225">
            <v>835098</v>
          </cell>
          <cell r="AJ225">
            <v>0</v>
          </cell>
          <cell r="AK225">
            <v>4195738</v>
          </cell>
          <cell r="AL225">
            <v>10296264</v>
          </cell>
          <cell r="AM225">
            <v>1766699.7103775947</v>
          </cell>
          <cell r="AN225">
            <v>-264305.57</v>
          </cell>
          <cell r="AO225">
            <v>2667563.6936667976</v>
          </cell>
          <cell r="AP225">
            <v>0</v>
          </cell>
          <cell r="AQ225">
            <v>1528174.57</v>
          </cell>
          <cell r="AR225">
            <v>0</v>
          </cell>
          <cell r="AS225">
            <v>0</v>
          </cell>
          <cell r="AT225">
            <v>15994396.404044392</v>
          </cell>
          <cell r="AU225">
            <v>3.1055410582913327E-4</v>
          </cell>
          <cell r="AV225">
            <v>0</v>
          </cell>
          <cell r="AW225">
            <v>0</v>
          </cell>
          <cell r="AY225">
            <v>0</v>
          </cell>
          <cell r="AZ225">
            <v>0</v>
          </cell>
          <cell r="BA225">
            <v>0</v>
          </cell>
          <cell r="BB225">
            <v>0</v>
          </cell>
          <cell r="BC225">
            <v>0</v>
          </cell>
          <cell r="BD225">
            <v>0</v>
          </cell>
          <cell r="BE225">
            <v>0</v>
          </cell>
          <cell r="BF225">
            <v>0</v>
          </cell>
          <cell r="BG225">
            <v>0</v>
          </cell>
          <cell r="BH225">
            <v>0</v>
          </cell>
          <cell r="BJ225">
            <v>0</v>
          </cell>
          <cell r="BL225">
            <v>0</v>
          </cell>
          <cell r="BM225">
            <v>0</v>
          </cell>
          <cell r="BN225">
            <v>0</v>
          </cell>
          <cell r="BO225">
            <v>0</v>
          </cell>
          <cell r="BQ225">
            <v>0</v>
          </cell>
          <cell r="BR225">
            <v>0</v>
          </cell>
          <cell r="BS225">
            <v>0</v>
          </cell>
          <cell r="BT225">
            <v>0</v>
          </cell>
          <cell r="CB225">
            <v>0</v>
          </cell>
          <cell r="CC225">
            <v>0</v>
          </cell>
          <cell r="CD225">
            <v>0</v>
          </cell>
          <cell r="CE225">
            <v>0</v>
          </cell>
          <cell r="CF225">
            <v>0</v>
          </cell>
          <cell r="CI225">
            <v>0</v>
          </cell>
          <cell r="CJ225">
            <v>0</v>
          </cell>
          <cell r="CK225">
            <v>0</v>
          </cell>
          <cell r="CV225">
            <v>3.6765854569084986E-4</v>
          </cell>
          <cell r="DG225">
            <v>15994396</v>
          </cell>
          <cell r="DR225">
            <v>4426537.1399999978</v>
          </cell>
          <cell r="EC225">
            <v>3.6132975945165136</v>
          </cell>
          <cell r="EN225">
            <v>2.4095909012463064E-2</v>
          </cell>
        </row>
        <row r="226">
          <cell r="B226">
            <v>36700</v>
          </cell>
          <cell r="C226" t="str">
            <v>Onslow County Schools</v>
          </cell>
          <cell r="D226">
            <v>8.0039556616394655E-3</v>
          </cell>
          <cell r="E226">
            <v>13848709.568973944</v>
          </cell>
          <cell r="F226">
            <v>10798156.447883062</v>
          </cell>
          <cell r="G226">
            <v>-1582057</v>
          </cell>
          <cell r="H226">
            <v>-3864282.0600713464</v>
          </cell>
          <cell r="I226">
            <v>-159911.28276539812</v>
          </cell>
          <cell r="J226">
            <v>11686373.423377395</v>
          </cell>
          <cell r="K226">
            <v>0</v>
          </cell>
          <cell r="L226">
            <v>-614021.46005497244</v>
          </cell>
          <cell r="M226">
            <v>110190.55093191945</v>
          </cell>
          <cell r="N226">
            <v>4153.8929092776498</v>
          </cell>
          <cell r="O226">
            <v>-1874.6064555125793</v>
          </cell>
          <cell r="P226">
            <v>0</v>
          </cell>
          <cell r="Q226">
            <v>0</v>
          </cell>
          <cell r="R226">
            <v>0</v>
          </cell>
          <cell r="S226">
            <v>30225437.474728368</v>
          </cell>
          <cell r="T226">
            <v>0</v>
          </cell>
          <cell r="U226">
            <v>58431867.116886973</v>
          </cell>
          <cell r="V226">
            <v>440762.20372767781</v>
          </cell>
          <cell r="W226">
            <v>0</v>
          </cell>
          <cell r="X226">
            <v>58872629.320614651</v>
          </cell>
          <cell r="Y226">
            <v>7910288.0799999991</v>
          </cell>
          <cell r="Z226">
            <v>0</v>
          </cell>
          <cell r="AA226">
            <v>0</v>
          </cell>
          <cell r="AB226">
            <v>799556.41382699064</v>
          </cell>
          <cell r="AC226">
            <v>8709844.4938269891</v>
          </cell>
          <cell r="AD226" t="str">
            <v>N/A</v>
          </cell>
          <cell r="AE226">
            <v>10054596</v>
          </cell>
          <cell r="AF226">
            <v>10054595</v>
          </cell>
          <cell r="AG226">
            <v>10054595</v>
          </cell>
          <cell r="AH226">
            <v>10054595</v>
          </cell>
          <cell r="AI226">
            <v>9944404</v>
          </cell>
          <cell r="AJ226">
            <v>0</v>
          </cell>
          <cell r="AK226">
            <v>50162785</v>
          </cell>
          <cell r="AL226">
            <v>274531987</v>
          </cell>
          <cell r="AM226">
            <v>30225437.474728368</v>
          </cell>
          <cell r="AN226">
            <v>-6720931.9200000009</v>
          </cell>
          <cell r="AO226">
            <v>58073072.906787664</v>
          </cell>
          <cell r="AP226">
            <v>0</v>
          </cell>
          <cell r="AQ226">
            <v>-7910288.0799999991</v>
          </cell>
          <cell r="AR226">
            <v>0</v>
          </cell>
          <cell r="AS226">
            <v>0</v>
          </cell>
          <cell r="AT226">
            <v>348199277.38151604</v>
          </cell>
          <cell r="AU226">
            <v>8.2803856072083161E-3</v>
          </cell>
          <cell r="AV226">
            <v>0</v>
          </cell>
          <cell r="AW226">
            <v>0</v>
          </cell>
          <cell r="AY226">
            <v>0</v>
          </cell>
          <cell r="AZ226">
            <v>0</v>
          </cell>
          <cell r="BA226">
            <v>0</v>
          </cell>
          <cell r="BB226">
            <v>0</v>
          </cell>
          <cell r="BC226">
            <v>0</v>
          </cell>
          <cell r="BD226">
            <v>0</v>
          </cell>
          <cell r="BE226">
            <v>0</v>
          </cell>
          <cell r="BF226">
            <v>0</v>
          </cell>
          <cell r="BG226">
            <v>0</v>
          </cell>
          <cell r="BH226">
            <v>0</v>
          </cell>
          <cell r="BJ226">
            <v>0</v>
          </cell>
          <cell r="BL226">
            <v>0</v>
          </cell>
          <cell r="BM226">
            <v>0</v>
          </cell>
          <cell r="BN226">
            <v>0</v>
          </cell>
          <cell r="BO226">
            <v>0</v>
          </cell>
          <cell r="BQ226">
            <v>0</v>
          </cell>
          <cell r="BR226">
            <v>0</v>
          </cell>
          <cell r="BS226">
            <v>0</v>
          </cell>
          <cell r="BT226">
            <v>0</v>
          </cell>
          <cell r="CB226">
            <v>0</v>
          </cell>
          <cell r="CC226">
            <v>0</v>
          </cell>
          <cell r="CD226">
            <v>0</v>
          </cell>
          <cell r="CE226">
            <v>0</v>
          </cell>
          <cell r="CF226">
            <v>0</v>
          </cell>
          <cell r="CI226">
            <v>0</v>
          </cell>
          <cell r="CJ226">
            <v>0</v>
          </cell>
          <cell r="CK226">
            <v>0</v>
          </cell>
          <cell r="CV226">
            <v>8.0039556616394655E-3</v>
          </cell>
          <cell r="DG226">
            <v>348199277</v>
          </cell>
          <cell r="DR226">
            <v>117141754.23999991</v>
          </cell>
          <cell r="EC226">
            <v>2.9724608382303179</v>
          </cell>
          <cell r="EN226">
            <v>2.4095909012463064E-2</v>
          </cell>
        </row>
        <row r="227">
          <cell r="B227">
            <v>36701</v>
          </cell>
          <cell r="C227" t="str">
            <v>Zeca School Of The Arts And Technology</v>
          </cell>
          <cell r="D227">
            <v>4.1016009576822938E-5</v>
          </cell>
          <cell r="E227">
            <v>70967.2602298407</v>
          </cell>
          <cell r="F227">
            <v>55334.800316433102</v>
          </cell>
          <cell r="G227">
            <v>83303</v>
          </cell>
          <cell r="H227">
            <v>-19802.387304949923</v>
          </cell>
          <cell r="I227">
            <v>-819.46014978350513</v>
          </cell>
          <cell r="J227">
            <v>59886.439220153617</v>
          </cell>
          <cell r="K227">
            <v>0</v>
          </cell>
          <cell r="L227">
            <v>-3146.532933296</v>
          </cell>
          <cell r="M227">
            <v>564.66788215231702</v>
          </cell>
          <cell r="N227">
            <v>21.286488650179567</v>
          </cell>
          <cell r="O227">
            <v>-9.6063596029877001</v>
          </cell>
          <cell r="P227">
            <v>0</v>
          </cell>
          <cell r="Q227">
            <v>0</v>
          </cell>
          <cell r="R227">
            <v>0</v>
          </cell>
          <cell r="S227">
            <v>246299.4673895975</v>
          </cell>
          <cell r="T227">
            <v>424246</v>
          </cell>
          <cell r="U227">
            <v>299432.19610076811</v>
          </cell>
          <cell r="V227">
            <v>2258.6715286092681</v>
          </cell>
          <cell r="W227">
            <v>0</v>
          </cell>
          <cell r="X227">
            <v>725936.8676293774</v>
          </cell>
          <cell r="Y227">
            <v>7731.5299999999952</v>
          </cell>
          <cell r="Z227">
            <v>0</v>
          </cell>
          <cell r="AA227">
            <v>0</v>
          </cell>
          <cell r="AB227">
            <v>4097.3007489175252</v>
          </cell>
          <cell r="AC227">
            <v>11828.83074891752</v>
          </cell>
          <cell r="AD227" t="str">
            <v>N/A</v>
          </cell>
          <cell r="AE227">
            <v>142935</v>
          </cell>
          <cell r="AF227">
            <v>142935</v>
          </cell>
          <cell r="AG227">
            <v>142935</v>
          </cell>
          <cell r="AH227">
            <v>142935</v>
          </cell>
          <cell r="AI227">
            <v>142370</v>
          </cell>
          <cell r="AJ227">
            <v>0</v>
          </cell>
          <cell r="AK227">
            <v>714110</v>
          </cell>
          <cell r="AL227">
            <v>850770</v>
          </cell>
          <cell r="AM227">
            <v>246299.4673895975</v>
          </cell>
          <cell r="AN227">
            <v>-26841.470000000005</v>
          </cell>
          <cell r="AO227">
            <v>297593.56688045984</v>
          </cell>
          <cell r="AP227">
            <v>0</v>
          </cell>
          <cell r="AQ227">
            <v>416514.47000000003</v>
          </cell>
          <cell r="AR227">
            <v>0</v>
          </cell>
          <cell r="AS227">
            <v>0</v>
          </cell>
          <cell r="AT227">
            <v>1784336.0342700575</v>
          </cell>
          <cell r="AU227">
            <v>2.5660768930669772E-5</v>
          </cell>
          <cell r="AV227">
            <v>0</v>
          </cell>
          <cell r="AW227">
            <v>0</v>
          </cell>
          <cell r="AY227">
            <v>0</v>
          </cell>
          <cell r="AZ227">
            <v>0</v>
          </cell>
          <cell r="BA227">
            <v>0</v>
          </cell>
          <cell r="BB227">
            <v>0</v>
          </cell>
          <cell r="BC227">
            <v>0</v>
          </cell>
          <cell r="BD227">
            <v>0</v>
          </cell>
          <cell r="BE227">
            <v>0</v>
          </cell>
          <cell r="BF227">
            <v>0</v>
          </cell>
          <cell r="BG227">
            <v>0</v>
          </cell>
          <cell r="BH227">
            <v>0</v>
          </cell>
          <cell r="BJ227">
            <v>0</v>
          </cell>
          <cell r="BL227">
            <v>0</v>
          </cell>
          <cell r="BM227">
            <v>0</v>
          </cell>
          <cell r="BN227">
            <v>0</v>
          </cell>
          <cell r="BO227">
            <v>0</v>
          </cell>
          <cell r="BQ227">
            <v>0</v>
          </cell>
          <cell r="BR227">
            <v>0</v>
          </cell>
          <cell r="BS227">
            <v>0</v>
          </cell>
          <cell r="BT227">
            <v>0</v>
          </cell>
          <cell r="CB227">
            <v>0</v>
          </cell>
          <cell r="CC227">
            <v>0</v>
          </cell>
          <cell r="CD227">
            <v>0</v>
          </cell>
          <cell r="CE227">
            <v>0</v>
          </cell>
          <cell r="CF227">
            <v>0</v>
          </cell>
          <cell r="CI227">
            <v>0</v>
          </cell>
          <cell r="CJ227">
            <v>0</v>
          </cell>
          <cell r="CK227">
            <v>0</v>
          </cell>
          <cell r="CV227">
            <v>4.1016009576822938E-5</v>
          </cell>
          <cell r="DG227">
            <v>1784336</v>
          </cell>
          <cell r="DR227">
            <v>473452.91000000003</v>
          </cell>
          <cell r="EC227">
            <v>3.7687718510379415</v>
          </cell>
          <cell r="EN227">
            <v>2.4095909012463064E-2</v>
          </cell>
        </row>
        <row r="228">
          <cell r="B228">
            <v>36705</v>
          </cell>
          <cell r="C228" t="str">
            <v>Coastal Carolina Community College</v>
          </cell>
          <cell r="D228">
            <v>9.2992830888104065E-4</v>
          </cell>
          <cell r="E228">
            <v>1608992.8048180537</v>
          </cell>
          <cell r="F228">
            <v>1254568.5894711688</v>
          </cell>
          <cell r="G228">
            <v>-43486</v>
          </cell>
          <cell r="H228">
            <v>-448966.16536546708</v>
          </cell>
          <cell r="I228">
            <v>-18579.067031283983</v>
          </cell>
          <cell r="J228">
            <v>1357764.8270389931</v>
          </cell>
          <cell r="K228">
            <v>0</v>
          </cell>
          <cell r="L228">
            <v>-71339.218019684762</v>
          </cell>
          <cell r="M228">
            <v>12802.333872724259</v>
          </cell>
          <cell r="N228">
            <v>482.61419374308247</v>
          </cell>
          <cell r="O228">
            <v>-217.79850922302853</v>
          </cell>
          <cell r="P228">
            <v>0</v>
          </cell>
          <cell r="Q228">
            <v>0</v>
          </cell>
          <cell r="R228">
            <v>0</v>
          </cell>
          <cell r="S228">
            <v>3652022.9204690247</v>
          </cell>
          <cell r="T228">
            <v>6272.6099999998696</v>
          </cell>
          <cell r="U228">
            <v>6788824.1351949656</v>
          </cell>
          <cell r="V228">
            <v>51209.335490897036</v>
          </cell>
          <cell r="W228">
            <v>0</v>
          </cell>
          <cell r="X228">
            <v>6846306.0806858633</v>
          </cell>
          <cell r="Y228">
            <v>223706</v>
          </cell>
          <cell r="Z228">
            <v>0</v>
          </cell>
          <cell r="AA228">
            <v>0</v>
          </cell>
          <cell r="AB228">
            <v>92895.335156419911</v>
          </cell>
          <cell r="AC228">
            <v>316601.3351564199</v>
          </cell>
          <cell r="AD228" t="str">
            <v>N/A</v>
          </cell>
          <cell r="AE228">
            <v>1308502</v>
          </cell>
          <cell r="AF228">
            <v>1308501</v>
          </cell>
          <cell r="AG228">
            <v>1308501</v>
          </cell>
          <cell r="AH228">
            <v>1308501</v>
          </cell>
          <cell r="AI228">
            <v>1295699</v>
          </cell>
          <cell r="AJ228">
            <v>0</v>
          </cell>
          <cell r="AK228">
            <v>6529704</v>
          </cell>
          <cell r="AL228">
            <v>31099749</v>
          </cell>
          <cell r="AM228">
            <v>3652022.9204690247</v>
          </cell>
          <cell r="AN228">
            <v>-826433.60999999987</v>
          </cell>
          <cell r="AO228">
            <v>6747138.1355294436</v>
          </cell>
          <cell r="AP228">
            <v>0</v>
          </cell>
          <cell r="AQ228">
            <v>-217433.39000000013</v>
          </cell>
          <cell r="AR228">
            <v>0</v>
          </cell>
          <cell r="AS228">
            <v>0</v>
          </cell>
          <cell r="AT228">
            <v>40455043.055998467</v>
          </cell>
          <cell r="AU228">
            <v>9.3802516072585785E-4</v>
          </cell>
          <cell r="AV228">
            <v>0</v>
          </cell>
          <cell r="AW228">
            <v>0</v>
          </cell>
          <cell r="AY228">
            <v>0</v>
          </cell>
          <cell r="AZ228">
            <v>0</v>
          </cell>
          <cell r="BA228">
            <v>0</v>
          </cell>
          <cell r="BB228">
            <v>0</v>
          </cell>
          <cell r="BC228">
            <v>0</v>
          </cell>
          <cell r="BD228">
            <v>0</v>
          </cell>
          <cell r="BE228">
            <v>0</v>
          </cell>
          <cell r="BF228">
            <v>0</v>
          </cell>
          <cell r="BG228">
            <v>0</v>
          </cell>
          <cell r="BH228">
            <v>0</v>
          </cell>
          <cell r="BJ228">
            <v>0</v>
          </cell>
          <cell r="BL228">
            <v>0</v>
          </cell>
          <cell r="BM228">
            <v>0</v>
          </cell>
          <cell r="BN228">
            <v>0</v>
          </cell>
          <cell r="BO228">
            <v>0</v>
          </cell>
          <cell r="BQ228">
            <v>0</v>
          </cell>
          <cell r="BR228">
            <v>0</v>
          </cell>
          <cell r="BS228">
            <v>0</v>
          </cell>
          <cell r="BT228">
            <v>0</v>
          </cell>
          <cell r="CB228">
            <v>0</v>
          </cell>
          <cell r="CC228">
            <v>0</v>
          </cell>
          <cell r="CD228">
            <v>0</v>
          </cell>
          <cell r="CE228">
            <v>0</v>
          </cell>
          <cell r="CF228">
            <v>0</v>
          </cell>
          <cell r="CI228">
            <v>0</v>
          </cell>
          <cell r="CJ228">
            <v>0</v>
          </cell>
          <cell r="CK228">
            <v>0</v>
          </cell>
          <cell r="CV228">
            <v>9.2992830888104065E-4</v>
          </cell>
          <cell r="DG228">
            <v>40455042</v>
          </cell>
          <cell r="DR228">
            <v>13842596.460000001</v>
          </cell>
          <cell r="EC228">
            <v>2.9225038898518898</v>
          </cell>
          <cell r="EN228">
            <v>2.4095909012463064E-2</v>
          </cell>
        </row>
        <row r="229">
          <cell r="B229">
            <v>36800</v>
          </cell>
          <cell r="C229" t="str">
            <v>Orange County Schools</v>
          </cell>
          <cell r="D229">
            <v>3.0289783852879425E-3</v>
          </cell>
          <cell r="E229">
            <v>5240838.8704092596</v>
          </cell>
          <cell r="F229">
            <v>4086402.2571179392</v>
          </cell>
          <cell r="G229">
            <v>611596</v>
          </cell>
          <cell r="H229">
            <v>-1462380.2691348928</v>
          </cell>
          <cell r="I229">
            <v>-60516.054752962642</v>
          </cell>
          <cell r="J229">
            <v>4422534.8063163804</v>
          </cell>
          <cell r="K229">
            <v>0</v>
          </cell>
          <cell r="L229">
            <v>-232367.32051417901</v>
          </cell>
          <cell r="M229">
            <v>41699.980752690535</v>
          </cell>
          <cell r="N229">
            <v>1571.9792023967364</v>
          </cell>
          <cell r="O229">
            <v>-709.41702761828901</v>
          </cell>
          <cell r="P229">
            <v>0</v>
          </cell>
          <cell r="Q229">
            <v>0</v>
          </cell>
          <cell r="R229">
            <v>0</v>
          </cell>
          <cell r="S229">
            <v>12648670.832369013</v>
          </cell>
          <cell r="T229">
            <v>3080509</v>
          </cell>
          <cell r="U229">
            <v>22112674.031581901</v>
          </cell>
          <cell r="V229">
            <v>166799.92301076214</v>
          </cell>
          <cell r="W229">
            <v>0</v>
          </cell>
          <cell r="X229">
            <v>25359982.954592664</v>
          </cell>
          <cell r="Y229">
            <v>22529.39000000013</v>
          </cell>
          <cell r="Z229">
            <v>0</v>
          </cell>
          <cell r="AA229">
            <v>0</v>
          </cell>
          <cell r="AB229">
            <v>302580.2737648132</v>
          </cell>
          <cell r="AC229">
            <v>325109.66376481333</v>
          </cell>
          <cell r="AD229" t="str">
            <v>N/A</v>
          </cell>
          <cell r="AE229">
            <v>5015315</v>
          </cell>
          <cell r="AF229">
            <v>5015315</v>
          </cell>
          <cell r="AG229">
            <v>5015315</v>
          </cell>
          <cell r="AH229">
            <v>5015315</v>
          </cell>
          <cell r="AI229">
            <v>4973615</v>
          </cell>
          <cell r="AJ229">
            <v>0</v>
          </cell>
          <cell r="AK229">
            <v>25034875</v>
          </cell>
          <cell r="AL229">
            <v>96727632</v>
          </cell>
          <cell r="AM229">
            <v>12648670.832369013</v>
          </cell>
          <cell r="AN229">
            <v>-2640320.61</v>
          </cell>
          <cell r="AO229">
            <v>21976893.680827852</v>
          </cell>
          <cell r="AP229">
            <v>0</v>
          </cell>
          <cell r="AQ229">
            <v>3057979.61</v>
          </cell>
          <cell r="AR229">
            <v>0</v>
          </cell>
          <cell r="AS229">
            <v>0</v>
          </cell>
          <cell r="AT229">
            <v>131770855.51319687</v>
          </cell>
          <cell r="AU229">
            <v>2.917481854009773E-3</v>
          </cell>
          <cell r="AV229">
            <v>0</v>
          </cell>
          <cell r="AW229">
            <v>0</v>
          </cell>
          <cell r="AY229">
            <v>0</v>
          </cell>
          <cell r="AZ229">
            <v>0</v>
          </cell>
          <cell r="BA229">
            <v>0</v>
          </cell>
          <cell r="BB229">
            <v>0</v>
          </cell>
          <cell r="BC229">
            <v>0</v>
          </cell>
          <cell r="BD229">
            <v>0</v>
          </cell>
          <cell r="BE229">
            <v>0</v>
          </cell>
          <cell r="BF229">
            <v>0</v>
          </cell>
          <cell r="BG229">
            <v>0</v>
          </cell>
          <cell r="BH229">
            <v>0</v>
          </cell>
          <cell r="BJ229">
            <v>0</v>
          </cell>
          <cell r="BL229">
            <v>0</v>
          </cell>
          <cell r="BM229">
            <v>0</v>
          </cell>
          <cell r="BN229">
            <v>0</v>
          </cell>
          <cell r="BO229">
            <v>0</v>
          </cell>
          <cell r="BQ229">
            <v>0</v>
          </cell>
          <cell r="BR229">
            <v>0</v>
          </cell>
          <cell r="BS229">
            <v>0</v>
          </cell>
          <cell r="BT229">
            <v>0</v>
          </cell>
          <cell r="CB229">
            <v>0</v>
          </cell>
          <cell r="CC229">
            <v>0</v>
          </cell>
          <cell r="CD229">
            <v>0</v>
          </cell>
          <cell r="CE229">
            <v>0</v>
          </cell>
          <cell r="CF229">
            <v>0</v>
          </cell>
          <cell r="CI229">
            <v>0</v>
          </cell>
          <cell r="CJ229">
            <v>0</v>
          </cell>
          <cell r="CK229">
            <v>0</v>
          </cell>
          <cell r="CV229">
            <v>3.0289783852879425E-3</v>
          </cell>
          <cell r="DG229">
            <v>131770855</v>
          </cell>
          <cell r="DR229">
            <v>45896753.31000001</v>
          </cell>
          <cell r="EC229">
            <v>2.8710278069122093</v>
          </cell>
          <cell r="EN229">
            <v>2.4095909012463064E-2</v>
          </cell>
        </row>
        <row r="230">
          <cell r="B230">
            <v>36802</v>
          </cell>
          <cell r="C230" t="str">
            <v>Orange Charter School</v>
          </cell>
          <cell r="D230">
            <v>8.1244009819497317E-5</v>
          </cell>
          <cell r="E230">
            <v>140571.08057225597</v>
          </cell>
          <cell r="F230">
            <v>109606.49528443086</v>
          </cell>
          <cell r="G230">
            <v>-31201</v>
          </cell>
          <cell r="H230">
            <v>-39224.326433791968</v>
          </cell>
          <cell r="I230">
            <v>-1623.1766362108103</v>
          </cell>
          <cell r="J230">
            <v>118622.32592236878</v>
          </cell>
          <cell r="K230">
            <v>0</v>
          </cell>
          <cell r="L230">
            <v>-6232.6139272828141</v>
          </cell>
          <cell r="M230">
            <v>1118.4872306120399</v>
          </cell>
          <cell r="N230">
            <v>42.164016216122718</v>
          </cell>
          <cell r="O230">
            <v>-19.028159539824468</v>
          </cell>
          <cell r="P230">
            <v>0</v>
          </cell>
          <cell r="Q230">
            <v>0</v>
          </cell>
          <cell r="R230">
            <v>0</v>
          </cell>
          <cell r="S230">
            <v>291660.40786905837</v>
          </cell>
          <cell r="T230">
            <v>0</v>
          </cell>
          <cell r="U230">
            <v>593111.62961184396</v>
          </cell>
          <cell r="V230">
            <v>4473.9489224481595</v>
          </cell>
          <cell r="W230">
            <v>0</v>
          </cell>
          <cell r="X230">
            <v>597585.57853429217</v>
          </cell>
          <cell r="Y230">
            <v>156007.63</v>
          </cell>
          <cell r="Z230">
            <v>0</v>
          </cell>
          <cell r="AA230">
            <v>0</v>
          </cell>
          <cell r="AB230">
            <v>8115.8831810540505</v>
          </cell>
          <cell r="AC230">
            <v>164123.51318105406</v>
          </cell>
          <cell r="AD230" t="str">
            <v>N/A</v>
          </cell>
          <cell r="AE230">
            <v>86916</v>
          </cell>
          <cell r="AF230">
            <v>86917</v>
          </cell>
          <cell r="AG230">
            <v>86917</v>
          </cell>
          <cell r="AH230">
            <v>86917</v>
          </cell>
          <cell r="AI230">
            <v>85798</v>
          </cell>
          <cell r="AJ230">
            <v>0</v>
          </cell>
          <cell r="AK230">
            <v>433465</v>
          </cell>
          <cell r="AL230">
            <v>2864028</v>
          </cell>
          <cell r="AM230">
            <v>291660.40786905837</v>
          </cell>
          <cell r="AN230">
            <v>-54759.369999999995</v>
          </cell>
          <cell r="AO230">
            <v>589469.69535323803</v>
          </cell>
          <cell r="AP230">
            <v>0</v>
          </cell>
          <cell r="AQ230">
            <v>-156007.63</v>
          </cell>
          <cell r="AR230">
            <v>0</v>
          </cell>
          <cell r="AS230">
            <v>0</v>
          </cell>
          <cell r="AT230">
            <v>3534391.1032222961</v>
          </cell>
          <cell r="AU230">
            <v>8.6384295463492395E-5</v>
          </cell>
          <cell r="AV230">
            <v>0</v>
          </cell>
          <cell r="AW230">
            <v>0</v>
          </cell>
          <cell r="AY230">
            <v>0</v>
          </cell>
          <cell r="AZ230">
            <v>0</v>
          </cell>
          <cell r="BA230">
            <v>0</v>
          </cell>
          <cell r="BB230">
            <v>0</v>
          </cell>
          <cell r="BC230">
            <v>0</v>
          </cell>
          <cell r="BD230">
            <v>0</v>
          </cell>
          <cell r="BE230">
            <v>0</v>
          </cell>
          <cell r="BF230">
            <v>0</v>
          </cell>
          <cell r="BG230">
            <v>0</v>
          </cell>
          <cell r="BH230">
            <v>0</v>
          </cell>
          <cell r="BJ230">
            <v>0</v>
          </cell>
          <cell r="BL230">
            <v>0</v>
          </cell>
          <cell r="BM230">
            <v>0</v>
          </cell>
          <cell r="BN230">
            <v>0</v>
          </cell>
          <cell r="BO230">
            <v>0</v>
          </cell>
          <cell r="BQ230">
            <v>0</v>
          </cell>
          <cell r="BR230">
            <v>0</v>
          </cell>
          <cell r="BS230">
            <v>0</v>
          </cell>
          <cell r="BT230">
            <v>0</v>
          </cell>
          <cell r="CB230">
            <v>0</v>
          </cell>
          <cell r="CC230">
            <v>0</v>
          </cell>
          <cell r="CD230">
            <v>0</v>
          </cell>
          <cell r="CE230">
            <v>0</v>
          </cell>
          <cell r="CF230">
            <v>0</v>
          </cell>
          <cell r="CI230">
            <v>0</v>
          </cell>
          <cell r="CJ230">
            <v>0</v>
          </cell>
          <cell r="CK230">
            <v>0</v>
          </cell>
          <cell r="CV230">
            <v>8.1244009819497317E-5</v>
          </cell>
          <cell r="DG230">
            <v>3534391</v>
          </cell>
          <cell r="DR230">
            <v>1024131.2600000001</v>
          </cell>
          <cell r="EC230">
            <v>3.4511113350841369</v>
          </cell>
          <cell r="EN230">
            <v>2.4095909012463064E-2</v>
          </cell>
        </row>
        <row r="231">
          <cell r="B231">
            <v>36810</v>
          </cell>
          <cell r="C231" t="str">
            <v>Chapel Hill - Carboro City Schools</v>
          </cell>
          <cell r="D231">
            <v>5.9267746782739779E-3</v>
          </cell>
          <cell r="E231">
            <v>10254702.133538941</v>
          </cell>
          <cell r="F231">
            <v>7995826.4279346755</v>
          </cell>
          <cell r="G231">
            <v>1004407</v>
          </cell>
          <cell r="H231">
            <v>-2861426.2786468319</v>
          </cell>
          <cell r="I231">
            <v>-118411.21834377335</v>
          </cell>
          <cell r="J231">
            <v>8653533.9542772975</v>
          </cell>
          <cell r="K231">
            <v>0</v>
          </cell>
          <cell r="L231">
            <v>-454671.03957260179</v>
          </cell>
          <cell r="M231">
            <v>81593.976110880743</v>
          </cell>
          <cell r="N231">
            <v>3075.877522530629</v>
          </cell>
          <cell r="O231">
            <v>-1388.1098973985484</v>
          </cell>
          <cell r="P231">
            <v>0</v>
          </cell>
          <cell r="Q231">
            <v>0</v>
          </cell>
          <cell r="R231">
            <v>0</v>
          </cell>
          <cell r="S231">
            <v>24557242.722923722</v>
          </cell>
          <cell r="T231">
            <v>5338032</v>
          </cell>
          <cell r="U231">
            <v>43267669.771386489</v>
          </cell>
          <cell r="V231">
            <v>326375.90444352297</v>
          </cell>
          <cell r="W231">
            <v>0</v>
          </cell>
          <cell r="X231">
            <v>48932077.675830014</v>
          </cell>
          <cell r="Y231">
            <v>315995.75999999978</v>
          </cell>
          <cell r="Z231">
            <v>0</v>
          </cell>
          <cell r="AA231">
            <v>0</v>
          </cell>
          <cell r="AB231">
            <v>592056.09171886672</v>
          </cell>
          <cell r="AC231">
            <v>908051.8517188665</v>
          </cell>
          <cell r="AD231" t="str">
            <v>N/A</v>
          </cell>
          <cell r="AE231">
            <v>9621124</v>
          </cell>
          <cell r="AF231">
            <v>9621125</v>
          </cell>
          <cell r="AG231">
            <v>9621125</v>
          </cell>
          <cell r="AH231">
            <v>9621125</v>
          </cell>
          <cell r="AI231">
            <v>9539531</v>
          </cell>
          <cell r="AJ231">
            <v>0</v>
          </cell>
          <cell r="AK231">
            <v>48024030</v>
          </cell>
          <cell r="AL231">
            <v>190093572</v>
          </cell>
          <cell r="AM231">
            <v>24557242.722923722</v>
          </cell>
          <cell r="AN231">
            <v>-4839997.24</v>
          </cell>
          <cell r="AO231">
            <v>43001989.584111147</v>
          </cell>
          <cell r="AP231">
            <v>0</v>
          </cell>
          <cell r="AQ231">
            <v>5022036.24</v>
          </cell>
          <cell r="AR231">
            <v>0</v>
          </cell>
          <cell r="AS231">
            <v>0</v>
          </cell>
          <cell r="AT231">
            <v>257834843.30703488</v>
          </cell>
          <cell r="AU231">
            <v>5.7335689430849501E-3</v>
          </cell>
          <cell r="AV231">
            <v>0</v>
          </cell>
          <cell r="AW231">
            <v>0</v>
          </cell>
          <cell r="AY231">
            <v>0</v>
          </cell>
          <cell r="AZ231">
            <v>0</v>
          </cell>
          <cell r="BA231">
            <v>0</v>
          </cell>
          <cell r="BB231">
            <v>0</v>
          </cell>
          <cell r="BC231">
            <v>0</v>
          </cell>
          <cell r="BD231">
            <v>0</v>
          </cell>
          <cell r="BE231">
            <v>0</v>
          </cell>
          <cell r="BF231">
            <v>0</v>
          </cell>
          <cell r="BG231">
            <v>0</v>
          </cell>
          <cell r="BH231">
            <v>0</v>
          </cell>
          <cell r="BJ231">
            <v>0</v>
          </cell>
          <cell r="BL231">
            <v>0</v>
          </cell>
          <cell r="BM231">
            <v>0</v>
          </cell>
          <cell r="BN231">
            <v>0</v>
          </cell>
          <cell r="BO231">
            <v>0</v>
          </cell>
          <cell r="BQ231">
            <v>0</v>
          </cell>
          <cell r="BR231">
            <v>0</v>
          </cell>
          <cell r="BS231">
            <v>0</v>
          </cell>
          <cell r="BT231">
            <v>0</v>
          </cell>
          <cell r="CB231">
            <v>0</v>
          </cell>
          <cell r="CC231">
            <v>0</v>
          </cell>
          <cell r="CD231">
            <v>0</v>
          </cell>
          <cell r="CE231">
            <v>0</v>
          </cell>
          <cell r="CF231">
            <v>0</v>
          </cell>
          <cell r="CI231">
            <v>0</v>
          </cell>
          <cell r="CJ231">
            <v>0</v>
          </cell>
          <cell r="CK231">
            <v>0</v>
          </cell>
          <cell r="CV231">
            <v>5.9267746782739779E-3</v>
          </cell>
          <cell r="DG231">
            <v>257834844</v>
          </cell>
          <cell r="DR231">
            <v>85427898.969999939</v>
          </cell>
          <cell r="EC231">
            <v>3.018157383111399</v>
          </cell>
          <cell r="EN231">
            <v>2.4095909012463064E-2</v>
          </cell>
        </row>
        <row r="232">
          <cell r="B232">
            <v>36900</v>
          </cell>
          <cell r="C232" t="str">
            <v>Pamlico County Schools</v>
          </cell>
          <cell r="D232">
            <v>5.6583106420348881E-4</v>
          </cell>
          <cell r="E232">
            <v>979019.67533544486</v>
          </cell>
          <cell r="F232">
            <v>763364.09303520899</v>
          </cell>
          <cell r="G232">
            <v>121593</v>
          </cell>
          <cell r="H232">
            <v>-273181.27721671417</v>
          </cell>
          <cell r="I232">
            <v>-11304.756689113952</v>
          </cell>
          <cell r="J232">
            <v>826155.6398320361</v>
          </cell>
          <cell r="K232">
            <v>0</v>
          </cell>
          <cell r="L232">
            <v>-43407.58880659764</v>
          </cell>
          <cell r="M232">
            <v>7789.8028593283843</v>
          </cell>
          <cell r="N232">
            <v>293.65500570032663</v>
          </cell>
          <cell r="O232">
            <v>-132.52329354709912</v>
          </cell>
          <cell r="P232">
            <v>0</v>
          </cell>
          <cell r="Q232">
            <v>0</v>
          </cell>
          <cell r="R232">
            <v>0</v>
          </cell>
          <cell r="S232">
            <v>2370189.720061746</v>
          </cell>
          <cell r="T232">
            <v>607962.10000000009</v>
          </cell>
          <cell r="U232">
            <v>4130778.1991601801</v>
          </cell>
          <cell r="V232">
            <v>31159.211437313537</v>
          </cell>
          <cell r="W232">
            <v>0</v>
          </cell>
          <cell r="X232">
            <v>4769899.5105974944</v>
          </cell>
          <cell r="Y232">
            <v>0</v>
          </cell>
          <cell r="Z232">
            <v>0</v>
          </cell>
          <cell r="AA232">
            <v>0</v>
          </cell>
          <cell r="AB232">
            <v>56523.783445569759</v>
          </cell>
          <cell r="AC232">
            <v>56523.783445569759</v>
          </cell>
          <cell r="AD232" t="str">
            <v>N/A</v>
          </cell>
          <cell r="AE232">
            <v>944234</v>
          </cell>
          <cell r="AF232">
            <v>944234</v>
          </cell>
          <cell r="AG232">
            <v>944234</v>
          </cell>
          <cell r="AH232">
            <v>944234</v>
          </cell>
          <cell r="AI232">
            <v>936444</v>
          </cell>
          <cell r="AJ232">
            <v>0</v>
          </cell>
          <cell r="AK232">
            <v>4713380</v>
          </cell>
          <cell r="AL232">
            <v>18039016</v>
          </cell>
          <cell r="AM232">
            <v>2370189.720061746</v>
          </cell>
          <cell r="AN232">
            <v>-507007.10000000003</v>
          </cell>
          <cell r="AO232">
            <v>4105413.6271519242</v>
          </cell>
          <cell r="AP232">
            <v>0</v>
          </cell>
          <cell r="AQ232">
            <v>607962.10000000009</v>
          </cell>
          <cell r="AR232">
            <v>0</v>
          </cell>
          <cell r="AS232">
            <v>0</v>
          </cell>
          <cell r="AT232">
            <v>24615574.347213671</v>
          </cell>
          <cell r="AU232">
            <v>5.4408963391395701E-4</v>
          </cell>
          <cell r="AV232">
            <v>0</v>
          </cell>
          <cell r="AW232">
            <v>0</v>
          </cell>
          <cell r="AY232">
            <v>0</v>
          </cell>
          <cell r="AZ232">
            <v>0</v>
          </cell>
          <cell r="BA232">
            <v>0</v>
          </cell>
          <cell r="BB232">
            <v>0</v>
          </cell>
          <cell r="BC232">
            <v>0</v>
          </cell>
          <cell r="BD232">
            <v>0</v>
          </cell>
          <cell r="BE232">
            <v>0</v>
          </cell>
          <cell r="BF232">
            <v>0</v>
          </cell>
          <cell r="BG232">
            <v>0</v>
          </cell>
          <cell r="BH232">
            <v>0</v>
          </cell>
          <cell r="BJ232">
            <v>0</v>
          </cell>
          <cell r="BL232">
            <v>0</v>
          </cell>
          <cell r="BM232">
            <v>0</v>
          </cell>
          <cell r="BN232">
            <v>0</v>
          </cell>
          <cell r="BO232">
            <v>0</v>
          </cell>
          <cell r="BQ232">
            <v>0</v>
          </cell>
          <cell r="BR232">
            <v>0</v>
          </cell>
          <cell r="BS232">
            <v>0</v>
          </cell>
          <cell r="BT232">
            <v>0</v>
          </cell>
          <cell r="CB232">
            <v>0</v>
          </cell>
          <cell r="CC232">
            <v>0</v>
          </cell>
          <cell r="CD232">
            <v>0</v>
          </cell>
          <cell r="CE232">
            <v>0</v>
          </cell>
          <cell r="CF232">
            <v>0</v>
          </cell>
          <cell r="CI232">
            <v>0</v>
          </cell>
          <cell r="CJ232">
            <v>0</v>
          </cell>
          <cell r="CK232">
            <v>0</v>
          </cell>
          <cell r="CV232">
            <v>5.6583106420348881E-4</v>
          </cell>
          <cell r="DG232">
            <v>24615575</v>
          </cell>
          <cell r="DR232">
            <v>8727933.4099999983</v>
          </cell>
          <cell r="EC232">
            <v>2.8203211279999905</v>
          </cell>
          <cell r="EN232">
            <v>2.4095909012463064E-2</v>
          </cell>
        </row>
        <row r="233">
          <cell r="B233">
            <v>36901</v>
          </cell>
          <cell r="C233" t="str">
            <v>Arapahoe Charter School</v>
          </cell>
          <cell r="D233">
            <v>1.8517054549559798E-4</v>
          </cell>
          <cell r="E233">
            <v>320388.21973830718</v>
          </cell>
          <cell r="F233">
            <v>249814.04249705121</v>
          </cell>
          <cell r="G233">
            <v>37389</v>
          </cell>
          <cell r="H233">
            <v>-89399.697757158312</v>
          </cell>
          <cell r="I233">
            <v>-3699.5281723617568</v>
          </cell>
          <cell r="J233">
            <v>270362.83472225041</v>
          </cell>
          <cell r="K233">
            <v>0</v>
          </cell>
          <cell r="L233">
            <v>-14205.312161998367</v>
          </cell>
          <cell r="M233">
            <v>2549.2450592042132</v>
          </cell>
          <cell r="N233">
            <v>96.099809701305446</v>
          </cell>
          <cell r="O233">
            <v>-43.368793460524003</v>
          </cell>
          <cell r="P233">
            <v>0</v>
          </cell>
          <cell r="Q233">
            <v>0</v>
          </cell>
          <cell r="R233">
            <v>0</v>
          </cell>
          <cell r="S233">
            <v>773251.53494153533</v>
          </cell>
          <cell r="T233">
            <v>186944.29</v>
          </cell>
          <cell r="U233">
            <v>1351814.1736112519</v>
          </cell>
          <cell r="V233">
            <v>10196.980236816853</v>
          </cell>
          <cell r="W233">
            <v>0</v>
          </cell>
          <cell r="X233">
            <v>1548955.4438480688</v>
          </cell>
          <cell r="Y233">
            <v>0</v>
          </cell>
          <cell r="Z233">
            <v>0</v>
          </cell>
          <cell r="AA233">
            <v>0</v>
          </cell>
          <cell r="AB233">
            <v>18497.640861808784</v>
          </cell>
          <cell r="AC233">
            <v>18497.640861808784</v>
          </cell>
          <cell r="AD233" t="str">
            <v>N/A</v>
          </cell>
          <cell r="AE233">
            <v>306602</v>
          </cell>
          <cell r="AF233">
            <v>306602</v>
          </cell>
          <cell r="AG233">
            <v>306602</v>
          </cell>
          <cell r="AH233">
            <v>306602</v>
          </cell>
          <cell r="AI233">
            <v>304052</v>
          </cell>
          <cell r="AJ233">
            <v>0</v>
          </cell>
          <cell r="AK233">
            <v>1530460</v>
          </cell>
          <cell r="AL233">
            <v>5918622</v>
          </cell>
          <cell r="AM233">
            <v>773251.53494153533</v>
          </cell>
          <cell r="AN233">
            <v>-166782.29</v>
          </cell>
          <cell r="AO233">
            <v>1343513.51298626</v>
          </cell>
          <cell r="AP233">
            <v>0</v>
          </cell>
          <cell r="AQ233">
            <v>186944.29</v>
          </cell>
          <cell r="AR233">
            <v>0</v>
          </cell>
          <cell r="AS233">
            <v>0</v>
          </cell>
          <cell r="AT233">
            <v>8055549.0479277959</v>
          </cell>
          <cell r="AU233">
            <v>1.7851645264140253E-4</v>
          </cell>
          <cell r="AV233">
            <v>0</v>
          </cell>
          <cell r="AW233">
            <v>0</v>
          </cell>
          <cell r="AY233">
            <v>0</v>
          </cell>
          <cell r="AZ233">
            <v>0</v>
          </cell>
          <cell r="BA233">
            <v>0</v>
          </cell>
          <cell r="BB233">
            <v>0</v>
          </cell>
          <cell r="BC233">
            <v>0</v>
          </cell>
          <cell r="BD233">
            <v>0</v>
          </cell>
          <cell r="BE233">
            <v>0</v>
          </cell>
          <cell r="BF233">
            <v>0</v>
          </cell>
          <cell r="BG233">
            <v>0</v>
          </cell>
          <cell r="BH233">
            <v>0</v>
          </cell>
          <cell r="BJ233">
            <v>0</v>
          </cell>
          <cell r="BL233">
            <v>0</v>
          </cell>
          <cell r="BM233">
            <v>0</v>
          </cell>
          <cell r="BN233">
            <v>0</v>
          </cell>
          <cell r="BO233">
            <v>0</v>
          </cell>
          <cell r="BQ233">
            <v>0</v>
          </cell>
          <cell r="BR233">
            <v>0</v>
          </cell>
          <cell r="BS233">
            <v>0</v>
          </cell>
          <cell r="BT233">
            <v>0</v>
          </cell>
          <cell r="CB233">
            <v>0</v>
          </cell>
          <cell r="CC233">
            <v>0</v>
          </cell>
          <cell r="CD233">
            <v>0</v>
          </cell>
          <cell r="CE233">
            <v>0</v>
          </cell>
          <cell r="CF233">
            <v>0</v>
          </cell>
          <cell r="CI233">
            <v>0</v>
          </cell>
          <cell r="CJ233">
            <v>0</v>
          </cell>
          <cell r="CK233">
            <v>0</v>
          </cell>
          <cell r="CV233">
            <v>1.8517054549559798E-4</v>
          </cell>
          <cell r="DG233">
            <v>8055548</v>
          </cell>
          <cell r="DR233">
            <v>2816867.1299999994</v>
          </cell>
          <cell r="EC233">
            <v>2.8597543399215999</v>
          </cell>
          <cell r="EN233">
            <v>2.4095909012463064E-2</v>
          </cell>
        </row>
        <row r="234">
          <cell r="B234">
            <v>36905</v>
          </cell>
          <cell r="C234" t="str">
            <v>Pamlico Community College</v>
          </cell>
          <cell r="D234">
            <v>1.694935486756108E-4</v>
          </cell>
          <cell r="E234">
            <v>293263.35985005781</v>
          </cell>
          <cell r="F234">
            <v>228664.16717896226</v>
          </cell>
          <cell r="G234">
            <v>-142563</v>
          </cell>
          <cell r="H234">
            <v>-81830.898012600112</v>
          </cell>
          <cell r="I234">
            <v>-3386.3169581357502</v>
          </cell>
          <cell r="J234">
            <v>247473.24778044273</v>
          </cell>
          <cell r="K234">
            <v>0</v>
          </cell>
          <cell r="L234">
            <v>-13002.655265381578</v>
          </cell>
          <cell r="M234">
            <v>2333.4196611661514</v>
          </cell>
          <cell r="N234">
            <v>87.963761891668497</v>
          </cell>
          <cell r="O234">
            <v>-39.697084035314809</v>
          </cell>
          <cell r="P234">
            <v>0</v>
          </cell>
          <cell r="Q234">
            <v>0</v>
          </cell>
          <cell r="R234">
            <v>0</v>
          </cell>
          <cell r="S234">
            <v>530999.59091236803</v>
          </cell>
          <cell r="T234">
            <v>28381.440000000002</v>
          </cell>
          <cell r="U234">
            <v>1237366.2389022138</v>
          </cell>
          <cell r="V234">
            <v>9333.6786446646056</v>
          </cell>
          <cell r="W234">
            <v>0</v>
          </cell>
          <cell r="X234">
            <v>1275081.3575468783</v>
          </cell>
          <cell r="Y234">
            <v>741196</v>
          </cell>
          <cell r="Z234">
            <v>0</v>
          </cell>
          <cell r="AA234">
            <v>0</v>
          </cell>
          <cell r="AB234">
            <v>16931.584790678749</v>
          </cell>
          <cell r="AC234">
            <v>758127.58479067869</v>
          </cell>
          <cell r="AD234" t="str">
            <v>N/A</v>
          </cell>
          <cell r="AE234">
            <v>103857</v>
          </cell>
          <cell r="AF234">
            <v>103857</v>
          </cell>
          <cell r="AG234">
            <v>103857</v>
          </cell>
          <cell r="AH234">
            <v>103857</v>
          </cell>
          <cell r="AI234">
            <v>101524</v>
          </cell>
          <cell r="AJ234">
            <v>0</v>
          </cell>
          <cell r="AK234">
            <v>516952</v>
          </cell>
          <cell r="AL234">
            <v>6508908</v>
          </cell>
          <cell r="AM234">
            <v>530999.59091236803</v>
          </cell>
          <cell r="AN234">
            <v>-183315.44</v>
          </cell>
          <cell r="AO234">
            <v>1229768.3327561996</v>
          </cell>
          <cell r="AP234">
            <v>0</v>
          </cell>
          <cell r="AQ234">
            <v>-712814.56</v>
          </cell>
          <cell r="AR234">
            <v>0</v>
          </cell>
          <cell r="AS234">
            <v>0</v>
          </cell>
          <cell r="AT234">
            <v>7373545.9236685671</v>
          </cell>
          <cell r="AU234">
            <v>1.9632055372632428E-4</v>
          </cell>
          <cell r="AV234">
            <v>0</v>
          </cell>
          <cell r="AW234">
            <v>0</v>
          </cell>
          <cell r="AY234">
            <v>0</v>
          </cell>
          <cell r="AZ234">
            <v>0</v>
          </cell>
          <cell r="BA234">
            <v>0</v>
          </cell>
          <cell r="BB234">
            <v>0</v>
          </cell>
          <cell r="BC234">
            <v>0</v>
          </cell>
          <cell r="BD234">
            <v>0</v>
          </cell>
          <cell r="BE234">
            <v>0</v>
          </cell>
          <cell r="BF234">
            <v>0</v>
          </cell>
          <cell r="BG234">
            <v>0</v>
          </cell>
          <cell r="BH234">
            <v>0</v>
          </cell>
          <cell r="BJ234">
            <v>0</v>
          </cell>
          <cell r="BL234">
            <v>0</v>
          </cell>
          <cell r="BM234">
            <v>0</v>
          </cell>
          <cell r="BN234">
            <v>0</v>
          </cell>
          <cell r="BO234">
            <v>0</v>
          </cell>
          <cell r="BQ234">
            <v>0</v>
          </cell>
          <cell r="BR234">
            <v>0</v>
          </cell>
          <cell r="BS234">
            <v>0</v>
          </cell>
          <cell r="BT234">
            <v>0</v>
          </cell>
          <cell r="CB234">
            <v>0</v>
          </cell>
          <cell r="CC234">
            <v>0</v>
          </cell>
          <cell r="CD234">
            <v>0</v>
          </cell>
          <cell r="CE234">
            <v>0</v>
          </cell>
          <cell r="CF234">
            <v>0</v>
          </cell>
          <cell r="CI234">
            <v>0</v>
          </cell>
          <cell r="CJ234">
            <v>0</v>
          </cell>
          <cell r="CK234">
            <v>0</v>
          </cell>
          <cell r="CV234">
            <v>1.694935486756108E-4</v>
          </cell>
          <cell r="DG234">
            <v>7373545</v>
          </cell>
          <cell r="DR234">
            <v>3036657.6600000006</v>
          </cell>
          <cell r="EC234">
            <v>2.4281778934540807</v>
          </cell>
          <cell r="EN234">
            <v>2.4095909012463064E-2</v>
          </cell>
        </row>
        <row r="235">
          <cell r="B235">
            <v>37000</v>
          </cell>
          <cell r="C235" t="str">
            <v>Elizabeth City And Pasquotank County Schools</v>
          </cell>
          <cell r="D235">
            <v>1.9540507202358863E-3</v>
          </cell>
          <cell r="E235">
            <v>3380963.37006047</v>
          </cell>
          <cell r="F235">
            <v>2636214.6763671217</v>
          </cell>
          <cell r="G235">
            <v>535482</v>
          </cell>
          <cell r="H235">
            <v>-943408.91702670197</v>
          </cell>
          <cell r="I235">
            <v>-39040.041008618718</v>
          </cell>
          <cell r="J235">
            <v>2853060.0830713031</v>
          </cell>
          <cell r="K235">
            <v>0</v>
          </cell>
          <cell r="L235">
            <v>-149904.51309108653</v>
          </cell>
          <cell r="M235">
            <v>26901.439052649916</v>
          </cell>
          <cell r="N235">
            <v>1014.1132427880202</v>
          </cell>
          <cell r="O235">
            <v>-457.6582191864469</v>
          </cell>
          <cell r="P235">
            <v>0</v>
          </cell>
          <cell r="Q235">
            <v>0</v>
          </cell>
          <cell r="R235">
            <v>0</v>
          </cell>
          <cell r="S235">
            <v>8300824.5524487384</v>
          </cell>
          <cell r="T235">
            <v>2677408.52</v>
          </cell>
          <cell r="U235">
            <v>14265300.415356515</v>
          </cell>
          <cell r="V235">
            <v>107605.75621059966</v>
          </cell>
          <cell r="W235">
            <v>0</v>
          </cell>
          <cell r="X235">
            <v>17050314.691567115</v>
          </cell>
          <cell r="Y235">
            <v>0</v>
          </cell>
          <cell r="Z235">
            <v>0</v>
          </cell>
          <cell r="AA235">
            <v>0</v>
          </cell>
          <cell r="AB235">
            <v>195200.20504309356</v>
          </cell>
          <cell r="AC235">
            <v>195200.20504309356</v>
          </cell>
          <cell r="AD235" t="str">
            <v>N/A</v>
          </cell>
          <cell r="AE235">
            <v>3376403</v>
          </cell>
          <cell r="AF235">
            <v>3376403</v>
          </cell>
          <cell r="AG235">
            <v>3376403</v>
          </cell>
          <cell r="AH235">
            <v>3376403</v>
          </cell>
          <cell r="AI235">
            <v>3349502</v>
          </cell>
          <cell r="AJ235">
            <v>0</v>
          </cell>
          <cell r="AK235">
            <v>16855114</v>
          </cell>
          <cell r="AL235">
            <v>61585438</v>
          </cell>
          <cell r="AM235">
            <v>8300824.5524487384</v>
          </cell>
          <cell r="AN235">
            <v>-1733528.52</v>
          </cell>
          <cell r="AO235">
            <v>14177705.966524022</v>
          </cell>
          <cell r="AP235">
            <v>0</v>
          </cell>
          <cell r="AQ235">
            <v>2677408.52</v>
          </cell>
          <cell r="AR235">
            <v>0</v>
          </cell>
          <cell r="AS235">
            <v>0</v>
          </cell>
          <cell r="AT235">
            <v>85007848.518972754</v>
          </cell>
          <cell r="AU235">
            <v>1.8575291550537419E-3</v>
          </cell>
          <cell r="AV235">
            <v>0</v>
          </cell>
          <cell r="AW235">
            <v>0</v>
          </cell>
          <cell r="AY235">
            <v>0</v>
          </cell>
          <cell r="AZ235">
            <v>0</v>
          </cell>
          <cell r="BA235">
            <v>0</v>
          </cell>
          <cell r="BB235">
            <v>0</v>
          </cell>
          <cell r="BC235">
            <v>0</v>
          </cell>
          <cell r="BD235">
            <v>0</v>
          </cell>
          <cell r="BE235">
            <v>0</v>
          </cell>
          <cell r="BF235">
            <v>0</v>
          </cell>
          <cell r="BG235">
            <v>0</v>
          </cell>
          <cell r="BH235">
            <v>0</v>
          </cell>
          <cell r="BJ235">
            <v>0</v>
          </cell>
          <cell r="BL235">
            <v>0</v>
          </cell>
          <cell r="BM235">
            <v>0</v>
          </cell>
          <cell r="BN235">
            <v>0</v>
          </cell>
          <cell r="BO235">
            <v>0</v>
          </cell>
          <cell r="BQ235">
            <v>0</v>
          </cell>
          <cell r="BR235">
            <v>0</v>
          </cell>
          <cell r="BS235">
            <v>0</v>
          </cell>
          <cell r="BT235">
            <v>0</v>
          </cell>
          <cell r="CB235">
            <v>0</v>
          </cell>
          <cell r="CC235">
            <v>0</v>
          </cell>
          <cell r="CD235">
            <v>0</v>
          </cell>
          <cell r="CE235">
            <v>0</v>
          </cell>
          <cell r="CF235">
            <v>0</v>
          </cell>
          <cell r="CI235">
            <v>0</v>
          </cell>
          <cell r="CJ235">
            <v>0</v>
          </cell>
          <cell r="CK235">
            <v>0</v>
          </cell>
          <cell r="CV235">
            <v>1.9540507202358863E-3</v>
          </cell>
          <cell r="DG235">
            <v>85007848</v>
          </cell>
          <cell r="DR235">
            <v>29918337.110000029</v>
          </cell>
          <cell r="EC235">
            <v>2.8413293054173998</v>
          </cell>
          <cell r="EN235">
            <v>2.4095909012463064E-2</v>
          </cell>
        </row>
        <row r="236">
          <cell r="B236">
            <v>37001</v>
          </cell>
          <cell r="C236" t="str">
            <v>N.E. ACADEMY OF AEROSPACE &amp; ADV.TECH</v>
          </cell>
          <cell r="D236">
            <v>3.1564032534837588E-5</v>
          </cell>
          <cell r="E236">
            <v>54613.136039171142</v>
          </cell>
          <cell r="F236">
            <v>42583.114630526783</v>
          </cell>
          <cell r="G236">
            <v>174684</v>
          </cell>
          <cell r="H236">
            <v>-15239.005539780484</v>
          </cell>
          <cell r="I236">
            <v>-630.61880216122563</v>
          </cell>
          <cell r="J236">
            <v>46085.846366893697</v>
          </cell>
          <cell r="K236">
            <v>0</v>
          </cell>
          <cell r="L236">
            <v>-2421.4268746078715</v>
          </cell>
          <cell r="M236">
            <v>434.54240399107442</v>
          </cell>
          <cell r="N236">
            <v>16.381101604930013</v>
          </cell>
          <cell r="O236">
            <v>-7.3926120599843115</v>
          </cell>
          <cell r="P236">
            <v>0</v>
          </cell>
          <cell r="Q236">
            <v>0</v>
          </cell>
          <cell r="R236">
            <v>0</v>
          </cell>
          <cell r="S236">
            <v>300118.57671357814</v>
          </cell>
          <cell r="T236">
            <v>873420.79</v>
          </cell>
          <cell r="U236">
            <v>230429.23183446849</v>
          </cell>
          <cell r="V236">
            <v>1738.1696159642977</v>
          </cell>
          <cell r="W236">
            <v>0</v>
          </cell>
          <cell r="X236">
            <v>1105588.1914504329</v>
          </cell>
          <cell r="Y236">
            <v>0</v>
          </cell>
          <cell r="Z236">
            <v>0</v>
          </cell>
          <cell r="AA236">
            <v>0</v>
          </cell>
          <cell r="AB236">
            <v>3153.0940108061282</v>
          </cell>
          <cell r="AC236">
            <v>3153.0940108061282</v>
          </cell>
          <cell r="AD236" t="str">
            <v>N/A</v>
          </cell>
          <cell r="AE236">
            <v>220574</v>
          </cell>
          <cell r="AF236">
            <v>220574</v>
          </cell>
          <cell r="AG236">
            <v>220574</v>
          </cell>
          <cell r="AH236">
            <v>220574</v>
          </cell>
          <cell r="AI236">
            <v>220139</v>
          </cell>
          <cell r="AJ236">
            <v>0</v>
          </cell>
          <cell r="AK236">
            <v>1102435</v>
          </cell>
          <cell r="AL236">
            <v>0</v>
          </cell>
          <cell r="AM236">
            <v>300118.57671357814</v>
          </cell>
          <cell r="AN236">
            <v>-29411.79</v>
          </cell>
          <cell r="AO236">
            <v>229014.30743962669</v>
          </cell>
          <cell r="AP236">
            <v>0</v>
          </cell>
          <cell r="AQ236">
            <v>873420.79</v>
          </cell>
          <cell r="AR236">
            <v>0</v>
          </cell>
          <cell r="AS236">
            <v>0</v>
          </cell>
          <cell r="AT236">
            <v>1373141.884153205</v>
          </cell>
          <cell r="AU236">
            <v>0</v>
          </cell>
          <cell r="AV236">
            <v>0</v>
          </cell>
          <cell r="AW236">
            <v>0</v>
          </cell>
          <cell r="AY236">
            <v>0</v>
          </cell>
          <cell r="AZ236">
            <v>0</v>
          </cell>
          <cell r="BA236">
            <v>0</v>
          </cell>
          <cell r="BB236">
            <v>0</v>
          </cell>
          <cell r="BC236">
            <v>0</v>
          </cell>
          <cell r="BD236">
            <v>0</v>
          </cell>
          <cell r="BE236">
            <v>0</v>
          </cell>
          <cell r="BF236">
            <v>0</v>
          </cell>
          <cell r="BG236">
            <v>0</v>
          </cell>
          <cell r="BH236">
            <v>0</v>
          </cell>
          <cell r="BJ236">
            <v>0</v>
          </cell>
          <cell r="BL236">
            <v>0</v>
          </cell>
          <cell r="BM236">
            <v>0</v>
          </cell>
          <cell r="BN236">
            <v>0</v>
          </cell>
          <cell r="BO236">
            <v>0</v>
          </cell>
          <cell r="BQ236">
            <v>0</v>
          </cell>
          <cell r="BR236">
            <v>0</v>
          </cell>
          <cell r="BS236">
            <v>0</v>
          </cell>
          <cell r="BT236">
            <v>0</v>
          </cell>
          <cell r="CB236">
            <v>0</v>
          </cell>
          <cell r="CC236">
            <v>0</v>
          </cell>
          <cell r="CD236">
            <v>0</v>
          </cell>
          <cell r="CE236">
            <v>0</v>
          </cell>
          <cell r="CF236">
            <v>0</v>
          </cell>
          <cell r="CI236">
            <v>0</v>
          </cell>
          <cell r="CJ236">
            <v>0</v>
          </cell>
          <cell r="CK236">
            <v>0</v>
          </cell>
          <cell r="CV236">
            <v>3.1564032534837588E-5</v>
          </cell>
          <cell r="DG236">
            <v>1373143</v>
          </cell>
          <cell r="DR236">
            <v>343321.99000000005</v>
          </cell>
          <cell r="EC236">
            <v>3.9995777724578603</v>
          </cell>
          <cell r="EN236">
            <v>2.4095909012463064E-2</v>
          </cell>
        </row>
        <row r="237">
          <cell r="B237">
            <v>37005</v>
          </cell>
          <cell r="C237" t="str">
            <v>College Of The Albemarle</v>
          </cell>
          <cell r="D237">
            <v>4.596533387831449E-4</v>
          </cell>
          <cell r="E237">
            <v>795307.4530041914</v>
          </cell>
          <cell r="F237">
            <v>620119.46015147329</v>
          </cell>
          <cell r="G237">
            <v>-141828</v>
          </cell>
          <cell r="H237">
            <v>-221919.03928510455</v>
          </cell>
          <cell r="I237">
            <v>-9183.4285620161609</v>
          </cell>
          <cell r="J237">
            <v>671128.22576802468</v>
          </cell>
          <cell r="K237">
            <v>0</v>
          </cell>
          <cell r="L237">
            <v>-35262.19111275766</v>
          </cell>
          <cell r="M237">
            <v>6328.0528752749651</v>
          </cell>
          <cell r="N237">
            <v>238.55088976167653</v>
          </cell>
          <cell r="O237">
            <v>-107.65540847640037</v>
          </cell>
          <cell r="P237">
            <v>0</v>
          </cell>
          <cell r="Q237">
            <v>0</v>
          </cell>
          <cell r="R237">
            <v>0</v>
          </cell>
          <cell r="S237">
            <v>1684821.4283203713</v>
          </cell>
          <cell r="T237">
            <v>48687.900000000023</v>
          </cell>
          <cell r="U237">
            <v>3355641.1288401233</v>
          </cell>
          <cell r="V237">
            <v>25312.21150109986</v>
          </cell>
          <cell r="W237">
            <v>0</v>
          </cell>
          <cell r="X237">
            <v>3429641.2403412228</v>
          </cell>
          <cell r="Y237">
            <v>757829</v>
          </cell>
          <cell r="Z237">
            <v>0</v>
          </cell>
          <cell r="AA237">
            <v>0</v>
          </cell>
          <cell r="AB237">
            <v>45917.142810080804</v>
          </cell>
          <cell r="AC237">
            <v>803746.14281008078</v>
          </cell>
          <cell r="AD237" t="str">
            <v>N/A</v>
          </cell>
          <cell r="AE237">
            <v>526445</v>
          </cell>
          <cell r="AF237">
            <v>526444</v>
          </cell>
          <cell r="AG237">
            <v>526444</v>
          </cell>
          <cell r="AH237">
            <v>526444</v>
          </cell>
          <cell r="AI237">
            <v>520116</v>
          </cell>
          <cell r="AJ237">
            <v>0</v>
          </cell>
          <cell r="AK237">
            <v>2625893</v>
          </cell>
          <cell r="AL237">
            <v>16148968</v>
          </cell>
          <cell r="AM237">
            <v>1684821.4283203713</v>
          </cell>
          <cell r="AN237">
            <v>-463201.9</v>
          </cell>
          <cell r="AO237">
            <v>3335036.1975311427</v>
          </cell>
          <cell r="AP237">
            <v>0</v>
          </cell>
          <cell r="AQ237">
            <v>-709141.1</v>
          </cell>
          <cell r="AR237">
            <v>0</v>
          </cell>
          <cell r="AS237">
            <v>0</v>
          </cell>
          <cell r="AT237">
            <v>19996482.625851512</v>
          </cell>
          <cell r="AU237">
            <v>4.8708232843368933E-4</v>
          </cell>
          <cell r="AV237">
            <v>0</v>
          </cell>
          <cell r="AW237">
            <v>0</v>
          </cell>
          <cell r="AY237">
            <v>0</v>
          </cell>
          <cell r="AZ237">
            <v>0</v>
          </cell>
          <cell r="BA237">
            <v>0</v>
          </cell>
          <cell r="BB237">
            <v>0</v>
          </cell>
          <cell r="BC237">
            <v>0</v>
          </cell>
          <cell r="BD237">
            <v>0</v>
          </cell>
          <cell r="BE237">
            <v>0</v>
          </cell>
          <cell r="BF237">
            <v>0</v>
          </cell>
          <cell r="BG237">
            <v>0</v>
          </cell>
          <cell r="BH237">
            <v>0</v>
          </cell>
          <cell r="BJ237">
            <v>0</v>
          </cell>
          <cell r="BL237">
            <v>0</v>
          </cell>
          <cell r="BM237">
            <v>0</v>
          </cell>
          <cell r="BN237">
            <v>0</v>
          </cell>
          <cell r="BO237">
            <v>0</v>
          </cell>
          <cell r="BQ237">
            <v>0</v>
          </cell>
          <cell r="BR237">
            <v>0</v>
          </cell>
          <cell r="BS237">
            <v>0</v>
          </cell>
          <cell r="BT237">
            <v>0</v>
          </cell>
          <cell r="CB237">
            <v>0</v>
          </cell>
          <cell r="CC237">
            <v>0</v>
          </cell>
          <cell r="CD237">
            <v>0</v>
          </cell>
          <cell r="CE237">
            <v>0</v>
          </cell>
          <cell r="CF237">
            <v>0</v>
          </cell>
          <cell r="CI237">
            <v>0</v>
          </cell>
          <cell r="CJ237">
            <v>0</v>
          </cell>
          <cell r="CK237">
            <v>0</v>
          </cell>
          <cell r="CV237">
            <v>4.596533387831449E-4</v>
          </cell>
          <cell r="DG237">
            <v>19996483</v>
          </cell>
          <cell r="DR237">
            <v>7770150.4700000007</v>
          </cell>
          <cell r="EC237">
            <v>2.5735000985122491</v>
          </cell>
          <cell r="EN237">
            <v>2.4095909012463064E-2</v>
          </cell>
        </row>
        <row r="238">
          <cell r="B238">
            <v>37100</v>
          </cell>
          <cell r="C238" t="str">
            <v>Pender County Schools</v>
          </cell>
          <cell r="D238">
            <v>2.754611115011029E-3</v>
          </cell>
          <cell r="E238">
            <v>4766119.5188881559</v>
          </cell>
          <cell r="F238">
            <v>3716252.6918438757</v>
          </cell>
          <cell r="G238">
            <v>515945</v>
          </cell>
          <cell r="H238">
            <v>-1329916.7017161979</v>
          </cell>
          <cell r="I238">
            <v>-55034.46240118354</v>
          </cell>
          <cell r="J238">
            <v>4021938.0874994793</v>
          </cell>
          <cell r="K238">
            <v>0</v>
          </cell>
          <cell r="L238">
            <v>-211319.30388233523</v>
          </cell>
          <cell r="M238">
            <v>37922.763343254344</v>
          </cell>
          <cell r="N238">
            <v>1429.5880764684239</v>
          </cell>
          <cell r="O238">
            <v>-645.15746924673306</v>
          </cell>
          <cell r="P238">
            <v>0</v>
          </cell>
          <cell r="Q238">
            <v>0</v>
          </cell>
          <cell r="R238">
            <v>0</v>
          </cell>
          <cell r="S238">
            <v>11462692.024182271</v>
          </cell>
          <cell r="T238">
            <v>2653879</v>
          </cell>
          <cell r="U238">
            <v>20109690.437497396</v>
          </cell>
          <cell r="V238">
            <v>151691.05337301738</v>
          </cell>
          <cell r="W238">
            <v>0</v>
          </cell>
          <cell r="X238">
            <v>22915260.490870412</v>
          </cell>
          <cell r="Y238">
            <v>74152.149999999907</v>
          </cell>
          <cell r="Z238">
            <v>0</v>
          </cell>
          <cell r="AA238">
            <v>0</v>
          </cell>
          <cell r="AB238">
            <v>275172.31200591772</v>
          </cell>
          <cell r="AC238">
            <v>349324.46200591762</v>
          </cell>
          <cell r="AD238" t="str">
            <v>N/A</v>
          </cell>
          <cell r="AE238">
            <v>4520772</v>
          </cell>
          <cell r="AF238">
            <v>4520771</v>
          </cell>
          <cell r="AG238">
            <v>4520771</v>
          </cell>
          <cell r="AH238">
            <v>4520771</v>
          </cell>
          <cell r="AI238">
            <v>4482849</v>
          </cell>
          <cell r="AJ238">
            <v>0</v>
          </cell>
          <cell r="AK238">
            <v>22565934</v>
          </cell>
          <cell r="AL238">
            <v>88143080</v>
          </cell>
          <cell r="AM238">
            <v>11462692.024182271</v>
          </cell>
          <cell r="AN238">
            <v>-2336761.85</v>
          </cell>
          <cell r="AO238">
            <v>19986209.178864498</v>
          </cell>
          <cell r="AP238">
            <v>0</v>
          </cell>
          <cell r="AQ238">
            <v>2579726.85</v>
          </cell>
          <cell r="AR238">
            <v>0</v>
          </cell>
          <cell r="AS238">
            <v>0</v>
          </cell>
          <cell r="AT238">
            <v>119834946.20304677</v>
          </cell>
          <cell r="AU238">
            <v>2.6585561174162693E-3</v>
          </cell>
          <cell r="AV238">
            <v>0</v>
          </cell>
          <cell r="AW238">
            <v>0</v>
          </cell>
          <cell r="AY238">
            <v>0</v>
          </cell>
          <cell r="AZ238">
            <v>0</v>
          </cell>
          <cell r="BA238">
            <v>0</v>
          </cell>
          <cell r="BB238">
            <v>0</v>
          </cell>
          <cell r="BC238">
            <v>0</v>
          </cell>
          <cell r="BD238">
            <v>0</v>
          </cell>
          <cell r="BE238">
            <v>0</v>
          </cell>
          <cell r="BF238">
            <v>0</v>
          </cell>
          <cell r="BG238">
            <v>0</v>
          </cell>
          <cell r="BH238">
            <v>0</v>
          </cell>
          <cell r="BJ238">
            <v>0</v>
          </cell>
          <cell r="BL238">
            <v>0</v>
          </cell>
          <cell r="BM238">
            <v>0</v>
          </cell>
          <cell r="BN238">
            <v>0</v>
          </cell>
          <cell r="BO238">
            <v>0</v>
          </cell>
          <cell r="BQ238">
            <v>0</v>
          </cell>
          <cell r="BR238">
            <v>0</v>
          </cell>
          <cell r="BS238">
            <v>0</v>
          </cell>
          <cell r="BT238">
            <v>0</v>
          </cell>
          <cell r="CB238">
            <v>0</v>
          </cell>
          <cell r="CC238">
            <v>0</v>
          </cell>
          <cell r="CD238">
            <v>0</v>
          </cell>
          <cell r="CE238">
            <v>0</v>
          </cell>
          <cell r="CF238">
            <v>0</v>
          </cell>
          <cell r="CI238">
            <v>0</v>
          </cell>
          <cell r="CJ238">
            <v>0</v>
          </cell>
          <cell r="CK238">
            <v>0</v>
          </cell>
          <cell r="CV238">
            <v>2.754611115011029E-3</v>
          </cell>
          <cell r="DG238">
            <v>119834946</v>
          </cell>
          <cell r="DR238">
            <v>39904202.460000046</v>
          </cell>
          <cell r="EC238">
            <v>3.0030658079214212</v>
          </cell>
          <cell r="EN238">
            <v>2.4095909012463064E-2</v>
          </cell>
        </row>
        <row r="239">
          <cell r="B239">
            <v>37200</v>
          </cell>
          <cell r="C239" t="str">
            <v>Perquimans County Schools</v>
          </cell>
          <cell r="D239">
            <v>6.2291965627409203E-4</v>
          </cell>
          <cell r="E239">
            <v>1077796.2509075131</v>
          </cell>
          <cell r="F239">
            <v>840382.454284037</v>
          </cell>
          <cell r="G239">
            <v>-13319</v>
          </cell>
          <cell r="H239">
            <v>-300743.45165884198</v>
          </cell>
          <cell r="I239">
            <v>-12445.331471784695</v>
          </cell>
          <cell r="J239">
            <v>909509.25064092898</v>
          </cell>
          <cell r="K239">
            <v>0</v>
          </cell>
          <cell r="L239">
            <v>-47787.125892700686</v>
          </cell>
          <cell r="M239">
            <v>8575.742172102995</v>
          </cell>
          <cell r="N239">
            <v>323.28284321312827</v>
          </cell>
          <cell r="O239">
            <v>-145.8940126959551</v>
          </cell>
          <cell r="P239">
            <v>0</v>
          </cell>
          <cell r="Q239">
            <v>0</v>
          </cell>
          <cell r="R239">
            <v>0</v>
          </cell>
          <cell r="S239">
            <v>2462146.1778117716</v>
          </cell>
          <cell r="T239">
            <v>15891.79999999993</v>
          </cell>
          <cell r="U239">
            <v>4547546.2532046447</v>
          </cell>
          <cell r="V239">
            <v>34302.96868841198</v>
          </cell>
          <cell r="W239">
            <v>0</v>
          </cell>
          <cell r="X239">
            <v>4597741.0218930561</v>
          </cell>
          <cell r="Y239">
            <v>82486</v>
          </cell>
          <cell r="Z239">
            <v>0</v>
          </cell>
          <cell r="AA239">
            <v>0</v>
          </cell>
          <cell r="AB239">
            <v>62226.657358923476</v>
          </cell>
          <cell r="AC239">
            <v>144712.65735892346</v>
          </cell>
          <cell r="AD239" t="str">
            <v>N/A</v>
          </cell>
          <cell r="AE239">
            <v>892321</v>
          </cell>
          <cell r="AF239">
            <v>892321</v>
          </cell>
          <cell r="AG239">
            <v>892321</v>
          </cell>
          <cell r="AH239">
            <v>892321</v>
          </cell>
          <cell r="AI239">
            <v>883745</v>
          </cell>
          <cell r="AJ239">
            <v>0</v>
          </cell>
          <cell r="AK239">
            <v>4453029</v>
          </cell>
          <cell r="AL239">
            <v>20751568</v>
          </cell>
          <cell r="AM239">
            <v>2462146.1778117716</v>
          </cell>
          <cell r="AN239">
            <v>-567620.79999999993</v>
          </cell>
          <cell r="AO239">
            <v>4519622.5645341333</v>
          </cell>
          <cell r="AP239">
            <v>0</v>
          </cell>
          <cell r="AQ239">
            <v>-66594.20000000007</v>
          </cell>
          <cell r="AR239">
            <v>0</v>
          </cell>
          <cell r="AS239">
            <v>0</v>
          </cell>
          <cell r="AT239">
            <v>27099121.742345903</v>
          </cell>
          <cell r="AU239">
            <v>6.2590514962913239E-4</v>
          </cell>
          <cell r="AV239">
            <v>0</v>
          </cell>
          <cell r="AW239">
            <v>0</v>
          </cell>
          <cell r="AY239">
            <v>0</v>
          </cell>
          <cell r="AZ239">
            <v>0</v>
          </cell>
          <cell r="BA239">
            <v>0</v>
          </cell>
          <cell r="BB239">
            <v>0</v>
          </cell>
          <cell r="BC239">
            <v>0</v>
          </cell>
          <cell r="BD239">
            <v>0</v>
          </cell>
          <cell r="BE239">
            <v>0</v>
          </cell>
          <cell r="BF239">
            <v>0</v>
          </cell>
          <cell r="BG239">
            <v>0</v>
          </cell>
          <cell r="BH239">
            <v>0</v>
          </cell>
          <cell r="BJ239">
            <v>0</v>
          </cell>
          <cell r="BL239">
            <v>0</v>
          </cell>
          <cell r="BM239">
            <v>0</v>
          </cell>
          <cell r="BN239">
            <v>0</v>
          </cell>
          <cell r="BO239">
            <v>0</v>
          </cell>
          <cell r="BQ239">
            <v>0</v>
          </cell>
          <cell r="BR239">
            <v>0</v>
          </cell>
          <cell r="BS239">
            <v>0</v>
          </cell>
          <cell r="BT239">
            <v>0</v>
          </cell>
          <cell r="CB239">
            <v>0</v>
          </cell>
          <cell r="CC239">
            <v>0</v>
          </cell>
          <cell r="CD239">
            <v>0</v>
          </cell>
          <cell r="CE239">
            <v>0</v>
          </cell>
          <cell r="CF239">
            <v>0</v>
          </cell>
          <cell r="CI239">
            <v>0</v>
          </cell>
          <cell r="CJ239">
            <v>0</v>
          </cell>
          <cell r="CK239">
            <v>0</v>
          </cell>
          <cell r="CV239">
            <v>6.2291965627409203E-4</v>
          </cell>
          <cell r="DG239">
            <v>27099122</v>
          </cell>
          <cell r="DR239">
            <v>9714594.7999999952</v>
          </cell>
          <cell r="EC239">
            <v>2.7895267438226052</v>
          </cell>
          <cell r="EN239">
            <v>2.4095909012463064E-2</v>
          </cell>
        </row>
        <row r="240">
          <cell r="B240">
            <v>37300</v>
          </cell>
          <cell r="C240" t="str">
            <v>Person County Schools</v>
          </cell>
          <cell r="D240">
            <v>1.6377178690144558E-3</v>
          </cell>
          <cell r="E240">
            <v>2833633.7784328088</v>
          </cell>
          <cell r="F240">
            <v>2209449.2416877579</v>
          </cell>
          <cell r="G240">
            <v>112004</v>
          </cell>
          <cell r="H240">
            <v>-790684.51253695926</v>
          </cell>
          <cell r="I240">
            <v>-32720.016990732875</v>
          </cell>
          <cell r="J240">
            <v>2391190.4798733634</v>
          </cell>
          <cell r="K240">
            <v>0</v>
          </cell>
          <cell r="L240">
            <v>-125637.11739557495</v>
          </cell>
          <cell r="M240">
            <v>22546.481000968939</v>
          </cell>
          <cell r="N240">
            <v>849.94281966112226</v>
          </cell>
          <cell r="O240">
            <v>-383.5699021018757</v>
          </cell>
          <cell r="P240">
            <v>0</v>
          </cell>
          <cell r="Q240">
            <v>0</v>
          </cell>
          <cell r="R240">
            <v>0</v>
          </cell>
          <cell r="S240">
            <v>6620248.7069891915</v>
          </cell>
          <cell r="T240">
            <v>578585</v>
          </cell>
          <cell r="U240">
            <v>11955952.399366817</v>
          </cell>
          <cell r="V240">
            <v>90185.924003875756</v>
          </cell>
          <cell r="W240">
            <v>0</v>
          </cell>
          <cell r="X240">
            <v>12624723.323370691</v>
          </cell>
          <cell r="Y240">
            <v>18567.469999999972</v>
          </cell>
          <cell r="Z240">
            <v>0</v>
          </cell>
          <cell r="AA240">
            <v>0</v>
          </cell>
          <cell r="AB240">
            <v>163600.08495366437</v>
          </cell>
          <cell r="AC240">
            <v>182167.55495366434</v>
          </cell>
          <cell r="AD240" t="str">
            <v>N/A</v>
          </cell>
          <cell r="AE240">
            <v>2493021</v>
          </cell>
          <cell r="AF240">
            <v>2493020</v>
          </cell>
          <cell r="AG240">
            <v>2493020</v>
          </cell>
          <cell r="AH240">
            <v>2493020</v>
          </cell>
          <cell r="AI240">
            <v>2470473</v>
          </cell>
          <cell r="AJ240">
            <v>0</v>
          </cell>
          <cell r="AK240">
            <v>12442554</v>
          </cell>
          <cell r="AL240">
            <v>53603404</v>
          </cell>
          <cell r="AM240">
            <v>6620248.7069891915</v>
          </cell>
          <cell r="AN240">
            <v>-1419914.53</v>
          </cell>
          <cell r="AO240">
            <v>11882538.238417029</v>
          </cell>
          <cell r="AP240">
            <v>0</v>
          </cell>
          <cell r="AQ240">
            <v>560017.53</v>
          </cell>
          <cell r="AR240">
            <v>0</v>
          </cell>
          <cell r="AS240">
            <v>0</v>
          </cell>
          <cell r="AT240">
            <v>71246293.945406228</v>
          </cell>
          <cell r="AU240">
            <v>1.6167764569411669E-3</v>
          </cell>
          <cell r="AV240">
            <v>0</v>
          </cell>
          <cell r="AW240">
            <v>0</v>
          </cell>
          <cell r="AY240">
            <v>0</v>
          </cell>
          <cell r="AZ240">
            <v>0</v>
          </cell>
          <cell r="BA240">
            <v>0</v>
          </cell>
          <cell r="BB240">
            <v>0</v>
          </cell>
          <cell r="BC240">
            <v>0</v>
          </cell>
          <cell r="BD240">
            <v>0</v>
          </cell>
          <cell r="BE240">
            <v>0</v>
          </cell>
          <cell r="BF240">
            <v>0</v>
          </cell>
          <cell r="BG240">
            <v>0</v>
          </cell>
          <cell r="BH240">
            <v>0</v>
          </cell>
          <cell r="BJ240">
            <v>0</v>
          </cell>
          <cell r="BL240">
            <v>0</v>
          </cell>
          <cell r="BM240">
            <v>0</v>
          </cell>
          <cell r="BN240">
            <v>0</v>
          </cell>
          <cell r="BO240">
            <v>0</v>
          </cell>
          <cell r="BQ240">
            <v>0</v>
          </cell>
          <cell r="BR240">
            <v>0</v>
          </cell>
          <cell r="BS240">
            <v>0</v>
          </cell>
          <cell r="BT240">
            <v>0</v>
          </cell>
          <cell r="CB240">
            <v>0</v>
          </cell>
          <cell r="CC240">
            <v>0</v>
          </cell>
          <cell r="CD240">
            <v>0</v>
          </cell>
          <cell r="CE240">
            <v>0</v>
          </cell>
          <cell r="CF240">
            <v>0</v>
          </cell>
          <cell r="CI240">
            <v>0</v>
          </cell>
          <cell r="CJ240">
            <v>0</v>
          </cell>
          <cell r="CK240">
            <v>0</v>
          </cell>
          <cell r="CV240">
            <v>1.6377178690144558E-3</v>
          </cell>
          <cell r="DG240">
            <v>71246294</v>
          </cell>
          <cell r="DR240">
            <v>23993814.67999997</v>
          </cell>
          <cell r="EC240">
            <v>2.969360851961039</v>
          </cell>
          <cell r="EN240">
            <v>2.4095909012463064E-2</v>
          </cell>
        </row>
        <row r="241">
          <cell r="B241">
            <v>37301</v>
          </cell>
          <cell r="C241" t="str">
            <v>Roxboro Community School</v>
          </cell>
          <cell r="D241">
            <v>1.7931735082704975E-4</v>
          </cell>
          <cell r="E241">
            <v>310260.82817817107</v>
          </cell>
          <cell r="F241">
            <v>241917.48304285345</v>
          </cell>
          <cell r="G241">
            <v>14926</v>
          </cell>
          <cell r="H241">
            <v>-86573.795652255445</v>
          </cell>
          <cell r="I241">
            <v>-3582.5870113544484</v>
          </cell>
          <cell r="J241">
            <v>261816.733081007</v>
          </cell>
          <cell r="K241">
            <v>0</v>
          </cell>
          <cell r="L241">
            <v>-13756.285794499498</v>
          </cell>
          <cell r="M241">
            <v>2468.6640599452803</v>
          </cell>
          <cell r="N241">
            <v>93.062118732222274</v>
          </cell>
          <cell r="O241">
            <v>-41.997916737203319</v>
          </cell>
          <cell r="P241">
            <v>0</v>
          </cell>
          <cell r="Q241">
            <v>0</v>
          </cell>
          <cell r="R241">
            <v>0</v>
          </cell>
          <cell r="S241">
            <v>727528.10410586244</v>
          </cell>
          <cell r="T241">
            <v>86431</v>
          </cell>
          <cell r="U241">
            <v>1309083.665405035</v>
          </cell>
          <cell r="V241">
            <v>9874.6562397811213</v>
          </cell>
          <cell r="W241">
            <v>0</v>
          </cell>
          <cell r="X241">
            <v>1405389.3216448161</v>
          </cell>
          <cell r="Y241">
            <v>11798.450000000012</v>
          </cell>
          <cell r="Z241">
            <v>0</v>
          </cell>
          <cell r="AA241">
            <v>0</v>
          </cell>
          <cell r="AB241">
            <v>17912.935056772243</v>
          </cell>
          <cell r="AC241">
            <v>29711.385056772255</v>
          </cell>
          <cell r="AD241" t="str">
            <v>N/A</v>
          </cell>
          <cell r="AE241">
            <v>275629</v>
          </cell>
          <cell r="AF241">
            <v>275629</v>
          </cell>
          <cell r="AG241">
            <v>275629</v>
          </cell>
          <cell r="AH241">
            <v>275629</v>
          </cell>
          <cell r="AI241">
            <v>273160</v>
          </cell>
          <cell r="AJ241">
            <v>0</v>
          </cell>
          <cell r="AK241">
            <v>1375676</v>
          </cell>
          <cell r="AL241">
            <v>5841459</v>
          </cell>
          <cell r="AM241">
            <v>727528.10410586244</v>
          </cell>
          <cell r="AN241">
            <v>-143750.54999999999</v>
          </cell>
          <cell r="AO241">
            <v>1301045.386588044</v>
          </cell>
          <cell r="AP241">
            <v>0</v>
          </cell>
          <cell r="AQ241">
            <v>74632.549999999988</v>
          </cell>
          <cell r="AR241">
            <v>0</v>
          </cell>
          <cell r="AS241">
            <v>0</v>
          </cell>
          <cell r="AT241">
            <v>7800914.4906939073</v>
          </cell>
          <cell r="AU241">
            <v>1.7618907416997172E-4</v>
          </cell>
          <cell r="AV241">
            <v>0</v>
          </cell>
          <cell r="AW241">
            <v>0</v>
          </cell>
          <cell r="AY241">
            <v>0</v>
          </cell>
          <cell r="AZ241">
            <v>0</v>
          </cell>
          <cell r="BA241">
            <v>0</v>
          </cell>
          <cell r="BB241">
            <v>0</v>
          </cell>
          <cell r="BC241">
            <v>0</v>
          </cell>
          <cell r="BD241">
            <v>0</v>
          </cell>
          <cell r="BE241">
            <v>0</v>
          </cell>
          <cell r="BF241">
            <v>0</v>
          </cell>
          <cell r="BG241">
            <v>0</v>
          </cell>
          <cell r="BH241">
            <v>0</v>
          </cell>
          <cell r="BJ241">
            <v>0</v>
          </cell>
          <cell r="BL241">
            <v>0</v>
          </cell>
          <cell r="BM241">
            <v>0</v>
          </cell>
          <cell r="BN241">
            <v>0</v>
          </cell>
          <cell r="BO241">
            <v>0</v>
          </cell>
          <cell r="BQ241">
            <v>0</v>
          </cell>
          <cell r="BR241">
            <v>0</v>
          </cell>
          <cell r="BS241">
            <v>0</v>
          </cell>
          <cell r="BT241">
            <v>0</v>
          </cell>
          <cell r="CB241">
            <v>0</v>
          </cell>
          <cell r="CC241">
            <v>0</v>
          </cell>
          <cell r="CD241">
            <v>0</v>
          </cell>
          <cell r="CE241">
            <v>0</v>
          </cell>
          <cell r="CF241">
            <v>0</v>
          </cell>
          <cell r="CI241">
            <v>0</v>
          </cell>
          <cell r="CJ241">
            <v>0</v>
          </cell>
          <cell r="CK241">
            <v>0</v>
          </cell>
          <cell r="CV241">
            <v>1.7931735082704975E-4</v>
          </cell>
          <cell r="DG241">
            <v>7800914</v>
          </cell>
          <cell r="DR241">
            <v>2604506.2000000002</v>
          </cell>
          <cell r="EC241">
            <v>2.995160464582499</v>
          </cell>
          <cell r="EN241">
            <v>2.4095909012463064E-2</v>
          </cell>
        </row>
        <row r="242">
          <cell r="B242">
            <v>37305</v>
          </cell>
          <cell r="C242" t="str">
            <v>Piedmont Community College</v>
          </cell>
          <cell r="D242">
            <v>4.8043594409186781E-4</v>
          </cell>
          <cell r="E242">
            <v>831266.2060475793</v>
          </cell>
          <cell r="F242">
            <v>648157.3245531643</v>
          </cell>
          <cell r="G242">
            <v>-442300</v>
          </cell>
          <cell r="H242">
            <v>-231952.80911730669</v>
          </cell>
          <cell r="I242">
            <v>-9598.6448893694942</v>
          </cell>
          <cell r="J242">
            <v>701472.38265940023</v>
          </cell>
          <cell r="K242">
            <v>0</v>
          </cell>
          <cell r="L242">
            <v>-36856.523489755666</v>
          </cell>
          <cell r="M242">
            <v>6614.1672449165053</v>
          </cell>
          <cell r="N242">
            <v>249.33664626479757</v>
          </cell>
          <cell r="O242">
            <v>-112.52290246575636</v>
          </cell>
          <cell r="P242">
            <v>0</v>
          </cell>
          <cell r="Q242">
            <v>0</v>
          </cell>
          <cell r="R242">
            <v>0</v>
          </cell>
          <cell r="S242">
            <v>1466938.9167524278</v>
          </cell>
          <cell r="T242">
            <v>69136.13</v>
          </cell>
          <cell r="U242">
            <v>3507361.9132970013</v>
          </cell>
          <cell r="V242">
            <v>26456.668979666021</v>
          </cell>
          <cell r="W242">
            <v>0</v>
          </cell>
          <cell r="X242">
            <v>3602954.7122766674</v>
          </cell>
          <cell r="Y242">
            <v>2280634</v>
          </cell>
          <cell r="Z242">
            <v>0</v>
          </cell>
          <cell r="AA242">
            <v>0</v>
          </cell>
          <cell r="AB242">
            <v>47993.224446847467</v>
          </cell>
          <cell r="AC242">
            <v>2328627.2244468476</v>
          </cell>
          <cell r="AD242" t="str">
            <v>N/A</v>
          </cell>
          <cell r="AE242">
            <v>256188</v>
          </cell>
          <cell r="AF242">
            <v>256188</v>
          </cell>
          <cell r="AG242">
            <v>256188</v>
          </cell>
          <cell r="AH242">
            <v>256188</v>
          </cell>
          <cell r="AI242">
            <v>249574</v>
          </cell>
          <cell r="AJ242">
            <v>0</v>
          </cell>
          <cell r="AK242">
            <v>1274326</v>
          </cell>
          <cell r="AL242">
            <v>18665371</v>
          </cell>
          <cell r="AM242">
            <v>1466938.9167524278</v>
          </cell>
          <cell r="AN242">
            <v>-506041.13</v>
          </cell>
          <cell r="AO242">
            <v>3485825.3578298199</v>
          </cell>
          <cell r="AP242">
            <v>0</v>
          </cell>
          <cell r="AQ242">
            <v>-2211497.87</v>
          </cell>
          <cell r="AR242">
            <v>0</v>
          </cell>
          <cell r="AS242">
            <v>0</v>
          </cell>
          <cell r="AT242">
            <v>20900596.274582248</v>
          </cell>
          <cell r="AU242">
            <v>5.6298165415007942E-4</v>
          </cell>
          <cell r="AV242">
            <v>0</v>
          </cell>
          <cell r="AW242">
            <v>0</v>
          </cell>
          <cell r="AY242">
            <v>0</v>
          </cell>
          <cell r="AZ242">
            <v>0</v>
          </cell>
          <cell r="BA242">
            <v>0</v>
          </cell>
          <cell r="BB242">
            <v>0</v>
          </cell>
          <cell r="BC242">
            <v>0</v>
          </cell>
          <cell r="BD242">
            <v>0</v>
          </cell>
          <cell r="BE242">
            <v>0</v>
          </cell>
          <cell r="BF242">
            <v>0</v>
          </cell>
          <cell r="BG242">
            <v>0</v>
          </cell>
          <cell r="BH242">
            <v>0</v>
          </cell>
          <cell r="BJ242">
            <v>0</v>
          </cell>
          <cell r="BL242">
            <v>0</v>
          </cell>
          <cell r="BM242">
            <v>0</v>
          </cell>
          <cell r="BN242">
            <v>0</v>
          </cell>
          <cell r="BO242">
            <v>0</v>
          </cell>
          <cell r="BQ242">
            <v>0</v>
          </cell>
          <cell r="BR242">
            <v>0</v>
          </cell>
          <cell r="BS242">
            <v>0</v>
          </cell>
          <cell r="BT242">
            <v>0</v>
          </cell>
          <cell r="CB242">
            <v>0</v>
          </cell>
          <cell r="CC242">
            <v>0</v>
          </cell>
          <cell r="CD242">
            <v>0</v>
          </cell>
          <cell r="CE242">
            <v>0</v>
          </cell>
          <cell r="CF242">
            <v>0</v>
          </cell>
          <cell r="CI242">
            <v>0</v>
          </cell>
          <cell r="CJ242">
            <v>0</v>
          </cell>
          <cell r="CK242">
            <v>0</v>
          </cell>
          <cell r="CV242">
            <v>4.8043594409186781E-4</v>
          </cell>
          <cell r="DG242">
            <v>20900597</v>
          </cell>
          <cell r="DR242">
            <v>8940572.0300000012</v>
          </cell>
          <cell r="EC242">
            <v>2.3377248043937517</v>
          </cell>
          <cell r="EN242">
            <v>2.4095909012463064E-2</v>
          </cell>
        </row>
        <row r="243">
          <cell r="B243">
            <v>37400</v>
          </cell>
          <cell r="C243" t="str">
            <v>Pitt County Schools</v>
          </cell>
          <cell r="D243">
            <v>8.0746685606175768E-3</v>
          </cell>
          <cell r="E243">
            <v>13971059.372262018</v>
          </cell>
          <cell r="F243">
            <v>10893555.395394547</v>
          </cell>
          <cell r="G243">
            <v>199670</v>
          </cell>
          <cell r="H243">
            <v>-3898422.0026807711</v>
          </cell>
          <cell r="I243">
            <v>-161324.05800575143</v>
          </cell>
          <cell r="J243">
            <v>11789619.540452775</v>
          </cell>
          <cell r="K243">
            <v>0</v>
          </cell>
          <cell r="L243">
            <v>-619446.1824435977</v>
          </cell>
          <cell r="M243">
            <v>111164.05623676958</v>
          </cell>
          <cell r="N243">
            <v>4190.5914895893102</v>
          </cell>
          <cell r="O243">
            <v>-1891.1681235822427</v>
          </cell>
          <cell r="P243">
            <v>0</v>
          </cell>
          <cell r="Q243">
            <v>0</v>
          </cell>
          <cell r="R243">
            <v>0</v>
          </cell>
          <cell r="S243">
            <v>32288175.544582002</v>
          </cell>
          <cell r="T243">
            <v>1466652</v>
          </cell>
          <cell r="U243">
            <v>58948097.702263869</v>
          </cell>
          <cell r="V243">
            <v>444656.22494707833</v>
          </cell>
          <cell r="W243">
            <v>0</v>
          </cell>
          <cell r="X243">
            <v>60859405.927210949</v>
          </cell>
          <cell r="Y243">
            <v>468304.48000000045</v>
          </cell>
          <cell r="Z243">
            <v>0</v>
          </cell>
          <cell r="AA243">
            <v>0</v>
          </cell>
          <cell r="AB243">
            <v>806620.29002875707</v>
          </cell>
          <cell r="AC243">
            <v>1274924.7700287574</v>
          </cell>
          <cell r="AD243" t="str">
            <v>N/A</v>
          </cell>
          <cell r="AE243">
            <v>11939129</v>
          </cell>
          <cell r="AF243">
            <v>11939130</v>
          </cell>
          <cell r="AG243">
            <v>11939130</v>
          </cell>
          <cell r="AH243">
            <v>11939130</v>
          </cell>
          <cell r="AI243">
            <v>11827965</v>
          </cell>
          <cell r="AJ243">
            <v>0</v>
          </cell>
          <cell r="AK243">
            <v>59584484</v>
          </cell>
          <cell r="AL243">
            <v>265951560</v>
          </cell>
          <cell r="AM243">
            <v>32288175.544582002</v>
          </cell>
          <cell r="AN243">
            <v>-6548688.5199999996</v>
          </cell>
          <cell r="AO243">
            <v>58586133.637182198</v>
          </cell>
          <cell r="AP243">
            <v>0</v>
          </cell>
          <cell r="AQ243">
            <v>998347.51999999955</v>
          </cell>
          <cell r="AR243">
            <v>0</v>
          </cell>
          <cell r="AS243">
            <v>0</v>
          </cell>
          <cell r="AT243">
            <v>351275528.18176419</v>
          </cell>
          <cell r="AU243">
            <v>8.0215842587854757E-3</v>
          </cell>
          <cell r="AV243">
            <v>0</v>
          </cell>
          <cell r="AW243">
            <v>0</v>
          </cell>
          <cell r="AY243">
            <v>0</v>
          </cell>
          <cell r="AZ243">
            <v>0</v>
          </cell>
          <cell r="BA243">
            <v>0</v>
          </cell>
          <cell r="BB243">
            <v>0</v>
          </cell>
          <cell r="BC243">
            <v>0</v>
          </cell>
          <cell r="BD243">
            <v>0</v>
          </cell>
          <cell r="BE243">
            <v>0</v>
          </cell>
          <cell r="BF243">
            <v>0</v>
          </cell>
          <cell r="BG243">
            <v>0</v>
          </cell>
          <cell r="BH243">
            <v>0</v>
          </cell>
          <cell r="BJ243">
            <v>0</v>
          </cell>
          <cell r="BL243">
            <v>0</v>
          </cell>
          <cell r="BM243">
            <v>0</v>
          </cell>
          <cell r="BN243">
            <v>0</v>
          </cell>
          <cell r="BO243">
            <v>0</v>
          </cell>
          <cell r="BQ243">
            <v>0</v>
          </cell>
          <cell r="BR243">
            <v>0</v>
          </cell>
          <cell r="BS243">
            <v>0</v>
          </cell>
          <cell r="BT243">
            <v>0</v>
          </cell>
          <cell r="CB243">
            <v>0</v>
          </cell>
          <cell r="CC243">
            <v>0</v>
          </cell>
          <cell r="CD243">
            <v>0</v>
          </cell>
          <cell r="CE243">
            <v>0</v>
          </cell>
          <cell r="CF243">
            <v>0</v>
          </cell>
          <cell r="CI243">
            <v>0</v>
          </cell>
          <cell r="CJ243">
            <v>0</v>
          </cell>
          <cell r="CK243">
            <v>0</v>
          </cell>
          <cell r="CV243">
            <v>8.0746685606175768E-3</v>
          </cell>
          <cell r="DG243">
            <v>351275528</v>
          </cell>
          <cell r="DR243">
            <v>113908109.3899996</v>
          </cell>
          <cell r="EC243">
            <v>3.083850042645337</v>
          </cell>
          <cell r="EN243">
            <v>2.4095909012463064E-2</v>
          </cell>
        </row>
        <row r="244">
          <cell r="B244">
            <v>37405</v>
          </cell>
          <cell r="C244" t="str">
            <v>Pitt Community College</v>
          </cell>
          <cell r="D244">
            <v>1.7930074196734541E-3</v>
          </cell>
          <cell r="E244">
            <v>3102320.9097821135</v>
          </cell>
          <cell r="F244">
            <v>2418950.759890053</v>
          </cell>
          <cell r="G244">
            <v>421243</v>
          </cell>
          <cell r="H244">
            <v>-865657.76952339185</v>
          </cell>
          <cell r="I244">
            <v>-35822.551824222472</v>
          </cell>
          <cell r="J244">
            <v>2617924.8290461339</v>
          </cell>
          <cell r="K244">
            <v>0</v>
          </cell>
          <cell r="L244">
            <v>-137550.11649974386</v>
          </cell>
          <cell r="M244">
            <v>24684.354055800464</v>
          </cell>
          <cell r="N244">
            <v>930.53499066212919</v>
          </cell>
          <cell r="O244">
            <v>-419.94026776171967</v>
          </cell>
          <cell r="P244">
            <v>0</v>
          </cell>
          <cell r="Q244">
            <v>0</v>
          </cell>
          <cell r="R244">
            <v>0</v>
          </cell>
          <cell r="S244">
            <v>7546604.0096496437</v>
          </cell>
          <cell r="T244">
            <v>2131272</v>
          </cell>
          <cell r="U244">
            <v>13089624.14523067</v>
          </cell>
          <cell r="V244">
            <v>98737.416223201857</v>
          </cell>
          <cell r="W244">
            <v>0</v>
          </cell>
          <cell r="X244">
            <v>15319633.561453871</v>
          </cell>
          <cell r="Y244">
            <v>25060.489999999991</v>
          </cell>
          <cell r="Z244">
            <v>0</v>
          </cell>
          <cell r="AA244">
            <v>0</v>
          </cell>
          <cell r="AB244">
            <v>179112.75912111232</v>
          </cell>
          <cell r="AC244">
            <v>204173.24912111231</v>
          </cell>
          <cell r="AD244" t="str">
            <v>N/A</v>
          </cell>
          <cell r="AE244">
            <v>3028029</v>
          </cell>
          <cell r="AF244">
            <v>3028030</v>
          </cell>
          <cell r="AG244">
            <v>3028030</v>
          </cell>
          <cell r="AH244">
            <v>3028030</v>
          </cell>
          <cell r="AI244">
            <v>3003345</v>
          </cell>
          <cell r="AJ244">
            <v>0</v>
          </cell>
          <cell r="AK244">
            <v>15115464</v>
          </cell>
          <cell r="AL244">
            <v>56888725</v>
          </cell>
          <cell r="AM244">
            <v>7546604.0096496437</v>
          </cell>
          <cell r="AN244">
            <v>-1548872.51</v>
          </cell>
          <cell r="AO244">
            <v>13009248.802332761</v>
          </cell>
          <cell r="AP244">
            <v>0</v>
          </cell>
          <cell r="AQ244">
            <v>2106211.5099999998</v>
          </cell>
          <cell r="AR244">
            <v>0</v>
          </cell>
          <cell r="AS244">
            <v>0</v>
          </cell>
          <cell r="AT244">
            <v>78001916.811982408</v>
          </cell>
          <cell r="AU244">
            <v>1.7158677328418088E-3</v>
          </cell>
          <cell r="AV244">
            <v>0</v>
          </cell>
          <cell r="AW244">
            <v>0</v>
          </cell>
          <cell r="AY244">
            <v>0</v>
          </cell>
          <cell r="AZ244">
            <v>0</v>
          </cell>
          <cell r="BA244">
            <v>0</v>
          </cell>
          <cell r="BB244">
            <v>0</v>
          </cell>
          <cell r="BC244">
            <v>0</v>
          </cell>
          <cell r="BD244">
            <v>0</v>
          </cell>
          <cell r="BE244">
            <v>0</v>
          </cell>
          <cell r="BF244">
            <v>0</v>
          </cell>
          <cell r="BG244">
            <v>0</v>
          </cell>
          <cell r="BH244">
            <v>0</v>
          </cell>
          <cell r="BJ244">
            <v>0</v>
          </cell>
          <cell r="BL244">
            <v>0</v>
          </cell>
          <cell r="BM244">
            <v>0</v>
          </cell>
          <cell r="BN244">
            <v>0</v>
          </cell>
          <cell r="BO244">
            <v>0</v>
          </cell>
          <cell r="BQ244">
            <v>0</v>
          </cell>
          <cell r="BR244">
            <v>0</v>
          </cell>
          <cell r="BS244">
            <v>0</v>
          </cell>
          <cell r="BT244">
            <v>0</v>
          </cell>
          <cell r="CB244">
            <v>0</v>
          </cell>
          <cell r="CC244">
            <v>0</v>
          </cell>
          <cell r="CD244">
            <v>0</v>
          </cell>
          <cell r="CE244">
            <v>0</v>
          </cell>
          <cell r="CF244">
            <v>0</v>
          </cell>
          <cell r="CI244">
            <v>0</v>
          </cell>
          <cell r="CJ244">
            <v>0</v>
          </cell>
          <cell r="CK244">
            <v>0</v>
          </cell>
          <cell r="CV244">
            <v>1.7930074196734541E-3</v>
          </cell>
          <cell r="DG244">
            <v>78001917</v>
          </cell>
          <cell r="DR244">
            <v>26844527.370000001</v>
          </cell>
          <cell r="EC244">
            <v>2.9056915744834733</v>
          </cell>
          <cell r="EN244">
            <v>2.4095909012463064E-2</v>
          </cell>
        </row>
        <row r="245">
          <cell r="B245">
            <v>37500</v>
          </cell>
          <cell r="C245" t="str">
            <v>Polk County Schools</v>
          </cell>
          <cell r="D245">
            <v>9.118318190722808E-4</v>
          </cell>
          <cell r="E245">
            <v>1577681.6579084671</v>
          </cell>
          <cell r="F245">
            <v>1230154.5701570632</v>
          </cell>
          <cell r="G245">
            <v>-137069</v>
          </cell>
          <cell r="H245">
            <v>-440229.24278937042</v>
          </cell>
          <cell r="I245">
            <v>-18217.516690277098</v>
          </cell>
          <cell r="J245">
            <v>1331342.5995182833</v>
          </cell>
          <cell r="K245">
            <v>0</v>
          </cell>
          <cell r="L245">
            <v>-69950.950322563527</v>
          </cell>
          <cell r="M245">
            <v>12553.199286494846</v>
          </cell>
          <cell r="N245">
            <v>473.2224774621323</v>
          </cell>
          <cell r="O245">
            <v>-213.56013034491889</v>
          </cell>
          <cell r="P245">
            <v>0</v>
          </cell>
          <cell r="Q245">
            <v>0</v>
          </cell>
          <cell r="R245">
            <v>0</v>
          </cell>
          <cell r="S245">
            <v>3486524.9794152151</v>
          </cell>
          <cell r="T245">
            <v>32310.280000000028</v>
          </cell>
          <cell r="U245">
            <v>6656712.9975914164</v>
          </cell>
          <cell r="V245">
            <v>50212.797145979384</v>
          </cell>
          <cell r="W245">
            <v>0</v>
          </cell>
          <cell r="X245">
            <v>6739236.0747373961</v>
          </cell>
          <cell r="Y245">
            <v>717656</v>
          </cell>
          <cell r="Z245">
            <v>0</v>
          </cell>
          <cell r="AA245">
            <v>0</v>
          </cell>
          <cell r="AB245">
            <v>91087.583451385493</v>
          </cell>
          <cell r="AC245">
            <v>808743.58345138549</v>
          </cell>
          <cell r="AD245" t="str">
            <v>N/A</v>
          </cell>
          <cell r="AE245">
            <v>1188609</v>
          </cell>
          <cell r="AF245">
            <v>1188609</v>
          </cell>
          <cell r="AG245">
            <v>1188609</v>
          </cell>
          <cell r="AH245">
            <v>1188609</v>
          </cell>
          <cell r="AI245">
            <v>1176056</v>
          </cell>
          <cell r="AJ245">
            <v>0</v>
          </cell>
          <cell r="AK245">
            <v>5930492</v>
          </cell>
          <cell r="AL245">
            <v>31092509</v>
          </cell>
          <cell r="AM245">
            <v>3486524.9794152151</v>
          </cell>
          <cell r="AN245">
            <v>-841742.28</v>
          </cell>
          <cell r="AO245">
            <v>6615838.2112860112</v>
          </cell>
          <cell r="AP245">
            <v>0</v>
          </cell>
          <cell r="AQ245">
            <v>-685345.72</v>
          </cell>
          <cell r="AR245">
            <v>0</v>
          </cell>
          <cell r="AS245">
            <v>0</v>
          </cell>
          <cell r="AT245">
            <v>39667784.190701224</v>
          </cell>
          <cell r="AU245">
            <v>9.3780679031075706E-4</v>
          </cell>
          <cell r="AV245">
            <v>0</v>
          </cell>
          <cell r="AW245">
            <v>0</v>
          </cell>
          <cell r="AY245">
            <v>0</v>
          </cell>
          <cell r="AZ245">
            <v>0</v>
          </cell>
          <cell r="BA245">
            <v>0</v>
          </cell>
          <cell r="BB245">
            <v>0</v>
          </cell>
          <cell r="BC245">
            <v>0</v>
          </cell>
          <cell r="BD245">
            <v>0</v>
          </cell>
          <cell r="BE245">
            <v>0</v>
          </cell>
          <cell r="BF245">
            <v>0</v>
          </cell>
          <cell r="BG245">
            <v>0</v>
          </cell>
          <cell r="BH245">
            <v>0</v>
          </cell>
          <cell r="BJ245">
            <v>0</v>
          </cell>
          <cell r="BL245">
            <v>0</v>
          </cell>
          <cell r="BM245">
            <v>0</v>
          </cell>
          <cell r="BN245">
            <v>0</v>
          </cell>
          <cell r="BO245">
            <v>0</v>
          </cell>
          <cell r="BQ245">
            <v>0</v>
          </cell>
          <cell r="BR245">
            <v>0</v>
          </cell>
          <cell r="BS245">
            <v>0</v>
          </cell>
          <cell r="BT245">
            <v>0</v>
          </cell>
          <cell r="CB245">
            <v>0</v>
          </cell>
          <cell r="CC245">
            <v>0</v>
          </cell>
          <cell r="CD245">
            <v>0</v>
          </cell>
          <cell r="CE245">
            <v>0</v>
          </cell>
          <cell r="CF245">
            <v>0</v>
          </cell>
          <cell r="CI245">
            <v>0</v>
          </cell>
          <cell r="CJ245">
            <v>0</v>
          </cell>
          <cell r="CK245">
            <v>0</v>
          </cell>
          <cell r="CV245">
            <v>9.118318190722808E-4</v>
          </cell>
          <cell r="DG245">
            <v>39667783</v>
          </cell>
          <cell r="DR245">
            <v>14478684.469999995</v>
          </cell>
          <cell r="EC245">
            <v>2.7397366854835545</v>
          </cell>
          <cell r="EN245">
            <v>2.4095909012463064E-2</v>
          </cell>
        </row>
        <row r="246">
          <cell r="B246">
            <v>37600</v>
          </cell>
          <cell r="C246" t="str">
            <v>Randolph County Schools</v>
          </cell>
          <cell r="D246">
            <v>5.5740698920838461E-3</v>
          </cell>
          <cell r="E246">
            <v>9644440.6136077214</v>
          </cell>
          <cell r="F246">
            <v>7519991.5255186781</v>
          </cell>
          <cell r="G246">
            <v>-384987</v>
          </cell>
          <cell r="H246">
            <v>-2691141.6299814181</v>
          </cell>
          <cell r="I246">
            <v>-111364.51828926471</v>
          </cell>
          <cell r="J246">
            <v>8138558.6078513926</v>
          </cell>
          <cell r="K246">
            <v>0</v>
          </cell>
          <cell r="L246">
            <v>-427613.37996776565</v>
          </cell>
          <cell r="M246">
            <v>76738.285206334345</v>
          </cell>
          <cell r="N246">
            <v>2892.8307925936742</v>
          </cell>
          <cell r="O246">
            <v>-1305.5029094249576</v>
          </cell>
          <cell r="P246">
            <v>0</v>
          </cell>
          <cell r="Q246">
            <v>0</v>
          </cell>
          <cell r="R246">
            <v>0</v>
          </cell>
          <cell r="S246">
            <v>21766209.831828848</v>
          </cell>
          <cell r="T246">
            <v>0</v>
          </cell>
          <cell r="U246">
            <v>40692793.039256968</v>
          </cell>
          <cell r="V246">
            <v>306953.14082533738</v>
          </cell>
          <cell r="W246">
            <v>0</v>
          </cell>
          <cell r="X246">
            <v>40999746.180082306</v>
          </cell>
          <cell r="Y246">
            <v>1924935.5700000003</v>
          </cell>
          <cell r="Z246">
            <v>0</v>
          </cell>
          <cell r="AA246">
            <v>0</v>
          </cell>
          <cell r="AB246">
            <v>556822.59144632355</v>
          </cell>
          <cell r="AC246">
            <v>2481758.1614463236</v>
          </cell>
          <cell r="AD246" t="str">
            <v>N/A</v>
          </cell>
          <cell r="AE246">
            <v>7718945</v>
          </cell>
          <cell r="AF246">
            <v>7718945</v>
          </cell>
          <cell r="AG246">
            <v>7718945</v>
          </cell>
          <cell r="AH246">
            <v>7718945</v>
          </cell>
          <cell r="AI246">
            <v>7642207</v>
          </cell>
          <cell r="AJ246">
            <v>0</v>
          </cell>
          <cell r="AK246">
            <v>38517987</v>
          </cell>
          <cell r="AL246">
            <v>186878911</v>
          </cell>
          <cell r="AM246">
            <v>21766209.831828848</v>
          </cell>
          <cell r="AN246">
            <v>-4672122.43</v>
          </cell>
          <cell r="AO246">
            <v>40442923.588635981</v>
          </cell>
          <cell r="AP246">
            <v>0</v>
          </cell>
          <cell r="AQ246">
            <v>-1924935.5700000003</v>
          </cell>
          <cell r="AR246">
            <v>0</v>
          </cell>
          <cell r="AS246">
            <v>0</v>
          </cell>
          <cell r="AT246">
            <v>242490986.42046481</v>
          </cell>
          <cell r="AU246">
            <v>5.6366089039696851E-3</v>
          </cell>
          <cell r="AV246">
            <v>0</v>
          </cell>
          <cell r="AW246">
            <v>0</v>
          </cell>
          <cell r="AY246">
            <v>0</v>
          </cell>
          <cell r="AZ246">
            <v>0</v>
          </cell>
          <cell r="BA246">
            <v>0</v>
          </cell>
          <cell r="BB246">
            <v>0</v>
          </cell>
          <cell r="BC246">
            <v>0</v>
          </cell>
          <cell r="BD246">
            <v>0</v>
          </cell>
          <cell r="BE246">
            <v>0</v>
          </cell>
          <cell r="BF246">
            <v>0</v>
          </cell>
          <cell r="BG246">
            <v>0</v>
          </cell>
          <cell r="BH246">
            <v>0</v>
          </cell>
          <cell r="BJ246">
            <v>0</v>
          </cell>
          <cell r="BL246">
            <v>0</v>
          </cell>
          <cell r="BM246">
            <v>0</v>
          </cell>
          <cell r="BN246">
            <v>0</v>
          </cell>
          <cell r="BO246">
            <v>0</v>
          </cell>
          <cell r="BQ246">
            <v>0</v>
          </cell>
          <cell r="BR246">
            <v>0</v>
          </cell>
          <cell r="BS246">
            <v>0</v>
          </cell>
          <cell r="BT246">
            <v>0</v>
          </cell>
          <cell r="CB246">
            <v>0</v>
          </cell>
          <cell r="CC246">
            <v>0</v>
          </cell>
          <cell r="CD246">
            <v>0</v>
          </cell>
          <cell r="CE246">
            <v>0</v>
          </cell>
          <cell r="CF246">
            <v>0</v>
          </cell>
          <cell r="CI246">
            <v>0</v>
          </cell>
          <cell r="CJ246">
            <v>0</v>
          </cell>
          <cell r="CK246">
            <v>0</v>
          </cell>
          <cell r="CV246">
            <v>5.5740698920838461E-3</v>
          </cell>
          <cell r="DG246">
            <v>242490987</v>
          </cell>
          <cell r="DR246">
            <v>81665226.429999739</v>
          </cell>
          <cell r="EC246">
            <v>2.9693297576031807</v>
          </cell>
          <cell r="EN246">
            <v>2.4095909012463064E-2</v>
          </cell>
        </row>
        <row r="247">
          <cell r="B247">
            <v>37601</v>
          </cell>
          <cell r="C247" t="str">
            <v>Uwharrie Charter Academy</v>
          </cell>
          <cell r="D247">
            <v>1.7666679564248822E-4</v>
          </cell>
          <cell r="E247">
            <v>305674.74968157778</v>
          </cell>
          <cell r="F247">
            <v>238341.61246503211</v>
          </cell>
          <cell r="G247">
            <v>597034</v>
          </cell>
          <cell r="H247">
            <v>-85294.116793210866</v>
          </cell>
          <cell r="I247">
            <v>-3529.6314856716772</v>
          </cell>
          <cell r="J247">
            <v>257946.72442834658</v>
          </cell>
          <cell r="K247">
            <v>0</v>
          </cell>
          <cell r="L247">
            <v>-13552.94911533961</v>
          </cell>
          <cell r="M247">
            <v>2432.1738358099724</v>
          </cell>
          <cell r="N247">
            <v>91.686533602538532</v>
          </cell>
          <cell r="O247">
            <v>-41.377130207427165</v>
          </cell>
          <cell r="P247">
            <v>0</v>
          </cell>
          <cell r="Q247">
            <v>0</v>
          </cell>
          <cell r="R247">
            <v>0</v>
          </cell>
          <cell r="S247">
            <v>1299102.8724199396</v>
          </cell>
          <cell r="T247">
            <v>3010156</v>
          </cell>
          <cell r="U247">
            <v>1289733.6221417328</v>
          </cell>
          <cell r="V247">
            <v>9728.6953432398896</v>
          </cell>
          <cell r="W247">
            <v>0</v>
          </cell>
          <cell r="X247">
            <v>4309618.317484973</v>
          </cell>
          <cell r="Y247">
            <v>24983.589999999997</v>
          </cell>
          <cell r="Z247">
            <v>0</v>
          </cell>
          <cell r="AA247">
            <v>0</v>
          </cell>
          <cell r="AB247">
            <v>17648.157428358387</v>
          </cell>
          <cell r="AC247">
            <v>42631.747428358387</v>
          </cell>
          <cell r="AD247" t="str">
            <v>N/A</v>
          </cell>
          <cell r="AE247">
            <v>853883</v>
          </cell>
          <cell r="AF247">
            <v>853883</v>
          </cell>
          <cell r="AG247">
            <v>853883</v>
          </cell>
          <cell r="AH247">
            <v>853883</v>
          </cell>
          <cell r="AI247">
            <v>851451</v>
          </cell>
          <cell r="AJ247">
            <v>0</v>
          </cell>
          <cell r="AK247">
            <v>4266983</v>
          </cell>
          <cell r="AL247">
            <v>2245111</v>
          </cell>
          <cell r="AM247">
            <v>1299102.8724199396</v>
          </cell>
          <cell r="AN247">
            <v>-125594.41</v>
          </cell>
          <cell r="AO247">
            <v>1281814.1600566145</v>
          </cell>
          <cell r="AP247">
            <v>0</v>
          </cell>
          <cell r="AQ247">
            <v>2985172.41</v>
          </cell>
          <cell r="AR247">
            <v>0</v>
          </cell>
          <cell r="AS247">
            <v>0</v>
          </cell>
          <cell r="AT247">
            <v>7685606.0324765537</v>
          </cell>
          <cell r="AU247">
            <v>6.7716651203526758E-5</v>
          </cell>
          <cell r="AV247">
            <v>0</v>
          </cell>
          <cell r="AW247">
            <v>0</v>
          </cell>
          <cell r="AY247">
            <v>0</v>
          </cell>
          <cell r="AZ247">
            <v>0</v>
          </cell>
          <cell r="BA247">
            <v>0</v>
          </cell>
          <cell r="BB247">
            <v>0</v>
          </cell>
          <cell r="BC247">
            <v>0</v>
          </cell>
          <cell r="BD247">
            <v>0</v>
          </cell>
          <cell r="BE247">
            <v>0</v>
          </cell>
          <cell r="BF247">
            <v>0</v>
          </cell>
          <cell r="BG247">
            <v>0</v>
          </cell>
          <cell r="BH247">
            <v>0</v>
          </cell>
          <cell r="BJ247">
            <v>0</v>
          </cell>
          <cell r="BL247">
            <v>0</v>
          </cell>
          <cell r="BM247">
            <v>0</v>
          </cell>
          <cell r="BN247">
            <v>0</v>
          </cell>
          <cell r="BO247">
            <v>0</v>
          </cell>
          <cell r="BQ247">
            <v>0</v>
          </cell>
          <cell r="BR247">
            <v>0</v>
          </cell>
          <cell r="BS247">
            <v>0</v>
          </cell>
          <cell r="BT247">
            <v>0</v>
          </cell>
          <cell r="CB247">
            <v>0</v>
          </cell>
          <cell r="CC247">
            <v>0</v>
          </cell>
          <cell r="CD247">
            <v>0</v>
          </cell>
          <cell r="CE247">
            <v>0</v>
          </cell>
          <cell r="CF247">
            <v>0</v>
          </cell>
          <cell r="CI247">
            <v>0</v>
          </cell>
          <cell r="CJ247">
            <v>0</v>
          </cell>
          <cell r="CK247">
            <v>0</v>
          </cell>
          <cell r="CV247">
            <v>1.7666679564248822E-4</v>
          </cell>
          <cell r="DG247">
            <v>7685606</v>
          </cell>
          <cell r="DR247">
            <v>2114213.23</v>
          </cell>
          <cell r="EC247">
            <v>3.6352085451664684</v>
          </cell>
          <cell r="EN247">
            <v>2.4095909012463064E-2</v>
          </cell>
        </row>
        <row r="248">
          <cell r="B248">
            <v>37605</v>
          </cell>
          <cell r="C248" t="str">
            <v>Randolph Community College</v>
          </cell>
          <cell r="D248">
            <v>6.714855743055173E-4</v>
          </cell>
          <cell r="E248">
            <v>1161826.6131684203</v>
          </cell>
          <cell r="F248">
            <v>905902.8548344539</v>
          </cell>
          <cell r="G248">
            <v>135756</v>
          </cell>
          <cell r="H248">
            <v>-324190.90860556014</v>
          </cell>
          <cell r="I248">
            <v>-13415.631480854663</v>
          </cell>
          <cell r="J248">
            <v>980419.12043000257</v>
          </cell>
          <cell r="K248">
            <v>0</v>
          </cell>
          <cell r="L248">
            <v>-51512.84816793599</v>
          </cell>
          <cell r="M248">
            <v>9244.3497319930793</v>
          </cell>
          <cell r="N248">
            <v>348.48758335307735</v>
          </cell>
          <cell r="O248">
            <v>-157.26863635809519</v>
          </cell>
          <cell r="P248">
            <v>0</v>
          </cell>
          <cell r="Q248">
            <v>0</v>
          </cell>
          <cell r="R248">
            <v>0</v>
          </cell>
          <cell r="S248">
            <v>2804220.7688575145</v>
          </cell>
          <cell r="T248">
            <v>687047</v>
          </cell>
          <cell r="U248">
            <v>4902095.6021500127</v>
          </cell>
          <cell r="V248">
            <v>36977.398927972317</v>
          </cell>
          <cell r="W248">
            <v>0</v>
          </cell>
          <cell r="X248">
            <v>5626120.0010779854</v>
          </cell>
          <cell r="Y248">
            <v>8266.0600000000559</v>
          </cell>
          <cell r="Z248">
            <v>0</v>
          </cell>
          <cell r="AA248">
            <v>0</v>
          </cell>
          <cell r="AB248">
            <v>67078.157404273312</v>
          </cell>
          <cell r="AC248">
            <v>75344.217404273368</v>
          </cell>
          <cell r="AD248" t="str">
            <v>N/A</v>
          </cell>
          <cell r="AE248">
            <v>1112004</v>
          </cell>
          <cell r="AF248">
            <v>1112005</v>
          </cell>
          <cell r="AG248">
            <v>1112005</v>
          </cell>
          <cell r="AH248">
            <v>1112005</v>
          </cell>
          <cell r="AI248">
            <v>1102760</v>
          </cell>
          <cell r="AJ248">
            <v>0</v>
          </cell>
          <cell r="AK248">
            <v>5550779</v>
          </cell>
          <cell r="AL248">
            <v>21438308</v>
          </cell>
          <cell r="AM248">
            <v>2804220.7688575145</v>
          </cell>
          <cell r="AN248">
            <v>-581399.93999999994</v>
          </cell>
          <cell r="AO248">
            <v>4871994.8436737126</v>
          </cell>
          <cell r="AP248">
            <v>0</v>
          </cell>
          <cell r="AQ248">
            <v>678780.94</v>
          </cell>
          <cell r="AR248">
            <v>0</v>
          </cell>
          <cell r="AS248">
            <v>0</v>
          </cell>
          <cell r="AT248">
            <v>29211904.61253123</v>
          </cell>
          <cell r="AU248">
            <v>6.4661847757700589E-4</v>
          </cell>
          <cell r="AV248">
            <v>0</v>
          </cell>
          <cell r="AW248">
            <v>0</v>
          </cell>
          <cell r="AY248">
            <v>0</v>
          </cell>
          <cell r="AZ248">
            <v>0</v>
          </cell>
          <cell r="BA248">
            <v>0</v>
          </cell>
          <cell r="BB248">
            <v>0</v>
          </cell>
          <cell r="BC248">
            <v>0</v>
          </cell>
          <cell r="BD248">
            <v>0</v>
          </cell>
          <cell r="BE248">
            <v>0</v>
          </cell>
          <cell r="BF248">
            <v>0</v>
          </cell>
          <cell r="BG248">
            <v>0</v>
          </cell>
          <cell r="BH248">
            <v>0</v>
          </cell>
          <cell r="BJ248">
            <v>0</v>
          </cell>
          <cell r="BL248">
            <v>0</v>
          </cell>
          <cell r="BM248">
            <v>0</v>
          </cell>
          <cell r="BN248">
            <v>0</v>
          </cell>
          <cell r="BO248">
            <v>0</v>
          </cell>
          <cell r="BQ248">
            <v>0</v>
          </cell>
          <cell r="BR248">
            <v>0</v>
          </cell>
          <cell r="BS248">
            <v>0</v>
          </cell>
          <cell r="BT248">
            <v>0</v>
          </cell>
          <cell r="CB248">
            <v>0</v>
          </cell>
          <cell r="CC248">
            <v>0</v>
          </cell>
          <cell r="CD248">
            <v>0</v>
          </cell>
          <cell r="CE248">
            <v>0</v>
          </cell>
          <cell r="CF248">
            <v>0</v>
          </cell>
          <cell r="CI248">
            <v>0</v>
          </cell>
          <cell r="CJ248">
            <v>0</v>
          </cell>
          <cell r="CK248">
            <v>0</v>
          </cell>
          <cell r="CV248">
            <v>6.714855743055173E-4</v>
          </cell>
          <cell r="DG248">
            <v>29211905</v>
          </cell>
          <cell r="DR248">
            <v>9863149.0599999987</v>
          </cell>
          <cell r="EC248">
            <v>2.9617219431944797</v>
          </cell>
          <cell r="EN248">
            <v>2.4095909012463064E-2</v>
          </cell>
        </row>
        <row r="249">
          <cell r="B249">
            <v>37610</v>
          </cell>
          <cell r="C249" t="str">
            <v>Asheboro City Schools</v>
          </cell>
          <cell r="D249">
            <v>1.707319596015172E-3</v>
          </cell>
          <cell r="E249">
            <v>2954060.9951091306</v>
          </cell>
          <cell r="F249">
            <v>2303349.1043267562</v>
          </cell>
          <cell r="G249">
            <v>-578780</v>
          </cell>
          <cell r="H249">
            <v>-824287.98516586178</v>
          </cell>
          <cell r="I249">
            <v>-34110.592091081664</v>
          </cell>
          <cell r="J249">
            <v>2492814.2028208403</v>
          </cell>
          <cell r="K249">
            <v>0</v>
          </cell>
          <cell r="L249">
            <v>-130976.59650340567</v>
          </cell>
          <cell r="M249">
            <v>23504.688788248339</v>
          </cell>
          <cell r="N249">
            <v>886.06472393995398</v>
          </cell>
          <cell r="O249">
            <v>-399.87132258271345</v>
          </cell>
          <cell r="P249">
            <v>0</v>
          </cell>
          <cell r="Q249">
            <v>0</v>
          </cell>
          <cell r="R249">
            <v>0</v>
          </cell>
          <cell r="S249">
            <v>6206060.0106859831</v>
          </cell>
          <cell r="T249">
            <v>0</v>
          </cell>
          <cell r="U249">
            <v>12464071.014104202</v>
          </cell>
          <cell r="V249">
            <v>94018.755152993355</v>
          </cell>
          <cell r="W249">
            <v>0</v>
          </cell>
          <cell r="X249">
            <v>12558089.769257195</v>
          </cell>
          <cell r="Y249">
            <v>2893896.16</v>
          </cell>
          <cell r="Z249">
            <v>0</v>
          </cell>
          <cell r="AA249">
            <v>0</v>
          </cell>
          <cell r="AB249">
            <v>170552.96045540832</v>
          </cell>
          <cell r="AC249">
            <v>3064449.1204554085</v>
          </cell>
          <cell r="AD249" t="str">
            <v>N/A</v>
          </cell>
          <cell r="AE249">
            <v>1903429</v>
          </cell>
          <cell r="AF249">
            <v>1903428</v>
          </cell>
          <cell r="AG249">
            <v>1903428</v>
          </cell>
          <cell r="AH249">
            <v>1903428</v>
          </cell>
          <cell r="AI249">
            <v>1879924</v>
          </cell>
          <cell r="AJ249">
            <v>0</v>
          </cell>
          <cell r="AK249">
            <v>9493637</v>
          </cell>
          <cell r="AL249">
            <v>59914805</v>
          </cell>
          <cell r="AM249">
            <v>6206060.0106859831</v>
          </cell>
          <cell r="AN249">
            <v>-1340299.8400000001</v>
          </cell>
          <cell r="AO249">
            <v>12387536.808801789</v>
          </cell>
          <cell r="AP249">
            <v>0</v>
          </cell>
          <cell r="AQ249">
            <v>-2893896.16</v>
          </cell>
          <cell r="AR249">
            <v>0</v>
          </cell>
          <cell r="AS249">
            <v>0</v>
          </cell>
          <cell r="AT249">
            <v>74274205.819487765</v>
          </cell>
          <cell r="AU249">
            <v>1.8071398300985161E-3</v>
          </cell>
          <cell r="AV249">
            <v>0</v>
          </cell>
          <cell r="AW249">
            <v>0</v>
          </cell>
          <cell r="AY249">
            <v>0</v>
          </cell>
          <cell r="AZ249">
            <v>0</v>
          </cell>
          <cell r="BA249">
            <v>0</v>
          </cell>
          <cell r="BB249">
            <v>0</v>
          </cell>
          <cell r="BC249">
            <v>0</v>
          </cell>
          <cell r="BD249">
            <v>0</v>
          </cell>
          <cell r="BE249">
            <v>0</v>
          </cell>
          <cell r="BF249">
            <v>0</v>
          </cell>
          <cell r="BG249">
            <v>0</v>
          </cell>
          <cell r="BH249">
            <v>0</v>
          </cell>
          <cell r="BJ249">
            <v>0</v>
          </cell>
          <cell r="BL249">
            <v>0</v>
          </cell>
          <cell r="BM249">
            <v>0</v>
          </cell>
          <cell r="BN249">
            <v>0</v>
          </cell>
          <cell r="BO249">
            <v>0</v>
          </cell>
          <cell r="BQ249">
            <v>0</v>
          </cell>
          <cell r="BR249">
            <v>0</v>
          </cell>
          <cell r="BS249">
            <v>0</v>
          </cell>
          <cell r="BT249">
            <v>0</v>
          </cell>
          <cell r="CB249">
            <v>0</v>
          </cell>
          <cell r="CC249">
            <v>0</v>
          </cell>
          <cell r="CD249">
            <v>0</v>
          </cell>
          <cell r="CE249">
            <v>0</v>
          </cell>
          <cell r="CF249">
            <v>0</v>
          </cell>
          <cell r="CI249">
            <v>0</v>
          </cell>
          <cell r="CJ249">
            <v>0</v>
          </cell>
          <cell r="CK249">
            <v>0</v>
          </cell>
          <cell r="CV249">
            <v>1.707319596015172E-3</v>
          </cell>
          <cell r="DG249">
            <v>74274206</v>
          </cell>
          <cell r="DR249">
            <v>23483385.259999994</v>
          </cell>
          <cell r="EC249">
            <v>3.1628406712942554</v>
          </cell>
          <cell r="EN249">
            <v>2.4095909012463064E-2</v>
          </cell>
        </row>
        <row r="250">
          <cell r="B250">
            <v>37700</v>
          </cell>
          <cell r="C250" t="str">
            <v>Richmond County Schools</v>
          </cell>
          <cell r="D250">
            <v>2.3816434519789462E-3</v>
          </cell>
          <cell r="E250">
            <v>4120798.4973456315</v>
          </cell>
          <cell r="F250">
            <v>3213081.0919906064</v>
          </cell>
          <cell r="G250">
            <v>220049</v>
          </cell>
          <cell r="H250">
            <v>-1149849.2063215023</v>
          </cell>
          <cell r="I250">
            <v>-47582.92969076163</v>
          </cell>
          <cell r="J250">
            <v>3477377.4265844086</v>
          </cell>
          <cell r="K250">
            <v>0</v>
          </cell>
          <cell r="L250">
            <v>-182707.18274005721</v>
          </cell>
          <cell r="M250">
            <v>32788.113176929262</v>
          </cell>
          <cell r="N250">
            <v>1236.0253187080334</v>
          </cell>
          <cell r="O250">
            <v>-557.80471288798901</v>
          </cell>
          <cell r="P250">
            <v>0</v>
          </cell>
          <cell r="Q250">
            <v>0</v>
          </cell>
          <cell r="R250">
            <v>0</v>
          </cell>
          <cell r="S250">
            <v>9684633.0309510753</v>
          </cell>
          <cell r="T250">
            <v>1125107</v>
          </cell>
          <cell r="U250">
            <v>17386887.132922042</v>
          </cell>
          <cell r="V250">
            <v>131152.45270771705</v>
          </cell>
          <cell r="W250">
            <v>0</v>
          </cell>
          <cell r="X250">
            <v>18643146.585629757</v>
          </cell>
          <cell r="Y250">
            <v>24862.29000000027</v>
          </cell>
          <cell r="Z250">
            <v>0</v>
          </cell>
          <cell r="AA250">
            <v>0</v>
          </cell>
          <cell r="AB250">
            <v>237914.64845380813</v>
          </cell>
          <cell r="AC250">
            <v>262776.93845380843</v>
          </cell>
          <cell r="AD250" t="str">
            <v>N/A</v>
          </cell>
          <cell r="AE250">
            <v>3682632</v>
          </cell>
          <cell r="AF250">
            <v>3682632</v>
          </cell>
          <cell r="AG250">
            <v>3682632</v>
          </cell>
          <cell r="AH250">
            <v>3682632</v>
          </cell>
          <cell r="AI250">
            <v>3649843</v>
          </cell>
          <cell r="AJ250">
            <v>0</v>
          </cell>
          <cell r="AK250">
            <v>18380371</v>
          </cell>
          <cell r="AL250">
            <v>77612052</v>
          </cell>
          <cell r="AM250">
            <v>9684633.0309510753</v>
          </cell>
          <cell r="AN250">
            <v>-2067469.7099999997</v>
          </cell>
          <cell r="AO250">
            <v>17280124.937175956</v>
          </cell>
          <cell r="AP250">
            <v>0</v>
          </cell>
          <cell r="AQ250">
            <v>1100244.7099999997</v>
          </cell>
          <cell r="AR250">
            <v>0</v>
          </cell>
          <cell r="AS250">
            <v>0</v>
          </cell>
          <cell r="AT250">
            <v>103609584.96812704</v>
          </cell>
          <cell r="AU250">
            <v>2.3409210972182718E-3</v>
          </cell>
          <cell r="AV250">
            <v>0</v>
          </cell>
          <cell r="AW250">
            <v>0</v>
          </cell>
          <cell r="AY250">
            <v>0</v>
          </cell>
          <cell r="AZ250">
            <v>0</v>
          </cell>
          <cell r="BA250">
            <v>0</v>
          </cell>
          <cell r="BB250">
            <v>0</v>
          </cell>
          <cell r="BC250">
            <v>0</v>
          </cell>
          <cell r="BD250">
            <v>0</v>
          </cell>
          <cell r="BE250">
            <v>0</v>
          </cell>
          <cell r="BF250">
            <v>0</v>
          </cell>
          <cell r="BG250">
            <v>0</v>
          </cell>
          <cell r="BH250">
            <v>0</v>
          </cell>
          <cell r="BJ250">
            <v>0</v>
          </cell>
          <cell r="BL250">
            <v>0</v>
          </cell>
          <cell r="BM250">
            <v>0</v>
          </cell>
          <cell r="BN250">
            <v>0</v>
          </cell>
          <cell r="BO250">
            <v>0</v>
          </cell>
          <cell r="BQ250">
            <v>0</v>
          </cell>
          <cell r="BR250">
            <v>0</v>
          </cell>
          <cell r="BS250">
            <v>0</v>
          </cell>
          <cell r="BT250">
            <v>0</v>
          </cell>
          <cell r="CB250">
            <v>0</v>
          </cell>
          <cell r="CC250">
            <v>0</v>
          </cell>
          <cell r="CD250">
            <v>0</v>
          </cell>
          <cell r="CE250">
            <v>0</v>
          </cell>
          <cell r="CF250">
            <v>0</v>
          </cell>
          <cell r="CI250">
            <v>0</v>
          </cell>
          <cell r="CJ250">
            <v>0</v>
          </cell>
          <cell r="CK250">
            <v>0</v>
          </cell>
          <cell r="CV250">
            <v>2.3816434519789462E-3</v>
          </cell>
          <cell r="DG250">
            <v>103609585</v>
          </cell>
          <cell r="DR250">
            <v>35867836.239999972</v>
          </cell>
          <cell r="EC250">
            <v>2.8886488804823451</v>
          </cell>
          <cell r="EN250">
            <v>2.4095909012463064E-2</v>
          </cell>
        </row>
        <row r="251">
          <cell r="B251">
            <v>37705</v>
          </cell>
          <cell r="C251" t="str">
            <v>Richmond Technical College</v>
          </cell>
          <cell r="D251">
            <v>6.9131020644434534E-4</v>
          </cell>
          <cell r="E251">
            <v>1196127.8492582438</v>
          </cell>
          <cell r="F251">
            <v>932648.31525507639</v>
          </cell>
          <cell r="G251">
            <v>84828</v>
          </cell>
          <cell r="H251">
            <v>-333762.17231067357</v>
          </cell>
          <cell r="I251">
            <v>-13811.708432013433</v>
          </cell>
          <cell r="J251">
            <v>1009364.5649013902</v>
          </cell>
          <cell r="K251">
            <v>0</v>
          </cell>
          <cell r="L251">
            <v>-53033.689872404226</v>
          </cell>
          <cell r="M251">
            <v>9517.2756738332737</v>
          </cell>
          <cell r="N251">
            <v>358.77617094048634</v>
          </cell>
          <cell r="O251">
            <v>-161.91176345133013</v>
          </cell>
          <cell r="P251">
            <v>0</v>
          </cell>
          <cell r="Q251">
            <v>0</v>
          </cell>
          <cell r="R251">
            <v>0</v>
          </cell>
          <cell r="S251">
            <v>2832075.2988809417</v>
          </cell>
          <cell r="T251">
            <v>424136.19000000006</v>
          </cell>
          <cell r="U251">
            <v>5046822.8245069506</v>
          </cell>
          <cell r="V251">
            <v>38069.102695333095</v>
          </cell>
          <cell r="W251">
            <v>0</v>
          </cell>
          <cell r="X251">
            <v>5509028.1172022838</v>
          </cell>
          <cell r="Y251">
            <v>0</v>
          </cell>
          <cell r="Z251">
            <v>0</v>
          </cell>
          <cell r="AA251">
            <v>0</v>
          </cell>
          <cell r="AB251">
            <v>69058.542160067169</v>
          </cell>
          <cell r="AC251">
            <v>69058.542160067169</v>
          </cell>
          <cell r="AD251" t="str">
            <v>N/A</v>
          </cell>
          <cell r="AE251">
            <v>1089897</v>
          </cell>
          <cell r="AF251">
            <v>1089898</v>
          </cell>
          <cell r="AG251">
            <v>1089898</v>
          </cell>
          <cell r="AH251">
            <v>1089898</v>
          </cell>
          <cell r="AI251">
            <v>1080381</v>
          </cell>
          <cell r="AJ251">
            <v>0</v>
          </cell>
          <cell r="AK251">
            <v>5439972</v>
          </cell>
          <cell r="AL251">
            <v>22415476</v>
          </cell>
          <cell r="AM251">
            <v>2832075.2988809417</v>
          </cell>
          <cell r="AN251">
            <v>-613177.19000000006</v>
          </cell>
          <cell r="AO251">
            <v>5015833.3850422176</v>
          </cell>
          <cell r="AP251">
            <v>0</v>
          </cell>
          <cell r="AQ251">
            <v>424136.19000000006</v>
          </cell>
          <cell r="AR251">
            <v>0</v>
          </cell>
          <cell r="AS251">
            <v>0</v>
          </cell>
          <cell r="AT251">
            <v>30074343.683923159</v>
          </cell>
          <cell r="AU251">
            <v>6.7609164069393809E-4</v>
          </cell>
          <cell r="AV251">
            <v>0</v>
          </cell>
          <cell r="AW251">
            <v>0</v>
          </cell>
          <cell r="AY251">
            <v>0</v>
          </cell>
          <cell r="AZ251">
            <v>0</v>
          </cell>
          <cell r="BA251">
            <v>0</v>
          </cell>
          <cell r="BB251">
            <v>0</v>
          </cell>
          <cell r="BC251">
            <v>0</v>
          </cell>
          <cell r="BD251">
            <v>0</v>
          </cell>
          <cell r="BE251">
            <v>0</v>
          </cell>
          <cell r="BF251">
            <v>0</v>
          </cell>
          <cell r="BG251">
            <v>0</v>
          </cell>
          <cell r="BH251">
            <v>0</v>
          </cell>
          <cell r="BJ251">
            <v>0</v>
          </cell>
          <cell r="BL251">
            <v>0</v>
          </cell>
          <cell r="BM251">
            <v>0</v>
          </cell>
          <cell r="BN251">
            <v>0</v>
          </cell>
          <cell r="BO251">
            <v>0</v>
          </cell>
          <cell r="BQ251">
            <v>0</v>
          </cell>
          <cell r="BR251">
            <v>0</v>
          </cell>
          <cell r="BS251">
            <v>0</v>
          </cell>
          <cell r="BT251">
            <v>0</v>
          </cell>
          <cell r="CB251">
            <v>0</v>
          </cell>
          <cell r="CC251">
            <v>0</v>
          </cell>
          <cell r="CD251">
            <v>0</v>
          </cell>
          <cell r="CE251">
            <v>0</v>
          </cell>
          <cell r="CF251">
            <v>0</v>
          </cell>
          <cell r="CI251">
            <v>0</v>
          </cell>
          <cell r="CJ251">
            <v>0</v>
          </cell>
          <cell r="CK251">
            <v>0</v>
          </cell>
          <cell r="CV251">
            <v>6.9131020644434534E-4</v>
          </cell>
          <cell r="DG251">
            <v>30074344</v>
          </cell>
          <cell r="DR251">
            <v>10587343.410000011</v>
          </cell>
          <cell r="EC251">
            <v>2.8405939842844834</v>
          </cell>
          <cell r="EN251">
            <v>2.4095909012463064E-2</v>
          </cell>
        </row>
        <row r="252">
          <cell r="B252">
            <v>37800</v>
          </cell>
          <cell r="C252" t="str">
            <v>Robeson County Schools</v>
          </cell>
          <cell r="D252">
            <v>7.1731948989898703E-3</v>
          </cell>
          <cell r="E252">
            <v>12411299.741933879</v>
          </cell>
          <cell r="F252">
            <v>9677375.0411535427</v>
          </cell>
          <cell r="G252">
            <v>242943</v>
          </cell>
          <cell r="H252">
            <v>-3463193.6424150635</v>
          </cell>
          <cell r="I252">
            <v>-143313.4872699586</v>
          </cell>
          <cell r="J252">
            <v>10473400.624896858</v>
          </cell>
          <cell r="K252">
            <v>0</v>
          </cell>
          <cell r="L252">
            <v>-550289.85558304051</v>
          </cell>
          <cell r="M252">
            <v>98753.457824605837</v>
          </cell>
          <cell r="N252">
            <v>3722.744688677763</v>
          </cell>
          <cell r="O252">
            <v>-1680.0339772924176</v>
          </cell>
          <cell r="P252">
            <v>0</v>
          </cell>
          <cell r="Q252">
            <v>0</v>
          </cell>
          <cell r="R252">
            <v>0</v>
          </cell>
          <cell r="S252">
            <v>28749017.591252204</v>
          </cell>
          <cell r="T252">
            <v>1214714.4499999993</v>
          </cell>
          <cell r="U252">
            <v>52367003.124484286</v>
          </cell>
          <cell r="V252">
            <v>395013.83129842335</v>
          </cell>
          <cell r="W252">
            <v>0</v>
          </cell>
          <cell r="X252">
            <v>53976731.405782714</v>
          </cell>
          <cell r="Y252">
            <v>0</v>
          </cell>
          <cell r="Z252">
            <v>0</v>
          </cell>
          <cell r="AA252">
            <v>0</v>
          </cell>
          <cell r="AB252">
            <v>716567.43634979299</v>
          </cell>
          <cell r="AC252">
            <v>716567.43634979299</v>
          </cell>
          <cell r="AD252" t="str">
            <v>N/A</v>
          </cell>
          <cell r="AE252">
            <v>10671783</v>
          </cell>
          <cell r="AF252">
            <v>10671785</v>
          </cell>
          <cell r="AG252">
            <v>10671785</v>
          </cell>
          <cell r="AH252">
            <v>10671785</v>
          </cell>
          <cell r="AI252">
            <v>10573031</v>
          </cell>
          <cell r="AJ252">
            <v>0</v>
          </cell>
          <cell r="AK252">
            <v>53260169</v>
          </cell>
          <cell r="AL252">
            <v>236376156</v>
          </cell>
          <cell r="AM252">
            <v>28749017.591252204</v>
          </cell>
          <cell r="AN252">
            <v>-6326977.4499999993</v>
          </cell>
          <cell r="AO252">
            <v>52045449.519432925</v>
          </cell>
          <cell r="AP252">
            <v>0</v>
          </cell>
          <cell r="AQ252">
            <v>1214714.4499999993</v>
          </cell>
          <cell r="AR252">
            <v>0</v>
          </cell>
          <cell r="AS252">
            <v>0</v>
          </cell>
          <cell r="AT252">
            <v>312058360.11068511</v>
          </cell>
          <cell r="AU252">
            <v>7.1295361318919059E-3</v>
          </cell>
          <cell r="AV252">
            <v>0</v>
          </cell>
          <cell r="AW252">
            <v>0</v>
          </cell>
          <cell r="AY252">
            <v>0</v>
          </cell>
          <cell r="AZ252">
            <v>0</v>
          </cell>
          <cell r="BA252">
            <v>0</v>
          </cell>
          <cell r="BB252">
            <v>0</v>
          </cell>
          <cell r="BC252">
            <v>0</v>
          </cell>
          <cell r="BD252">
            <v>0</v>
          </cell>
          <cell r="BE252">
            <v>0</v>
          </cell>
          <cell r="BF252">
            <v>0</v>
          </cell>
          <cell r="BG252">
            <v>0</v>
          </cell>
          <cell r="BH252">
            <v>0</v>
          </cell>
          <cell r="BJ252">
            <v>0</v>
          </cell>
          <cell r="BL252">
            <v>0</v>
          </cell>
          <cell r="BM252">
            <v>0</v>
          </cell>
          <cell r="BN252">
            <v>0</v>
          </cell>
          <cell r="BO252">
            <v>0</v>
          </cell>
          <cell r="BQ252">
            <v>0</v>
          </cell>
          <cell r="BR252">
            <v>0</v>
          </cell>
          <cell r="BS252">
            <v>0</v>
          </cell>
          <cell r="BT252">
            <v>0</v>
          </cell>
          <cell r="CB252">
            <v>0</v>
          </cell>
          <cell r="CC252">
            <v>0</v>
          </cell>
          <cell r="CD252">
            <v>0</v>
          </cell>
          <cell r="CE252">
            <v>0</v>
          </cell>
          <cell r="CF252">
            <v>0</v>
          </cell>
          <cell r="CI252">
            <v>0</v>
          </cell>
          <cell r="CJ252">
            <v>0</v>
          </cell>
          <cell r="CK252">
            <v>0</v>
          </cell>
          <cell r="CV252">
            <v>7.1731948989898703E-3</v>
          </cell>
          <cell r="DG252">
            <v>312058360</v>
          </cell>
          <cell r="DR252">
            <v>110477153.28999995</v>
          </cell>
          <cell r="EC252">
            <v>2.8246415725507887</v>
          </cell>
          <cell r="EN252">
            <v>2.4095909012463064E-2</v>
          </cell>
        </row>
        <row r="253">
          <cell r="B253">
            <v>37801</v>
          </cell>
          <cell r="C253" t="str">
            <v>Southeastern Academy Charter School</v>
          </cell>
          <cell r="D253">
            <v>4.4965534032614388E-5</v>
          </cell>
          <cell r="E253">
            <v>77800.858445027741</v>
          </cell>
          <cell r="F253">
            <v>60663.113561941595</v>
          </cell>
          <cell r="G253">
            <v>-21752</v>
          </cell>
          <cell r="H253">
            <v>-21709.204027270669</v>
          </cell>
          <cell r="I253">
            <v>-898.36782353110755</v>
          </cell>
          <cell r="J253">
            <v>65653.040084317588</v>
          </cell>
          <cell r="K253">
            <v>0</v>
          </cell>
          <cell r="L253">
            <v>-3449.5197157554057</v>
          </cell>
          <cell r="M253">
            <v>619.04103139257734</v>
          </cell>
          <cell r="N253">
            <v>23.336212852246216</v>
          </cell>
          <cell r="O253">
            <v>-10.531377725778617</v>
          </cell>
          <cell r="P253">
            <v>0</v>
          </cell>
          <cell r="Q253">
            <v>0</v>
          </cell>
          <cell r="R253">
            <v>0</v>
          </cell>
          <cell r="S253">
            <v>156939.76639124879</v>
          </cell>
          <cell r="T253">
            <v>0</v>
          </cell>
          <cell r="U253">
            <v>328265.20042158797</v>
          </cell>
          <cell r="V253">
            <v>2476.1641255703094</v>
          </cell>
          <cell r="W253">
            <v>0</v>
          </cell>
          <cell r="X253">
            <v>330741.3645471583</v>
          </cell>
          <cell r="Y253">
            <v>108760.39</v>
          </cell>
          <cell r="Z253">
            <v>0</v>
          </cell>
          <cell r="AA253">
            <v>0</v>
          </cell>
          <cell r="AB253">
            <v>4491.8391176555378</v>
          </cell>
          <cell r="AC253">
            <v>113252.22911765554</v>
          </cell>
          <cell r="AD253" t="str">
            <v>N/A</v>
          </cell>
          <cell r="AE253">
            <v>43622</v>
          </cell>
          <cell r="AF253">
            <v>43621</v>
          </cell>
          <cell r="AG253">
            <v>43621</v>
          </cell>
          <cell r="AH253">
            <v>43621</v>
          </cell>
          <cell r="AI253">
            <v>43002</v>
          </cell>
          <cell r="AJ253">
            <v>0</v>
          </cell>
          <cell r="AK253">
            <v>217487</v>
          </cell>
          <cell r="AL253">
            <v>1620531</v>
          </cell>
          <cell r="AM253">
            <v>156939.76639124879</v>
          </cell>
          <cell r="AN253">
            <v>-38806.61</v>
          </cell>
          <cell r="AO253">
            <v>326249.52542950277</v>
          </cell>
          <cell r="AP253">
            <v>0</v>
          </cell>
          <cell r="AQ253">
            <v>-108760.39</v>
          </cell>
          <cell r="AR253">
            <v>0</v>
          </cell>
          <cell r="AS253">
            <v>0</v>
          </cell>
          <cell r="AT253">
            <v>1956153.2918207517</v>
          </cell>
          <cell r="AU253">
            <v>4.8878182060460927E-5</v>
          </cell>
          <cell r="AV253">
            <v>0</v>
          </cell>
          <cell r="AW253">
            <v>0</v>
          </cell>
          <cell r="AY253">
            <v>0</v>
          </cell>
          <cell r="AZ253">
            <v>0</v>
          </cell>
          <cell r="BA253">
            <v>0</v>
          </cell>
          <cell r="BB253">
            <v>0</v>
          </cell>
          <cell r="BC253">
            <v>0</v>
          </cell>
          <cell r="BD253">
            <v>0</v>
          </cell>
          <cell r="BE253">
            <v>0</v>
          </cell>
          <cell r="BF253">
            <v>0</v>
          </cell>
          <cell r="BG253">
            <v>0</v>
          </cell>
          <cell r="BH253">
            <v>0</v>
          </cell>
          <cell r="BJ253">
            <v>0</v>
          </cell>
          <cell r="BL253">
            <v>0</v>
          </cell>
          <cell r="BM253">
            <v>0</v>
          </cell>
          <cell r="BN253">
            <v>0</v>
          </cell>
          <cell r="BO253">
            <v>0</v>
          </cell>
          <cell r="BQ253">
            <v>0</v>
          </cell>
          <cell r="BR253">
            <v>0</v>
          </cell>
          <cell r="BS253">
            <v>0</v>
          </cell>
          <cell r="BT253">
            <v>0</v>
          </cell>
          <cell r="CB253">
            <v>0</v>
          </cell>
          <cell r="CC253">
            <v>0</v>
          </cell>
          <cell r="CD253">
            <v>0</v>
          </cell>
          <cell r="CE253">
            <v>0</v>
          </cell>
          <cell r="CF253">
            <v>0</v>
          </cell>
          <cell r="CI253">
            <v>0</v>
          </cell>
          <cell r="CJ253">
            <v>0</v>
          </cell>
          <cell r="CK253">
            <v>0</v>
          </cell>
          <cell r="CV253">
            <v>4.4965534032614388E-5</v>
          </cell>
          <cell r="DG253">
            <v>1956154</v>
          </cell>
          <cell r="DR253">
            <v>600184.69000000006</v>
          </cell>
          <cell r="EC253">
            <v>3.2592534141449021</v>
          </cell>
          <cell r="EN253">
            <v>2.4095909012463064E-2</v>
          </cell>
        </row>
        <row r="254">
          <cell r="B254">
            <v>37805</v>
          </cell>
          <cell r="C254" t="str">
            <v>Robeson Community College</v>
          </cell>
          <cell r="D254">
            <v>5.8781813010430888E-4</v>
          </cell>
          <cell r="E254">
            <v>1017062.4260460327</v>
          </cell>
          <cell r="F254">
            <v>793026.8982110112</v>
          </cell>
          <cell r="G254">
            <v>-422245</v>
          </cell>
          <cell r="H254">
            <v>-283796.55644937576</v>
          </cell>
          <cell r="I254">
            <v>-11744.036972649068</v>
          </cell>
          <cell r="J254">
            <v>858258.39920049056</v>
          </cell>
          <cell r="K254">
            <v>0</v>
          </cell>
          <cell r="L254">
            <v>-45094.321077173598</v>
          </cell>
          <cell r="M254">
            <v>8092.4990519871435</v>
          </cell>
          <cell r="N254">
            <v>305.06585316153422</v>
          </cell>
          <cell r="O254">
            <v>-137.67288425173018</v>
          </cell>
          <cell r="P254">
            <v>0</v>
          </cell>
          <cell r="Q254">
            <v>0</v>
          </cell>
          <cell r="R254">
            <v>0</v>
          </cell>
          <cell r="S254">
            <v>1913727.7009792328</v>
          </cell>
          <cell r="T254">
            <v>20089.729999999981</v>
          </cell>
          <cell r="U254">
            <v>4291291.9960024534</v>
          </cell>
          <cell r="V254">
            <v>32369.996207948574</v>
          </cell>
          <cell r="W254">
            <v>0</v>
          </cell>
          <cell r="X254">
            <v>4343751.7222104017</v>
          </cell>
          <cell r="Y254">
            <v>2131317</v>
          </cell>
          <cell r="Z254">
            <v>0</v>
          </cell>
          <cell r="AA254">
            <v>0</v>
          </cell>
          <cell r="AB254">
            <v>58720.18486324534</v>
          </cell>
          <cell r="AC254">
            <v>2190037.1848632451</v>
          </cell>
          <cell r="AD254" t="str">
            <v>N/A</v>
          </cell>
          <cell r="AE254">
            <v>432362</v>
          </cell>
          <cell r="AF254">
            <v>432361</v>
          </cell>
          <cell r="AG254">
            <v>432361</v>
          </cell>
          <cell r="AH254">
            <v>432361</v>
          </cell>
          <cell r="AI254">
            <v>424268</v>
          </cell>
          <cell r="AJ254">
            <v>0</v>
          </cell>
          <cell r="AK254">
            <v>2153713</v>
          </cell>
          <cell r="AL254">
            <v>22046392</v>
          </cell>
          <cell r="AM254">
            <v>1913727.7009792328</v>
          </cell>
          <cell r="AN254">
            <v>-541747.73</v>
          </cell>
          <cell r="AO254">
            <v>4264941.8073471561</v>
          </cell>
          <cell r="AP254">
            <v>0</v>
          </cell>
          <cell r="AQ254">
            <v>-2111227.27</v>
          </cell>
          <cell r="AR254">
            <v>0</v>
          </cell>
          <cell r="AS254">
            <v>0</v>
          </cell>
          <cell r="AT254">
            <v>25572086.508326389</v>
          </cell>
          <cell r="AU254">
            <v>6.6495941749002152E-4</v>
          </cell>
          <cell r="AV254">
            <v>0</v>
          </cell>
          <cell r="AW254">
            <v>0</v>
          </cell>
          <cell r="AY254">
            <v>0</v>
          </cell>
          <cell r="AZ254">
            <v>0</v>
          </cell>
          <cell r="BA254">
            <v>0</v>
          </cell>
          <cell r="BB254">
            <v>0</v>
          </cell>
          <cell r="BC254">
            <v>0</v>
          </cell>
          <cell r="BD254">
            <v>0</v>
          </cell>
          <cell r="BE254">
            <v>0</v>
          </cell>
          <cell r="BF254">
            <v>0</v>
          </cell>
          <cell r="BG254">
            <v>0</v>
          </cell>
          <cell r="BH254">
            <v>0</v>
          </cell>
          <cell r="BJ254">
            <v>0</v>
          </cell>
          <cell r="BL254">
            <v>0</v>
          </cell>
          <cell r="BM254">
            <v>0</v>
          </cell>
          <cell r="BN254">
            <v>0</v>
          </cell>
          <cell r="BO254">
            <v>0</v>
          </cell>
          <cell r="BQ254">
            <v>0</v>
          </cell>
          <cell r="BR254">
            <v>0</v>
          </cell>
          <cell r="BS254">
            <v>0</v>
          </cell>
          <cell r="BT254">
            <v>0</v>
          </cell>
          <cell r="CB254">
            <v>0</v>
          </cell>
          <cell r="CC254">
            <v>0</v>
          </cell>
          <cell r="CD254">
            <v>0</v>
          </cell>
          <cell r="CE254">
            <v>0</v>
          </cell>
          <cell r="CF254">
            <v>0</v>
          </cell>
          <cell r="CI254">
            <v>0</v>
          </cell>
          <cell r="CJ254">
            <v>0</v>
          </cell>
          <cell r="CK254">
            <v>0</v>
          </cell>
          <cell r="CV254">
            <v>5.8781813010430888E-4</v>
          </cell>
          <cell r="DG254">
            <v>25572087</v>
          </cell>
          <cell r="DR254">
            <v>9578945.2599999998</v>
          </cell>
          <cell r="EC254">
            <v>2.6696140656304368</v>
          </cell>
          <cell r="EN254">
            <v>2.4095909012463064E-2</v>
          </cell>
        </row>
        <row r="255">
          <cell r="B255">
            <v>37900</v>
          </cell>
          <cell r="C255" t="str">
            <v>Rockingham County Schools</v>
          </cell>
          <cell r="D255">
            <v>3.9041682104257506E-3</v>
          </cell>
          <cell r="E255">
            <v>6755121.3350340053</v>
          </cell>
          <cell r="F255">
            <v>5267123.0223173955</v>
          </cell>
          <cell r="G255">
            <v>-1316550</v>
          </cell>
          <cell r="H255">
            <v>-1884918.8842156606</v>
          </cell>
          <cell r="I255">
            <v>-78001.499890016858</v>
          </cell>
          <cell r="J255">
            <v>5700377.3563344311</v>
          </cell>
          <cell r="K255">
            <v>0</v>
          </cell>
          <cell r="L255">
            <v>-299507.28942129051</v>
          </cell>
          <cell r="M255">
            <v>53748.729281388885</v>
          </cell>
          <cell r="N255">
            <v>2026.1852178467561</v>
          </cell>
          <cell r="O255">
            <v>-914.39523656381505</v>
          </cell>
          <cell r="P255">
            <v>0</v>
          </cell>
          <cell r="Q255">
            <v>0</v>
          </cell>
          <cell r="R255">
            <v>0</v>
          </cell>
          <cell r="S255">
            <v>14198504.559421536</v>
          </cell>
          <cell r="T255">
            <v>106590.18999999994</v>
          </cell>
          <cell r="U255">
            <v>28501886.781672154</v>
          </cell>
          <cell r="V255">
            <v>214994.91712555554</v>
          </cell>
          <cell r="W255">
            <v>0</v>
          </cell>
          <cell r="X255">
            <v>28823471.888797712</v>
          </cell>
          <cell r="Y255">
            <v>6689339</v>
          </cell>
          <cell r="Z255">
            <v>0</v>
          </cell>
          <cell r="AA255">
            <v>0</v>
          </cell>
          <cell r="AB255">
            <v>390007.49945008429</v>
          </cell>
          <cell r="AC255">
            <v>7079346.4994500838</v>
          </cell>
          <cell r="AD255" t="str">
            <v>N/A</v>
          </cell>
          <cell r="AE255">
            <v>4359575</v>
          </cell>
          <cell r="AF255">
            <v>4359575</v>
          </cell>
          <cell r="AG255">
            <v>4359575</v>
          </cell>
          <cell r="AH255">
            <v>4359575</v>
          </cell>
          <cell r="AI255">
            <v>4305826</v>
          </cell>
          <cell r="AJ255">
            <v>0</v>
          </cell>
          <cell r="AK255">
            <v>21744126</v>
          </cell>
          <cell r="AL255">
            <v>137467925</v>
          </cell>
          <cell r="AM255">
            <v>14198504.559421536</v>
          </cell>
          <cell r="AN255">
            <v>-3565967.19</v>
          </cell>
          <cell r="AO255">
            <v>28326874.199347626</v>
          </cell>
          <cell r="AP255">
            <v>0</v>
          </cell>
          <cell r="AQ255">
            <v>-6582748.8100000005</v>
          </cell>
          <cell r="AR255">
            <v>0</v>
          </cell>
          <cell r="AS255">
            <v>0</v>
          </cell>
          <cell r="AT255">
            <v>169844587.75876915</v>
          </cell>
          <cell r="AU255">
            <v>4.1462834077513203E-3</v>
          </cell>
          <cell r="AV255">
            <v>0</v>
          </cell>
          <cell r="AW255">
            <v>0</v>
          </cell>
          <cell r="AY255">
            <v>0</v>
          </cell>
          <cell r="AZ255">
            <v>0</v>
          </cell>
          <cell r="BA255">
            <v>0</v>
          </cell>
          <cell r="BB255">
            <v>0</v>
          </cell>
          <cell r="BC255">
            <v>0</v>
          </cell>
          <cell r="BD255">
            <v>0</v>
          </cell>
          <cell r="BE255">
            <v>0</v>
          </cell>
          <cell r="BF255">
            <v>0</v>
          </cell>
          <cell r="BG255">
            <v>0</v>
          </cell>
          <cell r="BH255">
            <v>0</v>
          </cell>
          <cell r="BJ255">
            <v>0</v>
          </cell>
          <cell r="BL255">
            <v>0</v>
          </cell>
          <cell r="BM255">
            <v>0</v>
          </cell>
          <cell r="BN255">
            <v>0</v>
          </cell>
          <cell r="BO255">
            <v>0</v>
          </cell>
          <cell r="BQ255">
            <v>0</v>
          </cell>
          <cell r="BR255">
            <v>0</v>
          </cell>
          <cell r="BS255">
            <v>0</v>
          </cell>
          <cell r="BT255">
            <v>0</v>
          </cell>
          <cell r="CB255">
            <v>0</v>
          </cell>
          <cell r="CC255">
            <v>0</v>
          </cell>
          <cell r="CD255">
            <v>0</v>
          </cell>
          <cell r="CE255">
            <v>0</v>
          </cell>
          <cell r="CF255">
            <v>0</v>
          </cell>
          <cell r="CI255">
            <v>0</v>
          </cell>
          <cell r="CJ255">
            <v>0</v>
          </cell>
          <cell r="CK255">
            <v>0</v>
          </cell>
          <cell r="CV255">
            <v>3.9041682104257506E-3</v>
          </cell>
          <cell r="DG255">
            <v>169844587</v>
          </cell>
          <cell r="DR255">
            <v>62086132.349999972</v>
          </cell>
          <cell r="EC255">
            <v>2.7356284015652665</v>
          </cell>
          <cell r="EN255">
            <v>2.4095909012463064E-2</v>
          </cell>
        </row>
        <row r="256">
          <cell r="B256">
            <v>37901</v>
          </cell>
          <cell r="C256" t="str">
            <v>Bethany Community Middle School</v>
          </cell>
          <cell r="D256">
            <v>5.7632588406695614E-5</v>
          </cell>
          <cell r="E256">
            <v>99717.816076589617</v>
          </cell>
          <cell r="F256">
            <v>77752.268055977547</v>
          </cell>
          <cell r="G256">
            <v>10728</v>
          </cell>
          <cell r="H256">
            <v>-27824.813988268881</v>
          </cell>
          <cell r="I256">
            <v>-1151.4433026378306</v>
          </cell>
          <cell r="J256">
            <v>84147.886113914108</v>
          </cell>
          <cell r="K256">
            <v>0</v>
          </cell>
          <cell r="L256">
            <v>-4421.2696291945731</v>
          </cell>
          <cell r="M256">
            <v>793.42851667740808</v>
          </cell>
          <cell r="N256">
            <v>29.910160731306888</v>
          </cell>
          <cell r="O256">
            <v>-13.498128530732179</v>
          </cell>
          <cell r="P256">
            <v>0</v>
          </cell>
          <cell r="Q256">
            <v>0</v>
          </cell>
          <cell r="R256">
            <v>0</v>
          </cell>
          <cell r="S256">
            <v>239758.28387525797</v>
          </cell>
          <cell r="T256">
            <v>60221</v>
          </cell>
          <cell r="U256">
            <v>420739.43056957051</v>
          </cell>
          <cell r="V256">
            <v>3173.7140667096323</v>
          </cell>
          <cell r="W256">
            <v>0</v>
          </cell>
          <cell r="X256">
            <v>484134.14463628014</v>
          </cell>
          <cell r="Y256">
            <v>6581.1100000000006</v>
          </cell>
          <cell r="Z256">
            <v>0</v>
          </cell>
          <cell r="AA256">
            <v>0</v>
          </cell>
          <cell r="AB256">
            <v>5757.2165131891525</v>
          </cell>
          <cell r="AC256">
            <v>12338.326513189153</v>
          </cell>
          <cell r="AD256" t="str">
            <v>N/A</v>
          </cell>
          <cell r="AE256">
            <v>94518</v>
          </cell>
          <cell r="AF256">
            <v>94518</v>
          </cell>
          <cell r="AG256">
            <v>94518</v>
          </cell>
          <cell r="AH256">
            <v>94518</v>
          </cell>
          <cell r="AI256">
            <v>93724</v>
          </cell>
          <cell r="AJ256">
            <v>0</v>
          </cell>
          <cell r="AK256">
            <v>471796</v>
          </cell>
          <cell r="AL256">
            <v>1838514</v>
          </cell>
          <cell r="AM256">
            <v>239758.28387525797</v>
          </cell>
          <cell r="AN256">
            <v>-42854.89</v>
          </cell>
          <cell r="AO256">
            <v>418155.92812309106</v>
          </cell>
          <cell r="AP256">
            <v>0</v>
          </cell>
          <cell r="AQ256">
            <v>53639.89</v>
          </cell>
          <cell r="AR256">
            <v>0</v>
          </cell>
          <cell r="AS256">
            <v>0</v>
          </cell>
          <cell r="AT256">
            <v>2507213.2119983491</v>
          </cell>
          <cell r="AU256">
            <v>5.5452930782065379E-5</v>
          </cell>
          <cell r="AV256">
            <v>0</v>
          </cell>
          <cell r="AW256">
            <v>0</v>
          </cell>
          <cell r="AY256">
            <v>0</v>
          </cell>
          <cell r="AZ256">
            <v>0</v>
          </cell>
          <cell r="BA256">
            <v>0</v>
          </cell>
          <cell r="BB256">
            <v>0</v>
          </cell>
          <cell r="BC256">
            <v>0</v>
          </cell>
          <cell r="BD256">
            <v>0</v>
          </cell>
          <cell r="BE256">
            <v>0</v>
          </cell>
          <cell r="BF256">
            <v>0</v>
          </cell>
          <cell r="BG256">
            <v>0</v>
          </cell>
          <cell r="BH256">
            <v>0</v>
          </cell>
          <cell r="BJ256">
            <v>0</v>
          </cell>
          <cell r="BL256">
            <v>0</v>
          </cell>
          <cell r="BM256">
            <v>0</v>
          </cell>
          <cell r="BN256">
            <v>0</v>
          </cell>
          <cell r="BO256">
            <v>0</v>
          </cell>
          <cell r="BQ256">
            <v>0</v>
          </cell>
          <cell r="BR256">
            <v>0</v>
          </cell>
          <cell r="BS256">
            <v>0</v>
          </cell>
          <cell r="BT256">
            <v>0</v>
          </cell>
          <cell r="CB256">
            <v>0</v>
          </cell>
          <cell r="CC256">
            <v>0</v>
          </cell>
          <cell r="CD256">
            <v>0</v>
          </cell>
          <cell r="CE256">
            <v>0</v>
          </cell>
          <cell r="CF256">
            <v>0</v>
          </cell>
          <cell r="CI256">
            <v>0</v>
          </cell>
          <cell r="CJ256">
            <v>0</v>
          </cell>
          <cell r="CK256">
            <v>0</v>
          </cell>
          <cell r="CV256">
            <v>5.7632588406695614E-5</v>
          </cell>
          <cell r="DG256">
            <v>2507213</v>
          </cell>
          <cell r="DR256">
            <v>832947.65000000026</v>
          </cell>
          <cell r="EC256">
            <v>3.0100487107443059</v>
          </cell>
          <cell r="EN256">
            <v>2.4095909012463064E-2</v>
          </cell>
        </row>
        <row r="257">
          <cell r="B257">
            <v>37905</v>
          </cell>
          <cell r="C257" t="str">
            <v>Rockingham Community College</v>
          </cell>
          <cell r="D257">
            <v>4.4464693495217513E-4</v>
          </cell>
          <cell r="E257">
            <v>769342.87534843886</v>
          </cell>
          <cell r="F257">
            <v>599874.28349919128</v>
          </cell>
          <cell r="G257">
            <v>-39697</v>
          </cell>
          <cell r="H257">
            <v>-214673.99951206759</v>
          </cell>
          <cell r="I257">
            <v>-8883.6151462813687</v>
          </cell>
          <cell r="J257">
            <v>649217.75470542104</v>
          </cell>
          <cell r="K257">
            <v>0</v>
          </cell>
          <cell r="L257">
            <v>-34110.978589851307</v>
          </cell>
          <cell r="M257">
            <v>6121.4595387368263</v>
          </cell>
          <cell r="N257">
            <v>230.76286630147985</v>
          </cell>
          <cell r="O257">
            <v>-104.14075863514894</v>
          </cell>
          <cell r="P257">
            <v>0</v>
          </cell>
          <cell r="Q257">
            <v>0</v>
          </cell>
          <cell r="R257">
            <v>0</v>
          </cell>
          <cell r="S257">
            <v>1727317.4019512536</v>
          </cell>
          <cell r="T257">
            <v>48472.659999999974</v>
          </cell>
          <cell r="U257">
            <v>3246088.7735271053</v>
          </cell>
          <cell r="V257">
            <v>24485.838154947305</v>
          </cell>
          <cell r="W257">
            <v>0</v>
          </cell>
          <cell r="X257">
            <v>3319047.2716820529</v>
          </cell>
          <cell r="Y257">
            <v>246956</v>
          </cell>
          <cell r="Z257">
            <v>0</v>
          </cell>
          <cell r="AA257">
            <v>0</v>
          </cell>
          <cell r="AB257">
            <v>44418.07573140684</v>
          </cell>
          <cell r="AC257">
            <v>291374.07573140686</v>
          </cell>
          <cell r="AD257" t="str">
            <v>N/A</v>
          </cell>
          <cell r="AE257">
            <v>606760</v>
          </cell>
          <cell r="AF257">
            <v>606759</v>
          </cell>
          <cell r="AG257">
            <v>606759</v>
          </cell>
          <cell r="AH257">
            <v>606759</v>
          </cell>
          <cell r="AI257">
            <v>600637</v>
          </cell>
          <cell r="AJ257">
            <v>0</v>
          </cell>
          <cell r="AK257">
            <v>3027674</v>
          </cell>
          <cell r="AL257">
            <v>15038391</v>
          </cell>
          <cell r="AM257">
            <v>1727317.4019512536</v>
          </cell>
          <cell r="AN257">
            <v>-449728.66</v>
          </cell>
          <cell r="AO257">
            <v>3226156.5359506463</v>
          </cell>
          <cell r="AP257">
            <v>0</v>
          </cell>
          <cell r="AQ257">
            <v>-198483.34000000003</v>
          </cell>
          <cell r="AR257">
            <v>0</v>
          </cell>
          <cell r="AS257">
            <v>0</v>
          </cell>
          <cell r="AT257">
            <v>19343652.937901899</v>
          </cell>
          <cell r="AU257">
            <v>4.5358529498222018E-4</v>
          </cell>
          <cell r="AV257">
            <v>0</v>
          </cell>
          <cell r="AW257">
            <v>0</v>
          </cell>
          <cell r="AY257">
            <v>0</v>
          </cell>
          <cell r="AZ257">
            <v>0</v>
          </cell>
          <cell r="BA257">
            <v>0</v>
          </cell>
          <cell r="BB257">
            <v>0</v>
          </cell>
          <cell r="BC257">
            <v>0</v>
          </cell>
          <cell r="BD257">
            <v>0</v>
          </cell>
          <cell r="BE257">
            <v>0</v>
          </cell>
          <cell r="BF257">
            <v>0</v>
          </cell>
          <cell r="BG257">
            <v>0</v>
          </cell>
          <cell r="BH257">
            <v>0</v>
          </cell>
          <cell r="BJ257">
            <v>0</v>
          </cell>
          <cell r="BL257">
            <v>0</v>
          </cell>
          <cell r="BM257">
            <v>0</v>
          </cell>
          <cell r="BN257">
            <v>0</v>
          </cell>
          <cell r="BO257">
            <v>0</v>
          </cell>
          <cell r="BQ257">
            <v>0</v>
          </cell>
          <cell r="BR257">
            <v>0</v>
          </cell>
          <cell r="BS257">
            <v>0</v>
          </cell>
          <cell r="BT257">
            <v>0</v>
          </cell>
          <cell r="CB257">
            <v>0</v>
          </cell>
          <cell r="CC257">
            <v>0</v>
          </cell>
          <cell r="CD257">
            <v>0</v>
          </cell>
          <cell r="CE257">
            <v>0</v>
          </cell>
          <cell r="CF257">
            <v>0</v>
          </cell>
          <cell r="CI257">
            <v>0</v>
          </cell>
          <cell r="CJ257">
            <v>0</v>
          </cell>
          <cell r="CK257">
            <v>0</v>
          </cell>
          <cell r="CV257">
            <v>4.4464693495217513E-4</v>
          </cell>
          <cell r="DG257">
            <v>19343653</v>
          </cell>
          <cell r="DR257">
            <v>7801983.4299999978</v>
          </cell>
          <cell r="EC257">
            <v>2.4793250554237596</v>
          </cell>
          <cell r="EN257">
            <v>2.4095909012463064E-2</v>
          </cell>
        </row>
        <row r="258">
          <cell r="B258">
            <v>38000</v>
          </cell>
          <cell r="C258" t="str">
            <v>Rowan-Salisbury School System</v>
          </cell>
          <cell r="D258">
            <v>6.2471042055790658E-3</v>
          </cell>
          <cell r="E258">
            <v>10808946.906692294</v>
          </cell>
          <cell r="F258">
            <v>8427983.7882377263</v>
          </cell>
          <cell r="G258">
            <v>-148011</v>
          </cell>
          <cell r="H258">
            <v>-3016080.2645014506</v>
          </cell>
          <cell r="I258">
            <v>-124811.09207926801</v>
          </cell>
          <cell r="J258">
            <v>9121239.0032398552</v>
          </cell>
          <cell r="K258">
            <v>0</v>
          </cell>
          <cell r="L258">
            <v>-479245.03927593114</v>
          </cell>
          <cell r="M258">
            <v>86003.956448812678</v>
          </cell>
          <cell r="N258">
            <v>3242.1221406114237</v>
          </cell>
          <cell r="O258">
            <v>-1463.1342759886729</v>
          </cell>
          <cell r="P258">
            <v>0</v>
          </cell>
          <cell r="Q258">
            <v>0</v>
          </cell>
          <cell r="R258">
            <v>0</v>
          </cell>
          <cell r="S258">
            <v>24677805.246626664</v>
          </cell>
          <cell r="T258">
            <v>0</v>
          </cell>
          <cell r="U258">
            <v>45606195.016199276</v>
          </cell>
          <cell r="V258">
            <v>344015.82579525071</v>
          </cell>
          <cell r="W258">
            <v>0</v>
          </cell>
          <cell r="X258">
            <v>45950210.841994524</v>
          </cell>
          <cell r="Y258">
            <v>740054.71</v>
          </cell>
          <cell r="Z258">
            <v>0</v>
          </cell>
          <cell r="AA258">
            <v>0</v>
          </cell>
          <cell r="AB258">
            <v>624055.46039634</v>
          </cell>
          <cell r="AC258">
            <v>1364110.1703963401</v>
          </cell>
          <cell r="AD258" t="str">
            <v>N/A</v>
          </cell>
          <cell r="AE258">
            <v>8934421</v>
          </cell>
          <cell r="AF258">
            <v>8934421</v>
          </cell>
          <cell r="AG258">
            <v>8934421</v>
          </cell>
          <cell r="AH258">
            <v>8934421</v>
          </cell>
          <cell r="AI258">
            <v>8848417</v>
          </cell>
          <cell r="AJ258">
            <v>0</v>
          </cell>
          <cell r="AK258">
            <v>44586101</v>
          </cell>
          <cell r="AL258">
            <v>207920199</v>
          </cell>
          <cell r="AM258">
            <v>24677805.246626664</v>
          </cell>
          <cell r="AN258">
            <v>-5413838.29</v>
          </cell>
          <cell r="AO258">
            <v>45326155.381598189</v>
          </cell>
          <cell r="AP258">
            <v>0</v>
          </cell>
          <cell r="AQ258">
            <v>-740054.71</v>
          </cell>
          <cell r="AR258">
            <v>0</v>
          </cell>
          <cell r="AS258">
            <v>0</v>
          </cell>
          <cell r="AT258">
            <v>271770266.62822491</v>
          </cell>
          <cell r="AU258">
            <v>6.2712525424480437E-3</v>
          </cell>
          <cell r="AV258">
            <v>0</v>
          </cell>
          <cell r="AW258">
            <v>0</v>
          </cell>
          <cell r="AY258">
            <v>0</v>
          </cell>
          <cell r="AZ258">
            <v>0</v>
          </cell>
          <cell r="BA258">
            <v>0</v>
          </cell>
          <cell r="BB258">
            <v>0</v>
          </cell>
          <cell r="BC258">
            <v>0</v>
          </cell>
          <cell r="BD258">
            <v>0</v>
          </cell>
          <cell r="BE258">
            <v>0</v>
          </cell>
          <cell r="BF258">
            <v>0</v>
          </cell>
          <cell r="BG258">
            <v>0</v>
          </cell>
          <cell r="BH258">
            <v>0</v>
          </cell>
          <cell r="BJ258">
            <v>0</v>
          </cell>
          <cell r="BL258">
            <v>0</v>
          </cell>
          <cell r="BM258">
            <v>0</v>
          </cell>
          <cell r="BN258">
            <v>0</v>
          </cell>
          <cell r="BO258">
            <v>0</v>
          </cell>
          <cell r="BQ258">
            <v>0</v>
          </cell>
          <cell r="BR258">
            <v>0</v>
          </cell>
          <cell r="BS258">
            <v>0</v>
          </cell>
          <cell r="BT258">
            <v>0</v>
          </cell>
          <cell r="CB258">
            <v>0</v>
          </cell>
          <cell r="CC258">
            <v>0</v>
          </cell>
          <cell r="CD258">
            <v>0</v>
          </cell>
          <cell r="CE258">
            <v>0</v>
          </cell>
          <cell r="CF258">
            <v>0</v>
          </cell>
          <cell r="CI258">
            <v>0</v>
          </cell>
          <cell r="CJ258">
            <v>0</v>
          </cell>
          <cell r="CK258">
            <v>0</v>
          </cell>
          <cell r="CV258">
            <v>6.2471042055790658E-3</v>
          </cell>
          <cell r="DG258">
            <v>271770267</v>
          </cell>
          <cell r="DR258">
            <v>93746939.509999946</v>
          </cell>
          <cell r="EC258">
            <v>2.8989774857771264</v>
          </cell>
          <cell r="EN258">
            <v>2.4095909012463064E-2</v>
          </cell>
        </row>
        <row r="259">
          <cell r="B259">
            <v>38005</v>
          </cell>
          <cell r="C259" t="str">
            <v>Rowan-Cabarrus Community College</v>
          </cell>
          <cell r="D259">
            <v>1.3299451332424062E-3</v>
          </cell>
          <cell r="E259">
            <v>2301115.1824861355</v>
          </cell>
          <cell r="F259">
            <v>1794232.2800062343</v>
          </cell>
          <cell r="G259">
            <v>292798</v>
          </cell>
          <cell r="H259">
            <v>-642092.90212573926</v>
          </cell>
          <cell r="I259">
            <v>-26571.015789563888</v>
          </cell>
          <cell r="J259">
            <v>1941819.284952238</v>
          </cell>
          <cell r="K259">
            <v>0</v>
          </cell>
          <cell r="L259">
            <v>-102026.408819366</v>
          </cell>
          <cell r="M259">
            <v>18309.370158503374</v>
          </cell>
          <cell r="N259">
            <v>690.21492525014401</v>
          </cell>
          <cell r="O259">
            <v>-311.48644965670394</v>
          </cell>
          <cell r="P259">
            <v>0</v>
          </cell>
          <cell r="Q259">
            <v>0</v>
          </cell>
          <cell r="R259">
            <v>0</v>
          </cell>
          <cell r="S259">
            <v>5577962.5193440355</v>
          </cell>
          <cell r="T259">
            <v>1467223</v>
          </cell>
          <cell r="U259">
            <v>9709096.4247611891</v>
          </cell>
          <cell r="V259">
            <v>73237.480634013496</v>
          </cell>
          <cell r="W259">
            <v>0</v>
          </cell>
          <cell r="X259">
            <v>11249556.905395202</v>
          </cell>
          <cell r="Y259">
            <v>3233.3300000000745</v>
          </cell>
          <cell r="Z259">
            <v>0</v>
          </cell>
          <cell r="AA259">
            <v>0</v>
          </cell>
          <cell r="AB259">
            <v>132855.07894781942</v>
          </cell>
          <cell r="AC259">
            <v>136088.40894781949</v>
          </cell>
          <cell r="AD259" t="str">
            <v>N/A</v>
          </cell>
          <cell r="AE259">
            <v>2226356</v>
          </cell>
          <cell r="AF259">
            <v>2226356</v>
          </cell>
          <cell r="AG259">
            <v>2226356</v>
          </cell>
          <cell r="AH259">
            <v>2226356</v>
          </cell>
          <cell r="AI259">
            <v>2208046</v>
          </cell>
          <cell r="AJ259">
            <v>0</v>
          </cell>
          <cell r="AK259">
            <v>11113470</v>
          </cell>
          <cell r="AL259">
            <v>42332989</v>
          </cell>
          <cell r="AM259">
            <v>5577962.5193440355</v>
          </cell>
          <cell r="AN259">
            <v>-1167285.67</v>
          </cell>
          <cell r="AO259">
            <v>9649478.8264473844</v>
          </cell>
          <cell r="AP259">
            <v>0</v>
          </cell>
          <cell r="AQ259">
            <v>1463989.67</v>
          </cell>
          <cell r="AR259">
            <v>0</v>
          </cell>
          <cell r="AS259">
            <v>0</v>
          </cell>
          <cell r="AT259">
            <v>57857134.345791414</v>
          </cell>
          <cell r="AU259">
            <v>1.2768401914825278E-3</v>
          </cell>
          <cell r="AV259">
            <v>0</v>
          </cell>
          <cell r="AW259">
            <v>0</v>
          </cell>
          <cell r="AY259">
            <v>0</v>
          </cell>
          <cell r="AZ259">
            <v>0</v>
          </cell>
          <cell r="BA259">
            <v>0</v>
          </cell>
          <cell r="BB259">
            <v>0</v>
          </cell>
          <cell r="BC259">
            <v>0</v>
          </cell>
          <cell r="BD259">
            <v>0</v>
          </cell>
          <cell r="BE259">
            <v>0</v>
          </cell>
          <cell r="BF259">
            <v>0</v>
          </cell>
          <cell r="BG259">
            <v>0</v>
          </cell>
          <cell r="BH259">
            <v>0</v>
          </cell>
          <cell r="BJ259">
            <v>0</v>
          </cell>
          <cell r="BL259">
            <v>0</v>
          </cell>
          <cell r="BM259">
            <v>0</v>
          </cell>
          <cell r="BN259">
            <v>0</v>
          </cell>
          <cell r="BO259">
            <v>0</v>
          </cell>
          <cell r="BQ259">
            <v>0</v>
          </cell>
          <cell r="BR259">
            <v>0</v>
          </cell>
          <cell r="BS259">
            <v>0</v>
          </cell>
          <cell r="BT259">
            <v>0</v>
          </cell>
          <cell r="CB259">
            <v>0</v>
          </cell>
          <cell r="CC259">
            <v>0</v>
          </cell>
          <cell r="CD259">
            <v>0</v>
          </cell>
          <cell r="CE259">
            <v>0</v>
          </cell>
          <cell r="CF259">
            <v>0</v>
          </cell>
          <cell r="CI259">
            <v>0</v>
          </cell>
          <cell r="CJ259">
            <v>0</v>
          </cell>
          <cell r="CK259">
            <v>0</v>
          </cell>
          <cell r="CV259">
            <v>1.3299451332424062E-3</v>
          </cell>
          <cell r="DG259">
            <v>57857134</v>
          </cell>
          <cell r="DR259">
            <v>20810332.490000002</v>
          </cell>
          <cell r="EC259">
            <v>2.7802118984788979</v>
          </cell>
          <cell r="EN259">
            <v>2.4095909012463064E-2</v>
          </cell>
        </row>
        <row r="260">
          <cell r="B260">
            <v>38100</v>
          </cell>
          <cell r="C260" t="str">
            <v>Rutherford County Schools</v>
          </cell>
          <cell r="D260">
            <v>2.8409398017833084E-3</v>
          </cell>
          <cell r="E260">
            <v>4915488.2761777658</v>
          </cell>
          <cell r="F260">
            <v>3832718.9374248041</v>
          </cell>
          <cell r="G260">
            <v>-40278</v>
          </cell>
          <cell r="H260">
            <v>-1371595.8925646024</v>
          </cell>
          <cell r="I260">
            <v>-56759.225958704264</v>
          </cell>
          <cell r="J260">
            <v>4147984.4217646532</v>
          </cell>
          <cell r="K260">
            <v>0</v>
          </cell>
          <cell r="L260">
            <v>-217941.98753244503</v>
          </cell>
          <cell r="M260">
            <v>39111.2513807703</v>
          </cell>
          <cell r="N260">
            <v>1474.3909383295013</v>
          </cell>
          <cell r="O260">
            <v>-665.37651097566868</v>
          </cell>
          <cell r="P260">
            <v>0</v>
          </cell>
          <cell r="Q260">
            <v>0</v>
          </cell>
          <cell r="R260">
            <v>0</v>
          </cell>
          <cell r="S260">
            <v>11249536.795119593</v>
          </cell>
          <cell r="T260">
            <v>48557.000000000466</v>
          </cell>
          <cell r="U260">
            <v>20739922.108823266</v>
          </cell>
          <cell r="V260">
            <v>156445.0055230812</v>
          </cell>
          <cell r="W260">
            <v>0</v>
          </cell>
          <cell r="X260">
            <v>20944924.114346348</v>
          </cell>
          <cell r="Y260">
            <v>249946</v>
          </cell>
          <cell r="Z260">
            <v>0</v>
          </cell>
          <cell r="AA260">
            <v>0</v>
          </cell>
          <cell r="AB260">
            <v>283796.12979352131</v>
          </cell>
          <cell r="AC260">
            <v>533742.12979352125</v>
          </cell>
          <cell r="AD260" t="str">
            <v>N/A</v>
          </cell>
          <cell r="AE260">
            <v>4090058</v>
          </cell>
          <cell r="AF260">
            <v>4090059</v>
          </cell>
          <cell r="AG260">
            <v>4090059</v>
          </cell>
          <cell r="AH260">
            <v>4090059</v>
          </cell>
          <cell r="AI260">
            <v>4050948</v>
          </cell>
          <cell r="AJ260">
            <v>0</v>
          </cell>
          <cell r="AK260">
            <v>20411183</v>
          </cell>
          <cell r="AL260">
            <v>94489854</v>
          </cell>
          <cell r="AM260">
            <v>11249536.795119593</v>
          </cell>
          <cell r="AN260">
            <v>-2560035.0000000005</v>
          </cell>
          <cell r="AO260">
            <v>20612570.984552827</v>
          </cell>
          <cell r="AP260">
            <v>0</v>
          </cell>
          <cell r="AQ260">
            <v>-201388.99999999953</v>
          </cell>
          <cell r="AR260">
            <v>0</v>
          </cell>
          <cell r="AS260">
            <v>0</v>
          </cell>
          <cell r="AT260">
            <v>123590537.77967243</v>
          </cell>
          <cell r="AU260">
            <v>2.8499863722386384E-3</v>
          </cell>
          <cell r="AV260">
            <v>0</v>
          </cell>
          <cell r="AW260">
            <v>0</v>
          </cell>
          <cell r="AY260">
            <v>0</v>
          </cell>
          <cell r="AZ260">
            <v>0</v>
          </cell>
          <cell r="BA260">
            <v>0</v>
          </cell>
          <cell r="BB260">
            <v>0</v>
          </cell>
          <cell r="BC260">
            <v>0</v>
          </cell>
          <cell r="BD260">
            <v>0</v>
          </cell>
          <cell r="BE260">
            <v>0</v>
          </cell>
          <cell r="BF260">
            <v>0</v>
          </cell>
          <cell r="BG260">
            <v>0</v>
          </cell>
          <cell r="BH260">
            <v>0</v>
          </cell>
          <cell r="BJ260">
            <v>0</v>
          </cell>
          <cell r="BL260">
            <v>0</v>
          </cell>
          <cell r="BM260">
            <v>0</v>
          </cell>
          <cell r="BN260">
            <v>0</v>
          </cell>
          <cell r="BO260">
            <v>0</v>
          </cell>
          <cell r="BQ260">
            <v>0</v>
          </cell>
          <cell r="BR260">
            <v>0</v>
          </cell>
          <cell r="BS260">
            <v>0</v>
          </cell>
          <cell r="BT260">
            <v>0</v>
          </cell>
          <cell r="CB260">
            <v>0</v>
          </cell>
          <cell r="CC260">
            <v>0</v>
          </cell>
          <cell r="CD260">
            <v>0</v>
          </cell>
          <cell r="CE260">
            <v>0</v>
          </cell>
          <cell r="CF260">
            <v>0</v>
          </cell>
          <cell r="CI260">
            <v>0</v>
          </cell>
          <cell r="CJ260">
            <v>0</v>
          </cell>
          <cell r="CK260">
            <v>0</v>
          </cell>
          <cell r="CV260">
            <v>2.8409398017833084E-3</v>
          </cell>
          <cell r="DG260">
            <v>123590538</v>
          </cell>
          <cell r="DR260">
            <v>44237044.530000061</v>
          </cell>
          <cell r="EC260">
            <v>2.7938244815651077</v>
          </cell>
          <cell r="EN260">
            <v>2.4095909012463064E-2</v>
          </cell>
        </row>
        <row r="261">
          <cell r="B261">
            <v>38105</v>
          </cell>
          <cell r="C261" t="str">
            <v>Isothermal Community College</v>
          </cell>
          <cell r="D261">
            <v>5.9904529846460555E-4</v>
          </cell>
          <cell r="E261">
            <v>1036488.0451369653</v>
          </cell>
          <cell r="F261">
            <v>808173.49891024269</v>
          </cell>
          <cell r="G261">
            <v>17810</v>
          </cell>
          <cell r="H261">
            <v>-289216.99443206302</v>
          </cell>
          <cell r="I261">
            <v>-11968.344923644188</v>
          </cell>
          <cell r="J261">
            <v>874650.90404336224</v>
          </cell>
          <cell r="K261">
            <v>0</v>
          </cell>
          <cell r="L261">
            <v>-45955.610494594024</v>
          </cell>
          <cell r="M261">
            <v>8247.0636097289716</v>
          </cell>
          <cell r="N261">
            <v>310.89252899716098</v>
          </cell>
          <cell r="O261">
            <v>-140.30239935339526</v>
          </cell>
          <cell r="P261">
            <v>0</v>
          </cell>
          <cell r="Q261">
            <v>0</v>
          </cell>
          <cell r="R261">
            <v>0</v>
          </cell>
          <cell r="S261">
            <v>2398399.1519796415</v>
          </cell>
          <cell r="T261">
            <v>90615</v>
          </cell>
          <cell r="U261">
            <v>4373254.5202168105</v>
          </cell>
          <cell r="V261">
            <v>32988.254438915887</v>
          </cell>
          <cell r="W261">
            <v>0</v>
          </cell>
          <cell r="X261">
            <v>4496857.7746557267</v>
          </cell>
          <cell r="Y261">
            <v>1565.1199999998789</v>
          </cell>
          <cell r="Z261">
            <v>0</v>
          </cell>
          <cell r="AA261">
            <v>0</v>
          </cell>
          <cell r="AB261">
            <v>59841.724618220935</v>
          </cell>
          <cell r="AC261">
            <v>61406.844618220814</v>
          </cell>
          <cell r="AD261" t="str">
            <v>N/A</v>
          </cell>
          <cell r="AE261">
            <v>888740</v>
          </cell>
          <cell r="AF261">
            <v>888740</v>
          </cell>
          <cell r="AG261">
            <v>888740</v>
          </cell>
          <cell r="AH261">
            <v>888740</v>
          </cell>
          <cell r="AI261">
            <v>880493</v>
          </cell>
          <cell r="AJ261">
            <v>0</v>
          </cell>
          <cell r="AK261">
            <v>4435453</v>
          </cell>
          <cell r="AL261">
            <v>19752305</v>
          </cell>
          <cell r="AM261">
            <v>2398399.1519796415</v>
          </cell>
          <cell r="AN261">
            <v>-525648.88000000012</v>
          </cell>
          <cell r="AO261">
            <v>4346401.050037506</v>
          </cell>
          <cell r="AP261">
            <v>0</v>
          </cell>
          <cell r="AQ261">
            <v>89049.880000000121</v>
          </cell>
          <cell r="AR261">
            <v>0</v>
          </cell>
          <cell r="AS261">
            <v>0</v>
          </cell>
          <cell r="AT261">
            <v>26060506.202017147</v>
          </cell>
          <cell r="AU261">
            <v>5.9576555276577038E-4</v>
          </cell>
          <cell r="AV261">
            <v>0</v>
          </cell>
          <cell r="AW261">
            <v>0</v>
          </cell>
          <cell r="AY261">
            <v>0</v>
          </cell>
          <cell r="AZ261">
            <v>0</v>
          </cell>
          <cell r="BA261">
            <v>0</v>
          </cell>
          <cell r="BB261">
            <v>0</v>
          </cell>
          <cell r="BC261">
            <v>0</v>
          </cell>
          <cell r="BD261">
            <v>0</v>
          </cell>
          <cell r="BE261">
            <v>0</v>
          </cell>
          <cell r="BF261">
            <v>0</v>
          </cell>
          <cell r="BG261">
            <v>0</v>
          </cell>
          <cell r="BH261">
            <v>0</v>
          </cell>
          <cell r="BJ261">
            <v>0</v>
          </cell>
          <cell r="BL261">
            <v>0</v>
          </cell>
          <cell r="BM261">
            <v>0</v>
          </cell>
          <cell r="BN261">
            <v>0</v>
          </cell>
          <cell r="BO261">
            <v>0</v>
          </cell>
          <cell r="BQ261">
            <v>0</v>
          </cell>
          <cell r="BR261">
            <v>0</v>
          </cell>
          <cell r="BS261">
            <v>0</v>
          </cell>
          <cell r="BT261">
            <v>0</v>
          </cell>
          <cell r="CB261">
            <v>0</v>
          </cell>
          <cell r="CC261">
            <v>0</v>
          </cell>
          <cell r="CD261">
            <v>0</v>
          </cell>
          <cell r="CE261">
            <v>0</v>
          </cell>
          <cell r="CF261">
            <v>0</v>
          </cell>
          <cell r="CI261">
            <v>0</v>
          </cell>
          <cell r="CJ261">
            <v>0</v>
          </cell>
          <cell r="CK261">
            <v>0</v>
          </cell>
          <cell r="CV261">
            <v>5.9904529846460555E-4</v>
          </cell>
          <cell r="DG261">
            <v>26060507</v>
          </cell>
          <cell r="DR261">
            <v>9339358.4699999988</v>
          </cell>
          <cell r="EC261">
            <v>2.7903958375419338</v>
          </cell>
          <cell r="EN261">
            <v>2.4095909012463064E-2</v>
          </cell>
        </row>
        <row r="262">
          <cell r="B262">
            <v>38200</v>
          </cell>
          <cell r="C262" t="str">
            <v>Sampson County Schools</v>
          </cell>
          <cell r="D262">
            <v>2.7972368238497903E-3</v>
          </cell>
          <cell r="E262">
            <v>4839871.9341731174</v>
          </cell>
          <cell r="F262">
            <v>3773759.1414296515</v>
          </cell>
          <cell r="G262">
            <v>-174241</v>
          </cell>
          <cell r="H262">
            <v>-1350496.2462472718</v>
          </cell>
          <cell r="I262">
            <v>-55886.082783322745</v>
          </cell>
          <cell r="J262">
            <v>4084174.8079392686</v>
          </cell>
          <cell r="K262">
            <v>0</v>
          </cell>
          <cell r="L262">
            <v>-214589.32449258098</v>
          </cell>
          <cell r="M262">
            <v>38509.591973917275</v>
          </cell>
          <cell r="N262">
            <v>1451.7099668415642</v>
          </cell>
          <cell r="O262">
            <v>-655.14083651385943</v>
          </cell>
          <cell r="P262">
            <v>0</v>
          </cell>
          <cell r="Q262">
            <v>0</v>
          </cell>
          <cell r="R262">
            <v>0</v>
          </cell>
          <cell r="S262">
            <v>10941899.391123107</v>
          </cell>
          <cell r="T262">
            <v>0</v>
          </cell>
          <cell r="U262">
            <v>20420874.039696343</v>
          </cell>
          <cell r="V262">
            <v>154038.3678956691</v>
          </cell>
          <cell r="W262">
            <v>0</v>
          </cell>
          <cell r="X262">
            <v>20574912.407592013</v>
          </cell>
          <cell r="Y262">
            <v>871208.10000000009</v>
          </cell>
          <cell r="Z262">
            <v>0</v>
          </cell>
          <cell r="AA262">
            <v>0</v>
          </cell>
          <cell r="AB262">
            <v>279430.41391661373</v>
          </cell>
          <cell r="AC262">
            <v>1150638.5139166138</v>
          </cell>
          <cell r="AD262" t="str">
            <v>N/A</v>
          </cell>
          <cell r="AE262">
            <v>3892557</v>
          </cell>
          <cell r="AF262">
            <v>3892556</v>
          </cell>
          <cell r="AG262">
            <v>3892556</v>
          </cell>
          <cell r="AH262">
            <v>3892556</v>
          </cell>
          <cell r="AI262">
            <v>3854047</v>
          </cell>
          <cell r="AJ262">
            <v>0</v>
          </cell>
          <cell r="AK262">
            <v>19424272</v>
          </cell>
          <cell r="AL262">
            <v>93717867</v>
          </cell>
          <cell r="AM262">
            <v>10941899.391123107</v>
          </cell>
          <cell r="AN262">
            <v>-2394730.9</v>
          </cell>
          <cell r="AO262">
            <v>20295481.9936754</v>
          </cell>
          <cell r="AP262">
            <v>0</v>
          </cell>
          <cell r="AQ262">
            <v>-871208.10000000009</v>
          </cell>
          <cell r="AR262">
            <v>0</v>
          </cell>
          <cell r="AS262">
            <v>0</v>
          </cell>
          <cell r="AT262">
            <v>121689309.3847985</v>
          </cell>
          <cell r="AU262">
            <v>2.8267018549442331E-3</v>
          </cell>
          <cell r="AV262">
            <v>0</v>
          </cell>
          <cell r="AW262">
            <v>0</v>
          </cell>
          <cell r="AY262">
            <v>0</v>
          </cell>
          <cell r="AZ262">
            <v>0</v>
          </cell>
          <cell r="BA262">
            <v>0</v>
          </cell>
          <cell r="BB262">
            <v>0</v>
          </cell>
          <cell r="BC262">
            <v>0</v>
          </cell>
          <cell r="BD262">
            <v>0</v>
          </cell>
          <cell r="BE262">
            <v>0</v>
          </cell>
          <cell r="BF262">
            <v>0</v>
          </cell>
          <cell r="BG262">
            <v>0</v>
          </cell>
          <cell r="BH262">
            <v>0</v>
          </cell>
          <cell r="BJ262">
            <v>0</v>
          </cell>
          <cell r="BL262">
            <v>0</v>
          </cell>
          <cell r="BM262">
            <v>0</v>
          </cell>
          <cell r="BN262">
            <v>0</v>
          </cell>
          <cell r="BO262">
            <v>0</v>
          </cell>
          <cell r="BQ262">
            <v>0</v>
          </cell>
          <cell r="BR262">
            <v>0</v>
          </cell>
          <cell r="BS262">
            <v>0</v>
          </cell>
          <cell r="BT262">
            <v>0</v>
          </cell>
          <cell r="CB262">
            <v>0</v>
          </cell>
          <cell r="CC262">
            <v>0</v>
          </cell>
          <cell r="CD262">
            <v>0</v>
          </cell>
          <cell r="CE262">
            <v>0</v>
          </cell>
          <cell r="CF262">
            <v>0</v>
          </cell>
          <cell r="CI262">
            <v>0</v>
          </cell>
          <cell r="CJ262">
            <v>0</v>
          </cell>
          <cell r="CK262">
            <v>0</v>
          </cell>
          <cell r="CV262">
            <v>2.7972368238497903E-3</v>
          </cell>
          <cell r="DG262">
            <v>121689310</v>
          </cell>
          <cell r="DR262">
            <v>41825389.139999889</v>
          </cell>
          <cell r="EC262">
            <v>2.9094603182931755</v>
          </cell>
          <cell r="EN262">
            <v>2.4095909012463064E-2</v>
          </cell>
        </row>
        <row r="263">
          <cell r="B263">
            <v>38205</v>
          </cell>
          <cell r="C263" t="str">
            <v>Sampson Community College</v>
          </cell>
          <cell r="D263">
            <v>3.8287703535390649E-4</v>
          </cell>
          <cell r="E263">
            <v>662466.54621771467</v>
          </cell>
          <cell r="F263">
            <v>516540.35864640033</v>
          </cell>
          <cell r="G263">
            <v>-92956</v>
          </cell>
          <cell r="H263">
            <v>-184851.70601611573</v>
          </cell>
          <cell r="I263">
            <v>-7649.5123727752843</v>
          </cell>
          <cell r="J263">
            <v>559029.08505928819</v>
          </cell>
          <cell r="K263">
            <v>0</v>
          </cell>
          <cell r="L263">
            <v>-29372.316165650784</v>
          </cell>
          <cell r="M263">
            <v>5271.0726106377779</v>
          </cell>
          <cell r="N263">
            <v>198.70552380797039</v>
          </cell>
          <cell r="O263">
            <v>-89.673630450238434</v>
          </cell>
          <cell r="P263">
            <v>0</v>
          </cell>
          <cell r="Q263">
            <v>0</v>
          </cell>
          <cell r="R263">
            <v>0</v>
          </cell>
          <cell r="S263">
            <v>1428586.5598728573</v>
          </cell>
          <cell r="T263">
            <v>38065.229999999981</v>
          </cell>
          <cell r="U263">
            <v>2795145.4252964412</v>
          </cell>
          <cell r="V263">
            <v>21084.290442551111</v>
          </cell>
          <cell r="W263">
            <v>0</v>
          </cell>
          <cell r="X263">
            <v>2854294.9457389922</v>
          </cell>
          <cell r="Y263">
            <v>502844</v>
          </cell>
          <cell r="Z263">
            <v>0</v>
          </cell>
          <cell r="AA263">
            <v>0</v>
          </cell>
          <cell r="AB263">
            <v>38247.561863876421</v>
          </cell>
          <cell r="AC263">
            <v>541091.56186387641</v>
          </cell>
          <cell r="AD263" t="str">
            <v>N/A</v>
          </cell>
          <cell r="AE263">
            <v>463695</v>
          </cell>
          <cell r="AF263">
            <v>463695</v>
          </cell>
          <cell r="AG263">
            <v>463695</v>
          </cell>
          <cell r="AH263">
            <v>463695</v>
          </cell>
          <cell r="AI263">
            <v>458424</v>
          </cell>
          <cell r="AJ263">
            <v>0</v>
          </cell>
          <cell r="AK263">
            <v>2313204</v>
          </cell>
          <cell r="AL263">
            <v>13297507</v>
          </cell>
          <cell r="AM263">
            <v>1428586.5598728573</v>
          </cell>
          <cell r="AN263">
            <v>-382844.23</v>
          </cell>
          <cell r="AO263">
            <v>2777982.1538751158</v>
          </cell>
          <cell r="AP263">
            <v>0</v>
          </cell>
          <cell r="AQ263">
            <v>-464778.77</v>
          </cell>
          <cell r="AR263">
            <v>0</v>
          </cell>
          <cell r="AS263">
            <v>0</v>
          </cell>
          <cell r="AT263">
            <v>16656452.713747974</v>
          </cell>
          <cell r="AU263">
            <v>4.0107707127556559E-4</v>
          </cell>
          <cell r="AV263">
            <v>0</v>
          </cell>
          <cell r="AW263">
            <v>0</v>
          </cell>
          <cell r="AY263">
            <v>0</v>
          </cell>
          <cell r="AZ263">
            <v>0</v>
          </cell>
          <cell r="BA263">
            <v>0</v>
          </cell>
          <cell r="BB263">
            <v>0</v>
          </cell>
          <cell r="BC263">
            <v>0</v>
          </cell>
          <cell r="BD263">
            <v>0</v>
          </cell>
          <cell r="BE263">
            <v>0</v>
          </cell>
          <cell r="BF263">
            <v>0</v>
          </cell>
          <cell r="BG263">
            <v>0</v>
          </cell>
          <cell r="BH263">
            <v>0</v>
          </cell>
          <cell r="BJ263">
            <v>0</v>
          </cell>
          <cell r="BL263">
            <v>0</v>
          </cell>
          <cell r="BM263">
            <v>0</v>
          </cell>
          <cell r="BN263">
            <v>0</v>
          </cell>
          <cell r="BO263">
            <v>0</v>
          </cell>
          <cell r="BQ263">
            <v>0</v>
          </cell>
          <cell r="BR263">
            <v>0</v>
          </cell>
          <cell r="BS263">
            <v>0</v>
          </cell>
          <cell r="BT263">
            <v>0</v>
          </cell>
          <cell r="CB263">
            <v>0</v>
          </cell>
          <cell r="CC263">
            <v>0</v>
          </cell>
          <cell r="CD263">
            <v>0</v>
          </cell>
          <cell r="CE263">
            <v>0</v>
          </cell>
          <cell r="CF263">
            <v>0</v>
          </cell>
          <cell r="CI263">
            <v>0</v>
          </cell>
          <cell r="CJ263">
            <v>0</v>
          </cell>
          <cell r="CK263">
            <v>0</v>
          </cell>
          <cell r="CV263">
            <v>3.8287703535390649E-4</v>
          </cell>
          <cell r="DG263">
            <v>16656452</v>
          </cell>
          <cell r="DR263">
            <v>6738604.7900000019</v>
          </cell>
          <cell r="EC263">
            <v>2.4717953521651763</v>
          </cell>
          <cell r="EN263">
            <v>2.4095909012463064E-2</v>
          </cell>
        </row>
        <row r="264">
          <cell r="B264">
            <v>38210</v>
          </cell>
          <cell r="C264" t="str">
            <v>Clinton City Schools</v>
          </cell>
          <cell r="D264">
            <v>1.0224584275585027E-3</v>
          </cell>
          <cell r="E264">
            <v>1769091.485285305</v>
          </cell>
          <cell r="F264">
            <v>1379401.2022265177</v>
          </cell>
          <cell r="G264">
            <v>187969</v>
          </cell>
          <cell r="H264">
            <v>-493639.38604999409</v>
          </cell>
          <cell r="I264">
            <v>-20427.729192552961</v>
          </cell>
          <cell r="J264">
            <v>1492865.7153356127</v>
          </cell>
          <cell r="K264">
            <v>0</v>
          </cell>
          <cell r="L264">
            <v>-78437.642969949593</v>
          </cell>
          <cell r="M264">
            <v>14076.197095596857</v>
          </cell>
          <cell r="N264">
            <v>530.63547473431174</v>
          </cell>
          <cell r="O264">
            <v>-239.46998831847691</v>
          </cell>
          <cell r="P264">
            <v>0</v>
          </cell>
          <cell r="Q264">
            <v>0</v>
          </cell>
          <cell r="R264">
            <v>0</v>
          </cell>
          <cell r="S264">
            <v>4251190.0072169518</v>
          </cell>
          <cell r="T264">
            <v>968497</v>
          </cell>
          <cell r="U264">
            <v>7464328.5766780628</v>
          </cell>
          <cell r="V264">
            <v>56304.788382387429</v>
          </cell>
          <cell r="W264">
            <v>0</v>
          </cell>
          <cell r="X264">
            <v>8489130.3650604505</v>
          </cell>
          <cell r="Y264">
            <v>28657.920000000275</v>
          </cell>
          <cell r="Z264">
            <v>0</v>
          </cell>
          <cell r="AA264">
            <v>0</v>
          </cell>
          <cell r="AB264">
            <v>102138.6459627648</v>
          </cell>
          <cell r="AC264">
            <v>130796.56596276507</v>
          </cell>
          <cell r="AD264" t="str">
            <v>N/A</v>
          </cell>
          <cell r="AE264">
            <v>1674481</v>
          </cell>
          <cell r="AF264">
            <v>1674483</v>
          </cell>
          <cell r="AG264">
            <v>1674483</v>
          </cell>
          <cell r="AH264">
            <v>1674483</v>
          </cell>
          <cell r="AI264">
            <v>1660407</v>
          </cell>
          <cell r="AJ264">
            <v>0</v>
          </cell>
          <cell r="AK264">
            <v>8358337</v>
          </cell>
          <cell r="AL264">
            <v>32736894</v>
          </cell>
          <cell r="AM264">
            <v>4251190.0072169518</v>
          </cell>
          <cell r="AN264">
            <v>-866001.07999999973</v>
          </cell>
          <cell r="AO264">
            <v>7418494.719097686</v>
          </cell>
          <cell r="AP264">
            <v>0</v>
          </cell>
          <cell r="AQ264">
            <v>939839.07999999973</v>
          </cell>
          <cell r="AR264">
            <v>0</v>
          </cell>
          <cell r="AS264">
            <v>0</v>
          </cell>
          <cell r="AT264">
            <v>44480416.726314642</v>
          </cell>
          <cell r="AU264">
            <v>9.8740444543833931E-4</v>
          </cell>
          <cell r="AV264">
            <v>0</v>
          </cell>
          <cell r="AW264">
            <v>0</v>
          </cell>
          <cell r="AY264">
            <v>0</v>
          </cell>
          <cell r="AZ264">
            <v>0</v>
          </cell>
          <cell r="BA264">
            <v>0</v>
          </cell>
          <cell r="BB264">
            <v>0</v>
          </cell>
          <cell r="BC264">
            <v>0</v>
          </cell>
          <cell r="BD264">
            <v>0</v>
          </cell>
          <cell r="BE264">
            <v>0</v>
          </cell>
          <cell r="BF264">
            <v>0</v>
          </cell>
          <cell r="BG264">
            <v>0</v>
          </cell>
          <cell r="BH264">
            <v>0</v>
          </cell>
          <cell r="BJ264">
            <v>0</v>
          </cell>
          <cell r="BL264">
            <v>0</v>
          </cell>
          <cell r="BM264">
            <v>0</v>
          </cell>
          <cell r="BN264">
            <v>0</v>
          </cell>
          <cell r="BO264">
            <v>0</v>
          </cell>
          <cell r="BQ264">
            <v>0</v>
          </cell>
          <cell r="BR264">
            <v>0</v>
          </cell>
          <cell r="BS264">
            <v>0</v>
          </cell>
          <cell r="BT264">
            <v>0</v>
          </cell>
          <cell r="CB264">
            <v>0</v>
          </cell>
          <cell r="CC264">
            <v>0</v>
          </cell>
          <cell r="CD264">
            <v>0</v>
          </cell>
          <cell r="CE264">
            <v>0</v>
          </cell>
          <cell r="CF264">
            <v>0</v>
          </cell>
          <cell r="CI264">
            <v>0</v>
          </cell>
          <cell r="CJ264">
            <v>0</v>
          </cell>
          <cell r="CK264">
            <v>0</v>
          </cell>
          <cell r="CV264">
            <v>1.0224584275585027E-3</v>
          </cell>
          <cell r="DG264">
            <v>44480417</v>
          </cell>
          <cell r="DR264">
            <v>15077834.040000003</v>
          </cell>
          <cell r="EC264">
            <v>2.9500534945535182</v>
          </cell>
          <cell r="EN264">
            <v>2.4095909012463064E-2</v>
          </cell>
        </row>
        <row r="265">
          <cell r="B265">
            <v>38300</v>
          </cell>
          <cell r="C265" t="str">
            <v>Scotland County Schools</v>
          </cell>
          <cell r="D265">
            <v>2.1694012522345762E-3</v>
          </cell>
          <cell r="E265">
            <v>3753570.0034863991</v>
          </cell>
          <cell r="F265">
            <v>2926744.6135582514</v>
          </cell>
          <cell r="G265">
            <v>-143954</v>
          </cell>
          <cell r="H265">
            <v>-1047379.407695175</v>
          </cell>
          <cell r="I265">
            <v>-43342.536083793537</v>
          </cell>
          <cell r="J265">
            <v>3167487.9535205727</v>
          </cell>
          <cell r="K265">
            <v>0</v>
          </cell>
          <cell r="L265">
            <v>-166425.07538195333</v>
          </cell>
          <cell r="M265">
            <v>29866.172337986107</v>
          </cell>
          <cell r="N265">
            <v>1125.8758618847003</v>
          </cell>
          <cell r="O265">
            <v>-508.09546728586008</v>
          </cell>
          <cell r="P265">
            <v>0</v>
          </cell>
          <cell r="Q265">
            <v>0</v>
          </cell>
          <cell r="R265">
            <v>0</v>
          </cell>
          <cell r="S265">
            <v>8477185.5041368864</v>
          </cell>
          <cell r="T265">
            <v>0</v>
          </cell>
          <cell r="U265">
            <v>15837439.767602863</v>
          </cell>
          <cell r="V265">
            <v>119464.68935194443</v>
          </cell>
          <cell r="W265">
            <v>0</v>
          </cell>
          <cell r="X265">
            <v>15956904.456954807</v>
          </cell>
          <cell r="Y265">
            <v>719770.33000000007</v>
          </cell>
          <cell r="Z265">
            <v>0</v>
          </cell>
          <cell r="AA265">
            <v>0</v>
          </cell>
          <cell r="AB265">
            <v>216712.68041896768</v>
          </cell>
          <cell r="AC265">
            <v>936483.01041896781</v>
          </cell>
          <cell r="AD265" t="str">
            <v>N/A</v>
          </cell>
          <cell r="AE265">
            <v>3010058</v>
          </cell>
          <cell r="AF265">
            <v>3010057</v>
          </cell>
          <cell r="AG265">
            <v>3010057</v>
          </cell>
          <cell r="AH265">
            <v>3010057</v>
          </cell>
          <cell r="AI265">
            <v>2980190</v>
          </cell>
          <cell r="AJ265">
            <v>0</v>
          </cell>
          <cell r="AK265">
            <v>15020419</v>
          </cell>
          <cell r="AL265">
            <v>72778345</v>
          </cell>
          <cell r="AM265">
            <v>8477185.5041368864</v>
          </cell>
          <cell r="AN265">
            <v>-1899623.67</v>
          </cell>
          <cell r="AO265">
            <v>15740191.776535841</v>
          </cell>
          <cell r="AP265">
            <v>0</v>
          </cell>
          <cell r="AQ265">
            <v>-719770.33000000007</v>
          </cell>
          <cell r="AR265">
            <v>0</v>
          </cell>
          <cell r="AS265">
            <v>0</v>
          </cell>
          <cell r="AT265">
            <v>94376328.280672729</v>
          </cell>
          <cell r="AU265">
            <v>2.1951276669120081E-3</v>
          </cell>
          <cell r="AV265">
            <v>0</v>
          </cell>
          <cell r="AW265">
            <v>0</v>
          </cell>
          <cell r="AY265">
            <v>0</v>
          </cell>
          <cell r="AZ265">
            <v>0</v>
          </cell>
          <cell r="BA265">
            <v>0</v>
          </cell>
          <cell r="BB265">
            <v>0</v>
          </cell>
          <cell r="BC265">
            <v>0</v>
          </cell>
          <cell r="BD265">
            <v>0</v>
          </cell>
          <cell r="BE265">
            <v>0</v>
          </cell>
          <cell r="BF265">
            <v>0</v>
          </cell>
          <cell r="BG265">
            <v>0</v>
          </cell>
          <cell r="BH265">
            <v>0</v>
          </cell>
          <cell r="BJ265">
            <v>0</v>
          </cell>
          <cell r="BL265">
            <v>0</v>
          </cell>
          <cell r="BM265">
            <v>0</v>
          </cell>
          <cell r="BN265">
            <v>0</v>
          </cell>
          <cell r="BO265">
            <v>0</v>
          </cell>
          <cell r="BQ265">
            <v>0</v>
          </cell>
          <cell r="BR265">
            <v>0</v>
          </cell>
          <cell r="BS265">
            <v>0</v>
          </cell>
          <cell r="BT265">
            <v>0</v>
          </cell>
          <cell r="CB265">
            <v>0</v>
          </cell>
          <cell r="CC265">
            <v>0</v>
          </cell>
          <cell r="CD265">
            <v>0</v>
          </cell>
          <cell r="CE265">
            <v>0</v>
          </cell>
          <cell r="CF265">
            <v>0</v>
          </cell>
          <cell r="CI265">
            <v>0</v>
          </cell>
          <cell r="CJ265">
            <v>0</v>
          </cell>
          <cell r="CK265">
            <v>0</v>
          </cell>
          <cell r="CV265">
            <v>2.1694012522345762E-3</v>
          </cell>
          <cell r="DG265">
            <v>94376328</v>
          </cell>
          <cell r="DR265">
            <v>32869761.020000018</v>
          </cell>
          <cell r="EC265">
            <v>2.8712203883251703</v>
          </cell>
          <cell r="EN265">
            <v>2.4095909012463064E-2</v>
          </cell>
        </row>
        <row r="266">
          <cell r="B266">
            <v>38400</v>
          </cell>
          <cell r="C266" t="str">
            <v>Stanly County Schools</v>
          </cell>
          <cell r="D266">
            <v>2.6936973243421778E-3</v>
          </cell>
          <cell r="E266">
            <v>4660724.4578233873</v>
          </cell>
          <cell r="F266">
            <v>3634073.7456725114</v>
          </cell>
          <cell r="G266">
            <v>-562641</v>
          </cell>
          <cell r="H266">
            <v>-1300507.7346449876</v>
          </cell>
          <cell r="I266">
            <v>-53817.463854996728</v>
          </cell>
          <cell r="J266">
            <v>3932999.4008696456</v>
          </cell>
          <cell r="K266">
            <v>0</v>
          </cell>
          <cell r="L266">
            <v>-206646.31764089098</v>
          </cell>
          <cell r="M266">
            <v>37084.1624767701</v>
          </cell>
          <cell r="N266">
            <v>1397.9750373871034</v>
          </cell>
          <cell r="O266">
            <v>-630.89085033418144</v>
          </cell>
          <cell r="P266">
            <v>0</v>
          </cell>
          <cell r="Q266">
            <v>0</v>
          </cell>
          <cell r="R266">
            <v>0</v>
          </cell>
          <cell r="S266">
            <v>10142036.334888494</v>
          </cell>
          <cell r="T266">
            <v>0</v>
          </cell>
          <cell r="U266">
            <v>19664997.00434823</v>
          </cell>
          <cell r="V266">
            <v>148336.6499070804</v>
          </cell>
          <cell r="W266">
            <v>0</v>
          </cell>
          <cell r="X266">
            <v>19813333.654255308</v>
          </cell>
          <cell r="Y266">
            <v>2813203.05</v>
          </cell>
          <cell r="Z266">
            <v>0</v>
          </cell>
          <cell r="AA266">
            <v>0</v>
          </cell>
          <cell r="AB266">
            <v>269087.3192749836</v>
          </cell>
          <cell r="AC266">
            <v>3082290.3692749832</v>
          </cell>
          <cell r="AD266" t="str">
            <v>N/A</v>
          </cell>
          <cell r="AE266">
            <v>3353625</v>
          </cell>
          <cell r="AF266">
            <v>3353625</v>
          </cell>
          <cell r="AG266">
            <v>3353625</v>
          </cell>
          <cell r="AH266">
            <v>3353625</v>
          </cell>
          <cell r="AI266">
            <v>3316541</v>
          </cell>
          <cell r="AJ266">
            <v>0</v>
          </cell>
          <cell r="AK266">
            <v>16731041</v>
          </cell>
          <cell r="AL266">
            <v>92650101</v>
          </cell>
          <cell r="AM266">
            <v>10142036.334888494</v>
          </cell>
          <cell r="AN266">
            <v>-2338191.9500000002</v>
          </cell>
          <cell r="AO266">
            <v>19544246.334980328</v>
          </cell>
          <cell r="AP266">
            <v>0</v>
          </cell>
          <cell r="AQ266">
            <v>-2813203.05</v>
          </cell>
          <cell r="AR266">
            <v>0</v>
          </cell>
          <cell r="AS266">
            <v>0</v>
          </cell>
          <cell r="AT266">
            <v>117184988.66986881</v>
          </cell>
          <cell r="AU266">
            <v>2.7944960664973819E-3</v>
          </cell>
          <cell r="AV266">
            <v>0</v>
          </cell>
          <cell r="AW266">
            <v>0</v>
          </cell>
          <cell r="AY266">
            <v>0</v>
          </cell>
          <cell r="AZ266">
            <v>0</v>
          </cell>
          <cell r="BA266">
            <v>0</v>
          </cell>
          <cell r="BB266">
            <v>0</v>
          </cell>
          <cell r="BC266">
            <v>0</v>
          </cell>
          <cell r="BD266">
            <v>0</v>
          </cell>
          <cell r="BE266">
            <v>0</v>
          </cell>
          <cell r="BF266">
            <v>0</v>
          </cell>
          <cell r="BG266">
            <v>0</v>
          </cell>
          <cell r="BH266">
            <v>0</v>
          </cell>
          <cell r="BJ266">
            <v>0</v>
          </cell>
          <cell r="BL266">
            <v>0</v>
          </cell>
          <cell r="BM266">
            <v>0</v>
          </cell>
          <cell r="BN266">
            <v>0</v>
          </cell>
          <cell r="BO266">
            <v>0</v>
          </cell>
          <cell r="BQ266">
            <v>0</v>
          </cell>
          <cell r="BR266">
            <v>0</v>
          </cell>
          <cell r="BS266">
            <v>0</v>
          </cell>
          <cell r="BT266">
            <v>0</v>
          </cell>
          <cell r="CB266">
            <v>0</v>
          </cell>
          <cell r="CC266">
            <v>0</v>
          </cell>
          <cell r="CD266">
            <v>0</v>
          </cell>
          <cell r="CE266">
            <v>0</v>
          </cell>
          <cell r="CF266">
            <v>0</v>
          </cell>
          <cell r="CI266">
            <v>0</v>
          </cell>
          <cell r="CJ266">
            <v>0</v>
          </cell>
          <cell r="CK266">
            <v>0</v>
          </cell>
          <cell r="CV266">
            <v>2.6936973243421778E-3</v>
          </cell>
          <cell r="DG266">
            <v>117184989</v>
          </cell>
          <cell r="DR266">
            <v>40948904.550000034</v>
          </cell>
          <cell r="EC266">
            <v>2.8617368471215894</v>
          </cell>
          <cell r="EN266">
            <v>2.4095909012463064E-2</v>
          </cell>
        </row>
        <row r="267">
          <cell r="B267">
            <v>38402</v>
          </cell>
          <cell r="C267" t="str">
            <v>Gray Stone Day School</v>
          </cell>
          <cell r="D267">
            <v>9.6334000593835368E-5</v>
          </cell>
          <cell r="E267">
            <v>166680.28312991964</v>
          </cell>
          <cell r="F267">
            <v>129964.43928946275</v>
          </cell>
          <cell r="G267">
            <v>22379</v>
          </cell>
          <cell r="H267">
            <v>-46509.721693461921</v>
          </cell>
          <cell r="I267">
            <v>-1924.6600381251269</v>
          </cell>
          <cell r="J267">
            <v>140654.84016896979</v>
          </cell>
          <cell r="K267">
            <v>0</v>
          </cell>
          <cell r="L267">
            <v>-7390.2388016786363</v>
          </cell>
          <cell r="M267">
            <v>1326.2313095742793</v>
          </cell>
          <cell r="N267">
            <v>49.995419628188678</v>
          </cell>
          <cell r="O267">
            <v>-22.562386279082183</v>
          </cell>
          <cell r="P267">
            <v>0</v>
          </cell>
          <cell r="Q267">
            <v>0</v>
          </cell>
          <cell r="R267">
            <v>0</v>
          </cell>
          <cell r="S267">
            <v>405207.60639800981</v>
          </cell>
          <cell r="T267">
            <v>117947</v>
          </cell>
          <cell r="U267">
            <v>703274.20084484888</v>
          </cell>
          <cell r="V267">
            <v>5304.9252382971172</v>
          </cell>
          <cell r="W267">
            <v>0</v>
          </cell>
          <cell r="X267">
            <v>826526.12608314597</v>
          </cell>
          <cell r="Y267">
            <v>6047.3400000000111</v>
          </cell>
          <cell r="Z267">
            <v>0</v>
          </cell>
          <cell r="AA267">
            <v>0</v>
          </cell>
          <cell r="AB267">
            <v>9623.3001906256341</v>
          </cell>
          <cell r="AC267">
            <v>15670.640190625645</v>
          </cell>
          <cell r="AD267" t="str">
            <v>N/A</v>
          </cell>
          <cell r="AE267">
            <v>162436</v>
          </cell>
          <cell r="AF267">
            <v>162436</v>
          </cell>
          <cell r="AG267">
            <v>162436</v>
          </cell>
          <cell r="AH267">
            <v>162436</v>
          </cell>
          <cell r="AI267">
            <v>161110</v>
          </cell>
          <cell r="AJ267">
            <v>0</v>
          </cell>
          <cell r="AK267">
            <v>810854</v>
          </cell>
          <cell r="AL267">
            <v>3052369</v>
          </cell>
          <cell r="AM267">
            <v>405207.60639800981</v>
          </cell>
          <cell r="AN267">
            <v>-77575.659999999989</v>
          </cell>
          <cell r="AO267">
            <v>698955.82589252049</v>
          </cell>
          <cell r="AP267">
            <v>0</v>
          </cell>
          <cell r="AQ267">
            <v>111899.65999999999</v>
          </cell>
          <cell r="AR267">
            <v>0</v>
          </cell>
          <cell r="AS267">
            <v>0</v>
          </cell>
          <cell r="AT267">
            <v>4190856.4322905303</v>
          </cell>
          <cell r="AU267">
            <v>9.2065003565337255E-5</v>
          </cell>
          <cell r="AV267">
            <v>0</v>
          </cell>
          <cell r="AW267">
            <v>0</v>
          </cell>
          <cell r="AY267">
            <v>0</v>
          </cell>
          <cell r="AZ267">
            <v>0</v>
          </cell>
          <cell r="BA267">
            <v>0</v>
          </cell>
          <cell r="BB267">
            <v>0</v>
          </cell>
          <cell r="BC267">
            <v>0</v>
          </cell>
          <cell r="BD267">
            <v>0</v>
          </cell>
          <cell r="BE267">
            <v>0</v>
          </cell>
          <cell r="BF267">
            <v>0</v>
          </cell>
          <cell r="BG267">
            <v>0</v>
          </cell>
          <cell r="BH267">
            <v>0</v>
          </cell>
          <cell r="BJ267">
            <v>0</v>
          </cell>
          <cell r="BL267">
            <v>0</v>
          </cell>
          <cell r="BM267">
            <v>0</v>
          </cell>
          <cell r="BN267">
            <v>0</v>
          </cell>
          <cell r="BO267">
            <v>0</v>
          </cell>
          <cell r="BQ267">
            <v>0</v>
          </cell>
          <cell r="BR267">
            <v>0</v>
          </cell>
          <cell r="BS267">
            <v>0</v>
          </cell>
          <cell r="BT267">
            <v>0</v>
          </cell>
          <cell r="CB267">
            <v>0</v>
          </cell>
          <cell r="CC267">
            <v>0</v>
          </cell>
          <cell r="CD267">
            <v>0</v>
          </cell>
          <cell r="CE267">
            <v>0</v>
          </cell>
          <cell r="CF267">
            <v>0</v>
          </cell>
          <cell r="CI267">
            <v>0</v>
          </cell>
          <cell r="CJ267">
            <v>0</v>
          </cell>
          <cell r="CK267">
            <v>0</v>
          </cell>
          <cell r="CV267">
            <v>9.6334000593835368E-5</v>
          </cell>
          <cell r="DG267">
            <v>4190856</v>
          </cell>
          <cell r="DR267">
            <v>1315384.7700000005</v>
          </cell>
          <cell r="EC267">
            <v>3.1860305026946589</v>
          </cell>
          <cell r="EN267">
            <v>2.4095909012463064E-2</v>
          </cell>
        </row>
        <row r="268">
          <cell r="B268">
            <v>38405</v>
          </cell>
          <cell r="C268" t="str">
            <v>Stanly Community College</v>
          </cell>
          <cell r="D268">
            <v>6.8747164768666325E-4</v>
          </cell>
          <cell r="E268">
            <v>1189486.2475745468</v>
          </cell>
          <cell r="F268">
            <v>927469.70610828954</v>
          </cell>
          <cell r="G268">
            <v>78725</v>
          </cell>
          <cell r="H268">
            <v>-331908.92944290856</v>
          </cell>
          <cell r="I268">
            <v>-13735.017745450388</v>
          </cell>
          <cell r="J268">
            <v>1003759.9822492345</v>
          </cell>
          <cell r="K268">
            <v>0</v>
          </cell>
          <cell r="L268">
            <v>-52739.215795767974</v>
          </cell>
          <cell r="M268">
            <v>9464.4301906529108</v>
          </cell>
          <cell r="N268">
            <v>356.78403571642451</v>
          </cell>
          <cell r="O268">
            <v>-161.01273460469341</v>
          </cell>
          <cell r="P268">
            <v>0</v>
          </cell>
          <cell r="Q268">
            <v>0</v>
          </cell>
          <cell r="R268">
            <v>0</v>
          </cell>
          <cell r="S268">
            <v>2810717.9744397085</v>
          </cell>
          <cell r="T268">
            <v>424570</v>
          </cell>
          <cell r="U268">
            <v>5018799.9112461722</v>
          </cell>
          <cell r="V268">
            <v>37857.720762611643</v>
          </cell>
          <cell r="W268">
            <v>0</v>
          </cell>
          <cell r="X268">
            <v>5481227.6320087835</v>
          </cell>
          <cell r="Y268">
            <v>30946.070000000065</v>
          </cell>
          <cell r="Z268">
            <v>0</v>
          </cell>
          <cell r="AA268">
            <v>0</v>
          </cell>
          <cell r="AB268">
            <v>68675.088727251947</v>
          </cell>
          <cell r="AC268">
            <v>99621.158727252012</v>
          </cell>
          <cell r="AD268" t="str">
            <v>N/A</v>
          </cell>
          <cell r="AE268">
            <v>1078214</v>
          </cell>
          <cell r="AF268">
            <v>1078214</v>
          </cell>
          <cell r="AG268">
            <v>1078214</v>
          </cell>
          <cell r="AH268">
            <v>1078214</v>
          </cell>
          <cell r="AI268">
            <v>1068750</v>
          </cell>
          <cell r="AJ268">
            <v>0</v>
          </cell>
          <cell r="AK268">
            <v>5381606</v>
          </cell>
          <cell r="AL268">
            <v>22283290</v>
          </cell>
          <cell r="AM268">
            <v>2810717.9744397085</v>
          </cell>
          <cell r="AN268">
            <v>-568260.92999999993</v>
          </cell>
          <cell r="AO268">
            <v>4987982.5432815319</v>
          </cell>
          <cell r="AP268">
            <v>0</v>
          </cell>
          <cell r="AQ268">
            <v>393623.92999999993</v>
          </cell>
          <cell r="AR268">
            <v>0</v>
          </cell>
          <cell r="AS268">
            <v>0</v>
          </cell>
          <cell r="AT268">
            <v>29907353.517721243</v>
          </cell>
          <cell r="AU268">
            <v>6.7210467655146164E-4</v>
          </cell>
          <cell r="AV268">
            <v>0</v>
          </cell>
          <cell r="AW268">
            <v>0</v>
          </cell>
          <cell r="AY268">
            <v>0</v>
          </cell>
          <cell r="AZ268">
            <v>0</v>
          </cell>
          <cell r="BA268">
            <v>0</v>
          </cell>
          <cell r="BB268">
            <v>0</v>
          </cell>
          <cell r="BC268">
            <v>0</v>
          </cell>
          <cell r="BD268">
            <v>0</v>
          </cell>
          <cell r="BE268">
            <v>0</v>
          </cell>
          <cell r="BF268">
            <v>0</v>
          </cell>
          <cell r="BG268">
            <v>0</v>
          </cell>
          <cell r="BH268">
            <v>0</v>
          </cell>
          <cell r="BJ268">
            <v>0</v>
          </cell>
          <cell r="BL268">
            <v>0</v>
          </cell>
          <cell r="BM268">
            <v>0</v>
          </cell>
          <cell r="BN268">
            <v>0</v>
          </cell>
          <cell r="BO268">
            <v>0</v>
          </cell>
          <cell r="BQ268">
            <v>0</v>
          </cell>
          <cell r="BR268">
            <v>0</v>
          </cell>
          <cell r="BS268">
            <v>0</v>
          </cell>
          <cell r="BT268">
            <v>0</v>
          </cell>
          <cell r="CB268">
            <v>0</v>
          </cell>
          <cell r="CC268">
            <v>0</v>
          </cell>
          <cell r="CD268">
            <v>0</v>
          </cell>
          <cell r="CE268">
            <v>0</v>
          </cell>
          <cell r="CF268">
            <v>0</v>
          </cell>
          <cell r="CI268">
            <v>0</v>
          </cell>
          <cell r="CJ268">
            <v>0</v>
          </cell>
          <cell r="CK268">
            <v>0</v>
          </cell>
          <cell r="CV268">
            <v>6.8747164768666325E-4</v>
          </cell>
          <cell r="DG268">
            <v>29907353</v>
          </cell>
          <cell r="DR268">
            <v>10006684.970000004</v>
          </cell>
          <cell r="EC268">
            <v>2.9887373380557203</v>
          </cell>
          <cell r="EN268">
            <v>2.4095909012463064E-2</v>
          </cell>
        </row>
        <row r="269">
          <cell r="B269">
            <v>38500</v>
          </cell>
          <cell r="C269" t="str">
            <v>Stokes County Schools</v>
          </cell>
          <cell r="D269">
            <v>2.1597062547939207E-3</v>
          </cell>
          <cell r="E269">
            <v>3736795.3973412067</v>
          </cell>
          <cell r="F269">
            <v>2913665.0684493547</v>
          </cell>
          <cell r="G269">
            <v>-456385</v>
          </cell>
          <cell r="H269">
            <v>-1042698.696523583</v>
          </cell>
          <cell r="I269">
            <v>-43148.839423956604</v>
          </cell>
          <cell r="J269">
            <v>3153332.5327236787</v>
          </cell>
          <cell r="K269">
            <v>0</v>
          </cell>
          <cell r="L269">
            <v>-165681.3260740616</v>
          </cell>
          <cell r="M269">
            <v>29732.70119516239</v>
          </cell>
          <cell r="N269">
            <v>1120.8443521129491</v>
          </cell>
          <cell r="O269">
            <v>-505.8248019352842</v>
          </cell>
          <cell r="P269">
            <v>0</v>
          </cell>
          <cell r="Q269">
            <v>0</v>
          </cell>
          <cell r="R269">
            <v>0</v>
          </cell>
          <cell r="S269">
            <v>8126226.8572379788</v>
          </cell>
          <cell r="T269">
            <v>0</v>
          </cell>
          <cell r="U269">
            <v>15766662.663618393</v>
          </cell>
          <cell r="V269">
            <v>118930.80478064956</v>
          </cell>
          <cell r="W269">
            <v>0</v>
          </cell>
          <cell r="X269">
            <v>15885593.468399042</v>
          </cell>
          <cell r="Y269">
            <v>2281925.2800000003</v>
          </cell>
          <cell r="Z269">
            <v>0</v>
          </cell>
          <cell r="AA269">
            <v>0</v>
          </cell>
          <cell r="AB269">
            <v>215744.197119783</v>
          </cell>
          <cell r="AC269">
            <v>2497669.4771197834</v>
          </cell>
          <cell r="AD269" t="str">
            <v>N/A</v>
          </cell>
          <cell r="AE269">
            <v>2683531</v>
          </cell>
          <cell r="AF269">
            <v>2683530</v>
          </cell>
          <cell r="AG269">
            <v>2683530</v>
          </cell>
          <cell r="AH269">
            <v>2683530</v>
          </cell>
          <cell r="AI269">
            <v>2653798</v>
          </cell>
          <cell r="AJ269">
            <v>0</v>
          </cell>
          <cell r="AK269">
            <v>13387919</v>
          </cell>
          <cell r="AL269">
            <v>74321596</v>
          </cell>
          <cell r="AM269">
            <v>8126226.8572379788</v>
          </cell>
          <cell r="AN269">
            <v>-1881183.72</v>
          </cell>
          <cell r="AO269">
            <v>15669849.271279262</v>
          </cell>
          <cell r="AP269">
            <v>0</v>
          </cell>
          <cell r="AQ269">
            <v>-2281925.2800000003</v>
          </cell>
          <cell r="AR269">
            <v>0</v>
          </cell>
          <cell r="AS269">
            <v>0</v>
          </cell>
          <cell r="AT269">
            <v>93954563.12851724</v>
          </cell>
          <cell r="AU269">
            <v>2.2416749322209215E-3</v>
          </cell>
          <cell r="AV269">
            <v>0</v>
          </cell>
          <cell r="AW269">
            <v>0</v>
          </cell>
          <cell r="AY269">
            <v>0</v>
          </cell>
          <cell r="AZ269">
            <v>0</v>
          </cell>
          <cell r="BA269">
            <v>0</v>
          </cell>
          <cell r="BB269">
            <v>0</v>
          </cell>
          <cell r="BC269">
            <v>0</v>
          </cell>
          <cell r="BD269">
            <v>0</v>
          </cell>
          <cell r="BE269">
            <v>0</v>
          </cell>
          <cell r="BF269">
            <v>0</v>
          </cell>
          <cell r="BG269">
            <v>0</v>
          </cell>
          <cell r="BH269">
            <v>0</v>
          </cell>
          <cell r="BJ269">
            <v>0</v>
          </cell>
          <cell r="BL269">
            <v>0</v>
          </cell>
          <cell r="BM269">
            <v>0</v>
          </cell>
          <cell r="BN269">
            <v>0</v>
          </cell>
          <cell r="BO269">
            <v>0</v>
          </cell>
          <cell r="BQ269">
            <v>0</v>
          </cell>
          <cell r="BR269">
            <v>0</v>
          </cell>
          <cell r="BS269">
            <v>0</v>
          </cell>
          <cell r="BT269">
            <v>0</v>
          </cell>
          <cell r="CB269">
            <v>0</v>
          </cell>
          <cell r="CC269">
            <v>0</v>
          </cell>
          <cell r="CD269">
            <v>0</v>
          </cell>
          <cell r="CE269">
            <v>0</v>
          </cell>
          <cell r="CF269">
            <v>0</v>
          </cell>
          <cell r="CI269">
            <v>0</v>
          </cell>
          <cell r="CJ269">
            <v>0</v>
          </cell>
          <cell r="CK269">
            <v>0</v>
          </cell>
          <cell r="CV269">
            <v>2.1597062547939207E-3</v>
          </cell>
          <cell r="DG269">
            <v>93954563</v>
          </cell>
          <cell r="DR269">
            <v>33024718.000000022</v>
          </cell>
          <cell r="EC269">
            <v>2.8449769957157525</v>
          </cell>
          <cell r="EN269">
            <v>2.4095909012463064E-2</v>
          </cell>
        </row>
        <row r="270">
          <cell r="B270">
            <v>38600</v>
          </cell>
          <cell r="C270" t="str">
            <v>Surry County Schools</v>
          </cell>
          <cell r="D270">
            <v>2.6427570235023103E-3</v>
          </cell>
          <cell r="E270">
            <v>4572585.8596714102</v>
          </cell>
          <cell r="F270">
            <v>3565350.059382319</v>
          </cell>
          <cell r="G270">
            <v>-554197</v>
          </cell>
          <cell r="H270">
            <v>-1275913.9339054897</v>
          </cell>
          <cell r="I270">
            <v>-52799.725976862363</v>
          </cell>
          <cell r="J270">
            <v>3858622.7547361585</v>
          </cell>
          <cell r="K270">
            <v>0</v>
          </cell>
          <cell r="L270">
            <v>-202738.44518137162</v>
          </cell>
          <cell r="M270">
            <v>36382.866761067329</v>
          </cell>
          <cell r="N270">
            <v>1371.538040057229</v>
          </cell>
          <cell r="O270">
            <v>-618.96012247447607</v>
          </cell>
          <cell r="P270">
            <v>0</v>
          </cell>
          <cell r="Q270">
            <v>0</v>
          </cell>
          <cell r="R270">
            <v>0</v>
          </cell>
          <cell r="S270">
            <v>9948045.0134048145</v>
          </cell>
          <cell r="T270">
            <v>0</v>
          </cell>
          <cell r="U270">
            <v>19293113.773680795</v>
          </cell>
          <cell r="V270">
            <v>145531.46704426932</v>
          </cell>
          <cell r="W270">
            <v>0</v>
          </cell>
          <cell r="X270">
            <v>19438645.240725063</v>
          </cell>
          <cell r="Y270">
            <v>2770984.62</v>
          </cell>
          <cell r="Z270">
            <v>0</v>
          </cell>
          <cell r="AA270">
            <v>0</v>
          </cell>
          <cell r="AB270">
            <v>263998.62988431181</v>
          </cell>
          <cell r="AC270">
            <v>3034983.249884312</v>
          </cell>
          <cell r="AD270" t="str">
            <v>N/A</v>
          </cell>
          <cell r="AE270">
            <v>3288009</v>
          </cell>
          <cell r="AF270">
            <v>3288009</v>
          </cell>
          <cell r="AG270">
            <v>3288009</v>
          </cell>
          <cell r="AH270">
            <v>3288009</v>
          </cell>
          <cell r="AI270">
            <v>3251626</v>
          </cell>
          <cell r="AJ270">
            <v>0</v>
          </cell>
          <cell r="AK270">
            <v>16403662</v>
          </cell>
          <cell r="AL270">
            <v>90936327</v>
          </cell>
          <cell r="AM270">
            <v>9948045.0134048145</v>
          </cell>
          <cell r="AN270">
            <v>-2319120.38</v>
          </cell>
          <cell r="AO270">
            <v>19174646.610840753</v>
          </cell>
          <cell r="AP270">
            <v>0</v>
          </cell>
          <cell r="AQ270">
            <v>-2770984.62</v>
          </cell>
          <cell r="AR270">
            <v>0</v>
          </cell>
          <cell r="AS270">
            <v>0</v>
          </cell>
          <cell r="AT270">
            <v>114968913.62424557</v>
          </cell>
          <cell r="AU270">
            <v>2.7428055248050602E-3</v>
          </cell>
          <cell r="AV270">
            <v>0</v>
          </cell>
          <cell r="AW270">
            <v>0</v>
          </cell>
          <cell r="AY270">
            <v>0</v>
          </cell>
          <cell r="AZ270">
            <v>0</v>
          </cell>
          <cell r="BA270">
            <v>0</v>
          </cell>
          <cell r="BB270">
            <v>0</v>
          </cell>
          <cell r="BC270">
            <v>0</v>
          </cell>
          <cell r="BD270">
            <v>0</v>
          </cell>
          <cell r="BE270">
            <v>0</v>
          </cell>
          <cell r="BF270">
            <v>0</v>
          </cell>
          <cell r="BG270">
            <v>0</v>
          </cell>
          <cell r="BH270">
            <v>0</v>
          </cell>
          <cell r="BJ270">
            <v>0</v>
          </cell>
          <cell r="BL270">
            <v>0</v>
          </cell>
          <cell r="BM270">
            <v>0</v>
          </cell>
          <cell r="BN270">
            <v>0</v>
          </cell>
          <cell r="BO270">
            <v>0</v>
          </cell>
          <cell r="BQ270">
            <v>0</v>
          </cell>
          <cell r="BR270">
            <v>0</v>
          </cell>
          <cell r="BS270">
            <v>0</v>
          </cell>
          <cell r="BT270">
            <v>0</v>
          </cell>
          <cell r="CB270">
            <v>0</v>
          </cell>
          <cell r="CC270">
            <v>0</v>
          </cell>
          <cell r="CD270">
            <v>0</v>
          </cell>
          <cell r="CE270">
            <v>0</v>
          </cell>
          <cell r="CF270">
            <v>0</v>
          </cell>
          <cell r="CI270">
            <v>0</v>
          </cell>
          <cell r="CJ270">
            <v>0</v>
          </cell>
          <cell r="CK270">
            <v>0</v>
          </cell>
          <cell r="CV270">
            <v>2.6427570235023103E-3</v>
          </cell>
          <cell r="DG270">
            <v>114968913</v>
          </cell>
          <cell r="DR270">
            <v>40492841.820000008</v>
          </cell>
          <cell r="EC270">
            <v>2.8392404146654675</v>
          </cell>
          <cell r="EN270">
            <v>2.4095909012463064E-2</v>
          </cell>
        </row>
        <row r="271">
          <cell r="B271">
            <v>38601</v>
          </cell>
          <cell r="C271" t="str">
            <v>Bridges Charter Schools</v>
          </cell>
          <cell r="D271">
            <v>3.7248194923832202E-5</v>
          </cell>
          <cell r="E271">
            <v>64448.062342591904</v>
          </cell>
          <cell r="F271">
            <v>50251.632216862876</v>
          </cell>
          <cell r="G271">
            <v>-12690</v>
          </cell>
          <cell r="H271">
            <v>-17983.299445804572</v>
          </cell>
          <cell r="I271">
            <v>-744.1828619207439</v>
          </cell>
          <cell r="J271">
            <v>54385.148247746649</v>
          </cell>
          <cell r="K271">
            <v>0</v>
          </cell>
          <cell r="L271">
            <v>-2857.4859729868758</v>
          </cell>
          <cell r="M271">
            <v>512.7963338862229</v>
          </cell>
          <cell r="N271">
            <v>19.331068201570435</v>
          </cell>
          <cell r="O271">
            <v>-8.7238997331107395</v>
          </cell>
          <cell r="P271">
            <v>0</v>
          </cell>
          <cell r="Q271">
            <v>0</v>
          </cell>
          <cell r="R271">
            <v>0</v>
          </cell>
          <cell r="S271">
            <v>135333.27802884392</v>
          </cell>
          <cell r="T271">
            <v>0</v>
          </cell>
          <cell r="U271">
            <v>271925.74123873323</v>
          </cell>
          <cell r="V271">
            <v>2051.1853355448916</v>
          </cell>
          <cell r="W271">
            <v>0</v>
          </cell>
          <cell r="X271">
            <v>273976.9265742781</v>
          </cell>
          <cell r="Y271">
            <v>63448.209999999992</v>
          </cell>
          <cell r="Z271">
            <v>0</v>
          </cell>
          <cell r="AA271">
            <v>0</v>
          </cell>
          <cell r="AB271">
            <v>3720.9143096037192</v>
          </cell>
          <cell r="AC271">
            <v>67169.124309603707</v>
          </cell>
          <cell r="AD271" t="str">
            <v>N/A</v>
          </cell>
          <cell r="AE271">
            <v>41465</v>
          </cell>
          <cell r="AF271">
            <v>41464</v>
          </cell>
          <cell r="AG271">
            <v>41464</v>
          </cell>
          <cell r="AH271">
            <v>41464</v>
          </cell>
          <cell r="AI271">
            <v>40951</v>
          </cell>
          <cell r="AJ271">
            <v>0</v>
          </cell>
          <cell r="AK271">
            <v>206808</v>
          </cell>
          <cell r="AL271">
            <v>1306174</v>
          </cell>
          <cell r="AM271">
            <v>135333.27802884392</v>
          </cell>
          <cell r="AN271">
            <v>-27891.790000000005</v>
          </cell>
          <cell r="AO271">
            <v>270256.01226467441</v>
          </cell>
          <cell r="AP271">
            <v>0</v>
          </cell>
          <cell r="AQ271">
            <v>-63448.209999999992</v>
          </cell>
          <cell r="AR271">
            <v>0</v>
          </cell>
          <cell r="AS271">
            <v>0</v>
          </cell>
          <cell r="AT271">
            <v>1620423.2902935185</v>
          </cell>
          <cell r="AU271">
            <v>3.9396594532019387E-5</v>
          </cell>
          <cell r="AV271">
            <v>0</v>
          </cell>
          <cell r="AW271">
            <v>0</v>
          </cell>
          <cell r="AY271">
            <v>0</v>
          </cell>
          <cell r="AZ271">
            <v>0</v>
          </cell>
          <cell r="BA271">
            <v>0</v>
          </cell>
          <cell r="BB271">
            <v>0</v>
          </cell>
          <cell r="BC271">
            <v>0</v>
          </cell>
          <cell r="BD271">
            <v>0</v>
          </cell>
          <cell r="BE271">
            <v>0</v>
          </cell>
          <cell r="BF271">
            <v>0</v>
          </cell>
          <cell r="BG271">
            <v>0</v>
          </cell>
          <cell r="BH271">
            <v>0</v>
          </cell>
          <cell r="BJ271">
            <v>0</v>
          </cell>
          <cell r="BL271">
            <v>0</v>
          </cell>
          <cell r="BM271">
            <v>0</v>
          </cell>
          <cell r="BN271">
            <v>0</v>
          </cell>
          <cell r="BO271">
            <v>0</v>
          </cell>
          <cell r="BQ271">
            <v>0</v>
          </cell>
          <cell r="BR271">
            <v>0</v>
          </cell>
          <cell r="BS271">
            <v>0</v>
          </cell>
          <cell r="BT271">
            <v>0</v>
          </cell>
          <cell r="CB271">
            <v>0</v>
          </cell>
          <cell r="CC271">
            <v>0</v>
          </cell>
          <cell r="CD271">
            <v>0</v>
          </cell>
          <cell r="CE271">
            <v>0</v>
          </cell>
          <cell r="CF271">
            <v>0</v>
          </cell>
          <cell r="CI271">
            <v>0</v>
          </cell>
          <cell r="CJ271">
            <v>0</v>
          </cell>
          <cell r="CK271">
            <v>0</v>
          </cell>
          <cell r="CV271">
            <v>3.7248194923832202E-5</v>
          </cell>
          <cell r="DG271">
            <v>1620423</v>
          </cell>
          <cell r="DR271">
            <v>503972.35</v>
          </cell>
          <cell r="EC271">
            <v>3.2153013950070872</v>
          </cell>
          <cell r="EN271">
            <v>2.4095909012463064E-2</v>
          </cell>
        </row>
        <row r="272">
          <cell r="B272">
            <v>38602</v>
          </cell>
          <cell r="C272" t="str">
            <v>Millennium Charter Academy</v>
          </cell>
          <cell r="D272">
            <v>1.6666563666537258E-4</v>
          </cell>
          <cell r="E272">
            <v>288370.41269093018</v>
          </cell>
          <cell r="F272">
            <v>224849.0240674442</v>
          </cell>
          <cell r="G272">
            <v>127309</v>
          </cell>
          <cell r="H272">
            <v>-80465.591892652723</v>
          </cell>
          <cell r="I272">
            <v>-3329.8180148354768</v>
          </cell>
          <cell r="J272">
            <v>243344.28490793621</v>
          </cell>
          <cell r="K272">
            <v>0</v>
          </cell>
          <cell r="L272">
            <v>-12785.712701624572</v>
          </cell>
          <cell r="M272">
            <v>2294.4877635435059</v>
          </cell>
          <cell r="N272">
            <v>86.496132116595064</v>
          </cell>
          <cell r="O272">
            <v>-39.034758763396916</v>
          </cell>
          <cell r="P272">
            <v>0</v>
          </cell>
          <cell r="Q272">
            <v>0</v>
          </cell>
          <cell r="R272">
            <v>0</v>
          </cell>
          <cell r="S272">
            <v>789633.54819409456</v>
          </cell>
          <cell r="T272">
            <v>642711</v>
          </cell>
          <cell r="U272">
            <v>1216721.4245396811</v>
          </cell>
          <cell r="V272">
            <v>9177.9510541740237</v>
          </cell>
          <cell r="W272">
            <v>0</v>
          </cell>
          <cell r="X272">
            <v>1868610.375593855</v>
          </cell>
          <cell r="Y272">
            <v>6167.2099999999627</v>
          </cell>
          <cell r="Z272">
            <v>0</v>
          </cell>
          <cell r="AA272">
            <v>0</v>
          </cell>
          <cell r="AB272">
            <v>16649.090074177384</v>
          </cell>
          <cell r="AC272">
            <v>22816.300074177347</v>
          </cell>
          <cell r="AD272" t="str">
            <v>N/A</v>
          </cell>
          <cell r="AE272">
            <v>369618</v>
          </cell>
          <cell r="AF272">
            <v>369617</v>
          </cell>
          <cell r="AG272">
            <v>369617</v>
          </cell>
          <cell r="AH272">
            <v>369617</v>
          </cell>
          <cell r="AI272">
            <v>367322</v>
          </cell>
          <cell r="AJ272">
            <v>0</v>
          </cell>
          <cell r="AK272">
            <v>1845791</v>
          </cell>
          <cell r="AL272">
            <v>4754462</v>
          </cell>
          <cell r="AM272">
            <v>789633.54819409456</v>
          </cell>
          <cell r="AN272">
            <v>-139367.79000000004</v>
          </cell>
          <cell r="AO272">
            <v>1209250.2855196779</v>
          </cell>
          <cell r="AP272">
            <v>0</v>
          </cell>
          <cell r="AQ272">
            <v>636543.79</v>
          </cell>
          <cell r="AR272">
            <v>0</v>
          </cell>
          <cell r="AS272">
            <v>0</v>
          </cell>
          <cell r="AT272">
            <v>7250521.8337137727</v>
          </cell>
          <cell r="AU272">
            <v>1.4340323318558199E-4</v>
          </cell>
          <cell r="AV272">
            <v>0</v>
          </cell>
          <cell r="AW272">
            <v>0</v>
          </cell>
          <cell r="AY272">
            <v>0</v>
          </cell>
          <cell r="AZ272">
            <v>0</v>
          </cell>
          <cell r="BA272">
            <v>0</v>
          </cell>
          <cell r="BB272">
            <v>0</v>
          </cell>
          <cell r="BC272">
            <v>0</v>
          </cell>
          <cell r="BD272">
            <v>0</v>
          </cell>
          <cell r="BE272">
            <v>0</v>
          </cell>
          <cell r="BF272">
            <v>0</v>
          </cell>
          <cell r="BG272">
            <v>0</v>
          </cell>
          <cell r="BH272">
            <v>0</v>
          </cell>
          <cell r="BJ272">
            <v>0</v>
          </cell>
          <cell r="BL272">
            <v>0</v>
          </cell>
          <cell r="BM272">
            <v>0</v>
          </cell>
          <cell r="BN272">
            <v>0</v>
          </cell>
          <cell r="BO272">
            <v>0</v>
          </cell>
          <cell r="BQ272">
            <v>0</v>
          </cell>
          <cell r="BR272">
            <v>0</v>
          </cell>
          <cell r="BS272">
            <v>0</v>
          </cell>
          <cell r="BT272">
            <v>0</v>
          </cell>
          <cell r="CB272">
            <v>0</v>
          </cell>
          <cell r="CC272">
            <v>0</v>
          </cell>
          <cell r="CD272">
            <v>0</v>
          </cell>
          <cell r="CE272">
            <v>0</v>
          </cell>
          <cell r="CF272">
            <v>0</v>
          </cell>
          <cell r="CI272">
            <v>0</v>
          </cell>
          <cell r="CJ272">
            <v>0</v>
          </cell>
          <cell r="CK272">
            <v>0</v>
          </cell>
          <cell r="CV272">
            <v>1.6666563666537258E-4</v>
          </cell>
          <cell r="DG272">
            <v>7250522</v>
          </cell>
          <cell r="DR272">
            <v>2406930.850000001</v>
          </cell>
          <cell r="EC272">
            <v>3.012351601210312</v>
          </cell>
          <cell r="EN272">
            <v>2.4095909012463064E-2</v>
          </cell>
        </row>
        <row r="273">
          <cell r="B273">
            <v>38605</v>
          </cell>
          <cell r="C273" t="str">
            <v>Surry Community College</v>
          </cell>
          <cell r="D273">
            <v>7.4540113900093731E-4</v>
          </cell>
          <cell r="E273">
            <v>1289717.7749098013</v>
          </cell>
          <cell r="F273">
            <v>1005622.5266137552</v>
          </cell>
          <cell r="G273">
            <v>-21038</v>
          </cell>
          <cell r="H273">
            <v>-359877.08712620026</v>
          </cell>
          <cell r="I273">
            <v>-14892.39288064886</v>
          </cell>
          <cell r="J273">
            <v>1088341.3687965751</v>
          </cell>
          <cell r="K273">
            <v>0</v>
          </cell>
          <cell r="L273">
            <v>-57183.262257383001</v>
          </cell>
          <cell r="M273">
            <v>10261.946173121285</v>
          </cell>
          <cell r="N273">
            <v>386.84828311870643</v>
          </cell>
          <cell r="O273">
            <v>-174.58040076540954</v>
          </cell>
          <cell r="P273">
            <v>0</v>
          </cell>
          <cell r="Q273">
            <v>0</v>
          </cell>
          <cell r="R273">
            <v>0</v>
          </cell>
          <cell r="S273">
            <v>2941165.1421113736</v>
          </cell>
          <cell r="T273">
            <v>1639.1299999998882</v>
          </cell>
          <cell r="U273">
            <v>5441706.8439828753</v>
          </cell>
          <cell r="V273">
            <v>41047.78469248514</v>
          </cell>
          <cell r="W273">
            <v>0</v>
          </cell>
          <cell r="X273">
            <v>5484393.7586753601</v>
          </cell>
          <cell r="Y273">
            <v>106829</v>
          </cell>
          <cell r="Z273">
            <v>0</v>
          </cell>
          <cell r="AA273">
            <v>0</v>
          </cell>
          <cell r="AB273">
            <v>74461.964403244303</v>
          </cell>
          <cell r="AC273">
            <v>181290.96440324432</v>
          </cell>
          <cell r="AD273" t="str">
            <v>N/A</v>
          </cell>
          <cell r="AE273">
            <v>1062673</v>
          </cell>
          <cell r="AF273">
            <v>1062673</v>
          </cell>
          <cell r="AG273">
            <v>1062673</v>
          </cell>
          <cell r="AH273">
            <v>1062673</v>
          </cell>
          <cell r="AI273">
            <v>1052411</v>
          </cell>
          <cell r="AJ273">
            <v>0</v>
          </cell>
          <cell r="AK273">
            <v>5303103</v>
          </cell>
          <cell r="AL273">
            <v>24841592</v>
          </cell>
          <cell r="AM273">
            <v>2941165.1421113736</v>
          </cell>
          <cell r="AN273">
            <v>-658377.12999999989</v>
          </cell>
          <cell r="AO273">
            <v>5408292.6642721174</v>
          </cell>
          <cell r="AP273">
            <v>0</v>
          </cell>
          <cell r="AQ273">
            <v>-105189.87000000011</v>
          </cell>
          <cell r="AR273">
            <v>0</v>
          </cell>
          <cell r="AS273">
            <v>0</v>
          </cell>
          <cell r="AT273">
            <v>32427482.806383491</v>
          </cell>
          <cell r="AU273">
            <v>7.4926773769812261E-4</v>
          </cell>
          <cell r="AV273">
            <v>0</v>
          </cell>
          <cell r="AW273">
            <v>0</v>
          </cell>
          <cell r="AY273">
            <v>0</v>
          </cell>
          <cell r="AZ273">
            <v>0</v>
          </cell>
          <cell r="BA273">
            <v>0</v>
          </cell>
          <cell r="BB273">
            <v>0</v>
          </cell>
          <cell r="BC273">
            <v>0</v>
          </cell>
          <cell r="BD273">
            <v>0</v>
          </cell>
          <cell r="BE273">
            <v>0</v>
          </cell>
          <cell r="BF273">
            <v>0</v>
          </cell>
          <cell r="BG273">
            <v>0</v>
          </cell>
          <cell r="BH273">
            <v>0</v>
          </cell>
          <cell r="BJ273">
            <v>0</v>
          </cell>
          <cell r="BL273">
            <v>0</v>
          </cell>
          <cell r="BM273">
            <v>0</v>
          </cell>
          <cell r="BN273">
            <v>0</v>
          </cell>
          <cell r="BO273">
            <v>0</v>
          </cell>
          <cell r="BQ273">
            <v>0</v>
          </cell>
          <cell r="BR273">
            <v>0</v>
          </cell>
          <cell r="BS273">
            <v>0</v>
          </cell>
          <cell r="BT273">
            <v>0</v>
          </cell>
          <cell r="CB273">
            <v>0</v>
          </cell>
          <cell r="CC273">
            <v>0</v>
          </cell>
          <cell r="CD273">
            <v>0</v>
          </cell>
          <cell r="CE273">
            <v>0</v>
          </cell>
          <cell r="CF273">
            <v>0</v>
          </cell>
          <cell r="CI273">
            <v>0</v>
          </cell>
          <cell r="CJ273">
            <v>0</v>
          </cell>
          <cell r="CK273">
            <v>0</v>
          </cell>
          <cell r="CV273">
            <v>7.4540113900093731E-4</v>
          </cell>
          <cell r="DG273">
            <v>32427483</v>
          </cell>
          <cell r="DR273">
            <v>11448381.560000028</v>
          </cell>
          <cell r="EC273">
            <v>2.8324949539854365</v>
          </cell>
          <cell r="EN273">
            <v>2.4095909012463064E-2</v>
          </cell>
        </row>
        <row r="274">
          <cell r="B274">
            <v>38610</v>
          </cell>
          <cell r="C274" t="str">
            <v>Mount Airy City Schools</v>
          </cell>
          <cell r="D274">
            <v>5.5285532827617642E-4</v>
          </cell>
          <cell r="E274">
            <v>956568.62664182403</v>
          </cell>
          <cell r="F274">
            <v>745858.49549160188</v>
          </cell>
          <cell r="G274">
            <v>-41607</v>
          </cell>
          <cell r="H274">
            <v>-266916.63687138451</v>
          </cell>
          <cell r="I274">
            <v>-11045.514051513363</v>
          </cell>
          <cell r="J274">
            <v>807210.0956661097</v>
          </cell>
          <cell r="K274">
            <v>0</v>
          </cell>
          <cell r="L274">
            <v>-42412.158464877815</v>
          </cell>
          <cell r="M274">
            <v>7611.16575150053</v>
          </cell>
          <cell r="N274">
            <v>286.92085826877002</v>
          </cell>
          <cell r="O274">
            <v>-129.48424643556328</v>
          </cell>
          <cell r="P274">
            <v>0</v>
          </cell>
          <cell r="Q274">
            <v>0</v>
          </cell>
          <cell r="R274">
            <v>0</v>
          </cell>
          <cell r="S274">
            <v>2155424.5107750935</v>
          </cell>
          <cell r="T274">
            <v>16544.940000000061</v>
          </cell>
          <cell r="U274">
            <v>4036050.4783305484</v>
          </cell>
          <cell r="V274">
            <v>30444.66300600212</v>
          </cell>
          <cell r="W274">
            <v>0</v>
          </cell>
          <cell r="X274">
            <v>4083040.0813365504</v>
          </cell>
          <cell r="Y274">
            <v>224578</v>
          </cell>
          <cell r="Z274">
            <v>0</v>
          </cell>
          <cell r="AA274">
            <v>0</v>
          </cell>
          <cell r="AB274">
            <v>55227.570257566811</v>
          </cell>
          <cell r="AC274">
            <v>279805.57025756681</v>
          </cell>
          <cell r="AD274" t="str">
            <v>N/A</v>
          </cell>
          <cell r="AE274">
            <v>762169</v>
          </cell>
          <cell r="AF274">
            <v>762169</v>
          </cell>
          <cell r="AG274">
            <v>762169</v>
          </cell>
          <cell r="AH274">
            <v>762169</v>
          </cell>
          <cell r="AI274">
            <v>754558</v>
          </cell>
          <cell r="AJ274">
            <v>0</v>
          </cell>
          <cell r="AK274">
            <v>3803234</v>
          </cell>
          <cell r="AL274">
            <v>18599132</v>
          </cell>
          <cell r="AM274">
            <v>2155424.5107750935</v>
          </cell>
          <cell r="AN274">
            <v>-506704.94000000006</v>
          </cell>
          <cell r="AO274">
            <v>4011267.5710789841</v>
          </cell>
          <cell r="AP274">
            <v>0</v>
          </cell>
          <cell r="AQ274">
            <v>-208033.05999999994</v>
          </cell>
          <cell r="AR274">
            <v>0</v>
          </cell>
          <cell r="AS274">
            <v>0</v>
          </cell>
          <cell r="AT274">
            <v>24051086.081854079</v>
          </cell>
          <cell r="AU274">
            <v>5.609837447125022E-4</v>
          </cell>
          <cell r="AV274">
            <v>0</v>
          </cell>
          <cell r="AW274">
            <v>0</v>
          </cell>
          <cell r="AY274">
            <v>0</v>
          </cell>
          <cell r="AZ274">
            <v>0</v>
          </cell>
          <cell r="BA274">
            <v>0</v>
          </cell>
          <cell r="BB274">
            <v>0</v>
          </cell>
          <cell r="BC274">
            <v>0</v>
          </cell>
          <cell r="BD274">
            <v>0</v>
          </cell>
          <cell r="BE274">
            <v>0</v>
          </cell>
          <cell r="BF274">
            <v>0</v>
          </cell>
          <cell r="BG274">
            <v>0</v>
          </cell>
          <cell r="BH274">
            <v>0</v>
          </cell>
          <cell r="BJ274">
            <v>0</v>
          </cell>
          <cell r="BL274">
            <v>0</v>
          </cell>
          <cell r="BM274">
            <v>0</v>
          </cell>
          <cell r="BN274">
            <v>0</v>
          </cell>
          <cell r="BO274">
            <v>0</v>
          </cell>
          <cell r="BQ274">
            <v>0</v>
          </cell>
          <cell r="BR274">
            <v>0</v>
          </cell>
          <cell r="BS274">
            <v>0</v>
          </cell>
          <cell r="BT274">
            <v>0</v>
          </cell>
          <cell r="CB274">
            <v>0</v>
          </cell>
          <cell r="CC274">
            <v>0</v>
          </cell>
          <cell r="CD274">
            <v>0</v>
          </cell>
          <cell r="CE274">
            <v>0</v>
          </cell>
          <cell r="CF274">
            <v>0</v>
          </cell>
          <cell r="CI274">
            <v>0</v>
          </cell>
          <cell r="CJ274">
            <v>0</v>
          </cell>
          <cell r="CK274">
            <v>0</v>
          </cell>
          <cell r="CV274">
            <v>5.5285532827617642E-4</v>
          </cell>
          <cell r="DG274">
            <v>24051086</v>
          </cell>
          <cell r="DR274">
            <v>8723212.9699999988</v>
          </cell>
          <cell r="EC274">
            <v>2.7571361702063322</v>
          </cell>
          <cell r="EN274">
            <v>2.4095909012463064E-2</v>
          </cell>
        </row>
        <row r="275">
          <cell r="B275">
            <v>38620</v>
          </cell>
          <cell r="C275" t="str">
            <v>Elkin City Schools</v>
          </cell>
          <cell r="D275">
            <v>4.586899091346144E-4</v>
          </cell>
          <cell r="E275">
            <v>793640.49507030589</v>
          </cell>
          <cell r="F275">
            <v>618819.69482153514</v>
          </cell>
          <cell r="G275">
            <v>-738</v>
          </cell>
          <cell r="H275">
            <v>-221453.89878903705</v>
          </cell>
          <cell r="I275">
            <v>-9164.1801706627321</v>
          </cell>
          <cell r="J275">
            <v>669721.54648145125</v>
          </cell>
          <cell r="K275">
            <v>0</v>
          </cell>
          <cell r="L275">
            <v>-35188.2818478318</v>
          </cell>
          <cell r="M275">
            <v>6314.7893280686112</v>
          </cell>
          <cell r="N275">
            <v>238.05088904268217</v>
          </cell>
          <cell r="O275">
            <v>-107.42976361841804</v>
          </cell>
          <cell r="P275">
            <v>0</v>
          </cell>
          <cell r="Q275">
            <v>0</v>
          </cell>
          <cell r="R275">
            <v>0</v>
          </cell>
          <cell r="S275">
            <v>1822082.7860192535</v>
          </cell>
          <cell r="T275">
            <v>3575.960000000021</v>
          </cell>
          <cell r="U275">
            <v>3348607.732407256</v>
          </cell>
          <cell r="V275">
            <v>25259.157312274445</v>
          </cell>
          <cell r="W275">
            <v>0</v>
          </cell>
          <cell r="X275">
            <v>3377442.8497195304</v>
          </cell>
          <cell r="Y275">
            <v>7263</v>
          </cell>
          <cell r="Z275">
            <v>0</v>
          </cell>
          <cell r="AA275">
            <v>0</v>
          </cell>
          <cell r="AB275">
            <v>45820.900853313658</v>
          </cell>
          <cell r="AC275">
            <v>53083.900853313658</v>
          </cell>
          <cell r="AD275" t="str">
            <v>N/A</v>
          </cell>
          <cell r="AE275">
            <v>666134</v>
          </cell>
          <cell r="AF275">
            <v>666134</v>
          </cell>
          <cell r="AG275">
            <v>666134</v>
          </cell>
          <cell r="AH275">
            <v>666134</v>
          </cell>
          <cell r="AI275">
            <v>659819</v>
          </cell>
          <cell r="AJ275">
            <v>0</v>
          </cell>
          <cell r="AK275">
            <v>3324355</v>
          </cell>
          <cell r="AL275">
            <v>15216347</v>
          </cell>
          <cell r="AM275">
            <v>1822082.7860192535</v>
          </cell>
          <cell r="AN275">
            <v>-408218.96</v>
          </cell>
          <cell r="AO275">
            <v>3328045.988866217</v>
          </cell>
          <cell r="AP275">
            <v>0</v>
          </cell>
          <cell r="AQ275">
            <v>-3687.039999999979</v>
          </cell>
          <cell r="AR275">
            <v>0</v>
          </cell>
          <cell r="AS275">
            <v>0</v>
          </cell>
          <cell r="AT275">
            <v>19954569.774885472</v>
          </cell>
          <cell r="AU275">
            <v>4.5895278001503308E-4</v>
          </cell>
          <cell r="AV275">
            <v>0</v>
          </cell>
          <cell r="AW275">
            <v>0</v>
          </cell>
          <cell r="AY275">
            <v>0</v>
          </cell>
          <cell r="AZ275">
            <v>0</v>
          </cell>
          <cell r="BA275">
            <v>0</v>
          </cell>
          <cell r="BB275">
            <v>0</v>
          </cell>
          <cell r="BC275">
            <v>0</v>
          </cell>
          <cell r="BD275">
            <v>0</v>
          </cell>
          <cell r="BE275">
            <v>0</v>
          </cell>
          <cell r="BF275">
            <v>0</v>
          </cell>
          <cell r="BG275">
            <v>0</v>
          </cell>
          <cell r="BH275">
            <v>0</v>
          </cell>
          <cell r="BJ275">
            <v>0</v>
          </cell>
          <cell r="BL275">
            <v>0</v>
          </cell>
          <cell r="BM275">
            <v>0</v>
          </cell>
          <cell r="BN275">
            <v>0</v>
          </cell>
          <cell r="BO275">
            <v>0</v>
          </cell>
          <cell r="BQ275">
            <v>0</v>
          </cell>
          <cell r="BR275">
            <v>0</v>
          </cell>
          <cell r="BS275">
            <v>0</v>
          </cell>
          <cell r="BT275">
            <v>0</v>
          </cell>
          <cell r="CB275">
            <v>0</v>
          </cell>
          <cell r="CC275">
            <v>0</v>
          </cell>
          <cell r="CD275">
            <v>0</v>
          </cell>
          <cell r="CE275">
            <v>0</v>
          </cell>
          <cell r="CF275">
            <v>0</v>
          </cell>
          <cell r="CI275">
            <v>0</v>
          </cell>
          <cell r="CJ275">
            <v>0</v>
          </cell>
          <cell r="CK275">
            <v>0</v>
          </cell>
          <cell r="CV275">
            <v>4.586899091346144E-4</v>
          </cell>
          <cell r="DG275">
            <v>19954570</v>
          </cell>
          <cell r="DR275">
            <v>7242311.8899999987</v>
          </cell>
          <cell r="EC275">
            <v>2.7552762575100869</v>
          </cell>
          <cell r="EN275">
            <v>2.4095909012463064E-2</v>
          </cell>
        </row>
        <row r="276">
          <cell r="B276">
            <v>38700</v>
          </cell>
          <cell r="C276" t="str">
            <v>Swain County Schools</v>
          </cell>
          <cell r="D276">
            <v>7.9049572641102942E-4</v>
          </cell>
          <cell r="E276">
            <v>1367741.9257891125</v>
          </cell>
          <cell r="F276">
            <v>1066459.7464075454</v>
          </cell>
          <cell r="G276">
            <v>134558</v>
          </cell>
          <cell r="H276">
            <v>-381648.59767695266</v>
          </cell>
          <cell r="I276">
            <v>-15793.339065681466</v>
          </cell>
          <cell r="J276">
            <v>1154182.8364565203</v>
          </cell>
          <cell r="K276">
            <v>0</v>
          </cell>
          <cell r="L276">
            <v>-60642.682270767946</v>
          </cell>
          <cell r="M276">
            <v>10882.763883866553</v>
          </cell>
          <cell r="N276">
            <v>410.25147209279606</v>
          </cell>
          <cell r="O276">
            <v>-185.1420040827272</v>
          </cell>
          <cell r="P276">
            <v>0</v>
          </cell>
          <cell r="Q276">
            <v>0</v>
          </cell>
          <cell r="R276">
            <v>0</v>
          </cell>
          <cell r="S276">
            <v>3275965.7629916514</v>
          </cell>
          <cell r="T276">
            <v>673506</v>
          </cell>
          <cell r="U276">
            <v>5770914.1822826015</v>
          </cell>
          <cell r="V276">
            <v>43531.055535466214</v>
          </cell>
          <cell r="W276">
            <v>0</v>
          </cell>
          <cell r="X276">
            <v>6487951.2378180679</v>
          </cell>
          <cell r="Y276">
            <v>714.42000000004191</v>
          </cell>
          <cell r="Z276">
            <v>0</v>
          </cell>
          <cell r="AA276">
            <v>0</v>
          </cell>
          <cell r="AB276">
            <v>78966.695328407324</v>
          </cell>
          <cell r="AC276">
            <v>79681.115328407366</v>
          </cell>
          <cell r="AD276" t="str">
            <v>N/A</v>
          </cell>
          <cell r="AE276">
            <v>1283830</v>
          </cell>
          <cell r="AF276">
            <v>1283830</v>
          </cell>
          <cell r="AG276">
            <v>1283830</v>
          </cell>
          <cell r="AH276">
            <v>1283830</v>
          </cell>
          <cell r="AI276">
            <v>1272947</v>
          </cell>
          <cell r="AJ276">
            <v>0</v>
          </cell>
          <cell r="AK276">
            <v>6408267</v>
          </cell>
          <cell r="AL276">
            <v>25400278</v>
          </cell>
          <cell r="AM276">
            <v>3275965.7629916514</v>
          </cell>
          <cell r="AN276">
            <v>-695262.58</v>
          </cell>
          <cell r="AO276">
            <v>5735478.5424896609</v>
          </cell>
          <cell r="AP276">
            <v>0</v>
          </cell>
          <cell r="AQ276">
            <v>672791.58</v>
          </cell>
          <cell r="AR276">
            <v>0</v>
          </cell>
          <cell r="AS276">
            <v>0</v>
          </cell>
          <cell r="AT276">
            <v>34389251.305481315</v>
          </cell>
          <cell r="AU276">
            <v>7.6611873442585746E-4</v>
          </cell>
          <cell r="AV276">
            <v>0</v>
          </cell>
          <cell r="AW276">
            <v>0</v>
          </cell>
          <cell r="AY276">
            <v>0</v>
          </cell>
          <cell r="AZ276">
            <v>0</v>
          </cell>
          <cell r="BA276">
            <v>0</v>
          </cell>
          <cell r="BB276">
            <v>0</v>
          </cell>
          <cell r="BC276">
            <v>0</v>
          </cell>
          <cell r="BD276">
            <v>0</v>
          </cell>
          <cell r="BE276">
            <v>0</v>
          </cell>
          <cell r="BF276">
            <v>0</v>
          </cell>
          <cell r="BG276">
            <v>0</v>
          </cell>
          <cell r="BH276">
            <v>0</v>
          </cell>
          <cell r="BJ276">
            <v>0</v>
          </cell>
          <cell r="BL276">
            <v>0</v>
          </cell>
          <cell r="BM276">
            <v>0</v>
          </cell>
          <cell r="BN276">
            <v>0</v>
          </cell>
          <cell r="BO276">
            <v>0</v>
          </cell>
          <cell r="BQ276">
            <v>0</v>
          </cell>
          <cell r="BR276">
            <v>0</v>
          </cell>
          <cell r="BS276">
            <v>0</v>
          </cell>
          <cell r="BT276">
            <v>0</v>
          </cell>
          <cell r="CB276">
            <v>0</v>
          </cell>
          <cell r="CC276">
            <v>0</v>
          </cell>
          <cell r="CD276">
            <v>0</v>
          </cell>
          <cell r="CE276">
            <v>0</v>
          </cell>
          <cell r="CF276">
            <v>0</v>
          </cell>
          <cell r="CI276">
            <v>0</v>
          </cell>
          <cell r="CJ276">
            <v>0</v>
          </cell>
          <cell r="CK276">
            <v>0</v>
          </cell>
          <cell r="CV276">
            <v>7.9049572641102942E-4</v>
          </cell>
          <cell r="DG276">
            <v>34389251</v>
          </cell>
          <cell r="DR276">
            <v>11830318.769999996</v>
          </cell>
          <cell r="EC276">
            <v>2.9068744189046067</v>
          </cell>
          <cell r="EN276">
            <v>2.4095909012463064E-2</v>
          </cell>
        </row>
        <row r="277">
          <cell r="B277">
            <v>38701</v>
          </cell>
          <cell r="C277" t="str">
            <v>Mountain Discovery Charter</v>
          </cell>
          <cell r="D277">
            <v>5.057752486594943E-5</v>
          </cell>
          <cell r="E277">
            <v>87510.91112898798</v>
          </cell>
          <cell r="F277">
            <v>68234.264323417054</v>
          </cell>
          <cell r="G277">
            <v>-25154</v>
          </cell>
          <cell r="H277">
            <v>-24418.653756293705</v>
          </cell>
          <cell r="I277">
            <v>-1010.4899655023989</v>
          </cell>
          <cell r="J277">
            <v>73846.966100330843</v>
          </cell>
          <cell r="K277">
            <v>0</v>
          </cell>
          <cell r="L277">
            <v>-3880.0421912626825</v>
          </cell>
          <cell r="M277">
            <v>696.30137463933193</v>
          </cell>
          <cell r="N277">
            <v>26.248723854930436</v>
          </cell>
          <cell r="O277">
            <v>-11.845762098854015</v>
          </cell>
          <cell r="P277">
            <v>0</v>
          </cell>
          <cell r="Q277">
            <v>0</v>
          </cell>
          <cell r="R277">
            <v>0</v>
          </cell>
          <cell r="S277">
            <v>175839.65997607249</v>
          </cell>
          <cell r="T277">
            <v>1557.7400000000052</v>
          </cell>
          <cell r="U277">
            <v>369234.83050165424</v>
          </cell>
          <cell r="V277">
            <v>2785.2054985573277</v>
          </cell>
          <cell r="W277">
            <v>0</v>
          </cell>
          <cell r="X277">
            <v>373577.77600021154</v>
          </cell>
          <cell r="Y277">
            <v>127326</v>
          </cell>
          <cell r="Z277">
            <v>0</v>
          </cell>
          <cell r="AA277">
            <v>0</v>
          </cell>
          <cell r="AB277">
            <v>5052.449827511995</v>
          </cell>
          <cell r="AC277">
            <v>132378.449827512</v>
          </cell>
          <cell r="AD277" t="str">
            <v>N/A</v>
          </cell>
          <cell r="AE277">
            <v>48380</v>
          </cell>
          <cell r="AF277">
            <v>48379</v>
          </cell>
          <cell r="AG277">
            <v>48379</v>
          </cell>
          <cell r="AH277">
            <v>48379</v>
          </cell>
          <cell r="AI277">
            <v>47682</v>
          </cell>
          <cell r="AJ277">
            <v>0</v>
          </cell>
          <cell r="AK277">
            <v>241199</v>
          </cell>
          <cell r="AL277">
            <v>1829663</v>
          </cell>
          <cell r="AM277">
            <v>175839.65997607249</v>
          </cell>
          <cell r="AN277">
            <v>-46407.740000000005</v>
          </cell>
          <cell r="AO277">
            <v>366967.58617269958</v>
          </cell>
          <cell r="AP277">
            <v>0</v>
          </cell>
          <cell r="AQ277">
            <v>-125768.26</v>
          </cell>
          <cell r="AR277">
            <v>0</v>
          </cell>
          <cell r="AS277">
            <v>0</v>
          </cell>
          <cell r="AT277">
            <v>2200294.2461487725</v>
          </cell>
          <cell r="AU277">
            <v>5.5185961254208455E-5</v>
          </cell>
          <cell r="AV277">
            <v>0</v>
          </cell>
          <cell r="AW277">
            <v>0</v>
          </cell>
          <cell r="AY277">
            <v>0</v>
          </cell>
          <cell r="AZ277">
            <v>0</v>
          </cell>
          <cell r="BA277">
            <v>0</v>
          </cell>
          <cell r="BB277">
            <v>0</v>
          </cell>
          <cell r="BC277">
            <v>0</v>
          </cell>
          <cell r="BD277">
            <v>0</v>
          </cell>
          <cell r="BE277">
            <v>0</v>
          </cell>
          <cell r="BF277">
            <v>0</v>
          </cell>
          <cell r="BG277">
            <v>0</v>
          </cell>
          <cell r="BH277">
            <v>0</v>
          </cell>
          <cell r="BJ277">
            <v>0</v>
          </cell>
          <cell r="BL277">
            <v>0</v>
          </cell>
          <cell r="BM277">
            <v>0</v>
          </cell>
          <cell r="BN277">
            <v>0</v>
          </cell>
          <cell r="BO277">
            <v>0</v>
          </cell>
          <cell r="BQ277">
            <v>0</v>
          </cell>
          <cell r="BR277">
            <v>0</v>
          </cell>
          <cell r="BS277">
            <v>0</v>
          </cell>
          <cell r="BT277">
            <v>0</v>
          </cell>
          <cell r="CB277">
            <v>0</v>
          </cell>
          <cell r="CC277">
            <v>0</v>
          </cell>
          <cell r="CD277">
            <v>0</v>
          </cell>
          <cell r="CE277">
            <v>0</v>
          </cell>
          <cell r="CF277">
            <v>0</v>
          </cell>
          <cell r="CI277">
            <v>0</v>
          </cell>
          <cell r="CJ277">
            <v>0</v>
          </cell>
          <cell r="CK277">
            <v>0</v>
          </cell>
          <cell r="CV277">
            <v>5.057752486594943E-5</v>
          </cell>
          <cell r="DG277">
            <v>2200294</v>
          </cell>
          <cell r="DR277">
            <v>838007.07999999984</v>
          </cell>
          <cell r="EC277">
            <v>2.6256269815763376</v>
          </cell>
          <cell r="EN277">
            <v>2.4095909012463064E-2</v>
          </cell>
        </row>
        <row r="278">
          <cell r="B278">
            <v>38800</v>
          </cell>
          <cell r="C278" t="str">
            <v>Transylvania County Schools</v>
          </cell>
          <cell r="D278">
            <v>1.375706345486662E-3</v>
          </cell>
          <cell r="E278">
            <v>2380292.7497647963</v>
          </cell>
          <cell r="F278">
            <v>1855968.84501827</v>
          </cell>
          <cell r="G278">
            <v>80894</v>
          </cell>
          <cell r="H278">
            <v>-664186.25683659909</v>
          </cell>
          <cell r="I278">
            <v>-27485.280493196653</v>
          </cell>
          <cell r="J278">
            <v>2008634.0746887499</v>
          </cell>
          <cell r="K278">
            <v>0</v>
          </cell>
          <cell r="L278">
            <v>-105536.96879045259</v>
          </cell>
          <cell r="M278">
            <v>18939.36530111442</v>
          </cell>
          <cell r="N278">
            <v>713.96407918066791</v>
          </cell>
          <cell r="O278">
            <v>-322.20418317643112</v>
          </cell>
          <cell r="P278">
            <v>0</v>
          </cell>
          <cell r="Q278">
            <v>0</v>
          </cell>
          <cell r="R278">
            <v>0</v>
          </cell>
          <cell r="S278">
            <v>5547912.2885486865</v>
          </cell>
          <cell r="T278">
            <v>427723</v>
          </cell>
          <cell r="U278">
            <v>10043170.373443749</v>
          </cell>
          <cell r="V278">
            <v>75757.461204457679</v>
          </cell>
          <cell r="W278">
            <v>0</v>
          </cell>
          <cell r="X278">
            <v>10546650.834648207</v>
          </cell>
          <cell r="Y278">
            <v>23253.649999999907</v>
          </cell>
          <cell r="Z278">
            <v>0</v>
          </cell>
          <cell r="AA278">
            <v>0</v>
          </cell>
          <cell r="AB278">
            <v>137426.40246598326</v>
          </cell>
          <cell r="AC278">
            <v>160680.05246598317</v>
          </cell>
          <cell r="AD278" t="str">
            <v>N/A</v>
          </cell>
          <cell r="AE278">
            <v>2080982</v>
          </cell>
          <cell r="AF278">
            <v>2080982</v>
          </cell>
          <cell r="AG278">
            <v>2080982</v>
          </cell>
          <cell r="AH278">
            <v>2080982</v>
          </cell>
          <cell r="AI278">
            <v>2062043</v>
          </cell>
          <cell r="AJ278">
            <v>0</v>
          </cell>
          <cell r="AK278">
            <v>10385971</v>
          </cell>
          <cell r="AL278">
            <v>45097579</v>
          </cell>
          <cell r="AM278">
            <v>5547912.2885486865</v>
          </cell>
          <cell r="AN278">
            <v>-1183559.3500000001</v>
          </cell>
          <cell r="AO278">
            <v>9981501.4321822245</v>
          </cell>
          <cell r="AP278">
            <v>0</v>
          </cell>
          <cell r="AQ278">
            <v>404469.35000000009</v>
          </cell>
          <cell r="AR278">
            <v>0</v>
          </cell>
          <cell r="AS278">
            <v>0</v>
          </cell>
          <cell r="AT278">
            <v>59847902.720730908</v>
          </cell>
          <cell r="AU278">
            <v>1.3602252629795213E-3</v>
          </cell>
          <cell r="AV278">
            <v>0</v>
          </cell>
          <cell r="AW278">
            <v>0</v>
          </cell>
          <cell r="AY278">
            <v>0</v>
          </cell>
          <cell r="AZ278">
            <v>0</v>
          </cell>
          <cell r="BA278">
            <v>0</v>
          </cell>
          <cell r="BB278">
            <v>0</v>
          </cell>
          <cell r="BC278">
            <v>0</v>
          </cell>
          <cell r="BD278">
            <v>0</v>
          </cell>
          <cell r="BE278">
            <v>0</v>
          </cell>
          <cell r="BF278">
            <v>0</v>
          </cell>
          <cell r="BG278">
            <v>0</v>
          </cell>
          <cell r="BH278">
            <v>0</v>
          </cell>
          <cell r="BJ278">
            <v>0</v>
          </cell>
          <cell r="BL278">
            <v>0</v>
          </cell>
          <cell r="BM278">
            <v>0</v>
          </cell>
          <cell r="BN278">
            <v>0</v>
          </cell>
          <cell r="BO278">
            <v>0</v>
          </cell>
          <cell r="BQ278">
            <v>0</v>
          </cell>
          <cell r="BR278">
            <v>0</v>
          </cell>
          <cell r="BS278">
            <v>0</v>
          </cell>
          <cell r="BT278">
            <v>0</v>
          </cell>
          <cell r="CB278">
            <v>0</v>
          </cell>
          <cell r="CC278">
            <v>0</v>
          </cell>
          <cell r="CD278">
            <v>0</v>
          </cell>
          <cell r="CE278">
            <v>0</v>
          </cell>
          <cell r="CF278">
            <v>0</v>
          </cell>
          <cell r="CI278">
            <v>0</v>
          </cell>
          <cell r="CJ278">
            <v>0</v>
          </cell>
          <cell r="CK278">
            <v>0</v>
          </cell>
          <cell r="CV278">
            <v>1.375706345486662E-3</v>
          </cell>
          <cell r="DG278">
            <v>59847902</v>
          </cell>
          <cell r="DR278">
            <v>20528974.84999999</v>
          </cell>
          <cell r="EC278">
            <v>2.9152893623424174</v>
          </cell>
          <cell r="EN278">
            <v>2.4095909012463064E-2</v>
          </cell>
        </row>
        <row r="279">
          <cell r="B279">
            <v>38801</v>
          </cell>
          <cell r="C279" t="str">
            <v>Brevard Academy Charter School</v>
          </cell>
          <cell r="D279">
            <v>9.3767503745672195E-5</v>
          </cell>
          <cell r="E279">
            <v>162239.64515509378</v>
          </cell>
          <cell r="F279">
            <v>126501.9720218982</v>
          </cell>
          <cell r="G279">
            <v>101701</v>
          </cell>
          <cell r="H279">
            <v>-45270.62590797188</v>
          </cell>
          <cell r="I279">
            <v>-1873.3839165981044</v>
          </cell>
          <cell r="J279">
            <v>136907.56296935916</v>
          </cell>
          <cell r="K279">
            <v>0</v>
          </cell>
          <cell r="L279">
            <v>-7193.3506368068129</v>
          </cell>
          <cell r="M279">
            <v>1290.8983175364137</v>
          </cell>
          <cell r="N279">
            <v>48.663459093928957</v>
          </cell>
          <cell r="O279">
            <v>-21.961287052273885</v>
          </cell>
          <cell r="P279">
            <v>0</v>
          </cell>
          <cell r="Q279">
            <v>0</v>
          </cell>
          <cell r="R279">
            <v>0</v>
          </cell>
          <cell r="S279">
            <v>474330.42017455248</v>
          </cell>
          <cell r="T279">
            <v>520923</v>
          </cell>
          <cell r="U279">
            <v>684537.81484679575</v>
          </cell>
          <cell r="V279">
            <v>5163.593270145655</v>
          </cell>
          <cell r="W279">
            <v>0</v>
          </cell>
          <cell r="X279">
            <v>1210624.4081169413</v>
          </cell>
          <cell r="Y279">
            <v>12420.680000000008</v>
          </cell>
          <cell r="Z279">
            <v>0</v>
          </cell>
          <cell r="AA279">
            <v>0</v>
          </cell>
          <cell r="AB279">
            <v>9366.919582990522</v>
          </cell>
          <cell r="AC279">
            <v>21787.59958299053</v>
          </cell>
          <cell r="AD279" t="str">
            <v>N/A</v>
          </cell>
          <cell r="AE279">
            <v>238026</v>
          </cell>
          <cell r="AF279">
            <v>238026</v>
          </cell>
          <cell r="AG279">
            <v>238026</v>
          </cell>
          <cell r="AH279">
            <v>238026</v>
          </cell>
          <cell r="AI279">
            <v>236735</v>
          </cell>
          <cell r="AJ279">
            <v>0</v>
          </cell>
          <cell r="AK279">
            <v>1188839</v>
          </cell>
          <cell r="AL279">
            <v>2483706</v>
          </cell>
          <cell r="AM279">
            <v>474330.42017455248</v>
          </cell>
          <cell r="AN279">
            <v>-67668.319999999992</v>
          </cell>
          <cell r="AO279">
            <v>680334.48853395099</v>
          </cell>
          <cell r="AP279">
            <v>0</v>
          </cell>
          <cell r="AQ279">
            <v>508502.32</v>
          </cell>
          <cell r="AR279">
            <v>0</v>
          </cell>
          <cell r="AS279">
            <v>0</v>
          </cell>
          <cell r="AT279">
            <v>4079204.9087085035</v>
          </cell>
          <cell r="AU279">
            <v>7.4913116459634409E-5</v>
          </cell>
          <cell r="AV279">
            <v>0</v>
          </cell>
          <cell r="AW279">
            <v>0</v>
          </cell>
          <cell r="AY279">
            <v>0</v>
          </cell>
          <cell r="AZ279">
            <v>0</v>
          </cell>
          <cell r="BA279">
            <v>0</v>
          </cell>
          <cell r="BB279">
            <v>0</v>
          </cell>
          <cell r="BC279">
            <v>0</v>
          </cell>
          <cell r="BD279">
            <v>0</v>
          </cell>
          <cell r="BE279">
            <v>0</v>
          </cell>
          <cell r="BF279">
            <v>0</v>
          </cell>
          <cell r="BG279">
            <v>0</v>
          </cell>
          <cell r="BH279">
            <v>0</v>
          </cell>
          <cell r="BJ279">
            <v>0</v>
          </cell>
          <cell r="BL279">
            <v>0</v>
          </cell>
          <cell r="BM279">
            <v>0</v>
          </cell>
          <cell r="BN279">
            <v>0</v>
          </cell>
          <cell r="BO279">
            <v>0</v>
          </cell>
          <cell r="BQ279">
            <v>0</v>
          </cell>
          <cell r="BR279">
            <v>0</v>
          </cell>
          <cell r="BS279">
            <v>0</v>
          </cell>
          <cell r="BT279">
            <v>0</v>
          </cell>
          <cell r="CB279">
            <v>0</v>
          </cell>
          <cell r="CC279">
            <v>0</v>
          </cell>
          <cell r="CD279">
            <v>0</v>
          </cell>
          <cell r="CE279">
            <v>0</v>
          </cell>
          <cell r="CF279">
            <v>0</v>
          </cell>
          <cell r="CI279">
            <v>0</v>
          </cell>
          <cell r="CJ279">
            <v>0</v>
          </cell>
          <cell r="CK279">
            <v>0</v>
          </cell>
          <cell r="CV279">
            <v>9.3767503745672195E-5</v>
          </cell>
          <cell r="DG279">
            <v>4079205</v>
          </cell>
          <cell r="DR279">
            <v>1091578.8099999996</v>
          </cell>
          <cell r="EC279">
            <v>3.7369770855115827</v>
          </cell>
          <cell r="EN279">
            <v>2.4095909012463064E-2</v>
          </cell>
        </row>
        <row r="280">
          <cell r="B280">
            <v>38900</v>
          </cell>
          <cell r="C280" t="str">
            <v>Tyrrell County Schools</v>
          </cell>
          <cell r="D280">
            <v>3.0670444720009053E-4</v>
          </cell>
          <cell r="E280">
            <v>530670.20762540586</v>
          </cell>
          <cell r="F280">
            <v>413775.73091774178</v>
          </cell>
          <cell r="G280">
            <v>166344</v>
          </cell>
          <cell r="H280">
            <v>-148075.8443902529</v>
          </cell>
          <cell r="I280">
            <v>-6127.6578300750743</v>
          </cell>
          <cell r="J280">
            <v>447811.41376995359</v>
          </cell>
          <cell r="K280">
            <v>0</v>
          </cell>
          <cell r="L280">
            <v>-23528.75508515476</v>
          </cell>
          <cell r="M280">
            <v>4222.4037012375566</v>
          </cell>
          <cell r="N280">
            <v>159.17347400790297</v>
          </cell>
          <cell r="O280">
            <v>-71.833248578733205</v>
          </cell>
          <cell r="P280">
            <v>0</v>
          </cell>
          <cell r="Q280">
            <v>0</v>
          </cell>
          <cell r="R280">
            <v>0</v>
          </cell>
          <cell r="S280">
            <v>1385178.8389342856</v>
          </cell>
          <cell r="T280">
            <v>849882</v>
          </cell>
          <cell r="U280">
            <v>2239057.068849768</v>
          </cell>
          <cell r="V280">
            <v>16889.614804950226</v>
          </cell>
          <cell r="W280">
            <v>0</v>
          </cell>
          <cell r="X280">
            <v>3105828.6836547181</v>
          </cell>
          <cell r="Y280">
            <v>18162.280000000028</v>
          </cell>
          <cell r="Z280">
            <v>0</v>
          </cell>
          <cell r="AA280">
            <v>0</v>
          </cell>
          <cell r="AB280">
            <v>30638.289150375374</v>
          </cell>
          <cell r="AC280">
            <v>48800.569150375406</v>
          </cell>
          <cell r="AD280" t="str">
            <v>N/A</v>
          </cell>
          <cell r="AE280">
            <v>612250</v>
          </cell>
          <cell r="AF280">
            <v>612250</v>
          </cell>
          <cell r="AG280">
            <v>612250</v>
          </cell>
          <cell r="AH280">
            <v>612250</v>
          </cell>
          <cell r="AI280">
            <v>608028</v>
          </cell>
          <cell r="AJ280">
            <v>0</v>
          </cell>
          <cell r="AK280">
            <v>3057028</v>
          </cell>
          <cell r="AL280">
            <v>9148771</v>
          </cell>
          <cell r="AM280">
            <v>1385178.8389342856</v>
          </cell>
          <cell r="AN280">
            <v>-248292.71999999997</v>
          </cell>
          <cell r="AO280">
            <v>2225308.3945043432</v>
          </cell>
          <cell r="AP280">
            <v>0</v>
          </cell>
          <cell r="AQ280">
            <v>831719.72</v>
          </cell>
          <cell r="AR280">
            <v>0</v>
          </cell>
          <cell r="AS280">
            <v>0</v>
          </cell>
          <cell r="AT280">
            <v>13342685.233438628</v>
          </cell>
          <cell r="AU280">
            <v>2.7594363778227297E-4</v>
          </cell>
          <cell r="AV280">
            <v>0</v>
          </cell>
          <cell r="AW280">
            <v>0</v>
          </cell>
          <cell r="AY280">
            <v>0</v>
          </cell>
          <cell r="AZ280">
            <v>0</v>
          </cell>
          <cell r="BA280">
            <v>0</v>
          </cell>
          <cell r="BB280">
            <v>0</v>
          </cell>
          <cell r="BC280">
            <v>0</v>
          </cell>
          <cell r="BD280">
            <v>0</v>
          </cell>
          <cell r="BE280">
            <v>0</v>
          </cell>
          <cell r="BF280">
            <v>0</v>
          </cell>
          <cell r="BG280">
            <v>0</v>
          </cell>
          <cell r="BH280">
            <v>0</v>
          </cell>
          <cell r="BJ280">
            <v>0</v>
          </cell>
          <cell r="BL280">
            <v>0</v>
          </cell>
          <cell r="BM280">
            <v>0</v>
          </cell>
          <cell r="BN280">
            <v>0</v>
          </cell>
          <cell r="BO280">
            <v>0</v>
          </cell>
          <cell r="BQ280">
            <v>0</v>
          </cell>
          <cell r="BR280">
            <v>0</v>
          </cell>
          <cell r="BS280">
            <v>0</v>
          </cell>
          <cell r="BT280">
            <v>0</v>
          </cell>
          <cell r="CB280">
            <v>0</v>
          </cell>
          <cell r="CC280">
            <v>0</v>
          </cell>
          <cell r="CD280">
            <v>0</v>
          </cell>
          <cell r="CE280">
            <v>0</v>
          </cell>
          <cell r="CF280">
            <v>0</v>
          </cell>
          <cell r="CI280">
            <v>0</v>
          </cell>
          <cell r="CJ280">
            <v>0</v>
          </cell>
          <cell r="CK280">
            <v>0</v>
          </cell>
          <cell r="CV280">
            <v>3.0670444720009053E-4</v>
          </cell>
          <cell r="DG280">
            <v>13342686</v>
          </cell>
          <cell r="DR280">
            <v>4694135.16</v>
          </cell>
          <cell r="EC280">
            <v>2.8424162375418263</v>
          </cell>
          <cell r="EN280">
            <v>2.4095909012463064E-2</v>
          </cell>
        </row>
        <row r="281">
          <cell r="B281">
            <v>39000</v>
          </cell>
          <cell r="C281" t="str">
            <v>Union County Schools</v>
          </cell>
          <cell r="D281">
            <v>1.3912259251114766E-2</v>
          </cell>
          <cell r="E281">
            <v>24071452.412005868</v>
          </cell>
          <cell r="F281">
            <v>18769063.484076627</v>
          </cell>
          <cell r="G281">
            <v>309528</v>
          </cell>
          <cell r="H281">
            <v>-6716790.5610477189</v>
          </cell>
          <cell r="I281">
            <v>-277953.46664312284</v>
          </cell>
          <cell r="J281">
            <v>20312938.2076139</v>
          </cell>
          <cell r="K281">
            <v>0</v>
          </cell>
          <cell r="L281">
            <v>-1067275.494662476</v>
          </cell>
          <cell r="M281">
            <v>191530.23534790819</v>
          </cell>
          <cell r="N281">
            <v>7220.1843061435411</v>
          </cell>
          <cell r="O281">
            <v>-3258.3902392035893</v>
          </cell>
          <cell r="P281">
            <v>0</v>
          </cell>
          <cell r="Q281">
            <v>0</v>
          </cell>
          <cell r="R281">
            <v>0</v>
          </cell>
          <cell r="S281">
            <v>55596454.610757925</v>
          </cell>
          <cell r="T281">
            <v>2212122</v>
          </cell>
          <cell r="U281">
            <v>101564691.0380695</v>
          </cell>
          <cell r="V281">
            <v>766120.94139163278</v>
          </cell>
          <cell r="W281">
            <v>0</v>
          </cell>
          <cell r="X281">
            <v>104542933.97946113</v>
          </cell>
          <cell r="Y281">
            <v>664486.50000000186</v>
          </cell>
          <cell r="Z281">
            <v>0</v>
          </cell>
          <cell r="AA281">
            <v>0</v>
          </cell>
          <cell r="AB281">
            <v>1389767.3332156141</v>
          </cell>
          <cell r="AC281">
            <v>2054253.8332156159</v>
          </cell>
          <cell r="AD281" t="str">
            <v>N/A</v>
          </cell>
          <cell r="AE281">
            <v>20536042</v>
          </cell>
          <cell r="AF281">
            <v>20536043</v>
          </cell>
          <cell r="AG281">
            <v>20536043</v>
          </cell>
          <cell r="AH281">
            <v>20536043</v>
          </cell>
          <cell r="AI281">
            <v>20344513</v>
          </cell>
          <cell r="AJ281">
            <v>0</v>
          </cell>
          <cell r="AK281">
            <v>102488684</v>
          </cell>
          <cell r="AL281">
            <v>458599356</v>
          </cell>
          <cell r="AM281">
            <v>55596454.610757925</v>
          </cell>
          <cell r="AN281">
            <v>-11453925.499999998</v>
          </cell>
          <cell r="AO281">
            <v>100941044.64624552</v>
          </cell>
          <cell r="AP281">
            <v>0</v>
          </cell>
          <cell r="AQ281">
            <v>1547635.4999999981</v>
          </cell>
          <cell r="AR281">
            <v>0</v>
          </cell>
          <cell r="AS281">
            <v>0</v>
          </cell>
          <cell r="AT281">
            <v>605230565.25700343</v>
          </cell>
          <cell r="AU281">
            <v>1.3832193252420312E-2</v>
          </cell>
          <cell r="AV281">
            <v>0</v>
          </cell>
          <cell r="AW281">
            <v>0</v>
          </cell>
          <cell r="AY281">
            <v>0</v>
          </cell>
          <cell r="AZ281">
            <v>0</v>
          </cell>
          <cell r="BA281">
            <v>0</v>
          </cell>
          <cell r="BB281">
            <v>0</v>
          </cell>
          <cell r="BC281">
            <v>0</v>
          </cell>
          <cell r="BD281">
            <v>0</v>
          </cell>
          <cell r="BE281">
            <v>0</v>
          </cell>
          <cell r="BF281">
            <v>0</v>
          </cell>
          <cell r="BG281">
            <v>0</v>
          </cell>
          <cell r="BH281">
            <v>0</v>
          </cell>
          <cell r="BJ281">
            <v>0</v>
          </cell>
          <cell r="BL281">
            <v>0</v>
          </cell>
          <cell r="BM281">
            <v>0</v>
          </cell>
          <cell r="BN281">
            <v>0</v>
          </cell>
          <cell r="BO281">
            <v>0</v>
          </cell>
          <cell r="BQ281">
            <v>0</v>
          </cell>
          <cell r="BR281">
            <v>0</v>
          </cell>
          <cell r="BS281">
            <v>0</v>
          </cell>
          <cell r="BT281">
            <v>0</v>
          </cell>
          <cell r="CB281">
            <v>0</v>
          </cell>
          <cell r="CC281">
            <v>0</v>
          </cell>
          <cell r="CD281">
            <v>0</v>
          </cell>
          <cell r="CE281">
            <v>0</v>
          </cell>
          <cell r="CF281">
            <v>0</v>
          </cell>
          <cell r="CI281">
            <v>0</v>
          </cell>
          <cell r="CJ281">
            <v>0</v>
          </cell>
          <cell r="CK281">
            <v>0</v>
          </cell>
          <cell r="CV281">
            <v>1.3912259251114766E-2</v>
          </cell>
          <cell r="DG281">
            <v>605230565</v>
          </cell>
          <cell r="DR281">
            <v>197758811.1799998</v>
          </cell>
          <cell r="EC281">
            <v>3.0604480345966478</v>
          </cell>
          <cell r="EN281">
            <v>2.4095909012463064E-2</v>
          </cell>
        </row>
        <row r="282">
          <cell r="B282">
            <v>39100</v>
          </cell>
          <cell r="C282" t="str">
            <v>Vance County Schools</v>
          </cell>
          <cell r="D282">
            <v>2.1343134136276353E-3</v>
          </cell>
          <cell r="E282">
            <v>3692859.8613001513</v>
          </cell>
          <cell r="F282">
            <v>2879407.5234102267</v>
          </cell>
          <cell r="G282">
            <v>-37320</v>
          </cell>
          <cell r="H282">
            <v>-1030439.1207936222</v>
          </cell>
          <cell r="I282">
            <v>-42641.51504890791</v>
          </cell>
          <cell r="J282">
            <v>3116257.0869447929</v>
          </cell>
          <cell r="K282">
            <v>0</v>
          </cell>
          <cell r="L282">
            <v>-163733.32060439198</v>
          </cell>
          <cell r="M282">
            <v>29383.117654707523</v>
          </cell>
          <cell r="N282">
            <v>1107.6659754044701</v>
          </cell>
          <cell r="O282">
            <v>-499.87754460572847</v>
          </cell>
          <cell r="P282">
            <v>0</v>
          </cell>
          <cell r="Q282">
            <v>0</v>
          </cell>
          <cell r="R282">
            <v>0</v>
          </cell>
          <cell r="S282">
            <v>8444381.421293756</v>
          </cell>
          <cell r="T282">
            <v>121488.72999999975</v>
          </cell>
          <cell r="U282">
            <v>15581285.434723964</v>
          </cell>
          <cell r="V282">
            <v>117532.47061883009</v>
          </cell>
          <cell r="W282">
            <v>0</v>
          </cell>
          <cell r="X282">
            <v>15820306.635342795</v>
          </cell>
          <cell r="Y282">
            <v>308092</v>
          </cell>
          <cell r="Z282">
            <v>0</v>
          </cell>
          <cell r="AA282">
            <v>0</v>
          </cell>
          <cell r="AB282">
            <v>213207.57524453953</v>
          </cell>
          <cell r="AC282">
            <v>521299.57524453953</v>
          </cell>
          <cell r="AD282" t="str">
            <v>N/A</v>
          </cell>
          <cell r="AE282">
            <v>3065679</v>
          </cell>
          <cell r="AF282">
            <v>3065678</v>
          </cell>
          <cell r="AG282">
            <v>3065678</v>
          </cell>
          <cell r="AH282">
            <v>3065678</v>
          </cell>
          <cell r="AI282">
            <v>3036295</v>
          </cell>
          <cell r="AJ282">
            <v>0</v>
          </cell>
          <cell r="AK282">
            <v>15299008</v>
          </cell>
          <cell r="AL282">
            <v>71131789</v>
          </cell>
          <cell r="AM282">
            <v>8444381.421293756</v>
          </cell>
          <cell r="AN282">
            <v>-2025289.7299999997</v>
          </cell>
          <cell r="AO282">
            <v>15485610.330098255</v>
          </cell>
          <cell r="AP282">
            <v>0</v>
          </cell>
          <cell r="AQ282">
            <v>-186603.27000000025</v>
          </cell>
          <cell r="AR282">
            <v>0</v>
          </cell>
          <cell r="AS282">
            <v>0</v>
          </cell>
          <cell r="AT282">
            <v>92849887.751392007</v>
          </cell>
          <cell r="AU282">
            <v>2.1454645216955467E-3</v>
          </cell>
          <cell r="AV282">
            <v>0</v>
          </cell>
          <cell r="AW282">
            <v>0</v>
          </cell>
          <cell r="AY282">
            <v>0</v>
          </cell>
          <cell r="AZ282">
            <v>0</v>
          </cell>
          <cell r="BA282">
            <v>0</v>
          </cell>
          <cell r="BB282">
            <v>0</v>
          </cell>
          <cell r="BC282">
            <v>0</v>
          </cell>
          <cell r="BD282">
            <v>0</v>
          </cell>
          <cell r="BE282">
            <v>0</v>
          </cell>
          <cell r="BF282">
            <v>0</v>
          </cell>
          <cell r="BG282">
            <v>0</v>
          </cell>
          <cell r="BH282">
            <v>0</v>
          </cell>
          <cell r="BJ282">
            <v>0</v>
          </cell>
          <cell r="BL282">
            <v>0</v>
          </cell>
          <cell r="BM282">
            <v>0</v>
          </cell>
          <cell r="BN282">
            <v>0</v>
          </cell>
          <cell r="BO282">
            <v>0</v>
          </cell>
          <cell r="BQ282">
            <v>0</v>
          </cell>
          <cell r="BR282">
            <v>0</v>
          </cell>
          <cell r="BS282">
            <v>0</v>
          </cell>
          <cell r="BT282">
            <v>0</v>
          </cell>
          <cell r="CB282">
            <v>0</v>
          </cell>
          <cell r="CC282">
            <v>0</v>
          </cell>
          <cell r="CD282">
            <v>0</v>
          </cell>
          <cell r="CE282">
            <v>0</v>
          </cell>
          <cell r="CF282">
            <v>0</v>
          </cell>
          <cell r="CI282">
            <v>0</v>
          </cell>
          <cell r="CJ282">
            <v>0</v>
          </cell>
          <cell r="CK282">
            <v>0</v>
          </cell>
          <cell r="CV282">
            <v>2.1343134136276353E-3</v>
          </cell>
          <cell r="DG282">
            <v>92849888</v>
          </cell>
          <cell r="DR282">
            <v>34567866.200000018</v>
          </cell>
          <cell r="EC282">
            <v>2.6860173394214293</v>
          </cell>
          <cell r="EN282">
            <v>2.4095909012463064E-2</v>
          </cell>
        </row>
        <row r="283">
          <cell r="B283">
            <v>39101</v>
          </cell>
          <cell r="C283" t="str">
            <v>Vance Charter School</v>
          </cell>
          <cell r="D283">
            <v>1.5215746481731001E-4</v>
          </cell>
          <cell r="E283">
            <v>263267.89253786032</v>
          </cell>
          <cell r="F283">
            <v>205276.0134198486</v>
          </cell>
          <cell r="G283">
            <v>36828</v>
          </cell>
          <cell r="H283">
            <v>-73461.096794610581</v>
          </cell>
          <cell r="I283">
            <v>-3039.9587916111809</v>
          </cell>
          <cell r="J283">
            <v>222161.26977460878</v>
          </cell>
          <cell r="K283">
            <v>0</v>
          </cell>
          <cell r="L283">
            <v>-11672.721920882152</v>
          </cell>
          <cell r="M283">
            <v>2094.7535925241823</v>
          </cell>
          <cell r="N283">
            <v>78.966681090887548</v>
          </cell>
          <cell r="O283">
            <v>-35.636799834862174</v>
          </cell>
          <cell r="P283">
            <v>0</v>
          </cell>
          <cell r="Q283">
            <v>0</v>
          </cell>
          <cell r="R283">
            <v>0</v>
          </cell>
          <cell r="S283">
            <v>641497.48169899406</v>
          </cell>
          <cell r="T283">
            <v>186264</v>
          </cell>
          <cell r="U283">
            <v>1110806.3488730439</v>
          </cell>
          <cell r="V283">
            <v>8379.0143700967292</v>
          </cell>
          <cell r="W283">
            <v>0</v>
          </cell>
          <cell r="X283">
            <v>1305449.3632431405</v>
          </cell>
          <cell r="Y283">
            <v>2125.3099999999977</v>
          </cell>
          <cell r="Z283">
            <v>0</v>
          </cell>
          <cell r="AA283">
            <v>0</v>
          </cell>
          <cell r="AB283">
            <v>15199.793958055903</v>
          </cell>
          <cell r="AC283">
            <v>17325.103958055901</v>
          </cell>
          <cell r="AD283" t="str">
            <v>N/A</v>
          </cell>
          <cell r="AE283">
            <v>258044</v>
          </cell>
          <cell r="AF283">
            <v>258044</v>
          </cell>
          <cell r="AG283">
            <v>258044</v>
          </cell>
          <cell r="AH283">
            <v>258044</v>
          </cell>
          <cell r="AI283">
            <v>255949</v>
          </cell>
          <cell r="AJ283">
            <v>0</v>
          </cell>
          <cell r="AK283">
            <v>1288125</v>
          </cell>
          <cell r="AL283">
            <v>4821187</v>
          </cell>
          <cell r="AM283">
            <v>641497.48169899406</v>
          </cell>
          <cell r="AN283">
            <v>-131441.69</v>
          </cell>
          <cell r="AO283">
            <v>1103985.569285085</v>
          </cell>
          <cell r="AP283">
            <v>0</v>
          </cell>
          <cell r="AQ283">
            <v>184138.69</v>
          </cell>
          <cell r="AR283">
            <v>0</v>
          </cell>
          <cell r="AS283">
            <v>0</v>
          </cell>
          <cell r="AT283">
            <v>6619367.0509840781</v>
          </cell>
          <cell r="AU283">
            <v>1.4541579333947972E-4</v>
          </cell>
          <cell r="AV283">
            <v>0</v>
          </cell>
          <cell r="AW283">
            <v>0</v>
          </cell>
          <cell r="AY283">
            <v>0</v>
          </cell>
          <cell r="AZ283">
            <v>0</v>
          </cell>
          <cell r="BA283">
            <v>0</v>
          </cell>
          <cell r="BB283">
            <v>0</v>
          </cell>
          <cell r="BC283">
            <v>0</v>
          </cell>
          <cell r="BD283">
            <v>0</v>
          </cell>
          <cell r="BE283">
            <v>0</v>
          </cell>
          <cell r="BF283">
            <v>0</v>
          </cell>
          <cell r="BG283">
            <v>0</v>
          </cell>
          <cell r="BH283">
            <v>0</v>
          </cell>
          <cell r="BJ283">
            <v>0</v>
          </cell>
          <cell r="BL283">
            <v>0</v>
          </cell>
          <cell r="BM283">
            <v>0</v>
          </cell>
          <cell r="BN283">
            <v>0</v>
          </cell>
          <cell r="BO283">
            <v>0</v>
          </cell>
          <cell r="BQ283">
            <v>0</v>
          </cell>
          <cell r="BR283">
            <v>0</v>
          </cell>
          <cell r="BS283">
            <v>0</v>
          </cell>
          <cell r="BT283">
            <v>0</v>
          </cell>
          <cell r="CB283">
            <v>0</v>
          </cell>
          <cell r="CC283">
            <v>0</v>
          </cell>
          <cell r="CD283">
            <v>0</v>
          </cell>
          <cell r="CE283">
            <v>0</v>
          </cell>
          <cell r="CF283">
            <v>0</v>
          </cell>
          <cell r="CI283">
            <v>0</v>
          </cell>
          <cell r="CJ283">
            <v>0</v>
          </cell>
          <cell r="CK283">
            <v>0</v>
          </cell>
          <cell r="CV283">
            <v>1.5215746481731001E-4</v>
          </cell>
          <cell r="DG283">
            <v>6619367</v>
          </cell>
          <cell r="DR283">
            <v>2334424.14</v>
          </cell>
          <cell r="EC283">
            <v>2.8355459860863159</v>
          </cell>
          <cell r="EN283">
            <v>2.4095909012463064E-2</v>
          </cell>
        </row>
        <row r="284">
          <cell r="B284">
            <v>39105</v>
          </cell>
          <cell r="C284" t="str">
            <v>Vance-Granville Community College</v>
          </cell>
          <cell r="D284">
            <v>8.8130321561062132E-4</v>
          </cell>
          <cell r="E284">
            <v>1524860.0555958557</v>
          </cell>
          <cell r="F284">
            <v>1188968.3554589599</v>
          </cell>
          <cell r="G284">
            <v>-15710</v>
          </cell>
          <cell r="H284">
            <v>-425490.13881840237</v>
          </cell>
          <cell r="I284">
            <v>-17607.584758246609</v>
          </cell>
          <cell r="J284">
            <v>1286768.5569786616</v>
          </cell>
          <cell r="K284">
            <v>0</v>
          </cell>
          <cell r="L284">
            <v>-67608.95613076564</v>
          </cell>
          <cell r="M284">
            <v>12132.911646628871</v>
          </cell>
          <cell r="N284">
            <v>457.37874283760027</v>
          </cell>
          <cell r="O284">
            <v>-206.41002612816362</v>
          </cell>
          <cell r="P284">
            <v>0</v>
          </cell>
          <cell r="Q284">
            <v>0</v>
          </cell>
          <cell r="R284">
            <v>0</v>
          </cell>
          <cell r="S284">
            <v>3486564.1686894009</v>
          </cell>
          <cell r="T284">
            <v>24041.95000000007</v>
          </cell>
          <cell r="U284">
            <v>6433842.7848933078</v>
          </cell>
          <cell r="V284">
            <v>48531.646586515482</v>
          </cell>
          <cell r="W284">
            <v>0</v>
          </cell>
          <cell r="X284">
            <v>6506416.381479824</v>
          </cell>
          <cell r="Y284">
            <v>102591</v>
          </cell>
          <cell r="Z284">
            <v>0</v>
          </cell>
          <cell r="AA284">
            <v>0</v>
          </cell>
          <cell r="AB284">
            <v>88037.923791233043</v>
          </cell>
          <cell r="AC284">
            <v>190628.92379123304</v>
          </cell>
          <cell r="AD284" t="str">
            <v>N/A</v>
          </cell>
          <cell r="AE284">
            <v>1265584</v>
          </cell>
          <cell r="AF284">
            <v>1265584</v>
          </cell>
          <cell r="AG284">
            <v>1265584</v>
          </cell>
          <cell r="AH284">
            <v>1265584</v>
          </cell>
          <cell r="AI284">
            <v>1253451</v>
          </cell>
          <cell r="AJ284">
            <v>0</v>
          </cell>
          <cell r="AK284">
            <v>6315787</v>
          </cell>
          <cell r="AL284">
            <v>29342270</v>
          </cell>
          <cell r="AM284">
            <v>3486564.1686894009</v>
          </cell>
          <cell r="AN284">
            <v>-804936.95000000007</v>
          </cell>
          <cell r="AO284">
            <v>6394336.5076885903</v>
          </cell>
          <cell r="AP284">
            <v>0</v>
          </cell>
          <cell r="AQ284">
            <v>-78549.04999999993</v>
          </cell>
          <cell r="AR284">
            <v>0</v>
          </cell>
          <cell r="AS284">
            <v>0</v>
          </cell>
          <cell r="AT284">
            <v>38339684.676377997</v>
          </cell>
          <cell r="AU284">
            <v>8.8501638459836463E-4</v>
          </cell>
          <cell r="AV284">
            <v>0</v>
          </cell>
          <cell r="AW284">
            <v>0</v>
          </cell>
          <cell r="AY284">
            <v>0</v>
          </cell>
          <cell r="AZ284">
            <v>0</v>
          </cell>
          <cell r="BA284">
            <v>0</v>
          </cell>
          <cell r="BB284">
            <v>0</v>
          </cell>
          <cell r="BC284">
            <v>0</v>
          </cell>
          <cell r="BD284">
            <v>0</v>
          </cell>
          <cell r="BE284">
            <v>0</v>
          </cell>
          <cell r="BF284">
            <v>0</v>
          </cell>
          <cell r="BG284">
            <v>0</v>
          </cell>
          <cell r="BH284">
            <v>0</v>
          </cell>
          <cell r="BJ284">
            <v>0</v>
          </cell>
          <cell r="BL284">
            <v>0</v>
          </cell>
          <cell r="BM284">
            <v>0</v>
          </cell>
          <cell r="BN284">
            <v>0</v>
          </cell>
          <cell r="BO284">
            <v>0</v>
          </cell>
          <cell r="BQ284">
            <v>0</v>
          </cell>
          <cell r="BR284">
            <v>0</v>
          </cell>
          <cell r="BS284">
            <v>0</v>
          </cell>
          <cell r="BT284">
            <v>0</v>
          </cell>
          <cell r="CB284">
            <v>0</v>
          </cell>
          <cell r="CC284">
            <v>0</v>
          </cell>
          <cell r="CD284">
            <v>0</v>
          </cell>
          <cell r="CE284">
            <v>0</v>
          </cell>
          <cell r="CF284">
            <v>0</v>
          </cell>
          <cell r="CI284">
            <v>0</v>
          </cell>
          <cell r="CJ284">
            <v>0</v>
          </cell>
          <cell r="CK284">
            <v>0</v>
          </cell>
          <cell r="CV284">
            <v>8.8130321561062132E-4</v>
          </cell>
          <cell r="DG284">
            <v>38339685</v>
          </cell>
          <cell r="DR284">
            <v>13797491.369999997</v>
          </cell>
          <cell r="EC284">
            <v>2.7787431767025637</v>
          </cell>
          <cell r="EN284">
            <v>2.4095909012463064E-2</v>
          </cell>
        </row>
        <row r="285">
          <cell r="B285">
            <v>39200</v>
          </cell>
          <cell r="C285" t="str">
            <v>Wake County Schools</v>
          </cell>
          <cell r="D285">
            <v>5.6205005681760727E-2</v>
          </cell>
          <cell r="E285">
            <v>97247765.094415873</v>
          </cell>
          <cell r="F285">
            <v>75826312.658695325</v>
          </cell>
          <cell r="G285">
            <v>12440559</v>
          </cell>
          <cell r="H285">
            <v>-27135581.995184142</v>
          </cell>
          <cell r="I285">
            <v>-1122921.5823224408</v>
          </cell>
          <cell r="J285">
            <v>82063508.648367971</v>
          </cell>
          <cell r="K285">
            <v>0</v>
          </cell>
          <cell r="L285">
            <v>-4311752.9769078922</v>
          </cell>
          <cell r="M285">
            <v>773774.96865547355</v>
          </cell>
          <cell r="N285">
            <v>29169.273848720182</v>
          </cell>
          <cell r="O285">
            <v>-13163.774380725179</v>
          </cell>
          <cell r="P285">
            <v>0</v>
          </cell>
          <cell r="Q285">
            <v>0</v>
          </cell>
          <cell r="R285">
            <v>0</v>
          </cell>
          <cell r="S285">
            <v>235797669.31518814</v>
          </cell>
          <cell r="T285">
            <v>64262666</v>
          </cell>
          <cell r="U285">
            <v>410317543.24183983</v>
          </cell>
          <cell r="V285">
            <v>3095099.8746218942</v>
          </cell>
          <cell r="W285">
            <v>0</v>
          </cell>
          <cell r="X285">
            <v>477675309.11646169</v>
          </cell>
          <cell r="Y285">
            <v>2059870.0199999958</v>
          </cell>
          <cell r="Z285">
            <v>0</v>
          </cell>
          <cell r="AA285">
            <v>0</v>
          </cell>
          <cell r="AB285">
            <v>5614607.9116122043</v>
          </cell>
          <cell r="AC285">
            <v>7674477.9316122001</v>
          </cell>
          <cell r="AD285" t="str">
            <v>N/A</v>
          </cell>
          <cell r="AE285">
            <v>94154921</v>
          </cell>
          <cell r="AF285">
            <v>94154921</v>
          </cell>
          <cell r="AG285">
            <v>94154921</v>
          </cell>
          <cell r="AH285">
            <v>94154921</v>
          </cell>
          <cell r="AI285">
            <v>93381146</v>
          </cell>
          <cell r="AJ285">
            <v>0</v>
          </cell>
          <cell r="AK285">
            <v>470000830</v>
          </cell>
          <cell r="AL285">
            <v>1786333274</v>
          </cell>
          <cell r="AM285">
            <v>235797669.31518814</v>
          </cell>
          <cell r="AN285">
            <v>-47022986.980000004</v>
          </cell>
          <cell r="AO285">
            <v>407798035.20484954</v>
          </cell>
          <cell r="AP285">
            <v>0</v>
          </cell>
          <cell r="AQ285">
            <v>62202795.980000004</v>
          </cell>
          <cell r="AR285">
            <v>0</v>
          </cell>
          <cell r="AS285">
            <v>0</v>
          </cell>
          <cell r="AT285">
            <v>2445108787.5200377</v>
          </cell>
          <cell r="AU285">
            <v>5.3879070587080385E-2</v>
          </cell>
          <cell r="AV285">
            <v>0</v>
          </cell>
          <cell r="AW285">
            <v>0</v>
          </cell>
          <cell r="AY285">
            <v>0</v>
          </cell>
          <cell r="AZ285">
            <v>0</v>
          </cell>
          <cell r="BA285">
            <v>0</v>
          </cell>
          <cell r="BB285">
            <v>0</v>
          </cell>
          <cell r="BC285">
            <v>0</v>
          </cell>
          <cell r="BD285">
            <v>0</v>
          </cell>
          <cell r="BE285">
            <v>0</v>
          </cell>
          <cell r="BF285">
            <v>0</v>
          </cell>
          <cell r="BG285">
            <v>0</v>
          </cell>
          <cell r="BH285">
            <v>0</v>
          </cell>
          <cell r="BJ285">
            <v>0</v>
          </cell>
          <cell r="BL285">
            <v>0</v>
          </cell>
          <cell r="BM285">
            <v>0</v>
          </cell>
          <cell r="BN285">
            <v>0</v>
          </cell>
          <cell r="BO285">
            <v>0</v>
          </cell>
          <cell r="BQ285">
            <v>0</v>
          </cell>
          <cell r="BR285">
            <v>0</v>
          </cell>
          <cell r="BS285">
            <v>0</v>
          </cell>
          <cell r="BT285">
            <v>0</v>
          </cell>
          <cell r="CB285">
            <v>0</v>
          </cell>
          <cell r="CC285">
            <v>0</v>
          </cell>
          <cell r="CD285">
            <v>0</v>
          </cell>
          <cell r="CE285">
            <v>0</v>
          </cell>
          <cell r="CF285">
            <v>0</v>
          </cell>
          <cell r="CI285">
            <v>0</v>
          </cell>
          <cell r="CJ285">
            <v>0</v>
          </cell>
          <cell r="CK285">
            <v>0</v>
          </cell>
          <cell r="CV285">
            <v>5.6205005681760727E-2</v>
          </cell>
          <cell r="DG285">
            <v>2445108788</v>
          </cell>
          <cell r="DR285">
            <v>801554623.66998684</v>
          </cell>
          <cell r="EC285">
            <v>3.0504580920572311</v>
          </cell>
          <cell r="EN285">
            <v>2.4095909012463064E-2</v>
          </cell>
        </row>
        <row r="286">
          <cell r="B286">
            <v>39201</v>
          </cell>
          <cell r="C286" t="str">
            <v>Endeavor Charter School</v>
          </cell>
          <cell r="D286">
            <v>1.7905342645631924E-4</v>
          </cell>
          <cell r="E286">
            <v>309804.17747782567</v>
          </cell>
          <cell r="F286">
            <v>241561.42201927534</v>
          </cell>
          <cell r="G286">
            <v>58806</v>
          </cell>
          <cell r="H286">
            <v>-86446.373880553554</v>
          </cell>
          <cell r="I286">
            <v>-3577.3140580222807</v>
          </cell>
          <cell r="J286">
            <v>261431.38377595413</v>
          </cell>
          <cell r="K286">
            <v>0</v>
          </cell>
          <cell r="L286">
            <v>-13736.038902298844</v>
          </cell>
          <cell r="M286">
            <v>2465.0306100556791</v>
          </cell>
          <cell r="N286">
            <v>92.925147262300555</v>
          </cell>
          <cell r="O286">
            <v>-41.936103010334527</v>
          </cell>
          <cell r="P286">
            <v>0</v>
          </cell>
          <cell r="Q286">
            <v>0</v>
          </cell>
          <cell r="R286">
            <v>0</v>
          </cell>
          <cell r="S286">
            <v>770359.27608648804</v>
          </cell>
          <cell r="T286">
            <v>326181</v>
          </cell>
          <cell r="U286">
            <v>1307156.9188797707</v>
          </cell>
          <cell r="V286">
            <v>9860.1224402227162</v>
          </cell>
          <cell r="W286">
            <v>0</v>
          </cell>
          <cell r="X286">
            <v>1643198.0413199933</v>
          </cell>
          <cell r="Y286">
            <v>32152.429999999993</v>
          </cell>
          <cell r="Z286">
            <v>0</v>
          </cell>
          <cell r="AA286">
            <v>0</v>
          </cell>
          <cell r="AB286">
            <v>17886.570290111402</v>
          </cell>
          <cell r="AC286">
            <v>50039.000290111391</v>
          </cell>
          <cell r="AD286" t="str">
            <v>N/A</v>
          </cell>
          <cell r="AE286">
            <v>319125</v>
          </cell>
          <cell r="AF286">
            <v>319124</v>
          </cell>
          <cell r="AG286">
            <v>319124</v>
          </cell>
          <cell r="AH286">
            <v>319124</v>
          </cell>
          <cell r="AI286">
            <v>316659</v>
          </cell>
          <cell r="AJ286">
            <v>0</v>
          </cell>
          <cell r="AK286">
            <v>1593156</v>
          </cell>
          <cell r="AL286">
            <v>5545009</v>
          </cell>
          <cell r="AM286">
            <v>770359.27608648804</v>
          </cell>
          <cell r="AN286">
            <v>-119094.57</v>
          </cell>
          <cell r="AO286">
            <v>1299130.4710298821</v>
          </cell>
          <cell r="AP286">
            <v>0</v>
          </cell>
          <cell r="AQ286">
            <v>294028.57</v>
          </cell>
          <cell r="AR286">
            <v>0</v>
          </cell>
          <cell r="AS286">
            <v>0</v>
          </cell>
          <cell r="AT286">
            <v>7789432.7471163701</v>
          </cell>
          <cell r="AU286">
            <v>1.6724759613249247E-4</v>
          </cell>
          <cell r="AV286">
            <v>0</v>
          </cell>
          <cell r="AW286">
            <v>0</v>
          </cell>
          <cell r="AY286">
            <v>0</v>
          </cell>
          <cell r="AZ286">
            <v>0</v>
          </cell>
          <cell r="BA286">
            <v>0</v>
          </cell>
          <cell r="BB286">
            <v>0</v>
          </cell>
          <cell r="BC286">
            <v>0</v>
          </cell>
          <cell r="BD286">
            <v>0</v>
          </cell>
          <cell r="BE286">
            <v>0</v>
          </cell>
          <cell r="BF286">
            <v>0</v>
          </cell>
          <cell r="BG286">
            <v>0</v>
          </cell>
          <cell r="BH286">
            <v>0</v>
          </cell>
          <cell r="BJ286">
            <v>0</v>
          </cell>
          <cell r="BL286">
            <v>0</v>
          </cell>
          <cell r="BM286">
            <v>0</v>
          </cell>
          <cell r="BN286">
            <v>0</v>
          </cell>
          <cell r="BO286">
            <v>0</v>
          </cell>
          <cell r="BQ286">
            <v>0</v>
          </cell>
          <cell r="BR286">
            <v>0</v>
          </cell>
          <cell r="BS286">
            <v>0</v>
          </cell>
          <cell r="BT286">
            <v>0</v>
          </cell>
          <cell r="CB286">
            <v>0</v>
          </cell>
          <cell r="CC286">
            <v>0</v>
          </cell>
          <cell r="CD286">
            <v>0</v>
          </cell>
          <cell r="CE286">
            <v>0</v>
          </cell>
          <cell r="CF286">
            <v>0</v>
          </cell>
          <cell r="CI286">
            <v>0</v>
          </cell>
          <cell r="CJ286">
            <v>0</v>
          </cell>
          <cell r="CK286">
            <v>0</v>
          </cell>
          <cell r="CV286">
            <v>1.7905342645631924E-4</v>
          </cell>
          <cell r="DG286">
            <v>7789433</v>
          </cell>
          <cell r="DR286">
            <v>2039344.5000000002</v>
          </cell>
          <cell r="EC286">
            <v>3.8195768297117034</v>
          </cell>
          <cell r="EN286">
            <v>2.4095909012463064E-2</v>
          </cell>
        </row>
        <row r="287">
          <cell r="B287">
            <v>39204</v>
          </cell>
          <cell r="C287" t="str">
            <v>Southern Wake Academy</v>
          </cell>
          <cell r="D287">
            <v>1.1647535282977027E-4</v>
          </cell>
          <cell r="E287">
            <v>201529.51883704652</v>
          </cell>
          <cell r="F287">
            <v>157137.18757914976</v>
          </cell>
          <cell r="G287">
            <v>72091</v>
          </cell>
          <cell r="H287">
            <v>-56233.896764036799</v>
          </cell>
          <cell r="I287">
            <v>-2327.0647500995483</v>
          </cell>
          <cell r="J287">
            <v>170062.71965148798</v>
          </cell>
          <cell r="K287">
            <v>0</v>
          </cell>
          <cell r="L287">
            <v>-8935.3776093137876</v>
          </cell>
          <cell r="M287">
            <v>1603.5175406847741</v>
          </cell>
          <cell r="N287">
            <v>60.448378611594173</v>
          </cell>
          <cell r="O287">
            <v>-27.279692386260496</v>
          </cell>
          <cell r="P287">
            <v>0</v>
          </cell>
          <cell r="Q287">
            <v>0</v>
          </cell>
          <cell r="R287">
            <v>0</v>
          </cell>
          <cell r="S287">
            <v>534960.77317114419</v>
          </cell>
          <cell r="T287">
            <v>370823</v>
          </cell>
          <cell r="U287">
            <v>850313.59825743979</v>
          </cell>
          <cell r="V287">
            <v>6414.0701627390963</v>
          </cell>
          <cell r="W287">
            <v>0</v>
          </cell>
          <cell r="X287">
            <v>1227550.6684201788</v>
          </cell>
          <cell r="Y287">
            <v>10371.540000000008</v>
          </cell>
          <cell r="Z287">
            <v>0</v>
          </cell>
          <cell r="AA287">
            <v>0</v>
          </cell>
          <cell r="AB287">
            <v>11635.323750497742</v>
          </cell>
          <cell r="AC287">
            <v>22006.863750497752</v>
          </cell>
          <cell r="AD287" t="str">
            <v>N/A</v>
          </cell>
          <cell r="AE287">
            <v>241430</v>
          </cell>
          <cell r="AF287">
            <v>241430</v>
          </cell>
          <cell r="AG287">
            <v>241430</v>
          </cell>
          <cell r="AH287">
            <v>241430</v>
          </cell>
          <cell r="AI287">
            <v>239827</v>
          </cell>
          <cell r="AJ287">
            <v>0</v>
          </cell>
          <cell r="AK287">
            <v>1205547</v>
          </cell>
          <cell r="AL287">
            <v>3416693</v>
          </cell>
          <cell r="AM287">
            <v>534960.77317114419</v>
          </cell>
          <cell r="AN287">
            <v>-90124.459999999992</v>
          </cell>
          <cell r="AO287">
            <v>845092.34466968128</v>
          </cell>
          <cell r="AP287">
            <v>0</v>
          </cell>
          <cell r="AQ287">
            <v>360451.45999999996</v>
          </cell>
          <cell r="AR287">
            <v>0</v>
          </cell>
          <cell r="AS287">
            <v>0</v>
          </cell>
          <cell r="AT287">
            <v>5067073.1178408256</v>
          </cell>
          <cell r="AU287">
            <v>1.0305369739751568E-4</v>
          </cell>
          <cell r="AV287">
            <v>0</v>
          </cell>
          <cell r="AW287">
            <v>0</v>
          </cell>
          <cell r="AY287">
            <v>0</v>
          </cell>
          <cell r="AZ287">
            <v>0</v>
          </cell>
          <cell r="BA287">
            <v>0</v>
          </cell>
          <cell r="BB287">
            <v>0</v>
          </cell>
          <cell r="BC287">
            <v>0</v>
          </cell>
          <cell r="BD287">
            <v>0</v>
          </cell>
          <cell r="BE287">
            <v>0</v>
          </cell>
          <cell r="BF287">
            <v>0</v>
          </cell>
          <cell r="BG287">
            <v>0</v>
          </cell>
          <cell r="BH287">
            <v>0</v>
          </cell>
          <cell r="BJ287">
            <v>0</v>
          </cell>
          <cell r="BL287">
            <v>0</v>
          </cell>
          <cell r="BM287">
            <v>0</v>
          </cell>
          <cell r="BN287">
            <v>0</v>
          </cell>
          <cell r="BO287">
            <v>0</v>
          </cell>
          <cell r="BQ287">
            <v>0</v>
          </cell>
          <cell r="BR287">
            <v>0</v>
          </cell>
          <cell r="BS287">
            <v>0</v>
          </cell>
          <cell r="BT287">
            <v>0</v>
          </cell>
          <cell r="CB287">
            <v>0</v>
          </cell>
          <cell r="CC287">
            <v>0</v>
          </cell>
          <cell r="CD287">
            <v>0</v>
          </cell>
          <cell r="CE287">
            <v>0</v>
          </cell>
          <cell r="CF287">
            <v>0</v>
          </cell>
          <cell r="CI287">
            <v>0</v>
          </cell>
          <cell r="CJ287">
            <v>0</v>
          </cell>
          <cell r="CK287">
            <v>0</v>
          </cell>
          <cell r="CV287">
            <v>1.1647535282977027E-4</v>
          </cell>
          <cell r="DG287">
            <v>5067074</v>
          </cell>
          <cell r="DR287">
            <v>1435585.1600000004</v>
          </cell>
          <cell r="EC287">
            <v>3.529622721928944</v>
          </cell>
          <cell r="EN287">
            <v>2.4095909012463064E-2</v>
          </cell>
        </row>
        <row r="288">
          <cell r="B288">
            <v>39205</v>
          </cell>
          <cell r="C288" t="str">
            <v>Wake Technical College</v>
          </cell>
          <cell r="D288">
            <v>4.3781538993554296E-3</v>
          </cell>
          <cell r="E288">
            <v>7575227.0956514524</v>
          </cell>
          <cell r="F288">
            <v>5906578.2916225661</v>
          </cell>
          <cell r="G288">
            <v>1450691</v>
          </cell>
          <cell r="H288">
            <v>-2113757.532490524</v>
          </cell>
          <cell r="I288">
            <v>-87471.274927933613</v>
          </cell>
          <cell r="J288">
            <v>6392431.8844119171</v>
          </cell>
          <cell r="K288">
            <v>0</v>
          </cell>
          <cell r="L288">
            <v>-335868.98319685925</v>
          </cell>
          <cell r="M288">
            <v>60274.095788267885</v>
          </cell>
          <cell r="N288">
            <v>2272.174310687481</v>
          </cell>
          <cell r="O288">
            <v>-1025.4074247680351</v>
          </cell>
          <cell r="P288">
            <v>0</v>
          </cell>
          <cell r="Q288">
            <v>0</v>
          </cell>
          <cell r="R288">
            <v>0</v>
          </cell>
          <cell r="S288">
            <v>18849351.343744811</v>
          </cell>
          <cell r="T288">
            <v>7253455.8300000001</v>
          </cell>
          <cell r="U288">
            <v>31962159.422059588</v>
          </cell>
          <cell r="V288">
            <v>241096.38315307154</v>
          </cell>
          <cell r="W288">
            <v>0</v>
          </cell>
          <cell r="X288">
            <v>39456711.63521266</v>
          </cell>
          <cell r="Y288">
            <v>0</v>
          </cell>
          <cell r="Z288">
            <v>0</v>
          </cell>
          <cell r="AA288">
            <v>0</v>
          </cell>
          <cell r="AB288">
            <v>437356.37463966809</v>
          </cell>
          <cell r="AC288">
            <v>437356.37463966809</v>
          </cell>
          <cell r="AD288" t="str">
            <v>N/A</v>
          </cell>
          <cell r="AE288">
            <v>7815926</v>
          </cell>
          <cell r="AF288">
            <v>7815926</v>
          </cell>
          <cell r="AG288">
            <v>7815926</v>
          </cell>
          <cell r="AH288">
            <v>7815926</v>
          </cell>
          <cell r="AI288">
            <v>7755652</v>
          </cell>
          <cell r="AJ288">
            <v>0</v>
          </cell>
          <cell r="AK288">
            <v>39019356</v>
          </cell>
          <cell r="AL288">
            <v>136626690</v>
          </cell>
          <cell r="AM288">
            <v>18849351.343744811</v>
          </cell>
          <cell r="AN288">
            <v>-4030820.8299999996</v>
          </cell>
          <cell r="AO288">
            <v>31765899.430572994</v>
          </cell>
          <cell r="AP288">
            <v>0</v>
          </cell>
          <cell r="AQ288">
            <v>7253455.8300000001</v>
          </cell>
          <cell r="AR288">
            <v>0</v>
          </cell>
          <cell r="AS288">
            <v>0</v>
          </cell>
          <cell r="AT288">
            <v>190464575.7743178</v>
          </cell>
          <cell r="AU288">
            <v>4.1209102446008112E-3</v>
          </cell>
          <cell r="AV288">
            <v>0</v>
          </cell>
          <cell r="AW288">
            <v>0</v>
          </cell>
          <cell r="AY288">
            <v>0</v>
          </cell>
          <cell r="AZ288">
            <v>0</v>
          </cell>
          <cell r="BA288">
            <v>0</v>
          </cell>
          <cell r="BB288">
            <v>0</v>
          </cell>
          <cell r="BC288">
            <v>0</v>
          </cell>
          <cell r="BD288">
            <v>0</v>
          </cell>
          <cell r="BE288">
            <v>0</v>
          </cell>
          <cell r="BF288">
            <v>0</v>
          </cell>
          <cell r="BG288">
            <v>0</v>
          </cell>
          <cell r="BH288">
            <v>0</v>
          </cell>
          <cell r="BJ288">
            <v>0</v>
          </cell>
          <cell r="BL288">
            <v>0</v>
          </cell>
          <cell r="BM288">
            <v>0</v>
          </cell>
          <cell r="BN288">
            <v>0</v>
          </cell>
          <cell r="BO288">
            <v>0</v>
          </cell>
          <cell r="BQ288">
            <v>0</v>
          </cell>
          <cell r="BR288">
            <v>0</v>
          </cell>
          <cell r="BS288">
            <v>0</v>
          </cell>
          <cell r="BT288">
            <v>0</v>
          </cell>
          <cell r="CB288">
            <v>0</v>
          </cell>
          <cell r="CC288">
            <v>0</v>
          </cell>
          <cell r="CD288">
            <v>0</v>
          </cell>
          <cell r="CE288">
            <v>0</v>
          </cell>
          <cell r="CF288">
            <v>0</v>
          </cell>
          <cell r="CI288">
            <v>0</v>
          </cell>
          <cell r="CJ288">
            <v>0</v>
          </cell>
          <cell r="CK288">
            <v>0</v>
          </cell>
          <cell r="CV288">
            <v>4.3781538993554296E-3</v>
          </cell>
          <cell r="DG288">
            <v>190464576</v>
          </cell>
          <cell r="DR288">
            <v>68393645.809999987</v>
          </cell>
          <cell r="EC288">
            <v>2.7848285282103173</v>
          </cell>
          <cell r="EN288">
            <v>2.4095909012463064E-2</v>
          </cell>
        </row>
        <row r="289">
          <cell r="B289">
            <v>39208</v>
          </cell>
          <cell r="C289" t="str">
            <v>East Wake Academy</v>
          </cell>
          <cell r="D289">
            <v>3.6078335581388513E-4</v>
          </cell>
          <cell r="E289">
            <v>624239.329052313</v>
          </cell>
          <cell r="F289">
            <v>486733.7207453507</v>
          </cell>
          <cell r="G289">
            <v>89574</v>
          </cell>
          <cell r="H289">
            <v>-174184.95408785951</v>
          </cell>
          <cell r="I289">
            <v>-7208.1020519778831</v>
          </cell>
          <cell r="J289">
            <v>526770.66181007249</v>
          </cell>
          <cell r="K289">
            <v>0</v>
          </cell>
          <cell r="L289">
            <v>-27677.405056364121</v>
          </cell>
          <cell r="M289">
            <v>4966.9086667648598</v>
          </cell>
          <cell r="N289">
            <v>187.23934600029011</v>
          </cell>
          <cell r="O289">
            <v>-84.499069765170034</v>
          </cell>
          <cell r="P289">
            <v>0</v>
          </cell>
          <cell r="Q289">
            <v>0</v>
          </cell>
          <cell r="R289">
            <v>0</v>
          </cell>
          <cell r="S289">
            <v>1523316.8993545347</v>
          </cell>
          <cell r="T289">
            <v>499557</v>
          </cell>
          <cell r="U289">
            <v>2633853.3090503621</v>
          </cell>
          <cell r="V289">
            <v>19867.634667059439</v>
          </cell>
          <cell r="W289">
            <v>0</v>
          </cell>
          <cell r="X289">
            <v>3153277.9437174215</v>
          </cell>
          <cell r="Y289">
            <v>51686.150000000023</v>
          </cell>
          <cell r="Z289">
            <v>0</v>
          </cell>
          <cell r="AA289">
            <v>0</v>
          </cell>
          <cell r="AB289">
            <v>36040.510259889415</v>
          </cell>
          <cell r="AC289">
            <v>87726.660259889439</v>
          </cell>
          <cell r="AD289" t="str">
            <v>N/A</v>
          </cell>
          <cell r="AE289">
            <v>614103</v>
          </cell>
          <cell r="AF289">
            <v>614104</v>
          </cell>
          <cell r="AG289">
            <v>614104</v>
          </cell>
          <cell r="AH289">
            <v>614104</v>
          </cell>
          <cell r="AI289">
            <v>609138</v>
          </cell>
          <cell r="AJ289">
            <v>0</v>
          </cell>
          <cell r="AK289">
            <v>3065553</v>
          </cell>
          <cell r="AL289">
            <v>11362121</v>
          </cell>
          <cell r="AM289">
            <v>1523316.8993545347</v>
          </cell>
          <cell r="AN289">
            <v>-255686.84999999998</v>
          </cell>
          <cell r="AO289">
            <v>2617680.4334575324</v>
          </cell>
          <cell r="AP289">
            <v>0</v>
          </cell>
          <cell r="AQ289">
            <v>447870.85</v>
          </cell>
          <cell r="AR289">
            <v>0</v>
          </cell>
          <cell r="AS289">
            <v>0</v>
          </cell>
          <cell r="AT289">
            <v>15695302.332812067</v>
          </cell>
          <cell r="AU289">
            <v>3.427022837792467E-4</v>
          </cell>
          <cell r="AV289">
            <v>0</v>
          </cell>
          <cell r="AW289">
            <v>0</v>
          </cell>
          <cell r="AY289">
            <v>0</v>
          </cell>
          <cell r="AZ289">
            <v>0</v>
          </cell>
          <cell r="BA289">
            <v>0</v>
          </cell>
          <cell r="BB289">
            <v>0</v>
          </cell>
          <cell r="BC289">
            <v>0</v>
          </cell>
          <cell r="BD289">
            <v>0</v>
          </cell>
          <cell r="BE289">
            <v>0</v>
          </cell>
          <cell r="BF289">
            <v>0</v>
          </cell>
          <cell r="BG289">
            <v>0</v>
          </cell>
          <cell r="BH289">
            <v>0</v>
          </cell>
          <cell r="BJ289">
            <v>0</v>
          </cell>
          <cell r="BL289">
            <v>0</v>
          </cell>
          <cell r="BM289">
            <v>0</v>
          </cell>
          <cell r="BN289">
            <v>0</v>
          </cell>
          <cell r="BO289">
            <v>0</v>
          </cell>
          <cell r="BQ289">
            <v>0</v>
          </cell>
          <cell r="BR289">
            <v>0</v>
          </cell>
          <cell r="BS289">
            <v>0</v>
          </cell>
          <cell r="BT289">
            <v>0</v>
          </cell>
          <cell r="CB289">
            <v>0</v>
          </cell>
          <cell r="CC289">
            <v>0</v>
          </cell>
          <cell r="CD289">
            <v>0</v>
          </cell>
          <cell r="CE289">
            <v>0</v>
          </cell>
          <cell r="CF289">
            <v>0</v>
          </cell>
          <cell r="CI289">
            <v>0</v>
          </cell>
          <cell r="CJ289">
            <v>0</v>
          </cell>
          <cell r="CK289">
            <v>0</v>
          </cell>
          <cell r="CV289">
            <v>3.6078335581388513E-4</v>
          </cell>
          <cell r="DG289">
            <v>15695302</v>
          </cell>
          <cell r="DR289">
            <v>4537560.049999998</v>
          </cell>
          <cell r="EC289">
            <v>3.458973947904008</v>
          </cell>
          <cell r="EN289">
            <v>2.4095909012463064E-2</v>
          </cell>
        </row>
        <row r="290">
          <cell r="B290">
            <v>39209</v>
          </cell>
          <cell r="C290" t="str">
            <v>Casa Esperanza Montessori</v>
          </cell>
          <cell r="D290">
            <v>1.7782890442666379E-4</v>
          </cell>
          <cell r="E290">
            <v>307685.46884594462</v>
          </cell>
          <cell r="F290">
            <v>239909.41630996455</v>
          </cell>
          <cell r="G290">
            <v>111430</v>
          </cell>
          <cell r="H290">
            <v>-85855.178887552989</v>
          </cell>
          <cell r="I290">
            <v>-3552.8492937463898</v>
          </cell>
          <cell r="J290">
            <v>259643.49010079424</v>
          </cell>
          <cell r="K290">
            <v>0</v>
          </cell>
          <cell r="L290">
            <v>-13642.100000547793</v>
          </cell>
          <cell r="M290">
            <v>2448.1726009936488</v>
          </cell>
          <cell r="N290">
            <v>92.289644819349974</v>
          </cell>
          <cell r="O290">
            <v>-41.649307705768926</v>
          </cell>
          <cell r="P290">
            <v>0</v>
          </cell>
          <cell r="Q290">
            <v>0</v>
          </cell>
          <cell r="R290">
            <v>0</v>
          </cell>
          <cell r="S290">
            <v>818117.06001296337</v>
          </cell>
          <cell r="T290">
            <v>583101</v>
          </cell>
          <cell r="U290">
            <v>1298217.4505039712</v>
          </cell>
          <cell r="V290">
            <v>9792.690403974595</v>
          </cell>
          <cell r="W290">
            <v>0</v>
          </cell>
          <cell r="X290">
            <v>1891111.1409079458</v>
          </cell>
          <cell r="Y290">
            <v>25949.479999999996</v>
          </cell>
          <cell r="Z290">
            <v>0</v>
          </cell>
          <cell r="AA290">
            <v>0</v>
          </cell>
          <cell r="AB290">
            <v>17764.246468731948</v>
          </cell>
          <cell r="AC290">
            <v>43713.72646873194</v>
          </cell>
          <cell r="AD290" t="str">
            <v>N/A</v>
          </cell>
          <cell r="AE290">
            <v>369969</v>
          </cell>
          <cell r="AF290">
            <v>369969</v>
          </cell>
          <cell r="AG290">
            <v>369969</v>
          </cell>
          <cell r="AH290">
            <v>369969</v>
          </cell>
          <cell r="AI290">
            <v>367521</v>
          </cell>
          <cell r="AJ290">
            <v>0</v>
          </cell>
          <cell r="AK290">
            <v>1847397</v>
          </cell>
          <cell r="AL290">
            <v>5196106</v>
          </cell>
          <cell r="AM290">
            <v>818117.06001296337</v>
          </cell>
          <cell r="AN290">
            <v>-125458.52</v>
          </cell>
          <cell r="AO290">
            <v>1290245.8944392139</v>
          </cell>
          <cell r="AP290">
            <v>0</v>
          </cell>
          <cell r="AQ290">
            <v>557151.52</v>
          </cell>
          <cell r="AR290">
            <v>0</v>
          </cell>
          <cell r="AS290">
            <v>0</v>
          </cell>
          <cell r="AT290">
            <v>7736161.9544521775</v>
          </cell>
          <cell r="AU290">
            <v>1.5672403443852371E-4</v>
          </cell>
          <cell r="AV290">
            <v>0</v>
          </cell>
          <cell r="AW290">
            <v>0</v>
          </cell>
          <cell r="AY290">
            <v>0</v>
          </cell>
          <cell r="AZ290">
            <v>0</v>
          </cell>
          <cell r="BA290">
            <v>0</v>
          </cell>
          <cell r="BB290">
            <v>0</v>
          </cell>
          <cell r="BC290">
            <v>0</v>
          </cell>
          <cell r="BD290">
            <v>0</v>
          </cell>
          <cell r="BE290">
            <v>0</v>
          </cell>
          <cell r="BF290">
            <v>0</v>
          </cell>
          <cell r="BG290">
            <v>0</v>
          </cell>
          <cell r="BH290">
            <v>0</v>
          </cell>
          <cell r="BJ290">
            <v>0</v>
          </cell>
          <cell r="BL290">
            <v>0</v>
          </cell>
          <cell r="BM290">
            <v>0</v>
          </cell>
          <cell r="BN290">
            <v>0</v>
          </cell>
          <cell r="BO290">
            <v>0</v>
          </cell>
          <cell r="BQ290">
            <v>0</v>
          </cell>
          <cell r="BR290">
            <v>0</v>
          </cell>
          <cell r="BS290">
            <v>0</v>
          </cell>
          <cell r="BT290">
            <v>0</v>
          </cell>
          <cell r="CB290">
            <v>0</v>
          </cell>
          <cell r="CC290">
            <v>0</v>
          </cell>
          <cell r="CD290">
            <v>0</v>
          </cell>
          <cell r="CE290">
            <v>0</v>
          </cell>
          <cell r="CF290">
            <v>0</v>
          </cell>
          <cell r="CI290">
            <v>0</v>
          </cell>
          <cell r="CJ290">
            <v>0</v>
          </cell>
          <cell r="CK290">
            <v>0</v>
          </cell>
          <cell r="CV290">
            <v>1.7782890442666379E-4</v>
          </cell>
          <cell r="DG290">
            <v>7736162</v>
          </cell>
          <cell r="DR290">
            <v>2186947.2299999995</v>
          </cell>
          <cell r="EC290">
            <v>3.5374250891275514</v>
          </cell>
          <cell r="EN290">
            <v>2.4095909012463064E-2</v>
          </cell>
        </row>
        <row r="291">
          <cell r="B291">
            <v>39300</v>
          </cell>
          <cell r="C291" t="str">
            <v>Warren County Schools</v>
          </cell>
          <cell r="D291">
            <v>8.4495419907795039E-4</v>
          </cell>
          <cell r="E291">
            <v>1461967.781530499</v>
          </cell>
          <cell r="F291">
            <v>1139929.8070412551</v>
          </cell>
          <cell r="G291">
            <v>69747</v>
          </cell>
          <cell r="H291">
            <v>-407940.95958423527</v>
          </cell>
          <cell r="I291">
            <v>-16881.366609780569</v>
          </cell>
          <cell r="J291">
            <v>1233696.2763800579</v>
          </cell>
          <cell r="K291">
            <v>0</v>
          </cell>
          <cell r="L291">
            <v>-64820.450403538605</v>
          </cell>
          <cell r="M291">
            <v>11632.494312139534</v>
          </cell>
          <cell r="N291">
            <v>438.51433023747467</v>
          </cell>
          <cell r="O291">
            <v>-197.89672296604675</v>
          </cell>
          <cell r="P291">
            <v>0</v>
          </cell>
          <cell r="Q291">
            <v>0</v>
          </cell>
          <cell r="R291">
            <v>0</v>
          </cell>
          <cell r="S291">
            <v>3427571.2002736693</v>
          </cell>
          <cell r="T291">
            <v>348735.02</v>
          </cell>
          <cell r="U291">
            <v>6168481.38190029</v>
          </cell>
          <cell r="V291">
            <v>46529.977248558134</v>
          </cell>
          <cell r="W291">
            <v>0</v>
          </cell>
          <cell r="X291">
            <v>6563746.3791488474</v>
          </cell>
          <cell r="Y291">
            <v>0</v>
          </cell>
          <cell r="Z291">
            <v>0</v>
          </cell>
          <cell r="AA291">
            <v>0</v>
          </cell>
          <cell r="AB291">
            <v>84406.833048902845</v>
          </cell>
          <cell r="AC291">
            <v>84406.833048902845</v>
          </cell>
          <cell r="AD291" t="str">
            <v>N/A</v>
          </cell>
          <cell r="AE291">
            <v>1298194</v>
          </cell>
          <cell r="AF291">
            <v>1298194</v>
          </cell>
          <cell r="AG291">
            <v>1298194</v>
          </cell>
          <cell r="AH291">
            <v>1298194</v>
          </cell>
          <cell r="AI291">
            <v>1286562</v>
          </cell>
          <cell r="AJ291">
            <v>0</v>
          </cell>
          <cell r="AK291">
            <v>6479338</v>
          </cell>
          <cell r="AL291">
            <v>27604301</v>
          </cell>
          <cell r="AM291">
            <v>3427571.2002736693</v>
          </cell>
          <cell r="AN291">
            <v>-752832.02</v>
          </cell>
          <cell r="AO291">
            <v>6130604.5260999454</v>
          </cell>
          <cell r="AP291">
            <v>0</v>
          </cell>
          <cell r="AQ291">
            <v>348735.02</v>
          </cell>
          <cell r="AR291">
            <v>0</v>
          </cell>
          <cell r="AS291">
            <v>0</v>
          </cell>
          <cell r="AT291">
            <v>36758379.72637362</v>
          </cell>
          <cell r="AU291">
            <v>8.3259607708030536E-4</v>
          </cell>
          <cell r="AV291">
            <v>0</v>
          </cell>
          <cell r="AW291">
            <v>0</v>
          </cell>
          <cell r="AY291">
            <v>0</v>
          </cell>
          <cell r="AZ291">
            <v>0</v>
          </cell>
          <cell r="BA291">
            <v>0</v>
          </cell>
          <cell r="BB291">
            <v>0</v>
          </cell>
          <cell r="BC291">
            <v>0</v>
          </cell>
          <cell r="BD291">
            <v>0</v>
          </cell>
          <cell r="BE291">
            <v>0</v>
          </cell>
          <cell r="BF291">
            <v>0</v>
          </cell>
          <cell r="BG291">
            <v>0</v>
          </cell>
          <cell r="BH291">
            <v>0</v>
          </cell>
          <cell r="BJ291">
            <v>0</v>
          </cell>
          <cell r="BL291">
            <v>0</v>
          </cell>
          <cell r="BM291">
            <v>0</v>
          </cell>
          <cell r="BN291">
            <v>0</v>
          </cell>
          <cell r="BO291">
            <v>0</v>
          </cell>
          <cell r="BQ291">
            <v>0</v>
          </cell>
          <cell r="BR291">
            <v>0</v>
          </cell>
          <cell r="BS291">
            <v>0</v>
          </cell>
          <cell r="BT291">
            <v>0</v>
          </cell>
          <cell r="CB291">
            <v>0</v>
          </cell>
          <cell r="CC291">
            <v>0</v>
          </cell>
          <cell r="CD291">
            <v>0</v>
          </cell>
          <cell r="CE291">
            <v>0</v>
          </cell>
          <cell r="CF291">
            <v>0</v>
          </cell>
          <cell r="CI291">
            <v>0</v>
          </cell>
          <cell r="CJ291">
            <v>0</v>
          </cell>
          <cell r="CK291">
            <v>0</v>
          </cell>
          <cell r="CV291">
            <v>8.4495419907795039E-4</v>
          </cell>
          <cell r="DG291">
            <v>36758380</v>
          </cell>
          <cell r="DR291">
            <v>13365534.219999993</v>
          </cell>
          <cell r="EC291">
            <v>2.7502364959715031</v>
          </cell>
          <cell r="EN291">
            <v>2.4095909012463064E-2</v>
          </cell>
        </row>
        <row r="292">
          <cell r="B292">
            <v>39301</v>
          </cell>
          <cell r="C292" t="str">
            <v>Haliwa-Saponi Tribal Charter</v>
          </cell>
          <cell r="D292">
            <v>4.8431575802644976E-5</v>
          </cell>
          <cell r="E292">
            <v>83797.918880674129</v>
          </cell>
          <cell r="F292">
            <v>65339.159116149676</v>
          </cell>
          <cell r="G292">
            <v>-24057</v>
          </cell>
          <cell r="H292">
            <v>-23382.596984153148</v>
          </cell>
          <cell r="I292">
            <v>-967.61598144138168</v>
          </cell>
          <cell r="J292">
            <v>70713.720095294135</v>
          </cell>
          <cell r="K292">
            <v>0</v>
          </cell>
          <cell r="L292">
            <v>-3715.4162446986679</v>
          </cell>
          <cell r="M292">
            <v>666.75806885983445</v>
          </cell>
          <cell r="N292">
            <v>25.13501921005669</v>
          </cell>
          <cell r="O292">
            <v>-11.34315936873748</v>
          </cell>
          <cell r="P292">
            <v>0</v>
          </cell>
          <cell r="Q292">
            <v>0</v>
          </cell>
          <cell r="R292">
            <v>0</v>
          </cell>
          <cell r="S292">
            <v>168408.71881052593</v>
          </cell>
          <cell r="T292">
            <v>742.86000000000058</v>
          </cell>
          <cell r="U292">
            <v>353568.60047647072</v>
          </cell>
          <cell r="V292">
            <v>2667.0322754393378</v>
          </cell>
          <cell r="W292">
            <v>0</v>
          </cell>
          <cell r="X292">
            <v>356978.49275191006</v>
          </cell>
          <cell r="Y292">
            <v>121027</v>
          </cell>
          <cell r="Z292">
            <v>0</v>
          </cell>
          <cell r="AA292">
            <v>0</v>
          </cell>
          <cell r="AB292">
            <v>4838.0799072069076</v>
          </cell>
          <cell r="AC292">
            <v>125865.07990720691</v>
          </cell>
          <cell r="AD292" t="str">
            <v>N/A</v>
          </cell>
          <cell r="AE292">
            <v>46357</v>
          </cell>
          <cell r="AF292">
            <v>46355</v>
          </cell>
          <cell r="AG292">
            <v>46355</v>
          </cell>
          <cell r="AH292">
            <v>46355</v>
          </cell>
          <cell r="AI292">
            <v>45688</v>
          </cell>
          <cell r="AJ292">
            <v>0</v>
          </cell>
          <cell r="AK292">
            <v>231110</v>
          </cell>
          <cell r="AL292">
            <v>1750956</v>
          </cell>
          <cell r="AM292">
            <v>168408.71881052593</v>
          </cell>
          <cell r="AN292">
            <v>-43539.86</v>
          </cell>
          <cell r="AO292">
            <v>351397.55284470314</v>
          </cell>
          <cell r="AP292">
            <v>0</v>
          </cell>
          <cell r="AQ292">
            <v>-120284.14</v>
          </cell>
          <cell r="AR292">
            <v>0</v>
          </cell>
          <cell r="AS292">
            <v>0</v>
          </cell>
          <cell r="AT292">
            <v>2106938.2716552289</v>
          </cell>
          <cell r="AU292">
            <v>5.2812032318405054E-5</v>
          </cell>
          <cell r="AV292">
            <v>0</v>
          </cell>
          <cell r="AW292">
            <v>0</v>
          </cell>
          <cell r="AY292">
            <v>0</v>
          </cell>
          <cell r="AZ292">
            <v>0</v>
          </cell>
          <cell r="BA292">
            <v>0</v>
          </cell>
          <cell r="BB292">
            <v>0</v>
          </cell>
          <cell r="BC292">
            <v>0</v>
          </cell>
          <cell r="BD292">
            <v>0</v>
          </cell>
          <cell r="BE292">
            <v>0</v>
          </cell>
          <cell r="BF292">
            <v>0</v>
          </cell>
          <cell r="BG292">
            <v>0</v>
          </cell>
          <cell r="BH292">
            <v>0</v>
          </cell>
          <cell r="BJ292">
            <v>0</v>
          </cell>
          <cell r="BL292">
            <v>0</v>
          </cell>
          <cell r="BM292">
            <v>0</v>
          </cell>
          <cell r="BN292">
            <v>0</v>
          </cell>
          <cell r="BO292">
            <v>0</v>
          </cell>
          <cell r="BQ292">
            <v>0</v>
          </cell>
          <cell r="BR292">
            <v>0</v>
          </cell>
          <cell r="BS292">
            <v>0</v>
          </cell>
          <cell r="BT292">
            <v>0</v>
          </cell>
          <cell r="CB292">
            <v>0</v>
          </cell>
          <cell r="CC292">
            <v>0</v>
          </cell>
          <cell r="CD292">
            <v>0</v>
          </cell>
          <cell r="CE292">
            <v>0</v>
          </cell>
          <cell r="CF292">
            <v>0</v>
          </cell>
          <cell r="CI292">
            <v>0</v>
          </cell>
          <cell r="CJ292">
            <v>0</v>
          </cell>
          <cell r="CK292">
            <v>0</v>
          </cell>
          <cell r="CV292">
            <v>4.8431575802644976E-5</v>
          </cell>
          <cell r="DG292">
            <v>2106938</v>
          </cell>
          <cell r="DR292">
            <v>722763.86</v>
          </cell>
          <cell r="EC292">
            <v>2.9151125514217049</v>
          </cell>
          <cell r="EN292">
            <v>2.4095909012463064E-2</v>
          </cell>
        </row>
        <row r="293">
          <cell r="B293">
            <v>39400</v>
          </cell>
          <cell r="C293" t="str">
            <v>Washington County Schools</v>
          </cell>
          <cell r="D293">
            <v>5.6869916031392E-4</v>
          </cell>
          <cell r="E293">
            <v>983982.15035759285</v>
          </cell>
          <cell r="F293">
            <v>767233.44861602911</v>
          </cell>
          <cell r="G293">
            <v>-63367</v>
          </cell>
          <cell r="H293">
            <v>-274565.98408099852</v>
          </cell>
          <cell r="I293">
            <v>-11362.058471820175</v>
          </cell>
          <cell r="J293">
            <v>830343.2744938914</v>
          </cell>
          <cell r="K293">
            <v>0</v>
          </cell>
          <cell r="L293">
            <v>-43627.614083567278</v>
          </cell>
          <cell r="M293">
            <v>7829.2879719269931</v>
          </cell>
          <cell r="N293">
            <v>295.14349021971822</v>
          </cell>
          <cell r="O293">
            <v>-133.1950303371232</v>
          </cell>
          <cell r="P293">
            <v>0</v>
          </cell>
          <cell r="Q293">
            <v>0</v>
          </cell>
          <cell r="R293">
            <v>0</v>
          </cell>
          <cell r="S293">
            <v>2196627.4532629368</v>
          </cell>
          <cell r="T293">
            <v>41530.339999999967</v>
          </cell>
          <cell r="U293">
            <v>4151716.3724694573</v>
          </cell>
          <cell r="V293">
            <v>31317.151887707972</v>
          </cell>
          <cell r="W293">
            <v>0</v>
          </cell>
          <cell r="X293">
            <v>4224563.8643571651</v>
          </cell>
          <cell r="Y293">
            <v>358362</v>
          </cell>
          <cell r="Z293">
            <v>0</v>
          </cell>
          <cell r="AA293">
            <v>0</v>
          </cell>
          <cell r="AB293">
            <v>56810.292359100873</v>
          </cell>
          <cell r="AC293">
            <v>415172.29235910089</v>
          </cell>
          <cell r="AD293" t="str">
            <v>N/A</v>
          </cell>
          <cell r="AE293">
            <v>763445</v>
          </cell>
          <cell r="AF293">
            <v>763444</v>
          </cell>
          <cell r="AG293">
            <v>763444</v>
          </cell>
          <cell r="AH293">
            <v>763444</v>
          </cell>
          <cell r="AI293">
            <v>755614</v>
          </cell>
          <cell r="AJ293">
            <v>0</v>
          </cell>
          <cell r="AK293">
            <v>3809391</v>
          </cell>
          <cell r="AL293">
            <v>19284967</v>
          </cell>
          <cell r="AM293">
            <v>2196627.4532629368</v>
          </cell>
          <cell r="AN293">
            <v>-550640.34</v>
          </cell>
          <cell r="AO293">
            <v>4126223.2319980646</v>
          </cell>
          <cell r="AP293">
            <v>0</v>
          </cell>
          <cell r="AQ293">
            <v>-316831.66000000003</v>
          </cell>
          <cell r="AR293">
            <v>0</v>
          </cell>
          <cell r="AS293">
            <v>0</v>
          </cell>
          <cell r="AT293">
            <v>24740345.685261</v>
          </cell>
          <cell r="AU293">
            <v>5.8166978741913244E-4</v>
          </cell>
          <cell r="AV293">
            <v>0</v>
          </cell>
          <cell r="AW293">
            <v>0</v>
          </cell>
          <cell r="AY293">
            <v>0</v>
          </cell>
          <cell r="AZ293">
            <v>0</v>
          </cell>
          <cell r="BA293">
            <v>0</v>
          </cell>
          <cell r="BB293">
            <v>0</v>
          </cell>
          <cell r="BC293">
            <v>0</v>
          </cell>
          <cell r="BD293">
            <v>0</v>
          </cell>
          <cell r="BE293">
            <v>0</v>
          </cell>
          <cell r="BF293">
            <v>0</v>
          </cell>
          <cell r="BG293">
            <v>0</v>
          </cell>
          <cell r="BH293">
            <v>0</v>
          </cell>
          <cell r="BJ293">
            <v>0</v>
          </cell>
          <cell r="BL293">
            <v>0</v>
          </cell>
          <cell r="BM293">
            <v>0</v>
          </cell>
          <cell r="BN293">
            <v>0</v>
          </cell>
          <cell r="BO293">
            <v>0</v>
          </cell>
          <cell r="BQ293">
            <v>0</v>
          </cell>
          <cell r="BR293">
            <v>0</v>
          </cell>
          <cell r="BS293">
            <v>0</v>
          </cell>
          <cell r="BT293">
            <v>0</v>
          </cell>
          <cell r="CB293">
            <v>0</v>
          </cell>
          <cell r="CC293">
            <v>0</v>
          </cell>
          <cell r="CD293">
            <v>0</v>
          </cell>
          <cell r="CE293">
            <v>0</v>
          </cell>
          <cell r="CF293">
            <v>0</v>
          </cell>
          <cell r="CI293">
            <v>0</v>
          </cell>
          <cell r="CJ293">
            <v>0</v>
          </cell>
          <cell r="CK293">
            <v>0</v>
          </cell>
          <cell r="CV293">
            <v>5.6869916031392E-4</v>
          </cell>
          <cell r="DG293">
            <v>24740346</v>
          </cell>
          <cell r="DR293">
            <v>9595562.179999996</v>
          </cell>
          <cell r="EC293">
            <v>2.5783112584655266</v>
          </cell>
          <cell r="EN293">
            <v>2.4095909012463064E-2</v>
          </cell>
        </row>
        <row r="294">
          <cell r="B294">
            <v>39401</v>
          </cell>
          <cell r="C294" t="str">
            <v>Henderson Collegiate Charter School</v>
          </cell>
          <cell r="D294">
            <v>1.9702544604855199E-4</v>
          </cell>
          <cell r="E294">
            <v>340899.96189022466</v>
          </cell>
          <cell r="F294">
            <v>265807.51825534547</v>
          </cell>
          <cell r="G294">
            <v>350176</v>
          </cell>
          <cell r="H294">
            <v>-95123.202667394988</v>
          </cell>
          <cell r="I294">
            <v>-3936.3776046449434</v>
          </cell>
          <cell r="J294">
            <v>287671.87547853641</v>
          </cell>
          <cell r="K294">
            <v>0</v>
          </cell>
          <cell r="L294">
            <v>-15114.757897838477</v>
          </cell>
          <cell r="M294">
            <v>2712.4516133626539</v>
          </cell>
          <cell r="N294">
            <v>102.25226599027751</v>
          </cell>
          <cell r="O294">
            <v>-46.145329719031359</v>
          </cell>
          <cell r="P294">
            <v>0</v>
          </cell>
          <cell r="Q294">
            <v>0</v>
          </cell>
          <cell r="R294">
            <v>0</v>
          </cell>
          <cell r="S294">
            <v>1133149.5760038621</v>
          </cell>
          <cell r="T294">
            <v>1778939</v>
          </cell>
          <cell r="U294">
            <v>1438359.377392682</v>
          </cell>
          <cell r="V294">
            <v>10849.806453450616</v>
          </cell>
          <cell r="W294">
            <v>0</v>
          </cell>
          <cell r="X294">
            <v>3228148.1838461328</v>
          </cell>
          <cell r="Y294">
            <v>28058.580000000016</v>
          </cell>
          <cell r="Z294">
            <v>0</v>
          </cell>
          <cell r="AA294">
            <v>0</v>
          </cell>
          <cell r="AB294">
            <v>19681.888023224717</v>
          </cell>
          <cell r="AC294">
            <v>47740.468023224734</v>
          </cell>
          <cell r="AD294" t="str">
            <v>N/A</v>
          </cell>
          <cell r="AE294">
            <v>636624</v>
          </cell>
          <cell r="AF294">
            <v>636624</v>
          </cell>
          <cell r="AG294">
            <v>636624</v>
          </cell>
          <cell r="AH294">
            <v>636624</v>
          </cell>
          <cell r="AI294">
            <v>633911</v>
          </cell>
          <cell r="AJ294">
            <v>0</v>
          </cell>
          <cell r="AK294">
            <v>3180407</v>
          </cell>
          <cell r="AL294">
            <v>4397552</v>
          </cell>
          <cell r="AM294">
            <v>1133149.5760038621</v>
          </cell>
          <cell r="AN294">
            <v>-139832.41999999998</v>
          </cell>
          <cell r="AO294">
            <v>1429527.2958229079</v>
          </cell>
          <cell r="AP294">
            <v>0</v>
          </cell>
          <cell r="AQ294">
            <v>1750880.42</v>
          </cell>
          <cell r="AR294">
            <v>0</v>
          </cell>
          <cell r="AS294">
            <v>0</v>
          </cell>
          <cell r="AT294">
            <v>8571276.8718267716</v>
          </cell>
          <cell r="AU294">
            <v>1.3263820463390417E-4</v>
          </cell>
          <cell r="AV294">
            <v>0</v>
          </cell>
          <cell r="AW294">
            <v>0</v>
          </cell>
          <cell r="AY294">
            <v>0</v>
          </cell>
          <cell r="AZ294">
            <v>0</v>
          </cell>
          <cell r="BA294">
            <v>0</v>
          </cell>
          <cell r="BB294">
            <v>0</v>
          </cell>
          <cell r="BC294">
            <v>0</v>
          </cell>
          <cell r="BD294">
            <v>0</v>
          </cell>
          <cell r="BE294">
            <v>0</v>
          </cell>
          <cell r="BF294">
            <v>0</v>
          </cell>
          <cell r="BG294">
            <v>0</v>
          </cell>
          <cell r="BH294">
            <v>0</v>
          </cell>
          <cell r="BJ294">
            <v>0</v>
          </cell>
          <cell r="BL294">
            <v>0</v>
          </cell>
          <cell r="BM294">
            <v>0</v>
          </cell>
          <cell r="BN294">
            <v>0</v>
          </cell>
          <cell r="BO294">
            <v>0</v>
          </cell>
          <cell r="BQ294">
            <v>0</v>
          </cell>
          <cell r="BR294">
            <v>0</v>
          </cell>
          <cell r="BS294">
            <v>0</v>
          </cell>
          <cell r="BT294">
            <v>0</v>
          </cell>
          <cell r="CB294">
            <v>0</v>
          </cell>
          <cell r="CC294">
            <v>0</v>
          </cell>
          <cell r="CD294">
            <v>0</v>
          </cell>
          <cell r="CE294">
            <v>0</v>
          </cell>
          <cell r="CF294">
            <v>0</v>
          </cell>
          <cell r="CI294">
            <v>0</v>
          </cell>
          <cell r="CJ294">
            <v>0</v>
          </cell>
          <cell r="CK294">
            <v>0</v>
          </cell>
          <cell r="CV294">
            <v>1.9702544604855199E-4</v>
          </cell>
          <cell r="DG294">
            <v>8571277</v>
          </cell>
          <cell r="DR294">
            <v>2125000.5299999989</v>
          </cell>
          <cell r="EC294">
            <v>4.0335411116344542</v>
          </cell>
          <cell r="EN294">
            <v>2.4095909012463064E-2</v>
          </cell>
        </row>
        <row r="295">
          <cell r="B295">
            <v>39500</v>
          </cell>
          <cell r="C295" t="str">
            <v>Watauga County Schools</v>
          </cell>
          <cell r="D295">
            <v>1.7248036797073152E-3</v>
          </cell>
          <cell r="E295">
            <v>2984312.536642849</v>
          </cell>
          <cell r="F295">
            <v>2326936.9250290226</v>
          </cell>
          <cell r="G295">
            <v>77506</v>
          </cell>
          <cell r="H295">
            <v>-832729.24019081728</v>
          </cell>
          <cell r="I295">
            <v>-34459.907150957384</v>
          </cell>
          <cell r="J295">
            <v>2518342.2716445145</v>
          </cell>
          <cell r="K295">
            <v>0</v>
          </cell>
          <cell r="L295">
            <v>-132317.88361820386</v>
          </cell>
          <cell r="M295">
            <v>23745.392372328715</v>
          </cell>
          <cell r="N295">
            <v>895.1386136945024</v>
          </cell>
          <cell r="O295">
            <v>-403.96626982425028</v>
          </cell>
          <cell r="P295">
            <v>0</v>
          </cell>
          <cell r="Q295">
            <v>0</v>
          </cell>
          <cell r="R295">
            <v>0</v>
          </cell>
          <cell r="S295">
            <v>6931827.2670726059</v>
          </cell>
          <cell r="T295">
            <v>412412</v>
          </cell>
          <cell r="U295">
            <v>12591711.358222572</v>
          </cell>
          <cell r="V295">
            <v>94981.569489314861</v>
          </cell>
          <cell r="W295">
            <v>0</v>
          </cell>
          <cell r="X295">
            <v>13099104.927711887</v>
          </cell>
          <cell r="Y295">
            <v>24886.360000000102</v>
          </cell>
          <cell r="Z295">
            <v>0</v>
          </cell>
          <cell r="AA295">
            <v>0</v>
          </cell>
          <cell r="AB295">
            <v>172299.53575478692</v>
          </cell>
          <cell r="AC295">
            <v>197185.89575478702</v>
          </cell>
          <cell r="AD295" t="str">
            <v>N/A</v>
          </cell>
          <cell r="AE295">
            <v>2585133</v>
          </cell>
          <cell r="AF295">
            <v>2585134</v>
          </cell>
          <cell r="AG295">
            <v>2585134</v>
          </cell>
          <cell r="AH295">
            <v>2585134</v>
          </cell>
          <cell r="AI295">
            <v>2561388</v>
          </cell>
          <cell r="AJ295">
            <v>0</v>
          </cell>
          <cell r="AK295">
            <v>12901923</v>
          </cell>
          <cell r="AL295">
            <v>56690097</v>
          </cell>
          <cell r="AM295">
            <v>6931827.2670726059</v>
          </cell>
          <cell r="AN295">
            <v>-1489020.64</v>
          </cell>
          <cell r="AO295">
            <v>12514393.391957102</v>
          </cell>
          <cell r="AP295">
            <v>0</v>
          </cell>
          <cell r="AQ295">
            <v>387525.6399999999</v>
          </cell>
          <cell r="AR295">
            <v>0</v>
          </cell>
          <cell r="AS295">
            <v>0</v>
          </cell>
          <cell r="AT295">
            <v>75034822.659029707</v>
          </cell>
          <cell r="AU295">
            <v>1.7098767393972417E-3</v>
          </cell>
          <cell r="AV295">
            <v>0</v>
          </cell>
          <cell r="AW295">
            <v>0</v>
          </cell>
          <cell r="AY295">
            <v>0</v>
          </cell>
          <cell r="AZ295">
            <v>0</v>
          </cell>
          <cell r="BA295">
            <v>0</v>
          </cell>
          <cell r="BB295">
            <v>0</v>
          </cell>
          <cell r="BC295">
            <v>0</v>
          </cell>
          <cell r="BD295">
            <v>0</v>
          </cell>
          <cell r="BE295">
            <v>0</v>
          </cell>
          <cell r="BF295">
            <v>0</v>
          </cell>
          <cell r="BG295">
            <v>0</v>
          </cell>
          <cell r="BH295">
            <v>0</v>
          </cell>
          <cell r="BJ295">
            <v>0</v>
          </cell>
          <cell r="BL295">
            <v>0</v>
          </cell>
          <cell r="BM295">
            <v>0</v>
          </cell>
          <cell r="BN295">
            <v>0</v>
          </cell>
          <cell r="BO295">
            <v>0</v>
          </cell>
          <cell r="BQ295">
            <v>0</v>
          </cell>
          <cell r="BR295">
            <v>0</v>
          </cell>
          <cell r="BS295">
            <v>0</v>
          </cell>
          <cell r="BT295">
            <v>0</v>
          </cell>
          <cell r="CB295">
            <v>0</v>
          </cell>
          <cell r="CC295">
            <v>0</v>
          </cell>
          <cell r="CD295">
            <v>0</v>
          </cell>
          <cell r="CE295">
            <v>0</v>
          </cell>
          <cell r="CF295">
            <v>0</v>
          </cell>
          <cell r="CI295">
            <v>0</v>
          </cell>
          <cell r="CJ295">
            <v>0</v>
          </cell>
          <cell r="CK295">
            <v>0</v>
          </cell>
          <cell r="CV295">
            <v>1.7248036797073152E-3</v>
          </cell>
          <cell r="DG295">
            <v>75034823</v>
          </cell>
          <cell r="DR295">
            <v>25922978.730000019</v>
          </cell>
          <cell r="EC295">
            <v>2.8945293587408636</v>
          </cell>
          <cell r="EN295">
            <v>2.4095909012463064E-2</v>
          </cell>
        </row>
        <row r="296">
          <cell r="B296">
            <v>39501</v>
          </cell>
          <cell r="C296" t="str">
            <v>Two Rivers Community School</v>
          </cell>
          <cell r="D296">
            <v>5.6765281817118127E-5</v>
          </cell>
          <cell r="E296">
            <v>98217.173447610374</v>
          </cell>
          <cell r="F296">
            <v>76582.182583437665</v>
          </cell>
          <cell r="G296">
            <v>-64214</v>
          </cell>
          <cell r="H296">
            <v>-27406.081372001558</v>
          </cell>
          <cell r="I296">
            <v>-1134.1153569128276</v>
          </cell>
          <cell r="J296">
            <v>82881.55367694977</v>
          </cell>
          <cell r="K296">
            <v>0</v>
          </cell>
          <cell r="L296">
            <v>-4354.7344207350861</v>
          </cell>
          <cell r="M296">
            <v>781.48829674459898</v>
          </cell>
          <cell r="N296">
            <v>29.460045957447967</v>
          </cell>
          <cell r="O296">
            <v>-13.294996654387237</v>
          </cell>
          <cell r="P296">
            <v>0</v>
          </cell>
          <cell r="Q296">
            <v>0</v>
          </cell>
          <cell r="R296">
            <v>0</v>
          </cell>
          <cell r="S296">
            <v>161369.631904396</v>
          </cell>
          <cell r="T296">
            <v>0</v>
          </cell>
          <cell r="U296">
            <v>414407.76838474884</v>
          </cell>
          <cell r="V296">
            <v>3125.9531869783959</v>
          </cell>
          <cell r="W296">
            <v>0</v>
          </cell>
          <cell r="X296">
            <v>417533.72157172725</v>
          </cell>
          <cell r="Y296">
            <v>321071.34000000003</v>
          </cell>
          <cell r="Z296">
            <v>0</v>
          </cell>
          <cell r="AA296">
            <v>0</v>
          </cell>
          <cell r="AB296">
            <v>5670.5767845641376</v>
          </cell>
          <cell r="AC296">
            <v>326741.91678456415</v>
          </cell>
          <cell r="AD296" t="str">
            <v>N/A</v>
          </cell>
          <cell r="AE296">
            <v>18315</v>
          </cell>
          <cell r="AF296">
            <v>18315</v>
          </cell>
          <cell r="AG296">
            <v>18315</v>
          </cell>
          <cell r="AH296">
            <v>18315</v>
          </cell>
          <cell r="AI296">
            <v>17533</v>
          </cell>
          <cell r="AJ296">
            <v>0</v>
          </cell>
          <cell r="AK296">
            <v>90793</v>
          </cell>
          <cell r="AL296">
            <v>2264603</v>
          </cell>
          <cell r="AM296">
            <v>161369.631904396</v>
          </cell>
          <cell r="AN296">
            <v>-47281.659999999996</v>
          </cell>
          <cell r="AO296">
            <v>411863.14478716312</v>
          </cell>
          <cell r="AP296">
            <v>0</v>
          </cell>
          <cell r="AQ296">
            <v>-321071.34000000003</v>
          </cell>
          <cell r="AR296">
            <v>0</v>
          </cell>
          <cell r="AS296">
            <v>0</v>
          </cell>
          <cell r="AT296">
            <v>2469482.7766915592</v>
          </cell>
          <cell r="AU296">
            <v>6.8304563929972694E-5</v>
          </cell>
          <cell r="AV296">
            <v>0</v>
          </cell>
          <cell r="AW296">
            <v>0</v>
          </cell>
          <cell r="AY296">
            <v>0</v>
          </cell>
          <cell r="AZ296">
            <v>0</v>
          </cell>
          <cell r="BA296">
            <v>0</v>
          </cell>
          <cell r="BB296">
            <v>0</v>
          </cell>
          <cell r="BC296">
            <v>0</v>
          </cell>
          <cell r="BD296">
            <v>0</v>
          </cell>
          <cell r="BE296">
            <v>0</v>
          </cell>
          <cell r="BF296">
            <v>0</v>
          </cell>
          <cell r="BG296">
            <v>0</v>
          </cell>
          <cell r="BH296">
            <v>0</v>
          </cell>
          <cell r="BJ296">
            <v>0</v>
          </cell>
          <cell r="BL296">
            <v>0</v>
          </cell>
          <cell r="BM296">
            <v>0</v>
          </cell>
          <cell r="BN296">
            <v>0</v>
          </cell>
          <cell r="BO296">
            <v>0</v>
          </cell>
          <cell r="BQ296">
            <v>0</v>
          </cell>
          <cell r="BR296">
            <v>0</v>
          </cell>
          <cell r="BS296">
            <v>0</v>
          </cell>
          <cell r="BT296">
            <v>0</v>
          </cell>
          <cell r="CB296">
            <v>0</v>
          </cell>
          <cell r="CC296">
            <v>0</v>
          </cell>
          <cell r="CD296">
            <v>0</v>
          </cell>
          <cell r="CE296">
            <v>0</v>
          </cell>
          <cell r="CF296">
            <v>0</v>
          </cell>
          <cell r="CI296">
            <v>0</v>
          </cell>
          <cell r="CJ296">
            <v>0</v>
          </cell>
          <cell r="CK296">
            <v>0</v>
          </cell>
          <cell r="CV296">
            <v>5.6765281817118127E-5</v>
          </cell>
          <cell r="DG296">
            <v>2469483</v>
          </cell>
          <cell r="DR296">
            <v>832761.98999999976</v>
          </cell>
          <cell r="EC296">
            <v>2.9654127225475322</v>
          </cell>
          <cell r="EN296">
            <v>2.4095909012463064E-2</v>
          </cell>
        </row>
        <row r="297">
          <cell r="B297">
            <v>39600</v>
          </cell>
          <cell r="C297" t="str">
            <v>Wayne County Schools</v>
          </cell>
          <cell r="D297">
            <v>5.5737648517659062E-3</v>
          </cell>
          <cell r="E297">
            <v>9643912.8227317389</v>
          </cell>
          <cell r="F297">
            <v>7519579.9948686752</v>
          </cell>
          <cell r="G297">
            <v>-200228</v>
          </cell>
          <cell r="H297">
            <v>-2690994.3575728685</v>
          </cell>
          <cell r="I297">
            <v>-111358.42387912565</v>
          </cell>
          <cell r="J297">
            <v>8138113.2261907076</v>
          </cell>
          <cell r="K297">
            <v>0</v>
          </cell>
          <cell r="L297">
            <v>-427589.97887594119</v>
          </cell>
          <cell r="M297">
            <v>76734.085712720043</v>
          </cell>
          <cell r="N297">
            <v>2892.6724827694702</v>
          </cell>
          <cell r="O297">
            <v>-1305.4314659320928</v>
          </cell>
          <cell r="P297">
            <v>0</v>
          </cell>
          <cell r="Q297">
            <v>0</v>
          </cell>
          <cell r="R297">
            <v>0</v>
          </cell>
          <cell r="S297">
            <v>21949756.610192742</v>
          </cell>
          <cell r="T297">
            <v>109015.99999999907</v>
          </cell>
          <cell r="U297">
            <v>40690566.130953535</v>
          </cell>
          <cell r="V297">
            <v>306936.34285088017</v>
          </cell>
          <cell r="W297">
            <v>0</v>
          </cell>
          <cell r="X297">
            <v>41106518.473804414</v>
          </cell>
          <cell r="Y297">
            <v>1110154</v>
          </cell>
          <cell r="Z297">
            <v>0</v>
          </cell>
          <cell r="AA297">
            <v>0</v>
          </cell>
          <cell r="AB297">
            <v>556792.11939562822</v>
          </cell>
          <cell r="AC297">
            <v>1666946.1193956281</v>
          </cell>
          <cell r="AD297" t="str">
            <v>N/A</v>
          </cell>
          <cell r="AE297">
            <v>7903261</v>
          </cell>
          <cell r="AF297">
            <v>7903261</v>
          </cell>
          <cell r="AG297">
            <v>7903261</v>
          </cell>
          <cell r="AH297">
            <v>7903261</v>
          </cell>
          <cell r="AI297">
            <v>7826527</v>
          </cell>
          <cell r="AJ297">
            <v>0</v>
          </cell>
          <cell r="AK297">
            <v>39439571</v>
          </cell>
          <cell r="AL297">
            <v>186127533</v>
          </cell>
          <cell r="AM297">
            <v>21949756.610192742</v>
          </cell>
          <cell r="AN297">
            <v>-5039145.9999999991</v>
          </cell>
          <cell r="AO297">
            <v>40440710.354408793</v>
          </cell>
          <cell r="AP297">
            <v>0</v>
          </cell>
          <cell r="AQ297">
            <v>-1001138.0000000009</v>
          </cell>
          <cell r="AR297">
            <v>0</v>
          </cell>
          <cell r="AS297">
            <v>0</v>
          </cell>
          <cell r="AT297">
            <v>242477715.96460155</v>
          </cell>
          <cell r="AU297">
            <v>5.6139459631843868E-3</v>
          </cell>
          <cell r="AV297">
            <v>0</v>
          </cell>
          <cell r="AW297">
            <v>0</v>
          </cell>
          <cell r="AY297">
            <v>0</v>
          </cell>
          <cell r="AZ297">
            <v>0</v>
          </cell>
          <cell r="BA297">
            <v>0</v>
          </cell>
          <cell r="BB297">
            <v>0</v>
          </cell>
          <cell r="BC297">
            <v>0</v>
          </cell>
          <cell r="BD297">
            <v>0</v>
          </cell>
          <cell r="BE297">
            <v>0</v>
          </cell>
          <cell r="BF297">
            <v>0</v>
          </cell>
          <cell r="BG297">
            <v>0</v>
          </cell>
          <cell r="BH297">
            <v>0</v>
          </cell>
          <cell r="BJ297">
            <v>0</v>
          </cell>
          <cell r="BL297">
            <v>0</v>
          </cell>
          <cell r="BM297">
            <v>0</v>
          </cell>
          <cell r="BN297">
            <v>0</v>
          </cell>
          <cell r="BO297">
            <v>0</v>
          </cell>
          <cell r="BQ297">
            <v>0</v>
          </cell>
          <cell r="BR297">
            <v>0</v>
          </cell>
          <cell r="BS297">
            <v>0</v>
          </cell>
          <cell r="BT297">
            <v>0</v>
          </cell>
          <cell r="CB297">
            <v>0</v>
          </cell>
          <cell r="CC297">
            <v>0</v>
          </cell>
          <cell r="CD297">
            <v>0</v>
          </cell>
          <cell r="CE297">
            <v>0</v>
          </cell>
          <cell r="CF297">
            <v>0</v>
          </cell>
          <cell r="CI297">
            <v>0</v>
          </cell>
          <cell r="CJ297">
            <v>0</v>
          </cell>
          <cell r="CK297">
            <v>0</v>
          </cell>
          <cell r="CV297">
            <v>5.5737648517659062E-3</v>
          </cell>
          <cell r="DG297">
            <v>242477716</v>
          </cell>
          <cell r="DR297">
            <v>87409006.83999984</v>
          </cell>
          <cell r="EC297">
            <v>2.7740587013401243</v>
          </cell>
          <cell r="EN297">
            <v>2.4095909012463064E-2</v>
          </cell>
        </row>
        <row r="298">
          <cell r="B298">
            <v>39605</v>
          </cell>
          <cell r="C298" t="str">
            <v>Wayne Community College</v>
          </cell>
          <cell r="D298">
            <v>8.0206600992329302E-4</v>
          </cell>
          <cell r="E298">
            <v>1387761.2140967648</v>
          </cell>
          <cell r="F298">
            <v>1082069.2446098621</v>
          </cell>
          <cell r="G298">
            <v>-137595</v>
          </cell>
          <cell r="H298">
            <v>-387234.69046613004</v>
          </cell>
          <cell r="I298">
            <v>-16024.502125126304</v>
          </cell>
          <cell r="J298">
            <v>1171076.3150631925</v>
          </cell>
          <cell r="K298">
            <v>0</v>
          </cell>
          <cell r="L298">
            <v>-61530.293681398231</v>
          </cell>
          <cell r="M298">
            <v>11042.052111906747</v>
          </cell>
          <cell r="N298">
            <v>416.25621782999059</v>
          </cell>
          <cell r="O298">
            <v>-187.85188018413447</v>
          </cell>
          <cell r="P298">
            <v>0</v>
          </cell>
          <cell r="Q298">
            <v>0</v>
          </cell>
          <cell r="R298">
            <v>0</v>
          </cell>
          <cell r="S298">
            <v>3049792.7439467176</v>
          </cell>
          <cell r="T298">
            <v>48022.260000000126</v>
          </cell>
          <cell r="U298">
            <v>5855381.5753159625</v>
          </cell>
          <cell r="V298">
            <v>44168.208447626988</v>
          </cell>
          <cell r="W298">
            <v>0</v>
          </cell>
          <cell r="X298">
            <v>5947572.0437635891</v>
          </cell>
          <cell r="Y298">
            <v>735996</v>
          </cell>
          <cell r="Z298">
            <v>0</v>
          </cell>
          <cell r="AA298">
            <v>0</v>
          </cell>
          <cell r="AB298">
            <v>80122.510625631519</v>
          </cell>
          <cell r="AC298">
            <v>816118.51062563155</v>
          </cell>
          <cell r="AD298" t="str">
            <v>N/A</v>
          </cell>
          <cell r="AE298">
            <v>1028499</v>
          </cell>
          <cell r="AF298">
            <v>1028500</v>
          </cell>
          <cell r="AG298">
            <v>1028500</v>
          </cell>
          <cell r="AH298">
            <v>1028500</v>
          </cell>
          <cell r="AI298">
            <v>1017458</v>
          </cell>
          <cell r="AJ298">
            <v>0</v>
          </cell>
          <cell r="AK298">
            <v>5131457</v>
          </cell>
          <cell r="AL298">
            <v>27475287</v>
          </cell>
          <cell r="AM298">
            <v>3049792.7439467176</v>
          </cell>
          <cell r="AN298">
            <v>-763935.26000000013</v>
          </cell>
          <cell r="AO298">
            <v>5819427.2731379578</v>
          </cell>
          <cell r="AP298">
            <v>0</v>
          </cell>
          <cell r="AQ298">
            <v>-687973.73999999987</v>
          </cell>
          <cell r="AR298">
            <v>0</v>
          </cell>
          <cell r="AS298">
            <v>0</v>
          </cell>
          <cell r="AT298">
            <v>34892598.017084673</v>
          </cell>
          <cell r="AU298">
            <v>8.2870476980727954E-4</v>
          </cell>
          <cell r="AV298">
            <v>0</v>
          </cell>
          <cell r="AW298">
            <v>0</v>
          </cell>
          <cell r="AY298">
            <v>0</v>
          </cell>
          <cell r="AZ298">
            <v>0</v>
          </cell>
          <cell r="BA298">
            <v>0</v>
          </cell>
          <cell r="BB298">
            <v>0</v>
          </cell>
          <cell r="BC298">
            <v>0</v>
          </cell>
          <cell r="BD298">
            <v>0</v>
          </cell>
          <cell r="BE298">
            <v>0</v>
          </cell>
          <cell r="BF298">
            <v>0</v>
          </cell>
          <cell r="BG298">
            <v>0</v>
          </cell>
          <cell r="BH298">
            <v>0</v>
          </cell>
          <cell r="BJ298">
            <v>0</v>
          </cell>
          <cell r="BL298">
            <v>0</v>
          </cell>
          <cell r="BM298">
            <v>0</v>
          </cell>
          <cell r="BN298">
            <v>0</v>
          </cell>
          <cell r="BO298">
            <v>0</v>
          </cell>
          <cell r="BQ298">
            <v>0</v>
          </cell>
          <cell r="BR298">
            <v>0</v>
          </cell>
          <cell r="BS298">
            <v>0</v>
          </cell>
          <cell r="BT298">
            <v>0</v>
          </cell>
          <cell r="CB298">
            <v>0</v>
          </cell>
          <cell r="CC298">
            <v>0</v>
          </cell>
          <cell r="CD298">
            <v>0</v>
          </cell>
          <cell r="CE298">
            <v>0</v>
          </cell>
          <cell r="CF298">
            <v>0</v>
          </cell>
          <cell r="CI298">
            <v>0</v>
          </cell>
          <cell r="CJ298">
            <v>0</v>
          </cell>
          <cell r="CK298">
            <v>0</v>
          </cell>
          <cell r="CV298">
            <v>8.0206600992329302E-4</v>
          </cell>
          <cell r="DG298">
            <v>34892598</v>
          </cell>
          <cell r="DR298">
            <v>13057119.070000004</v>
          </cell>
          <cell r="EC298">
            <v>2.6723044963394051</v>
          </cell>
          <cell r="EN298">
            <v>2.4095909012463064E-2</v>
          </cell>
        </row>
        <row r="299">
          <cell r="B299">
            <v>39700</v>
          </cell>
          <cell r="C299" t="str">
            <v>Wilkes County Schools</v>
          </cell>
          <cell r="D299">
            <v>3.3775978740848297E-3</v>
          </cell>
          <cell r="E299">
            <v>5844031.8732854575</v>
          </cell>
          <cell r="F299">
            <v>4556725.6746815396</v>
          </cell>
          <cell r="G299">
            <v>-236735</v>
          </cell>
          <cell r="H299">
            <v>-1630692.5503742308</v>
          </cell>
          <cell r="I299">
            <v>-67481.134521921354</v>
          </cell>
          <cell r="J299">
            <v>4931545.3132427577</v>
          </cell>
          <cell r="K299">
            <v>0</v>
          </cell>
          <cell r="L299">
            <v>-259111.57754956049</v>
          </cell>
          <cell r="M299">
            <v>46499.429320383453</v>
          </cell>
          <cell r="N299">
            <v>1752.9057446925449</v>
          </cell>
          <cell r="O299">
            <v>-791.06719808940795</v>
          </cell>
          <cell r="P299">
            <v>0</v>
          </cell>
          <cell r="Q299">
            <v>0</v>
          </cell>
          <cell r="R299">
            <v>0</v>
          </cell>
          <cell r="S299">
            <v>13185743.866631029</v>
          </cell>
          <cell r="T299">
            <v>0</v>
          </cell>
          <cell r="U299">
            <v>24657726.56621379</v>
          </cell>
          <cell r="V299">
            <v>185997.71728153381</v>
          </cell>
          <cell r="W299">
            <v>0</v>
          </cell>
          <cell r="X299">
            <v>24843724.283495326</v>
          </cell>
          <cell r="Y299">
            <v>1183675.69</v>
          </cell>
          <cell r="Z299">
            <v>0</v>
          </cell>
          <cell r="AA299">
            <v>0</v>
          </cell>
          <cell r="AB299">
            <v>337405.67260960676</v>
          </cell>
          <cell r="AC299">
            <v>1521081.3626096067</v>
          </cell>
          <cell r="AD299" t="str">
            <v>N/A</v>
          </cell>
          <cell r="AE299">
            <v>4673829</v>
          </cell>
          <cell r="AF299">
            <v>4673829</v>
          </cell>
          <cell r="AG299">
            <v>4673829</v>
          </cell>
          <cell r="AH299">
            <v>4673829</v>
          </cell>
          <cell r="AI299">
            <v>4627329</v>
          </cell>
          <cell r="AJ299">
            <v>0</v>
          </cell>
          <cell r="AK299">
            <v>23322645</v>
          </cell>
          <cell r="AL299">
            <v>113304758</v>
          </cell>
          <cell r="AM299">
            <v>13185743.866631029</v>
          </cell>
          <cell r="AN299">
            <v>-2876157.31</v>
          </cell>
          <cell r="AO299">
            <v>24506318.610885717</v>
          </cell>
          <cell r="AP299">
            <v>0</v>
          </cell>
          <cell r="AQ299">
            <v>-1183675.69</v>
          </cell>
          <cell r="AR299">
            <v>0</v>
          </cell>
          <cell r="AS299">
            <v>0</v>
          </cell>
          <cell r="AT299">
            <v>146936987.47751674</v>
          </cell>
          <cell r="AU299">
            <v>3.4174782282730752E-3</v>
          </cell>
          <cell r="AV299">
            <v>0</v>
          </cell>
          <cell r="AW299">
            <v>0</v>
          </cell>
          <cell r="AY299">
            <v>0</v>
          </cell>
          <cell r="AZ299">
            <v>0</v>
          </cell>
          <cell r="BA299">
            <v>0</v>
          </cell>
          <cell r="BB299">
            <v>0</v>
          </cell>
          <cell r="BC299">
            <v>0</v>
          </cell>
          <cell r="BD299">
            <v>0</v>
          </cell>
          <cell r="BE299">
            <v>0</v>
          </cell>
          <cell r="BF299">
            <v>0</v>
          </cell>
          <cell r="BG299">
            <v>0</v>
          </cell>
          <cell r="BH299">
            <v>0</v>
          </cell>
          <cell r="BJ299">
            <v>0</v>
          </cell>
          <cell r="BL299">
            <v>0</v>
          </cell>
          <cell r="BM299">
            <v>0</v>
          </cell>
          <cell r="BN299">
            <v>0</v>
          </cell>
          <cell r="BO299">
            <v>0</v>
          </cell>
          <cell r="BQ299">
            <v>0</v>
          </cell>
          <cell r="BR299">
            <v>0</v>
          </cell>
          <cell r="BS299">
            <v>0</v>
          </cell>
          <cell r="BT299">
            <v>0</v>
          </cell>
          <cell r="CB299">
            <v>0</v>
          </cell>
          <cell r="CC299">
            <v>0</v>
          </cell>
          <cell r="CD299">
            <v>0</v>
          </cell>
          <cell r="CE299">
            <v>0</v>
          </cell>
          <cell r="CF299">
            <v>0</v>
          </cell>
          <cell r="CI299">
            <v>0</v>
          </cell>
          <cell r="CJ299">
            <v>0</v>
          </cell>
          <cell r="CK299">
            <v>0</v>
          </cell>
          <cell r="CV299">
            <v>3.3775978740848297E-3</v>
          </cell>
          <cell r="DG299">
            <v>146936988</v>
          </cell>
          <cell r="DR299">
            <v>50024277.060000062</v>
          </cell>
          <cell r="EC299">
            <v>2.9373135732428679</v>
          </cell>
          <cell r="EN299">
            <v>2.4095909012463064E-2</v>
          </cell>
        </row>
        <row r="300">
          <cell r="B300">
            <v>39703</v>
          </cell>
          <cell r="C300" t="str">
            <v>Pinnacle Classical Academy</v>
          </cell>
          <cell r="D300">
            <v>1.0526279690453541E-4</v>
          </cell>
          <cell r="E300">
            <v>182129.1826659377</v>
          </cell>
          <cell r="F300">
            <v>142010.30055232631</v>
          </cell>
          <cell r="G300">
            <v>160430</v>
          </cell>
          <cell r="H300">
            <v>-50820.51361436594</v>
          </cell>
          <cell r="I300">
            <v>-2103.0487414056915</v>
          </cell>
          <cell r="J300">
            <v>153691.55005583365</v>
          </cell>
          <cell r="K300">
            <v>0</v>
          </cell>
          <cell r="L300">
            <v>-8075.2091812005174</v>
          </cell>
          <cell r="M300">
            <v>1449.1541525068449</v>
          </cell>
          <cell r="N300">
            <v>54.629286337515786</v>
          </cell>
          <cell r="O300">
            <v>-24.653599663011239</v>
          </cell>
          <cell r="P300">
            <v>0</v>
          </cell>
          <cell r="Q300">
            <v>0</v>
          </cell>
          <cell r="R300">
            <v>0</v>
          </cell>
          <cell r="S300">
            <v>578741.39157630678</v>
          </cell>
          <cell r="T300">
            <v>818365</v>
          </cell>
          <cell r="U300">
            <v>768457.75027916825</v>
          </cell>
          <cell r="V300">
            <v>5796.6166100273795</v>
          </cell>
          <cell r="W300">
            <v>0</v>
          </cell>
          <cell r="X300">
            <v>1592619.3668891955</v>
          </cell>
          <cell r="Y300">
            <v>16213.239999999991</v>
          </cell>
          <cell r="Z300">
            <v>0</v>
          </cell>
          <cell r="AA300">
            <v>0</v>
          </cell>
          <cell r="AB300">
            <v>10515.243707028458</v>
          </cell>
          <cell r="AC300">
            <v>26728.483707028448</v>
          </cell>
          <cell r="AD300" t="str">
            <v>N/A</v>
          </cell>
          <cell r="AE300">
            <v>313468</v>
          </cell>
          <cell r="AF300">
            <v>313468</v>
          </cell>
          <cell r="AG300">
            <v>313468</v>
          </cell>
          <cell r="AH300">
            <v>313468</v>
          </cell>
          <cell r="AI300">
            <v>312019</v>
          </cell>
          <cell r="AJ300">
            <v>0</v>
          </cell>
          <cell r="AK300">
            <v>1565891</v>
          </cell>
          <cell r="AL300">
            <v>2507897</v>
          </cell>
          <cell r="AM300">
            <v>578741.39157630678</v>
          </cell>
          <cell r="AN300">
            <v>-73239.760000000009</v>
          </cell>
          <cell r="AO300">
            <v>763739.12318216718</v>
          </cell>
          <cell r="AP300">
            <v>0</v>
          </cell>
          <cell r="AQ300">
            <v>802151.76</v>
          </cell>
          <cell r="AR300">
            <v>0</v>
          </cell>
          <cell r="AS300">
            <v>0</v>
          </cell>
          <cell r="AT300">
            <v>4579289.5147584742</v>
          </cell>
          <cell r="AU300">
            <v>7.564273928515392E-5</v>
          </cell>
          <cell r="AV300">
            <v>0</v>
          </cell>
          <cell r="AW300">
            <v>0</v>
          </cell>
          <cell r="AY300">
            <v>0</v>
          </cell>
          <cell r="AZ300">
            <v>0</v>
          </cell>
          <cell r="BA300">
            <v>0</v>
          </cell>
          <cell r="BB300">
            <v>0</v>
          </cell>
          <cell r="BC300">
            <v>0</v>
          </cell>
          <cell r="BD300">
            <v>0</v>
          </cell>
          <cell r="BE300">
            <v>0</v>
          </cell>
          <cell r="BF300">
            <v>0</v>
          </cell>
          <cell r="BG300">
            <v>0</v>
          </cell>
          <cell r="BH300">
            <v>0</v>
          </cell>
          <cell r="BJ300">
            <v>0</v>
          </cell>
          <cell r="BL300">
            <v>0</v>
          </cell>
          <cell r="BM300">
            <v>0</v>
          </cell>
          <cell r="BN300">
            <v>0</v>
          </cell>
          <cell r="BO300">
            <v>0</v>
          </cell>
          <cell r="BQ300">
            <v>0</v>
          </cell>
          <cell r="BR300">
            <v>0</v>
          </cell>
          <cell r="BS300">
            <v>0</v>
          </cell>
          <cell r="BT300">
            <v>0</v>
          </cell>
          <cell r="CB300">
            <v>0</v>
          </cell>
          <cell r="CC300">
            <v>0</v>
          </cell>
          <cell r="CD300">
            <v>0</v>
          </cell>
          <cell r="CE300">
            <v>0</v>
          </cell>
          <cell r="CF300">
            <v>0</v>
          </cell>
          <cell r="CI300">
            <v>0</v>
          </cell>
          <cell r="CJ300">
            <v>0</v>
          </cell>
          <cell r="CK300">
            <v>0</v>
          </cell>
          <cell r="CV300">
            <v>1.0526279690453541E-4</v>
          </cell>
          <cell r="DG300">
            <v>4579289</v>
          </cell>
          <cell r="DR300">
            <v>1235890.25</v>
          </cell>
          <cell r="EC300">
            <v>3.7052553816975253</v>
          </cell>
          <cell r="EN300">
            <v>2.4095909012463064E-2</v>
          </cell>
        </row>
        <row r="301">
          <cell r="B301">
            <v>39705</v>
          </cell>
          <cell r="C301" t="str">
            <v>Wilkes Community College</v>
          </cell>
          <cell r="D301">
            <v>7.9264599698215235E-4</v>
          </cell>
          <cell r="E301">
            <v>1371462.3952535938</v>
          </cell>
          <cell r="F301">
            <v>1069360.6817717361</v>
          </cell>
          <cell r="G301">
            <v>88452</v>
          </cell>
          <cell r="H301">
            <v>-382686.74085809418</v>
          </cell>
          <cell r="I301">
            <v>-15836.299389283575</v>
          </cell>
          <cell r="J301">
            <v>1157322.3921859299</v>
          </cell>
          <cell r="K301">
            <v>0</v>
          </cell>
          <cell r="L301">
            <v>-60807.639740725208</v>
          </cell>
          <cell r="M301">
            <v>10912.366683894583</v>
          </cell>
          <cell r="N301">
            <v>411.36741951379742</v>
          </cell>
          <cell r="O301">
            <v>-185.64561895318991</v>
          </cell>
          <cell r="P301">
            <v>0</v>
          </cell>
          <cell r="Q301">
            <v>0</v>
          </cell>
          <cell r="R301">
            <v>0</v>
          </cell>
          <cell r="S301">
            <v>3238404.8777076122</v>
          </cell>
          <cell r="T301">
            <v>442255.12</v>
          </cell>
          <cell r="U301">
            <v>5786611.9609296499</v>
          </cell>
          <cell r="V301">
            <v>43649.466735578331</v>
          </cell>
          <cell r="W301">
            <v>0</v>
          </cell>
          <cell r="X301">
            <v>6272516.5476652281</v>
          </cell>
          <cell r="Y301">
            <v>0</v>
          </cell>
          <cell r="Z301">
            <v>0</v>
          </cell>
          <cell r="AA301">
            <v>0</v>
          </cell>
          <cell r="AB301">
            <v>79181.496946417872</v>
          </cell>
          <cell r="AC301">
            <v>79181.496946417872</v>
          </cell>
          <cell r="AD301" t="str">
            <v>N/A</v>
          </cell>
          <cell r="AE301">
            <v>1240849</v>
          </cell>
          <cell r="AF301">
            <v>1240850</v>
          </cell>
          <cell r="AG301">
            <v>1240850</v>
          </cell>
          <cell r="AH301">
            <v>1240850</v>
          </cell>
          <cell r="AI301">
            <v>1229938</v>
          </cell>
          <cell r="AJ301">
            <v>0</v>
          </cell>
          <cell r="AK301">
            <v>6193337</v>
          </cell>
          <cell r="AL301">
            <v>25783213</v>
          </cell>
          <cell r="AM301">
            <v>3238404.8777076122</v>
          </cell>
          <cell r="AN301">
            <v>-732158.12</v>
          </cell>
          <cell r="AO301">
            <v>5751079.9307188103</v>
          </cell>
          <cell r="AP301">
            <v>0</v>
          </cell>
          <cell r="AQ301">
            <v>442255.12</v>
          </cell>
          <cell r="AR301">
            <v>0</v>
          </cell>
          <cell r="AS301">
            <v>0</v>
          </cell>
          <cell r="AT301">
            <v>34482794.808426417</v>
          </cell>
          <cell r="AU301">
            <v>7.7766875144774574E-4</v>
          </cell>
          <cell r="AV301">
            <v>0</v>
          </cell>
          <cell r="AW301">
            <v>0</v>
          </cell>
          <cell r="AY301">
            <v>0</v>
          </cell>
          <cell r="AZ301">
            <v>0</v>
          </cell>
          <cell r="BA301">
            <v>0</v>
          </cell>
          <cell r="BB301">
            <v>0</v>
          </cell>
          <cell r="BC301">
            <v>0</v>
          </cell>
          <cell r="BD301">
            <v>0</v>
          </cell>
          <cell r="BE301">
            <v>0</v>
          </cell>
          <cell r="BF301">
            <v>0</v>
          </cell>
          <cell r="BG301">
            <v>0</v>
          </cell>
          <cell r="BH301">
            <v>0</v>
          </cell>
          <cell r="BJ301">
            <v>0</v>
          </cell>
          <cell r="BL301">
            <v>0</v>
          </cell>
          <cell r="BM301">
            <v>0</v>
          </cell>
          <cell r="BN301">
            <v>0</v>
          </cell>
          <cell r="BO301">
            <v>0</v>
          </cell>
          <cell r="BQ301">
            <v>0</v>
          </cell>
          <cell r="BR301">
            <v>0</v>
          </cell>
          <cell r="BS301">
            <v>0</v>
          </cell>
          <cell r="BT301">
            <v>0</v>
          </cell>
          <cell r="CB301">
            <v>0</v>
          </cell>
          <cell r="CC301">
            <v>0</v>
          </cell>
          <cell r="CD301">
            <v>0</v>
          </cell>
          <cell r="CE301">
            <v>0</v>
          </cell>
          <cell r="CF301">
            <v>0</v>
          </cell>
          <cell r="CI301">
            <v>0</v>
          </cell>
          <cell r="CJ301">
            <v>0</v>
          </cell>
          <cell r="CK301">
            <v>0</v>
          </cell>
          <cell r="CV301">
            <v>7.9264599698215235E-4</v>
          </cell>
          <cell r="DG301">
            <v>34482795</v>
          </cell>
          <cell r="DR301">
            <v>12760252.279999996</v>
          </cell>
          <cell r="EC301">
            <v>2.7023599724628653</v>
          </cell>
          <cell r="EN301">
            <v>2.4095909012463064E-2</v>
          </cell>
        </row>
        <row r="302">
          <cell r="B302">
            <v>39800</v>
          </cell>
          <cell r="C302" t="str">
            <v>Wilson County Schools</v>
          </cell>
          <cell r="D302">
            <v>3.7380233468300756E-3</v>
          </cell>
          <cell r="E302">
            <v>6467651.9811817873</v>
          </cell>
          <cell r="F302">
            <v>5042976.5744907707</v>
          </cell>
          <cell r="G302">
            <v>-562933</v>
          </cell>
          <cell r="H302">
            <v>-1804704.7197566011</v>
          </cell>
          <cell r="I302">
            <v>-74682.086416776248</v>
          </cell>
          <cell r="J302">
            <v>5457793.4390270412</v>
          </cell>
          <cell r="K302">
            <v>0</v>
          </cell>
          <cell r="L302">
            <v>-286761.52769567468</v>
          </cell>
          <cell r="M302">
            <v>51461.411006768903</v>
          </cell>
          <cell r="N302">
            <v>1939.9593565378725</v>
          </cell>
          <cell r="O302">
            <v>-875.48244806107198</v>
          </cell>
          <cell r="P302">
            <v>0</v>
          </cell>
          <cell r="Q302">
            <v>0</v>
          </cell>
          <cell r="R302">
            <v>0</v>
          </cell>
          <cell r="S302">
            <v>14291866.548745792</v>
          </cell>
          <cell r="T302">
            <v>0</v>
          </cell>
          <cell r="U302">
            <v>27288967.195135206</v>
          </cell>
          <cell r="V302">
            <v>205845.64402707561</v>
          </cell>
          <cell r="W302">
            <v>0</v>
          </cell>
          <cell r="X302">
            <v>27494812.839162283</v>
          </cell>
          <cell r="Y302">
            <v>2814661.5700000008</v>
          </cell>
          <cell r="Z302">
            <v>0</v>
          </cell>
          <cell r="AA302">
            <v>0</v>
          </cell>
          <cell r="AB302">
            <v>373410.43208388123</v>
          </cell>
          <cell r="AC302">
            <v>3188072.0020838818</v>
          </cell>
          <cell r="AD302" t="str">
            <v>N/A</v>
          </cell>
          <cell r="AE302">
            <v>4871640</v>
          </cell>
          <cell r="AF302">
            <v>4871640</v>
          </cell>
          <cell r="AG302">
            <v>4871640</v>
          </cell>
          <cell r="AH302">
            <v>4871640</v>
          </cell>
          <cell r="AI302">
            <v>4820178</v>
          </cell>
          <cell r="AJ302">
            <v>0</v>
          </cell>
          <cell r="AK302">
            <v>24306738</v>
          </cell>
          <cell r="AL302">
            <v>127292513</v>
          </cell>
          <cell r="AM302">
            <v>14291866.548745792</v>
          </cell>
          <cell r="AN302">
            <v>-3274399.4299999992</v>
          </cell>
          <cell r="AO302">
            <v>27121402.407078404</v>
          </cell>
          <cell r="AP302">
            <v>0</v>
          </cell>
          <cell r="AQ302">
            <v>-2814661.5700000008</v>
          </cell>
          <cell r="AR302">
            <v>0</v>
          </cell>
          <cell r="AS302">
            <v>0</v>
          </cell>
          <cell r="AT302">
            <v>162616720.9558242</v>
          </cell>
          <cell r="AU302">
            <v>3.8393744410324645E-3</v>
          </cell>
          <cell r="AV302">
            <v>0</v>
          </cell>
          <cell r="AW302">
            <v>0</v>
          </cell>
          <cell r="AY302">
            <v>0</v>
          </cell>
          <cell r="AZ302">
            <v>0</v>
          </cell>
          <cell r="BA302">
            <v>0</v>
          </cell>
          <cell r="BB302">
            <v>0</v>
          </cell>
          <cell r="BC302">
            <v>0</v>
          </cell>
          <cell r="BD302">
            <v>0</v>
          </cell>
          <cell r="BE302">
            <v>0</v>
          </cell>
          <cell r="BF302">
            <v>0</v>
          </cell>
          <cell r="BG302">
            <v>0</v>
          </cell>
          <cell r="BH302">
            <v>0</v>
          </cell>
          <cell r="BJ302">
            <v>0</v>
          </cell>
          <cell r="BL302">
            <v>0</v>
          </cell>
          <cell r="BM302">
            <v>0</v>
          </cell>
          <cell r="BN302">
            <v>0</v>
          </cell>
          <cell r="BO302">
            <v>0</v>
          </cell>
          <cell r="BQ302">
            <v>0</v>
          </cell>
          <cell r="BR302">
            <v>0</v>
          </cell>
          <cell r="BS302">
            <v>0</v>
          </cell>
          <cell r="BT302">
            <v>0</v>
          </cell>
          <cell r="CB302">
            <v>0</v>
          </cell>
          <cell r="CC302">
            <v>0</v>
          </cell>
          <cell r="CD302">
            <v>0</v>
          </cell>
          <cell r="CE302">
            <v>0</v>
          </cell>
          <cell r="CF302">
            <v>0</v>
          </cell>
          <cell r="CI302">
            <v>0</v>
          </cell>
          <cell r="CJ302">
            <v>0</v>
          </cell>
          <cell r="CK302">
            <v>0</v>
          </cell>
          <cell r="CV302">
            <v>3.7380233468300756E-3</v>
          </cell>
          <cell r="DG302">
            <v>162616721</v>
          </cell>
          <cell r="DR302">
            <v>56969445.149999999</v>
          </cell>
          <cell r="EC302">
            <v>2.854455060459721</v>
          </cell>
          <cell r="EN302">
            <v>2.4095909012463064E-2</v>
          </cell>
        </row>
        <row r="303">
          <cell r="B303">
            <v>39805</v>
          </cell>
          <cell r="C303" t="str">
            <v>Wilson Community College</v>
          </cell>
          <cell r="D303">
            <v>4.2042356770365802E-4</v>
          </cell>
          <cell r="E303">
            <v>727430.80187018623</v>
          </cell>
          <cell r="F303">
            <v>567194.47862500523</v>
          </cell>
          <cell r="G303">
            <v>-37148</v>
          </cell>
          <cell r="H303">
            <v>-202979.04173742756</v>
          </cell>
          <cell r="I303">
            <v>-8399.6557275438754</v>
          </cell>
          <cell r="J303">
            <v>613849.82824444456</v>
          </cell>
          <cell r="K303">
            <v>0</v>
          </cell>
          <cell r="L303">
            <v>-32252.689019774443</v>
          </cell>
          <cell r="M303">
            <v>5787.9761593456933</v>
          </cell>
          <cell r="N303">
            <v>218.19142316684443</v>
          </cell>
          <cell r="O303">
            <v>-98.46740379187375</v>
          </cell>
          <cell r="P303">
            <v>0</v>
          </cell>
          <cell r="Q303">
            <v>0</v>
          </cell>
          <cell r="R303">
            <v>0</v>
          </cell>
          <cell r="S303">
            <v>1633603.4224336105</v>
          </cell>
          <cell r="T303">
            <v>37708.669999999984</v>
          </cell>
          <cell r="U303">
            <v>3069249.1412222232</v>
          </cell>
          <cell r="V303">
            <v>23151.904637382773</v>
          </cell>
          <cell r="W303">
            <v>0</v>
          </cell>
          <cell r="X303">
            <v>3130109.7158596059</v>
          </cell>
          <cell r="Y303">
            <v>223449</v>
          </cell>
          <cell r="Z303">
            <v>0</v>
          </cell>
          <cell r="AA303">
            <v>0</v>
          </cell>
          <cell r="AB303">
            <v>41998.27863771937</v>
          </cell>
          <cell r="AC303">
            <v>265447.27863771934</v>
          </cell>
          <cell r="AD303" t="str">
            <v>N/A</v>
          </cell>
          <cell r="AE303">
            <v>574090</v>
          </cell>
          <cell r="AF303">
            <v>574090</v>
          </cell>
          <cell r="AG303">
            <v>574090</v>
          </cell>
          <cell r="AH303">
            <v>574090</v>
          </cell>
          <cell r="AI303">
            <v>568302</v>
          </cell>
          <cell r="AJ303">
            <v>0</v>
          </cell>
          <cell r="AK303">
            <v>2864662</v>
          </cell>
          <cell r="AL303">
            <v>14207069</v>
          </cell>
          <cell r="AM303">
            <v>1633603.4224336105</v>
          </cell>
          <cell r="AN303">
            <v>-415480.67</v>
          </cell>
          <cell r="AO303">
            <v>3050402.7672218867</v>
          </cell>
          <cell r="AP303">
            <v>0</v>
          </cell>
          <cell r="AQ303">
            <v>-185740.33000000002</v>
          </cell>
          <cell r="AR303">
            <v>0</v>
          </cell>
          <cell r="AS303">
            <v>0</v>
          </cell>
          <cell r="AT303">
            <v>18289854.189655498</v>
          </cell>
          <cell r="AU303">
            <v>4.2851110673070681E-4</v>
          </cell>
          <cell r="AV303">
            <v>0</v>
          </cell>
          <cell r="AW303">
            <v>0</v>
          </cell>
          <cell r="AY303">
            <v>0</v>
          </cell>
          <cell r="AZ303">
            <v>0</v>
          </cell>
          <cell r="BA303">
            <v>0</v>
          </cell>
          <cell r="BB303">
            <v>0</v>
          </cell>
          <cell r="BC303">
            <v>0</v>
          </cell>
          <cell r="BD303">
            <v>0</v>
          </cell>
          <cell r="BE303">
            <v>0</v>
          </cell>
          <cell r="BF303">
            <v>0</v>
          </cell>
          <cell r="BG303">
            <v>0</v>
          </cell>
          <cell r="BH303">
            <v>0</v>
          </cell>
          <cell r="BJ303">
            <v>0</v>
          </cell>
          <cell r="BL303">
            <v>0</v>
          </cell>
          <cell r="BM303">
            <v>0</v>
          </cell>
          <cell r="BN303">
            <v>0</v>
          </cell>
          <cell r="BO303">
            <v>0</v>
          </cell>
          <cell r="BQ303">
            <v>0</v>
          </cell>
          <cell r="BR303">
            <v>0</v>
          </cell>
          <cell r="BS303">
            <v>0</v>
          </cell>
          <cell r="BT303">
            <v>0</v>
          </cell>
          <cell r="CB303">
            <v>0</v>
          </cell>
          <cell r="CC303">
            <v>0</v>
          </cell>
          <cell r="CD303">
            <v>0</v>
          </cell>
          <cell r="CE303">
            <v>0</v>
          </cell>
          <cell r="CF303">
            <v>0</v>
          </cell>
          <cell r="CI303">
            <v>0</v>
          </cell>
          <cell r="CJ303">
            <v>0</v>
          </cell>
          <cell r="CK303">
            <v>0</v>
          </cell>
          <cell r="CV303">
            <v>4.2042356770365802E-4</v>
          </cell>
          <cell r="DG303">
            <v>18289854</v>
          </cell>
          <cell r="DR303">
            <v>6996756.6699999981</v>
          </cell>
          <cell r="EC303">
            <v>2.6140474597925389</v>
          </cell>
          <cell r="EN303">
            <v>2.4095909012463064E-2</v>
          </cell>
        </row>
        <row r="304">
          <cell r="B304">
            <v>39900</v>
          </cell>
          <cell r="C304" t="str">
            <v>Yadkin County Schools</v>
          </cell>
          <cell r="D304">
            <v>1.846225728420556E-3</v>
          </cell>
          <cell r="E304">
            <v>3194400.9927744321</v>
          </cell>
          <cell r="F304">
            <v>2490747.7123016114</v>
          </cell>
          <cell r="G304">
            <v>-121943</v>
          </cell>
          <cell r="H304">
            <v>-891351.38458730141</v>
          </cell>
          <cell r="I304">
            <v>-36885.802094228449</v>
          </cell>
          <cell r="J304">
            <v>2695627.5369659117</v>
          </cell>
          <cell r="K304">
            <v>0</v>
          </cell>
          <cell r="L304">
            <v>-141632.74576706524</v>
          </cell>
          <cell r="M304">
            <v>25417.011132927124</v>
          </cell>
          <cell r="N304">
            <v>958.15422853570021</v>
          </cell>
          <cell r="O304">
            <v>-432.40452785337845</v>
          </cell>
          <cell r="P304">
            <v>0</v>
          </cell>
          <cell r="Q304">
            <v>0</v>
          </cell>
          <cell r="R304">
            <v>0</v>
          </cell>
          <cell r="S304">
            <v>7214906.0704269689</v>
          </cell>
          <cell r="T304">
            <v>33032.189999999944</v>
          </cell>
          <cell r="U304">
            <v>13478137.684829559</v>
          </cell>
          <cell r="V304">
            <v>101668.0445317085</v>
          </cell>
          <cell r="W304">
            <v>0</v>
          </cell>
          <cell r="X304">
            <v>13612837.919361267</v>
          </cell>
          <cell r="Y304">
            <v>642743</v>
          </cell>
          <cell r="Z304">
            <v>0</v>
          </cell>
          <cell r="AA304">
            <v>0</v>
          </cell>
          <cell r="AB304">
            <v>184429.01047114225</v>
          </cell>
          <cell r="AC304">
            <v>827172.01047114225</v>
          </cell>
          <cell r="AD304" t="str">
            <v>N/A</v>
          </cell>
          <cell r="AE304">
            <v>2562216</v>
          </cell>
          <cell r="AF304">
            <v>2562217</v>
          </cell>
          <cell r="AG304">
            <v>2562217</v>
          </cell>
          <cell r="AH304">
            <v>2562217</v>
          </cell>
          <cell r="AI304">
            <v>2536800</v>
          </cell>
          <cell r="AJ304">
            <v>0</v>
          </cell>
          <cell r="AK304">
            <v>12785667</v>
          </cell>
          <cell r="AL304">
            <v>61981970</v>
          </cell>
          <cell r="AM304">
            <v>7214906.0704269689</v>
          </cell>
          <cell r="AN304">
            <v>-1665447.19</v>
          </cell>
          <cell r="AO304">
            <v>13395376.718890127</v>
          </cell>
          <cell r="AP304">
            <v>0</v>
          </cell>
          <cell r="AQ304">
            <v>-609710.81000000006</v>
          </cell>
          <cell r="AR304">
            <v>0</v>
          </cell>
          <cell r="AS304">
            <v>0</v>
          </cell>
          <cell r="AT304">
            <v>80317094.789317101</v>
          </cell>
          <cell r="AU304">
            <v>1.8694892888119446E-3</v>
          </cell>
          <cell r="AV304">
            <v>0</v>
          </cell>
          <cell r="AW304">
            <v>0</v>
          </cell>
          <cell r="AY304">
            <v>0</v>
          </cell>
          <cell r="AZ304">
            <v>0</v>
          </cell>
          <cell r="BA304">
            <v>0</v>
          </cell>
          <cell r="BB304">
            <v>0</v>
          </cell>
          <cell r="BC304">
            <v>0</v>
          </cell>
          <cell r="BD304">
            <v>0</v>
          </cell>
          <cell r="BE304">
            <v>0</v>
          </cell>
          <cell r="BF304">
            <v>0</v>
          </cell>
          <cell r="BG304">
            <v>0</v>
          </cell>
          <cell r="BH304">
            <v>0</v>
          </cell>
          <cell r="BJ304">
            <v>0</v>
          </cell>
          <cell r="BL304">
            <v>0</v>
          </cell>
          <cell r="BM304">
            <v>0</v>
          </cell>
          <cell r="BN304">
            <v>0</v>
          </cell>
          <cell r="BO304">
            <v>0</v>
          </cell>
          <cell r="BQ304">
            <v>0</v>
          </cell>
          <cell r="BR304">
            <v>0</v>
          </cell>
          <cell r="BS304">
            <v>0</v>
          </cell>
          <cell r="BT304">
            <v>0</v>
          </cell>
          <cell r="CB304">
            <v>0</v>
          </cell>
          <cell r="CC304">
            <v>0</v>
          </cell>
          <cell r="CD304">
            <v>0</v>
          </cell>
          <cell r="CE304">
            <v>0</v>
          </cell>
          <cell r="CF304">
            <v>0</v>
          </cell>
          <cell r="CI304">
            <v>0</v>
          </cell>
          <cell r="CJ304">
            <v>0</v>
          </cell>
          <cell r="CK304">
            <v>0</v>
          </cell>
          <cell r="CV304">
            <v>1.846225728420556E-3</v>
          </cell>
          <cell r="DG304">
            <v>80317095</v>
          </cell>
          <cell r="DR304">
            <v>28981653.340000022</v>
          </cell>
          <cell r="EC304">
            <v>2.7713082500075181</v>
          </cell>
          <cell r="EN304">
            <v>2.4095909012463064E-2</v>
          </cell>
        </row>
        <row r="305">
          <cell r="B305">
            <v>40000</v>
          </cell>
          <cell r="C305" t="str">
            <v>Consolidated Judicial Retirement System</v>
          </cell>
          <cell r="D305">
            <v>2.9913793283444551E-3</v>
          </cell>
          <cell r="E305">
            <v>5175783.7349625183</v>
          </cell>
          <cell r="F305">
            <v>4035677.2760795662</v>
          </cell>
          <cell r="G305">
            <v>2662046</v>
          </cell>
          <cell r="H305">
            <v>-1444227.5747217208</v>
          </cell>
          <cell r="I305">
            <v>-59764.862007678144</v>
          </cell>
          <cell r="J305">
            <v>4367637.3732990632</v>
          </cell>
          <cell r="K305">
            <v>0</v>
          </cell>
          <cell r="L305">
            <v>-229482.91824896191</v>
          </cell>
          <cell r="M305">
            <v>41182.354097288146</v>
          </cell>
          <cell r="N305">
            <v>1552.4660438242054</v>
          </cell>
          <cell r="O305">
            <v>-700.61095249155483</v>
          </cell>
          <cell r="P305">
            <v>0</v>
          </cell>
          <cell r="Q305">
            <v>0</v>
          </cell>
          <cell r="R305">
            <v>0</v>
          </cell>
          <cell r="S305">
            <v>14549703.238551408</v>
          </cell>
          <cell r="T305">
            <v>13310230.6</v>
          </cell>
          <cell r="U305">
            <v>21838186.866495319</v>
          </cell>
          <cell r="V305">
            <v>164729.41638915258</v>
          </cell>
          <cell r="W305">
            <v>0</v>
          </cell>
          <cell r="X305">
            <v>35313146.882884473</v>
          </cell>
          <cell r="Y305">
            <v>0</v>
          </cell>
          <cell r="Z305">
            <v>0</v>
          </cell>
          <cell r="AA305">
            <v>0</v>
          </cell>
          <cell r="AB305">
            <v>298824.31003839074</v>
          </cell>
          <cell r="AC305">
            <v>298824.31003839074</v>
          </cell>
          <cell r="AD305" t="str">
            <v>N/A</v>
          </cell>
          <cell r="AE305">
            <v>7011102</v>
          </cell>
          <cell r="AF305">
            <v>7011101</v>
          </cell>
          <cell r="AG305">
            <v>7011101</v>
          </cell>
          <cell r="AH305">
            <v>7011101</v>
          </cell>
          <cell r="AI305">
            <v>6969919</v>
          </cell>
          <cell r="AJ305">
            <v>0</v>
          </cell>
          <cell r="AK305">
            <v>35014324</v>
          </cell>
          <cell r="AL305">
            <v>84441199</v>
          </cell>
          <cell r="AM305">
            <v>14549703.238551408</v>
          </cell>
          <cell r="AN305">
            <v>-3870056.6</v>
          </cell>
          <cell r="AO305">
            <v>21704091.97284608</v>
          </cell>
          <cell r="AP305">
            <v>0</v>
          </cell>
          <cell r="AQ305">
            <v>13310230.6</v>
          </cell>
          <cell r="AR305">
            <v>0</v>
          </cell>
          <cell r="AS305">
            <v>0</v>
          </cell>
          <cell r="AT305">
            <v>130135168.21139748</v>
          </cell>
          <cell r="AU305">
            <v>2.5469006112273148E-3</v>
          </cell>
          <cell r="AV305">
            <v>0</v>
          </cell>
          <cell r="AW305">
            <v>0</v>
          </cell>
          <cell r="AY305">
            <v>0</v>
          </cell>
          <cell r="AZ305">
            <v>0</v>
          </cell>
          <cell r="BA305">
            <v>0</v>
          </cell>
          <cell r="BB305">
            <v>0</v>
          </cell>
          <cell r="BC305">
            <v>0</v>
          </cell>
          <cell r="BD305">
            <v>0</v>
          </cell>
          <cell r="BE305">
            <v>0</v>
          </cell>
          <cell r="BF305">
            <v>0</v>
          </cell>
          <cell r="BG305">
            <v>0</v>
          </cell>
          <cell r="BH305">
            <v>0</v>
          </cell>
          <cell r="BJ305">
            <v>0</v>
          </cell>
          <cell r="BL305">
            <v>0</v>
          </cell>
          <cell r="BM305">
            <v>0</v>
          </cell>
          <cell r="BN305">
            <v>0</v>
          </cell>
          <cell r="BO305">
            <v>0</v>
          </cell>
          <cell r="BQ305">
            <v>0</v>
          </cell>
          <cell r="BR305">
            <v>0</v>
          </cell>
          <cell r="BS305">
            <v>0</v>
          </cell>
          <cell r="BT305">
            <v>0</v>
          </cell>
          <cell r="CB305">
            <v>0</v>
          </cell>
          <cell r="CC305">
            <v>0</v>
          </cell>
          <cell r="CD305">
            <v>0</v>
          </cell>
          <cell r="CE305">
            <v>0</v>
          </cell>
          <cell r="CF305">
            <v>0</v>
          </cell>
          <cell r="CI305">
            <v>0</v>
          </cell>
          <cell r="CJ305">
            <v>0</v>
          </cell>
          <cell r="CK305">
            <v>0</v>
          </cell>
          <cell r="CV305">
            <v>2.9913793283444551E-3</v>
          </cell>
          <cell r="DG305">
            <v>130135168</v>
          </cell>
          <cell r="DR305">
            <v>68245416.099999994</v>
          </cell>
          <cell r="EC305">
            <v>1.9068704601245741</v>
          </cell>
          <cell r="EN305">
            <v>2.4095909012463064E-2</v>
          </cell>
        </row>
        <row r="306">
          <cell r="B306">
            <v>51000</v>
          </cell>
          <cell r="C306" t="str">
            <v>Highway - Administrative</v>
          </cell>
          <cell r="D306">
            <v>2.8162352744387824E-2</v>
          </cell>
          <cell r="E306">
            <v>48727436.835417993</v>
          </cell>
          <cell r="F306">
            <v>37993899.982709162</v>
          </cell>
          <cell r="G306">
            <v>-12216545</v>
          </cell>
          <cell r="H306">
            <v>-13596686.323628087</v>
          </cell>
          <cell r="I306">
            <v>-562656.53427223396</v>
          </cell>
          <cell r="J306">
            <v>41119139.656051002</v>
          </cell>
          <cell r="K306">
            <v>0</v>
          </cell>
          <cell r="L306">
            <v>-2160467.8588574491</v>
          </cell>
          <cell r="M306">
            <v>387711.43864726363</v>
          </cell>
          <cell r="N306">
            <v>14615.697827282393</v>
          </cell>
          <cell r="O306">
            <v>-6595.9046362630725</v>
          </cell>
          <cell r="P306">
            <v>0</v>
          </cell>
          <cell r="Q306">
            <v>0</v>
          </cell>
          <cell r="R306">
            <v>0</v>
          </cell>
          <cell r="S306">
            <v>99699851.989258677</v>
          </cell>
          <cell r="T306">
            <v>2821902.9046994597</v>
          </cell>
          <cell r="U306">
            <v>205595698.28025502</v>
          </cell>
          <cell r="V306">
            <v>1550845.7545890545</v>
          </cell>
          <cell r="W306">
            <v>0</v>
          </cell>
          <cell r="X306">
            <v>209968446.93954352</v>
          </cell>
          <cell r="Y306">
            <v>63904622</v>
          </cell>
          <cell r="Z306">
            <v>0</v>
          </cell>
          <cell r="AA306">
            <v>0</v>
          </cell>
          <cell r="AB306">
            <v>2813282.6713611698</v>
          </cell>
          <cell r="AC306">
            <v>66717904.671361171</v>
          </cell>
          <cell r="AD306" t="str">
            <v>N/A</v>
          </cell>
          <cell r="AE306">
            <v>28727652</v>
          </cell>
          <cell r="AF306">
            <v>28727650</v>
          </cell>
          <cell r="AG306">
            <v>28727650</v>
          </cell>
          <cell r="AH306">
            <v>28727650</v>
          </cell>
          <cell r="AI306">
            <v>28339938</v>
          </cell>
          <cell r="AJ306">
            <v>0</v>
          </cell>
          <cell r="AK306">
            <v>143250540</v>
          </cell>
          <cell r="AL306">
            <v>1010394077</v>
          </cell>
          <cell r="AM306">
            <v>99699851.989258677</v>
          </cell>
          <cell r="AN306">
            <v>-28186402.90469946</v>
          </cell>
          <cell r="AO306">
            <v>204333261.36348292</v>
          </cell>
          <cell r="AP306">
            <v>0</v>
          </cell>
          <cell r="AQ306">
            <v>-61082719.09530054</v>
          </cell>
          <cell r="AR306">
            <v>0</v>
          </cell>
          <cell r="AS306">
            <v>0</v>
          </cell>
          <cell r="AT306">
            <v>1225158068.3527417</v>
          </cell>
          <cell r="AU306">
            <v>3.0475328768949837E-2</v>
          </cell>
          <cell r="AV306">
            <v>0</v>
          </cell>
          <cell r="AW306">
            <v>0</v>
          </cell>
          <cell r="AY306">
            <v>0</v>
          </cell>
          <cell r="AZ306">
            <v>0</v>
          </cell>
          <cell r="BA306">
            <v>0</v>
          </cell>
          <cell r="BB306">
            <v>0</v>
          </cell>
          <cell r="BC306">
            <v>0</v>
          </cell>
          <cell r="BD306">
            <v>0</v>
          </cell>
          <cell r="BE306">
            <v>0</v>
          </cell>
          <cell r="BF306">
            <v>0</v>
          </cell>
          <cell r="BG306">
            <v>0</v>
          </cell>
          <cell r="BH306">
            <v>0</v>
          </cell>
          <cell r="BJ306">
            <v>0</v>
          </cell>
          <cell r="BL306">
            <v>0</v>
          </cell>
          <cell r="BM306">
            <v>0</v>
          </cell>
          <cell r="BN306">
            <v>0</v>
          </cell>
          <cell r="BO306">
            <v>0</v>
          </cell>
          <cell r="BQ306">
            <v>0</v>
          </cell>
          <cell r="BR306">
            <v>0</v>
          </cell>
          <cell r="BS306">
            <v>0</v>
          </cell>
          <cell r="BT306">
            <v>0</v>
          </cell>
          <cell r="CB306">
            <v>0</v>
          </cell>
          <cell r="CC306">
            <v>0</v>
          </cell>
          <cell r="CD306">
            <v>0</v>
          </cell>
          <cell r="CE306">
            <v>0</v>
          </cell>
          <cell r="CF306">
            <v>0</v>
          </cell>
          <cell r="CI306">
            <v>0</v>
          </cell>
          <cell r="CJ306">
            <v>0</v>
          </cell>
          <cell r="CK306">
            <v>0</v>
          </cell>
          <cell r="CV306">
            <v>2.8162352744387824E-2</v>
          </cell>
          <cell r="DG306">
            <v>1225158068</v>
          </cell>
          <cell r="DR306">
            <v>517068074.63000035</v>
          </cell>
          <cell r="EC306">
            <v>2.3694328234762692</v>
          </cell>
          <cell r="EN306">
            <v>2.4095909012463064E-2</v>
          </cell>
        </row>
        <row r="307">
          <cell r="B307">
            <v>60000</v>
          </cell>
          <cell r="C307" t="str">
            <v>Legislative Retirement System</v>
          </cell>
          <cell r="D307">
            <v>1.4349776773514539E-4</v>
          </cell>
          <cell r="E307">
            <v>248284.59741280656</v>
          </cell>
          <cell r="F307">
            <v>193593.1945940711</v>
          </cell>
          <cell r="G307">
            <v>12377</v>
          </cell>
          <cell r="H307">
            <v>-69280.225048826003</v>
          </cell>
          <cell r="I307">
            <v>-2866.946430310185</v>
          </cell>
          <cell r="J307">
            <v>209517.46487192417</v>
          </cell>
          <cell r="K307">
            <v>0</v>
          </cell>
          <cell r="L307">
            <v>-11008.395421485307</v>
          </cell>
          <cell r="M307">
            <v>1975.5354418089648</v>
          </cell>
          <cell r="N307">
            <v>74.472471499185758</v>
          </cell>
          <cell r="O307">
            <v>-33.608612181248404</v>
          </cell>
          <cell r="P307">
            <v>0</v>
          </cell>
          <cell r="Q307">
            <v>0</v>
          </cell>
          <cell r="R307">
            <v>0</v>
          </cell>
          <cell r="S307">
            <v>582633.08927930729</v>
          </cell>
          <cell r="T307">
            <v>63430.98000000001</v>
          </cell>
          <cell r="U307">
            <v>1047587.3243596209</v>
          </cell>
          <cell r="V307">
            <v>7902.1417672358593</v>
          </cell>
          <cell r="W307">
            <v>0</v>
          </cell>
          <cell r="X307">
            <v>1118920.4461268568</v>
          </cell>
          <cell r="Y307">
            <v>1544</v>
          </cell>
          <cell r="Z307">
            <v>0</v>
          </cell>
          <cell r="AA307">
            <v>0</v>
          </cell>
          <cell r="AB307">
            <v>14334.732151550923</v>
          </cell>
          <cell r="AC307">
            <v>15878.732151550923</v>
          </cell>
          <cell r="AD307" t="str">
            <v>N/A</v>
          </cell>
          <cell r="AE307">
            <v>221003</v>
          </cell>
          <cell r="AF307">
            <v>221003</v>
          </cell>
          <cell r="AG307">
            <v>221003</v>
          </cell>
          <cell r="AH307">
            <v>221003</v>
          </cell>
          <cell r="AI307">
            <v>219028</v>
          </cell>
          <cell r="AJ307">
            <v>0</v>
          </cell>
          <cell r="AK307">
            <v>1103040</v>
          </cell>
          <cell r="AL307">
            <v>4759449</v>
          </cell>
          <cell r="AM307">
            <v>582633.08927930729</v>
          </cell>
          <cell r="AN307">
            <v>-202482.98</v>
          </cell>
          <cell r="AO307">
            <v>1041154.7339753059</v>
          </cell>
          <cell r="AP307">
            <v>0</v>
          </cell>
          <cell r="AQ307">
            <v>61886.98000000001</v>
          </cell>
          <cell r="AR307">
            <v>0</v>
          </cell>
          <cell r="AS307">
            <v>0</v>
          </cell>
          <cell r="AT307">
            <v>6242640.8232546132</v>
          </cell>
          <cell r="AU307">
            <v>1.4355367967159498E-4</v>
          </cell>
          <cell r="AV307">
            <v>0</v>
          </cell>
          <cell r="AW307">
            <v>0</v>
          </cell>
          <cell r="AY307">
            <v>0</v>
          </cell>
          <cell r="AZ307">
            <v>0</v>
          </cell>
          <cell r="BA307">
            <v>0</v>
          </cell>
          <cell r="BB307">
            <v>0</v>
          </cell>
          <cell r="BC307">
            <v>0</v>
          </cell>
          <cell r="BD307">
            <v>0</v>
          </cell>
          <cell r="BE307">
            <v>0</v>
          </cell>
          <cell r="BF307">
            <v>0</v>
          </cell>
          <cell r="BG307">
            <v>0</v>
          </cell>
          <cell r="BH307">
            <v>0</v>
          </cell>
          <cell r="BJ307">
            <v>0</v>
          </cell>
          <cell r="BL307">
            <v>0</v>
          </cell>
          <cell r="BM307">
            <v>0</v>
          </cell>
          <cell r="BN307">
            <v>0</v>
          </cell>
          <cell r="BO307">
            <v>0</v>
          </cell>
          <cell r="BQ307">
            <v>0</v>
          </cell>
          <cell r="BR307">
            <v>0</v>
          </cell>
          <cell r="BS307">
            <v>0</v>
          </cell>
          <cell r="BT307">
            <v>0</v>
          </cell>
          <cell r="CB307">
            <v>0</v>
          </cell>
          <cell r="CC307">
            <v>0</v>
          </cell>
          <cell r="CD307">
            <v>0</v>
          </cell>
          <cell r="CE307">
            <v>0</v>
          </cell>
          <cell r="CF307">
            <v>0</v>
          </cell>
          <cell r="CI307">
            <v>0</v>
          </cell>
          <cell r="CJ307">
            <v>0</v>
          </cell>
          <cell r="CK307">
            <v>0</v>
          </cell>
          <cell r="CV307">
            <v>1.4349776773514539E-4</v>
          </cell>
          <cell r="DG307">
            <v>6242641</v>
          </cell>
          <cell r="DR307">
            <v>3577761.2099999958</v>
          </cell>
          <cell r="EC307">
            <v>1.7448456265196097</v>
          </cell>
          <cell r="EN307">
            <v>2.4095909012463064E-2</v>
          </cell>
        </row>
        <row r="308">
          <cell r="B308">
            <v>90901</v>
          </cell>
          <cell r="C308" t="str">
            <v>BLADEN COUNTY</v>
          </cell>
          <cell r="D308">
            <v>7.1481501490372695E-4</v>
          </cell>
          <cell r="E308">
            <v>1236796.6484856578</v>
          </cell>
          <cell r="F308">
            <v>964358.71068347129</v>
          </cell>
          <cell r="G308">
            <v>-467132</v>
          </cell>
          <cell r="H308">
            <v>-345110.21239169477</v>
          </cell>
          <cell r="I308">
            <v>-14281.311742025373</v>
          </cell>
          <cell r="J308">
            <v>1043683.3418303755</v>
          </cell>
          <cell r="K308">
            <v>0</v>
          </cell>
          <cell r="L308">
            <v>-54836.855384391296</v>
          </cell>
          <cell r="M308">
            <v>9840.8666459949036</v>
          </cell>
          <cell r="N308">
            <v>370.97469643473619</v>
          </cell>
          <cell r="O308">
            <v>-167.4168246406019</v>
          </cell>
          <cell r="P308">
            <v>0</v>
          </cell>
          <cell r="Q308">
            <v>0</v>
          </cell>
          <cell r="R308">
            <v>0</v>
          </cell>
          <cell r="S308">
            <v>2373522.7459991821</v>
          </cell>
          <cell r="T308">
            <v>91297.75</v>
          </cell>
          <cell r="U308">
            <v>5218416.7091518771</v>
          </cell>
          <cell r="V308">
            <v>39363.466583979614</v>
          </cell>
          <cell r="W308">
            <v>0</v>
          </cell>
          <cell r="X308">
            <v>5349077.9257358564</v>
          </cell>
          <cell r="Y308">
            <v>2426962</v>
          </cell>
          <cell r="Z308">
            <v>0</v>
          </cell>
          <cell r="AA308">
            <v>0</v>
          </cell>
          <cell r="AB308">
            <v>71406.558710126861</v>
          </cell>
          <cell r="AC308">
            <v>2498368.5587101267</v>
          </cell>
          <cell r="AD308" t="str">
            <v>N/A</v>
          </cell>
          <cell r="AE308">
            <v>572111</v>
          </cell>
          <cell r="AF308">
            <v>572109</v>
          </cell>
          <cell r="AG308">
            <v>572109</v>
          </cell>
          <cell r="AH308">
            <v>572109</v>
          </cell>
          <cell r="AI308">
            <v>562268</v>
          </cell>
          <cell r="AJ308">
            <v>0</v>
          </cell>
          <cell r="AK308">
            <v>2850706</v>
          </cell>
          <cell r="AL308">
            <v>26611683</v>
          </cell>
          <cell r="AM308">
            <v>2373522.7459991821</v>
          </cell>
          <cell r="AN308">
            <v>-739032.75</v>
          </cell>
          <cell r="AO308">
            <v>5186373.6170257302</v>
          </cell>
          <cell r="AP308">
            <v>0</v>
          </cell>
          <cell r="AQ308">
            <v>-2335664.25</v>
          </cell>
          <cell r="AR308">
            <v>0</v>
          </cell>
          <cell r="AS308">
            <v>0</v>
          </cell>
          <cell r="AT308">
            <v>31096882.363024913</v>
          </cell>
          <cell r="AU308">
            <v>8.026569065903307E-4</v>
          </cell>
          <cell r="AV308">
            <v>0</v>
          </cell>
          <cell r="AW308">
            <v>0</v>
          </cell>
          <cell r="AY308">
            <v>0</v>
          </cell>
          <cell r="AZ308">
            <v>0</v>
          </cell>
          <cell r="BA308">
            <v>0</v>
          </cell>
          <cell r="BB308">
            <v>0</v>
          </cell>
          <cell r="BC308">
            <v>0</v>
          </cell>
          <cell r="BD308">
            <v>0</v>
          </cell>
          <cell r="BE308">
            <v>0</v>
          </cell>
          <cell r="BF308">
            <v>0</v>
          </cell>
          <cell r="BG308">
            <v>0</v>
          </cell>
          <cell r="BH308">
            <v>0</v>
          </cell>
          <cell r="BJ308">
            <v>0</v>
          </cell>
          <cell r="BL308">
            <v>0</v>
          </cell>
          <cell r="BM308">
            <v>0</v>
          </cell>
          <cell r="BN308">
            <v>0</v>
          </cell>
          <cell r="BO308">
            <v>0</v>
          </cell>
          <cell r="BQ308">
            <v>0</v>
          </cell>
          <cell r="BR308">
            <v>0</v>
          </cell>
          <cell r="BS308">
            <v>0</v>
          </cell>
          <cell r="BT308">
            <v>0</v>
          </cell>
          <cell r="CB308">
            <v>0</v>
          </cell>
          <cell r="CC308">
            <v>0</v>
          </cell>
          <cell r="CD308">
            <v>0</v>
          </cell>
          <cell r="CE308">
            <v>0</v>
          </cell>
          <cell r="CF308">
            <v>0</v>
          </cell>
          <cell r="CI308">
            <v>0</v>
          </cell>
          <cell r="CJ308">
            <v>0</v>
          </cell>
          <cell r="CK308">
            <v>0</v>
          </cell>
          <cell r="CV308">
            <v>7.1481501490372695E-4</v>
          </cell>
          <cell r="DG308">
            <v>31096883</v>
          </cell>
          <cell r="DR308">
            <v>11590746.199999994</v>
          </cell>
          <cell r="EC308">
            <v>2.6829060410277998</v>
          </cell>
          <cell r="EN308">
            <v>2.4095909012463064E-2</v>
          </cell>
        </row>
        <row r="309">
          <cell r="B309">
            <v>91041</v>
          </cell>
          <cell r="C309" t="str">
            <v>TOWN OF SUNSET BEACH</v>
          </cell>
          <cell r="D309">
            <v>1.2964012648099919E-4</v>
          </cell>
          <cell r="E309">
            <v>224307.64687078004</v>
          </cell>
          <cell r="F309">
            <v>174897.81638525944</v>
          </cell>
          <cell r="G309">
            <v>-87207</v>
          </cell>
          <cell r="H309">
            <v>-62589.803867465656</v>
          </cell>
          <cell r="I309">
            <v>-2590.0841783522183</v>
          </cell>
          <cell r="J309">
            <v>189284.27302163589</v>
          </cell>
          <cell r="K309">
            <v>0</v>
          </cell>
          <cell r="L309">
            <v>-9945.3099328225708</v>
          </cell>
          <cell r="M309">
            <v>1784.7571330622504</v>
          </cell>
          <cell r="N309">
            <v>67.280632841108954</v>
          </cell>
          <cell r="O309">
            <v>-30.363014023114822</v>
          </cell>
          <cell r="P309">
            <v>0</v>
          </cell>
          <cell r="Q309">
            <v>0</v>
          </cell>
          <cell r="R309">
            <v>0</v>
          </cell>
          <cell r="S309">
            <v>427979.21305091516</v>
          </cell>
          <cell r="T309">
            <v>3981.75</v>
          </cell>
          <cell r="U309">
            <v>946421.36510817951</v>
          </cell>
          <cell r="V309">
            <v>7139.0285322490017</v>
          </cell>
          <cell r="W309">
            <v>0</v>
          </cell>
          <cell r="X309">
            <v>957542.14364042855</v>
          </cell>
          <cell r="Y309">
            <v>440012</v>
          </cell>
          <cell r="Z309">
            <v>0</v>
          </cell>
          <cell r="AA309">
            <v>0</v>
          </cell>
          <cell r="AB309">
            <v>12950.42089176109</v>
          </cell>
          <cell r="AC309">
            <v>452962.42089176108</v>
          </cell>
          <cell r="AD309" t="str">
            <v>N/A</v>
          </cell>
          <cell r="AE309">
            <v>101273</v>
          </cell>
          <cell r="AF309">
            <v>101272</v>
          </cell>
          <cell r="AG309">
            <v>101272</v>
          </cell>
          <cell r="AH309">
            <v>101272</v>
          </cell>
          <cell r="AI309">
            <v>99487</v>
          </cell>
          <cell r="AJ309">
            <v>0</v>
          </cell>
          <cell r="AK309">
            <v>504576</v>
          </cell>
          <cell r="AL309">
            <v>4826168</v>
          </cell>
          <cell r="AM309">
            <v>427979.21305091516</v>
          </cell>
          <cell r="AN309">
            <v>-118940.75</v>
          </cell>
          <cell r="AO309">
            <v>940609.97274866747</v>
          </cell>
          <cell r="AP309">
            <v>0</v>
          </cell>
          <cell r="AQ309">
            <v>-436030.25</v>
          </cell>
          <cell r="AR309">
            <v>0</v>
          </cell>
          <cell r="AS309">
            <v>0</v>
          </cell>
          <cell r="AT309">
            <v>5639786.1857995819</v>
          </cell>
          <cell r="AU309">
            <v>1.4556603085170817E-4</v>
          </cell>
          <cell r="AV309">
            <v>0</v>
          </cell>
          <cell r="AW309">
            <v>0</v>
          </cell>
          <cell r="AY309">
            <v>0</v>
          </cell>
          <cell r="AZ309">
            <v>0</v>
          </cell>
          <cell r="BA309">
            <v>0</v>
          </cell>
          <cell r="BB309">
            <v>0</v>
          </cell>
          <cell r="BC309">
            <v>0</v>
          </cell>
          <cell r="BD309">
            <v>0</v>
          </cell>
          <cell r="BE309">
            <v>0</v>
          </cell>
          <cell r="BF309">
            <v>0</v>
          </cell>
          <cell r="BG309">
            <v>0</v>
          </cell>
          <cell r="BH309">
            <v>0</v>
          </cell>
          <cell r="BJ309">
            <v>0</v>
          </cell>
          <cell r="BL309">
            <v>0</v>
          </cell>
          <cell r="BM309">
            <v>0</v>
          </cell>
          <cell r="BN309">
            <v>0</v>
          </cell>
          <cell r="BO309">
            <v>0</v>
          </cell>
          <cell r="BQ309">
            <v>0</v>
          </cell>
          <cell r="BR309">
            <v>0</v>
          </cell>
          <cell r="BS309">
            <v>0</v>
          </cell>
          <cell r="BT309">
            <v>0</v>
          </cell>
          <cell r="CB309">
            <v>0</v>
          </cell>
          <cell r="CC309">
            <v>0</v>
          </cell>
          <cell r="CD309">
            <v>0</v>
          </cell>
          <cell r="CE309">
            <v>0</v>
          </cell>
          <cell r="CF309">
            <v>0</v>
          </cell>
          <cell r="CI309">
            <v>0</v>
          </cell>
          <cell r="CJ309">
            <v>0</v>
          </cell>
          <cell r="CK309">
            <v>0</v>
          </cell>
          <cell r="CV309">
            <v>1.2964012648099919E-4</v>
          </cell>
          <cell r="DG309">
            <v>5639786</v>
          </cell>
          <cell r="DR309">
            <v>1903519.8499999999</v>
          </cell>
          <cell r="EC309">
            <v>2.962819641728454</v>
          </cell>
          <cell r="EN309">
            <v>2.4095909012463064E-2</v>
          </cell>
        </row>
        <row r="310">
          <cell r="B310">
            <v>91111</v>
          </cell>
          <cell r="C310" t="str">
            <v>TOWN OF BILTMORE FOREST</v>
          </cell>
          <cell r="D310">
            <v>7.0042831531665577E-5</v>
          </cell>
          <cell r="E310">
            <v>121190.43036676686</v>
          </cell>
          <cell r="F310">
            <v>94494.957856465742</v>
          </cell>
          <cell r="G310">
            <v>-57811</v>
          </cell>
          <cell r="H310">
            <v>-33816.436368036302</v>
          </cell>
          <cell r="I310">
            <v>-1399.3879416937036</v>
          </cell>
          <cell r="J310">
            <v>102267.7685276048</v>
          </cell>
          <cell r="K310">
            <v>0</v>
          </cell>
          <cell r="L310">
            <v>-5373.3183317820121</v>
          </cell>
          <cell r="M310">
            <v>964.28047850091968</v>
          </cell>
          <cell r="N310">
            <v>36.350828708303801</v>
          </cell>
          <cell r="O310">
            <v>-16.404731573031395</v>
          </cell>
          <cell r="P310">
            <v>0</v>
          </cell>
          <cell r="Q310">
            <v>0</v>
          </cell>
          <cell r="R310">
            <v>0</v>
          </cell>
          <cell r="S310">
            <v>220537.24068496152</v>
          </cell>
          <cell r="T310">
            <v>13658.010000000009</v>
          </cell>
          <cell r="U310">
            <v>511338.84263802401</v>
          </cell>
          <cell r="V310">
            <v>3857.1219140036787</v>
          </cell>
          <cell r="W310">
            <v>0</v>
          </cell>
          <cell r="X310">
            <v>528853.97455202765</v>
          </cell>
          <cell r="Y310">
            <v>302714</v>
          </cell>
          <cell r="Z310">
            <v>0</v>
          </cell>
          <cell r="AA310">
            <v>0</v>
          </cell>
          <cell r="AB310">
            <v>6996.9397084685188</v>
          </cell>
          <cell r="AC310">
            <v>309710.9397084685</v>
          </cell>
          <cell r="AD310" t="str">
            <v>N/A</v>
          </cell>
          <cell r="AE310">
            <v>44022</v>
          </cell>
          <cell r="AF310">
            <v>44022</v>
          </cell>
          <cell r="AG310">
            <v>44022</v>
          </cell>
          <cell r="AH310">
            <v>44022</v>
          </cell>
          <cell r="AI310">
            <v>43057</v>
          </cell>
          <cell r="AJ310">
            <v>0</v>
          </cell>
          <cell r="AK310">
            <v>219145</v>
          </cell>
          <cell r="AL310">
            <v>2685492</v>
          </cell>
          <cell r="AM310">
            <v>220537.24068496152</v>
          </cell>
          <cell r="AN310">
            <v>-78071.010000000009</v>
          </cell>
          <cell r="AO310">
            <v>508199.02484355919</v>
          </cell>
          <cell r="AP310">
            <v>0</v>
          </cell>
          <cell r="AQ310">
            <v>-289055.99</v>
          </cell>
          <cell r="AR310">
            <v>0</v>
          </cell>
          <cell r="AS310">
            <v>0</v>
          </cell>
          <cell r="AT310">
            <v>3047101.2655285206</v>
          </cell>
          <cell r="AU310">
            <v>8.0999341284349754E-5</v>
          </cell>
          <cell r="AV310">
            <v>0</v>
          </cell>
          <cell r="AW310">
            <v>0</v>
          </cell>
          <cell r="AY310">
            <v>0</v>
          </cell>
          <cell r="AZ310">
            <v>0</v>
          </cell>
          <cell r="BA310">
            <v>0</v>
          </cell>
          <cell r="BB310">
            <v>0</v>
          </cell>
          <cell r="BC310">
            <v>0</v>
          </cell>
          <cell r="BD310">
            <v>0</v>
          </cell>
          <cell r="BE310">
            <v>0</v>
          </cell>
          <cell r="BF310">
            <v>0</v>
          </cell>
          <cell r="BG310">
            <v>0</v>
          </cell>
          <cell r="BH310">
            <v>0</v>
          </cell>
          <cell r="BJ310">
            <v>0</v>
          </cell>
          <cell r="BL310">
            <v>0</v>
          </cell>
          <cell r="BM310">
            <v>0</v>
          </cell>
          <cell r="BN310">
            <v>0</v>
          </cell>
          <cell r="BO310">
            <v>0</v>
          </cell>
          <cell r="BQ310">
            <v>0</v>
          </cell>
          <cell r="BR310">
            <v>0</v>
          </cell>
          <cell r="BS310">
            <v>0</v>
          </cell>
          <cell r="BT310">
            <v>0</v>
          </cell>
          <cell r="CB310">
            <v>0</v>
          </cell>
          <cell r="CC310">
            <v>0</v>
          </cell>
          <cell r="CD310">
            <v>0</v>
          </cell>
          <cell r="CE310">
            <v>0</v>
          </cell>
          <cell r="CF310">
            <v>0</v>
          </cell>
          <cell r="CI310">
            <v>0</v>
          </cell>
          <cell r="CJ310">
            <v>0</v>
          </cell>
          <cell r="CK310">
            <v>0</v>
          </cell>
          <cell r="CV310">
            <v>7.0042831531665577E-5</v>
          </cell>
          <cell r="DG310">
            <v>3047101</v>
          </cell>
          <cell r="DR310">
            <v>1313182.8800000004</v>
          </cell>
          <cell r="EC310">
            <v>2.3203934854831485</v>
          </cell>
          <cell r="EN310">
            <v>2.4095909012463064E-2</v>
          </cell>
        </row>
        <row r="311">
          <cell r="B311">
            <v>91151</v>
          </cell>
          <cell r="C311" t="str">
            <v>TOWN OF BLACK MOUNTAIN</v>
          </cell>
          <cell r="D311">
            <v>2.0385357774971462E-4</v>
          </cell>
          <cell r="E311">
            <v>352714.22184187663</v>
          </cell>
          <cell r="F311">
            <v>275019.36767990881</v>
          </cell>
          <cell r="G311">
            <v>-29720</v>
          </cell>
          <cell r="H311">
            <v>-98419.80099352845</v>
          </cell>
          <cell r="I311">
            <v>-4072.7970633954606</v>
          </cell>
          <cell r="J311">
            <v>297641.45804709388</v>
          </cell>
          <cell r="K311">
            <v>0</v>
          </cell>
          <cell r="L311">
            <v>-15638.576316359893</v>
          </cell>
          <cell r="M311">
            <v>2806.4545821188176</v>
          </cell>
          <cell r="N311">
            <v>105.7959297805469</v>
          </cell>
          <cell r="O311">
            <v>-47.744546444760658</v>
          </cell>
          <cell r="P311">
            <v>0</v>
          </cell>
          <cell r="Q311">
            <v>0</v>
          </cell>
          <cell r="R311">
            <v>0</v>
          </cell>
          <cell r="S311">
            <v>780388.37916105019</v>
          </cell>
          <cell r="T311">
            <v>847</v>
          </cell>
          <cell r="U311">
            <v>1488207.2902354694</v>
          </cell>
          <cell r="V311">
            <v>11225.81832847527</v>
          </cell>
          <cell r="W311">
            <v>0</v>
          </cell>
          <cell r="X311">
            <v>1500280.1085639447</v>
          </cell>
          <cell r="Y311">
            <v>149444</v>
          </cell>
          <cell r="Z311">
            <v>0</v>
          </cell>
          <cell r="AA311">
            <v>0</v>
          </cell>
          <cell r="AB311">
            <v>20363.985316977301</v>
          </cell>
          <cell r="AC311">
            <v>169807.98531697731</v>
          </cell>
          <cell r="AD311" t="str">
            <v>N/A</v>
          </cell>
          <cell r="AE311">
            <v>266655</v>
          </cell>
          <cell r="AF311">
            <v>266656</v>
          </cell>
          <cell r="AG311">
            <v>266656</v>
          </cell>
          <cell r="AH311">
            <v>266656</v>
          </cell>
          <cell r="AI311">
            <v>263850</v>
          </cell>
          <cell r="AJ311">
            <v>0</v>
          </cell>
          <cell r="AK311">
            <v>1330473</v>
          </cell>
          <cell r="AL311">
            <v>6937995</v>
          </cell>
          <cell r="AM311">
            <v>780388.37916105019</v>
          </cell>
          <cell r="AN311">
            <v>-180532</v>
          </cell>
          <cell r="AO311">
            <v>1479069.1232469673</v>
          </cell>
          <cell r="AP311">
            <v>0</v>
          </cell>
          <cell r="AQ311">
            <v>-148597</v>
          </cell>
          <cell r="AR311">
            <v>0</v>
          </cell>
          <cell r="AS311">
            <v>0</v>
          </cell>
          <cell r="AT311">
            <v>8868323.5024080183</v>
          </cell>
          <cell r="AU311">
            <v>2.0926258018404994E-4</v>
          </cell>
          <cell r="AV311">
            <v>0</v>
          </cell>
          <cell r="AW311">
            <v>0</v>
          </cell>
          <cell r="AY311">
            <v>0</v>
          </cell>
          <cell r="AZ311">
            <v>0</v>
          </cell>
          <cell r="BA311">
            <v>0</v>
          </cell>
          <cell r="BB311">
            <v>0</v>
          </cell>
          <cell r="BC311">
            <v>0</v>
          </cell>
          <cell r="BD311">
            <v>0</v>
          </cell>
          <cell r="BE311">
            <v>0</v>
          </cell>
          <cell r="BF311">
            <v>0</v>
          </cell>
          <cell r="BG311">
            <v>0</v>
          </cell>
          <cell r="BH311">
            <v>0</v>
          </cell>
          <cell r="BJ311">
            <v>0</v>
          </cell>
          <cell r="BL311">
            <v>0</v>
          </cell>
          <cell r="BM311">
            <v>0</v>
          </cell>
          <cell r="BN311">
            <v>0</v>
          </cell>
          <cell r="BO311">
            <v>0</v>
          </cell>
          <cell r="BQ311">
            <v>0</v>
          </cell>
          <cell r="BR311">
            <v>0</v>
          </cell>
          <cell r="BS311">
            <v>0</v>
          </cell>
          <cell r="BT311">
            <v>0</v>
          </cell>
          <cell r="CB311">
            <v>0</v>
          </cell>
          <cell r="CC311">
            <v>0</v>
          </cell>
          <cell r="CD311">
            <v>0</v>
          </cell>
          <cell r="CE311">
            <v>0</v>
          </cell>
          <cell r="CF311">
            <v>0</v>
          </cell>
          <cell r="CI311">
            <v>0</v>
          </cell>
          <cell r="CJ311">
            <v>0</v>
          </cell>
          <cell r="CK311">
            <v>0</v>
          </cell>
          <cell r="CV311">
            <v>2.0385357774971462E-4</v>
          </cell>
          <cell r="DG311">
            <v>8868324</v>
          </cell>
          <cell r="DR311">
            <v>3061219.0699999989</v>
          </cell>
          <cell r="EC311">
            <v>2.8969909690259454</v>
          </cell>
          <cell r="EN311">
            <v>2.4095909012463064E-2</v>
          </cell>
        </row>
        <row r="312">
          <cell r="B312">
            <v>98101</v>
          </cell>
          <cell r="C312" t="str">
            <v>RUTHERFORD COUNTY</v>
          </cell>
          <cell r="D312">
            <v>9.258285831309454E-4</v>
          </cell>
          <cell r="E312">
            <v>1601899.3233414355</v>
          </cell>
          <cell r="F312">
            <v>1249037.6392867353</v>
          </cell>
          <cell r="G312">
            <v>-25372</v>
          </cell>
          <cell r="H312">
            <v>-446986.83197869762</v>
          </cell>
          <cell r="I312">
            <v>-18497.158481137198</v>
          </cell>
          <cell r="J312">
            <v>1351778.9210601943</v>
          </cell>
          <cell r="K312">
            <v>0</v>
          </cell>
          <cell r="L312">
            <v>-71024.708582436971</v>
          </cell>
          <cell r="M312">
            <v>12745.892900513745</v>
          </cell>
          <cell r="N312">
            <v>480.48651807329804</v>
          </cell>
          <cell r="O312">
            <v>-216.83831245509873</v>
          </cell>
          <cell r="P312">
            <v>0</v>
          </cell>
          <cell r="Q312">
            <v>0</v>
          </cell>
          <cell r="R312">
            <v>0</v>
          </cell>
          <cell r="S312">
            <v>3653844.7257522251</v>
          </cell>
          <cell r="T312">
            <v>79010.629999999888</v>
          </cell>
          <cell r="U312">
            <v>6758894.6053009713</v>
          </cell>
          <cell r="V312">
            <v>50983.571602054981</v>
          </cell>
          <cell r="W312">
            <v>0</v>
          </cell>
          <cell r="X312">
            <v>6888888.8069030261</v>
          </cell>
          <cell r="Y312">
            <v>205870</v>
          </cell>
          <cell r="Z312">
            <v>0</v>
          </cell>
          <cell r="AA312">
            <v>0</v>
          </cell>
          <cell r="AB312">
            <v>92485.792405685977</v>
          </cell>
          <cell r="AC312">
            <v>298355.79240568599</v>
          </cell>
          <cell r="AD312" t="str">
            <v>N/A</v>
          </cell>
          <cell r="AE312">
            <v>1320656</v>
          </cell>
          <cell r="AF312">
            <v>1320656</v>
          </cell>
          <cell r="AG312">
            <v>1320656</v>
          </cell>
          <cell r="AH312">
            <v>1320656</v>
          </cell>
          <cell r="AI312">
            <v>1307910</v>
          </cell>
          <cell r="AJ312">
            <v>0</v>
          </cell>
          <cell r="AK312">
            <v>6590534</v>
          </cell>
          <cell r="AL312">
            <v>30942421</v>
          </cell>
          <cell r="AM312">
            <v>3653844.7257522251</v>
          </cell>
          <cell r="AN312">
            <v>-910108.62999999989</v>
          </cell>
          <cell r="AO312">
            <v>6717392.3844973408</v>
          </cell>
          <cell r="AP312">
            <v>0</v>
          </cell>
          <cell r="AQ312">
            <v>-126859.37000000011</v>
          </cell>
          <cell r="AR312">
            <v>0</v>
          </cell>
          <cell r="AS312">
            <v>0</v>
          </cell>
          <cell r="AT312">
            <v>40276690.110249572</v>
          </cell>
          <cell r="AU312">
            <v>9.3327986549368385E-4</v>
          </cell>
          <cell r="AV312">
            <v>0</v>
          </cell>
          <cell r="AW312">
            <v>0</v>
          </cell>
          <cell r="AY312">
            <v>0</v>
          </cell>
          <cell r="AZ312">
            <v>0</v>
          </cell>
          <cell r="BA312">
            <v>0</v>
          </cell>
          <cell r="BB312">
            <v>0</v>
          </cell>
          <cell r="BC312">
            <v>0</v>
          </cell>
          <cell r="BD312">
            <v>0</v>
          </cell>
          <cell r="BE312">
            <v>0</v>
          </cell>
          <cell r="BF312">
            <v>0</v>
          </cell>
          <cell r="BG312">
            <v>0</v>
          </cell>
          <cell r="BH312">
            <v>0</v>
          </cell>
          <cell r="BJ312">
            <v>0</v>
          </cell>
          <cell r="BL312">
            <v>0</v>
          </cell>
          <cell r="BM312">
            <v>0</v>
          </cell>
          <cell r="BN312">
            <v>0</v>
          </cell>
          <cell r="BO312">
            <v>0</v>
          </cell>
          <cell r="BQ312">
            <v>0</v>
          </cell>
          <cell r="BR312">
            <v>0</v>
          </cell>
          <cell r="BS312">
            <v>0</v>
          </cell>
          <cell r="BT312">
            <v>0</v>
          </cell>
          <cell r="CB312">
            <v>0</v>
          </cell>
          <cell r="CC312">
            <v>0</v>
          </cell>
          <cell r="CD312">
            <v>0</v>
          </cell>
          <cell r="CE312">
            <v>0</v>
          </cell>
          <cell r="CF312">
            <v>0</v>
          </cell>
          <cell r="CI312">
            <v>0</v>
          </cell>
          <cell r="CJ312">
            <v>0</v>
          </cell>
          <cell r="CK312">
            <v>0</v>
          </cell>
          <cell r="CV312">
            <v>9.258285831309454E-4</v>
          </cell>
          <cell r="DG312">
            <v>40276690</v>
          </cell>
          <cell r="DR312">
            <v>14678204.360000007</v>
          </cell>
          <cell r="EC312">
            <v>2.7439793732371758</v>
          </cell>
          <cell r="EN312">
            <v>2.4095909012463064E-2</v>
          </cell>
        </row>
        <row r="313">
          <cell r="B313">
            <v>98103</v>
          </cell>
          <cell r="C313" t="str">
            <v>RUTHERFORD POLK MCDOWELL DIST BRD OF HEALTH</v>
          </cell>
          <cell r="D313">
            <v>1.8631247831975222E-4</v>
          </cell>
          <cell r="E313">
            <v>322364.02978742868</v>
          </cell>
          <cell r="F313">
            <v>251354.62690424477</v>
          </cell>
          <cell r="G313">
            <v>-64418</v>
          </cell>
          <cell r="H313">
            <v>-89951.01896791099</v>
          </cell>
          <cell r="I313">
            <v>-3722.3428842944581</v>
          </cell>
          <cell r="J313">
            <v>272030.14198526251</v>
          </cell>
          <cell r="K313">
            <v>0</v>
          </cell>
          <cell r="L313">
            <v>-14292.915253471296</v>
          </cell>
          <cell r="M313">
            <v>2564.9660617109944</v>
          </cell>
          <cell r="N313">
            <v>96.692449998385001</v>
          </cell>
          <cell r="O313">
            <v>-43.636245547269169</v>
          </cell>
          <cell r="P313">
            <v>0</v>
          </cell>
          <cell r="Q313">
            <v>0</v>
          </cell>
          <cell r="R313">
            <v>0</v>
          </cell>
          <cell r="S313">
            <v>675982.54383742122</v>
          </cell>
          <cell r="T313">
            <v>26595.550000000017</v>
          </cell>
          <cell r="U313">
            <v>1360150.7099263126</v>
          </cell>
          <cell r="V313">
            <v>10259.864246843978</v>
          </cell>
          <cell r="W313">
            <v>0</v>
          </cell>
          <cell r="X313">
            <v>1397006.1241731567</v>
          </cell>
          <cell r="Y313">
            <v>348687</v>
          </cell>
          <cell r="Z313">
            <v>0</v>
          </cell>
          <cell r="AA313">
            <v>0</v>
          </cell>
          <cell r="AB313">
            <v>18611.71442147229</v>
          </cell>
          <cell r="AC313">
            <v>367298.71442147228</v>
          </cell>
          <cell r="AD313" t="str">
            <v>N/A</v>
          </cell>
          <cell r="AE313">
            <v>206455</v>
          </cell>
          <cell r="AF313">
            <v>206454</v>
          </cell>
          <cell r="AG313">
            <v>206454</v>
          </cell>
          <cell r="AH313">
            <v>206454</v>
          </cell>
          <cell r="AI313">
            <v>203889</v>
          </cell>
          <cell r="AJ313">
            <v>0</v>
          </cell>
          <cell r="AK313">
            <v>1029706</v>
          </cell>
          <cell r="AL313">
            <v>6595520</v>
          </cell>
          <cell r="AM313">
            <v>675982.54383742122</v>
          </cell>
          <cell r="AN313">
            <v>-195983.55000000002</v>
          </cell>
          <cell r="AO313">
            <v>1351798.8597516841</v>
          </cell>
          <cell r="AP313">
            <v>0</v>
          </cell>
          <cell r="AQ313">
            <v>-322091.44999999995</v>
          </cell>
          <cell r="AR313">
            <v>0</v>
          </cell>
          <cell r="AS313">
            <v>0</v>
          </cell>
          <cell r="AT313">
            <v>8105226.4035891062</v>
          </cell>
          <cell r="AU313">
            <v>1.9893290443215818E-4</v>
          </cell>
          <cell r="AV313">
            <v>0</v>
          </cell>
          <cell r="AW313">
            <v>0</v>
          </cell>
          <cell r="AY313">
            <v>0</v>
          </cell>
          <cell r="AZ313">
            <v>0</v>
          </cell>
          <cell r="BA313">
            <v>0</v>
          </cell>
          <cell r="BB313">
            <v>0</v>
          </cell>
          <cell r="BC313">
            <v>0</v>
          </cell>
          <cell r="BD313">
            <v>0</v>
          </cell>
          <cell r="BE313">
            <v>0</v>
          </cell>
          <cell r="BF313">
            <v>0</v>
          </cell>
          <cell r="BG313">
            <v>0</v>
          </cell>
          <cell r="BH313">
            <v>0</v>
          </cell>
          <cell r="BJ313">
            <v>0</v>
          </cell>
          <cell r="BL313">
            <v>0</v>
          </cell>
          <cell r="BM313">
            <v>0</v>
          </cell>
          <cell r="BN313">
            <v>0</v>
          </cell>
          <cell r="BO313">
            <v>0</v>
          </cell>
          <cell r="BQ313">
            <v>0</v>
          </cell>
          <cell r="BR313">
            <v>0</v>
          </cell>
          <cell r="BS313">
            <v>0</v>
          </cell>
          <cell r="BT313">
            <v>0</v>
          </cell>
          <cell r="CB313">
            <v>0</v>
          </cell>
          <cell r="CC313">
            <v>0</v>
          </cell>
          <cell r="CD313">
            <v>0</v>
          </cell>
          <cell r="CE313">
            <v>0</v>
          </cell>
          <cell r="CF313">
            <v>0</v>
          </cell>
          <cell r="CI313">
            <v>0</v>
          </cell>
          <cell r="CJ313">
            <v>0</v>
          </cell>
          <cell r="CK313">
            <v>0</v>
          </cell>
          <cell r="CV313">
            <v>1.8631247831975222E-4</v>
          </cell>
          <cell r="DG313">
            <v>8105226</v>
          </cell>
          <cell r="DR313">
            <v>3153137.0500000007</v>
          </cell>
          <cell r="EC313">
            <v>2.5705276591133259</v>
          </cell>
          <cell r="EN313">
            <v>2.4095909012463064E-2</v>
          </cell>
        </row>
        <row r="314">
          <cell r="B314">
            <v>98111</v>
          </cell>
          <cell r="C314" t="str">
            <v>TOWN OF FOREST CITY</v>
          </cell>
          <cell r="D314">
            <v>3.5234750822913259E-4</v>
          </cell>
          <cell r="E314">
            <v>609643.34575254563</v>
          </cell>
          <cell r="F314">
            <v>475352.89783209685</v>
          </cell>
          <cell r="G314">
            <v>-36095</v>
          </cell>
          <cell r="H314">
            <v>-170112.15610379644</v>
          </cell>
          <cell r="I314">
            <v>-7039.5619868502799</v>
          </cell>
          <cell r="J314">
            <v>514453.69390249148</v>
          </cell>
          <cell r="K314">
            <v>0</v>
          </cell>
          <cell r="L314">
            <v>-27030.251115267703</v>
          </cell>
          <cell r="M314">
            <v>4850.7722546909345</v>
          </cell>
          <cell r="N314">
            <v>182.86130982075522</v>
          </cell>
          <cell r="O314">
            <v>-82.523309902345147</v>
          </cell>
          <cell r="P314">
            <v>0</v>
          </cell>
          <cell r="Q314">
            <v>0</v>
          </cell>
          <cell r="R314">
            <v>0</v>
          </cell>
          <cell r="S314">
            <v>1364124.0785358292</v>
          </cell>
          <cell r="T314">
            <v>4384.5199999999604</v>
          </cell>
          <cell r="U314">
            <v>2572268.469512457</v>
          </cell>
          <cell r="V314">
            <v>19403.089018763738</v>
          </cell>
          <cell r="W314">
            <v>0</v>
          </cell>
          <cell r="X314">
            <v>2596056.0785312206</v>
          </cell>
          <cell r="Y314">
            <v>184859</v>
          </cell>
          <cell r="Z314">
            <v>0</v>
          </cell>
          <cell r="AA314">
            <v>0</v>
          </cell>
          <cell r="AB314">
            <v>35197.809934251403</v>
          </cell>
          <cell r="AC314">
            <v>220056.80993425142</v>
          </cell>
          <cell r="AD314" t="str">
            <v>N/A</v>
          </cell>
          <cell r="AE314">
            <v>476170</v>
          </cell>
          <cell r="AF314">
            <v>476170</v>
          </cell>
          <cell r="AG314">
            <v>476170</v>
          </cell>
          <cell r="AH314">
            <v>476170</v>
          </cell>
          <cell r="AI314">
            <v>471319</v>
          </cell>
          <cell r="AJ314">
            <v>0</v>
          </cell>
          <cell r="AK314">
            <v>2375999</v>
          </cell>
          <cell r="AL314">
            <v>11903734</v>
          </cell>
          <cell r="AM314">
            <v>1364124.0785358292</v>
          </cell>
          <cell r="AN314">
            <v>-315543.51999999996</v>
          </cell>
          <cell r="AO314">
            <v>2556473.74859697</v>
          </cell>
          <cell r="AP314">
            <v>0</v>
          </cell>
          <cell r="AQ314">
            <v>-180474.48000000004</v>
          </cell>
          <cell r="AR314">
            <v>0</v>
          </cell>
          <cell r="AS314">
            <v>0</v>
          </cell>
          <cell r="AT314">
            <v>15328313.827132799</v>
          </cell>
          <cell r="AU314">
            <v>3.5903834371338485E-4</v>
          </cell>
          <cell r="AV314">
            <v>0</v>
          </cell>
          <cell r="AW314">
            <v>0</v>
          </cell>
          <cell r="AY314">
            <v>0</v>
          </cell>
          <cell r="AZ314">
            <v>0</v>
          </cell>
          <cell r="BA314">
            <v>0</v>
          </cell>
          <cell r="BB314">
            <v>0</v>
          </cell>
          <cell r="BC314">
            <v>0</v>
          </cell>
          <cell r="BD314">
            <v>0</v>
          </cell>
          <cell r="BE314">
            <v>0</v>
          </cell>
          <cell r="BF314">
            <v>0</v>
          </cell>
          <cell r="BG314">
            <v>0</v>
          </cell>
          <cell r="BH314">
            <v>0</v>
          </cell>
          <cell r="BJ314">
            <v>0</v>
          </cell>
          <cell r="BL314">
            <v>0</v>
          </cell>
          <cell r="BM314">
            <v>0</v>
          </cell>
          <cell r="BN314">
            <v>0</v>
          </cell>
          <cell r="BO314">
            <v>0</v>
          </cell>
          <cell r="BQ314">
            <v>0</v>
          </cell>
          <cell r="BR314">
            <v>0</v>
          </cell>
          <cell r="BS314">
            <v>0</v>
          </cell>
          <cell r="BT314">
            <v>0</v>
          </cell>
          <cell r="CB314">
            <v>0</v>
          </cell>
          <cell r="CC314">
            <v>0</v>
          </cell>
          <cell r="CD314">
            <v>0</v>
          </cell>
          <cell r="CE314">
            <v>0</v>
          </cell>
          <cell r="CF314">
            <v>0</v>
          </cell>
          <cell r="CI314">
            <v>0</v>
          </cell>
          <cell r="CJ314">
            <v>0</v>
          </cell>
          <cell r="CK314">
            <v>0</v>
          </cell>
          <cell r="CV314">
            <v>3.5234750822913259E-4</v>
          </cell>
          <cell r="DG314">
            <v>15328314</v>
          </cell>
          <cell r="DR314">
            <v>5413019.1199999982</v>
          </cell>
          <cell r="EC314">
            <v>2.8317494655367121</v>
          </cell>
          <cell r="EN314">
            <v>2.4095909012463064E-2</v>
          </cell>
        </row>
        <row r="315">
          <cell r="B315">
            <v>98131</v>
          </cell>
          <cell r="C315" t="str">
            <v>TOWN OF LAKE LURE</v>
          </cell>
          <cell r="D315">
            <v>9.9225079978338215E-5</v>
          </cell>
          <cell r="E315">
            <v>171682.52457519859</v>
          </cell>
          <cell r="F315">
            <v>133864.80166237435</v>
          </cell>
          <cell r="G315">
            <v>15977</v>
          </cell>
          <cell r="H315">
            <v>-47905.524802831984</v>
          </cell>
          <cell r="I315">
            <v>-1982.421004389369</v>
          </cell>
          <cell r="J315">
            <v>144876.03212857241</v>
          </cell>
          <cell r="K315">
            <v>0</v>
          </cell>
          <cell r="L315">
            <v>-7612.0272347799328</v>
          </cell>
          <cell r="M315">
            <v>1366.0328331750522</v>
          </cell>
          <cell r="N315">
            <v>51.495832007157965</v>
          </cell>
          <cell r="O315">
            <v>-23.239505981726595</v>
          </cell>
          <cell r="P315">
            <v>0</v>
          </cell>
          <cell r="Q315">
            <v>0</v>
          </cell>
          <cell r="R315">
            <v>0</v>
          </cell>
          <cell r="S315">
            <v>410294.67448334448</v>
          </cell>
          <cell r="T315">
            <v>79884.100000000006</v>
          </cell>
          <cell r="U315">
            <v>724380.16064286197</v>
          </cell>
          <cell r="V315">
            <v>5464.131332700209</v>
          </cell>
          <cell r="W315">
            <v>0</v>
          </cell>
          <cell r="X315">
            <v>809728.3919755622</v>
          </cell>
          <cell r="Y315">
            <v>0</v>
          </cell>
          <cell r="Z315">
            <v>0</v>
          </cell>
          <cell r="AA315">
            <v>0</v>
          </cell>
          <cell r="AB315">
            <v>9912.1050219468452</v>
          </cell>
          <cell r="AC315">
            <v>9912.1050219468452</v>
          </cell>
          <cell r="AD315" t="str">
            <v>N/A</v>
          </cell>
          <cell r="AE315">
            <v>160237</v>
          </cell>
          <cell r="AF315">
            <v>160237</v>
          </cell>
          <cell r="AG315">
            <v>160237</v>
          </cell>
          <cell r="AH315">
            <v>160237</v>
          </cell>
          <cell r="AI315">
            <v>158871</v>
          </cell>
          <cell r="AJ315">
            <v>0</v>
          </cell>
          <cell r="AK315">
            <v>799819</v>
          </cell>
          <cell r="AL315">
            <v>3199476</v>
          </cell>
          <cell r="AM315">
            <v>410294.67448334448</v>
          </cell>
          <cell r="AN315">
            <v>-92959.1</v>
          </cell>
          <cell r="AO315">
            <v>719932.1869536154</v>
          </cell>
          <cell r="AP315">
            <v>0</v>
          </cell>
          <cell r="AQ315">
            <v>79884.100000000006</v>
          </cell>
          <cell r="AR315">
            <v>0</v>
          </cell>
          <cell r="AS315">
            <v>0</v>
          </cell>
          <cell r="AT315">
            <v>4316627.8614369594</v>
          </cell>
          <cell r="AU315">
            <v>9.6502026993711769E-5</v>
          </cell>
          <cell r="AV315">
            <v>0</v>
          </cell>
          <cell r="AW315">
            <v>0</v>
          </cell>
          <cell r="AY315">
            <v>0</v>
          </cell>
          <cell r="AZ315">
            <v>0</v>
          </cell>
          <cell r="BA315">
            <v>0</v>
          </cell>
          <cell r="BB315">
            <v>0</v>
          </cell>
          <cell r="BC315">
            <v>0</v>
          </cell>
          <cell r="BD315">
            <v>0</v>
          </cell>
          <cell r="BE315">
            <v>0</v>
          </cell>
          <cell r="BF315">
            <v>0</v>
          </cell>
          <cell r="BG315">
            <v>0</v>
          </cell>
          <cell r="BH315">
            <v>0</v>
          </cell>
          <cell r="BJ315">
            <v>0</v>
          </cell>
          <cell r="BL315">
            <v>0</v>
          </cell>
          <cell r="BM315">
            <v>0</v>
          </cell>
          <cell r="BN315">
            <v>0</v>
          </cell>
          <cell r="BO315">
            <v>0</v>
          </cell>
          <cell r="BQ315">
            <v>0</v>
          </cell>
          <cell r="BR315">
            <v>0</v>
          </cell>
          <cell r="BS315">
            <v>0</v>
          </cell>
          <cell r="BT315">
            <v>0</v>
          </cell>
          <cell r="CB315">
            <v>0</v>
          </cell>
          <cell r="CC315">
            <v>0</v>
          </cell>
          <cell r="CD315">
            <v>0</v>
          </cell>
          <cell r="CE315">
            <v>0</v>
          </cell>
          <cell r="CF315">
            <v>0</v>
          </cell>
          <cell r="CI315">
            <v>0</v>
          </cell>
          <cell r="CJ315">
            <v>0</v>
          </cell>
          <cell r="CK315">
            <v>0</v>
          </cell>
          <cell r="CV315">
            <v>9.9225079978338215E-5</v>
          </cell>
          <cell r="DG315">
            <v>4316628</v>
          </cell>
          <cell r="DR315">
            <v>1643984.0100000002</v>
          </cell>
          <cell r="EC315">
            <v>2.625711669786861</v>
          </cell>
          <cell r="EN315">
            <v>2.4095909012463064E-2</v>
          </cell>
        </row>
        <row r="316">
          <cell r="B316">
            <v>99401</v>
          </cell>
          <cell r="C316" t="str">
            <v>WASHINGTON COUNTY</v>
          </cell>
          <cell r="D316">
            <v>3.0393401755955164E-4</v>
          </cell>
          <cell r="E316">
            <v>525876.71836896474</v>
          </cell>
          <cell r="F316">
            <v>410038.13741384877</v>
          </cell>
          <cell r="G316">
            <v>-33120</v>
          </cell>
          <cell r="H316">
            <v>-146738.29055922237</v>
          </cell>
          <cell r="I316">
            <v>-6072.3073288531441</v>
          </cell>
          <cell r="J316">
            <v>443766.37945302197</v>
          </cell>
          <cell r="K316">
            <v>0</v>
          </cell>
          <cell r="L316">
            <v>-23316.222267036323</v>
          </cell>
          <cell r="M316">
            <v>4184.2631640688924</v>
          </cell>
          <cell r="N316">
            <v>157.73567643305611</v>
          </cell>
          <cell r="O316">
            <v>-71.184386252622588</v>
          </cell>
          <cell r="P316">
            <v>0</v>
          </cell>
          <cell r="Q316">
            <v>0</v>
          </cell>
          <cell r="R316">
            <v>0</v>
          </cell>
          <cell r="S316">
            <v>1174705.2295349727</v>
          </cell>
          <cell r="T316">
            <v>41421.440000000002</v>
          </cell>
          <cell r="U316">
            <v>2218831.8972651102</v>
          </cell>
          <cell r="V316">
            <v>16737.052656275569</v>
          </cell>
          <cell r="W316">
            <v>0</v>
          </cell>
          <cell r="X316">
            <v>2276990.3899213858</v>
          </cell>
          <cell r="Y316">
            <v>207021</v>
          </cell>
          <cell r="Z316">
            <v>0</v>
          </cell>
          <cell r="AA316">
            <v>0</v>
          </cell>
          <cell r="AB316">
            <v>30361.536644265718</v>
          </cell>
          <cell r="AC316">
            <v>237382.53664426573</v>
          </cell>
          <cell r="AD316" t="str">
            <v>N/A</v>
          </cell>
          <cell r="AE316">
            <v>408758</v>
          </cell>
          <cell r="AF316">
            <v>408758</v>
          </cell>
          <cell r="AG316">
            <v>408758</v>
          </cell>
          <cell r="AH316">
            <v>408758</v>
          </cell>
          <cell r="AI316">
            <v>404574</v>
          </cell>
          <cell r="AJ316">
            <v>0</v>
          </cell>
          <cell r="AK316">
            <v>2039606</v>
          </cell>
          <cell r="AL316">
            <v>10325203</v>
          </cell>
          <cell r="AM316">
            <v>1174705.2295349727</v>
          </cell>
          <cell r="AN316">
            <v>-317353.44</v>
          </cell>
          <cell r="AO316">
            <v>2205207.4132771199</v>
          </cell>
          <cell r="AP316">
            <v>0</v>
          </cell>
          <cell r="AQ316">
            <v>-165599.56</v>
          </cell>
          <cell r="AR316">
            <v>0</v>
          </cell>
          <cell r="AS316">
            <v>0</v>
          </cell>
          <cell r="AT316">
            <v>13222162.642812092</v>
          </cell>
          <cell r="AU316">
            <v>3.1142695851709573E-4</v>
          </cell>
          <cell r="AV316">
            <v>0</v>
          </cell>
          <cell r="AW316">
            <v>0</v>
          </cell>
          <cell r="AY316">
            <v>0</v>
          </cell>
          <cell r="AZ316">
            <v>0</v>
          </cell>
          <cell r="BA316">
            <v>0</v>
          </cell>
          <cell r="BB316">
            <v>0</v>
          </cell>
          <cell r="BC316">
            <v>0</v>
          </cell>
          <cell r="BD316">
            <v>0</v>
          </cell>
          <cell r="BE316">
            <v>0</v>
          </cell>
          <cell r="BF316">
            <v>0</v>
          </cell>
          <cell r="BG316">
            <v>0</v>
          </cell>
          <cell r="BH316">
            <v>0</v>
          </cell>
          <cell r="BJ316">
            <v>0</v>
          </cell>
          <cell r="BL316">
            <v>0</v>
          </cell>
          <cell r="BM316">
            <v>0</v>
          </cell>
          <cell r="BN316">
            <v>0</v>
          </cell>
          <cell r="BO316">
            <v>0</v>
          </cell>
          <cell r="BQ316">
            <v>0</v>
          </cell>
          <cell r="BR316">
            <v>0</v>
          </cell>
          <cell r="BS316">
            <v>0</v>
          </cell>
          <cell r="BT316">
            <v>0</v>
          </cell>
          <cell r="CB316">
            <v>0</v>
          </cell>
          <cell r="CC316">
            <v>0</v>
          </cell>
          <cell r="CD316">
            <v>0</v>
          </cell>
          <cell r="CE316">
            <v>0</v>
          </cell>
          <cell r="CF316">
            <v>0</v>
          </cell>
          <cell r="CI316">
            <v>0</v>
          </cell>
          <cell r="CJ316">
            <v>0</v>
          </cell>
          <cell r="CK316">
            <v>0</v>
          </cell>
          <cell r="CV316">
            <v>3.0393401755955164E-4</v>
          </cell>
          <cell r="DG316">
            <v>13222163</v>
          </cell>
          <cell r="DR316">
            <v>5152816.6399999987</v>
          </cell>
          <cell r="EC316">
            <v>2.5660068897774719</v>
          </cell>
          <cell r="EN316">
            <v>2.4095909012463064E-2</v>
          </cell>
        </row>
        <row r="317">
          <cell r="B317">
            <v>99521</v>
          </cell>
          <cell r="C317" t="str">
            <v>TOWN OF BLOWING ROCK</v>
          </cell>
          <cell r="D317">
            <v>1.3525538694290887E-4</v>
          </cell>
          <cell r="E317">
            <v>234023.35677455043</v>
          </cell>
          <cell r="F317">
            <v>182473.37821075972</v>
          </cell>
          <cell r="G317">
            <v>-56873</v>
          </cell>
          <cell r="H317">
            <v>-65300.832161835402</v>
          </cell>
          <cell r="I317">
            <v>-2702.2716443359905</v>
          </cell>
          <cell r="J317">
            <v>197482.97293971636</v>
          </cell>
          <cell r="K317">
            <v>0</v>
          </cell>
          <cell r="L317">
            <v>-10376.083237069548</v>
          </cell>
          <cell r="M317">
            <v>1862.0624893237209</v>
          </cell>
          <cell r="N317">
            <v>70.194840715630846</v>
          </cell>
          <cell r="O317">
            <v>-31.678164175898686</v>
          </cell>
          <cell r="P317">
            <v>0</v>
          </cell>
          <cell r="Q317">
            <v>0</v>
          </cell>
          <cell r="R317">
            <v>0</v>
          </cell>
          <cell r="S317">
            <v>480628.100047649</v>
          </cell>
          <cell r="T317">
            <v>4920.0599999999977</v>
          </cell>
          <cell r="U317">
            <v>987414.86469858186</v>
          </cell>
          <cell r="V317">
            <v>7448.2499572948836</v>
          </cell>
          <cell r="W317">
            <v>0</v>
          </cell>
          <cell r="X317">
            <v>999783.17465587682</v>
          </cell>
          <cell r="Y317">
            <v>289284</v>
          </cell>
          <cell r="Z317">
            <v>0</v>
          </cell>
          <cell r="AA317">
            <v>0</v>
          </cell>
          <cell r="AB317">
            <v>13511.358221679951</v>
          </cell>
          <cell r="AC317">
            <v>302795.35822167993</v>
          </cell>
          <cell r="AD317" t="str">
            <v>N/A</v>
          </cell>
          <cell r="AE317">
            <v>139770</v>
          </cell>
          <cell r="AF317">
            <v>139770</v>
          </cell>
          <cell r="AG317">
            <v>139770</v>
          </cell>
          <cell r="AH317">
            <v>139770</v>
          </cell>
          <cell r="AI317">
            <v>137908</v>
          </cell>
          <cell r="AJ317">
            <v>0</v>
          </cell>
          <cell r="AK317">
            <v>696988</v>
          </cell>
          <cell r="AL317">
            <v>4831465</v>
          </cell>
          <cell r="AM317">
            <v>480628.100047649</v>
          </cell>
          <cell r="AN317">
            <v>-125012.06</v>
          </cell>
          <cell r="AO317">
            <v>981351.75643419684</v>
          </cell>
          <cell r="AP317">
            <v>0</v>
          </cell>
          <cell r="AQ317">
            <v>-284363.94</v>
          </cell>
          <cell r="AR317">
            <v>0</v>
          </cell>
          <cell r="AS317">
            <v>0</v>
          </cell>
          <cell r="AT317">
            <v>5884068.8564818455</v>
          </cell>
          <cell r="AU317">
            <v>1.4572579770305455E-4</v>
          </cell>
          <cell r="AV317">
            <v>0</v>
          </cell>
          <cell r="AW317">
            <v>0</v>
          </cell>
          <cell r="AY317">
            <v>0</v>
          </cell>
          <cell r="AZ317">
            <v>0</v>
          </cell>
          <cell r="BA317">
            <v>0</v>
          </cell>
          <cell r="BB317">
            <v>0</v>
          </cell>
          <cell r="BC317">
            <v>0</v>
          </cell>
          <cell r="BD317">
            <v>0</v>
          </cell>
          <cell r="BE317">
            <v>0</v>
          </cell>
          <cell r="BF317">
            <v>0</v>
          </cell>
          <cell r="BG317">
            <v>0</v>
          </cell>
          <cell r="BH317">
            <v>0</v>
          </cell>
          <cell r="BJ317">
            <v>0</v>
          </cell>
          <cell r="BL317">
            <v>0</v>
          </cell>
          <cell r="BM317">
            <v>0</v>
          </cell>
          <cell r="BN317">
            <v>0</v>
          </cell>
          <cell r="BO317">
            <v>0</v>
          </cell>
          <cell r="BQ317">
            <v>0</v>
          </cell>
          <cell r="BR317">
            <v>0</v>
          </cell>
          <cell r="BS317">
            <v>0</v>
          </cell>
          <cell r="BT317">
            <v>0</v>
          </cell>
          <cell r="CB317">
            <v>0</v>
          </cell>
          <cell r="CC317">
            <v>0</v>
          </cell>
          <cell r="CD317">
            <v>0</v>
          </cell>
          <cell r="CE317">
            <v>0</v>
          </cell>
          <cell r="CF317">
            <v>0</v>
          </cell>
          <cell r="CI317">
            <v>0</v>
          </cell>
          <cell r="CJ317">
            <v>0</v>
          </cell>
          <cell r="CK317">
            <v>0</v>
          </cell>
          <cell r="CV317">
            <v>1.3525538694290887E-4</v>
          </cell>
          <cell r="DG317">
            <v>5884069</v>
          </cell>
          <cell r="DR317">
            <v>1946333.6400000004</v>
          </cell>
          <cell r="EC317">
            <v>3.0231553722721447</v>
          </cell>
          <cell r="EN317">
            <v>2.4095909012463064E-2</v>
          </cell>
        </row>
        <row r="318">
          <cell r="B318">
            <v>99831</v>
          </cell>
          <cell r="C318" t="str">
            <v>TOWN OF BLACK CREEK</v>
          </cell>
          <cell r="D318">
            <v>1.7238230840836887E-5</v>
          </cell>
          <cell r="E318">
            <v>29826.158775694741</v>
          </cell>
          <cell r="F318">
            <v>23256.140010394789</v>
          </cell>
          <cell r="G318">
            <v>3924</v>
          </cell>
          <cell r="H318">
            <v>-8322.5581202145277</v>
          </cell>
          <cell r="I318">
            <v>-344.40315800045761</v>
          </cell>
          <cell r="J318">
            <v>25169.105287514409</v>
          </cell>
          <cell r="K318">
            <v>0</v>
          </cell>
          <cell r="L318">
            <v>-1322.4265746978474</v>
          </cell>
          <cell r="M318">
            <v>237.31892500943033</v>
          </cell>
          <cell r="N318">
            <v>8.9462970417775267</v>
          </cell>
          <cell r="O318">
            <v>-4.0373660452324076</v>
          </cell>
          <cell r="P318">
            <v>0</v>
          </cell>
          <cell r="Q318">
            <v>0</v>
          </cell>
          <cell r="R318">
            <v>0</v>
          </cell>
          <cell r="S318">
            <v>72428.244076697083</v>
          </cell>
          <cell r="T318">
            <v>19617.890000000003</v>
          </cell>
          <cell r="U318">
            <v>125845.52643757204</v>
          </cell>
          <cell r="V318">
            <v>949.27570003772132</v>
          </cell>
          <cell r="W318">
            <v>0</v>
          </cell>
          <cell r="X318">
            <v>146412.69213760976</v>
          </cell>
          <cell r="Y318">
            <v>0</v>
          </cell>
          <cell r="Z318">
            <v>0</v>
          </cell>
          <cell r="AA318">
            <v>0</v>
          </cell>
          <cell r="AB318">
            <v>1722.015790002288</v>
          </cell>
          <cell r="AC318">
            <v>1722.015790002288</v>
          </cell>
          <cell r="AD318" t="str">
            <v>N/A</v>
          </cell>
          <cell r="AE318">
            <v>28986</v>
          </cell>
          <cell r="AF318">
            <v>28986</v>
          </cell>
          <cell r="AG318">
            <v>28986</v>
          </cell>
          <cell r="AH318">
            <v>28986</v>
          </cell>
          <cell r="AI318">
            <v>28749</v>
          </cell>
          <cell r="AJ318">
            <v>0</v>
          </cell>
          <cell r="AK318">
            <v>144693</v>
          </cell>
          <cell r="AL318">
            <v>552369</v>
          </cell>
          <cell r="AM318">
            <v>72428.244076697083</v>
          </cell>
          <cell r="AN318">
            <v>-19565.890000000003</v>
          </cell>
          <cell r="AO318">
            <v>125072.78634760749</v>
          </cell>
          <cell r="AP318">
            <v>0</v>
          </cell>
          <cell r="AQ318">
            <v>19617.890000000003</v>
          </cell>
          <cell r="AR318">
            <v>0</v>
          </cell>
          <cell r="AS318">
            <v>0</v>
          </cell>
          <cell r="AT318">
            <v>749922.03042430454</v>
          </cell>
          <cell r="AU318">
            <v>1.6660467659682047E-5</v>
          </cell>
          <cell r="AV318">
            <v>0</v>
          </cell>
          <cell r="AW318">
            <v>0</v>
          </cell>
          <cell r="AY318">
            <v>0</v>
          </cell>
          <cell r="AZ318">
            <v>0</v>
          </cell>
          <cell r="BA318">
            <v>0</v>
          </cell>
          <cell r="BB318">
            <v>0</v>
          </cell>
          <cell r="BC318">
            <v>0</v>
          </cell>
          <cell r="BD318">
            <v>0</v>
          </cell>
          <cell r="BE318">
            <v>0</v>
          </cell>
          <cell r="BF318">
            <v>0</v>
          </cell>
          <cell r="BG318">
            <v>0</v>
          </cell>
          <cell r="BH318">
            <v>0</v>
          </cell>
          <cell r="BJ318">
            <v>0</v>
          </cell>
          <cell r="BL318">
            <v>0</v>
          </cell>
          <cell r="BM318">
            <v>0</v>
          </cell>
          <cell r="BN318">
            <v>0</v>
          </cell>
          <cell r="BO318">
            <v>0</v>
          </cell>
          <cell r="BQ318">
            <v>0</v>
          </cell>
          <cell r="BR318">
            <v>0</v>
          </cell>
          <cell r="BS318">
            <v>0</v>
          </cell>
          <cell r="BT318">
            <v>0</v>
          </cell>
          <cell r="CB318">
            <v>0</v>
          </cell>
          <cell r="CC318">
            <v>0</v>
          </cell>
          <cell r="CD318">
            <v>0</v>
          </cell>
          <cell r="CE318">
            <v>0</v>
          </cell>
          <cell r="CF318">
            <v>0</v>
          </cell>
          <cell r="CI318">
            <v>0</v>
          </cell>
          <cell r="CJ318">
            <v>0</v>
          </cell>
          <cell r="CK318">
            <v>0</v>
          </cell>
          <cell r="CV318">
            <v>1.7238230840836887E-5</v>
          </cell>
          <cell r="DG318">
            <v>749922</v>
          </cell>
          <cell r="DR318">
            <v>277867.58999999997</v>
          </cell>
          <cell r="EC318">
            <v>2.6988465981225089</v>
          </cell>
          <cell r="EN318">
            <v>2.4095909012463064E-2</v>
          </cell>
        </row>
      </sheetData>
      <sheetData sheetId="24"/>
      <sheetData sheetId="25"/>
      <sheetData sheetId="26"/>
      <sheetData sheetId="27">
        <row r="4">
          <cell r="D4">
            <v>2</v>
          </cell>
        </row>
        <row r="7">
          <cell r="D7" t="str">
            <v>North Carolina State Health Plan</v>
          </cell>
        </row>
        <row r="8">
          <cell r="D8" t="str">
            <v>SHPNC</v>
          </cell>
        </row>
        <row r="9">
          <cell r="D9" t="str">
            <v>Client_GASB</v>
          </cell>
        </row>
        <row r="10">
          <cell r="D10" t="str">
            <v>Committee on Actuarial Valuation of Retired Employees' Health Benefits (OPEB)\nState of North Carolina</v>
          </cell>
        </row>
        <row r="11">
          <cell r="D11" t="str">
            <v>4901 Glenwood Avenue, Suite 300</v>
          </cell>
        </row>
        <row r="12">
          <cell r="D12" t="str">
            <v>Raleigh, North Carolina 27612</v>
          </cell>
        </row>
        <row r="17">
          <cell r="D17" t="str">
            <v>Kenneth C. Vieira</v>
          </cell>
        </row>
        <row r="18">
          <cell r="D18" t="str">
            <v>Senior Vice President and Actuary</v>
          </cell>
        </row>
        <row r="19">
          <cell r="D19" t="str">
            <v>FCA, FSA, MAAA</v>
          </cell>
        </row>
        <row r="20">
          <cell r="D20" t="str">
            <v>MAP</v>
          </cell>
        </row>
        <row r="21">
          <cell r="D21" t="str">
            <v>DAB</v>
          </cell>
        </row>
        <row r="22">
          <cell r="D22" t="str">
            <v>David A. Berger, FCA, ASA, MAAA, EA</v>
          </cell>
        </row>
        <row r="23">
          <cell r="D23" t="str">
            <v>Vice President and Associate Actuary</v>
          </cell>
        </row>
        <row r="24">
          <cell r="D24" t="str">
            <v>Atlanta</v>
          </cell>
        </row>
        <row r="30">
          <cell r="D30">
            <v>42551</v>
          </cell>
          <cell r="E30">
            <v>42185</v>
          </cell>
        </row>
        <row r="31">
          <cell r="D31">
            <v>42551</v>
          </cell>
          <cell r="E31">
            <v>42185</v>
          </cell>
          <cell r="F31">
            <v>41820</v>
          </cell>
        </row>
        <row r="32">
          <cell r="D32">
            <v>42369</v>
          </cell>
          <cell r="E32">
            <v>42004</v>
          </cell>
        </row>
        <row r="33">
          <cell r="D33">
            <v>42369</v>
          </cell>
          <cell r="E33">
            <v>42004</v>
          </cell>
        </row>
        <row r="34">
          <cell r="F34" t="b">
            <v>0</v>
          </cell>
        </row>
        <row r="36">
          <cell r="D36">
            <v>0.5</v>
          </cell>
        </row>
        <row r="37">
          <cell r="D37">
            <v>0.5</v>
          </cell>
          <cell r="F37">
            <v>0.5</v>
          </cell>
        </row>
        <row r="38">
          <cell r="D38">
            <v>3.5000000000000003E-2</v>
          </cell>
          <cell r="E38">
            <v>3.5000000000000003E-2</v>
          </cell>
        </row>
        <row r="39">
          <cell r="D39">
            <v>4.4999999999999998E-2</v>
          </cell>
          <cell r="E39">
            <v>4.4999999999999998E-2</v>
          </cell>
        </row>
        <row r="40">
          <cell r="D40">
            <v>0</v>
          </cell>
        </row>
        <row r="41">
          <cell r="D41">
            <v>0</v>
          </cell>
        </row>
        <row r="47">
          <cell r="D47">
            <v>3.7999999999999999E-2</v>
          </cell>
          <cell r="E47">
            <v>2.8500000000000001E-2</v>
          </cell>
          <cell r="F47">
            <v>2.8500000000000001E-2</v>
          </cell>
          <cell r="G47">
            <v>3.85E-2</v>
          </cell>
          <cell r="H47">
            <v>1.8499999999999999E-2</v>
          </cell>
          <cell r="I47">
            <v>3.7999999999999999E-2</v>
          </cell>
        </row>
        <row r="52">
          <cell r="D52">
            <v>42916</v>
          </cell>
          <cell r="E52">
            <v>42551</v>
          </cell>
        </row>
        <row r="53">
          <cell r="E53">
            <v>7.2499999999999995E-2</v>
          </cell>
        </row>
        <row r="54">
          <cell r="D54">
            <v>6</v>
          </cell>
        </row>
        <row r="65">
          <cell r="D65">
            <v>1</v>
          </cell>
        </row>
        <row r="75">
          <cell r="K75" t="str">
            <v>Atlanta</v>
          </cell>
          <cell r="L75" t="str">
            <v>2018 Powers Ferry Road, Suite 850</v>
          </cell>
          <cell r="M75" t="str">
            <v>Atlanta, GA  30339</v>
          </cell>
          <cell r="N75" t="str">
            <v>678.306.3100</v>
          </cell>
          <cell r="O75" t="str">
            <v>678-669-1887</v>
          </cell>
        </row>
        <row r="76">
          <cell r="K76" t="str">
            <v>Boston</v>
          </cell>
          <cell r="L76" t="str">
            <v>116 Huntington Ave., 8th Floor</v>
          </cell>
          <cell r="M76" t="str">
            <v>Boston, MA  02116</v>
          </cell>
          <cell r="N76" t="str">
            <v>617.424.7300</v>
          </cell>
          <cell r="O76" t="str">
            <v>617.904.1833</v>
          </cell>
        </row>
        <row r="77">
          <cell r="K77" t="str">
            <v>Chicago</v>
          </cell>
          <cell r="L77" t="str">
            <v>101 North Wacker Drive, Suite 500</v>
          </cell>
          <cell r="M77" t="str">
            <v>Chicago, IL  60606</v>
          </cell>
          <cell r="N77" t="str">
            <v>312.984.8500</v>
          </cell>
          <cell r="O77" t="str">
            <v>312.896.9364</v>
          </cell>
        </row>
        <row r="78">
          <cell r="K78" t="str">
            <v>Cleveland</v>
          </cell>
          <cell r="L78" t="str">
            <v>1300 East Ninth Street, Suite 1900</v>
          </cell>
          <cell r="M78" t="str">
            <v>Cleveland, OH  44114</v>
          </cell>
          <cell r="N78" t="str">
            <v>216.687.4400</v>
          </cell>
          <cell r="O78" t="str">
            <v>216.916.4320</v>
          </cell>
        </row>
        <row r="79">
          <cell r="K79" t="str">
            <v>Denver</v>
          </cell>
          <cell r="L79" t="str">
            <v>5990 Greenwood Plaza Blvd., Suite 118</v>
          </cell>
          <cell r="M79" t="str">
            <v>Greenwood Village, CO  80111</v>
          </cell>
          <cell r="N79" t="str">
            <v>303.714.9900</v>
          </cell>
          <cell r="O79" t="str">
            <v>303.223.9234</v>
          </cell>
        </row>
        <row r="80">
          <cell r="K80" t="str">
            <v>Detroit</v>
          </cell>
          <cell r="L80" t="str">
            <v>40701 Woodward Avenue, Suite 100</v>
          </cell>
          <cell r="M80" t="str">
            <v>Bloomfield Hills, MI 48304-5078</v>
          </cell>
          <cell r="N80" t="str">
            <v>248.530.6370</v>
          </cell>
          <cell r="O80" t="str">
            <v>248.562.3223</v>
          </cell>
        </row>
        <row r="81">
          <cell r="K81" t="str">
            <v>Hartford</v>
          </cell>
          <cell r="L81" t="str">
            <v>30 Waterside Drive, Suite 300</v>
          </cell>
          <cell r="M81" t="str">
            <v>Farmington, CT  06032</v>
          </cell>
          <cell r="N81" t="str">
            <v>860.678.3000</v>
          </cell>
          <cell r="O81" t="str">
            <v>860.371.3429</v>
          </cell>
        </row>
        <row r="82">
          <cell r="K82" t="str">
            <v>Houston</v>
          </cell>
          <cell r="L82" t="str">
            <v>10740 North Gessner Drive, Suite 320</v>
          </cell>
          <cell r="M82" t="str">
            <v>Houston, TX  77064-1187</v>
          </cell>
          <cell r="N82" t="str">
            <v xml:space="preserve">281.671.5600 </v>
          </cell>
          <cell r="O82" t="str">
            <v>281.754.4722</v>
          </cell>
        </row>
        <row r="83">
          <cell r="K83" t="str">
            <v>Los Angeles</v>
          </cell>
          <cell r="L83" t="str">
            <v>330 North Brand Boulevard, Suite 1100</v>
          </cell>
          <cell r="M83" t="str">
            <v>Glendale, CA  91203</v>
          </cell>
          <cell r="N83" t="str">
            <v>818.956.6700</v>
          </cell>
          <cell r="O83" t="str">
            <v>818.484.2697</v>
          </cell>
        </row>
        <row r="84">
          <cell r="K84" t="str">
            <v>Minneapolis</v>
          </cell>
          <cell r="L84" t="str">
            <v>3800 American Boulevard West, Suite 870</v>
          </cell>
          <cell r="M84" t="str">
            <v>Bloomington, MN  55431</v>
          </cell>
          <cell r="N84" t="str">
            <v>952.259.2600</v>
          </cell>
          <cell r="O84" t="str">
            <v>952.487.0476</v>
          </cell>
        </row>
        <row r="85">
          <cell r="K85" t="str">
            <v>New Orleans</v>
          </cell>
          <cell r="L85" t="str">
            <v>P.O. Box 56268</v>
          </cell>
          <cell r="M85" t="str">
            <v>Metairie, LA  70055</v>
          </cell>
          <cell r="N85" t="str">
            <v>504.483.0744</v>
          </cell>
          <cell r="O85" t="str">
            <v>504.483.0771</v>
          </cell>
        </row>
        <row r="86">
          <cell r="K86" t="str">
            <v>New York</v>
          </cell>
          <cell r="L86" t="str">
            <v>333 West 34th Street</v>
          </cell>
          <cell r="M86" t="str">
            <v>New York, NY  10001</v>
          </cell>
          <cell r="N86" t="str">
            <v>212.251.5000</v>
          </cell>
          <cell r="O86" t="str">
            <v>646.365.3243</v>
          </cell>
        </row>
        <row r="87">
          <cell r="K87" t="str">
            <v>Philadelphia</v>
          </cell>
          <cell r="L87" t="str">
            <v>Two Penn Center, 1500 JFK Boulevard, Suite 200</v>
          </cell>
          <cell r="M87" t="str">
            <v>Philadelphia, PA 19102-1706</v>
          </cell>
          <cell r="N87" t="str">
            <v>215.854.4017</v>
          </cell>
          <cell r="O87" t="str">
            <v>215.854.4018</v>
          </cell>
        </row>
        <row r="88">
          <cell r="K88" t="str">
            <v>Phoenix</v>
          </cell>
          <cell r="L88" t="str">
            <v>1230 W Washington Street, Suite 501</v>
          </cell>
          <cell r="M88" t="str">
            <v>Tempe, AZ  85281</v>
          </cell>
          <cell r="N88" t="str">
            <v>602.381.4000</v>
          </cell>
          <cell r="O88" t="str">
            <v>602.532.7654</v>
          </cell>
        </row>
        <row r="89">
          <cell r="K89" t="str">
            <v>San Francisco</v>
          </cell>
          <cell r="L89" t="str">
            <v>100 Montgomery Street, Suite 500</v>
          </cell>
          <cell r="M89" t="str">
            <v>San Francisco, CA  94104</v>
          </cell>
          <cell r="N89" t="str">
            <v>415.263.8200</v>
          </cell>
          <cell r="O89" t="str">
            <v>415.376.1167</v>
          </cell>
        </row>
        <row r="90">
          <cell r="K90" t="str">
            <v>Toronto</v>
          </cell>
          <cell r="L90" t="str">
            <v>45 St. Clair Avenue West, Suite 802</v>
          </cell>
          <cell r="M90" t="str">
            <v>Toronto, ONT  M4V 1K9</v>
          </cell>
          <cell r="N90" t="str">
            <v>416.961.3264</v>
          </cell>
          <cell r="O90" t="str">
            <v>416.961.2101</v>
          </cell>
        </row>
        <row r="91">
          <cell r="K91" t="str">
            <v>Washington</v>
          </cell>
          <cell r="L91" t="str">
            <v>1800 M Street NW, Suite 900 S</v>
          </cell>
          <cell r="M91" t="str">
            <v>Washington, DC  20036</v>
          </cell>
          <cell r="N91" t="str">
            <v>202.833.6400</v>
          </cell>
          <cell r="O91" t="str">
            <v>202.330.5694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ow"/>
      <sheetName val="Membership"/>
      <sheetName val="Assets"/>
      <sheetName val="Assets Input"/>
      <sheetName val="Liabilities"/>
      <sheetName val="Liabilities Input"/>
      <sheetName val="Results"/>
      <sheetName val="GainLoss"/>
      <sheetName val="Reconciliation"/>
      <sheetName val="ProVal GainLoss"/>
      <sheetName val="NPL"/>
      <sheetName val="68 - SFL"/>
      <sheetName val="68 - SFL TPL Reconciliation"/>
      <sheetName val="68 - ER Contributions"/>
      <sheetName val="68 - Allocation Exhibit"/>
      <sheetName val="68 - Allocation Prior"/>
      <sheetName val="68 - Agency Reconciliation"/>
      <sheetName val="68 - Collect Pens Expense"/>
      <sheetName val="68 - Collect Amort Experience"/>
      <sheetName val="68 - Collect Amort Assump"/>
      <sheetName val="68 - Collect Amort AssetRtn"/>
      <sheetName val="68 - Estab New Paragraph 54"/>
      <sheetName val="68 - Estab New Paragraph 55"/>
      <sheetName val="68 - Maintain Outstanding Bases"/>
      <sheetName val="68 - Summary Exhibit"/>
      <sheetName val="68 - Deferred Amortization"/>
      <sheetName val="GASB 68 (JS Check)"/>
      <sheetName val="Report --&gt;"/>
      <sheetName val="Executive Summary"/>
      <sheetName val="Exec Summary Table"/>
      <sheetName val="Table 1"/>
      <sheetName val="Table 2"/>
      <sheetName val="Table 3"/>
      <sheetName val="Table 4"/>
      <sheetName val="Table 5-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Table 23"/>
      <sheetName val="GASB 25 26 --&gt;"/>
      <sheetName val="GASB 25 27 (1)"/>
      <sheetName val="GASB 25 27 (2)"/>
      <sheetName val="GASB 25 27 (3)"/>
      <sheetName val="GASB 25 27 (4)"/>
      <sheetName val="GASB 67 --&gt;"/>
      <sheetName val="GASB 67 (1.1)"/>
      <sheetName val="GASB 67 (1.2)"/>
      <sheetName val="GASB 67 (3)"/>
    </sheetNames>
    <sheetDataSet>
      <sheetData sheetId="0"/>
      <sheetData sheetId="1"/>
      <sheetData sheetId="2"/>
      <sheetData sheetId="3">
        <row r="39">
          <cell r="L39">
            <v>4249859016</v>
          </cell>
        </row>
        <row r="42">
          <cell r="K42" t="str">
            <v>C</v>
          </cell>
          <cell r="L42">
            <v>329196929</v>
          </cell>
        </row>
        <row r="43">
          <cell r="L43">
            <v>162733483</v>
          </cell>
        </row>
        <row r="44">
          <cell r="L44">
            <v>29528</v>
          </cell>
        </row>
        <row r="45">
          <cell r="K45" t="str">
            <v>C</v>
          </cell>
          <cell r="L45">
            <v>1234415</v>
          </cell>
        </row>
        <row r="46">
          <cell r="K46" t="str">
            <v>C</v>
          </cell>
          <cell r="L46">
            <v>12649523</v>
          </cell>
        </row>
        <row r="47">
          <cell r="L47">
            <v>505843878</v>
          </cell>
        </row>
        <row r="50">
          <cell r="L50">
            <v>272886687</v>
          </cell>
        </row>
        <row r="51">
          <cell r="K51" t="str">
            <v>P</v>
          </cell>
          <cell r="L51">
            <v>48038073</v>
          </cell>
        </row>
        <row r="52">
          <cell r="K52" t="str">
            <v>P</v>
          </cell>
          <cell r="L52">
            <v>3242156</v>
          </cell>
        </row>
        <row r="53">
          <cell r="K53" t="str">
            <v>P</v>
          </cell>
          <cell r="L53">
            <v>21864</v>
          </cell>
        </row>
        <row r="54">
          <cell r="L54">
            <v>324188780</v>
          </cell>
        </row>
        <row r="56">
          <cell r="L56">
            <v>4431514114</v>
          </cell>
        </row>
        <row r="60">
          <cell r="L60">
            <v>15473778789</v>
          </cell>
        </row>
        <row r="65">
          <cell r="L65">
            <v>315973832</v>
          </cell>
        </row>
        <row r="66">
          <cell r="L66">
            <v>70637813</v>
          </cell>
        </row>
        <row r="67">
          <cell r="L67">
            <v>278178</v>
          </cell>
        </row>
        <row r="68">
          <cell r="L68">
            <v>475429</v>
          </cell>
        </row>
        <row r="70">
          <cell r="L70">
            <v>11012485</v>
          </cell>
        </row>
        <row r="71">
          <cell r="L71">
            <v>11130</v>
          </cell>
        </row>
        <row r="72">
          <cell r="K72" t="str">
            <v>C</v>
          </cell>
          <cell r="L72">
            <v>398388867</v>
          </cell>
        </row>
        <row r="74">
          <cell r="L74">
            <v>2388746266</v>
          </cell>
        </row>
        <row r="75">
          <cell r="L75">
            <v>272886687</v>
          </cell>
        </row>
        <row r="76">
          <cell r="K76" t="str">
            <v>C</v>
          </cell>
          <cell r="L76">
            <v>3257736</v>
          </cell>
        </row>
        <row r="77">
          <cell r="K77" t="str">
            <v>C</v>
          </cell>
          <cell r="L77">
            <v>613547</v>
          </cell>
        </row>
        <row r="78">
          <cell r="K78" t="str">
            <v>E</v>
          </cell>
          <cell r="L78">
            <v>815300</v>
          </cell>
        </row>
        <row r="79">
          <cell r="K79" t="str">
            <v>C</v>
          </cell>
          <cell r="L79">
            <v>56441</v>
          </cell>
        </row>
        <row r="80">
          <cell r="K80" t="str">
            <v>E</v>
          </cell>
          <cell r="L80">
            <v>10400</v>
          </cell>
        </row>
        <row r="81">
          <cell r="K81" t="str">
            <v>C</v>
          </cell>
          <cell r="L81">
            <v>139147</v>
          </cell>
        </row>
        <row r="83">
          <cell r="L83">
            <v>3064914391</v>
          </cell>
        </row>
        <row r="86">
          <cell r="K86" t="str">
            <v>P</v>
          </cell>
          <cell r="L86">
            <v>1013743417</v>
          </cell>
        </row>
        <row r="87">
          <cell r="L87">
            <v>29528</v>
          </cell>
        </row>
        <row r="88">
          <cell r="L88">
            <v>162733483</v>
          </cell>
        </row>
        <row r="90">
          <cell r="K90" t="str">
            <v>P</v>
          </cell>
          <cell r="L90">
            <v>3887107</v>
          </cell>
        </row>
        <row r="91">
          <cell r="K91" t="str">
            <v>P</v>
          </cell>
          <cell r="L91">
            <v>19235</v>
          </cell>
        </row>
        <row r="92">
          <cell r="K92" t="str">
            <v>P</v>
          </cell>
          <cell r="L92">
            <v>4322147</v>
          </cell>
        </row>
        <row r="93">
          <cell r="K93" t="str">
            <v>P</v>
          </cell>
          <cell r="L93">
            <v>5989</v>
          </cell>
        </row>
        <row r="94">
          <cell r="K94" t="str">
            <v>P</v>
          </cell>
          <cell r="L94">
            <v>1211288</v>
          </cell>
        </row>
        <row r="95">
          <cell r="L95">
            <v>1185952194</v>
          </cell>
        </row>
      </sheetData>
      <sheetData sheetId="4"/>
      <sheetData sheetId="5"/>
      <sheetData sheetId="6"/>
      <sheetData sheetId="7"/>
      <sheetData sheetId="8"/>
      <sheetData sheetId="9"/>
      <sheetData sheetId="10"/>
      <sheetData sheetId="11"/>
      <sheetData sheetId="12"/>
      <sheetData sheetId="13"/>
      <sheetData sheetId="14">
        <row r="7">
          <cell r="B7">
            <v>70505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ow"/>
      <sheetName val="Membership"/>
      <sheetName val="Assets"/>
      <sheetName val="Assets Input"/>
      <sheetName val="Liabilities"/>
      <sheetName val="Results"/>
      <sheetName val="GainLoss"/>
      <sheetName val="Reconciliation"/>
      <sheetName val="GASB 25 26 --&gt;"/>
      <sheetName val="NPO"/>
      <sheetName val="GASB 25 27 (1)"/>
      <sheetName val="GASB 25 27 (2)"/>
      <sheetName val="GASB 25 27 (3)"/>
      <sheetName val="GASB 25 27 (4.1)"/>
      <sheetName val="GASB 25 27 (4.2)"/>
      <sheetName val="GASB 25 27 (5.1)"/>
      <sheetName val="GASB 25 27 (5.2)"/>
      <sheetName val="GASB 25 27 (6)"/>
      <sheetName val="GASB 67 --&gt;"/>
      <sheetName val="NPL"/>
      <sheetName val="GASB 67 (1.1)"/>
      <sheetName val="GASB 67 (1.2)"/>
      <sheetName val="GASB 67 (2)"/>
      <sheetName val="68 - FutWorkLife"/>
      <sheetName val="68 - Collect Pens Expense"/>
      <sheetName val="68 - Collect Amort Experience"/>
      <sheetName val="68 - Collect Amort Assump"/>
      <sheetName val="68 - Collect Amort AssetRtn"/>
      <sheetName val="Report --&gt;"/>
      <sheetName val="Executive Summary"/>
      <sheetName val="Exec Summary Table"/>
      <sheetName val="Table 1"/>
      <sheetName val="Table 2"/>
      <sheetName val="Table 3"/>
      <sheetName val="Table 4"/>
      <sheetName val="Table 5-6"/>
      <sheetName val="Table 7"/>
      <sheetName val="Table 8"/>
      <sheetName val="Table 9"/>
      <sheetName val="Table 10"/>
      <sheetName val="Table 11"/>
      <sheetName val="Table 12"/>
      <sheetName val="Table 13-14"/>
      <sheetName val="Table 15"/>
      <sheetName val="Table 16"/>
      <sheetName val="Table 17"/>
      <sheetName val="Table 18"/>
      <sheetName val="Table 19"/>
      <sheetName val="Table 20"/>
      <sheetName val="Table 21"/>
      <sheetName val="Table 22"/>
      <sheetName val="Table 23"/>
      <sheetName val="Table 24"/>
      <sheetName val="Table 25"/>
      <sheetName val="Table 26"/>
      <sheetName val="Table 27"/>
      <sheetName val="GASB 68 (1)"/>
      <sheetName val="GASB 68 (2)"/>
      <sheetName val="GASB 68 (3)"/>
      <sheetName val="GASB 68 (4)"/>
      <sheetName val="GASB 68 (5)"/>
    </sheetNames>
    <sheetDataSet>
      <sheetData sheetId="0" refreshError="1"/>
      <sheetData sheetId="1"/>
      <sheetData sheetId="2" refreshError="1"/>
      <sheetData sheetId="3">
        <row r="36">
          <cell r="D36">
            <v>0</v>
          </cell>
          <cell r="E36">
            <v>0</v>
          </cell>
        </row>
        <row r="37">
          <cell r="D37">
            <v>0</v>
          </cell>
          <cell r="E37">
            <v>58602290.280000001</v>
          </cell>
        </row>
        <row r="38">
          <cell r="D38">
            <v>0</v>
          </cell>
          <cell r="E38">
            <v>0</v>
          </cell>
        </row>
        <row r="39">
          <cell r="D39">
            <v>0</v>
          </cell>
          <cell r="E39">
            <v>0</v>
          </cell>
        </row>
        <row r="40">
          <cell r="D40" t="str">
            <v>C</v>
          </cell>
          <cell r="E40">
            <v>4174781.91</v>
          </cell>
        </row>
        <row r="41">
          <cell r="D41">
            <v>0</v>
          </cell>
          <cell r="E41">
            <v>0</v>
          </cell>
        </row>
        <row r="42">
          <cell r="D42">
            <v>0</v>
          </cell>
          <cell r="E42">
            <v>2169880.4900000002</v>
          </cell>
        </row>
        <row r="43">
          <cell r="D43" t="str">
            <v>C</v>
          </cell>
          <cell r="E43">
            <v>0</v>
          </cell>
        </row>
        <row r="44">
          <cell r="D44" t="str">
            <v>C</v>
          </cell>
          <cell r="E44">
            <v>619714.9</v>
          </cell>
        </row>
        <row r="45">
          <cell r="D45" t="str">
            <v>C</v>
          </cell>
          <cell r="E45">
            <v>21864.04</v>
          </cell>
        </row>
        <row r="46">
          <cell r="D46" t="str">
            <v>C</v>
          </cell>
          <cell r="E46">
            <v>0</v>
          </cell>
        </row>
        <row r="47">
          <cell r="D47">
            <v>0</v>
          </cell>
          <cell r="E47">
            <v>0</v>
          </cell>
        </row>
        <row r="48">
          <cell r="D48">
            <v>0</v>
          </cell>
          <cell r="E48">
            <v>6986241.3400000008</v>
          </cell>
        </row>
        <row r="49">
          <cell r="D49">
            <v>0</v>
          </cell>
          <cell r="E49">
            <v>0</v>
          </cell>
        </row>
        <row r="50">
          <cell r="D50">
            <v>0</v>
          </cell>
          <cell r="E50">
            <v>0</v>
          </cell>
        </row>
        <row r="51">
          <cell r="D51">
            <v>0</v>
          </cell>
          <cell r="E51">
            <v>6315736.2199999997</v>
          </cell>
        </row>
        <row r="52">
          <cell r="D52" t="str">
            <v>P</v>
          </cell>
          <cell r="E52">
            <v>48024.93</v>
          </cell>
        </row>
        <row r="53">
          <cell r="D53">
            <v>0</v>
          </cell>
          <cell r="E53">
            <v>770.84</v>
          </cell>
        </row>
        <row r="54">
          <cell r="D54" t="str">
            <v>P</v>
          </cell>
          <cell r="E54">
            <v>2517.48</v>
          </cell>
        </row>
        <row r="55">
          <cell r="D55" t="str">
            <v>C N</v>
          </cell>
          <cell r="E55">
            <v>0</v>
          </cell>
        </row>
        <row r="56">
          <cell r="D56">
            <v>0</v>
          </cell>
          <cell r="E56">
            <v>0</v>
          </cell>
        </row>
        <row r="57">
          <cell r="D57">
            <v>0</v>
          </cell>
          <cell r="E57">
            <v>6367049.4699999997</v>
          </cell>
        </row>
        <row r="58">
          <cell r="D58">
            <v>0</v>
          </cell>
          <cell r="E58">
            <v>0</v>
          </cell>
        </row>
        <row r="59">
          <cell r="D59">
            <v>0</v>
          </cell>
          <cell r="E59">
            <v>59221482.150000006</v>
          </cell>
        </row>
        <row r="61">
          <cell r="D61">
            <v>0</v>
          </cell>
          <cell r="E61">
            <v>0</v>
          </cell>
        </row>
        <row r="62">
          <cell r="D62">
            <v>0</v>
          </cell>
          <cell r="E62">
            <v>407496806.56</v>
          </cell>
        </row>
        <row r="63">
          <cell r="D63">
            <v>0</v>
          </cell>
          <cell r="E63">
            <v>0</v>
          </cell>
        </row>
        <row r="64">
          <cell r="D64">
            <v>0</v>
          </cell>
          <cell r="E64">
            <v>0</v>
          </cell>
        </row>
        <row r="65">
          <cell r="D65" t="str">
            <v>C</v>
          </cell>
          <cell r="E65">
            <v>18981031.059999999</v>
          </cell>
        </row>
        <row r="66">
          <cell r="D66">
            <v>0</v>
          </cell>
          <cell r="E66">
            <v>0</v>
          </cell>
        </row>
        <row r="67">
          <cell r="D67">
            <v>0</v>
          </cell>
          <cell r="E67">
            <v>56183067.259999998</v>
          </cell>
        </row>
        <row r="68">
          <cell r="D68" t="str">
            <v>E</v>
          </cell>
          <cell r="E68">
            <v>2725.97</v>
          </cell>
        </row>
        <row r="69">
          <cell r="D69" t="str">
            <v>E</v>
          </cell>
          <cell r="E69">
            <v>567.48</v>
          </cell>
        </row>
        <row r="70">
          <cell r="D70" t="str">
            <v>C</v>
          </cell>
          <cell r="E70">
            <v>255.8</v>
          </cell>
        </row>
        <row r="71">
          <cell r="D71">
            <v>0</v>
          </cell>
          <cell r="E71">
            <v>0</v>
          </cell>
        </row>
        <row r="72">
          <cell r="D72">
            <v>0</v>
          </cell>
          <cell r="E72">
            <v>6315736.2199999997</v>
          </cell>
        </row>
        <row r="73">
          <cell r="D73" t="str">
            <v>C</v>
          </cell>
          <cell r="E73">
            <v>829577.94</v>
          </cell>
        </row>
        <row r="74">
          <cell r="D74" t="str">
            <v>C</v>
          </cell>
          <cell r="E74">
            <v>19234.8</v>
          </cell>
        </row>
        <row r="75">
          <cell r="D75" t="str">
            <v>C</v>
          </cell>
          <cell r="E75">
            <v>0</v>
          </cell>
        </row>
        <row r="76">
          <cell r="D76">
            <v>0</v>
          </cell>
          <cell r="E76">
            <v>0</v>
          </cell>
        </row>
        <row r="77">
          <cell r="D77">
            <v>0</v>
          </cell>
          <cell r="E77">
            <v>82332196.529999986</v>
          </cell>
        </row>
        <row r="78">
          <cell r="D78">
            <v>0</v>
          </cell>
          <cell r="E78">
            <v>0</v>
          </cell>
        </row>
        <row r="79">
          <cell r="D79">
            <v>0</v>
          </cell>
          <cell r="E79">
            <v>0</v>
          </cell>
        </row>
        <row r="80">
          <cell r="D80" t="str">
            <v>P</v>
          </cell>
          <cell r="E80">
            <v>34616568.490000002</v>
          </cell>
        </row>
        <row r="81">
          <cell r="D81">
            <v>0</v>
          </cell>
          <cell r="E81">
            <v>2169880.4900000002</v>
          </cell>
        </row>
        <row r="82">
          <cell r="D82" t="str">
            <v>P</v>
          </cell>
          <cell r="E82">
            <v>0</v>
          </cell>
        </row>
        <row r="83">
          <cell r="D83" t="str">
            <v>P</v>
          </cell>
          <cell r="E83">
            <v>274986</v>
          </cell>
        </row>
        <row r="84">
          <cell r="D84" t="str">
            <v>P</v>
          </cell>
          <cell r="E84">
            <v>20029.990000000002</v>
          </cell>
        </row>
        <row r="85">
          <cell r="D85">
            <v>0</v>
          </cell>
          <cell r="E85">
            <v>0</v>
          </cell>
        </row>
        <row r="86">
          <cell r="D86">
            <v>0</v>
          </cell>
          <cell r="E86">
            <v>0</v>
          </cell>
        </row>
        <row r="87">
          <cell r="D87">
            <v>0</v>
          </cell>
          <cell r="E87">
            <v>37081464.970000006</v>
          </cell>
        </row>
        <row r="88">
          <cell r="D88">
            <v>0</v>
          </cell>
          <cell r="E88">
            <v>0</v>
          </cell>
        </row>
        <row r="89">
          <cell r="D89">
            <v>0</v>
          </cell>
          <cell r="E89">
            <v>452747538.11999995</v>
          </cell>
        </row>
      </sheetData>
      <sheetData sheetId="4">
        <row r="39">
          <cell r="L39">
            <v>556951494</v>
          </cell>
        </row>
      </sheetData>
      <sheetData sheetId="5">
        <row r="5">
          <cell r="J5">
            <v>41639</v>
          </cell>
        </row>
      </sheetData>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ow"/>
      <sheetName val="Membership"/>
      <sheetName val="Assets"/>
      <sheetName val="Assets Input"/>
      <sheetName val="Liabilities"/>
      <sheetName val="Results"/>
      <sheetName val="GainLoss"/>
      <sheetName val="Reconciliation"/>
      <sheetName val="NPO"/>
      <sheetName val="NPL"/>
      <sheetName val="68 - FutWorkLife"/>
      <sheetName val="68 - Collect Pens Expense"/>
      <sheetName val="68 - Collect Amort Experience"/>
      <sheetName val="68 - Collect Amort Assump"/>
      <sheetName val="68 - Collect Amort AssetRtn"/>
      <sheetName val="Report --&gt;"/>
      <sheetName val="Executive Summary"/>
      <sheetName val="Exec Summary Table"/>
      <sheetName val="Table 1"/>
      <sheetName val="Table 2"/>
      <sheetName val="Table 3"/>
      <sheetName val="Table 4"/>
      <sheetName val="Table 5-6"/>
      <sheetName val="Table 7"/>
      <sheetName val="Table 8"/>
      <sheetName val="Table 9"/>
      <sheetName val="Table 10"/>
      <sheetName val="Table 11"/>
      <sheetName val="Table 12"/>
      <sheetName val="Table 13-14"/>
      <sheetName val="Table 15"/>
      <sheetName val="Table 16"/>
      <sheetName val="Table 17"/>
      <sheetName val="Table 18"/>
      <sheetName val="Table 19"/>
      <sheetName val="Table 20"/>
      <sheetName val="Table 21"/>
      <sheetName val="Table 22"/>
      <sheetName val="Table 23"/>
      <sheetName val="Table 24"/>
      <sheetName val="Table 25"/>
      <sheetName val="Table 26"/>
      <sheetName val="Table 27"/>
      <sheetName val="GASB 25 26 --&gt;"/>
      <sheetName val="GASB 25 27 (1)"/>
      <sheetName val="GASB 25 27 (2)"/>
      <sheetName val="GASB 25 27 (3)"/>
      <sheetName val="GASB 25 27 (4.1)"/>
      <sheetName val="GASB 25 27 (4.2)"/>
      <sheetName val="GASB 25 27 (5.1)"/>
      <sheetName val="GASB 25 27 (5.2)"/>
      <sheetName val="GASB 25 27 (6)"/>
      <sheetName val="GASB 67 --&gt;"/>
      <sheetName val="GASB 67 (1.1)"/>
      <sheetName val="GASB 67 (1.2)"/>
      <sheetName val="GASB 67 (2)"/>
      <sheetName val="GASB 68 (1)"/>
      <sheetName val="GASB 68 (2)"/>
      <sheetName val="GASB 68 (3)"/>
      <sheetName val="GASB 68 (4)"/>
      <sheetName val="GASB 68 (5)"/>
    </sheetNames>
    <sheetDataSet>
      <sheetData sheetId="0"/>
      <sheetData sheetId="1"/>
      <sheetData sheetId="2"/>
      <sheetData sheetId="3">
        <row r="36">
          <cell r="D36">
            <v>0</v>
          </cell>
          <cell r="E36">
            <v>0</v>
          </cell>
        </row>
        <row r="37">
          <cell r="D37">
            <v>0</v>
          </cell>
          <cell r="E37">
            <v>58602290.280000001</v>
          </cell>
        </row>
        <row r="38">
          <cell r="D38">
            <v>0</v>
          </cell>
          <cell r="E38">
            <v>0</v>
          </cell>
        </row>
        <row r="39">
          <cell r="D39">
            <v>0</v>
          </cell>
          <cell r="E39">
            <v>0</v>
          </cell>
        </row>
        <row r="40">
          <cell r="D40" t="str">
            <v>C</v>
          </cell>
          <cell r="E40">
            <v>4174781.91</v>
          </cell>
        </row>
        <row r="41">
          <cell r="D41">
            <v>0</v>
          </cell>
          <cell r="E41">
            <v>0</v>
          </cell>
        </row>
        <row r="42">
          <cell r="D42">
            <v>0</v>
          </cell>
          <cell r="E42">
            <v>2169880.4900000002</v>
          </cell>
        </row>
        <row r="43">
          <cell r="D43" t="str">
            <v>C</v>
          </cell>
          <cell r="E43">
            <v>0</v>
          </cell>
        </row>
        <row r="44">
          <cell r="D44" t="str">
            <v>C</v>
          </cell>
          <cell r="E44">
            <v>619714.9</v>
          </cell>
        </row>
        <row r="45">
          <cell r="D45" t="str">
            <v>C</v>
          </cell>
          <cell r="E45">
            <v>21864.04</v>
          </cell>
        </row>
        <row r="46">
          <cell r="D46" t="str">
            <v>C</v>
          </cell>
          <cell r="E46">
            <v>0</v>
          </cell>
        </row>
        <row r="47">
          <cell r="D47">
            <v>0</v>
          </cell>
          <cell r="E47">
            <v>0</v>
          </cell>
        </row>
        <row r="48">
          <cell r="D48">
            <v>0</v>
          </cell>
          <cell r="E48">
            <v>6986241.3400000008</v>
          </cell>
        </row>
        <row r="49">
          <cell r="D49">
            <v>0</v>
          </cell>
          <cell r="E49">
            <v>0</v>
          </cell>
        </row>
        <row r="50">
          <cell r="D50">
            <v>0</v>
          </cell>
          <cell r="E50">
            <v>0</v>
          </cell>
        </row>
        <row r="51">
          <cell r="D51">
            <v>0</v>
          </cell>
          <cell r="E51">
            <v>6315736.2199999997</v>
          </cell>
        </row>
        <row r="52">
          <cell r="D52" t="str">
            <v>P</v>
          </cell>
          <cell r="E52">
            <v>48024.93</v>
          </cell>
        </row>
        <row r="53">
          <cell r="D53">
            <v>0</v>
          </cell>
          <cell r="E53">
            <v>770.84</v>
          </cell>
        </row>
        <row r="54">
          <cell r="D54" t="str">
            <v>P</v>
          </cell>
          <cell r="E54">
            <v>2517.48</v>
          </cell>
        </row>
        <row r="55">
          <cell r="D55" t="str">
            <v>C N</v>
          </cell>
          <cell r="E55">
            <v>0</v>
          </cell>
        </row>
        <row r="56">
          <cell r="D56">
            <v>0</v>
          </cell>
          <cell r="E56">
            <v>0</v>
          </cell>
        </row>
        <row r="57">
          <cell r="D57">
            <v>0</v>
          </cell>
          <cell r="E57">
            <v>6367049.4699999997</v>
          </cell>
        </row>
        <row r="58">
          <cell r="D58">
            <v>0</v>
          </cell>
          <cell r="E58">
            <v>0</v>
          </cell>
        </row>
        <row r="59">
          <cell r="D59">
            <v>0</v>
          </cell>
          <cell r="E59">
            <v>59221482.150000006</v>
          </cell>
        </row>
        <row r="61">
          <cell r="D61">
            <v>0</v>
          </cell>
          <cell r="E61">
            <v>0</v>
          </cell>
        </row>
        <row r="62">
          <cell r="D62">
            <v>0</v>
          </cell>
          <cell r="E62">
            <v>407496806.56</v>
          </cell>
        </row>
        <row r="63">
          <cell r="D63">
            <v>0</v>
          </cell>
          <cell r="E63">
            <v>0</v>
          </cell>
        </row>
        <row r="64">
          <cell r="D64">
            <v>0</v>
          </cell>
          <cell r="E64">
            <v>0</v>
          </cell>
        </row>
        <row r="65">
          <cell r="D65" t="str">
            <v>C</v>
          </cell>
          <cell r="E65">
            <v>18981031.059999999</v>
          </cell>
        </row>
        <row r="66">
          <cell r="D66">
            <v>0</v>
          </cell>
          <cell r="E66">
            <v>0</v>
          </cell>
        </row>
        <row r="67">
          <cell r="D67">
            <v>0</v>
          </cell>
          <cell r="E67">
            <v>56183067.259999998</v>
          </cell>
        </row>
        <row r="68">
          <cell r="D68" t="str">
            <v>E</v>
          </cell>
          <cell r="E68">
            <v>2725.97</v>
          </cell>
        </row>
        <row r="69">
          <cell r="D69" t="str">
            <v>E</v>
          </cell>
          <cell r="E69">
            <v>567.48</v>
          </cell>
        </row>
        <row r="70">
          <cell r="D70" t="str">
            <v>C</v>
          </cell>
          <cell r="E70">
            <v>255.8</v>
          </cell>
        </row>
        <row r="71">
          <cell r="D71">
            <v>0</v>
          </cell>
          <cell r="E71">
            <v>0</v>
          </cell>
        </row>
        <row r="72">
          <cell r="D72">
            <v>0</v>
          </cell>
          <cell r="E72">
            <v>6315736.2199999997</v>
          </cell>
        </row>
        <row r="73">
          <cell r="D73" t="str">
            <v>C</v>
          </cell>
          <cell r="E73">
            <v>829577.94</v>
          </cell>
        </row>
        <row r="74">
          <cell r="D74" t="str">
            <v>C</v>
          </cell>
          <cell r="E74">
            <v>19234.8</v>
          </cell>
        </row>
        <row r="75">
          <cell r="D75" t="str">
            <v>C</v>
          </cell>
          <cell r="E75">
            <v>0</v>
          </cell>
        </row>
        <row r="76">
          <cell r="D76">
            <v>0</v>
          </cell>
          <cell r="E76">
            <v>0</v>
          </cell>
        </row>
        <row r="77">
          <cell r="D77">
            <v>0</v>
          </cell>
          <cell r="E77">
            <v>82332196.529999986</v>
          </cell>
        </row>
        <row r="78">
          <cell r="D78">
            <v>0</v>
          </cell>
          <cell r="E78">
            <v>0</v>
          </cell>
        </row>
        <row r="79">
          <cell r="D79">
            <v>0</v>
          </cell>
          <cell r="E79">
            <v>0</v>
          </cell>
        </row>
        <row r="80">
          <cell r="D80" t="str">
            <v>P</v>
          </cell>
          <cell r="E80">
            <v>34616568.490000002</v>
          </cell>
        </row>
        <row r="81">
          <cell r="D81">
            <v>0</v>
          </cell>
          <cell r="E81">
            <v>2169880.4900000002</v>
          </cell>
        </row>
        <row r="82">
          <cell r="D82" t="str">
            <v>P</v>
          </cell>
          <cell r="E82">
            <v>0</v>
          </cell>
        </row>
        <row r="83">
          <cell r="D83" t="str">
            <v>P</v>
          </cell>
          <cell r="E83">
            <v>274986</v>
          </cell>
        </row>
        <row r="84">
          <cell r="D84" t="str">
            <v>P</v>
          </cell>
          <cell r="E84">
            <v>20029.990000000002</v>
          </cell>
        </row>
        <row r="85">
          <cell r="D85">
            <v>0</v>
          </cell>
          <cell r="E85">
            <v>0</v>
          </cell>
        </row>
        <row r="86">
          <cell r="D86">
            <v>0</v>
          </cell>
          <cell r="E86">
            <v>0</v>
          </cell>
        </row>
        <row r="87">
          <cell r="D87">
            <v>0</v>
          </cell>
          <cell r="E87">
            <v>37081464.970000006</v>
          </cell>
        </row>
        <row r="88">
          <cell r="D88">
            <v>0</v>
          </cell>
          <cell r="E88">
            <v>0</v>
          </cell>
        </row>
        <row r="89">
          <cell r="D89">
            <v>0</v>
          </cell>
          <cell r="E89">
            <v>452747538.11999995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ow"/>
      <sheetName val="Membership"/>
      <sheetName val="Assets"/>
      <sheetName val="Assets Input"/>
      <sheetName val="Liabilities"/>
      <sheetName val="Results"/>
      <sheetName val="GainLoss"/>
      <sheetName val="Reconciliation"/>
      <sheetName val="ProVal GainLoss"/>
      <sheetName val="NPO"/>
      <sheetName val="NPL"/>
      <sheetName val="68 - FutWorkLife"/>
      <sheetName val="68 - Collect Pens Expense"/>
      <sheetName val="68 - Collect Amort Experience"/>
      <sheetName val="68 - Collect Amort Assump"/>
      <sheetName val="68 - Collect Amort AssetRtn"/>
      <sheetName val="Report --&gt;"/>
      <sheetName val="Executive Summary"/>
      <sheetName val="Exec Summary Table"/>
      <sheetName val="Table 1"/>
      <sheetName val="Table 2"/>
      <sheetName val="Table 3"/>
      <sheetName val="Table 4"/>
      <sheetName val="Table 5"/>
      <sheetName val="Table 6-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GASB 25 26 --&gt;"/>
      <sheetName val="GASB 25 27 (1)"/>
      <sheetName val="GASB 25 27 (2)"/>
      <sheetName val="GASB 25 27 (3.1)"/>
      <sheetName val="GASB 25 27 (3.2)"/>
      <sheetName val="GASB 25 27 (4)"/>
      <sheetName val="GASB 25 27 (5)"/>
      <sheetName val="GASB 67 --&gt;"/>
      <sheetName val="GASB 67 (1.1)"/>
      <sheetName val="GASB 67 (1.2)"/>
      <sheetName val="GASB 67 (2)"/>
      <sheetName val="GASB 68 (1)"/>
      <sheetName val="GASB 68 (2)"/>
      <sheetName val="GASB 68 (3)"/>
      <sheetName val="GASB 68 (4)"/>
      <sheetName val="GASB 68 (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O"/>
      <sheetName val="GainLoss"/>
      <sheetName val="GainLoss V2"/>
      <sheetName val="Reconciliation"/>
      <sheetName val="Results"/>
      <sheetName val="Liabilities"/>
      <sheetName val="ProVal"/>
      <sheetName val="Membership"/>
      <sheetName val="Assets"/>
      <sheetName val="Flow - Experience"/>
      <sheetName val="Flow - Final"/>
      <sheetName val="New Retiree ProVal"/>
      <sheetName val="New Active ProVal"/>
    </sheetNames>
    <sheetDataSet>
      <sheetData sheetId="0"/>
      <sheetData sheetId="1"/>
      <sheetData sheetId="2"/>
      <sheetData sheetId="3"/>
      <sheetData sheetId="4"/>
      <sheetData sheetId="5"/>
      <sheetData sheetId="6">
        <row r="6">
          <cell r="B6" t="str">
            <v>R_Teachers_Correct Groups</v>
          </cell>
          <cell r="C6">
            <v>0</v>
          </cell>
          <cell r="D6">
            <v>0</v>
          </cell>
          <cell r="E6">
            <v>0</v>
          </cell>
          <cell r="F6">
            <v>0</v>
          </cell>
          <cell r="G6">
            <v>68735</v>
          </cell>
          <cell r="H6">
            <v>1845314465</v>
          </cell>
          <cell r="I6">
            <v>0</v>
          </cell>
          <cell r="J6">
            <v>15808473119</v>
          </cell>
          <cell r="K6">
            <v>0</v>
          </cell>
          <cell r="L6">
            <v>0</v>
          </cell>
          <cell r="Q6">
            <v>3643</v>
          </cell>
          <cell r="R6">
            <v>983947221</v>
          </cell>
        </row>
        <row r="7">
          <cell r="B7" t="str">
            <v>R_Other Education_Correct Groups</v>
          </cell>
          <cell r="C7">
            <v>0</v>
          </cell>
          <cell r="D7">
            <v>0</v>
          </cell>
          <cell r="E7">
            <v>0</v>
          </cell>
          <cell r="F7">
            <v>0</v>
          </cell>
          <cell r="G7">
            <v>2695</v>
          </cell>
          <cell r="H7">
            <v>67421186</v>
          </cell>
          <cell r="I7">
            <v>0</v>
          </cell>
          <cell r="J7">
            <v>636806753</v>
          </cell>
          <cell r="K7">
            <v>0</v>
          </cell>
          <cell r="L7">
            <v>0</v>
          </cell>
          <cell r="Q7">
            <v>1457</v>
          </cell>
          <cell r="R7">
            <v>356783169</v>
          </cell>
        </row>
        <row r="8">
          <cell r="B8" t="str">
            <v>B_Teachers_Correct Groups</v>
          </cell>
          <cell r="C8">
            <v>0</v>
          </cell>
          <cell r="D8">
            <v>0</v>
          </cell>
          <cell r="E8">
            <v>0</v>
          </cell>
          <cell r="F8">
            <v>0</v>
          </cell>
          <cell r="G8">
            <v>3806</v>
          </cell>
          <cell r="H8">
            <v>63357114</v>
          </cell>
          <cell r="I8">
            <v>0</v>
          </cell>
          <cell r="J8">
            <v>475824519</v>
          </cell>
          <cell r="K8">
            <v>0</v>
          </cell>
          <cell r="L8">
            <v>0</v>
          </cell>
          <cell r="Q8">
            <v>222</v>
          </cell>
          <cell r="R8">
            <v>27661351</v>
          </cell>
        </row>
        <row r="9">
          <cell r="B9" t="str">
            <v>B_Other Education_Correct Groups</v>
          </cell>
          <cell r="C9">
            <v>0</v>
          </cell>
          <cell r="D9">
            <v>0</v>
          </cell>
          <cell r="E9">
            <v>0</v>
          </cell>
          <cell r="F9">
            <v>0</v>
          </cell>
          <cell r="G9">
            <v>4</v>
          </cell>
          <cell r="H9">
            <v>42393</v>
          </cell>
          <cell r="I9">
            <v>0</v>
          </cell>
          <cell r="J9">
            <v>456295</v>
          </cell>
          <cell r="K9">
            <v>0</v>
          </cell>
          <cell r="L9">
            <v>0</v>
          </cell>
          <cell r="Q9">
            <v>3</v>
          </cell>
          <cell r="R9">
            <v>411625</v>
          </cell>
        </row>
        <row r="10">
          <cell r="B10" t="str">
            <v>R_General_Correct Groups</v>
          </cell>
          <cell r="C10">
            <v>0</v>
          </cell>
          <cell r="D10">
            <v>0</v>
          </cell>
          <cell r="E10">
            <v>0</v>
          </cell>
          <cell r="F10">
            <v>0</v>
          </cell>
          <cell r="G10">
            <v>70726</v>
          </cell>
          <cell r="H10">
            <v>1231325396</v>
          </cell>
          <cell r="I10">
            <v>0</v>
          </cell>
          <cell r="J10">
            <v>10360858551</v>
          </cell>
          <cell r="K10">
            <v>0</v>
          </cell>
          <cell r="L10">
            <v>0</v>
          </cell>
          <cell r="Q10">
            <v>3729</v>
          </cell>
          <cell r="R10">
            <v>664220266</v>
          </cell>
        </row>
        <row r="11">
          <cell r="B11" t="str">
            <v>B_General_Correct Groups</v>
          </cell>
          <cell r="C11">
            <v>0</v>
          </cell>
          <cell r="D11">
            <v>0</v>
          </cell>
          <cell r="E11">
            <v>0</v>
          </cell>
          <cell r="F11">
            <v>0</v>
          </cell>
          <cell r="G11">
            <v>8164</v>
          </cell>
          <cell r="H11">
            <v>90856399</v>
          </cell>
          <cell r="I11">
            <v>0</v>
          </cell>
          <cell r="J11">
            <v>684573305</v>
          </cell>
          <cell r="K11">
            <v>0</v>
          </cell>
          <cell r="L11">
            <v>0</v>
          </cell>
          <cell r="Q11">
            <v>582</v>
          </cell>
          <cell r="R11">
            <v>65766484</v>
          </cell>
        </row>
        <row r="12">
          <cell r="B12" t="str">
            <v>R_Law Enforcement Officers_Correct Groups</v>
          </cell>
          <cell r="C12">
            <v>0</v>
          </cell>
          <cell r="D12">
            <v>0</v>
          </cell>
          <cell r="E12">
            <v>0</v>
          </cell>
          <cell r="F12">
            <v>0</v>
          </cell>
          <cell r="G12">
            <v>2305</v>
          </cell>
          <cell r="H12">
            <v>68989420</v>
          </cell>
          <cell r="I12">
            <v>0</v>
          </cell>
          <cell r="J12">
            <v>729435853</v>
          </cell>
          <cell r="K12">
            <v>0</v>
          </cell>
          <cell r="L12">
            <v>0</v>
          </cell>
          <cell r="Q12">
            <v>117</v>
          </cell>
          <cell r="R12">
            <v>46867923</v>
          </cell>
        </row>
        <row r="13">
          <cell r="B13" t="str">
            <v>B_Law Enforcement Officers_Correct Groups</v>
          </cell>
          <cell r="C13">
            <v>0</v>
          </cell>
          <cell r="D13">
            <v>0</v>
          </cell>
          <cell r="E13">
            <v>0</v>
          </cell>
          <cell r="F13">
            <v>0</v>
          </cell>
          <cell r="G13">
            <v>351</v>
          </cell>
          <cell r="H13">
            <v>6667848</v>
          </cell>
          <cell r="I13">
            <v>0</v>
          </cell>
          <cell r="J13">
            <v>55496132</v>
          </cell>
          <cell r="K13">
            <v>0</v>
          </cell>
          <cell r="L13">
            <v>0</v>
          </cell>
          <cell r="Q13">
            <v>24</v>
          </cell>
          <cell r="R13">
            <v>3906564</v>
          </cell>
        </row>
        <row r="14">
          <cell r="C14">
            <v>158280</v>
          </cell>
          <cell r="D14">
            <v>7352563851</v>
          </cell>
          <cell r="E14">
            <v>42.69</v>
          </cell>
          <cell r="F14">
            <v>9.5500000000000007</v>
          </cell>
          <cell r="G14">
            <v>0</v>
          </cell>
          <cell r="H14">
            <v>0</v>
          </cell>
          <cell r="I14">
            <v>23819634824</v>
          </cell>
          <cell r="J14">
            <v>0</v>
          </cell>
          <cell r="K14">
            <v>14437889332</v>
          </cell>
          <cell r="L14">
            <v>75498348832</v>
          </cell>
        </row>
        <row r="15">
          <cell r="C15">
            <v>158280</v>
          </cell>
          <cell r="D15">
            <v>7352563851</v>
          </cell>
          <cell r="E15">
            <v>42.69</v>
          </cell>
          <cell r="F15">
            <v>9.5500000000000007</v>
          </cell>
          <cell r="G15">
            <v>0</v>
          </cell>
          <cell r="H15">
            <v>0</v>
          </cell>
          <cell r="I15">
            <v>23779377466</v>
          </cell>
          <cell r="J15">
            <v>0</v>
          </cell>
          <cell r="K15">
            <v>13448637501</v>
          </cell>
          <cell r="L15">
            <v>75498348832</v>
          </cell>
        </row>
        <row r="16">
          <cell r="C16">
            <v>163725</v>
          </cell>
          <cell r="D16">
            <v>7144162762</v>
          </cell>
          <cell r="E16">
            <v>46.26</v>
          </cell>
          <cell r="F16">
            <v>10.06</v>
          </cell>
          <cell r="G16">
            <v>0</v>
          </cell>
          <cell r="H16">
            <v>0</v>
          </cell>
          <cell r="I16">
            <v>17892240462</v>
          </cell>
          <cell r="J16">
            <v>0</v>
          </cell>
          <cell r="K16">
            <v>12494243353</v>
          </cell>
          <cell r="L16">
            <v>55502792525</v>
          </cell>
        </row>
        <row r="17">
          <cell r="C17">
            <v>163725</v>
          </cell>
          <cell r="D17">
            <v>7144162762</v>
          </cell>
          <cell r="E17">
            <v>46.26</v>
          </cell>
          <cell r="F17">
            <v>10.06</v>
          </cell>
          <cell r="G17">
            <v>0</v>
          </cell>
          <cell r="H17">
            <v>0</v>
          </cell>
          <cell r="I17">
            <v>17892613332</v>
          </cell>
          <cell r="J17">
            <v>0</v>
          </cell>
          <cell r="K17">
            <v>12264442955</v>
          </cell>
          <cell r="L17">
            <v>55502792525</v>
          </cell>
        </row>
        <row r="18">
          <cell r="C18">
            <v>3585</v>
          </cell>
          <cell r="D18">
            <v>208161658</v>
          </cell>
          <cell r="E18">
            <v>39.549999999999997</v>
          </cell>
          <cell r="F18">
            <v>12.51</v>
          </cell>
          <cell r="G18">
            <v>0</v>
          </cell>
          <cell r="H18">
            <v>0</v>
          </cell>
          <cell r="I18">
            <v>709993053</v>
          </cell>
          <cell r="J18">
            <v>0</v>
          </cell>
          <cell r="K18">
            <v>487308926</v>
          </cell>
          <cell r="L18">
            <v>1991200451</v>
          </cell>
        </row>
        <row r="19">
          <cell r="C19">
            <v>3585</v>
          </cell>
          <cell r="D19">
            <v>208161658</v>
          </cell>
          <cell r="E19">
            <v>39.549999999999997</v>
          </cell>
          <cell r="F19">
            <v>12.51</v>
          </cell>
          <cell r="G19">
            <v>0</v>
          </cell>
          <cell r="H19">
            <v>0</v>
          </cell>
          <cell r="I19">
            <v>710162344</v>
          </cell>
          <cell r="J19">
            <v>0</v>
          </cell>
          <cell r="K19">
            <v>465981825</v>
          </cell>
          <cell r="L19">
            <v>1991200451</v>
          </cell>
        </row>
        <row r="20">
          <cell r="C20">
            <v>0</v>
          </cell>
          <cell r="D20">
            <v>0</v>
          </cell>
          <cell r="E20">
            <v>0</v>
          </cell>
          <cell r="F20">
            <v>0</v>
          </cell>
          <cell r="G20">
            <v>67797</v>
          </cell>
          <cell r="H20">
            <v>1828374369</v>
          </cell>
          <cell r="I20">
            <v>0</v>
          </cell>
          <cell r="J20">
            <v>15795012410</v>
          </cell>
          <cell r="K20">
            <v>0</v>
          </cell>
          <cell r="L20">
            <v>0</v>
          </cell>
        </row>
        <row r="21">
          <cell r="C21">
            <v>0</v>
          </cell>
          <cell r="D21">
            <v>0</v>
          </cell>
          <cell r="E21">
            <v>0</v>
          </cell>
          <cell r="F21">
            <v>0</v>
          </cell>
          <cell r="G21">
            <v>3747</v>
          </cell>
          <cell r="H21">
            <v>63000195</v>
          </cell>
          <cell r="I21">
            <v>0</v>
          </cell>
          <cell r="J21">
            <v>502239868</v>
          </cell>
          <cell r="K21">
            <v>0</v>
          </cell>
          <cell r="L21">
            <v>0</v>
          </cell>
        </row>
        <row r="22">
          <cell r="C22">
            <v>0</v>
          </cell>
          <cell r="D22">
            <v>0</v>
          </cell>
          <cell r="E22">
            <v>0</v>
          </cell>
          <cell r="F22">
            <v>0</v>
          </cell>
          <cell r="G22">
            <v>69236</v>
          </cell>
          <cell r="H22">
            <v>1214581245</v>
          </cell>
          <cell r="I22">
            <v>0</v>
          </cell>
          <cell r="J22">
            <v>10286321871</v>
          </cell>
          <cell r="K22">
            <v>0</v>
          </cell>
          <cell r="L22">
            <v>0</v>
          </cell>
        </row>
        <row r="23">
          <cell r="C23">
            <v>0</v>
          </cell>
          <cell r="D23">
            <v>0</v>
          </cell>
          <cell r="E23">
            <v>0</v>
          </cell>
          <cell r="F23">
            <v>0</v>
          </cell>
          <cell r="G23">
            <v>7895</v>
          </cell>
          <cell r="H23">
            <v>86412178</v>
          </cell>
          <cell r="I23">
            <v>0</v>
          </cell>
          <cell r="J23">
            <v>685870622</v>
          </cell>
          <cell r="K23">
            <v>0</v>
          </cell>
          <cell r="L23">
            <v>0</v>
          </cell>
        </row>
        <row r="24">
          <cell r="C24">
            <v>0</v>
          </cell>
          <cell r="D24">
            <v>0</v>
          </cell>
          <cell r="E24">
            <v>0</v>
          </cell>
          <cell r="F24">
            <v>0</v>
          </cell>
          <cell r="G24">
            <v>2312</v>
          </cell>
          <cell r="H24">
            <v>66868780</v>
          </cell>
          <cell r="I24">
            <v>0</v>
          </cell>
          <cell r="J24">
            <v>696905219</v>
          </cell>
          <cell r="K24">
            <v>0</v>
          </cell>
          <cell r="L24">
            <v>0</v>
          </cell>
        </row>
        <row r="25">
          <cell r="C25">
            <v>0</v>
          </cell>
          <cell r="D25">
            <v>0</v>
          </cell>
          <cell r="E25">
            <v>0</v>
          </cell>
          <cell r="F25">
            <v>0</v>
          </cell>
          <cell r="G25">
            <v>333</v>
          </cell>
          <cell r="H25">
            <v>6393815</v>
          </cell>
          <cell r="I25">
            <v>0</v>
          </cell>
          <cell r="J25">
            <v>55424703</v>
          </cell>
          <cell r="K25">
            <v>0</v>
          </cell>
          <cell r="L25">
            <v>0</v>
          </cell>
        </row>
        <row r="26">
          <cell r="C26">
            <v>0</v>
          </cell>
          <cell r="D26">
            <v>0</v>
          </cell>
          <cell r="E26">
            <v>0</v>
          </cell>
          <cell r="F26">
            <v>0</v>
          </cell>
          <cell r="G26">
            <v>95210</v>
          </cell>
          <cell r="H26">
            <v>0</v>
          </cell>
          <cell r="I26">
            <v>0</v>
          </cell>
          <cell r="J26">
            <v>1582972206</v>
          </cell>
          <cell r="K26">
            <v>0</v>
          </cell>
          <cell r="L26">
            <v>0</v>
          </cell>
        </row>
        <row r="27">
          <cell r="B27" t="str">
            <v>A_Teachers_Experience</v>
          </cell>
          <cell r="C27">
            <v>153655</v>
          </cell>
          <cell r="D27">
            <v>7206757480</v>
          </cell>
          <cell r="E27">
            <v>43.12</v>
          </cell>
          <cell r="F27">
            <v>10.039999999999999</v>
          </cell>
          <cell r="G27">
            <v>0</v>
          </cell>
          <cell r="H27">
            <v>0</v>
          </cell>
          <cell r="I27">
            <v>23569531706</v>
          </cell>
          <cell r="J27">
            <v>0</v>
          </cell>
          <cell r="K27">
            <v>13487490542</v>
          </cell>
          <cell r="L27">
            <v>73031092632</v>
          </cell>
          <cell r="M27">
            <v>92765667</v>
          </cell>
        </row>
        <row r="28">
          <cell r="B28" t="str">
            <v>A_Teachers_Salary Scale</v>
          </cell>
          <cell r="C28">
            <v>153655</v>
          </cell>
          <cell r="D28">
            <v>7031428163</v>
          </cell>
          <cell r="E28">
            <v>43.12</v>
          </cell>
          <cell r="F28">
            <v>10.039999999999999</v>
          </cell>
          <cell r="G28">
            <v>0</v>
          </cell>
          <cell r="H28">
            <v>0</v>
          </cell>
          <cell r="I28">
            <v>20864595038</v>
          </cell>
          <cell r="J28">
            <v>0</v>
          </cell>
          <cell r="K28">
            <v>13272238209</v>
          </cell>
          <cell r="L28">
            <v>63488124120</v>
          </cell>
          <cell r="M28">
            <v>87809185</v>
          </cell>
        </row>
        <row r="29">
          <cell r="B29" t="str">
            <v>A_Teachers_Sal + Inflation</v>
          </cell>
          <cell r="C29">
            <v>153655</v>
          </cell>
          <cell r="D29">
            <v>7014484962</v>
          </cell>
          <cell r="E29">
            <v>43.12</v>
          </cell>
          <cell r="F29">
            <v>10.039999999999999</v>
          </cell>
          <cell r="G29">
            <v>0</v>
          </cell>
          <cell r="H29">
            <v>0</v>
          </cell>
          <cell r="I29">
            <v>20363296476</v>
          </cell>
          <cell r="J29">
            <v>0</v>
          </cell>
          <cell r="K29">
            <v>13129152075</v>
          </cell>
          <cell r="L29">
            <v>62235655098</v>
          </cell>
          <cell r="M29">
            <v>87487468</v>
          </cell>
        </row>
        <row r="30">
          <cell r="B30" t="str">
            <v>A_Teachers_Mortality</v>
          </cell>
          <cell r="C30">
            <v>153655</v>
          </cell>
          <cell r="D30">
            <v>7014484962</v>
          </cell>
          <cell r="E30">
            <v>43.12</v>
          </cell>
          <cell r="F30">
            <v>10.039999999999999</v>
          </cell>
          <cell r="G30">
            <v>0</v>
          </cell>
          <cell r="H30">
            <v>0</v>
          </cell>
          <cell r="I30">
            <v>20217818010</v>
          </cell>
          <cell r="J30">
            <v>0</v>
          </cell>
          <cell r="K30">
            <v>13055653410</v>
          </cell>
          <cell r="L30">
            <v>62157527278</v>
          </cell>
          <cell r="M30">
            <v>95186882</v>
          </cell>
        </row>
        <row r="31">
          <cell r="B31" t="str">
            <v>A_Teachers_Ret/Term</v>
          </cell>
          <cell r="C31">
            <v>153655</v>
          </cell>
          <cell r="D31">
            <v>7014484962</v>
          </cell>
          <cell r="E31">
            <v>43.12</v>
          </cell>
          <cell r="F31">
            <v>10.039999999999999</v>
          </cell>
          <cell r="G31">
            <v>0</v>
          </cell>
          <cell r="H31">
            <v>0</v>
          </cell>
          <cell r="I31">
            <v>19957724426</v>
          </cell>
          <cell r="J31">
            <v>0</v>
          </cell>
          <cell r="K31">
            <v>13154146522</v>
          </cell>
          <cell r="L31">
            <v>60188965174</v>
          </cell>
          <cell r="M31">
            <v>123151983</v>
          </cell>
        </row>
        <row r="32">
          <cell r="C32">
            <v>153467</v>
          </cell>
          <cell r="D32">
            <v>7197630199</v>
          </cell>
          <cell r="E32">
            <v>43.12</v>
          </cell>
          <cell r="F32">
            <v>10.050000000000001</v>
          </cell>
          <cell r="G32">
            <v>0</v>
          </cell>
          <cell r="H32">
            <v>0</v>
          </cell>
          <cell r="I32">
            <v>23550895685</v>
          </cell>
          <cell r="J32">
            <v>0</v>
          </cell>
          <cell r="K32">
            <v>13483210188</v>
          </cell>
          <cell r="L32">
            <v>72936824302</v>
          </cell>
          <cell r="M32">
            <v>92419781</v>
          </cell>
        </row>
        <row r="33">
          <cell r="B33" t="str">
            <v>A_Teachers_Fix Disability</v>
          </cell>
          <cell r="C33">
            <v>153467</v>
          </cell>
          <cell r="D33">
            <v>7005852310</v>
          </cell>
          <cell r="E33">
            <v>43.12</v>
          </cell>
          <cell r="F33">
            <v>10.050000000000001</v>
          </cell>
          <cell r="G33">
            <v>0</v>
          </cell>
          <cell r="H33">
            <v>0</v>
          </cell>
          <cell r="I33">
            <v>19945674363</v>
          </cell>
          <cell r="J33">
            <v>0</v>
          </cell>
          <cell r="K33">
            <v>13149793146</v>
          </cell>
          <cell r="L33">
            <v>60128785087</v>
          </cell>
          <cell r="M33">
            <v>122721608</v>
          </cell>
        </row>
        <row r="34">
          <cell r="B34" t="str">
            <v>A_Teachers_Correct Groups</v>
          </cell>
          <cell r="C34">
            <v>150859</v>
          </cell>
          <cell r="D34">
            <v>6918855488</v>
          </cell>
          <cell r="E34">
            <v>43.17</v>
          </cell>
          <cell r="F34">
            <v>10.26</v>
          </cell>
          <cell r="G34">
            <v>0</v>
          </cell>
          <cell r="H34">
            <v>0</v>
          </cell>
          <cell r="I34">
            <v>19580066257</v>
          </cell>
          <cell r="J34">
            <v>0</v>
          </cell>
          <cell r="K34">
            <v>12826185116</v>
          </cell>
          <cell r="L34">
            <v>59749832108</v>
          </cell>
          <cell r="M34">
            <v>115046171</v>
          </cell>
        </row>
        <row r="35">
          <cell r="B35" t="str">
            <v>A_Teachers_Adder</v>
          </cell>
          <cell r="C35">
            <v>150859</v>
          </cell>
          <cell r="D35">
            <v>6918855488</v>
          </cell>
          <cell r="E35">
            <v>43.17</v>
          </cell>
          <cell r="F35">
            <v>10.26</v>
          </cell>
          <cell r="G35">
            <v>0</v>
          </cell>
          <cell r="H35">
            <v>0</v>
          </cell>
          <cell r="I35">
            <v>19588060016</v>
          </cell>
          <cell r="J35">
            <v>0</v>
          </cell>
          <cell r="K35">
            <v>12829797938</v>
          </cell>
          <cell r="L35">
            <v>59749832108</v>
          </cell>
          <cell r="M35">
            <v>115046171</v>
          </cell>
        </row>
        <row r="36">
          <cell r="B36" t="str">
            <v>A_Teachers_Experience_NC</v>
          </cell>
          <cell r="C36">
            <v>153655</v>
          </cell>
          <cell r="D36">
            <v>7206757480</v>
          </cell>
          <cell r="E36">
            <v>43.12</v>
          </cell>
          <cell r="F36">
            <v>10.039999999999999</v>
          </cell>
          <cell r="G36">
            <v>0</v>
          </cell>
          <cell r="H36">
            <v>0</v>
          </cell>
          <cell r="I36">
            <v>23467039422</v>
          </cell>
          <cell r="J36">
            <v>0</v>
          </cell>
          <cell r="K36">
            <v>13451761762</v>
          </cell>
          <cell r="L36">
            <v>73031092632</v>
          </cell>
          <cell r="M36">
            <v>92765667</v>
          </cell>
        </row>
        <row r="37">
          <cell r="B37" t="str">
            <v>A_Teachers_Salary Scale_NC</v>
          </cell>
          <cell r="C37">
            <v>153655</v>
          </cell>
          <cell r="D37">
            <v>7031428163</v>
          </cell>
          <cell r="E37">
            <v>43.12</v>
          </cell>
          <cell r="F37">
            <v>10.039999999999999</v>
          </cell>
          <cell r="G37">
            <v>0</v>
          </cell>
          <cell r="H37">
            <v>0</v>
          </cell>
          <cell r="I37">
            <v>20777835440</v>
          </cell>
          <cell r="J37">
            <v>0</v>
          </cell>
          <cell r="K37">
            <v>13227044560</v>
          </cell>
          <cell r="L37">
            <v>63488124120</v>
          </cell>
          <cell r="M37">
            <v>87809185</v>
          </cell>
        </row>
        <row r="38">
          <cell r="B38" t="str">
            <v>A_Teachers_Sal + Inflation_NC</v>
          </cell>
          <cell r="C38">
            <v>153655</v>
          </cell>
          <cell r="D38">
            <v>7014484962</v>
          </cell>
          <cell r="E38">
            <v>43.12</v>
          </cell>
          <cell r="F38">
            <v>10.039999999999999</v>
          </cell>
          <cell r="G38">
            <v>0</v>
          </cell>
          <cell r="H38">
            <v>0</v>
          </cell>
          <cell r="I38">
            <v>20281454185</v>
          </cell>
          <cell r="J38">
            <v>0</v>
          </cell>
          <cell r="K38">
            <v>13084867871</v>
          </cell>
          <cell r="L38">
            <v>62235655098</v>
          </cell>
          <cell r="M38">
            <v>87487468</v>
          </cell>
        </row>
        <row r="39">
          <cell r="B39" t="str">
            <v>A_Teachers_Mortality_NC</v>
          </cell>
          <cell r="C39">
            <v>153655</v>
          </cell>
          <cell r="D39">
            <v>7014484962</v>
          </cell>
          <cell r="E39">
            <v>43.12</v>
          </cell>
          <cell r="F39">
            <v>10.039999999999999</v>
          </cell>
          <cell r="G39">
            <v>0</v>
          </cell>
          <cell r="H39">
            <v>0</v>
          </cell>
          <cell r="I39">
            <v>20136231488</v>
          </cell>
          <cell r="J39">
            <v>0</v>
          </cell>
          <cell r="K39">
            <v>13010757429</v>
          </cell>
          <cell r="L39">
            <v>62157527278</v>
          </cell>
          <cell r="M39">
            <v>95186882</v>
          </cell>
        </row>
        <row r="40">
          <cell r="B40" t="str">
            <v>A_Teachers_Ret/Term_NC</v>
          </cell>
          <cell r="C40">
            <v>153655</v>
          </cell>
          <cell r="D40">
            <v>7014484962</v>
          </cell>
          <cell r="E40">
            <v>43.12</v>
          </cell>
          <cell r="F40">
            <v>10.039999999999999</v>
          </cell>
          <cell r="G40">
            <v>0</v>
          </cell>
          <cell r="H40">
            <v>0</v>
          </cell>
          <cell r="I40">
            <v>19876720015</v>
          </cell>
          <cell r="J40">
            <v>0</v>
          </cell>
          <cell r="K40">
            <v>13110591511</v>
          </cell>
          <cell r="L40">
            <v>60188965174</v>
          </cell>
          <cell r="M40">
            <v>123151983</v>
          </cell>
        </row>
        <row r="41">
          <cell r="C41">
            <v>153467</v>
          </cell>
          <cell r="D41">
            <v>7197630199</v>
          </cell>
          <cell r="E41">
            <v>43.12</v>
          </cell>
          <cell r="F41">
            <v>10.050000000000001</v>
          </cell>
          <cell r="G41">
            <v>0</v>
          </cell>
          <cell r="H41">
            <v>0</v>
          </cell>
          <cell r="I41">
            <v>23448623732</v>
          </cell>
          <cell r="J41">
            <v>0</v>
          </cell>
          <cell r="K41">
            <v>13447595354</v>
          </cell>
          <cell r="L41">
            <v>72936824302</v>
          </cell>
          <cell r="M41">
            <v>92419781</v>
          </cell>
        </row>
        <row r="42">
          <cell r="B42" t="str">
            <v>A_Teachers_Fix Disability_NC</v>
          </cell>
          <cell r="C42">
            <v>153467</v>
          </cell>
          <cell r="D42">
            <v>7005852310</v>
          </cell>
          <cell r="E42">
            <v>43.12</v>
          </cell>
          <cell r="F42">
            <v>10.050000000000001</v>
          </cell>
          <cell r="G42">
            <v>0</v>
          </cell>
          <cell r="H42">
            <v>0</v>
          </cell>
          <cell r="I42">
            <v>19864939374</v>
          </cell>
          <cell r="J42">
            <v>0</v>
          </cell>
          <cell r="K42">
            <v>13106428115</v>
          </cell>
          <cell r="L42">
            <v>60128785087</v>
          </cell>
          <cell r="M42">
            <v>122721608</v>
          </cell>
        </row>
        <row r="43">
          <cell r="B43" t="str">
            <v>A_Teachers_Correct Groups_NC</v>
          </cell>
          <cell r="C43">
            <v>150859</v>
          </cell>
          <cell r="D43">
            <v>6918855488</v>
          </cell>
          <cell r="E43">
            <v>43.17</v>
          </cell>
          <cell r="F43">
            <v>10.26</v>
          </cell>
          <cell r="G43">
            <v>0</v>
          </cell>
          <cell r="H43">
            <v>0</v>
          </cell>
          <cell r="I43">
            <v>19498140919</v>
          </cell>
          <cell r="J43">
            <v>0</v>
          </cell>
          <cell r="K43">
            <v>12783002871</v>
          </cell>
          <cell r="L43">
            <v>59749832108</v>
          </cell>
          <cell r="M43">
            <v>115046171</v>
          </cell>
        </row>
        <row r="44">
          <cell r="B44" t="str">
            <v>A_Teachers_Adder_NC</v>
          </cell>
          <cell r="C44">
            <v>150859</v>
          </cell>
          <cell r="D44">
            <v>6918855488</v>
          </cell>
          <cell r="E44">
            <v>43.17</v>
          </cell>
          <cell r="F44">
            <v>10.26</v>
          </cell>
          <cell r="G44">
            <v>0</v>
          </cell>
          <cell r="H44">
            <v>0</v>
          </cell>
          <cell r="I44">
            <v>19506090462</v>
          </cell>
          <cell r="J44">
            <v>0</v>
          </cell>
          <cell r="K44">
            <v>12786592978</v>
          </cell>
          <cell r="L44">
            <v>59749832108</v>
          </cell>
          <cell r="M44">
            <v>115046171</v>
          </cell>
        </row>
        <row r="45">
          <cell r="B45" t="str">
            <v>A_General_Experience</v>
          </cell>
          <cell r="C45">
            <v>159781</v>
          </cell>
          <cell r="D45">
            <v>7114432763</v>
          </cell>
          <cell r="E45">
            <v>46.72</v>
          </cell>
          <cell r="F45">
            <v>10.46</v>
          </cell>
          <cell r="G45">
            <v>0</v>
          </cell>
          <cell r="H45">
            <v>0</v>
          </cell>
          <cell r="I45">
            <v>18203682438</v>
          </cell>
          <cell r="J45">
            <v>0</v>
          </cell>
          <cell r="K45">
            <v>12613304977</v>
          </cell>
          <cell r="L45">
            <v>54952076045</v>
          </cell>
          <cell r="M45">
            <v>103539098</v>
          </cell>
        </row>
        <row r="46">
          <cell r="B46" t="str">
            <v>A_General_Salary Scale</v>
          </cell>
          <cell r="C46">
            <v>159781</v>
          </cell>
          <cell r="D46">
            <v>7151946343</v>
          </cell>
          <cell r="E46">
            <v>46.72</v>
          </cell>
          <cell r="F46">
            <v>10.46</v>
          </cell>
          <cell r="G46">
            <v>0</v>
          </cell>
          <cell r="H46">
            <v>0</v>
          </cell>
          <cell r="I46">
            <v>19533447144</v>
          </cell>
          <cell r="J46">
            <v>0</v>
          </cell>
          <cell r="K46">
            <v>13177909460</v>
          </cell>
          <cell r="L46">
            <v>57699590162</v>
          </cell>
          <cell r="M46">
            <v>103769396</v>
          </cell>
        </row>
        <row r="47">
          <cell r="B47" t="str">
            <v>A_General_Sal + Inflation</v>
          </cell>
          <cell r="C47">
            <v>159781</v>
          </cell>
          <cell r="D47">
            <v>7134712737</v>
          </cell>
          <cell r="E47">
            <v>46.72</v>
          </cell>
          <cell r="F47">
            <v>10.46</v>
          </cell>
          <cell r="G47">
            <v>0</v>
          </cell>
          <cell r="H47">
            <v>0</v>
          </cell>
          <cell r="I47">
            <v>19109763266</v>
          </cell>
          <cell r="J47">
            <v>0</v>
          </cell>
          <cell r="K47">
            <v>13029805429</v>
          </cell>
          <cell r="L47">
            <v>56654965178</v>
          </cell>
          <cell r="M47">
            <v>103426819</v>
          </cell>
        </row>
        <row r="48">
          <cell r="B48" t="str">
            <v>A_General_Mortality</v>
          </cell>
          <cell r="C48">
            <v>159781</v>
          </cell>
          <cell r="D48">
            <v>7134712737</v>
          </cell>
          <cell r="E48">
            <v>46.72</v>
          </cell>
          <cell r="F48">
            <v>10.46</v>
          </cell>
          <cell r="G48">
            <v>0</v>
          </cell>
          <cell r="H48">
            <v>0</v>
          </cell>
          <cell r="I48">
            <v>19115272373</v>
          </cell>
          <cell r="J48">
            <v>0</v>
          </cell>
          <cell r="K48">
            <v>13039659317</v>
          </cell>
          <cell r="L48">
            <v>56709388710</v>
          </cell>
          <cell r="M48">
            <v>108298032</v>
          </cell>
        </row>
        <row r="49">
          <cell r="B49" t="str">
            <v>A_General_Ret/Term</v>
          </cell>
          <cell r="C49">
            <v>159781</v>
          </cell>
          <cell r="D49">
            <v>7134712737</v>
          </cell>
          <cell r="E49">
            <v>46.72</v>
          </cell>
          <cell r="F49">
            <v>10.46</v>
          </cell>
          <cell r="G49">
            <v>0</v>
          </cell>
          <cell r="H49">
            <v>0</v>
          </cell>
          <cell r="I49">
            <v>19247203427</v>
          </cell>
          <cell r="J49">
            <v>0</v>
          </cell>
          <cell r="K49">
            <v>13239890937</v>
          </cell>
          <cell r="L49">
            <v>55866842806</v>
          </cell>
          <cell r="M49">
            <v>125142335</v>
          </cell>
        </row>
        <row r="50">
          <cell r="C50">
            <v>159651</v>
          </cell>
          <cell r="D50">
            <v>7110676919</v>
          </cell>
          <cell r="E50">
            <v>46.72</v>
          </cell>
          <cell r="F50">
            <v>10.46</v>
          </cell>
          <cell r="G50">
            <v>0</v>
          </cell>
          <cell r="H50">
            <v>0</v>
          </cell>
          <cell r="I50">
            <v>18198100018</v>
          </cell>
          <cell r="J50">
            <v>0</v>
          </cell>
          <cell r="K50">
            <v>12610873553</v>
          </cell>
          <cell r="L50">
            <v>54923724595</v>
          </cell>
          <cell r="M50">
            <v>103397350</v>
          </cell>
        </row>
        <row r="51">
          <cell r="B51" t="str">
            <v>A_General_Fix Disability</v>
          </cell>
          <cell r="C51">
            <v>159651</v>
          </cell>
          <cell r="D51">
            <v>7130956094</v>
          </cell>
          <cell r="E51">
            <v>46.72</v>
          </cell>
          <cell r="F51">
            <v>10.46</v>
          </cell>
          <cell r="G51">
            <v>0</v>
          </cell>
          <cell r="H51">
            <v>0</v>
          </cell>
          <cell r="I51">
            <v>19241524845</v>
          </cell>
          <cell r="J51">
            <v>0</v>
          </cell>
          <cell r="K51">
            <v>13237330356</v>
          </cell>
          <cell r="L51">
            <v>55839904506</v>
          </cell>
          <cell r="M51">
            <v>124967543</v>
          </cell>
        </row>
        <row r="52">
          <cell r="B52" t="str">
            <v>A_General_Correct Groups</v>
          </cell>
          <cell r="C52">
            <v>113353</v>
          </cell>
          <cell r="D52">
            <v>5214530027</v>
          </cell>
          <cell r="E52">
            <v>45.8</v>
          </cell>
          <cell r="F52">
            <v>10.06</v>
          </cell>
          <cell r="G52">
            <v>0</v>
          </cell>
          <cell r="H52">
            <v>0</v>
          </cell>
          <cell r="I52">
            <v>13720494939</v>
          </cell>
          <cell r="J52">
            <v>0</v>
          </cell>
          <cell r="K52">
            <v>9257315997</v>
          </cell>
          <cell r="L52">
            <v>41545877871</v>
          </cell>
          <cell r="M52">
            <v>101993763</v>
          </cell>
        </row>
        <row r="53">
          <cell r="B53" t="str">
            <v>A_General_Adder</v>
          </cell>
          <cell r="C53">
            <v>113353</v>
          </cell>
          <cell r="D53">
            <v>5214530027</v>
          </cell>
          <cell r="E53">
            <v>45.8</v>
          </cell>
          <cell r="F53">
            <v>10.06</v>
          </cell>
          <cell r="G53">
            <v>0</v>
          </cell>
          <cell r="H53">
            <v>0</v>
          </cell>
          <cell r="I53">
            <v>13666035001</v>
          </cell>
          <cell r="J53">
            <v>0</v>
          </cell>
          <cell r="K53">
            <v>9216800399</v>
          </cell>
          <cell r="L53">
            <v>41545877871</v>
          </cell>
          <cell r="M53">
            <v>101993763</v>
          </cell>
        </row>
        <row r="54">
          <cell r="B54" t="str">
            <v>A_General_Experience_NC</v>
          </cell>
          <cell r="C54">
            <v>159781</v>
          </cell>
          <cell r="D54">
            <v>7114432763</v>
          </cell>
          <cell r="E54">
            <v>46.72</v>
          </cell>
          <cell r="F54">
            <v>10.46</v>
          </cell>
          <cell r="G54">
            <v>0</v>
          </cell>
          <cell r="H54">
            <v>0</v>
          </cell>
          <cell r="I54">
            <v>18171747316</v>
          </cell>
          <cell r="J54">
            <v>0</v>
          </cell>
          <cell r="K54">
            <v>12595741783</v>
          </cell>
          <cell r="L54">
            <v>54952076045</v>
          </cell>
          <cell r="M54">
            <v>103539098</v>
          </cell>
        </row>
        <row r="55">
          <cell r="B55" t="str">
            <v>A_General_Salary Scale_NC</v>
          </cell>
          <cell r="C55">
            <v>159781</v>
          </cell>
          <cell r="D55">
            <v>7151946343</v>
          </cell>
          <cell r="E55">
            <v>46.72</v>
          </cell>
          <cell r="F55">
            <v>10.46</v>
          </cell>
          <cell r="G55">
            <v>0</v>
          </cell>
          <cell r="H55">
            <v>0</v>
          </cell>
          <cell r="I55">
            <v>19484163138</v>
          </cell>
          <cell r="J55">
            <v>0</v>
          </cell>
          <cell r="K55">
            <v>13153737609</v>
          </cell>
          <cell r="L55">
            <v>57699590162</v>
          </cell>
          <cell r="M55">
            <v>103769396</v>
          </cell>
        </row>
        <row r="56">
          <cell r="B56" t="str">
            <v>A_General_Sal + Inflation_NC</v>
          </cell>
          <cell r="C56">
            <v>159781</v>
          </cell>
          <cell r="D56">
            <v>7134712737</v>
          </cell>
          <cell r="E56">
            <v>46.72</v>
          </cell>
          <cell r="F56">
            <v>10.46</v>
          </cell>
          <cell r="G56">
            <v>0</v>
          </cell>
          <cell r="H56">
            <v>0</v>
          </cell>
          <cell r="I56">
            <v>19064846506</v>
          </cell>
          <cell r="J56">
            <v>0</v>
          </cell>
          <cell r="K56">
            <v>13005391127</v>
          </cell>
          <cell r="L56">
            <v>56654965178</v>
          </cell>
          <cell r="M56">
            <v>103426819</v>
          </cell>
        </row>
        <row r="57">
          <cell r="B57" t="str">
            <v>A_General_Mortality_NC</v>
          </cell>
          <cell r="C57">
            <v>159781</v>
          </cell>
          <cell r="D57">
            <v>7134712737</v>
          </cell>
          <cell r="E57">
            <v>46.72</v>
          </cell>
          <cell r="F57">
            <v>10.46</v>
          </cell>
          <cell r="G57">
            <v>0</v>
          </cell>
          <cell r="H57">
            <v>0</v>
          </cell>
          <cell r="I57">
            <v>19070367058</v>
          </cell>
          <cell r="J57">
            <v>0</v>
          </cell>
          <cell r="K57">
            <v>13015172563</v>
          </cell>
          <cell r="L57">
            <v>56709388710</v>
          </cell>
          <cell r="M57">
            <v>108298032</v>
          </cell>
        </row>
        <row r="58">
          <cell r="B58" t="str">
            <v>A_General_Ret/Term_NC</v>
          </cell>
          <cell r="C58">
            <v>159781</v>
          </cell>
          <cell r="D58">
            <v>7134712737</v>
          </cell>
          <cell r="E58">
            <v>46.72</v>
          </cell>
          <cell r="F58">
            <v>10.46</v>
          </cell>
          <cell r="G58">
            <v>0</v>
          </cell>
          <cell r="H58">
            <v>0</v>
          </cell>
          <cell r="I58">
            <v>19202033004</v>
          </cell>
          <cell r="J58">
            <v>0</v>
          </cell>
          <cell r="K58">
            <v>13214139486</v>
          </cell>
          <cell r="L58">
            <v>55866842806</v>
          </cell>
          <cell r="M58">
            <v>125142335</v>
          </cell>
        </row>
        <row r="59">
          <cell r="C59">
            <v>159651</v>
          </cell>
          <cell r="D59">
            <v>7110676919</v>
          </cell>
          <cell r="E59">
            <v>46.72</v>
          </cell>
          <cell r="F59">
            <v>10.46</v>
          </cell>
          <cell r="G59">
            <v>0</v>
          </cell>
          <cell r="H59">
            <v>0</v>
          </cell>
          <cell r="I59">
            <v>18166220750</v>
          </cell>
          <cell r="J59">
            <v>0</v>
          </cell>
          <cell r="K59">
            <v>12593310831</v>
          </cell>
          <cell r="L59">
            <v>54923724595</v>
          </cell>
          <cell r="M59">
            <v>103397350</v>
          </cell>
        </row>
        <row r="60">
          <cell r="B60" t="str">
            <v>A_General_Fix Disability_NC</v>
          </cell>
          <cell r="C60">
            <v>159651</v>
          </cell>
          <cell r="D60">
            <v>7130956094</v>
          </cell>
          <cell r="E60">
            <v>46.72</v>
          </cell>
          <cell r="F60">
            <v>10.46</v>
          </cell>
          <cell r="G60">
            <v>0</v>
          </cell>
          <cell r="H60">
            <v>0</v>
          </cell>
          <cell r="I60">
            <v>19196422939</v>
          </cell>
          <cell r="J60">
            <v>0</v>
          </cell>
          <cell r="K60">
            <v>13211593932</v>
          </cell>
          <cell r="L60">
            <v>55839904506</v>
          </cell>
          <cell r="M60">
            <v>124967543</v>
          </cell>
        </row>
        <row r="61">
          <cell r="B61" t="str">
            <v>A_General_Correct Groups_NC</v>
          </cell>
          <cell r="C61">
            <v>113353</v>
          </cell>
          <cell r="D61">
            <v>5214530027</v>
          </cell>
          <cell r="E61">
            <v>45.8</v>
          </cell>
          <cell r="F61">
            <v>10.06</v>
          </cell>
          <cell r="G61">
            <v>0</v>
          </cell>
          <cell r="H61">
            <v>0</v>
          </cell>
          <cell r="I61">
            <v>13690341704</v>
          </cell>
          <cell r="J61">
            <v>0</v>
          </cell>
          <cell r="K61">
            <v>9238189599</v>
          </cell>
          <cell r="L61">
            <v>41545877871</v>
          </cell>
          <cell r="M61">
            <v>101993763</v>
          </cell>
        </row>
        <row r="62">
          <cell r="B62" t="str">
            <v>A_General_Adder_NC</v>
          </cell>
          <cell r="C62">
            <v>113353</v>
          </cell>
          <cell r="D62">
            <v>5214530027</v>
          </cell>
          <cell r="E62">
            <v>45.8</v>
          </cell>
          <cell r="F62">
            <v>10.06</v>
          </cell>
          <cell r="G62">
            <v>0</v>
          </cell>
          <cell r="H62">
            <v>0</v>
          </cell>
          <cell r="I62">
            <v>13636005517</v>
          </cell>
          <cell r="J62">
            <v>0</v>
          </cell>
          <cell r="K62">
            <v>9197788265</v>
          </cell>
          <cell r="L62">
            <v>41545877871</v>
          </cell>
          <cell r="M62">
            <v>101993763</v>
          </cell>
        </row>
        <row r="63">
          <cell r="B63" t="str">
            <v>A_Law Enforcement Officers_Experience</v>
          </cell>
          <cell r="C63">
            <v>3531</v>
          </cell>
          <cell r="D63">
            <v>204921033</v>
          </cell>
          <cell r="E63">
            <v>39.92</v>
          </cell>
          <cell r="F63">
            <v>12.79</v>
          </cell>
          <cell r="G63">
            <v>0</v>
          </cell>
          <cell r="H63">
            <v>0</v>
          </cell>
          <cell r="I63">
            <v>708954505</v>
          </cell>
          <cell r="J63">
            <v>0</v>
          </cell>
          <cell r="K63">
            <v>470609614</v>
          </cell>
          <cell r="L63">
            <v>1933260599</v>
          </cell>
          <cell r="M63">
            <v>1596836</v>
          </cell>
        </row>
        <row r="64">
          <cell r="B64" t="str">
            <v>A_Law Enforcement Officers_Salary Scale</v>
          </cell>
          <cell r="C64">
            <v>3531</v>
          </cell>
          <cell r="D64">
            <v>205533472</v>
          </cell>
          <cell r="E64">
            <v>39.92</v>
          </cell>
          <cell r="F64">
            <v>12.79</v>
          </cell>
          <cell r="G64">
            <v>0</v>
          </cell>
          <cell r="H64">
            <v>0</v>
          </cell>
          <cell r="I64">
            <v>714412477</v>
          </cell>
          <cell r="J64">
            <v>0</v>
          </cell>
          <cell r="K64">
            <v>470942371</v>
          </cell>
          <cell r="L64">
            <v>1956112867</v>
          </cell>
          <cell r="M64">
            <v>1608659</v>
          </cell>
        </row>
        <row r="65">
          <cell r="B65" t="str">
            <v>A_Law Enforcement Officers_Sal + Inflation</v>
          </cell>
          <cell r="C65">
            <v>3531</v>
          </cell>
          <cell r="D65">
            <v>205038211</v>
          </cell>
          <cell r="E65">
            <v>39.92</v>
          </cell>
          <cell r="F65">
            <v>12.79</v>
          </cell>
          <cell r="G65">
            <v>0</v>
          </cell>
          <cell r="H65">
            <v>0</v>
          </cell>
          <cell r="I65">
            <v>696757223</v>
          </cell>
          <cell r="J65">
            <v>0</v>
          </cell>
          <cell r="K65">
            <v>465128901</v>
          </cell>
          <cell r="L65">
            <v>1918349447</v>
          </cell>
          <cell r="M65">
            <v>1603288</v>
          </cell>
        </row>
        <row r="66">
          <cell r="B66" t="str">
            <v>A_Law Enforcement Officers_Mortality</v>
          </cell>
          <cell r="C66">
            <v>3531</v>
          </cell>
          <cell r="D66">
            <v>205038211</v>
          </cell>
          <cell r="E66">
            <v>39.92</v>
          </cell>
          <cell r="F66">
            <v>12.79</v>
          </cell>
          <cell r="G66">
            <v>0</v>
          </cell>
          <cell r="H66">
            <v>0</v>
          </cell>
          <cell r="I66">
            <v>710249922</v>
          </cell>
          <cell r="J66">
            <v>0</v>
          </cell>
          <cell r="K66">
            <v>474619999</v>
          </cell>
          <cell r="L66">
            <v>1920299304</v>
          </cell>
          <cell r="M66">
            <v>1562132</v>
          </cell>
        </row>
        <row r="67">
          <cell r="B67" t="str">
            <v>A_Law Enforcement Officers_Ret/Term</v>
          </cell>
          <cell r="C67">
            <v>3531</v>
          </cell>
          <cell r="D67">
            <v>205038211</v>
          </cell>
          <cell r="E67">
            <v>39.92</v>
          </cell>
          <cell r="F67">
            <v>12.79</v>
          </cell>
          <cell r="G67">
            <v>0</v>
          </cell>
          <cell r="H67">
            <v>0</v>
          </cell>
          <cell r="I67">
            <v>709426770</v>
          </cell>
          <cell r="J67">
            <v>0</v>
          </cell>
          <cell r="K67">
            <v>479848584</v>
          </cell>
          <cell r="L67">
            <v>1834263218</v>
          </cell>
          <cell r="M67">
            <v>1763392</v>
          </cell>
        </row>
        <row r="68">
          <cell r="C68">
            <v>3529</v>
          </cell>
          <cell r="D68">
            <v>204829979</v>
          </cell>
          <cell r="E68">
            <v>39.92</v>
          </cell>
          <cell r="F68">
            <v>12.8</v>
          </cell>
          <cell r="G68">
            <v>0</v>
          </cell>
          <cell r="H68">
            <v>0</v>
          </cell>
          <cell r="I68">
            <v>708712517</v>
          </cell>
          <cell r="J68">
            <v>0</v>
          </cell>
          <cell r="K68">
            <v>470495366</v>
          </cell>
          <cell r="L68">
            <v>1932204183</v>
          </cell>
          <cell r="M68">
            <v>1595118</v>
          </cell>
        </row>
        <row r="69">
          <cell r="B69" t="str">
            <v>A_Law Enforcement Officers_Fix Disability</v>
          </cell>
          <cell r="C69">
            <v>3529</v>
          </cell>
          <cell r="D69">
            <v>204947078</v>
          </cell>
          <cell r="E69">
            <v>39.92</v>
          </cell>
          <cell r="F69">
            <v>12.8</v>
          </cell>
          <cell r="G69">
            <v>0</v>
          </cell>
          <cell r="H69">
            <v>0</v>
          </cell>
          <cell r="I69">
            <v>709192318</v>
          </cell>
          <cell r="J69">
            <v>0</v>
          </cell>
          <cell r="K69">
            <v>479734850</v>
          </cell>
          <cell r="L69">
            <v>1833276046</v>
          </cell>
          <cell r="M69">
            <v>1761546</v>
          </cell>
        </row>
        <row r="70">
          <cell r="B70" t="str">
            <v>A_Law Enforcement Officers_Correct Groups</v>
          </cell>
          <cell r="C70">
            <v>3529</v>
          </cell>
          <cell r="D70">
            <v>204947078</v>
          </cell>
          <cell r="E70">
            <v>39.92</v>
          </cell>
          <cell r="F70">
            <v>12.8</v>
          </cell>
          <cell r="G70">
            <v>0</v>
          </cell>
          <cell r="H70">
            <v>0</v>
          </cell>
          <cell r="I70">
            <v>709198672</v>
          </cell>
          <cell r="J70">
            <v>0</v>
          </cell>
          <cell r="K70">
            <v>479747821</v>
          </cell>
          <cell r="L70">
            <v>1833276562</v>
          </cell>
          <cell r="M70">
            <v>1761540</v>
          </cell>
        </row>
        <row r="71">
          <cell r="B71" t="str">
            <v>A_Law Enforcement Officers_Adder</v>
          </cell>
          <cell r="C71">
            <v>3529</v>
          </cell>
          <cell r="D71">
            <v>204947078</v>
          </cell>
          <cell r="E71">
            <v>39.92</v>
          </cell>
          <cell r="F71">
            <v>12.8</v>
          </cell>
          <cell r="G71">
            <v>0</v>
          </cell>
          <cell r="H71">
            <v>0</v>
          </cell>
          <cell r="I71">
            <v>721174871</v>
          </cell>
          <cell r="J71">
            <v>0</v>
          </cell>
          <cell r="K71">
            <v>488384054</v>
          </cell>
          <cell r="L71">
            <v>1833276562</v>
          </cell>
          <cell r="M71">
            <v>1761540</v>
          </cell>
        </row>
        <row r="72">
          <cell r="B72" t="str">
            <v>A_Law Enforcement Officers_Experience_NC</v>
          </cell>
          <cell r="C72">
            <v>3531</v>
          </cell>
          <cell r="D72">
            <v>204921033</v>
          </cell>
          <cell r="E72">
            <v>39.92</v>
          </cell>
          <cell r="F72">
            <v>12.79</v>
          </cell>
          <cell r="G72">
            <v>0</v>
          </cell>
          <cell r="H72">
            <v>0</v>
          </cell>
          <cell r="I72">
            <v>708304139</v>
          </cell>
          <cell r="J72">
            <v>0</v>
          </cell>
          <cell r="K72">
            <v>470711802</v>
          </cell>
          <cell r="L72">
            <v>1933260599</v>
          </cell>
          <cell r="M72">
            <v>1596836</v>
          </cell>
        </row>
        <row r="73">
          <cell r="B73" t="str">
            <v>A_Law Enforcement Officers_Salary Scale_NC</v>
          </cell>
          <cell r="C73">
            <v>3531</v>
          </cell>
          <cell r="D73">
            <v>205533472</v>
          </cell>
          <cell r="E73">
            <v>39.92</v>
          </cell>
          <cell r="F73">
            <v>12.79</v>
          </cell>
          <cell r="G73">
            <v>0</v>
          </cell>
          <cell r="H73">
            <v>0</v>
          </cell>
          <cell r="I73">
            <v>713703270</v>
          </cell>
          <cell r="J73">
            <v>0</v>
          </cell>
          <cell r="K73">
            <v>470994374</v>
          </cell>
          <cell r="L73">
            <v>1956112867</v>
          </cell>
          <cell r="M73">
            <v>1608659</v>
          </cell>
        </row>
        <row r="74">
          <cell r="B74" t="str">
            <v>A_Law Enforcement Officers_Sal + Inflation_NC</v>
          </cell>
          <cell r="C74">
            <v>3531</v>
          </cell>
          <cell r="D74">
            <v>205038211</v>
          </cell>
          <cell r="E74">
            <v>39.92</v>
          </cell>
          <cell r="F74">
            <v>12.79</v>
          </cell>
          <cell r="G74">
            <v>0</v>
          </cell>
          <cell r="H74">
            <v>0</v>
          </cell>
          <cell r="I74">
            <v>696139942</v>
          </cell>
          <cell r="J74">
            <v>0</v>
          </cell>
          <cell r="K74">
            <v>465153024</v>
          </cell>
          <cell r="L74">
            <v>1918349447</v>
          </cell>
          <cell r="M74">
            <v>1603288</v>
          </cell>
        </row>
        <row r="75">
          <cell r="B75" t="str">
            <v>A_Law Enforcement Officers_Mortality_NC</v>
          </cell>
          <cell r="C75">
            <v>3531</v>
          </cell>
          <cell r="D75">
            <v>205038211</v>
          </cell>
          <cell r="E75">
            <v>39.92</v>
          </cell>
          <cell r="F75">
            <v>12.79</v>
          </cell>
          <cell r="G75">
            <v>0</v>
          </cell>
          <cell r="H75">
            <v>0</v>
          </cell>
          <cell r="I75">
            <v>709619780</v>
          </cell>
          <cell r="J75">
            <v>0</v>
          </cell>
          <cell r="K75">
            <v>474623854</v>
          </cell>
          <cell r="L75">
            <v>1920299304</v>
          </cell>
          <cell r="M75">
            <v>1562132</v>
          </cell>
        </row>
        <row r="76">
          <cell r="B76" t="str">
            <v>A_Law Enforcement Officers_Ret/Term_NC</v>
          </cell>
          <cell r="C76">
            <v>3531</v>
          </cell>
          <cell r="D76">
            <v>205038211</v>
          </cell>
          <cell r="E76">
            <v>39.92</v>
          </cell>
          <cell r="F76">
            <v>12.79</v>
          </cell>
          <cell r="G76">
            <v>0</v>
          </cell>
          <cell r="H76">
            <v>0</v>
          </cell>
          <cell r="I76">
            <v>708673950</v>
          </cell>
          <cell r="J76">
            <v>0</v>
          </cell>
          <cell r="K76">
            <v>479626701</v>
          </cell>
          <cell r="L76">
            <v>1834263218</v>
          </cell>
          <cell r="M76">
            <v>1763392</v>
          </cell>
        </row>
        <row r="77">
          <cell r="C77">
            <v>3529</v>
          </cell>
          <cell r="D77">
            <v>204829979</v>
          </cell>
          <cell r="E77">
            <v>39.92</v>
          </cell>
          <cell r="F77">
            <v>12.8</v>
          </cell>
          <cell r="G77">
            <v>0</v>
          </cell>
          <cell r="H77">
            <v>0</v>
          </cell>
          <cell r="I77">
            <v>708060807</v>
          </cell>
          <cell r="J77">
            <v>0</v>
          </cell>
          <cell r="K77">
            <v>470600581</v>
          </cell>
          <cell r="L77">
            <v>1932204183</v>
          </cell>
          <cell r="M77">
            <v>1595118</v>
          </cell>
        </row>
        <row r="78">
          <cell r="B78" t="str">
            <v>A_Law Enforcement Officers_Fix Disability_NC</v>
          </cell>
          <cell r="C78">
            <v>3529</v>
          </cell>
          <cell r="D78">
            <v>204947078</v>
          </cell>
          <cell r="E78">
            <v>39.92</v>
          </cell>
          <cell r="F78">
            <v>12.8</v>
          </cell>
          <cell r="G78">
            <v>0</v>
          </cell>
          <cell r="H78">
            <v>0</v>
          </cell>
          <cell r="I78">
            <v>708437817</v>
          </cell>
          <cell r="J78">
            <v>0</v>
          </cell>
          <cell r="K78">
            <v>479516026</v>
          </cell>
          <cell r="L78">
            <v>1833276046</v>
          </cell>
          <cell r="M78">
            <v>1761546</v>
          </cell>
        </row>
        <row r="79">
          <cell r="B79" t="str">
            <v>A_Law Enforcement Officers_Correct Groups_NC</v>
          </cell>
          <cell r="C79">
            <v>3529</v>
          </cell>
          <cell r="D79">
            <v>204947078</v>
          </cell>
          <cell r="E79">
            <v>39.92</v>
          </cell>
          <cell r="F79">
            <v>12.8</v>
          </cell>
          <cell r="G79">
            <v>0</v>
          </cell>
          <cell r="H79">
            <v>0</v>
          </cell>
          <cell r="I79">
            <v>708439904</v>
          </cell>
          <cell r="J79">
            <v>0</v>
          </cell>
          <cell r="K79">
            <v>479518416</v>
          </cell>
          <cell r="L79">
            <v>1833276562</v>
          </cell>
          <cell r="M79">
            <v>1761540</v>
          </cell>
        </row>
        <row r="80">
          <cell r="B80" t="str">
            <v>A_Law Enforcement Officers_Adder_NC</v>
          </cell>
          <cell r="C80">
            <v>3529</v>
          </cell>
          <cell r="D80">
            <v>204947078</v>
          </cell>
          <cell r="E80">
            <v>39.92</v>
          </cell>
          <cell r="F80">
            <v>12.8</v>
          </cell>
          <cell r="G80">
            <v>0</v>
          </cell>
          <cell r="H80">
            <v>0</v>
          </cell>
          <cell r="I80">
            <v>720404503</v>
          </cell>
          <cell r="J80">
            <v>0</v>
          </cell>
          <cell r="K80">
            <v>488145675</v>
          </cell>
          <cell r="L80">
            <v>1833276562</v>
          </cell>
          <cell r="M80">
            <v>1761540</v>
          </cell>
        </row>
        <row r="81">
          <cell r="B81" t="str">
            <v>R_Teachers_Experience</v>
          </cell>
          <cell r="C81">
            <v>0</v>
          </cell>
          <cell r="D81">
            <v>0</v>
          </cell>
          <cell r="E81">
            <v>0</v>
          </cell>
          <cell r="F81">
            <v>0</v>
          </cell>
          <cell r="G81">
            <v>68841</v>
          </cell>
          <cell r="H81">
            <v>1847585434</v>
          </cell>
          <cell r="I81">
            <v>0</v>
          </cell>
          <cell r="J81">
            <v>15957555420</v>
          </cell>
          <cell r="K81">
            <v>0</v>
          </cell>
          <cell r="L81">
            <v>0</v>
          </cell>
        </row>
        <row r="82">
          <cell r="B82" t="str">
            <v>R_Teachers_Mortality</v>
          </cell>
          <cell r="C82">
            <v>0</v>
          </cell>
          <cell r="D82">
            <v>0</v>
          </cell>
          <cell r="E82">
            <v>0</v>
          </cell>
          <cell r="F82">
            <v>0</v>
          </cell>
          <cell r="G82">
            <v>68841</v>
          </cell>
          <cell r="H82">
            <v>1847585434</v>
          </cell>
          <cell r="I82">
            <v>0</v>
          </cell>
          <cell r="J82">
            <v>15915446811</v>
          </cell>
          <cell r="K82">
            <v>0</v>
          </cell>
          <cell r="L82">
            <v>0</v>
          </cell>
        </row>
        <row r="83">
          <cell r="C83">
            <v>0</v>
          </cell>
          <cell r="D83">
            <v>0</v>
          </cell>
          <cell r="E83">
            <v>0</v>
          </cell>
          <cell r="F83">
            <v>0</v>
          </cell>
          <cell r="G83">
            <v>68841</v>
          </cell>
          <cell r="H83">
            <v>1849617003</v>
          </cell>
          <cell r="I83">
            <v>0</v>
          </cell>
          <cell r="J83">
            <v>15916949516</v>
          </cell>
          <cell r="K83">
            <v>0</v>
          </cell>
          <cell r="L83">
            <v>0</v>
          </cell>
        </row>
        <row r="84">
          <cell r="B84" t="str">
            <v>R_Teachers_Fix Disability</v>
          </cell>
          <cell r="C84">
            <v>0</v>
          </cell>
          <cell r="D84">
            <v>0</v>
          </cell>
          <cell r="E84">
            <v>0</v>
          </cell>
          <cell r="F84">
            <v>0</v>
          </cell>
          <cell r="G84">
            <v>68841</v>
          </cell>
          <cell r="H84">
            <v>1849617003</v>
          </cell>
          <cell r="I84">
            <v>0</v>
          </cell>
          <cell r="J84">
            <v>15874371810</v>
          </cell>
          <cell r="K84">
            <v>0</v>
          </cell>
          <cell r="L84">
            <v>0</v>
          </cell>
        </row>
        <row r="85">
          <cell r="C85">
            <v>0</v>
          </cell>
          <cell r="D85">
            <v>0</v>
          </cell>
          <cell r="E85">
            <v>0</v>
          </cell>
          <cell r="F85">
            <v>0</v>
          </cell>
          <cell r="G85">
            <v>68735</v>
          </cell>
          <cell r="H85">
            <v>1846681031</v>
          </cell>
          <cell r="I85">
            <v>0</v>
          </cell>
          <cell r="J85">
            <v>15845650965</v>
          </cell>
          <cell r="K85">
            <v>0</v>
          </cell>
          <cell r="L85">
            <v>0</v>
          </cell>
        </row>
        <row r="86">
          <cell r="C86">
            <v>0</v>
          </cell>
          <cell r="D86">
            <v>0</v>
          </cell>
          <cell r="E86">
            <v>0</v>
          </cell>
          <cell r="F86">
            <v>0</v>
          </cell>
          <cell r="G86">
            <v>2695</v>
          </cell>
          <cell r="H86">
            <v>67411529</v>
          </cell>
          <cell r="I86">
            <v>0</v>
          </cell>
          <cell r="J86">
            <v>637471005</v>
          </cell>
          <cell r="K86">
            <v>0</v>
          </cell>
          <cell r="L86">
            <v>0</v>
          </cell>
        </row>
        <row r="87">
          <cell r="B87" t="str">
            <v>A_Other Education_Correct Groups</v>
          </cell>
          <cell r="C87">
            <v>48906</v>
          </cell>
          <cell r="D87">
            <v>2001734581</v>
          </cell>
          <cell r="E87">
            <v>48.51</v>
          </cell>
          <cell r="F87">
            <v>10.72</v>
          </cell>
          <cell r="G87">
            <v>0</v>
          </cell>
          <cell r="H87">
            <v>0</v>
          </cell>
          <cell r="I87">
            <v>5739278205</v>
          </cell>
          <cell r="J87">
            <v>0</v>
          </cell>
          <cell r="K87">
            <v>4197560229</v>
          </cell>
          <cell r="L87">
            <v>14693640050</v>
          </cell>
          <cell r="M87">
            <v>30291613</v>
          </cell>
        </row>
        <row r="88">
          <cell r="B88" t="str">
            <v>A_Other Education_Adder</v>
          </cell>
          <cell r="C88">
            <v>48906</v>
          </cell>
          <cell r="D88">
            <v>2001734581</v>
          </cell>
          <cell r="E88">
            <v>48.51</v>
          </cell>
          <cell r="F88">
            <v>10.72</v>
          </cell>
          <cell r="G88">
            <v>0</v>
          </cell>
          <cell r="H88">
            <v>0</v>
          </cell>
          <cell r="I88">
            <v>5761087963</v>
          </cell>
          <cell r="J88">
            <v>0</v>
          </cell>
          <cell r="K88">
            <v>4214541754</v>
          </cell>
          <cell r="L88">
            <v>14693640050</v>
          </cell>
          <cell r="M88">
            <v>30291613</v>
          </cell>
        </row>
        <row r="89">
          <cell r="B89" t="str">
            <v>A_Other Education_Correct Groups_NC</v>
          </cell>
          <cell r="C89">
            <v>48906</v>
          </cell>
          <cell r="D89">
            <v>2001734581</v>
          </cell>
          <cell r="E89">
            <v>48.51</v>
          </cell>
          <cell r="F89">
            <v>10.72</v>
          </cell>
          <cell r="G89">
            <v>0</v>
          </cell>
          <cell r="H89">
            <v>0</v>
          </cell>
          <cell r="I89">
            <v>5724709811</v>
          </cell>
          <cell r="J89">
            <v>0</v>
          </cell>
          <cell r="K89">
            <v>4186909441</v>
          </cell>
          <cell r="L89">
            <v>14693640050</v>
          </cell>
          <cell r="M89">
            <v>30291613</v>
          </cell>
        </row>
        <row r="90">
          <cell r="B90" t="str">
            <v>A_Other Education_Adder_NC</v>
          </cell>
          <cell r="C90">
            <v>48906</v>
          </cell>
          <cell r="D90">
            <v>2001734581</v>
          </cell>
          <cell r="E90">
            <v>48.51</v>
          </cell>
          <cell r="F90">
            <v>10.72</v>
          </cell>
          <cell r="G90">
            <v>0</v>
          </cell>
          <cell r="H90">
            <v>0</v>
          </cell>
          <cell r="I90">
            <v>5746463894</v>
          </cell>
          <cell r="J90">
            <v>0</v>
          </cell>
          <cell r="K90">
            <v>4203843173</v>
          </cell>
          <cell r="L90">
            <v>14693640050</v>
          </cell>
          <cell r="M90">
            <v>30291613</v>
          </cell>
        </row>
        <row r="91">
          <cell r="B91" t="str">
            <v>B_Teachers_Experience</v>
          </cell>
          <cell r="C91">
            <v>0</v>
          </cell>
          <cell r="D91">
            <v>0</v>
          </cell>
          <cell r="E91">
            <v>0</v>
          </cell>
          <cell r="F91">
            <v>0</v>
          </cell>
          <cell r="G91">
            <v>3850</v>
          </cell>
          <cell r="H91">
            <v>63949635</v>
          </cell>
          <cell r="I91">
            <v>0</v>
          </cell>
          <cell r="J91">
            <v>509309400</v>
          </cell>
          <cell r="K91">
            <v>0</v>
          </cell>
          <cell r="L91">
            <v>0</v>
          </cell>
        </row>
        <row r="92">
          <cell r="B92" t="str">
            <v>B_Teachers_Mortality</v>
          </cell>
          <cell r="C92">
            <v>0</v>
          </cell>
          <cell r="D92">
            <v>0</v>
          </cell>
          <cell r="E92">
            <v>0</v>
          </cell>
          <cell r="F92">
            <v>0</v>
          </cell>
          <cell r="G92">
            <v>3850</v>
          </cell>
          <cell r="H92">
            <v>63949635</v>
          </cell>
          <cell r="I92">
            <v>0</v>
          </cell>
          <cell r="J92">
            <v>499131345</v>
          </cell>
          <cell r="K92">
            <v>0</v>
          </cell>
          <cell r="L92">
            <v>0</v>
          </cell>
        </row>
        <row r="93">
          <cell r="C93">
            <v>0</v>
          </cell>
          <cell r="D93">
            <v>0</v>
          </cell>
          <cell r="E93">
            <v>0</v>
          </cell>
          <cell r="F93">
            <v>0</v>
          </cell>
          <cell r="G93">
            <v>3805</v>
          </cell>
          <cell r="H93">
            <v>63344976</v>
          </cell>
          <cell r="I93">
            <v>0</v>
          </cell>
          <cell r="J93">
            <v>491494756</v>
          </cell>
          <cell r="K93">
            <v>0</v>
          </cell>
          <cell r="L93">
            <v>0</v>
          </cell>
        </row>
        <row r="94">
          <cell r="C94">
            <v>0</v>
          </cell>
          <cell r="D94">
            <v>0</v>
          </cell>
          <cell r="E94">
            <v>0</v>
          </cell>
          <cell r="F94">
            <v>0</v>
          </cell>
          <cell r="G94">
            <v>4</v>
          </cell>
          <cell r="H94">
            <v>42393</v>
          </cell>
          <cell r="I94">
            <v>0</v>
          </cell>
          <cell r="J94">
            <v>456295</v>
          </cell>
          <cell r="K94">
            <v>0</v>
          </cell>
          <cell r="L94">
            <v>0</v>
          </cell>
        </row>
        <row r="95">
          <cell r="B95" t="str">
            <v>R_General_Experience</v>
          </cell>
          <cell r="C95">
            <v>0</v>
          </cell>
          <cell r="D95">
            <v>0</v>
          </cell>
          <cell r="E95">
            <v>0</v>
          </cell>
          <cell r="F95">
            <v>0</v>
          </cell>
          <cell r="G95">
            <v>73315</v>
          </cell>
          <cell r="H95">
            <v>1294719448</v>
          </cell>
          <cell r="I95">
            <v>0</v>
          </cell>
          <cell r="J95">
            <v>11017295178</v>
          </cell>
          <cell r="K95">
            <v>0</v>
          </cell>
          <cell r="L95">
            <v>0</v>
          </cell>
        </row>
        <row r="96">
          <cell r="B96" t="str">
            <v>R_General_Mortality</v>
          </cell>
          <cell r="C96">
            <v>0</v>
          </cell>
          <cell r="D96">
            <v>0</v>
          </cell>
          <cell r="E96">
            <v>0</v>
          </cell>
          <cell r="F96">
            <v>0</v>
          </cell>
          <cell r="G96">
            <v>73315</v>
          </cell>
          <cell r="H96">
            <v>1294719448</v>
          </cell>
          <cell r="I96">
            <v>0</v>
          </cell>
          <cell r="J96">
            <v>11013868775</v>
          </cell>
          <cell r="K96">
            <v>0</v>
          </cell>
          <cell r="L96">
            <v>0</v>
          </cell>
        </row>
        <row r="97">
          <cell r="C97">
            <v>0</v>
          </cell>
          <cell r="D97">
            <v>0</v>
          </cell>
          <cell r="E97">
            <v>0</v>
          </cell>
          <cell r="F97">
            <v>0</v>
          </cell>
          <cell r="G97">
            <v>73315</v>
          </cell>
          <cell r="H97">
            <v>1294721957</v>
          </cell>
          <cell r="I97">
            <v>0</v>
          </cell>
          <cell r="J97">
            <v>10996240964</v>
          </cell>
          <cell r="K97">
            <v>0</v>
          </cell>
          <cell r="L97">
            <v>0</v>
          </cell>
        </row>
        <row r="98">
          <cell r="B98" t="str">
            <v>R_General_Fix Disability</v>
          </cell>
          <cell r="C98">
            <v>0</v>
          </cell>
          <cell r="D98">
            <v>0</v>
          </cell>
          <cell r="E98">
            <v>0</v>
          </cell>
          <cell r="F98">
            <v>0</v>
          </cell>
          <cell r="G98">
            <v>73315</v>
          </cell>
          <cell r="H98">
            <v>1294721957</v>
          </cell>
          <cell r="I98">
            <v>0</v>
          </cell>
          <cell r="J98">
            <v>10994180662</v>
          </cell>
          <cell r="K98">
            <v>0</v>
          </cell>
          <cell r="L98">
            <v>0</v>
          </cell>
        </row>
        <row r="99">
          <cell r="C99">
            <v>0</v>
          </cell>
          <cell r="D99">
            <v>0</v>
          </cell>
          <cell r="E99">
            <v>0</v>
          </cell>
          <cell r="F99">
            <v>0</v>
          </cell>
          <cell r="G99">
            <v>70726</v>
          </cell>
          <cell r="H99">
            <v>1230141222</v>
          </cell>
          <cell r="I99">
            <v>0</v>
          </cell>
          <cell r="J99">
            <v>10381313729</v>
          </cell>
          <cell r="K99">
            <v>0</v>
          </cell>
          <cell r="L99">
            <v>0</v>
          </cell>
        </row>
        <row r="100">
          <cell r="B100" t="str">
            <v>B_General_Experience</v>
          </cell>
          <cell r="C100">
            <v>0</v>
          </cell>
          <cell r="D100">
            <v>0</v>
          </cell>
          <cell r="E100">
            <v>0</v>
          </cell>
          <cell r="F100">
            <v>0</v>
          </cell>
          <cell r="G100">
            <v>8123</v>
          </cell>
          <cell r="H100">
            <v>90292018</v>
          </cell>
          <cell r="I100">
            <v>0</v>
          </cell>
          <cell r="J100">
            <v>717480150</v>
          </cell>
          <cell r="K100">
            <v>0</v>
          </cell>
          <cell r="L100">
            <v>0</v>
          </cell>
        </row>
        <row r="101">
          <cell r="B101" t="str">
            <v>B_General_Mortality</v>
          </cell>
          <cell r="C101">
            <v>0</v>
          </cell>
          <cell r="D101">
            <v>0</v>
          </cell>
          <cell r="E101">
            <v>0</v>
          </cell>
          <cell r="F101">
            <v>0</v>
          </cell>
          <cell r="G101">
            <v>8123</v>
          </cell>
          <cell r="H101">
            <v>90292018</v>
          </cell>
          <cell r="I101">
            <v>0</v>
          </cell>
          <cell r="J101">
            <v>697745341</v>
          </cell>
          <cell r="K101">
            <v>0</v>
          </cell>
          <cell r="L101">
            <v>0</v>
          </cell>
        </row>
        <row r="102">
          <cell r="C102">
            <v>0</v>
          </cell>
          <cell r="D102">
            <v>0</v>
          </cell>
          <cell r="E102">
            <v>0</v>
          </cell>
          <cell r="F102">
            <v>0</v>
          </cell>
          <cell r="G102">
            <v>8164</v>
          </cell>
          <cell r="H102">
            <v>90824945</v>
          </cell>
          <cell r="I102">
            <v>0</v>
          </cell>
          <cell r="J102">
            <v>701401784</v>
          </cell>
          <cell r="K102">
            <v>0</v>
          </cell>
          <cell r="L102">
            <v>0</v>
          </cell>
        </row>
        <row r="103">
          <cell r="B103" t="str">
            <v>R_Law Enforcement Officers_Experience</v>
          </cell>
          <cell r="C103">
            <v>0</v>
          </cell>
          <cell r="D103">
            <v>0</v>
          </cell>
          <cell r="E103">
            <v>0</v>
          </cell>
          <cell r="F103">
            <v>0</v>
          </cell>
          <cell r="G103">
            <v>2305</v>
          </cell>
          <cell r="H103">
            <v>68995116</v>
          </cell>
          <cell r="I103">
            <v>0</v>
          </cell>
          <cell r="J103">
            <v>720981233</v>
          </cell>
          <cell r="K103">
            <v>0</v>
          </cell>
          <cell r="L103">
            <v>0</v>
          </cell>
        </row>
        <row r="104">
          <cell r="B104" t="str">
            <v>R_Law Enforcement Officers_Mortality</v>
          </cell>
          <cell r="C104">
            <v>0</v>
          </cell>
          <cell r="D104">
            <v>0</v>
          </cell>
          <cell r="E104">
            <v>0</v>
          </cell>
          <cell r="F104">
            <v>0</v>
          </cell>
          <cell r="G104">
            <v>2305</v>
          </cell>
          <cell r="H104">
            <v>68995116</v>
          </cell>
          <cell r="I104">
            <v>0</v>
          </cell>
          <cell r="J104">
            <v>730462901</v>
          </cell>
          <cell r="K104">
            <v>0</v>
          </cell>
          <cell r="L104">
            <v>0</v>
          </cell>
        </row>
        <row r="105">
          <cell r="C105">
            <v>0</v>
          </cell>
          <cell r="D105">
            <v>0</v>
          </cell>
          <cell r="E105">
            <v>0</v>
          </cell>
          <cell r="F105">
            <v>0</v>
          </cell>
          <cell r="G105">
            <v>2305</v>
          </cell>
          <cell r="H105">
            <v>68995116</v>
          </cell>
          <cell r="I105">
            <v>0</v>
          </cell>
          <cell r="J105">
            <v>720362914</v>
          </cell>
          <cell r="K105">
            <v>0</v>
          </cell>
          <cell r="L105">
            <v>0</v>
          </cell>
        </row>
        <row r="106">
          <cell r="B106" t="str">
            <v>R_Law Enforcement Officers_Fix Disability</v>
          </cell>
          <cell r="C106">
            <v>0</v>
          </cell>
          <cell r="D106">
            <v>0</v>
          </cell>
          <cell r="E106">
            <v>0</v>
          </cell>
          <cell r="F106">
            <v>0</v>
          </cell>
          <cell r="G106">
            <v>2305</v>
          </cell>
          <cell r="H106">
            <v>68995116</v>
          </cell>
          <cell r="I106">
            <v>0</v>
          </cell>
          <cell r="J106">
            <v>730133463</v>
          </cell>
          <cell r="K106">
            <v>0</v>
          </cell>
          <cell r="L106">
            <v>0</v>
          </cell>
        </row>
        <row r="107">
          <cell r="C107">
            <v>0</v>
          </cell>
          <cell r="D107">
            <v>0</v>
          </cell>
          <cell r="E107">
            <v>0</v>
          </cell>
          <cell r="F107">
            <v>0</v>
          </cell>
          <cell r="G107">
            <v>2305</v>
          </cell>
          <cell r="H107">
            <v>68995086</v>
          </cell>
          <cell r="I107">
            <v>0</v>
          </cell>
          <cell r="J107">
            <v>730102232</v>
          </cell>
          <cell r="K107">
            <v>0</v>
          </cell>
          <cell r="L107">
            <v>0</v>
          </cell>
        </row>
        <row r="108">
          <cell r="B108" t="str">
            <v>B_Law Enforcement Officers_Experience</v>
          </cell>
          <cell r="C108">
            <v>0</v>
          </cell>
          <cell r="D108">
            <v>0</v>
          </cell>
          <cell r="E108">
            <v>0</v>
          </cell>
          <cell r="F108">
            <v>0</v>
          </cell>
          <cell r="G108">
            <v>352</v>
          </cell>
          <cell r="H108">
            <v>6669964</v>
          </cell>
          <cell r="I108">
            <v>0</v>
          </cell>
          <cell r="J108">
            <v>57558402</v>
          </cell>
          <cell r="K108">
            <v>0</v>
          </cell>
          <cell r="L108">
            <v>0</v>
          </cell>
        </row>
        <row r="109">
          <cell r="B109" t="str">
            <v>B_Law Enforcement Officers_Mortality</v>
          </cell>
          <cell r="C109">
            <v>0</v>
          </cell>
          <cell r="D109">
            <v>0</v>
          </cell>
          <cell r="E109">
            <v>0</v>
          </cell>
          <cell r="F109">
            <v>0</v>
          </cell>
          <cell r="G109">
            <v>352</v>
          </cell>
          <cell r="H109">
            <v>6669964</v>
          </cell>
          <cell r="I109">
            <v>0</v>
          </cell>
          <cell r="J109">
            <v>55765870</v>
          </cell>
          <cell r="K109">
            <v>0</v>
          </cell>
          <cell r="L109">
            <v>0</v>
          </cell>
        </row>
        <row r="110">
          <cell r="C110">
            <v>0</v>
          </cell>
          <cell r="D110">
            <v>0</v>
          </cell>
          <cell r="E110">
            <v>0</v>
          </cell>
          <cell r="F110">
            <v>0</v>
          </cell>
          <cell r="G110">
            <v>351</v>
          </cell>
          <cell r="H110">
            <v>6667848</v>
          </cell>
          <cell r="I110">
            <v>0</v>
          </cell>
          <cell r="J110">
            <v>55648593</v>
          </cell>
          <cell r="K110">
            <v>0</v>
          </cell>
          <cell r="L110">
            <v>0</v>
          </cell>
        </row>
        <row r="111">
          <cell r="C111">
            <v>0</v>
          </cell>
          <cell r="D111">
            <v>0</v>
          </cell>
          <cell r="E111">
            <v>0</v>
          </cell>
          <cell r="F111">
            <v>0</v>
          </cell>
          <cell r="G111">
            <v>104041</v>
          </cell>
          <cell r="H111">
            <v>0</v>
          </cell>
          <cell r="I111">
            <v>0</v>
          </cell>
          <cell r="J111">
            <v>1756646365</v>
          </cell>
          <cell r="K111">
            <v>0</v>
          </cell>
          <cell r="L111">
            <v>0</v>
          </cell>
        </row>
        <row r="112">
          <cell r="C112">
            <v>0</v>
          </cell>
          <cell r="D112">
            <v>0</v>
          </cell>
          <cell r="E112">
            <v>0</v>
          </cell>
          <cell r="F112">
            <v>0</v>
          </cell>
          <cell r="G112">
            <v>97429</v>
          </cell>
          <cell r="H112">
            <v>0</v>
          </cell>
          <cell r="I112">
            <v>0</v>
          </cell>
          <cell r="J112">
            <v>1528818350</v>
          </cell>
          <cell r="K112">
            <v>0</v>
          </cell>
          <cell r="L112">
            <v>0</v>
          </cell>
        </row>
        <row r="113">
          <cell r="C113">
            <v>0</v>
          </cell>
          <cell r="D113">
            <v>0</v>
          </cell>
          <cell r="E113">
            <v>0</v>
          </cell>
          <cell r="F113">
            <v>0</v>
          </cell>
          <cell r="G113">
            <v>97429</v>
          </cell>
          <cell r="H113">
            <v>0</v>
          </cell>
          <cell r="I113">
            <v>0</v>
          </cell>
          <cell r="J113">
            <v>1528815591</v>
          </cell>
          <cell r="K113">
            <v>0</v>
          </cell>
          <cell r="L113">
            <v>0</v>
          </cell>
        </row>
        <row r="114">
          <cell r="C114">
            <v>971</v>
          </cell>
          <cell r="D114">
            <v>36334517</v>
          </cell>
          <cell r="E114">
            <v>52.95</v>
          </cell>
          <cell r="F114">
            <v>7.82</v>
          </cell>
          <cell r="G114">
            <v>0</v>
          </cell>
          <cell r="H114">
            <v>0</v>
          </cell>
          <cell r="I114">
            <v>65066200</v>
          </cell>
          <cell r="J114">
            <v>0</v>
          </cell>
          <cell r="K114">
            <v>37825843</v>
          </cell>
          <cell r="L114">
            <v>282415331</v>
          </cell>
          <cell r="M114">
            <v>662646</v>
          </cell>
        </row>
        <row r="115">
          <cell r="B115" t="str">
            <v>D_Teachers_Fix Disability</v>
          </cell>
          <cell r="C115">
            <v>971</v>
          </cell>
          <cell r="D115">
            <v>36334517</v>
          </cell>
          <cell r="E115">
            <v>52.95</v>
          </cell>
          <cell r="F115">
            <v>7.82</v>
          </cell>
          <cell r="G115">
            <v>0</v>
          </cell>
          <cell r="H115">
            <v>0</v>
          </cell>
          <cell r="I115">
            <v>61305742</v>
          </cell>
          <cell r="J115">
            <v>0</v>
          </cell>
          <cell r="K115">
            <v>36904565</v>
          </cell>
          <cell r="L115">
            <v>265466385</v>
          </cell>
          <cell r="M115">
            <v>1484041</v>
          </cell>
        </row>
        <row r="116">
          <cell r="B116" t="str">
            <v>D_Teachers_Correct Groups</v>
          </cell>
          <cell r="C116">
            <v>829</v>
          </cell>
          <cell r="D116">
            <v>31890315</v>
          </cell>
          <cell r="E116">
            <v>51.1</v>
          </cell>
          <cell r="F116">
            <v>9.11</v>
          </cell>
          <cell r="G116">
            <v>0</v>
          </cell>
          <cell r="H116">
            <v>0</v>
          </cell>
          <cell r="I116">
            <v>58253706</v>
          </cell>
          <cell r="J116">
            <v>0</v>
          </cell>
          <cell r="K116">
            <v>36077211</v>
          </cell>
          <cell r="L116">
            <v>247170338</v>
          </cell>
          <cell r="M116">
            <v>1406857</v>
          </cell>
        </row>
        <row r="117">
          <cell r="C117">
            <v>971</v>
          </cell>
          <cell r="D117">
            <v>36334517</v>
          </cell>
          <cell r="E117">
            <v>52.95</v>
          </cell>
          <cell r="F117">
            <v>7.82</v>
          </cell>
          <cell r="G117">
            <v>0</v>
          </cell>
          <cell r="H117">
            <v>0</v>
          </cell>
          <cell r="I117">
            <v>65485767</v>
          </cell>
          <cell r="J117">
            <v>0</v>
          </cell>
          <cell r="K117">
            <v>38231479</v>
          </cell>
          <cell r="L117">
            <v>282415331</v>
          </cell>
          <cell r="M117">
            <v>662646</v>
          </cell>
        </row>
        <row r="118">
          <cell r="B118" t="str">
            <v>D_Teachers_Fix Disability_NC</v>
          </cell>
          <cell r="C118">
            <v>971</v>
          </cell>
          <cell r="D118">
            <v>36334517</v>
          </cell>
          <cell r="E118">
            <v>52.95</v>
          </cell>
          <cell r="F118">
            <v>7.82</v>
          </cell>
          <cell r="G118">
            <v>0</v>
          </cell>
          <cell r="H118">
            <v>0</v>
          </cell>
          <cell r="I118">
            <v>61759603</v>
          </cell>
          <cell r="J118">
            <v>0</v>
          </cell>
          <cell r="K118">
            <v>37275609</v>
          </cell>
          <cell r="L118">
            <v>265466385</v>
          </cell>
          <cell r="M118">
            <v>1484041</v>
          </cell>
        </row>
        <row r="119">
          <cell r="B119" t="str">
            <v>D_Teachers_Correct Groups_NC</v>
          </cell>
          <cell r="C119">
            <v>829</v>
          </cell>
          <cell r="D119">
            <v>31890315</v>
          </cell>
          <cell r="E119">
            <v>51.1</v>
          </cell>
          <cell r="F119">
            <v>9.11</v>
          </cell>
          <cell r="G119">
            <v>0</v>
          </cell>
          <cell r="H119">
            <v>0</v>
          </cell>
          <cell r="I119">
            <v>58951615</v>
          </cell>
          <cell r="J119">
            <v>0</v>
          </cell>
          <cell r="K119">
            <v>36613113</v>
          </cell>
          <cell r="L119">
            <v>247170338</v>
          </cell>
          <cell r="M119">
            <v>1406857</v>
          </cell>
        </row>
        <row r="120">
          <cell r="C120">
            <v>5904</v>
          </cell>
          <cell r="D120">
            <v>190251135</v>
          </cell>
          <cell r="E120">
            <v>54.91</v>
          </cell>
          <cell r="F120">
            <v>11.27</v>
          </cell>
          <cell r="G120">
            <v>0</v>
          </cell>
          <cell r="H120">
            <v>0</v>
          </cell>
          <cell r="I120">
            <v>389310930</v>
          </cell>
          <cell r="J120">
            <v>0</v>
          </cell>
          <cell r="K120">
            <v>271707637</v>
          </cell>
          <cell r="L120">
            <v>1259144552</v>
          </cell>
          <cell r="M120">
            <v>4163345</v>
          </cell>
        </row>
        <row r="121">
          <cell r="B121" t="str">
            <v>D_General_Fix Disability</v>
          </cell>
          <cell r="C121">
            <v>5904</v>
          </cell>
          <cell r="D121">
            <v>190251135</v>
          </cell>
          <cell r="E121">
            <v>54.91</v>
          </cell>
          <cell r="F121">
            <v>11.27</v>
          </cell>
          <cell r="G121">
            <v>0</v>
          </cell>
          <cell r="H121">
            <v>0</v>
          </cell>
          <cell r="I121">
            <v>376137026</v>
          </cell>
          <cell r="J121">
            <v>0</v>
          </cell>
          <cell r="K121">
            <v>270612320</v>
          </cell>
          <cell r="L121">
            <v>1188047338</v>
          </cell>
          <cell r="M121">
            <v>9310577</v>
          </cell>
        </row>
        <row r="122">
          <cell r="B122" t="str">
            <v>D_General_Correct Groups</v>
          </cell>
          <cell r="C122">
            <v>5785</v>
          </cell>
          <cell r="D122">
            <v>187581096</v>
          </cell>
          <cell r="E122">
            <v>55.19</v>
          </cell>
          <cell r="F122">
            <v>11.04</v>
          </cell>
          <cell r="G122">
            <v>0</v>
          </cell>
          <cell r="H122">
            <v>0</v>
          </cell>
          <cell r="I122">
            <v>355932262</v>
          </cell>
          <cell r="J122">
            <v>0</v>
          </cell>
          <cell r="K122">
            <v>254869203</v>
          </cell>
          <cell r="L122">
            <v>1160411680</v>
          </cell>
          <cell r="M122">
            <v>9124111</v>
          </cell>
        </row>
        <row r="123">
          <cell r="C123">
            <v>5904</v>
          </cell>
          <cell r="D123">
            <v>190251135</v>
          </cell>
          <cell r="E123">
            <v>54.91</v>
          </cell>
          <cell r="F123">
            <v>11.27</v>
          </cell>
          <cell r="G123">
            <v>0</v>
          </cell>
          <cell r="H123">
            <v>0</v>
          </cell>
          <cell r="I123">
            <v>387705597</v>
          </cell>
          <cell r="J123">
            <v>0</v>
          </cell>
          <cell r="K123">
            <v>271298035</v>
          </cell>
          <cell r="L123">
            <v>1259144552</v>
          </cell>
          <cell r="M123">
            <v>4163345</v>
          </cell>
        </row>
        <row r="124">
          <cell r="B124" t="str">
            <v>D_General_Fix Disability_NC</v>
          </cell>
          <cell r="C124">
            <v>5904</v>
          </cell>
          <cell r="D124">
            <v>190251135</v>
          </cell>
          <cell r="E124">
            <v>54.91</v>
          </cell>
          <cell r="F124">
            <v>11.27</v>
          </cell>
          <cell r="G124">
            <v>0</v>
          </cell>
          <cell r="H124">
            <v>0</v>
          </cell>
          <cell r="I124">
            <v>374744247</v>
          </cell>
          <cell r="J124">
            <v>0</v>
          </cell>
          <cell r="K124">
            <v>269485262</v>
          </cell>
          <cell r="L124">
            <v>1188047338</v>
          </cell>
          <cell r="M124">
            <v>9310577</v>
          </cell>
        </row>
        <row r="125">
          <cell r="B125" t="str">
            <v>D_General_Correct Groups_NC</v>
          </cell>
          <cell r="C125">
            <v>5785</v>
          </cell>
          <cell r="D125">
            <v>187581096</v>
          </cell>
          <cell r="E125">
            <v>55.19</v>
          </cell>
          <cell r="F125">
            <v>11.04</v>
          </cell>
          <cell r="G125">
            <v>0</v>
          </cell>
          <cell r="H125">
            <v>0</v>
          </cell>
          <cell r="I125">
            <v>363065543</v>
          </cell>
          <cell r="J125">
            <v>0</v>
          </cell>
          <cell r="K125">
            <v>259826502</v>
          </cell>
          <cell r="L125">
            <v>1160411680</v>
          </cell>
          <cell r="M125">
            <v>9124111</v>
          </cell>
        </row>
        <row r="126">
          <cell r="C126">
            <v>58</v>
          </cell>
          <cell r="D126">
            <v>2540584</v>
          </cell>
          <cell r="E126">
            <v>49.33</v>
          </cell>
          <cell r="F126">
            <v>10.78</v>
          </cell>
          <cell r="G126">
            <v>0</v>
          </cell>
          <cell r="H126">
            <v>0</v>
          </cell>
          <cell r="I126">
            <v>5931414</v>
          </cell>
          <cell r="J126">
            <v>0</v>
          </cell>
          <cell r="K126">
            <v>4172989</v>
          </cell>
          <cell r="L126">
            <v>16391218</v>
          </cell>
          <cell r="M126">
            <v>33720</v>
          </cell>
        </row>
        <row r="127">
          <cell r="B127" t="str">
            <v>D_Law Enforcement Officers_Fix Disability</v>
          </cell>
          <cell r="C127">
            <v>58</v>
          </cell>
          <cell r="D127">
            <v>2540584</v>
          </cell>
          <cell r="E127">
            <v>49.33</v>
          </cell>
          <cell r="F127">
            <v>10.78</v>
          </cell>
          <cell r="G127">
            <v>0</v>
          </cell>
          <cell r="H127">
            <v>0</v>
          </cell>
          <cell r="I127">
            <v>5367782</v>
          </cell>
          <cell r="J127">
            <v>0</v>
          </cell>
          <cell r="K127">
            <v>3916454</v>
          </cell>
          <cell r="L127">
            <v>15304273</v>
          </cell>
          <cell r="M127">
            <v>121171</v>
          </cell>
        </row>
        <row r="128">
          <cell r="B128" t="str">
            <v>D_Law Enforcement Officers_Correct Groups</v>
          </cell>
          <cell r="C128">
            <v>54</v>
          </cell>
          <cell r="D128">
            <v>2416084</v>
          </cell>
          <cell r="E128">
            <v>48.59</v>
          </cell>
          <cell r="F128">
            <v>11.52</v>
          </cell>
          <cell r="G128">
            <v>0</v>
          </cell>
          <cell r="H128">
            <v>0</v>
          </cell>
          <cell r="I128">
            <v>5299492</v>
          </cell>
          <cell r="J128">
            <v>0</v>
          </cell>
          <cell r="K128">
            <v>3902527</v>
          </cell>
          <cell r="L128">
            <v>14859237</v>
          </cell>
          <cell r="M128">
            <v>119611</v>
          </cell>
        </row>
        <row r="129">
          <cell r="C129">
            <v>58</v>
          </cell>
          <cell r="D129">
            <v>2540584</v>
          </cell>
          <cell r="E129">
            <v>49.33</v>
          </cell>
          <cell r="F129">
            <v>10.78</v>
          </cell>
          <cell r="G129">
            <v>0</v>
          </cell>
          <cell r="H129">
            <v>0</v>
          </cell>
          <cell r="I129">
            <v>5929537</v>
          </cell>
          <cell r="J129">
            <v>0</v>
          </cell>
          <cell r="K129">
            <v>4170628</v>
          </cell>
          <cell r="L129">
            <v>16391218</v>
          </cell>
          <cell r="M129">
            <v>33720</v>
          </cell>
        </row>
        <row r="130">
          <cell r="B130" t="str">
            <v>D_Law Enforcement Officers_Fix Disability_NC</v>
          </cell>
          <cell r="C130">
            <v>58</v>
          </cell>
          <cell r="D130">
            <v>2540584</v>
          </cell>
          <cell r="E130">
            <v>49.33</v>
          </cell>
          <cell r="F130">
            <v>10.78</v>
          </cell>
          <cell r="G130">
            <v>0</v>
          </cell>
          <cell r="H130">
            <v>0</v>
          </cell>
          <cell r="I130">
            <v>5366970</v>
          </cell>
          <cell r="J130">
            <v>0</v>
          </cell>
          <cell r="K130">
            <v>3905769</v>
          </cell>
          <cell r="L130">
            <v>15304273</v>
          </cell>
          <cell r="M130">
            <v>121171</v>
          </cell>
        </row>
        <row r="131">
          <cell r="B131" t="str">
            <v>D_Law Enforcement Officers_Correct Groups_NC</v>
          </cell>
          <cell r="C131">
            <v>54</v>
          </cell>
          <cell r="D131">
            <v>2416084</v>
          </cell>
          <cell r="E131">
            <v>48.59</v>
          </cell>
          <cell r="F131">
            <v>11.52</v>
          </cell>
          <cell r="G131">
            <v>0</v>
          </cell>
          <cell r="H131">
            <v>0</v>
          </cell>
          <cell r="I131">
            <v>5300664</v>
          </cell>
          <cell r="J131">
            <v>0</v>
          </cell>
          <cell r="K131">
            <v>3893078</v>
          </cell>
          <cell r="L131">
            <v>14859237</v>
          </cell>
          <cell r="M131">
            <v>119611</v>
          </cell>
        </row>
        <row r="132">
          <cell r="B132" t="str">
            <v>D_Other Education_Correct Groups</v>
          </cell>
          <cell r="C132">
            <v>265</v>
          </cell>
          <cell r="D132">
            <v>7238740</v>
          </cell>
          <cell r="E132">
            <v>53.55</v>
          </cell>
          <cell r="F132">
            <v>10.18</v>
          </cell>
          <cell r="G132">
            <v>0</v>
          </cell>
          <cell r="H132">
            <v>0</v>
          </cell>
          <cell r="I132">
            <v>14175087</v>
          </cell>
          <cell r="J132">
            <v>0</v>
          </cell>
          <cell r="K132">
            <v>9986551</v>
          </cell>
          <cell r="L132">
            <v>46709065</v>
          </cell>
          <cell r="M132">
            <v>273620</v>
          </cell>
        </row>
        <row r="133">
          <cell r="B133" t="str">
            <v>D_Other Education_Correct Groups_NC</v>
          </cell>
          <cell r="C133">
            <v>265</v>
          </cell>
          <cell r="D133">
            <v>7238740</v>
          </cell>
          <cell r="E133">
            <v>53.55</v>
          </cell>
          <cell r="F133">
            <v>10.18</v>
          </cell>
          <cell r="G133">
            <v>0</v>
          </cell>
          <cell r="H133">
            <v>0</v>
          </cell>
          <cell r="I133">
            <v>14452810</v>
          </cell>
          <cell r="J133">
            <v>0</v>
          </cell>
          <cell r="K133">
            <v>10230361</v>
          </cell>
          <cell r="L133">
            <v>46709065</v>
          </cell>
          <cell r="M133">
            <v>273620</v>
          </cell>
        </row>
        <row r="134">
          <cell r="B134" t="str">
            <v>A_Teachers_AFC Load</v>
          </cell>
          <cell r="C134">
            <v>150859</v>
          </cell>
          <cell r="D134">
            <v>6918855488</v>
          </cell>
          <cell r="E134">
            <v>43.17</v>
          </cell>
          <cell r="F134">
            <v>10.26</v>
          </cell>
          <cell r="G134">
            <v>0</v>
          </cell>
          <cell r="H134">
            <v>0</v>
          </cell>
          <cell r="I134">
            <v>19814003983</v>
          </cell>
          <cell r="J134">
            <v>0</v>
          </cell>
          <cell r="K134">
            <v>12984790666</v>
          </cell>
          <cell r="L134">
            <v>59749832108</v>
          </cell>
          <cell r="M134">
            <v>115046171</v>
          </cell>
          <cell r="N134">
            <v>411181250</v>
          </cell>
          <cell r="O134">
            <v>3072433749</v>
          </cell>
          <cell r="P134">
            <v>21442116</v>
          </cell>
        </row>
        <row r="135">
          <cell r="B135" t="str">
            <v>A_Teachers_AFC Load_NC</v>
          </cell>
          <cell r="C135">
            <v>150859</v>
          </cell>
          <cell r="D135">
            <v>6918855488</v>
          </cell>
          <cell r="E135">
            <v>43.17</v>
          </cell>
          <cell r="F135">
            <v>10.26</v>
          </cell>
          <cell r="G135">
            <v>0</v>
          </cell>
          <cell r="H135">
            <v>0</v>
          </cell>
          <cell r="I135">
            <v>19731025387</v>
          </cell>
          <cell r="J135">
            <v>0</v>
          </cell>
          <cell r="K135">
            <v>12940741107</v>
          </cell>
          <cell r="L135">
            <v>59749832108</v>
          </cell>
          <cell r="M135">
            <v>115046171</v>
          </cell>
          <cell r="N135">
            <v>410388580</v>
          </cell>
          <cell r="O135">
            <v>3072433749</v>
          </cell>
          <cell r="P135">
            <v>21442116</v>
          </cell>
        </row>
        <row r="136">
          <cell r="B136" t="str">
            <v>A_General_AFC Load</v>
          </cell>
          <cell r="C136">
            <v>113353</v>
          </cell>
          <cell r="D136">
            <v>5214530027</v>
          </cell>
          <cell r="E136">
            <v>45.8</v>
          </cell>
          <cell r="F136">
            <v>10.06</v>
          </cell>
          <cell r="G136">
            <v>0</v>
          </cell>
          <cell r="H136">
            <v>0</v>
          </cell>
          <cell r="I136">
            <v>13499019397</v>
          </cell>
          <cell r="J136">
            <v>0</v>
          </cell>
          <cell r="K136">
            <v>9098313614</v>
          </cell>
          <cell r="L136">
            <v>41545877871</v>
          </cell>
          <cell r="M136">
            <v>101993763</v>
          </cell>
          <cell r="N136">
            <v>252174087</v>
          </cell>
          <cell r="O136">
            <v>1973350931</v>
          </cell>
          <cell r="P136">
            <v>14202668</v>
          </cell>
        </row>
        <row r="137">
          <cell r="B137" t="str">
            <v>A_General_AFC Load_NC</v>
          </cell>
          <cell r="C137">
            <v>113353</v>
          </cell>
          <cell r="D137">
            <v>5214530027</v>
          </cell>
          <cell r="E137">
            <v>45.8</v>
          </cell>
          <cell r="F137">
            <v>10.06</v>
          </cell>
          <cell r="G137">
            <v>0</v>
          </cell>
          <cell r="H137">
            <v>0</v>
          </cell>
          <cell r="I137">
            <v>13469389802</v>
          </cell>
          <cell r="J137">
            <v>0</v>
          </cell>
          <cell r="K137">
            <v>9079625701</v>
          </cell>
          <cell r="L137">
            <v>41545877871</v>
          </cell>
          <cell r="M137">
            <v>101993763</v>
          </cell>
          <cell r="N137">
            <v>251494004</v>
          </cell>
          <cell r="O137">
            <v>1973350931</v>
          </cell>
          <cell r="P137">
            <v>14202668</v>
          </cell>
        </row>
        <row r="138">
          <cell r="B138" t="str">
            <v>A_Law Enforcement Officers_AFC Load</v>
          </cell>
          <cell r="C138">
            <v>3529</v>
          </cell>
          <cell r="D138">
            <v>204947078</v>
          </cell>
          <cell r="E138">
            <v>39.92</v>
          </cell>
          <cell r="F138">
            <v>12.8</v>
          </cell>
          <cell r="G138">
            <v>0</v>
          </cell>
          <cell r="H138">
            <v>0</v>
          </cell>
          <cell r="I138">
            <v>724185605</v>
          </cell>
          <cell r="J138">
            <v>0</v>
          </cell>
          <cell r="K138">
            <v>492446253</v>
          </cell>
          <cell r="L138">
            <v>1810236207</v>
          </cell>
          <cell r="M138">
            <v>1761540</v>
          </cell>
          <cell r="N138">
            <v>5708161</v>
          </cell>
          <cell r="O138">
            <v>30044906</v>
          </cell>
          <cell r="P138">
            <v>105362</v>
          </cell>
        </row>
        <row r="139">
          <cell r="B139" t="str">
            <v>A_Law Enforcement Officers_AFC Load_NC</v>
          </cell>
          <cell r="C139">
            <v>3529</v>
          </cell>
          <cell r="D139">
            <v>204947078</v>
          </cell>
          <cell r="E139">
            <v>39.92</v>
          </cell>
          <cell r="F139">
            <v>12.8</v>
          </cell>
          <cell r="G139">
            <v>0</v>
          </cell>
          <cell r="H139">
            <v>0</v>
          </cell>
          <cell r="I139">
            <v>723389605</v>
          </cell>
          <cell r="J139">
            <v>0</v>
          </cell>
          <cell r="K139">
            <v>492185920</v>
          </cell>
          <cell r="L139">
            <v>1810236207</v>
          </cell>
          <cell r="M139">
            <v>1761540</v>
          </cell>
          <cell r="N139">
            <v>5790859</v>
          </cell>
          <cell r="O139">
            <v>30044906</v>
          </cell>
          <cell r="P139">
            <v>105362</v>
          </cell>
        </row>
        <row r="140">
          <cell r="B140" t="str">
            <v>A_Other Education_AFC Load</v>
          </cell>
          <cell r="C140">
            <v>48906</v>
          </cell>
          <cell r="D140">
            <v>2001734581</v>
          </cell>
          <cell r="E140">
            <v>48.51</v>
          </cell>
          <cell r="F140">
            <v>10.72</v>
          </cell>
          <cell r="G140">
            <v>0</v>
          </cell>
          <cell r="H140">
            <v>0</v>
          </cell>
          <cell r="I140">
            <v>5898471414</v>
          </cell>
          <cell r="J140">
            <v>0</v>
          </cell>
          <cell r="K140">
            <v>4319266882</v>
          </cell>
          <cell r="L140">
            <v>14693640050</v>
          </cell>
          <cell r="M140">
            <v>30291613</v>
          </cell>
          <cell r="N140">
            <v>67424448</v>
          </cell>
          <cell r="O140">
            <v>485591978</v>
          </cell>
          <cell r="P140">
            <v>3729722</v>
          </cell>
        </row>
        <row r="141">
          <cell r="B141" t="str">
            <v>A_Other Education_AFC Load_NC</v>
          </cell>
          <cell r="C141">
            <v>48906</v>
          </cell>
          <cell r="D141">
            <v>2001734581</v>
          </cell>
          <cell r="E141">
            <v>48.51</v>
          </cell>
          <cell r="F141">
            <v>10.72</v>
          </cell>
          <cell r="G141">
            <v>0</v>
          </cell>
          <cell r="H141">
            <v>0</v>
          </cell>
          <cell r="I141">
            <v>5883485163</v>
          </cell>
          <cell r="J141">
            <v>0</v>
          </cell>
          <cell r="K141">
            <v>4308279747</v>
          </cell>
          <cell r="L141">
            <v>14693640050</v>
          </cell>
          <cell r="M141">
            <v>30291613</v>
          </cell>
          <cell r="N141">
            <v>67081485</v>
          </cell>
          <cell r="O141">
            <v>485591978</v>
          </cell>
          <cell r="P141">
            <v>3729722</v>
          </cell>
        </row>
        <row r="142">
          <cell r="C142" t="str">
            <v>01.09.01.04.05 - TSERS - Inactives - Teachers - New Groups</v>
          </cell>
          <cell r="D142" t="str">
            <v>01.09.01.04.06 - TSERS - Inactives - Other Ed. - New Groups</v>
          </cell>
          <cell r="E142" t="str">
            <v>01.09.01.05.03 - TSERS - Beneficiaries - Teachers - New Groups</v>
          </cell>
          <cell r="F142" t="str">
            <v>01.09.01.05.04 - TSERS - Beneficiaries - Other Ed. - New Groups</v>
          </cell>
          <cell r="G142" t="str">
            <v>01.09.01.06.05 - TSERS - Inactives - General - New Groups</v>
          </cell>
          <cell r="H142" t="str">
            <v>01.09.01.07.03 - TSERS - Beneficiaries - General - New Groups</v>
          </cell>
          <cell r="I142" t="str">
            <v>01.09.01.08.05 - TSERS - Inactives - LEO - New Groups</v>
          </cell>
          <cell r="J142" t="str">
            <v>01.09.01.09.03 - TSERS - Beneficiaries - LEO - New Groups</v>
          </cell>
          <cell r="K142" t="str">
            <v>02.08.01.01.01 - TSERS - Actives - Teachers - Grouped</v>
          </cell>
          <cell r="L142" t="str">
            <v>02.08.01.01.02 - TSERS - Actives - Teachers - Grouped - NC</v>
          </cell>
          <cell r="M142" t="str">
            <v>02.08.01.02.01 - TSERS - Actives - General - Grouped</v>
          </cell>
          <cell r="N142" t="str">
            <v>02.08.01.02.02 - TSERS - Actives - General - Grouped - NC</v>
          </cell>
          <cell r="O142" t="str">
            <v>02.08.01.03.01 - TSERS - Actives - Law Enforcement - Grouped</v>
          </cell>
          <cell r="P142" t="str">
            <v>02.08.01.03.02 - TSERS - Actives - Law Enforcement - Grouped - NC</v>
          </cell>
          <cell r="Q142" t="str">
            <v>02.08.01.04.01 - TSERS - Inactives - Teachers</v>
          </cell>
          <cell r="R142" t="str">
            <v>02.08.01.05.01 - TSERS - Beneficiaries - Teachers</v>
          </cell>
          <cell r="S142" t="str">
            <v>02.08.01.06.01 - TSERS - Inactives - General</v>
          </cell>
        </row>
        <row r="143">
          <cell r="C143" t="str">
            <v xml:space="preserve"> 01.09.01.04.05 - TSERS - Inactives - Teachers - New Groups</v>
          </cell>
          <cell r="D143" t="str">
            <v xml:space="preserve"> 01.09.01.04.06 - TSERS - Inactives - Other Ed. - New Groups</v>
          </cell>
          <cell r="E143" t="str">
            <v xml:space="preserve"> 01.09.01.05.03 - TSERS - Beneficiaries - Teachers - New Groups</v>
          </cell>
          <cell r="F143" t="str">
            <v xml:space="preserve"> 01.09.01.05.04 - TSERS - Beneficiaries - Other Ed. - New Groups</v>
          </cell>
          <cell r="G143" t="str">
            <v xml:space="preserve"> 01.09.01.06.05 - TSERS - Inactives - General - New Groups</v>
          </cell>
          <cell r="H143" t="str">
            <v xml:space="preserve"> 01.09.01.07.03 - TSERS - Beneficiaries - General - New Groups</v>
          </cell>
          <cell r="I143" t="str">
            <v xml:space="preserve"> 01.09.01.08.05 - TSERS - Inactives - LEO - New Groups</v>
          </cell>
          <cell r="J143" t="str">
            <v xml:space="preserve"> 01.09.01.09.03 - TSERS - Beneficiaries - LEO - New Groups</v>
          </cell>
          <cell r="K143" t="str">
            <v xml:space="preserve"> 02.08.01.01.01 - TSERS - Actives - Teachers - Grouped</v>
          </cell>
          <cell r="L143" t="str">
            <v xml:space="preserve"> 02.08.01.01.02 - TSERS - Actives - Teachers - Grouped - NC</v>
          </cell>
          <cell r="M143" t="str">
            <v xml:space="preserve"> 02.08.01.02.01 - TSERS - Actives - General - Grouped</v>
          </cell>
          <cell r="N143" t="str">
            <v xml:space="preserve"> 02.08.01.02.02 - TSERS - Actives - General - Grouped - NC</v>
          </cell>
          <cell r="O143" t="str">
            <v xml:space="preserve"> 02.08.01.03.01 - TSERS - Actives - Law Enforcement - Grouped</v>
          </cell>
          <cell r="P143" t="str">
            <v xml:space="preserve"> 02.08.01.03.02 - TSERS - Actives - Law Enforcement - Grouped - NC</v>
          </cell>
          <cell r="Q143" t="str">
            <v xml:space="preserve"> 02.08.01.04.01 - TSERS - Inactives - Teachers</v>
          </cell>
          <cell r="R143" t="str">
            <v xml:space="preserve"> 02.08.01.05.01 - TSERS - Beneficiaries - Teachers</v>
          </cell>
          <cell r="S143" t="str">
            <v xml:space="preserve"> 02.08.01.06.01 - TSERS - Inactives - General</v>
          </cell>
        </row>
        <row r="144">
          <cell r="C144" t="str">
            <v xml:space="preserve"> 12/31/2009</v>
          </cell>
          <cell r="D144" t="str">
            <v xml:space="preserve"> 12/31/2009</v>
          </cell>
          <cell r="E144" t="str">
            <v xml:space="preserve"> 12/31/2009</v>
          </cell>
          <cell r="F144" t="str">
            <v xml:space="preserve"> 12/31/2009</v>
          </cell>
          <cell r="G144" t="str">
            <v xml:space="preserve"> 12/31/2009</v>
          </cell>
          <cell r="H144" t="str">
            <v xml:space="preserve"> 12/31/2009</v>
          </cell>
          <cell r="I144" t="str">
            <v xml:space="preserve"> 12/31/2009</v>
          </cell>
          <cell r="J144" t="str">
            <v xml:space="preserve"> 12/31/2009</v>
          </cell>
          <cell r="K144" t="str">
            <v xml:space="preserve"> 12/31/2008</v>
          </cell>
          <cell r="L144" t="str">
            <v xml:space="preserve"> 12/31/2008</v>
          </cell>
          <cell r="M144" t="str">
            <v xml:space="preserve"> 12/31/2008</v>
          </cell>
          <cell r="N144" t="str">
            <v xml:space="preserve"> 12/31/2008</v>
          </cell>
          <cell r="O144" t="str">
            <v xml:space="preserve"> 12/31/2008</v>
          </cell>
          <cell r="P144" t="str">
            <v xml:space="preserve"> 12/31/2008</v>
          </cell>
          <cell r="Q144" t="str">
            <v xml:space="preserve"> 12/31/2008</v>
          </cell>
          <cell r="R144" t="str">
            <v xml:space="preserve"> 12/31/2008</v>
          </cell>
          <cell r="S144" t="str">
            <v xml:space="preserve"> 12/31/2008</v>
          </cell>
        </row>
        <row r="145">
          <cell r="C145" t="str">
            <v xml:space="preserve"> 01.01.09.01 - TSERS - Teachers &amp; General</v>
          </cell>
          <cell r="D145" t="str">
            <v xml:space="preserve"> 01.01.09.01 - TSERS - Teachers &amp; General</v>
          </cell>
          <cell r="E145" t="str">
            <v xml:space="preserve"> 01.01.09.01 - TSERS - Teachers &amp; General</v>
          </cell>
          <cell r="F145" t="str">
            <v xml:space="preserve"> 01.01.09.01 - TSERS - Teachers &amp; General</v>
          </cell>
          <cell r="G145" t="str">
            <v xml:space="preserve"> 01.01.09.01 - TSERS - Teachers &amp; General</v>
          </cell>
          <cell r="H145" t="str">
            <v xml:space="preserve"> 01.01.09.01 - TSERS - Teachers &amp; General</v>
          </cell>
          <cell r="I145" t="str">
            <v xml:space="preserve"> 01.02.09.01 - TSERS - Law Enforcement Officers</v>
          </cell>
          <cell r="J145" t="str">
            <v xml:space="preserve"> 01.02.09.01 - TSERS - Law Enforcement Officers</v>
          </cell>
          <cell r="K145" t="str">
            <v xml:space="preserve"> 01.01.08 - TSERS - Teachers &amp; General</v>
          </cell>
          <cell r="L145" t="str">
            <v xml:space="preserve"> 01.01.08 - TSERS - Teachers &amp; General</v>
          </cell>
          <cell r="M145" t="str">
            <v xml:space="preserve"> 01.01.08 - TSERS - Teachers &amp; General</v>
          </cell>
          <cell r="N145" t="str">
            <v xml:space="preserve"> 01.01.08 - TSERS - Teachers &amp; General</v>
          </cell>
          <cell r="O145" t="str">
            <v xml:space="preserve"> 01.02.08 - TSERS - Law Enforcement Officers</v>
          </cell>
          <cell r="P145" t="str">
            <v xml:space="preserve"> 01.02.08 - TSERS - Law Enforcement Officers</v>
          </cell>
          <cell r="Q145" t="str">
            <v xml:space="preserve"> 01.01.08 - TSERS - Teachers &amp; General</v>
          </cell>
          <cell r="R145" t="str">
            <v xml:space="preserve"> 01.01.08 - TSERS - Teachers &amp; General</v>
          </cell>
          <cell r="S145" t="str">
            <v xml:space="preserve"> 01.01.08 - TSERS - Teachers &amp; General</v>
          </cell>
        </row>
        <row r="146">
          <cell r="C146" t="str">
            <v xml:space="preserve"> 09.01.02 - Inactives</v>
          </cell>
          <cell r="D146" t="str">
            <v xml:space="preserve"> 09.01.02 - Inactives</v>
          </cell>
          <cell r="E146" t="str">
            <v xml:space="preserve"> 09.01.03 - Beneficiaries</v>
          </cell>
          <cell r="F146" t="str">
            <v xml:space="preserve"> 09.01.03 - Beneficiaries</v>
          </cell>
          <cell r="G146" t="str">
            <v xml:space="preserve"> 09.01.02 - Inactives</v>
          </cell>
          <cell r="H146" t="str">
            <v xml:space="preserve"> 09.01.03 - Beneficiaries</v>
          </cell>
          <cell r="I146" t="str">
            <v xml:space="preserve"> 09.01.02 - Inactives</v>
          </cell>
          <cell r="J146" t="str">
            <v xml:space="preserve"> 09.01.03 - Beneficiaries</v>
          </cell>
          <cell r="K146" t="str">
            <v xml:space="preserve"> 08.02.01 - Actives - Grouped</v>
          </cell>
          <cell r="L146" t="str">
            <v xml:space="preserve"> 08.02.02 - Actives - Grouped - NC</v>
          </cell>
          <cell r="M146" t="str">
            <v xml:space="preserve"> 08.02.01 - Actives - Grouped</v>
          </cell>
          <cell r="N146" t="str">
            <v xml:space="preserve"> 08.02.02 - Actives - Grouped - NC</v>
          </cell>
          <cell r="O146" t="str">
            <v xml:space="preserve"> 08.02.01 - Actives - Grouped</v>
          </cell>
          <cell r="P146" t="str">
            <v xml:space="preserve"> 08.02.02 - Actives - Grouped - NC</v>
          </cell>
          <cell r="Q146" t="str">
            <v xml:space="preserve"> 08.02.02 - Inactives - Grouped</v>
          </cell>
          <cell r="R146" t="str">
            <v xml:space="preserve"> 08.02.03 - Beneficiaries - Grouped</v>
          </cell>
          <cell r="S146" t="str">
            <v xml:space="preserve"> 08.02.02 - Inactives - Grouped</v>
          </cell>
        </row>
        <row r="147">
          <cell r="C147" t="str">
            <v xml:space="preserve"> 09.08 Correct Groups</v>
          </cell>
          <cell r="D147" t="str">
            <v xml:space="preserve"> 09.08 Correct Groups</v>
          </cell>
          <cell r="E147" t="str">
            <v xml:space="preserve"> 09.08 Correct Groups</v>
          </cell>
          <cell r="F147" t="str">
            <v xml:space="preserve"> 09.08 Correct Groups</v>
          </cell>
          <cell r="G147" t="str">
            <v xml:space="preserve"> 09.08 Correct Groups</v>
          </cell>
          <cell r="H147" t="str">
            <v xml:space="preserve"> 09.08 Correct Groups</v>
          </cell>
          <cell r="I147" t="str">
            <v xml:space="preserve"> 09.08 Correct Groups</v>
          </cell>
          <cell r="J147" t="str">
            <v xml:space="preserve"> 09.08 Correct Groups</v>
          </cell>
          <cell r="K147" t="str">
            <v xml:space="preserve"> 2008 Grouped Data - Round EA</v>
          </cell>
          <cell r="L147" t="str">
            <v xml:space="preserve"> 2008 Grouped Data - Round EA</v>
          </cell>
          <cell r="M147" t="str">
            <v xml:space="preserve"> 2008 Grouped Data - Round EA</v>
          </cell>
          <cell r="N147" t="str">
            <v xml:space="preserve"> 2008 Grouped Data - Round EA</v>
          </cell>
          <cell r="O147" t="str">
            <v xml:space="preserve"> 2008 Grouped Data - Round EA</v>
          </cell>
          <cell r="P147" t="str">
            <v xml:space="preserve"> 2008 Grouped Data - Round EA</v>
          </cell>
          <cell r="Q147" t="str">
            <v xml:space="preserve"> 2008 Grouped Data - Round EA</v>
          </cell>
          <cell r="R147" t="str">
            <v xml:space="preserve"> 2008 Grouped Data - Round EA</v>
          </cell>
          <cell r="S147" t="str">
            <v xml:space="preserve"> 2008 Grouped Data - Round EA</v>
          </cell>
        </row>
        <row r="148">
          <cell r="C148" t="str">
            <v xml:space="preserve"> &lt;none&gt;</v>
          </cell>
          <cell r="D148" t="str">
            <v xml:space="preserve"> &lt;none&gt;</v>
          </cell>
          <cell r="E148" t="str">
            <v xml:space="preserve"> &lt;none&gt;</v>
          </cell>
          <cell r="F148" t="str">
            <v xml:space="preserve"> &lt;none&gt;</v>
          </cell>
          <cell r="G148" t="str">
            <v xml:space="preserve"> &lt;none&gt;</v>
          </cell>
          <cell r="H148" t="str">
            <v xml:space="preserve"> &lt;none&gt;</v>
          </cell>
          <cell r="I148" t="str">
            <v xml:space="preserve"> &lt;none&gt;</v>
          </cell>
          <cell r="J148" t="str">
            <v xml:space="preserve"> &lt;none&gt;</v>
          </cell>
          <cell r="K148" t="str">
            <v xml:space="preserve"> &lt;none&gt;</v>
          </cell>
          <cell r="L148" t="str">
            <v xml:space="preserve"> &lt;none&gt;</v>
          </cell>
          <cell r="M148" t="str">
            <v xml:space="preserve"> &lt;none&gt;</v>
          </cell>
          <cell r="N148" t="str">
            <v xml:space="preserve"> &lt;none&gt;</v>
          </cell>
          <cell r="O148" t="str">
            <v xml:space="preserve"> &lt;none&gt;</v>
          </cell>
          <cell r="P148" t="str">
            <v xml:space="preserve"> &lt;none&gt;</v>
          </cell>
          <cell r="Q148" t="str">
            <v xml:space="preserve"> &lt;none&gt;</v>
          </cell>
          <cell r="R148" t="str">
            <v xml:space="preserve"> &lt;none&gt;</v>
          </cell>
          <cell r="S148" t="str">
            <v xml:space="preserve"> &lt;none&gt;</v>
          </cell>
        </row>
        <row r="149">
          <cell r="C149" t="str">
            <v xml:space="preserve"> October 1, 2010  4:49 PM</v>
          </cell>
          <cell r="D149" t="str">
            <v xml:space="preserve"> October 1, 2010  4:49 PM</v>
          </cell>
          <cell r="E149" t="str">
            <v xml:space="preserve"> October 1, 2010  4:50 PM</v>
          </cell>
          <cell r="F149" t="str">
            <v xml:space="preserve"> October 1, 2010  4:50 PM</v>
          </cell>
          <cell r="G149" t="str">
            <v xml:space="preserve"> October 1, 2010  4:59 PM</v>
          </cell>
          <cell r="H149" t="str">
            <v xml:space="preserve"> October 1, 2010  5:00 PM</v>
          </cell>
          <cell r="I149" t="str">
            <v xml:space="preserve"> October 1, 2010  5:00 PM</v>
          </cell>
          <cell r="J149" t="str">
            <v xml:space="preserve"> October 1, 2010  5:00 PM</v>
          </cell>
          <cell r="K149" t="str">
            <v xml:space="preserve"> October 1, 2010  5:22 PM</v>
          </cell>
          <cell r="L149" t="str">
            <v xml:space="preserve"> October 1, 2010  5:22 PM</v>
          </cell>
          <cell r="M149" t="str">
            <v xml:space="preserve"> October 1, 2010  5:23 PM</v>
          </cell>
          <cell r="N149" t="str">
            <v xml:space="preserve"> October 1, 2010  5:23 PM</v>
          </cell>
          <cell r="O149" t="str">
            <v xml:space="preserve"> October 1, 2010  5:24 PM</v>
          </cell>
          <cell r="P149" t="str">
            <v xml:space="preserve"> October 1, 2010  5:24 PM</v>
          </cell>
          <cell r="Q149" t="str">
            <v xml:space="preserve"> August 31, 2010  12:01 AM</v>
          </cell>
          <cell r="R149" t="str">
            <v xml:space="preserve"> August 31, 2010  12:01 AM</v>
          </cell>
          <cell r="S149" t="str">
            <v xml:space="preserve"> August 31, 2010  12:02 AM</v>
          </cell>
        </row>
        <row r="150">
          <cell r="C150" t="str">
            <v xml:space="preserve"> 3.01 Sep 13, 2010</v>
          </cell>
          <cell r="D150" t="str">
            <v xml:space="preserve"> 3.01 Sep 13, 2010</v>
          </cell>
          <cell r="E150" t="str">
            <v xml:space="preserve"> 3.01 Sep 13, 2010</v>
          </cell>
          <cell r="F150" t="str">
            <v xml:space="preserve"> 3.01 Sep 13, 2010</v>
          </cell>
          <cell r="G150" t="str">
            <v xml:space="preserve"> 3.01 Sep 13, 2010</v>
          </cell>
          <cell r="H150" t="str">
            <v xml:space="preserve"> 3.01 Sep 13, 2010</v>
          </cell>
          <cell r="I150" t="str">
            <v xml:space="preserve"> 3.01 Sep 13, 2010</v>
          </cell>
          <cell r="J150" t="str">
            <v xml:space="preserve"> 3.01 Sep 13, 2010</v>
          </cell>
          <cell r="K150" t="str">
            <v xml:space="preserve"> 3.01 Sep 13, 2010</v>
          </cell>
          <cell r="L150" t="str">
            <v xml:space="preserve"> 3.01 Sep 13, 2010</v>
          </cell>
          <cell r="M150" t="str">
            <v xml:space="preserve"> 3.01 Sep 13, 2010</v>
          </cell>
          <cell r="N150" t="str">
            <v xml:space="preserve"> 3.01 Sep 13, 2010</v>
          </cell>
          <cell r="O150" t="str">
            <v xml:space="preserve"> 3.01 Sep 13, 2010</v>
          </cell>
          <cell r="P150" t="str">
            <v xml:space="preserve"> 3.01 Sep 13, 2010</v>
          </cell>
          <cell r="Q150" t="str">
            <v xml:space="preserve"> 3.01 Aug 19, 2010</v>
          </cell>
          <cell r="R150" t="str">
            <v xml:space="preserve"> 3.01 Aug 19, 2010</v>
          </cell>
          <cell r="S150" t="str">
            <v xml:space="preserve"> 3.01 Aug 19, 2010</v>
          </cell>
        </row>
        <row r="151">
          <cell r="C151" t="str">
            <v xml:space="preserve"> 01.01.09.04 - TSERS - Teachers - Mortality</v>
          </cell>
          <cell r="D151" t="str">
            <v xml:space="preserve"> 01.02.09.04 - TSERS - General - Mortality</v>
          </cell>
          <cell r="E151" t="str">
            <v xml:space="preserve"> 01.01.09.04 - TSERS - Teachers - Mortality</v>
          </cell>
          <cell r="F151" t="str">
            <v xml:space="preserve"> 01.02.09.04 - TSERS - General - Mortality</v>
          </cell>
          <cell r="G151" t="str">
            <v xml:space="preserve"> 01.02.09.04 - TSERS - General - Mortality</v>
          </cell>
          <cell r="H151" t="str">
            <v xml:space="preserve"> 01.02.09.04 - TSERS - General - Mortality</v>
          </cell>
          <cell r="I151" t="str">
            <v xml:space="preserve"> 01.03.09.04 - TSERS - Law Enforcement Officers - Mortality</v>
          </cell>
          <cell r="J151" t="str">
            <v xml:space="preserve"> 01.03.09.04 - TSERS - Law Enforcement Officers - Mortality</v>
          </cell>
          <cell r="K151" t="str">
            <v xml:space="preserve"> 01.01.08.01 - TSERS - Teachers</v>
          </cell>
          <cell r="L151" t="str">
            <v xml:space="preserve"> 01.01.08.02 - TSERS - Teachers - NC</v>
          </cell>
          <cell r="M151" t="str">
            <v xml:space="preserve"> 01.02.08.01 - TSERS - General</v>
          </cell>
          <cell r="N151" t="str">
            <v xml:space="preserve"> 01.02.08.02 - TSERS - General - NC</v>
          </cell>
          <cell r="O151" t="str">
            <v xml:space="preserve"> 01.03.08.01 - TSERS - Law Enforcement Officers</v>
          </cell>
          <cell r="P151" t="str">
            <v xml:space="preserve"> 01.03.08.02 - TSERS - Law Enforcement Officers - NC</v>
          </cell>
          <cell r="Q151" t="str">
            <v xml:space="preserve"> 01.01.08.01 - TSERS - Teachers</v>
          </cell>
          <cell r="R151" t="str">
            <v xml:space="preserve"> 01.01.08.01 - TSERS - Teachers</v>
          </cell>
          <cell r="S151" t="str">
            <v xml:space="preserve"> 01.02.08.01 - TSERS - General</v>
          </cell>
        </row>
        <row r="152">
          <cell r="C152">
            <v>7.2499999999999995E-2</v>
          </cell>
          <cell r="D152">
            <v>7.2499999999999995E-2</v>
          </cell>
          <cell r="E152">
            <v>7.2499999999999995E-2</v>
          </cell>
          <cell r="F152">
            <v>7.2499999999999995E-2</v>
          </cell>
          <cell r="G152">
            <v>7.2499999999999995E-2</v>
          </cell>
          <cell r="H152">
            <v>7.2499999999999995E-2</v>
          </cell>
          <cell r="I152">
            <v>7.2499999999999995E-2</v>
          </cell>
          <cell r="J152">
            <v>7.2499999999999995E-2</v>
          </cell>
          <cell r="K152">
            <v>7.2499999999999995E-2</v>
          </cell>
          <cell r="L152">
            <v>7.2499999999999995E-2</v>
          </cell>
          <cell r="M152">
            <v>7.2499999999999995E-2</v>
          </cell>
          <cell r="N152">
            <v>7.2499999999999995E-2</v>
          </cell>
          <cell r="O152">
            <v>7.2499999999999995E-2</v>
          </cell>
          <cell r="P152">
            <v>7.2499999999999995E-2</v>
          </cell>
          <cell r="Q152">
            <v>7.2499999999999995E-2</v>
          </cell>
          <cell r="R152">
            <v>7.2499999999999995E-2</v>
          </cell>
          <cell r="S152">
            <v>7.2499999999999995E-2</v>
          </cell>
        </row>
        <row r="153">
          <cell r="C153" t="str">
            <v xml:space="preserve"> 0.035 + merit scale</v>
          </cell>
          <cell r="D153" t="str">
            <v xml:space="preserve"> 0.035 + merit scale</v>
          </cell>
          <cell r="E153" t="str">
            <v xml:space="preserve"> 0.035 + merit scale</v>
          </cell>
          <cell r="F153" t="str">
            <v xml:space="preserve"> 0.035 + merit scale</v>
          </cell>
          <cell r="G153" t="str">
            <v xml:space="preserve"> 0.035 + merit scale</v>
          </cell>
          <cell r="H153" t="str">
            <v xml:space="preserve"> 0.035 + merit scale</v>
          </cell>
          <cell r="I153" t="str">
            <v xml:space="preserve"> 0.035 + merit scale</v>
          </cell>
          <cell r="J153" t="str">
            <v xml:space="preserve"> 0.035 + merit scale</v>
          </cell>
          <cell r="K153" t="str">
            <v xml:space="preserve"> 0.0375 + merit scale</v>
          </cell>
          <cell r="L153" t="str">
            <v xml:space="preserve"> 0.0375 + merit scale</v>
          </cell>
          <cell r="M153" t="str">
            <v xml:space="preserve"> 0.0375 + merit scale</v>
          </cell>
          <cell r="N153" t="str">
            <v xml:space="preserve"> 0.0375 + merit scale</v>
          </cell>
          <cell r="O153" t="str">
            <v xml:space="preserve"> 0.0375 + merit scale</v>
          </cell>
          <cell r="P153" t="str">
            <v xml:space="preserve"> 0.0375 + merit scale</v>
          </cell>
          <cell r="Q153" t="str">
            <v xml:space="preserve"> 0.0375 + merit scale</v>
          </cell>
          <cell r="R153" t="str">
            <v xml:space="preserve"> 0.0375 + merit scale</v>
          </cell>
          <cell r="S153" t="str">
            <v xml:space="preserve"> 0.0375 + merit scale</v>
          </cell>
        </row>
        <row r="154">
          <cell r="C154" t="str">
            <v xml:space="preserve"> &lt;not run&gt;</v>
          </cell>
          <cell r="D154" t="str">
            <v xml:space="preserve"> &lt;not run&gt;</v>
          </cell>
          <cell r="E154" t="str">
            <v xml:space="preserve"> &lt;not run&gt;</v>
          </cell>
          <cell r="F154" t="str">
            <v xml:space="preserve"> &lt;not run&gt;</v>
          </cell>
          <cell r="G154" t="str">
            <v xml:space="preserve"> &lt;not run&gt;</v>
          </cell>
          <cell r="H154" t="str">
            <v xml:space="preserve"> &lt;not run&gt;</v>
          </cell>
          <cell r="I154" t="str">
            <v xml:space="preserve"> &lt;not run&gt;</v>
          </cell>
          <cell r="J154" t="str">
            <v xml:space="preserve"> &lt;not run&gt;</v>
          </cell>
          <cell r="K154" t="str">
            <v xml:space="preserve"> &lt;not run&gt;</v>
          </cell>
          <cell r="L154" t="str">
            <v xml:space="preserve"> &lt;not run&gt;</v>
          </cell>
          <cell r="M154" t="str">
            <v xml:space="preserve"> &lt;not run&gt;</v>
          </cell>
          <cell r="N154" t="str">
            <v xml:space="preserve"> &lt;not run&gt;</v>
          </cell>
          <cell r="O154" t="str">
            <v xml:space="preserve"> &lt;not run&gt;</v>
          </cell>
          <cell r="P154" t="str">
            <v xml:space="preserve"> &lt;not run&gt;</v>
          </cell>
          <cell r="Q154" t="str">
            <v xml:space="preserve"> &lt;not run&gt;</v>
          </cell>
          <cell r="R154" t="str">
            <v xml:space="preserve"> &lt;not run&gt;</v>
          </cell>
          <cell r="S154" t="str">
            <v xml:space="preserve"> &lt;not run&gt;</v>
          </cell>
        </row>
        <row r="155">
          <cell r="C155" t="str">
            <v xml:space="preserve"> &lt;not run&gt;</v>
          </cell>
          <cell r="D155" t="str">
            <v xml:space="preserve"> &lt;not run&gt;</v>
          </cell>
          <cell r="E155" t="str">
            <v xml:space="preserve"> &lt;not run&gt;</v>
          </cell>
          <cell r="F155" t="str">
            <v xml:space="preserve"> &lt;not run&gt;</v>
          </cell>
          <cell r="G155" t="str">
            <v xml:space="preserve"> &lt;not run&gt;</v>
          </cell>
          <cell r="H155" t="str">
            <v xml:space="preserve"> &lt;not run&gt;</v>
          </cell>
          <cell r="I155" t="str">
            <v xml:space="preserve"> &lt;not run&gt;</v>
          </cell>
          <cell r="J155" t="str">
            <v xml:space="preserve"> &lt;not run&gt;</v>
          </cell>
          <cell r="K155" t="str">
            <v xml:space="preserve"> &lt;not run&gt;</v>
          </cell>
          <cell r="L155" t="str">
            <v xml:space="preserve"> &lt;not run&gt;</v>
          </cell>
          <cell r="M155" t="str">
            <v xml:space="preserve"> &lt;not run&gt;</v>
          </cell>
          <cell r="N155" t="str">
            <v xml:space="preserve"> &lt;not run&gt;</v>
          </cell>
          <cell r="O155" t="str">
            <v xml:space="preserve"> &lt;not run&gt;</v>
          </cell>
          <cell r="P155" t="str">
            <v xml:space="preserve"> &lt;not run&gt;</v>
          </cell>
          <cell r="Q155" t="str">
            <v xml:space="preserve"> &lt;not run&gt;</v>
          </cell>
          <cell r="R155" t="str">
            <v xml:space="preserve"> &lt;not run&gt;</v>
          </cell>
          <cell r="S155" t="str">
            <v xml:space="preserve"> &lt;not run&gt;</v>
          </cell>
        </row>
        <row r="156">
          <cell r="C156" t="str">
            <v xml:space="preserve"> &lt;none&gt;</v>
          </cell>
          <cell r="D156" t="str">
            <v xml:space="preserve"> &lt;none&gt;</v>
          </cell>
          <cell r="E156" t="str">
            <v xml:space="preserve"> &lt;none&gt;</v>
          </cell>
          <cell r="F156" t="str">
            <v xml:space="preserve"> &lt;none&gt;</v>
          </cell>
          <cell r="G156" t="str">
            <v xml:space="preserve"> &lt;none&gt;</v>
          </cell>
          <cell r="H156" t="str">
            <v xml:space="preserve"> &lt;none&gt;</v>
          </cell>
          <cell r="I156" t="str">
            <v xml:space="preserve"> &lt;none&gt;</v>
          </cell>
          <cell r="J156" t="str">
            <v xml:space="preserve"> &lt;none&gt;</v>
          </cell>
          <cell r="K156" t="str">
            <v xml:space="preserve"> &lt;none&gt;</v>
          </cell>
          <cell r="L156" t="str">
            <v xml:space="preserve"> &lt;none&gt;</v>
          </cell>
          <cell r="M156" t="str">
            <v xml:space="preserve"> &lt;none&gt;</v>
          </cell>
          <cell r="N156" t="str">
            <v xml:space="preserve"> &lt;none&gt;</v>
          </cell>
          <cell r="O156" t="str">
            <v xml:space="preserve"> &lt;none&gt;</v>
          </cell>
          <cell r="P156" t="str">
            <v xml:space="preserve"> &lt;none&gt;</v>
          </cell>
          <cell r="Q156" t="str">
            <v xml:space="preserve"> &lt;none&gt;</v>
          </cell>
          <cell r="R156" t="str">
            <v xml:space="preserve"> &lt;none&gt;</v>
          </cell>
          <cell r="S156" t="str">
            <v xml:space="preserve"> &lt;none&gt;</v>
          </cell>
        </row>
      </sheetData>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O"/>
      <sheetName val="GainLoss"/>
      <sheetName val="GainLoss V2"/>
      <sheetName val="Reconciliation"/>
      <sheetName val="Results"/>
      <sheetName val="Liabilities"/>
      <sheetName val="ProVal"/>
      <sheetName val="Membership"/>
      <sheetName val="Assets"/>
      <sheetName val="Flow - Experience"/>
      <sheetName val="Flow - Final"/>
      <sheetName val="New Retiree ProVal"/>
      <sheetName val="New Active ProVal"/>
    </sheetNames>
    <sheetDataSet>
      <sheetData sheetId="0"/>
      <sheetData sheetId="1"/>
      <sheetData sheetId="2"/>
      <sheetData sheetId="3"/>
      <sheetData sheetId="4"/>
      <sheetData sheetId="5"/>
      <sheetData sheetId="6">
        <row r="6">
          <cell r="B6" t="str">
            <v>R_Teachers_Correct Groups</v>
          </cell>
          <cell r="C6">
            <v>0</v>
          </cell>
          <cell r="D6">
            <v>0</v>
          </cell>
          <cell r="E6">
            <v>0</v>
          </cell>
          <cell r="F6">
            <v>0</v>
          </cell>
          <cell r="G6">
            <v>68735</v>
          </cell>
          <cell r="H6">
            <v>1845314465</v>
          </cell>
          <cell r="I6">
            <v>0</v>
          </cell>
          <cell r="J6">
            <v>15808473119</v>
          </cell>
          <cell r="K6">
            <v>0</v>
          </cell>
          <cell r="L6">
            <v>0</v>
          </cell>
          <cell r="Q6">
            <v>3643</v>
          </cell>
          <cell r="R6">
            <v>983947221</v>
          </cell>
        </row>
        <row r="7">
          <cell r="B7" t="str">
            <v>R_Other Education_Correct Groups</v>
          </cell>
          <cell r="C7">
            <v>0</v>
          </cell>
          <cell r="D7">
            <v>0</v>
          </cell>
          <cell r="E7">
            <v>0</v>
          </cell>
          <cell r="F7">
            <v>0</v>
          </cell>
          <cell r="G7">
            <v>2695</v>
          </cell>
          <cell r="H7">
            <v>67421186</v>
          </cell>
          <cell r="I7">
            <v>0</v>
          </cell>
          <cell r="J7">
            <v>636806753</v>
          </cell>
          <cell r="K7">
            <v>0</v>
          </cell>
          <cell r="L7">
            <v>0</v>
          </cell>
          <cell r="Q7">
            <v>1457</v>
          </cell>
          <cell r="R7">
            <v>356783169</v>
          </cell>
        </row>
        <row r="8">
          <cell r="B8" t="str">
            <v>B_Teachers_Correct Groups</v>
          </cell>
          <cell r="C8">
            <v>0</v>
          </cell>
          <cell r="D8">
            <v>0</v>
          </cell>
          <cell r="E8">
            <v>0</v>
          </cell>
          <cell r="F8">
            <v>0</v>
          </cell>
          <cell r="G8">
            <v>3806</v>
          </cell>
          <cell r="H8">
            <v>63357114</v>
          </cell>
          <cell r="I8">
            <v>0</v>
          </cell>
          <cell r="J8">
            <v>475824519</v>
          </cell>
          <cell r="K8">
            <v>0</v>
          </cell>
          <cell r="L8">
            <v>0</v>
          </cell>
          <cell r="Q8">
            <v>222</v>
          </cell>
          <cell r="R8">
            <v>27661351</v>
          </cell>
        </row>
        <row r="9">
          <cell r="B9" t="str">
            <v>B_Other Education_Correct Groups</v>
          </cell>
          <cell r="C9">
            <v>0</v>
          </cell>
          <cell r="D9">
            <v>0</v>
          </cell>
          <cell r="E9">
            <v>0</v>
          </cell>
          <cell r="F9">
            <v>0</v>
          </cell>
          <cell r="G9">
            <v>4</v>
          </cell>
          <cell r="H9">
            <v>42393</v>
          </cell>
          <cell r="I9">
            <v>0</v>
          </cell>
          <cell r="J9">
            <v>456295</v>
          </cell>
          <cell r="K9">
            <v>0</v>
          </cell>
          <cell r="L9">
            <v>0</v>
          </cell>
          <cell r="Q9">
            <v>3</v>
          </cell>
          <cell r="R9">
            <v>411625</v>
          </cell>
        </row>
        <row r="10">
          <cell r="B10" t="str">
            <v>R_General_Correct Groups</v>
          </cell>
          <cell r="C10">
            <v>0</v>
          </cell>
          <cell r="D10">
            <v>0</v>
          </cell>
          <cell r="E10">
            <v>0</v>
          </cell>
          <cell r="F10">
            <v>0</v>
          </cell>
          <cell r="G10">
            <v>70726</v>
          </cell>
          <cell r="H10">
            <v>1231325396</v>
          </cell>
          <cell r="I10">
            <v>0</v>
          </cell>
          <cell r="J10">
            <v>10360858551</v>
          </cell>
          <cell r="K10">
            <v>0</v>
          </cell>
          <cell r="L10">
            <v>0</v>
          </cell>
          <cell r="Q10">
            <v>3729</v>
          </cell>
          <cell r="R10">
            <v>664220266</v>
          </cell>
        </row>
        <row r="11">
          <cell r="B11" t="str">
            <v>B_General_Correct Groups</v>
          </cell>
          <cell r="C11">
            <v>0</v>
          </cell>
          <cell r="D11">
            <v>0</v>
          </cell>
          <cell r="E11">
            <v>0</v>
          </cell>
          <cell r="F11">
            <v>0</v>
          </cell>
          <cell r="G11">
            <v>8164</v>
          </cell>
          <cell r="H11">
            <v>90856399</v>
          </cell>
          <cell r="I11">
            <v>0</v>
          </cell>
          <cell r="J11">
            <v>684573305</v>
          </cell>
          <cell r="K11">
            <v>0</v>
          </cell>
          <cell r="L11">
            <v>0</v>
          </cell>
          <cell r="Q11">
            <v>582</v>
          </cell>
          <cell r="R11">
            <v>65766484</v>
          </cell>
        </row>
        <row r="12">
          <cell r="B12" t="str">
            <v>R_Law Enforcement Officers_Correct Groups</v>
          </cell>
          <cell r="C12">
            <v>0</v>
          </cell>
          <cell r="D12">
            <v>0</v>
          </cell>
          <cell r="E12">
            <v>0</v>
          </cell>
          <cell r="F12">
            <v>0</v>
          </cell>
          <cell r="G12">
            <v>2305</v>
          </cell>
          <cell r="H12">
            <v>68989420</v>
          </cell>
          <cell r="I12">
            <v>0</v>
          </cell>
          <cell r="J12">
            <v>729435853</v>
          </cell>
          <cell r="K12">
            <v>0</v>
          </cell>
          <cell r="L12">
            <v>0</v>
          </cell>
          <cell r="Q12">
            <v>117</v>
          </cell>
          <cell r="R12">
            <v>46867923</v>
          </cell>
        </row>
        <row r="13">
          <cell r="B13" t="str">
            <v>B_Law Enforcement Officers_Correct Groups</v>
          </cell>
          <cell r="C13">
            <v>0</v>
          </cell>
          <cell r="D13">
            <v>0</v>
          </cell>
          <cell r="E13">
            <v>0</v>
          </cell>
          <cell r="F13">
            <v>0</v>
          </cell>
          <cell r="G13">
            <v>351</v>
          </cell>
          <cell r="H13">
            <v>6667848</v>
          </cell>
          <cell r="I13">
            <v>0</v>
          </cell>
          <cell r="J13">
            <v>55496132</v>
          </cell>
          <cell r="K13">
            <v>0</v>
          </cell>
          <cell r="L13">
            <v>0</v>
          </cell>
          <cell r="Q13">
            <v>24</v>
          </cell>
          <cell r="R13">
            <v>3906564</v>
          </cell>
        </row>
        <row r="14">
          <cell r="C14">
            <v>158280</v>
          </cell>
          <cell r="D14">
            <v>7352563851</v>
          </cell>
          <cell r="E14">
            <v>42.69</v>
          </cell>
          <cell r="F14">
            <v>9.5500000000000007</v>
          </cell>
          <cell r="G14">
            <v>0</v>
          </cell>
          <cell r="H14">
            <v>0</v>
          </cell>
          <cell r="I14">
            <v>23819634824</v>
          </cell>
          <cell r="J14">
            <v>0</v>
          </cell>
          <cell r="K14">
            <v>14437889332</v>
          </cell>
          <cell r="L14">
            <v>75498348832</v>
          </cell>
        </row>
        <row r="15">
          <cell r="C15">
            <v>158280</v>
          </cell>
          <cell r="D15">
            <v>7352563851</v>
          </cell>
          <cell r="E15">
            <v>42.69</v>
          </cell>
          <cell r="F15">
            <v>9.5500000000000007</v>
          </cell>
          <cell r="G15">
            <v>0</v>
          </cell>
          <cell r="H15">
            <v>0</v>
          </cell>
          <cell r="I15">
            <v>23779377466</v>
          </cell>
          <cell r="J15">
            <v>0</v>
          </cell>
          <cell r="K15">
            <v>13448637501</v>
          </cell>
          <cell r="L15">
            <v>75498348832</v>
          </cell>
        </row>
        <row r="16">
          <cell r="C16">
            <v>163725</v>
          </cell>
          <cell r="D16">
            <v>7144162762</v>
          </cell>
          <cell r="E16">
            <v>46.26</v>
          </cell>
          <cell r="F16">
            <v>10.06</v>
          </cell>
          <cell r="G16">
            <v>0</v>
          </cell>
          <cell r="H16">
            <v>0</v>
          </cell>
          <cell r="I16">
            <v>17892240462</v>
          </cell>
          <cell r="J16">
            <v>0</v>
          </cell>
          <cell r="K16">
            <v>12494243353</v>
          </cell>
          <cell r="L16">
            <v>55502792525</v>
          </cell>
        </row>
        <row r="17">
          <cell r="C17">
            <v>163725</v>
          </cell>
          <cell r="D17">
            <v>7144162762</v>
          </cell>
          <cell r="E17">
            <v>46.26</v>
          </cell>
          <cell r="F17">
            <v>10.06</v>
          </cell>
          <cell r="G17">
            <v>0</v>
          </cell>
          <cell r="H17">
            <v>0</v>
          </cell>
          <cell r="I17">
            <v>17892613332</v>
          </cell>
          <cell r="J17">
            <v>0</v>
          </cell>
          <cell r="K17">
            <v>12264442955</v>
          </cell>
          <cell r="L17">
            <v>55502792525</v>
          </cell>
        </row>
        <row r="18">
          <cell r="C18">
            <v>3585</v>
          </cell>
          <cell r="D18">
            <v>208161658</v>
          </cell>
          <cell r="E18">
            <v>39.549999999999997</v>
          </cell>
          <cell r="F18">
            <v>12.51</v>
          </cell>
          <cell r="G18">
            <v>0</v>
          </cell>
          <cell r="H18">
            <v>0</v>
          </cell>
          <cell r="I18">
            <v>709993053</v>
          </cell>
          <cell r="J18">
            <v>0</v>
          </cell>
          <cell r="K18">
            <v>487308926</v>
          </cell>
          <cell r="L18">
            <v>1991200451</v>
          </cell>
        </row>
        <row r="19">
          <cell r="C19">
            <v>3585</v>
          </cell>
          <cell r="D19">
            <v>208161658</v>
          </cell>
          <cell r="E19">
            <v>39.549999999999997</v>
          </cell>
          <cell r="F19">
            <v>12.51</v>
          </cell>
          <cell r="G19">
            <v>0</v>
          </cell>
          <cell r="H19">
            <v>0</v>
          </cell>
          <cell r="I19">
            <v>710162344</v>
          </cell>
          <cell r="J19">
            <v>0</v>
          </cell>
          <cell r="K19">
            <v>465981825</v>
          </cell>
          <cell r="L19">
            <v>1991200451</v>
          </cell>
        </row>
        <row r="20">
          <cell r="C20">
            <v>0</v>
          </cell>
          <cell r="D20">
            <v>0</v>
          </cell>
          <cell r="E20">
            <v>0</v>
          </cell>
          <cell r="F20">
            <v>0</v>
          </cell>
          <cell r="G20">
            <v>67797</v>
          </cell>
          <cell r="H20">
            <v>1828374369</v>
          </cell>
          <cell r="I20">
            <v>0</v>
          </cell>
          <cell r="J20">
            <v>15795012410</v>
          </cell>
          <cell r="K20">
            <v>0</v>
          </cell>
          <cell r="L20">
            <v>0</v>
          </cell>
        </row>
        <row r="21">
          <cell r="C21">
            <v>0</v>
          </cell>
          <cell r="D21">
            <v>0</v>
          </cell>
          <cell r="E21">
            <v>0</v>
          </cell>
          <cell r="F21">
            <v>0</v>
          </cell>
          <cell r="G21">
            <v>3747</v>
          </cell>
          <cell r="H21">
            <v>63000195</v>
          </cell>
          <cell r="I21">
            <v>0</v>
          </cell>
          <cell r="J21">
            <v>502239868</v>
          </cell>
          <cell r="K21">
            <v>0</v>
          </cell>
          <cell r="L21">
            <v>0</v>
          </cell>
        </row>
        <row r="22">
          <cell r="C22">
            <v>0</v>
          </cell>
          <cell r="D22">
            <v>0</v>
          </cell>
          <cell r="E22">
            <v>0</v>
          </cell>
          <cell r="F22">
            <v>0</v>
          </cell>
          <cell r="G22">
            <v>69236</v>
          </cell>
          <cell r="H22">
            <v>1214581245</v>
          </cell>
          <cell r="I22">
            <v>0</v>
          </cell>
          <cell r="J22">
            <v>10286321871</v>
          </cell>
          <cell r="K22">
            <v>0</v>
          </cell>
          <cell r="L22">
            <v>0</v>
          </cell>
        </row>
        <row r="23">
          <cell r="C23">
            <v>0</v>
          </cell>
          <cell r="D23">
            <v>0</v>
          </cell>
          <cell r="E23">
            <v>0</v>
          </cell>
          <cell r="F23">
            <v>0</v>
          </cell>
          <cell r="G23">
            <v>7895</v>
          </cell>
          <cell r="H23">
            <v>86412178</v>
          </cell>
          <cell r="I23">
            <v>0</v>
          </cell>
          <cell r="J23">
            <v>685870622</v>
          </cell>
          <cell r="K23">
            <v>0</v>
          </cell>
          <cell r="L23">
            <v>0</v>
          </cell>
        </row>
        <row r="24">
          <cell r="C24">
            <v>0</v>
          </cell>
          <cell r="D24">
            <v>0</v>
          </cell>
          <cell r="E24">
            <v>0</v>
          </cell>
          <cell r="F24">
            <v>0</v>
          </cell>
          <cell r="G24">
            <v>2312</v>
          </cell>
          <cell r="H24">
            <v>66868780</v>
          </cell>
          <cell r="I24">
            <v>0</v>
          </cell>
          <cell r="J24">
            <v>696905219</v>
          </cell>
          <cell r="K24">
            <v>0</v>
          </cell>
          <cell r="L24">
            <v>0</v>
          </cell>
        </row>
        <row r="25">
          <cell r="C25">
            <v>0</v>
          </cell>
          <cell r="D25">
            <v>0</v>
          </cell>
          <cell r="E25">
            <v>0</v>
          </cell>
          <cell r="F25">
            <v>0</v>
          </cell>
          <cell r="G25">
            <v>333</v>
          </cell>
          <cell r="H25">
            <v>6393815</v>
          </cell>
          <cell r="I25">
            <v>0</v>
          </cell>
          <cell r="J25">
            <v>55424703</v>
          </cell>
          <cell r="K25">
            <v>0</v>
          </cell>
          <cell r="L25">
            <v>0</v>
          </cell>
        </row>
        <row r="26">
          <cell r="C26">
            <v>0</v>
          </cell>
          <cell r="D26">
            <v>0</v>
          </cell>
          <cell r="E26">
            <v>0</v>
          </cell>
          <cell r="F26">
            <v>0</v>
          </cell>
          <cell r="G26">
            <v>95210</v>
          </cell>
          <cell r="H26">
            <v>0</v>
          </cell>
          <cell r="I26">
            <v>0</v>
          </cell>
          <cell r="J26">
            <v>1582972206</v>
          </cell>
          <cell r="K26">
            <v>0</v>
          </cell>
          <cell r="L26">
            <v>0</v>
          </cell>
        </row>
        <row r="27">
          <cell r="B27" t="str">
            <v>A_Teachers_Experience</v>
          </cell>
          <cell r="C27">
            <v>153655</v>
          </cell>
          <cell r="D27">
            <v>7206757480</v>
          </cell>
          <cell r="E27">
            <v>43.12</v>
          </cell>
          <cell r="F27">
            <v>10.039999999999999</v>
          </cell>
          <cell r="G27">
            <v>0</v>
          </cell>
          <cell r="H27">
            <v>0</v>
          </cell>
          <cell r="I27">
            <v>23569531706</v>
          </cell>
          <cell r="J27">
            <v>0</v>
          </cell>
          <cell r="K27">
            <v>13487490542</v>
          </cell>
          <cell r="L27">
            <v>73031092632</v>
          </cell>
          <cell r="M27">
            <v>92765667</v>
          </cell>
        </row>
        <row r="28">
          <cell r="B28" t="str">
            <v>A_Teachers_Salary Scale</v>
          </cell>
          <cell r="C28">
            <v>153655</v>
          </cell>
          <cell r="D28">
            <v>7031428163</v>
          </cell>
          <cell r="E28">
            <v>43.12</v>
          </cell>
          <cell r="F28">
            <v>10.039999999999999</v>
          </cell>
          <cell r="G28">
            <v>0</v>
          </cell>
          <cell r="H28">
            <v>0</v>
          </cell>
          <cell r="I28">
            <v>20864595038</v>
          </cell>
          <cell r="J28">
            <v>0</v>
          </cell>
          <cell r="K28">
            <v>13272238209</v>
          </cell>
          <cell r="L28">
            <v>63488124120</v>
          </cell>
          <cell r="M28">
            <v>87809185</v>
          </cell>
        </row>
        <row r="29">
          <cell r="B29" t="str">
            <v>A_Teachers_Sal + Inflation</v>
          </cell>
          <cell r="C29">
            <v>153655</v>
          </cell>
          <cell r="D29">
            <v>7014484962</v>
          </cell>
          <cell r="E29">
            <v>43.12</v>
          </cell>
          <cell r="F29">
            <v>10.039999999999999</v>
          </cell>
          <cell r="G29">
            <v>0</v>
          </cell>
          <cell r="H29">
            <v>0</v>
          </cell>
          <cell r="I29">
            <v>20363296476</v>
          </cell>
          <cell r="J29">
            <v>0</v>
          </cell>
          <cell r="K29">
            <v>13129152075</v>
          </cell>
          <cell r="L29">
            <v>62235655098</v>
          </cell>
          <cell r="M29">
            <v>87487468</v>
          </cell>
        </row>
        <row r="30">
          <cell r="B30" t="str">
            <v>A_Teachers_Mortality</v>
          </cell>
          <cell r="C30">
            <v>153655</v>
          </cell>
          <cell r="D30">
            <v>7014484962</v>
          </cell>
          <cell r="E30">
            <v>43.12</v>
          </cell>
          <cell r="F30">
            <v>10.039999999999999</v>
          </cell>
          <cell r="G30">
            <v>0</v>
          </cell>
          <cell r="H30">
            <v>0</v>
          </cell>
          <cell r="I30">
            <v>20217818010</v>
          </cell>
          <cell r="J30">
            <v>0</v>
          </cell>
          <cell r="K30">
            <v>13055653410</v>
          </cell>
          <cell r="L30">
            <v>62157527278</v>
          </cell>
          <cell r="M30">
            <v>95186882</v>
          </cell>
        </row>
        <row r="31">
          <cell r="B31" t="str">
            <v>A_Teachers_Ret/Term</v>
          </cell>
          <cell r="C31">
            <v>153655</v>
          </cell>
          <cell r="D31">
            <v>7014484962</v>
          </cell>
          <cell r="E31">
            <v>43.12</v>
          </cell>
          <cell r="F31">
            <v>10.039999999999999</v>
          </cell>
          <cell r="G31">
            <v>0</v>
          </cell>
          <cell r="H31">
            <v>0</v>
          </cell>
          <cell r="I31">
            <v>19957724426</v>
          </cell>
          <cell r="J31">
            <v>0</v>
          </cell>
          <cell r="K31">
            <v>13154146522</v>
          </cell>
          <cell r="L31">
            <v>60188965174</v>
          </cell>
          <cell r="M31">
            <v>123151983</v>
          </cell>
        </row>
        <row r="32">
          <cell r="C32">
            <v>153467</v>
          </cell>
          <cell r="D32">
            <v>7197630199</v>
          </cell>
          <cell r="E32">
            <v>43.12</v>
          </cell>
          <cell r="F32">
            <v>10.050000000000001</v>
          </cell>
          <cell r="G32">
            <v>0</v>
          </cell>
          <cell r="H32">
            <v>0</v>
          </cell>
          <cell r="I32">
            <v>23550895685</v>
          </cell>
          <cell r="J32">
            <v>0</v>
          </cell>
          <cell r="K32">
            <v>13483210188</v>
          </cell>
          <cell r="L32">
            <v>72936824302</v>
          </cell>
          <cell r="M32">
            <v>92419781</v>
          </cell>
        </row>
        <row r="33">
          <cell r="B33" t="str">
            <v>A_Teachers_Fix Disability</v>
          </cell>
          <cell r="C33">
            <v>153467</v>
          </cell>
          <cell r="D33">
            <v>7005852310</v>
          </cell>
          <cell r="E33">
            <v>43.12</v>
          </cell>
          <cell r="F33">
            <v>10.050000000000001</v>
          </cell>
          <cell r="G33">
            <v>0</v>
          </cell>
          <cell r="H33">
            <v>0</v>
          </cell>
          <cell r="I33">
            <v>19945674363</v>
          </cell>
          <cell r="J33">
            <v>0</v>
          </cell>
          <cell r="K33">
            <v>13149793146</v>
          </cell>
          <cell r="L33">
            <v>60128785087</v>
          </cell>
          <cell r="M33">
            <v>122721608</v>
          </cell>
        </row>
        <row r="34">
          <cell r="B34" t="str">
            <v>A_Teachers_Correct Groups</v>
          </cell>
          <cell r="C34">
            <v>150859</v>
          </cell>
          <cell r="D34">
            <v>6918855488</v>
          </cell>
          <cell r="E34">
            <v>43.17</v>
          </cell>
          <cell r="F34">
            <v>10.26</v>
          </cell>
          <cell r="G34">
            <v>0</v>
          </cell>
          <cell r="H34">
            <v>0</v>
          </cell>
          <cell r="I34">
            <v>19580066257</v>
          </cell>
          <cell r="J34">
            <v>0</v>
          </cell>
          <cell r="K34">
            <v>12826185116</v>
          </cell>
          <cell r="L34">
            <v>59749832108</v>
          </cell>
          <cell r="M34">
            <v>115046171</v>
          </cell>
        </row>
        <row r="35">
          <cell r="B35" t="str">
            <v>A_Teachers_Adder</v>
          </cell>
          <cell r="C35">
            <v>150859</v>
          </cell>
          <cell r="D35">
            <v>6918855488</v>
          </cell>
          <cell r="E35">
            <v>43.17</v>
          </cell>
          <cell r="F35">
            <v>10.26</v>
          </cell>
          <cell r="G35">
            <v>0</v>
          </cell>
          <cell r="H35">
            <v>0</v>
          </cell>
          <cell r="I35">
            <v>19588060016</v>
          </cell>
          <cell r="J35">
            <v>0</v>
          </cell>
          <cell r="K35">
            <v>12829797938</v>
          </cell>
          <cell r="L35">
            <v>59749832108</v>
          </cell>
          <cell r="M35">
            <v>115046171</v>
          </cell>
        </row>
        <row r="36">
          <cell r="B36" t="str">
            <v>A_Teachers_Experience_NC</v>
          </cell>
          <cell r="C36">
            <v>153655</v>
          </cell>
          <cell r="D36">
            <v>7206757480</v>
          </cell>
          <cell r="E36">
            <v>43.12</v>
          </cell>
          <cell r="F36">
            <v>10.039999999999999</v>
          </cell>
          <cell r="G36">
            <v>0</v>
          </cell>
          <cell r="H36">
            <v>0</v>
          </cell>
          <cell r="I36">
            <v>23467039422</v>
          </cell>
          <cell r="J36">
            <v>0</v>
          </cell>
          <cell r="K36">
            <v>13451761762</v>
          </cell>
          <cell r="L36">
            <v>73031092632</v>
          </cell>
          <cell r="M36">
            <v>92765667</v>
          </cell>
        </row>
        <row r="37">
          <cell r="B37" t="str">
            <v>A_Teachers_Salary Scale_NC</v>
          </cell>
          <cell r="C37">
            <v>153655</v>
          </cell>
          <cell r="D37">
            <v>7031428163</v>
          </cell>
          <cell r="E37">
            <v>43.12</v>
          </cell>
          <cell r="F37">
            <v>10.039999999999999</v>
          </cell>
          <cell r="G37">
            <v>0</v>
          </cell>
          <cell r="H37">
            <v>0</v>
          </cell>
          <cell r="I37">
            <v>20777835440</v>
          </cell>
          <cell r="J37">
            <v>0</v>
          </cell>
          <cell r="K37">
            <v>13227044560</v>
          </cell>
          <cell r="L37">
            <v>63488124120</v>
          </cell>
          <cell r="M37">
            <v>87809185</v>
          </cell>
        </row>
        <row r="38">
          <cell r="B38" t="str">
            <v>A_Teachers_Sal + Inflation_NC</v>
          </cell>
          <cell r="C38">
            <v>153655</v>
          </cell>
          <cell r="D38">
            <v>7014484962</v>
          </cell>
          <cell r="E38">
            <v>43.12</v>
          </cell>
          <cell r="F38">
            <v>10.039999999999999</v>
          </cell>
          <cell r="G38">
            <v>0</v>
          </cell>
          <cell r="H38">
            <v>0</v>
          </cell>
          <cell r="I38">
            <v>20281454185</v>
          </cell>
          <cell r="J38">
            <v>0</v>
          </cell>
          <cell r="K38">
            <v>13084867871</v>
          </cell>
          <cell r="L38">
            <v>62235655098</v>
          </cell>
          <cell r="M38">
            <v>87487468</v>
          </cell>
        </row>
        <row r="39">
          <cell r="B39" t="str">
            <v>A_Teachers_Mortality_NC</v>
          </cell>
          <cell r="C39">
            <v>153655</v>
          </cell>
          <cell r="D39">
            <v>7014484962</v>
          </cell>
          <cell r="E39">
            <v>43.12</v>
          </cell>
          <cell r="F39">
            <v>10.039999999999999</v>
          </cell>
          <cell r="G39">
            <v>0</v>
          </cell>
          <cell r="H39">
            <v>0</v>
          </cell>
          <cell r="I39">
            <v>20136231488</v>
          </cell>
          <cell r="J39">
            <v>0</v>
          </cell>
          <cell r="K39">
            <v>13010757429</v>
          </cell>
          <cell r="L39">
            <v>62157527278</v>
          </cell>
          <cell r="M39">
            <v>95186882</v>
          </cell>
        </row>
        <row r="40">
          <cell r="B40" t="str">
            <v>A_Teachers_Ret/Term_NC</v>
          </cell>
          <cell r="C40">
            <v>153655</v>
          </cell>
          <cell r="D40">
            <v>7014484962</v>
          </cell>
          <cell r="E40">
            <v>43.12</v>
          </cell>
          <cell r="F40">
            <v>10.039999999999999</v>
          </cell>
          <cell r="G40">
            <v>0</v>
          </cell>
          <cell r="H40">
            <v>0</v>
          </cell>
          <cell r="I40">
            <v>19876720015</v>
          </cell>
          <cell r="J40">
            <v>0</v>
          </cell>
          <cell r="K40">
            <v>13110591511</v>
          </cell>
          <cell r="L40">
            <v>60188965174</v>
          </cell>
          <cell r="M40">
            <v>123151983</v>
          </cell>
        </row>
        <row r="41">
          <cell r="C41">
            <v>153467</v>
          </cell>
          <cell r="D41">
            <v>7197630199</v>
          </cell>
          <cell r="E41">
            <v>43.12</v>
          </cell>
          <cell r="F41">
            <v>10.050000000000001</v>
          </cell>
          <cell r="G41">
            <v>0</v>
          </cell>
          <cell r="H41">
            <v>0</v>
          </cell>
          <cell r="I41">
            <v>23448623732</v>
          </cell>
          <cell r="J41">
            <v>0</v>
          </cell>
          <cell r="K41">
            <v>13447595354</v>
          </cell>
          <cell r="L41">
            <v>72936824302</v>
          </cell>
          <cell r="M41">
            <v>92419781</v>
          </cell>
        </row>
        <row r="42">
          <cell r="B42" t="str">
            <v>A_Teachers_Fix Disability_NC</v>
          </cell>
          <cell r="C42">
            <v>153467</v>
          </cell>
          <cell r="D42">
            <v>7005852310</v>
          </cell>
          <cell r="E42">
            <v>43.12</v>
          </cell>
          <cell r="F42">
            <v>10.050000000000001</v>
          </cell>
          <cell r="G42">
            <v>0</v>
          </cell>
          <cell r="H42">
            <v>0</v>
          </cell>
          <cell r="I42">
            <v>19864939374</v>
          </cell>
          <cell r="J42">
            <v>0</v>
          </cell>
          <cell r="K42">
            <v>13106428115</v>
          </cell>
          <cell r="L42">
            <v>60128785087</v>
          </cell>
          <cell r="M42">
            <v>122721608</v>
          </cell>
        </row>
        <row r="43">
          <cell r="B43" t="str">
            <v>A_Teachers_Correct Groups_NC</v>
          </cell>
          <cell r="C43">
            <v>150859</v>
          </cell>
          <cell r="D43">
            <v>6918855488</v>
          </cell>
          <cell r="E43">
            <v>43.17</v>
          </cell>
          <cell r="F43">
            <v>10.26</v>
          </cell>
          <cell r="G43">
            <v>0</v>
          </cell>
          <cell r="H43">
            <v>0</v>
          </cell>
          <cell r="I43">
            <v>19498140919</v>
          </cell>
          <cell r="J43">
            <v>0</v>
          </cell>
          <cell r="K43">
            <v>12783002871</v>
          </cell>
          <cell r="L43">
            <v>59749832108</v>
          </cell>
          <cell r="M43">
            <v>115046171</v>
          </cell>
        </row>
        <row r="44">
          <cell r="B44" t="str">
            <v>A_Teachers_Adder_NC</v>
          </cell>
          <cell r="C44">
            <v>150859</v>
          </cell>
          <cell r="D44">
            <v>6918855488</v>
          </cell>
          <cell r="E44">
            <v>43.17</v>
          </cell>
          <cell r="F44">
            <v>10.26</v>
          </cell>
          <cell r="G44">
            <v>0</v>
          </cell>
          <cell r="H44">
            <v>0</v>
          </cell>
          <cell r="I44">
            <v>19506090462</v>
          </cell>
          <cell r="J44">
            <v>0</v>
          </cell>
          <cell r="K44">
            <v>12786592978</v>
          </cell>
          <cell r="L44">
            <v>59749832108</v>
          </cell>
          <cell r="M44">
            <v>115046171</v>
          </cell>
        </row>
        <row r="45">
          <cell r="B45" t="str">
            <v>A_General_Experience</v>
          </cell>
          <cell r="C45">
            <v>159781</v>
          </cell>
          <cell r="D45">
            <v>7114432763</v>
          </cell>
          <cell r="E45">
            <v>46.72</v>
          </cell>
          <cell r="F45">
            <v>10.46</v>
          </cell>
          <cell r="G45">
            <v>0</v>
          </cell>
          <cell r="H45">
            <v>0</v>
          </cell>
          <cell r="I45">
            <v>18203682438</v>
          </cell>
          <cell r="J45">
            <v>0</v>
          </cell>
          <cell r="K45">
            <v>12613304977</v>
          </cell>
          <cell r="L45">
            <v>54952076045</v>
          </cell>
          <cell r="M45">
            <v>103539098</v>
          </cell>
        </row>
        <row r="46">
          <cell r="B46" t="str">
            <v>A_General_Salary Scale</v>
          </cell>
          <cell r="C46">
            <v>159781</v>
          </cell>
          <cell r="D46">
            <v>7151946343</v>
          </cell>
          <cell r="E46">
            <v>46.72</v>
          </cell>
          <cell r="F46">
            <v>10.46</v>
          </cell>
          <cell r="G46">
            <v>0</v>
          </cell>
          <cell r="H46">
            <v>0</v>
          </cell>
          <cell r="I46">
            <v>19533447144</v>
          </cell>
          <cell r="J46">
            <v>0</v>
          </cell>
          <cell r="K46">
            <v>13177909460</v>
          </cell>
          <cell r="L46">
            <v>57699590162</v>
          </cell>
          <cell r="M46">
            <v>103769396</v>
          </cell>
        </row>
        <row r="47">
          <cell r="B47" t="str">
            <v>A_General_Sal + Inflation</v>
          </cell>
          <cell r="C47">
            <v>159781</v>
          </cell>
          <cell r="D47">
            <v>7134712737</v>
          </cell>
          <cell r="E47">
            <v>46.72</v>
          </cell>
          <cell r="F47">
            <v>10.46</v>
          </cell>
          <cell r="G47">
            <v>0</v>
          </cell>
          <cell r="H47">
            <v>0</v>
          </cell>
          <cell r="I47">
            <v>19109763266</v>
          </cell>
          <cell r="J47">
            <v>0</v>
          </cell>
          <cell r="K47">
            <v>13029805429</v>
          </cell>
          <cell r="L47">
            <v>56654965178</v>
          </cell>
          <cell r="M47">
            <v>103426819</v>
          </cell>
        </row>
        <row r="48">
          <cell r="B48" t="str">
            <v>A_General_Mortality</v>
          </cell>
          <cell r="C48">
            <v>159781</v>
          </cell>
          <cell r="D48">
            <v>7134712737</v>
          </cell>
          <cell r="E48">
            <v>46.72</v>
          </cell>
          <cell r="F48">
            <v>10.46</v>
          </cell>
          <cell r="G48">
            <v>0</v>
          </cell>
          <cell r="H48">
            <v>0</v>
          </cell>
          <cell r="I48">
            <v>19115272373</v>
          </cell>
          <cell r="J48">
            <v>0</v>
          </cell>
          <cell r="K48">
            <v>13039659317</v>
          </cell>
          <cell r="L48">
            <v>56709388710</v>
          </cell>
          <cell r="M48">
            <v>108298032</v>
          </cell>
        </row>
        <row r="49">
          <cell r="B49" t="str">
            <v>A_General_Ret/Term</v>
          </cell>
          <cell r="C49">
            <v>159781</v>
          </cell>
          <cell r="D49">
            <v>7134712737</v>
          </cell>
          <cell r="E49">
            <v>46.72</v>
          </cell>
          <cell r="F49">
            <v>10.46</v>
          </cell>
          <cell r="G49">
            <v>0</v>
          </cell>
          <cell r="H49">
            <v>0</v>
          </cell>
          <cell r="I49">
            <v>19247203427</v>
          </cell>
          <cell r="J49">
            <v>0</v>
          </cell>
          <cell r="K49">
            <v>13239890937</v>
          </cell>
          <cell r="L49">
            <v>55866842806</v>
          </cell>
          <cell r="M49">
            <v>125142335</v>
          </cell>
        </row>
        <row r="50">
          <cell r="C50">
            <v>159651</v>
          </cell>
          <cell r="D50">
            <v>7110676919</v>
          </cell>
          <cell r="E50">
            <v>46.72</v>
          </cell>
          <cell r="F50">
            <v>10.46</v>
          </cell>
          <cell r="G50">
            <v>0</v>
          </cell>
          <cell r="H50">
            <v>0</v>
          </cell>
          <cell r="I50">
            <v>18198100018</v>
          </cell>
          <cell r="J50">
            <v>0</v>
          </cell>
          <cell r="K50">
            <v>12610873553</v>
          </cell>
          <cell r="L50">
            <v>54923724595</v>
          </cell>
          <cell r="M50">
            <v>103397350</v>
          </cell>
        </row>
        <row r="51">
          <cell r="B51" t="str">
            <v>A_General_Fix Disability</v>
          </cell>
          <cell r="C51">
            <v>159651</v>
          </cell>
          <cell r="D51">
            <v>7130956094</v>
          </cell>
          <cell r="E51">
            <v>46.72</v>
          </cell>
          <cell r="F51">
            <v>10.46</v>
          </cell>
          <cell r="G51">
            <v>0</v>
          </cell>
          <cell r="H51">
            <v>0</v>
          </cell>
          <cell r="I51">
            <v>19241524845</v>
          </cell>
          <cell r="J51">
            <v>0</v>
          </cell>
          <cell r="K51">
            <v>13237330356</v>
          </cell>
          <cell r="L51">
            <v>55839904506</v>
          </cell>
          <cell r="M51">
            <v>124967543</v>
          </cell>
        </row>
        <row r="52">
          <cell r="B52" t="str">
            <v>A_General_Correct Groups</v>
          </cell>
          <cell r="C52">
            <v>113353</v>
          </cell>
          <cell r="D52">
            <v>5214530027</v>
          </cell>
          <cell r="E52">
            <v>45.8</v>
          </cell>
          <cell r="F52">
            <v>10.06</v>
          </cell>
          <cell r="G52">
            <v>0</v>
          </cell>
          <cell r="H52">
            <v>0</v>
          </cell>
          <cell r="I52">
            <v>13720494939</v>
          </cell>
          <cell r="J52">
            <v>0</v>
          </cell>
          <cell r="K52">
            <v>9257315997</v>
          </cell>
          <cell r="L52">
            <v>41545877871</v>
          </cell>
          <cell r="M52">
            <v>101993763</v>
          </cell>
        </row>
        <row r="53">
          <cell r="B53" t="str">
            <v>A_General_Adder</v>
          </cell>
          <cell r="C53">
            <v>113353</v>
          </cell>
          <cell r="D53">
            <v>5214530027</v>
          </cell>
          <cell r="E53">
            <v>45.8</v>
          </cell>
          <cell r="F53">
            <v>10.06</v>
          </cell>
          <cell r="G53">
            <v>0</v>
          </cell>
          <cell r="H53">
            <v>0</v>
          </cell>
          <cell r="I53">
            <v>13666035001</v>
          </cell>
          <cell r="J53">
            <v>0</v>
          </cell>
          <cell r="K53">
            <v>9216800399</v>
          </cell>
          <cell r="L53">
            <v>41545877871</v>
          </cell>
          <cell r="M53">
            <v>101993763</v>
          </cell>
        </row>
        <row r="54">
          <cell r="B54" t="str">
            <v>A_General_Experience_NC</v>
          </cell>
          <cell r="C54">
            <v>159781</v>
          </cell>
          <cell r="D54">
            <v>7114432763</v>
          </cell>
          <cell r="E54">
            <v>46.72</v>
          </cell>
          <cell r="F54">
            <v>10.46</v>
          </cell>
          <cell r="G54">
            <v>0</v>
          </cell>
          <cell r="H54">
            <v>0</v>
          </cell>
          <cell r="I54">
            <v>18171747316</v>
          </cell>
          <cell r="J54">
            <v>0</v>
          </cell>
          <cell r="K54">
            <v>12595741783</v>
          </cell>
          <cell r="L54">
            <v>54952076045</v>
          </cell>
          <cell r="M54">
            <v>103539098</v>
          </cell>
        </row>
        <row r="55">
          <cell r="B55" t="str">
            <v>A_General_Salary Scale_NC</v>
          </cell>
          <cell r="C55">
            <v>159781</v>
          </cell>
          <cell r="D55">
            <v>7151946343</v>
          </cell>
          <cell r="E55">
            <v>46.72</v>
          </cell>
          <cell r="F55">
            <v>10.46</v>
          </cell>
          <cell r="G55">
            <v>0</v>
          </cell>
          <cell r="H55">
            <v>0</v>
          </cell>
          <cell r="I55">
            <v>19484163138</v>
          </cell>
          <cell r="J55">
            <v>0</v>
          </cell>
          <cell r="K55">
            <v>13153737609</v>
          </cell>
          <cell r="L55">
            <v>57699590162</v>
          </cell>
          <cell r="M55">
            <v>103769396</v>
          </cell>
        </row>
        <row r="56">
          <cell r="B56" t="str">
            <v>A_General_Sal + Inflation_NC</v>
          </cell>
          <cell r="C56">
            <v>159781</v>
          </cell>
          <cell r="D56">
            <v>7134712737</v>
          </cell>
          <cell r="E56">
            <v>46.72</v>
          </cell>
          <cell r="F56">
            <v>10.46</v>
          </cell>
          <cell r="G56">
            <v>0</v>
          </cell>
          <cell r="H56">
            <v>0</v>
          </cell>
          <cell r="I56">
            <v>19064846506</v>
          </cell>
          <cell r="J56">
            <v>0</v>
          </cell>
          <cell r="K56">
            <v>13005391127</v>
          </cell>
          <cell r="L56">
            <v>56654965178</v>
          </cell>
          <cell r="M56">
            <v>103426819</v>
          </cell>
        </row>
        <row r="57">
          <cell r="B57" t="str">
            <v>A_General_Mortality_NC</v>
          </cell>
          <cell r="C57">
            <v>159781</v>
          </cell>
          <cell r="D57">
            <v>7134712737</v>
          </cell>
          <cell r="E57">
            <v>46.72</v>
          </cell>
          <cell r="F57">
            <v>10.46</v>
          </cell>
          <cell r="G57">
            <v>0</v>
          </cell>
          <cell r="H57">
            <v>0</v>
          </cell>
          <cell r="I57">
            <v>19070367058</v>
          </cell>
          <cell r="J57">
            <v>0</v>
          </cell>
          <cell r="K57">
            <v>13015172563</v>
          </cell>
          <cell r="L57">
            <v>56709388710</v>
          </cell>
          <cell r="M57">
            <v>108298032</v>
          </cell>
        </row>
        <row r="58">
          <cell r="B58" t="str">
            <v>A_General_Ret/Term_NC</v>
          </cell>
          <cell r="C58">
            <v>159781</v>
          </cell>
          <cell r="D58">
            <v>7134712737</v>
          </cell>
          <cell r="E58">
            <v>46.72</v>
          </cell>
          <cell r="F58">
            <v>10.46</v>
          </cell>
          <cell r="G58">
            <v>0</v>
          </cell>
          <cell r="H58">
            <v>0</v>
          </cell>
          <cell r="I58">
            <v>19202033004</v>
          </cell>
          <cell r="J58">
            <v>0</v>
          </cell>
          <cell r="K58">
            <v>13214139486</v>
          </cell>
          <cell r="L58">
            <v>55866842806</v>
          </cell>
          <cell r="M58">
            <v>125142335</v>
          </cell>
        </row>
        <row r="59">
          <cell r="C59">
            <v>159651</v>
          </cell>
          <cell r="D59">
            <v>7110676919</v>
          </cell>
          <cell r="E59">
            <v>46.72</v>
          </cell>
          <cell r="F59">
            <v>10.46</v>
          </cell>
          <cell r="G59">
            <v>0</v>
          </cell>
          <cell r="H59">
            <v>0</v>
          </cell>
          <cell r="I59">
            <v>18166220750</v>
          </cell>
          <cell r="J59">
            <v>0</v>
          </cell>
          <cell r="K59">
            <v>12593310831</v>
          </cell>
          <cell r="L59">
            <v>54923724595</v>
          </cell>
          <cell r="M59">
            <v>103397350</v>
          </cell>
        </row>
        <row r="60">
          <cell r="B60" t="str">
            <v>A_General_Fix Disability_NC</v>
          </cell>
          <cell r="C60">
            <v>159651</v>
          </cell>
          <cell r="D60">
            <v>7130956094</v>
          </cell>
          <cell r="E60">
            <v>46.72</v>
          </cell>
          <cell r="F60">
            <v>10.46</v>
          </cell>
          <cell r="G60">
            <v>0</v>
          </cell>
          <cell r="H60">
            <v>0</v>
          </cell>
          <cell r="I60">
            <v>19196422939</v>
          </cell>
          <cell r="J60">
            <v>0</v>
          </cell>
          <cell r="K60">
            <v>13211593932</v>
          </cell>
          <cell r="L60">
            <v>55839904506</v>
          </cell>
          <cell r="M60">
            <v>124967543</v>
          </cell>
        </row>
        <row r="61">
          <cell r="B61" t="str">
            <v>A_General_Correct Groups_NC</v>
          </cell>
          <cell r="C61">
            <v>113353</v>
          </cell>
          <cell r="D61">
            <v>5214530027</v>
          </cell>
          <cell r="E61">
            <v>45.8</v>
          </cell>
          <cell r="F61">
            <v>10.06</v>
          </cell>
          <cell r="G61">
            <v>0</v>
          </cell>
          <cell r="H61">
            <v>0</v>
          </cell>
          <cell r="I61">
            <v>13690341704</v>
          </cell>
          <cell r="J61">
            <v>0</v>
          </cell>
          <cell r="K61">
            <v>9238189599</v>
          </cell>
          <cell r="L61">
            <v>41545877871</v>
          </cell>
          <cell r="M61">
            <v>101993763</v>
          </cell>
        </row>
        <row r="62">
          <cell r="B62" t="str">
            <v>A_General_Adder_NC</v>
          </cell>
          <cell r="C62">
            <v>113353</v>
          </cell>
          <cell r="D62">
            <v>5214530027</v>
          </cell>
          <cell r="E62">
            <v>45.8</v>
          </cell>
          <cell r="F62">
            <v>10.06</v>
          </cell>
          <cell r="G62">
            <v>0</v>
          </cell>
          <cell r="H62">
            <v>0</v>
          </cell>
          <cell r="I62">
            <v>13636005517</v>
          </cell>
          <cell r="J62">
            <v>0</v>
          </cell>
          <cell r="K62">
            <v>9197788265</v>
          </cell>
          <cell r="L62">
            <v>41545877871</v>
          </cell>
          <cell r="M62">
            <v>101993763</v>
          </cell>
        </row>
        <row r="63">
          <cell r="B63" t="str">
            <v>A_Law Enforcement Officers_Experience</v>
          </cell>
          <cell r="C63">
            <v>3531</v>
          </cell>
          <cell r="D63">
            <v>204921033</v>
          </cell>
          <cell r="E63">
            <v>39.92</v>
          </cell>
          <cell r="F63">
            <v>12.79</v>
          </cell>
          <cell r="G63">
            <v>0</v>
          </cell>
          <cell r="H63">
            <v>0</v>
          </cell>
          <cell r="I63">
            <v>708954505</v>
          </cell>
          <cell r="J63">
            <v>0</v>
          </cell>
          <cell r="K63">
            <v>470609614</v>
          </cell>
          <cell r="L63">
            <v>1933260599</v>
          </cell>
          <cell r="M63">
            <v>1596836</v>
          </cell>
        </row>
        <row r="64">
          <cell r="B64" t="str">
            <v>A_Law Enforcement Officers_Salary Scale</v>
          </cell>
          <cell r="C64">
            <v>3531</v>
          </cell>
          <cell r="D64">
            <v>205533472</v>
          </cell>
          <cell r="E64">
            <v>39.92</v>
          </cell>
          <cell r="F64">
            <v>12.79</v>
          </cell>
          <cell r="G64">
            <v>0</v>
          </cell>
          <cell r="H64">
            <v>0</v>
          </cell>
          <cell r="I64">
            <v>714412477</v>
          </cell>
          <cell r="J64">
            <v>0</v>
          </cell>
          <cell r="K64">
            <v>470942371</v>
          </cell>
          <cell r="L64">
            <v>1956112867</v>
          </cell>
          <cell r="M64">
            <v>1608659</v>
          </cell>
        </row>
        <row r="65">
          <cell r="B65" t="str">
            <v>A_Law Enforcement Officers_Sal + Inflation</v>
          </cell>
          <cell r="C65">
            <v>3531</v>
          </cell>
          <cell r="D65">
            <v>205038211</v>
          </cell>
          <cell r="E65">
            <v>39.92</v>
          </cell>
          <cell r="F65">
            <v>12.79</v>
          </cell>
          <cell r="G65">
            <v>0</v>
          </cell>
          <cell r="H65">
            <v>0</v>
          </cell>
          <cell r="I65">
            <v>696757223</v>
          </cell>
          <cell r="J65">
            <v>0</v>
          </cell>
          <cell r="K65">
            <v>465128901</v>
          </cell>
          <cell r="L65">
            <v>1918349447</v>
          </cell>
          <cell r="M65">
            <v>1603288</v>
          </cell>
        </row>
        <row r="66">
          <cell r="B66" t="str">
            <v>A_Law Enforcement Officers_Mortality</v>
          </cell>
          <cell r="C66">
            <v>3531</v>
          </cell>
          <cell r="D66">
            <v>205038211</v>
          </cell>
          <cell r="E66">
            <v>39.92</v>
          </cell>
          <cell r="F66">
            <v>12.79</v>
          </cell>
          <cell r="G66">
            <v>0</v>
          </cell>
          <cell r="H66">
            <v>0</v>
          </cell>
          <cell r="I66">
            <v>710249922</v>
          </cell>
          <cell r="J66">
            <v>0</v>
          </cell>
          <cell r="K66">
            <v>474619999</v>
          </cell>
          <cell r="L66">
            <v>1920299304</v>
          </cell>
          <cell r="M66">
            <v>1562132</v>
          </cell>
        </row>
        <row r="67">
          <cell r="B67" t="str">
            <v>A_Law Enforcement Officers_Ret/Term</v>
          </cell>
          <cell r="C67">
            <v>3531</v>
          </cell>
          <cell r="D67">
            <v>205038211</v>
          </cell>
          <cell r="E67">
            <v>39.92</v>
          </cell>
          <cell r="F67">
            <v>12.79</v>
          </cell>
          <cell r="G67">
            <v>0</v>
          </cell>
          <cell r="H67">
            <v>0</v>
          </cell>
          <cell r="I67">
            <v>709426770</v>
          </cell>
          <cell r="J67">
            <v>0</v>
          </cell>
          <cell r="K67">
            <v>479848584</v>
          </cell>
          <cell r="L67">
            <v>1834263218</v>
          </cell>
          <cell r="M67">
            <v>1763392</v>
          </cell>
        </row>
        <row r="68">
          <cell r="C68">
            <v>3529</v>
          </cell>
          <cell r="D68">
            <v>204829979</v>
          </cell>
          <cell r="E68">
            <v>39.92</v>
          </cell>
          <cell r="F68">
            <v>12.8</v>
          </cell>
          <cell r="G68">
            <v>0</v>
          </cell>
          <cell r="H68">
            <v>0</v>
          </cell>
          <cell r="I68">
            <v>708712517</v>
          </cell>
          <cell r="J68">
            <v>0</v>
          </cell>
          <cell r="K68">
            <v>470495366</v>
          </cell>
          <cell r="L68">
            <v>1932204183</v>
          </cell>
          <cell r="M68">
            <v>1595118</v>
          </cell>
        </row>
        <row r="69">
          <cell r="B69" t="str">
            <v>A_Law Enforcement Officers_Fix Disability</v>
          </cell>
          <cell r="C69">
            <v>3529</v>
          </cell>
          <cell r="D69">
            <v>204947078</v>
          </cell>
          <cell r="E69">
            <v>39.92</v>
          </cell>
          <cell r="F69">
            <v>12.8</v>
          </cell>
          <cell r="G69">
            <v>0</v>
          </cell>
          <cell r="H69">
            <v>0</v>
          </cell>
          <cell r="I69">
            <v>709192318</v>
          </cell>
          <cell r="J69">
            <v>0</v>
          </cell>
          <cell r="K69">
            <v>479734850</v>
          </cell>
          <cell r="L69">
            <v>1833276046</v>
          </cell>
          <cell r="M69">
            <v>1761546</v>
          </cell>
        </row>
        <row r="70">
          <cell r="B70" t="str">
            <v>A_Law Enforcement Officers_Correct Groups</v>
          </cell>
          <cell r="C70">
            <v>3529</v>
          </cell>
          <cell r="D70">
            <v>204947078</v>
          </cell>
          <cell r="E70">
            <v>39.92</v>
          </cell>
          <cell r="F70">
            <v>12.8</v>
          </cell>
          <cell r="G70">
            <v>0</v>
          </cell>
          <cell r="H70">
            <v>0</v>
          </cell>
          <cell r="I70">
            <v>709198672</v>
          </cell>
          <cell r="J70">
            <v>0</v>
          </cell>
          <cell r="K70">
            <v>479747821</v>
          </cell>
          <cell r="L70">
            <v>1833276562</v>
          </cell>
          <cell r="M70">
            <v>1761540</v>
          </cell>
        </row>
        <row r="71">
          <cell r="B71" t="str">
            <v>A_Law Enforcement Officers_Adder</v>
          </cell>
          <cell r="C71">
            <v>3529</v>
          </cell>
          <cell r="D71">
            <v>204947078</v>
          </cell>
          <cell r="E71">
            <v>39.92</v>
          </cell>
          <cell r="F71">
            <v>12.8</v>
          </cell>
          <cell r="G71">
            <v>0</v>
          </cell>
          <cell r="H71">
            <v>0</v>
          </cell>
          <cell r="I71">
            <v>721174871</v>
          </cell>
          <cell r="J71">
            <v>0</v>
          </cell>
          <cell r="K71">
            <v>488384054</v>
          </cell>
          <cell r="L71">
            <v>1833276562</v>
          </cell>
          <cell r="M71">
            <v>1761540</v>
          </cell>
        </row>
        <row r="72">
          <cell r="B72" t="str">
            <v>A_Law Enforcement Officers_Experience_NC</v>
          </cell>
          <cell r="C72">
            <v>3531</v>
          </cell>
          <cell r="D72">
            <v>204921033</v>
          </cell>
          <cell r="E72">
            <v>39.92</v>
          </cell>
          <cell r="F72">
            <v>12.79</v>
          </cell>
          <cell r="G72">
            <v>0</v>
          </cell>
          <cell r="H72">
            <v>0</v>
          </cell>
          <cell r="I72">
            <v>708304139</v>
          </cell>
          <cell r="J72">
            <v>0</v>
          </cell>
          <cell r="K72">
            <v>470711802</v>
          </cell>
          <cell r="L72">
            <v>1933260599</v>
          </cell>
          <cell r="M72">
            <v>1596836</v>
          </cell>
        </row>
        <row r="73">
          <cell r="B73" t="str">
            <v>A_Law Enforcement Officers_Salary Scale_NC</v>
          </cell>
          <cell r="C73">
            <v>3531</v>
          </cell>
          <cell r="D73">
            <v>205533472</v>
          </cell>
          <cell r="E73">
            <v>39.92</v>
          </cell>
          <cell r="F73">
            <v>12.79</v>
          </cell>
          <cell r="G73">
            <v>0</v>
          </cell>
          <cell r="H73">
            <v>0</v>
          </cell>
          <cell r="I73">
            <v>713703270</v>
          </cell>
          <cell r="J73">
            <v>0</v>
          </cell>
          <cell r="K73">
            <v>470994374</v>
          </cell>
          <cell r="L73">
            <v>1956112867</v>
          </cell>
          <cell r="M73">
            <v>1608659</v>
          </cell>
        </row>
        <row r="74">
          <cell r="B74" t="str">
            <v>A_Law Enforcement Officers_Sal + Inflation_NC</v>
          </cell>
          <cell r="C74">
            <v>3531</v>
          </cell>
          <cell r="D74">
            <v>205038211</v>
          </cell>
          <cell r="E74">
            <v>39.92</v>
          </cell>
          <cell r="F74">
            <v>12.79</v>
          </cell>
          <cell r="G74">
            <v>0</v>
          </cell>
          <cell r="H74">
            <v>0</v>
          </cell>
          <cell r="I74">
            <v>696139942</v>
          </cell>
          <cell r="J74">
            <v>0</v>
          </cell>
          <cell r="K74">
            <v>465153024</v>
          </cell>
          <cell r="L74">
            <v>1918349447</v>
          </cell>
          <cell r="M74">
            <v>1603288</v>
          </cell>
        </row>
        <row r="75">
          <cell r="B75" t="str">
            <v>A_Law Enforcement Officers_Mortality_NC</v>
          </cell>
          <cell r="C75">
            <v>3531</v>
          </cell>
          <cell r="D75">
            <v>205038211</v>
          </cell>
          <cell r="E75">
            <v>39.92</v>
          </cell>
          <cell r="F75">
            <v>12.79</v>
          </cell>
          <cell r="G75">
            <v>0</v>
          </cell>
          <cell r="H75">
            <v>0</v>
          </cell>
          <cell r="I75">
            <v>709619780</v>
          </cell>
          <cell r="J75">
            <v>0</v>
          </cell>
          <cell r="K75">
            <v>474623854</v>
          </cell>
          <cell r="L75">
            <v>1920299304</v>
          </cell>
          <cell r="M75">
            <v>1562132</v>
          </cell>
        </row>
        <row r="76">
          <cell r="B76" t="str">
            <v>A_Law Enforcement Officers_Ret/Term_NC</v>
          </cell>
          <cell r="C76">
            <v>3531</v>
          </cell>
          <cell r="D76">
            <v>205038211</v>
          </cell>
          <cell r="E76">
            <v>39.92</v>
          </cell>
          <cell r="F76">
            <v>12.79</v>
          </cell>
          <cell r="G76">
            <v>0</v>
          </cell>
          <cell r="H76">
            <v>0</v>
          </cell>
          <cell r="I76">
            <v>708673950</v>
          </cell>
          <cell r="J76">
            <v>0</v>
          </cell>
          <cell r="K76">
            <v>479626701</v>
          </cell>
          <cell r="L76">
            <v>1834263218</v>
          </cell>
          <cell r="M76">
            <v>1763392</v>
          </cell>
        </row>
        <row r="77">
          <cell r="C77">
            <v>3529</v>
          </cell>
          <cell r="D77">
            <v>204829979</v>
          </cell>
          <cell r="E77">
            <v>39.92</v>
          </cell>
          <cell r="F77">
            <v>12.8</v>
          </cell>
          <cell r="G77">
            <v>0</v>
          </cell>
          <cell r="H77">
            <v>0</v>
          </cell>
          <cell r="I77">
            <v>708060807</v>
          </cell>
          <cell r="J77">
            <v>0</v>
          </cell>
          <cell r="K77">
            <v>470600581</v>
          </cell>
          <cell r="L77">
            <v>1932204183</v>
          </cell>
          <cell r="M77">
            <v>1595118</v>
          </cell>
        </row>
        <row r="78">
          <cell r="B78" t="str">
            <v>A_Law Enforcement Officers_Fix Disability_NC</v>
          </cell>
          <cell r="C78">
            <v>3529</v>
          </cell>
          <cell r="D78">
            <v>204947078</v>
          </cell>
          <cell r="E78">
            <v>39.92</v>
          </cell>
          <cell r="F78">
            <v>12.8</v>
          </cell>
          <cell r="G78">
            <v>0</v>
          </cell>
          <cell r="H78">
            <v>0</v>
          </cell>
          <cell r="I78">
            <v>708437817</v>
          </cell>
          <cell r="J78">
            <v>0</v>
          </cell>
          <cell r="K78">
            <v>479516026</v>
          </cell>
          <cell r="L78">
            <v>1833276046</v>
          </cell>
          <cell r="M78">
            <v>1761546</v>
          </cell>
        </row>
        <row r="79">
          <cell r="B79" t="str">
            <v>A_Law Enforcement Officers_Correct Groups_NC</v>
          </cell>
          <cell r="C79">
            <v>3529</v>
          </cell>
          <cell r="D79">
            <v>204947078</v>
          </cell>
          <cell r="E79">
            <v>39.92</v>
          </cell>
          <cell r="F79">
            <v>12.8</v>
          </cell>
          <cell r="G79">
            <v>0</v>
          </cell>
          <cell r="H79">
            <v>0</v>
          </cell>
          <cell r="I79">
            <v>708439904</v>
          </cell>
          <cell r="J79">
            <v>0</v>
          </cell>
          <cell r="K79">
            <v>479518416</v>
          </cell>
          <cell r="L79">
            <v>1833276562</v>
          </cell>
          <cell r="M79">
            <v>1761540</v>
          </cell>
        </row>
        <row r="80">
          <cell r="B80" t="str">
            <v>A_Law Enforcement Officers_Adder_NC</v>
          </cell>
          <cell r="C80">
            <v>3529</v>
          </cell>
          <cell r="D80">
            <v>204947078</v>
          </cell>
          <cell r="E80">
            <v>39.92</v>
          </cell>
          <cell r="F80">
            <v>12.8</v>
          </cell>
          <cell r="G80">
            <v>0</v>
          </cell>
          <cell r="H80">
            <v>0</v>
          </cell>
          <cell r="I80">
            <v>720404503</v>
          </cell>
          <cell r="J80">
            <v>0</v>
          </cell>
          <cell r="K80">
            <v>488145675</v>
          </cell>
          <cell r="L80">
            <v>1833276562</v>
          </cell>
          <cell r="M80">
            <v>1761540</v>
          </cell>
        </row>
        <row r="81">
          <cell r="B81" t="str">
            <v>R_Teachers_Experience</v>
          </cell>
          <cell r="C81">
            <v>0</v>
          </cell>
          <cell r="D81">
            <v>0</v>
          </cell>
          <cell r="E81">
            <v>0</v>
          </cell>
          <cell r="F81">
            <v>0</v>
          </cell>
          <cell r="G81">
            <v>68841</v>
          </cell>
          <cell r="H81">
            <v>1847585434</v>
          </cell>
          <cell r="I81">
            <v>0</v>
          </cell>
          <cell r="J81">
            <v>15957555420</v>
          </cell>
          <cell r="K81">
            <v>0</v>
          </cell>
          <cell r="L81">
            <v>0</v>
          </cell>
        </row>
        <row r="82">
          <cell r="B82" t="str">
            <v>R_Teachers_Mortality</v>
          </cell>
          <cell r="C82">
            <v>0</v>
          </cell>
          <cell r="D82">
            <v>0</v>
          </cell>
          <cell r="E82">
            <v>0</v>
          </cell>
          <cell r="F82">
            <v>0</v>
          </cell>
          <cell r="G82">
            <v>68841</v>
          </cell>
          <cell r="H82">
            <v>1847585434</v>
          </cell>
          <cell r="I82">
            <v>0</v>
          </cell>
          <cell r="J82">
            <v>15915446811</v>
          </cell>
          <cell r="K82">
            <v>0</v>
          </cell>
          <cell r="L82">
            <v>0</v>
          </cell>
        </row>
        <row r="83">
          <cell r="C83">
            <v>0</v>
          </cell>
          <cell r="D83">
            <v>0</v>
          </cell>
          <cell r="E83">
            <v>0</v>
          </cell>
          <cell r="F83">
            <v>0</v>
          </cell>
          <cell r="G83">
            <v>68841</v>
          </cell>
          <cell r="H83">
            <v>1849617003</v>
          </cell>
          <cell r="I83">
            <v>0</v>
          </cell>
          <cell r="J83">
            <v>15916949516</v>
          </cell>
          <cell r="K83">
            <v>0</v>
          </cell>
          <cell r="L83">
            <v>0</v>
          </cell>
        </row>
        <row r="84">
          <cell r="B84" t="str">
            <v>R_Teachers_Fix Disability</v>
          </cell>
          <cell r="C84">
            <v>0</v>
          </cell>
          <cell r="D84">
            <v>0</v>
          </cell>
          <cell r="E84">
            <v>0</v>
          </cell>
          <cell r="F84">
            <v>0</v>
          </cell>
          <cell r="G84">
            <v>68841</v>
          </cell>
          <cell r="H84">
            <v>1849617003</v>
          </cell>
          <cell r="I84">
            <v>0</v>
          </cell>
          <cell r="J84">
            <v>15874371810</v>
          </cell>
          <cell r="K84">
            <v>0</v>
          </cell>
          <cell r="L84">
            <v>0</v>
          </cell>
        </row>
        <row r="85">
          <cell r="C85">
            <v>0</v>
          </cell>
          <cell r="D85">
            <v>0</v>
          </cell>
          <cell r="E85">
            <v>0</v>
          </cell>
          <cell r="F85">
            <v>0</v>
          </cell>
          <cell r="G85">
            <v>68735</v>
          </cell>
          <cell r="H85">
            <v>1846681031</v>
          </cell>
          <cell r="I85">
            <v>0</v>
          </cell>
          <cell r="J85">
            <v>15845650965</v>
          </cell>
          <cell r="K85">
            <v>0</v>
          </cell>
          <cell r="L85">
            <v>0</v>
          </cell>
        </row>
        <row r="86">
          <cell r="C86">
            <v>0</v>
          </cell>
          <cell r="D86">
            <v>0</v>
          </cell>
          <cell r="E86">
            <v>0</v>
          </cell>
          <cell r="F86">
            <v>0</v>
          </cell>
          <cell r="G86">
            <v>2695</v>
          </cell>
          <cell r="H86">
            <v>67411529</v>
          </cell>
          <cell r="I86">
            <v>0</v>
          </cell>
          <cell r="J86">
            <v>637471005</v>
          </cell>
          <cell r="K86">
            <v>0</v>
          </cell>
          <cell r="L86">
            <v>0</v>
          </cell>
        </row>
        <row r="87">
          <cell r="B87" t="str">
            <v>A_Other Education_Correct Groups</v>
          </cell>
          <cell r="C87">
            <v>48906</v>
          </cell>
          <cell r="D87">
            <v>2001734581</v>
          </cell>
          <cell r="E87">
            <v>48.51</v>
          </cell>
          <cell r="F87">
            <v>10.72</v>
          </cell>
          <cell r="G87">
            <v>0</v>
          </cell>
          <cell r="H87">
            <v>0</v>
          </cell>
          <cell r="I87">
            <v>5739278205</v>
          </cell>
          <cell r="J87">
            <v>0</v>
          </cell>
          <cell r="K87">
            <v>4197560229</v>
          </cell>
          <cell r="L87">
            <v>14693640050</v>
          </cell>
          <cell r="M87">
            <v>30291613</v>
          </cell>
        </row>
        <row r="88">
          <cell r="B88" t="str">
            <v>A_Other Education_Adder</v>
          </cell>
          <cell r="C88">
            <v>48906</v>
          </cell>
          <cell r="D88">
            <v>2001734581</v>
          </cell>
          <cell r="E88">
            <v>48.51</v>
          </cell>
          <cell r="F88">
            <v>10.72</v>
          </cell>
          <cell r="G88">
            <v>0</v>
          </cell>
          <cell r="H88">
            <v>0</v>
          </cell>
          <cell r="I88">
            <v>5761087963</v>
          </cell>
          <cell r="J88">
            <v>0</v>
          </cell>
          <cell r="K88">
            <v>4214541754</v>
          </cell>
          <cell r="L88">
            <v>14693640050</v>
          </cell>
          <cell r="M88">
            <v>30291613</v>
          </cell>
        </row>
        <row r="89">
          <cell r="B89" t="str">
            <v>A_Other Education_Correct Groups_NC</v>
          </cell>
          <cell r="C89">
            <v>48906</v>
          </cell>
          <cell r="D89">
            <v>2001734581</v>
          </cell>
          <cell r="E89">
            <v>48.51</v>
          </cell>
          <cell r="F89">
            <v>10.72</v>
          </cell>
          <cell r="G89">
            <v>0</v>
          </cell>
          <cell r="H89">
            <v>0</v>
          </cell>
          <cell r="I89">
            <v>5724709811</v>
          </cell>
          <cell r="J89">
            <v>0</v>
          </cell>
          <cell r="K89">
            <v>4186909441</v>
          </cell>
          <cell r="L89">
            <v>14693640050</v>
          </cell>
          <cell r="M89">
            <v>30291613</v>
          </cell>
        </row>
        <row r="90">
          <cell r="B90" t="str">
            <v>A_Other Education_Adder_NC</v>
          </cell>
          <cell r="C90">
            <v>48906</v>
          </cell>
          <cell r="D90">
            <v>2001734581</v>
          </cell>
          <cell r="E90">
            <v>48.51</v>
          </cell>
          <cell r="F90">
            <v>10.72</v>
          </cell>
          <cell r="G90">
            <v>0</v>
          </cell>
          <cell r="H90">
            <v>0</v>
          </cell>
          <cell r="I90">
            <v>5746463894</v>
          </cell>
          <cell r="J90">
            <v>0</v>
          </cell>
          <cell r="K90">
            <v>4203843173</v>
          </cell>
          <cell r="L90">
            <v>14693640050</v>
          </cell>
          <cell r="M90">
            <v>30291613</v>
          </cell>
        </row>
        <row r="91">
          <cell r="B91" t="str">
            <v>B_Teachers_Experience</v>
          </cell>
          <cell r="C91">
            <v>0</v>
          </cell>
          <cell r="D91">
            <v>0</v>
          </cell>
          <cell r="E91">
            <v>0</v>
          </cell>
          <cell r="F91">
            <v>0</v>
          </cell>
          <cell r="G91">
            <v>3850</v>
          </cell>
          <cell r="H91">
            <v>63949635</v>
          </cell>
          <cell r="I91">
            <v>0</v>
          </cell>
          <cell r="J91">
            <v>509309400</v>
          </cell>
          <cell r="K91">
            <v>0</v>
          </cell>
          <cell r="L91">
            <v>0</v>
          </cell>
        </row>
        <row r="92">
          <cell r="B92" t="str">
            <v>B_Teachers_Mortality</v>
          </cell>
          <cell r="C92">
            <v>0</v>
          </cell>
          <cell r="D92">
            <v>0</v>
          </cell>
          <cell r="E92">
            <v>0</v>
          </cell>
          <cell r="F92">
            <v>0</v>
          </cell>
          <cell r="G92">
            <v>3850</v>
          </cell>
          <cell r="H92">
            <v>63949635</v>
          </cell>
          <cell r="I92">
            <v>0</v>
          </cell>
          <cell r="J92">
            <v>499131345</v>
          </cell>
          <cell r="K92">
            <v>0</v>
          </cell>
          <cell r="L92">
            <v>0</v>
          </cell>
        </row>
        <row r="93">
          <cell r="C93">
            <v>0</v>
          </cell>
          <cell r="D93">
            <v>0</v>
          </cell>
          <cell r="E93">
            <v>0</v>
          </cell>
          <cell r="F93">
            <v>0</v>
          </cell>
          <cell r="G93">
            <v>3805</v>
          </cell>
          <cell r="H93">
            <v>63344976</v>
          </cell>
          <cell r="I93">
            <v>0</v>
          </cell>
          <cell r="J93">
            <v>491494756</v>
          </cell>
          <cell r="K93">
            <v>0</v>
          </cell>
          <cell r="L93">
            <v>0</v>
          </cell>
        </row>
        <row r="94">
          <cell r="C94">
            <v>0</v>
          </cell>
          <cell r="D94">
            <v>0</v>
          </cell>
          <cell r="E94">
            <v>0</v>
          </cell>
          <cell r="F94">
            <v>0</v>
          </cell>
          <cell r="G94">
            <v>4</v>
          </cell>
          <cell r="H94">
            <v>42393</v>
          </cell>
          <cell r="I94">
            <v>0</v>
          </cell>
          <cell r="J94">
            <v>456295</v>
          </cell>
          <cell r="K94">
            <v>0</v>
          </cell>
          <cell r="L94">
            <v>0</v>
          </cell>
        </row>
        <row r="95">
          <cell r="B95" t="str">
            <v>R_General_Experience</v>
          </cell>
          <cell r="C95">
            <v>0</v>
          </cell>
          <cell r="D95">
            <v>0</v>
          </cell>
          <cell r="E95">
            <v>0</v>
          </cell>
          <cell r="F95">
            <v>0</v>
          </cell>
          <cell r="G95">
            <v>73315</v>
          </cell>
          <cell r="H95">
            <v>1294719448</v>
          </cell>
          <cell r="I95">
            <v>0</v>
          </cell>
          <cell r="J95">
            <v>11017295178</v>
          </cell>
          <cell r="K95">
            <v>0</v>
          </cell>
          <cell r="L95">
            <v>0</v>
          </cell>
        </row>
        <row r="96">
          <cell r="B96" t="str">
            <v>R_General_Mortality</v>
          </cell>
          <cell r="C96">
            <v>0</v>
          </cell>
          <cell r="D96">
            <v>0</v>
          </cell>
          <cell r="E96">
            <v>0</v>
          </cell>
          <cell r="F96">
            <v>0</v>
          </cell>
          <cell r="G96">
            <v>73315</v>
          </cell>
          <cell r="H96">
            <v>1294719448</v>
          </cell>
          <cell r="I96">
            <v>0</v>
          </cell>
          <cell r="J96">
            <v>11013868775</v>
          </cell>
          <cell r="K96">
            <v>0</v>
          </cell>
          <cell r="L96">
            <v>0</v>
          </cell>
        </row>
        <row r="97">
          <cell r="C97">
            <v>0</v>
          </cell>
          <cell r="D97">
            <v>0</v>
          </cell>
          <cell r="E97">
            <v>0</v>
          </cell>
          <cell r="F97">
            <v>0</v>
          </cell>
          <cell r="G97">
            <v>73315</v>
          </cell>
          <cell r="H97">
            <v>1294721957</v>
          </cell>
          <cell r="I97">
            <v>0</v>
          </cell>
          <cell r="J97">
            <v>10996240964</v>
          </cell>
          <cell r="K97">
            <v>0</v>
          </cell>
          <cell r="L97">
            <v>0</v>
          </cell>
        </row>
        <row r="98">
          <cell r="B98" t="str">
            <v>R_General_Fix Disability</v>
          </cell>
          <cell r="C98">
            <v>0</v>
          </cell>
          <cell r="D98">
            <v>0</v>
          </cell>
          <cell r="E98">
            <v>0</v>
          </cell>
          <cell r="F98">
            <v>0</v>
          </cell>
          <cell r="G98">
            <v>73315</v>
          </cell>
          <cell r="H98">
            <v>1294721957</v>
          </cell>
          <cell r="I98">
            <v>0</v>
          </cell>
          <cell r="J98">
            <v>10994180662</v>
          </cell>
          <cell r="K98">
            <v>0</v>
          </cell>
          <cell r="L98">
            <v>0</v>
          </cell>
        </row>
        <row r="99">
          <cell r="C99">
            <v>0</v>
          </cell>
          <cell r="D99">
            <v>0</v>
          </cell>
          <cell r="E99">
            <v>0</v>
          </cell>
          <cell r="F99">
            <v>0</v>
          </cell>
          <cell r="G99">
            <v>70726</v>
          </cell>
          <cell r="H99">
            <v>1230141222</v>
          </cell>
          <cell r="I99">
            <v>0</v>
          </cell>
          <cell r="J99">
            <v>10381313729</v>
          </cell>
          <cell r="K99">
            <v>0</v>
          </cell>
          <cell r="L99">
            <v>0</v>
          </cell>
        </row>
        <row r="100">
          <cell r="B100" t="str">
            <v>B_General_Experience</v>
          </cell>
          <cell r="C100">
            <v>0</v>
          </cell>
          <cell r="D100">
            <v>0</v>
          </cell>
          <cell r="E100">
            <v>0</v>
          </cell>
          <cell r="F100">
            <v>0</v>
          </cell>
          <cell r="G100">
            <v>8123</v>
          </cell>
          <cell r="H100">
            <v>90292018</v>
          </cell>
          <cell r="I100">
            <v>0</v>
          </cell>
          <cell r="J100">
            <v>717480150</v>
          </cell>
          <cell r="K100">
            <v>0</v>
          </cell>
          <cell r="L100">
            <v>0</v>
          </cell>
        </row>
        <row r="101">
          <cell r="B101" t="str">
            <v>B_General_Mortality</v>
          </cell>
          <cell r="C101">
            <v>0</v>
          </cell>
          <cell r="D101">
            <v>0</v>
          </cell>
          <cell r="E101">
            <v>0</v>
          </cell>
          <cell r="F101">
            <v>0</v>
          </cell>
          <cell r="G101">
            <v>8123</v>
          </cell>
          <cell r="H101">
            <v>90292018</v>
          </cell>
          <cell r="I101">
            <v>0</v>
          </cell>
          <cell r="J101">
            <v>697745341</v>
          </cell>
          <cell r="K101">
            <v>0</v>
          </cell>
          <cell r="L101">
            <v>0</v>
          </cell>
        </row>
        <row r="102">
          <cell r="C102">
            <v>0</v>
          </cell>
          <cell r="D102">
            <v>0</v>
          </cell>
          <cell r="E102">
            <v>0</v>
          </cell>
          <cell r="F102">
            <v>0</v>
          </cell>
          <cell r="G102">
            <v>8164</v>
          </cell>
          <cell r="H102">
            <v>90824945</v>
          </cell>
          <cell r="I102">
            <v>0</v>
          </cell>
          <cell r="J102">
            <v>701401784</v>
          </cell>
          <cell r="K102">
            <v>0</v>
          </cell>
          <cell r="L102">
            <v>0</v>
          </cell>
        </row>
        <row r="103">
          <cell r="B103" t="str">
            <v>R_Law Enforcement Officers_Experience</v>
          </cell>
          <cell r="C103">
            <v>0</v>
          </cell>
          <cell r="D103">
            <v>0</v>
          </cell>
          <cell r="E103">
            <v>0</v>
          </cell>
          <cell r="F103">
            <v>0</v>
          </cell>
          <cell r="G103">
            <v>2305</v>
          </cell>
          <cell r="H103">
            <v>68995116</v>
          </cell>
          <cell r="I103">
            <v>0</v>
          </cell>
          <cell r="J103">
            <v>720981233</v>
          </cell>
          <cell r="K103">
            <v>0</v>
          </cell>
          <cell r="L103">
            <v>0</v>
          </cell>
        </row>
        <row r="104">
          <cell r="B104" t="str">
            <v>R_Law Enforcement Officers_Mortality</v>
          </cell>
          <cell r="C104">
            <v>0</v>
          </cell>
          <cell r="D104">
            <v>0</v>
          </cell>
          <cell r="E104">
            <v>0</v>
          </cell>
          <cell r="F104">
            <v>0</v>
          </cell>
          <cell r="G104">
            <v>2305</v>
          </cell>
          <cell r="H104">
            <v>68995116</v>
          </cell>
          <cell r="I104">
            <v>0</v>
          </cell>
          <cell r="J104">
            <v>730462901</v>
          </cell>
          <cell r="K104">
            <v>0</v>
          </cell>
          <cell r="L104">
            <v>0</v>
          </cell>
        </row>
        <row r="105">
          <cell r="C105">
            <v>0</v>
          </cell>
          <cell r="D105">
            <v>0</v>
          </cell>
          <cell r="E105">
            <v>0</v>
          </cell>
          <cell r="F105">
            <v>0</v>
          </cell>
          <cell r="G105">
            <v>2305</v>
          </cell>
          <cell r="H105">
            <v>68995116</v>
          </cell>
          <cell r="I105">
            <v>0</v>
          </cell>
          <cell r="J105">
            <v>720362914</v>
          </cell>
          <cell r="K105">
            <v>0</v>
          </cell>
          <cell r="L105">
            <v>0</v>
          </cell>
        </row>
        <row r="106">
          <cell r="B106" t="str">
            <v>R_Law Enforcement Officers_Fix Disability</v>
          </cell>
          <cell r="C106">
            <v>0</v>
          </cell>
          <cell r="D106">
            <v>0</v>
          </cell>
          <cell r="E106">
            <v>0</v>
          </cell>
          <cell r="F106">
            <v>0</v>
          </cell>
          <cell r="G106">
            <v>2305</v>
          </cell>
          <cell r="H106">
            <v>68995116</v>
          </cell>
          <cell r="I106">
            <v>0</v>
          </cell>
          <cell r="J106">
            <v>730133463</v>
          </cell>
          <cell r="K106">
            <v>0</v>
          </cell>
          <cell r="L106">
            <v>0</v>
          </cell>
        </row>
        <row r="107">
          <cell r="C107">
            <v>0</v>
          </cell>
          <cell r="D107">
            <v>0</v>
          </cell>
          <cell r="E107">
            <v>0</v>
          </cell>
          <cell r="F107">
            <v>0</v>
          </cell>
          <cell r="G107">
            <v>2305</v>
          </cell>
          <cell r="H107">
            <v>68995086</v>
          </cell>
          <cell r="I107">
            <v>0</v>
          </cell>
          <cell r="J107">
            <v>730102232</v>
          </cell>
          <cell r="K107">
            <v>0</v>
          </cell>
          <cell r="L107">
            <v>0</v>
          </cell>
        </row>
        <row r="108">
          <cell r="B108" t="str">
            <v>B_Law Enforcement Officers_Experience</v>
          </cell>
          <cell r="C108">
            <v>0</v>
          </cell>
          <cell r="D108">
            <v>0</v>
          </cell>
          <cell r="E108">
            <v>0</v>
          </cell>
          <cell r="F108">
            <v>0</v>
          </cell>
          <cell r="G108">
            <v>352</v>
          </cell>
          <cell r="H108">
            <v>6669964</v>
          </cell>
          <cell r="I108">
            <v>0</v>
          </cell>
          <cell r="J108">
            <v>57558402</v>
          </cell>
          <cell r="K108">
            <v>0</v>
          </cell>
          <cell r="L108">
            <v>0</v>
          </cell>
        </row>
        <row r="109">
          <cell r="B109" t="str">
            <v>B_Law Enforcement Officers_Mortality</v>
          </cell>
          <cell r="C109">
            <v>0</v>
          </cell>
          <cell r="D109">
            <v>0</v>
          </cell>
          <cell r="E109">
            <v>0</v>
          </cell>
          <cell r="F109">
            <v>0</v>
          </cell>
          <cell r="G109">
            <v>352</v>
          </cell>
          <cell r="H109">
            <v>6669964</v>
          </cell>
          <cell r="I109">
            <v>0</v>
          </cell>
          <cell r="J109">
            <v>55765870</v>
          </cell>
          <cell r="K109">
            <v>0</v>
          </cell>
          <cell r="L109">
            <v>0</v>
          </cell>
        </row>
        <row r="110">
          <cell r="C110">
            <v>0</v>
          </cell>
          <cell r="D110">
            <v>0</v>
          </cell>
          <cell r="E110">
            <v>0</v>
          </cell>
          <cell r="F110">
            <v>0</v>
          </cell>
          <cell r="G110">
            <v>351</v>
          </cell>
          <cell r="H110">
            <v>6667848</v>
          </cell>
          <cell r="I110">
            <v>0</v>
          </cell>
          <cell r="J110">
            <v>55648593</v>
          </cell>
          <cell r="K110">
            <v>0</v>
          </cell>
          <cell r="L110">
            <v>0</v>
          </cell>
        </row>
        <row r="111">
          <cell r="C111">
            <v>0</v>
          </cell>
          <cell r="D111">
            <v>0</v>
          </cell>
          <cell r="E111">
            <v>0</v>
          </cell>
          <cell r="F111">
            <v>0</v>
          </cell>
          <cell r="G111">
            <v>104041</v>
          </cell>
          <cell r="H111">
            <v>0</v>
          </cell>
          <cell r="I111">
            <v>0</v>
          </cell>
          <cell r="J111">
            <v>1756646365</v>
          </cell>
          <cell r="K111">
            <v>0</v>
          </cell>
          <cell r="L111">
            <v>0</v>
          </cell>
        </row>
        <row r="112">
          <cell r="C112">
            <v>0</v>
          </cell>
          <cell r="D112">
            <v>0</v>
          </cell>
          <cell r="E112">
            <v>0</v>
          </cell>
          <cell r="F112">
            <v>0</v>
          </cell>
          <cell r="G112">
            <v>97429</v>
          </cell>
          <cell r="H112">
            <v>0</v>
          </cell>
          <cell r="I112">
            <v>0</v>
          </cell>
          <cell r="J112">
            <v>1528818350</v>
          </cell>
          <cell r="K112">
            <v>0</v>
          </cell>
          <cell r="L112">
            <v>0</v>
          </cell>
        </row>
        <row r="113">
          <cell r="C113">
            <v>0</v>
          </cell>
          <cell r="D113">
            <v>0</v>
          </cell>
          <cell r="E113">
            <v>0</v>
          </cell>
          <cell r="F113">
            <v>0</v>
          </cell>
          <cell r="G113">
            <v>97429</v>
          </cell>
          <cell r="H113">
            <v>0</v>
          </cell>
          <cell r="I113">
            <v>0</v>
          </cell>
          <cell r="J113">
            <v>1528815591</v>
          </cell>
          <cell r="K113">
            <v>0</v>
          </cell>
          <cell r="L113">
            <v>0</v>
          </cell>
        </row>
        <row r="114">
          <cell r="C114">
            <v>971</v>
          </cell>
          <cell r="D114">
            <v>36334517</v>
          </cell>
          <cell r="E114">
            <v>52.95</v>
          </cell>
          <cell r="F114">
            <v>7.82</v>
          </cell>
          <cell r="G114">
            <v>0</v>
          </cell>
          <cell r="H114">
            <v>0</v>
          </cell>
          <cell r="I114">
            <v>65066200</v>
          </cell>
          <cell r="J114">
            <v>0</v>
          </cell>
          <cell r="K114">
            <v>37825843</v>
          </cell>
          <cell r="L114">
            <v>282415331</v>
          </cell>
          <cell r="M114">
            <v>662646</v>
          </cell>
        </row>
        <row r="115">
          <cell r="B115" t="str">
            <v>D_Teachers_Fix Disability</v>
          </cell>
          <cell r="C115">
            <v>971</v>
          </cell>
          <cell r="D115">
            <v>36334517</v>
          </cell>
          <cell r="E115">
            <v>52.95</v>
          </cell>
          <cell r="F115">
            <v>7.82</v>
          </cell>
          <cell r="G115">
            <v>0</v>
          </cell>
          <cell r="H115">
            <v>0</v>
          </cell>
          <cell r="I115">
            <v>61305742</v>
          </cell>
          <cell r="J115">
            <v>0</v>
          </cell>
          <cell r="K115">
            <v>36904565</v>
          </cell>
          <cell r="L115">
            <v>265466385</v>
          </cell>
          <cell r="M115">
            <v>1484041</v>
          </cell>
        </row>
        <row r="116">
          <cell r="B116" t="str">
            <v>D_Teachers_Correct Groups</v>
          </cell>
          <cell r="C116">
            <v>829</v>
          </cell>
          <cell r="D116">
            <v>31890315</v>
          </cell>
          <cell r="E116">
            <v>51.1</v>
          </cell>
          <cell r="F116">
            <v>9.11</v>
          </cell>
          <cell r="G116">
            <v>0</v>
          </cell>
          <cell r="H116">
            <v>0</v>
          </cell>
          <cell r="I116">
            <v>58253706</v>
          </cell>
          <cell r="J116">
            <v>0</v>
          </cell>
          <cell r="K116">
            <v>36077211</v>
          </cell>
          <cell r="L116">
            <v>247170338</v>
          </cell>
          <cell r="M116">
            <v>1406857</v>
          </cell>
        </row>
        <row r="117">
          <cell r="C117">
            <v>971</v>
          </cell>
          <cell r="D117">
            <v>36334517</v>
          </cell>
          <cell r="E117">
            <v>52.95</v>
          </cell>
          <cell r="F117">
            <v>7.82</v>
          </cell>
          <cell r="G117">
            <v>0</v>
          </cell>
          <cell r="H117">
            <v>0</v>
          </cell>
          <cell r="I117">
            <v>65485767</v>
          </cell>
          <cell r="J117">
            <v>0</v>
          </cell>
          <cell r="K117">
            <v>38231479</v>
          </cell>
          <cell r="L117">
            <v>282415331</v>
          </cell>
          <cell r="M117">
            <v>662646</v>
          </cell>
        </row>
        <row r="118">
          <cell r="B118" t="str">
            <v>D_Teachers_Fix Disability_NC</v>
          </cell>
          <cell r="C118">
            <v>971</v>
          </cell>
          <cell r="D118">
            <v>36334517</v>
          </cell>
          <cell r="E118">
            <v>52.95</v>
          </cell>
          <cell r="F118">
            <v>7.82</v>
          </cell>
          <cell r="G118">
            <v>0</v>
          </cell>
          <cell r="H118">
            <v>0</v>
          </cell>
          <cell r="I118">
            <v>61759603</v>
          </cell>
          <cell r="J118">
            <v>0</v>
          </cell>
          <cell r="K118">
            <v>37275609</v>
          </cell>
          <cell r="L118">
            <v>265466385</v>
          </cell>
          <cell r="M118">
            <v>1484041</v>
          </cell>
        </row>
        <row r="119">
          <cell r="B119" t="str">
            <v>D_Teachers_Correct Groups_NC</v>
          </cell>
          <cell r="C119">
            <v>829</v>
          </cell>
          <cell r="D119">
            <v>31890315</v>
          </cell>
          <cell r="E119">
            <v>51.1</v>
          </cell>
          <cell r="F119">
            <v>9.11</v>
          </cell>
          <cell r="G119">
            <v>0</v>
          </cell>
          <cell r="H119">
            <v>0</v>
          </cell>
          <cell r="I119">
            <v>58951615</v>
          </cell>
          <cell r="J119">
            <v>0</v>
          </cell>
          <cell r="K119">
            <v>36613113</v>
          </cell>
          <cell r="L119">
            <v>247170338</v>
          </cell>
          <cell r="M119">
            <v>1406857</v>
          </cell>
        </row>
        <row r="120">
          <cell r="C120">
            <v>5904</v>
          </cell>
          <cell r="D120">
            <v>190251135</v>
          </cell>
          <cell r="E120">
            <v>54.91</v>
          </cell>
          <cell r="F120">
            <v>11.27</v>
          </cell>
          <cell r="G120">
            <v>0</v>
          </cell>
          <cell r="H120">
            <v>0</v>
          </cell>
          <cell r="I120">
            <v>389310930</v>
          </cell>
          <cell r="J120">
            <v>0</v>
          </cell>
          <cell r="K120">
            <v>271707637</v>
          </cell>
          <cell r="L120">
            <v>1259144552</v>
          </cell>
          <cell r="M120">
            <v>4163345</v>
          </cell>
        </row>
        <row r="121">
          <cell r="B121" t="str">
            <v>D_General_Fix Disability</v>
          </cell>
          <cell r="C121">
            <v>5904</v>
          </cell>
          <cell r="D121">
            <v>190251135</v>
          </cell>
          <cell r="E121">
            <v>54.91</v>
          </cell>
          <cell r="F121">
            <v>11.27</v>
          </cell>
          <cell r="G121">
            <v>0</v>
          </cell>
          <cell r="H121">
            <v>0</v>
          </cell>
          <cell r="I121">
            <v>376137026</v>
          </cell>
          <cell r="J121">
            <v>0</v>
          </cell>
          <cell r="K121">
            <v>270612320</v>
          </cell>
          <cell r="L121">
            <v>1188047338</v>
          </cell>
          <cell r="M121">
            <v>9310577</v>
          </cell>
        </row>
        <row r="122">
          <cell r="B122" t="str">
            <v>D_General_Correct Groups</v>
          </cell>
          <cell r="C122">
            <v>5785</v>
          </cell>
          <cell r="D122">
            <v>187581096</v>
          </cell>
          <cell r="E122">
            <v>55.19</v>
          </cell>
          <cell r="F122">
            <v>11.04</v>
          </cell>
          <cell r="G122">
            <v>0</v>
          </cell>
          <cell r="H122">
            <v>0</v>
          </cell>
          <cell r="I122">
            <v>355932262</v>
          </cell>
          <cell r="J122">
            <v>0</v>
          </cell>
          <cell r="K122">
            <v>254869203</v>
          </cell>
          <cell r="L122">
            <v>1160411680</v>
          </cell>
          <cell r="M122">
            <v>9124111</v>
          </cell>
        </row>
        <row r="123">
          <cell r="C123">
            <v>5904</v>
          </cell>
          <cell r="D123">
            <v>190251135</v>
          </cell>
          <cell r="E123">
            <v>54.91</v>
          </cell>
          <cell r="F123">
            <v>11.27</v>
          </cell>
          <cell r="G123">
            <v>0</v>
          </cell>
          <cell r="H123">
            <v>0</v>
          </cell>
          <cell r="I123">
            <v>387705597</v>
          </cell>
          <cell r="J123">
            <v>0</v>
          </cell>
          <cell r="K123">
            <v>271298035</v>
          </cell>
          <cell r="L123">
            <v>1259144552</v>
          </cell>
          <cell r="M123">
            <v>4163345</v>
          </cell>
        </row>
        <row r="124">
          <cell r="B124" t="str">
            <v>D_General_Fix Disability_NC</v>
          </cell>
          <cell r="C124">
            <v>5904</v>
          </cell>
          <cell r="D124">
            <v>190251135</v>
          </cell>
          <cell r="E124">
            <v>54.91</v>
          </cell>
          <cell r="F124">
            <v>11.27</v>
          </cell>
          <cell r="G124">
            <v>0</v>
          </cell>
          <cell r="H124">
            <v>0</v>
          </cell>
          <cell r="I124">
            <v>374744247</v>
          </cell>
          <cell r="J124">
            <v>0</v>
          </cell>
          <cell r="K124">
            <v>269485262</v>
          </cell>
          <cell r="L124">
            <v>1188047338</v>
          </cell>
          <cell r="M124">
            <v>9310577</v>
          </cell>
        </row>
        <row r="125">
          <cell r="B125" t="str">
            <v>D_General_Correct Groups_NC</v>
          </cell>
          <cell r="C125">
            <v>5785</v>
          </cell>
          <cell r="D125">
            <v>187581096</v>
          </cell>
          <cell r="E125">
            <v>55.19</v>
          </cell>
          <cell r="F125">
            <v>11.04</v>
          </cell>
          <cell r="G125">
            <v>0</v>
          </cell>
          <cell r="H125">
            <v>0</v>
          </cell>
          <cell r="I125">
            <v>363065543</v>
          </cell>
          <cell r="J125">
            <v>0</v>
          </cell>
          <cell r="K125">
            <v>259826502</v>
          </cell>
          <cell r="L125">
            <v>1160411680</v>
          </cell>
          <cell r="M125">
            <v>9124111</v>
          </cell>
        </row>
        <row r="126">
          <cell r="C126">
            <v>58</v>
          </cell>
          <cell r="D126">
            <v>2540584</v>
          </cell>
          <cell r="E126">
            <v>49.33</v>
          </cell>
          <cell r="F126">
            <v>10.78</v>
          </cell>
          <cell r="G126">
            <v>0</v>
          </cell>
          <cell r="H126">
            <v>0</v>
          </cell>
          <cell r="I126">
            <v>5931414</v>
          </cell>
          <cell r="J126">
            <v>0</v>
          </cell>
          <cell r="K126">
            <v>4172989</v>
          </cell>
          <cell r="L126">
            <v>16391218</v>
          </cell>
          <cell r="M126">
            <v>33720</v>
          </cell>
        </row>
        <row r="127">
          <cell r="B127" t="str">
            <v>D_Law Enforcement Officers_Fix Disability</v>
          </cell>
          <cell r="C127">
            <v>58</v>
          </cell>
          <cell r="D127">
            <v>2540584</v>
          </cell>
          <cell r="E127">
            <v>49.33</v>
          </cell>
          <cell r="F127">
            <v>10.78</v>
          </cell>
          <cell r="G127">
            <v>0</v>
          </cell>
          <cell r="H127">
            <v>0</v>
          </cell>
          <cell r="I127">
            <v>5367782</v>
          </cell>
          <cell r="J127">
            <v>0</v>
          </cell>
          <cell r="K127">
            <v>3916454</v>
          </cell>
          <cell r="L127">
            <v>15304273</v>
          </cell>
          <cell r="M127">
            <v>121171</v>
          </cell>
        </row>
        <row r="128">
          <cell r="B128" t="str">
            <v>D_Law Enforcement Officers_Correct Groups</v>
          </cell>
          <cell r="C128">
            <v>54</v>
          </cell>
          <cell r="D128">
            <v>2416084</v>
          </cell>
          <cell r="E128">
            <v>48.59</v>
          </cell>
          <cell r="F128">
            <v>11.52</v>
          </cell>
          <cell r="G128">
            <v>0</v>
          </cell>
          <cell r="H128">
            <v>0</v>
          </cell>
          <cell r="I128">
            <v>5299492</v>
          </cell>
          <cell r="J128">
            <v>0</v>
          </cell>
          <cell r="K128">
            <v>3902527</v>
          </cell>
          <cell r="L128">
            <v>14859237</v>
          </cell>
          <cell r="M128">
            <v>119611</v>
          </cell>
        </row>
        <row r="129">
          <cell r="C129">
            <v>58</v>
          </cell>
          <cell r="D129">
            <v>2540584</v>
          </cell>
          <cell r="E129">
            <v>49.33</v>
          </cell>
          <cell r="F129">
            <v>10.78</v>
          </cell>
          <cell r="G129">
            <v>0</v>
          </cell>
          <cell r="H129">
            <v>0</v>
          </cell>
          <cell r="I129">
            <v>5929537</v>
          </cell>
          <cell r="J129">
            <v>0</v>
          </cell>
          <cell r="K129">
            <v>4170628</v>
          </cell>
          <cell r="L129">
            <v>16391218</v>
          </cell>
          <cell r="M129">
            <v>33720</v>
          </cell>
        </row>
        <row r="130">
          <cell r="B130" t="str">
            <v>D_Law Enforcement Officers_Fix Disability_NC</v>
          </cell>
          <cell r="C130">
            <v>58</v>
          </cell>
          <cell r="D130">
            <v>2540584</v>
          </cell>
          <cell r="E130">
            <v>49.33</v>
          </cell>
          <cell r="F130">
            <v>10.78</v>
          </cell>
          <cell r="G130">
            <v>0</v>
          </cell>
          <cell r="H130">
            <v>0</v>
          </cell>
          <cell r="I130">
            <v>5366970</v>
          </cell>
          <cell r="J130">
            <v>0</v>
          </cell>
          <cell r="K130">
            <v>3905769</v>
          </cell>
          <cell r="L130">
            <v>15304273</v>
          </cell>
          <cell r="M130">
            <v>121171</v>
          </cell>
        </row>
        <row r="131">
          <cell r="B131" t="str">
            <v>D_Law Enforcement Officers_Correct Groups_NC</v>
          </cell>
          <cell r="C131">
            <v>54</v>
          </cell>
          <cell r="D131">
            <v>2416084</v>
          </cell>
          <cell r="E131">
            <v>48.59</v>
          </cell>
          <cell r="F131">
            <v>11.52</v>
          </cell>
          <cell r="G131">
            <v>0</v>
          </cell>
          <cell r="H131">
            <v>0</v>
          </cell>
          <cell r="I131">
            <v>5300664</v>
          </cell>
          <cell r="J131">
            <v>0</v>
          </cell>
          <cell r="K131">
            <v>3893078</v>
          </cell>
          <cell r="L131">
            <v>14859237</v>
          </cell>
          <cell r="M131">
            <v>119611</v>
          </cell>
        </row>
        <row r="132">
          <cell r="B132" t="str">
            <v>D_Other Education_Correct Groups</v>
          </cell>
          <cell r="C132">
            <v>265</v>
          </cell>
          <cell r="D132">
            <v>7238740</v>
          </cell>
          <cell r="E132">
            <v>53.55</v>
          </cell>
          <cell r="F132">
            <v>10.18</v>
          </cell>
          <cell r="G132">
            <v>0</v>
          </cell>
          <cell r="H132">
            <v>0</v>
          </cell>
          <cell r="I132">
            <v>14175087</v>
          </cell>
          <cell r="J132">
            <v>0</v>
          </cell>
          <cell r="K132">
            <v>9986551</v>
          </cell>
          <cell r="L132">
            <v>46709065</v>
          </cell>
          <cell r="M132">
            <v>273620</v>
          </cell>
        </row>
        <row r="133">
          <cell r="B133" t="str">
            <v>D_Other Education_Correct Groups_NC</v>
          </cell>
          <cell r="C133">
            <v>265</v>
          </cell>
          <cell r="D133">
            <v>7238740</v>
          </cell>
          <cell r="E133">
            <v>53.55</v>
          </cell>
          <cell r="F133">
            <v>10.18</v>
          </cell>
          <cell r="G133">
            <v>0</v>
          </cell>
          <cell r="H133">
            <v>0</v>
          </cell>
          <cell r="I133">
            <v>14452810</v>
          </cell>
          <cell r="J133">
            <v>0</v>
          </cell>
          <cell r="K133">
            <v>10230361</v>
          </cell>
          <cell r="L133">
            <v>46709065</v>
          </cell>
          <cell r="M133">
            <v>273620</v>
          </cell>
        </row>
        <row r="134">
          <cell r="B134" t="str">
            <v>A_Teachers_AFC Load</v>
          </cell>
          <cell r="C134">
            <v>150859</v>
          </cell>
          <cell r="D134">
            <v>6918855488</v>
          </cell>
          <cell r="E134">
            <v>43.17</v>
          </cell>
          <cell r="F134">
            <v>10.26</v>
          </cell>
          <cell r="G134">
            <v>0</v>
          </cell>
          <cell r="H134">
            <v>0</v>
          </cell>
          <cell r="I134">
            <v>19814003983</v>
          </cell>
          <cell r="J134">
            <v>0</v>
          </cell>
          <cell r="K134">
            <v>12984790666</v>
          </cell>
          <cell r="L134">
            <v>59749832108</v>
          </cell>
          <cell r="M134">
            <v>115046171</v>
          </cell>
          <cell r="N134">
            <v>411181250</v>
          </cell>
          <cell r="O134">
            <v>3072433749</v>
          </cell>
          <cell r="P134">
            <v>21442116</v>
          </cell>
        </row>
        <row r="135">
          <cell r="B135" t="str">
            <v>A_Teachers_AFC Load_NC</v>
          </cell>
          <cell r="C135">
            <v>150859</v>
          </cell>
          <cell r="D135">
            <v>6918855488</v>
          </cell>
          <cell r="E135">
            <v>43.17</v>
          </cell>
          <cell r="F135">
            <v>10.26</v>
          </cell>
          <cell r="G135">
            <v>0</v>
          </cell>
          <cell r="H135">
            <v>0</v>
          </cell>
          <cell r="I135">
            <v>19731025387</v>
          </cell>
          <cell r="J135">
            <v>0</v>
          </cell>
          <cell r="K135">
            <v>12940741107</v>
          </cell>
          <cell r="L135">
            <v>59749832108</v>
          </cell>
          <cell r="M135">
            <v>115046171</v>
          </cell>
          <cell r="N135">
            <v>410388580</v>
          </cell>
          <cell r="O135">
            <v>3072433749</v>
          </cell>
          <cell r="P135">
            <v>21442116</v>
          </cell>
        </row>
        <row r="136">
          <cell r="B136" t="str">
            <v>A_General_AFC Load</v>
          </cell>
          <cell r="C136">
            <v>113353</v>
          </cell>
          <cell r="D136">
            <v>5214530027</v>
          </cell>
          <cell r="E136">
            <v>45.8</v>
          </cell>
          <cell r="F136">
            <v>10.06</v>
          </cell>
          <cell r="G136">
            <v>0</v>
          </cell>
          <cell r="H136">
            <v>0</v>
          </cell>
          <cell r="I136">
            <v>13499019397</v>
          </cell>
          <cell r="J136">
            <v>0</v>
          </cell>
          <cell r="K136">
            <v>9098313614</v>
          </cell>
          <cell r="L136">
            <v>41545877871</v>
          </cell>
          <cell r="M136">
            <v>101993763</v>
          </cell>
          <cell r="N136">
            <v>252174087</v>
          </cell>
          <cell r="O136">
            <v>1973350931</v>
          </cell>
          <cell r="P136">
            <v>14202668</v>
          </cell>
        </row>
        <row r="137">
          <cell r="B137" t="str">
            <v>A_General_AFC Load_NC</v>
          </cell>
          <cell r="C137">
            <v>113353</v>
          </cell>
          <cell r="D137">
            <v>5214530027</v>
          </cell>
          <cell r="E137">
            <v>45.8</v>
          </cell>
          <cell r="F137">
            <v>10.06</v>
          </cell>
          <cell r="G137">
            <v>0</v>
          </cell>
          <cell r="H137">
            <v>0</v>
          </cell>
          <cell r="I137">
            <v>13469389802</v>
          </cell>
          <cell r="J137">
            <v>0</v>
          </cell>
          <cell r="K137">
            <v>9079625701</v>
          </cell>
          <cell r="L137">
            <v>41545877871</v>
          </cell>
          <cell r="M137">
            <v>101993763</v>
          </cell>
          <cell r="N137">
            <v>251494004</v>
          </cell>
          <cell r="O137">
            <v>1973350931</v>
          </cell>
          <cell r="P137">
            <v>14202668</v>
          </cell>
        </row>
        <row r="138">
          <cell r="B138" t="str">
            <v>A_Law Enforcement Officers_AFC Load</v>
          </cell>
          <cell r="C138">
            <v>3529</v>
          </cell>
          <cell r="D138">
            <v>204947078</v>
          </cell>
          <cell r="E138">
            <v>39.92</v>
          </cell>
          <cell r="F138">
            <v>12.8</v>
          </cell>
          <cell r="G138">
            <v>0</v>
          </cell>
          <cell r="H138">
            <v>0</v>
          </cell>
          <cell r="I138">
            <v>724185605</v>
          </cell>
          <cell r="J138">
            <v>0</v>
          </cell>
          <cell r="K138">
            <v>492446253</v>
          </cell>
          <cell r="L138">
            <v>1810236207</v>
          </cell>
          <cell r="M138">
            <v>1761540</v>
          </cell>
          <cell r="N138">
            <v>5708161</v>
          </cell>
          <cell r="O138">
            <v>30044906</v>
          </cell>
          <cell r="P138">
            <v>105362</v>
          </cell>
        </row>
        <row r="139">
          <cell r="B139" t="str">
            <v>A_Law Enforcement Officers_AFC Load_NC</v>
          </cell>
          <cell r="C139">
            <v>3529</v>
          </cell>
          <cell r="D139">
            <v>204947078</v>
          </cell>
          <cell r="E139">
            <v>39.92</v>
          </cell>
          <cell r="F139">
            <v>12.8</v>
          </cell>
          <cell r="G139">
            <v>0</v>
          </cell>
          <cell r="H139">
            <v>0</v>
          </cell>
          <cell r="I139">
            <v>723389605</v>
          </cell>
          <cell r="J139">
            <v>0</v>
          </cell>
          <cell r="K139">
            <v>492185920</v>
          </cell>
          <cell r="L139">
            <v>1810236207</v>
          </cell>
          <cell r="M139">
            <v>1761540</v>
          </cell>
          <cell r="N139">
            <v>5790859</v>
          </cell>
          <cell r="O139">
            <v>30044906</v>
          </cell>
          <cell r="P139">
            <v>105362</v>
          </cell>
        </row>
        <row r="140">
          <cell r="B140" t="str">
            <v>A_Other Education_AFC Load</v>
          </cell>
          <cell r="C140">
            <v>48906</v>
          </cell>
          <cell r="D140">
            <v>2001734581</v>
          </cell>
          <cell r="E140">
            <v>48.51</v>
          </cell>
          <cell r="F140">
            <v>10.72</v>
          </cell>
          <cell r="G140">
            <v>0</v>
          </cell>
          <cell r="H140">
            <v>0</v>
          </cell>
          <cell r="I140">
            <v>5898471414</v>
          </cell>
          <cell r="J140">
            <v>0</v>
          </cell>
          <cell r="K140">
            <v>4319266882</v>
          </cell>
          <cell r="L140">
            <v>14693640050</v>
          </cell>
          <cell r="M140">
            <v>30291613</v>
          </cell>
          <cell r="N140">
            <v>67424448</v>
          </cell>
          <cell r="O140">
            <v>485591978</v>
          </cell>
          <cell r="P140">
            <v>3729722</v>
          </cell>
        </row>
        <row r="141">
          <cell r="B141" t="str">
            <v>A_Other Education_AFC Load_NC</v>
          </cell>
          <cell r="C141">
            <v>48906</v>
          </cell>
          <cell r="D141">
            <v>2001734581</v>
          </cell>
          <cell r="E141">
            <v>48.51</v>
          </cell>
          <cell r="F141">
            <v>10.72</v>
          </cell>
          <cell r="G141">
            <v>0</v>
          </cell>
          <cell r="H141">
            <v>0</v>
          </cell>
          <cell r="I141">
            <v>5883485163</v>
          </cell>
          <cell r="J141">
            <v>0</v>
          </cell>
          <cell r="K141">
            <v>4308279747</v>
          </cell>
          <cell r="L141">
            <v>14693640050</v>
          </cell>
          <cell r="M141">
            <v>30291613</v>
          </cell>
          <cell r="N141">
            <v>67081485</v>
          </cell>
          <cell r="O141">
            <v>485591978</v>
          </cell>
          <cell r="P141">
            <v>3729722</v>
          </cell>
        </row>
        <row r="142">
          <cell r="C142" t="str">
            <v>01.09.01.04.05 - TSERS - Inactives - Teachers - New Groups</v>
          </cell>
          <cell r="D142" t="str">
            <v>01.09.01.04.06 - TSERS - Inactives - Other Ed. - New Groups</v>
          </cell>
          <cell r="E142" t="str">
            <v>01.09.01.05.03 - TSERS - Beneficiaries - Teachers - New Groups</v>
          </cell>
          <cell r="F142" t="str">
            <v>01.09.01.05.04 - TSERS - Beneficiaries - Other Ed. - New Groups</v>
          </cell>
          <cell r="G142" t="str">
            <v>01.09.01.06.05 - TSERS - Inactives - General - New Groups</v>
          </cell>
          <cell r="H142" t="str">
            <v>01.09.01.07.03 - TSERS - Beneficiaries - General - New Groups</v>
          </cell>
          <cell r="I142" t="str">
            <v>01.09.01.08.05 - TSERS - Inactives - LEO - New Groups</v>
          </cell>
          <cell r="J142" t="str">
            <v>01.09.01.09.03 - TSERS - Beneficiaries - LEO - New Groups</v>
          </cell>
          <cell r="K142" t="str">
            <v>02.08.01.01.01 - TSERS - Actives - Teachers - Grouped</v>
          </cell>
          <cell r="L142" t="str">
            <v>02.08.01.01.02 - TSERS - Actives - Teachers - Grouped - NC</v>
          </cell>
          <cell r="M142" t="str">
            <v>02.08.01.02.01 - TSERS - Actives - General - Grouped</v>
          </cell>
          <cell r="N142" t="str">
            <v>02.08.01.02.02 - TSERS - Actives - General - Grouped - NC</v>
          </cell>
          <cell r="O142" t="str">
            <v>02.08.01.03.01 - TSERS - Actives - Law Enforcement - Grouped</v>
          </cell>
          <cell r="P142" t="str">
            <v>02.08.01.03.02 - TSERS - Actives - Law Enforcement - Grouped - NC</v>
          </cell>
          <cell r="Q142" t="str">
            <v>02.08.01.04.01 - TSERS - Inactives - Teachers</v>
          </cell>
          <cell r="R142" t="str">
            <v>02.08.01.05.01 - TSERS - Beneficiaries - Teachers</v>
          </cell>
          <cell r="S142" t="str">
            <v>02.08.01.06.01 - TSERS - Inactives - General</v>
          </cell>
        </row>
        <row r="143">
          <cell r="C143" t="str">
            <v xml:space="preserve"> 01.09.01.04.05 - TSERS - Inactives - Teachers - New Groups</v>
          </cell>
          <cell r="D143" t="str">
            <v xml:space="preserve"> 01.09.01.04.06 - TSERS - Inactives - Other Ed. - New Groups</v>
          </cell>
          <cell r="E143" t="str">
            <v xml:space="preserve"> 01.09.01.05.03 - TSERS - Beneficiaries - Teachers - New Groups</v>
          </cell>
          <cell r="F143" t="str">
            <v xml:space="preserve"> 01.09.01.05.04 - TSERS - Beneficiaries - Other Ed. - New Groups</v>
          </cell>
          <cell r="G143" t="str">
            <v xml:space="preserve"> 01.09.01.06.05 - TSERS - Inactives - General - New Groups</v>
          </cell>
          <cell r="H143" t="str">
            <v xml:space="preserve"> 01.09.01.07.03 - TSERS - Beneficiaries - General - New Groups</v>
          </cell>
          <cell r="I143" t="str">
            <v xml:space="preserve"> 01.09.01.08.05 - TSERS - Inactives - LEO - New Groups</v>
          </cell>
          <cell r="J143" t="str">
            <v xml:space="preserve"> 01.09.01.09.03 - TSERS - Beneficiaries - LEO - New Groups</v>
          </cell>
          <cell r="K143" t="str">
            <v xml:space="preserve"> 02.08.01.01.01 - TSERS - Actives - Teachers - Grouped</v>
          </cell>
          <cell r="L143" t="str">
            <v xml:space="preserve"> 02.08.01.01.02 - TSERS - Actives - Teachers - Grouped - NC</v>
          </cell>
          <cell r="M143" t="str">
            <v xml:space="preserve"> 02.08.01.02.01 - TSERS - Actives - General - Grouped</v>
          </cell>
          <cell r="N143" t="str">
            <v xml:space="preserve"> 02.08.01.02.02 - TSERS - Actives - General - Grouped - NC</v>
          </cell>
          <cell r="O143" t="str">
            <v xml:space="preserve"> 02.08.01.03.01 - TSERS - Actives - Law Enforcement - Grouped</v>
          </cell>
          <cell r="P143" t="str">
            <v xml:space="preserve"> 02.08.01.03.02 - TSERS - Actives - Law Enforcement - Grouped - NC</v>
          </cell>
          <cell r="Q143" t="str">
            <v xml:space="preserve"> 02.08.01.04.01 - TSERS - Inactives - Teachers</v>
          </cell>
          <cell r="R143" t="str">
            <v xml:space="preserve"> 02.08.01.05.01 - TSERS - Beneficiaries - Teachers</v>
          </cell>
          <cell r="S143" t="str">
            <v xml:space="preserve"> 02.08.01.06.01 - TSERS - Inactives - General</v>
          </cell>
        </row>
        <row r="144">
          <cell r="C144" t="str">
            <v xml:space="preserve"> 12/31/2009</v>
          </cell>
          <cell r="D144" t="str">
            <v xml:space="preserve"> 12/31/2009</v>
          </cell>
          <cell r="E144" t="str">
            <v xml:space="preserve"> 12/31/2009</v>
          </cell>
          <cell r="F144" t="str">
            <v xml:space="preserve"> 12/31/2009</v>
          </cell>
          <cell r="G144" t="str">
            <v xml:space="preserve"> 12/31/2009</v>
          </cell>
          <cell r="H144" t="str">
            <v xml:space="preserve"> 12/31/2009</v>
          </cell>
          <cell r="I144" t="str">
            <v xml:space="preserve"> 12/31/2009</v>
          </cell>
          <cell r="J144" t="str">
            <v xml:space="preserve"> 12/31/2009</v>
          </cell>
          <cell r="K144" t="str">
            <v xml:space="preserve"> 12/31/2008</v>
          </cell>
          <cell r="L144" t="str">
            <v xml:space="preserve"> 12/31/2008</v>
          </cell>
          <cell r="M144" t="str">
            <v xml:space="preserve"> 12/31/2008</v>
          </cell>
          <cell r="N144" t="str">
            <v xml:space="preserve"> 12/31/2008</v>
          </cell>
          <cell r="O144" t="str">
            <v xml:space="preserve"> 12/31/2008</v>
          </cell>
          <cell r="P144" t="str">
            <v xml:space="preserve"> 12/31/2008</v>
          </cell>
          <cell r="Q144" t="str">
            <v xml:space="preserve"> 12/31/2008</v>
          </cell>
          <cell r="R144" t="str">
            <v xml:space="preserve"> 12/31/2008</v>
          </cell>
          <cell r="S144" t="str">
            <v xml:space="preserve"> 12/31/2008</v>
          </cell>
        </row>
        <row r="145">
          <cell r="C145" t="str">
            <v xml:space="preserve"> 01.01.09.01 - TSERS - Teachers &amp; General</v>
          </cell>
          <cell r="D145" t="str">
            <v xml:space="preserve"> 01.01.09.01 - TSERS - Teachers &amp; General</v>
          </cell>
          <cell r="E145" t="str">
            <v xml:space="preserve"> 01.01.09.01 - TSERS - Teachers &amp; General</v>
          </cell>
          <cell r="F145" t="str">
            <v xml:space="preserve"> 01.01.09.01 - TSERS - Teachers &amp; General</v>
          </cell>
          <cell r="G145" t="str">
            <v xml:space="preserve"> 01.01.09.01 - TSERS - Teachers &amp; General</v>
          </cell>
          <cell r="H145" t="str">
            <v xml:space="preserve"> 01.01.09.01 - TSERS - Teachers &amp; General</v>
          </cell>
          <cell r="I145" t="str">
            <v xml:space="preserve"> 01.02.09.01 - TSERS - Law Enforcement Officers</v>
          </cell>
          <cell r="J145" t="str">
            <v xml:space="preserve"> 01.02.09.01 - TSERS - Law Enforcement Officers</v>
          </cell>
          <cell r="K145" t="str">
            <v xml:space="preserve"> 01.01.08 - TSERS - Teachers &amp; General</v>
          </cell>
          <cell r="L145" t="str">
            <v xml:space="preserve"> 01.01.08 - TSERS - Teachers &amp; General</v>
          </cell>
          <cell r="M145" t="str">
            <v xml:space="preserve"> 01.01.08 - TSERS - Teachers &amp; General</v>
          </cell>
          <cell r="N145" t="str">
            <v xml:space="preserve"> 01.01.08 - TSERS - Teachers &amp; General</v>
          </cell>
          <cell r="O145" t="str">
            <v xml:space="preserve"> 01.02.08 - TSERS - Law Enforcement Officers</v>
          </cell>
          <cell r="P145" t="str">
            <v xml:space="preserve"> 01.02.08 - TSERS - Law Enforcement Officers</v>
          </cell>
          <cell r="Q145" t="str">
            <v xml:space="preserve"> 01.01.08 - TSERS - Teachers &amp; General</v>
          </cell>
          <cell r="R145" t="str">
            <v xml:space="preserve"> 01.01.08 - TSERS - Teachers &amp; General</v>
          </cell>
          <cell r="S145" t="str">
            <v xml:space="preserve"> 01.01.08 - TSERS - Teachers &amp; General</v>
          </cell>
        </row>
        <row r="146">
          <cell r="C146" t="str">
            <v xml:space="preserve"> 09.01.02 - Inactives</v>
          </cell>
          <cell r="D146" t="str">
            <v xml:space="preserve"> 09.01.02 - Inactives</v>
          </cell>
          <cell r="E146" t="str">
            <v xml:space="preserve"> 09.01.03 - Beneficiaries</v>
          </cell>
          <cell r="F146" t="str">
            <v xml:space="preserve"> 09.01.03 - Beneficiaries</v>
          </cell>
          <cell r="G146" t="str">
            <v xml:space="preserve"> 09.01.02 - Inactives</v>
          </cell>
          <cell r="H146" t="str">
            <v xml:space="preserve"> 09.01.03 - Beneficiaries</v>
          </cell>
          <cell r="I146" t="str">
            <v xml:space="preserve"> 09.01.02 - Inactives</v>
          </cell>
          <cell r="J146" t="str">
            <v xml:space="preserve"> 09.01.03 - Beneficiaries</v>
          </cell>
          <cell r="K146" t="str">
            <v xml:space="preserve"> 08.02.01 - Actives - Grouped</v>
          </cell>
          <cell r="L146" t="str">
            <v xml:space="preserve"> 08.02.02 - Actives - Grouped - NC</v>
          </cell>
          <cell r="M146" t="str">
            <v xml:space="preserve"> 08.02.01 - Actives - Grouped</v>
          </cell>
          <cell r="N146" t="str">
            <v xml:space="preserve"> 08.02.02 - Actives - Grouped - NC</v>
          </cell>
          <cell r="O146" t="str">
            <v xml:space="preserve"> 08.02.01 - Actives - Grouped</v>
          </cell>
          <cell r="P146" t="str">
            <v xml:space="preserve"> 08.02.02 - Actives - Grouped - NC</v>
          </cell>
          <cell r="Q146" t="str">
            <v xml:space="preserve"> 08.02.02 - Inactives - Grouped</v>
          </cell>
          <cell r="R146" t="str">
            <v xml:space="preserve"> 08.02.03 - Beneficiaries - Grouped</v>
          </cell>
          <cell r="S146" t="str">
            <v xml:space="preserve"> 08.02.02 - Inactives - Grouped</v>
          </cell>
        </row>
        <row r="147">
          <cell r="C147" t="str">
            <v xml:space="preserve"> 09.08 Correct Groups</v>
          </cell>
          <cell r="D147" t="str">
            <v xml:space="preserve"> 09.08 Correct Groups</v>
          </cell>
          <cell r="E147" t="str">
            <v xml:space="preserve"> 09.08 Correct Groups</v>
          </cell>
          <cell r="F147" t="str">
            <v xml:space="preserve"> 09.08 Correct Groups</v>
          </cell>
          <cell r="G147" t="str">
            <v xml:space="preserve"> 09.08 Correct Groups</v>
          </cell>
          <cell r="H147" t="str">
            <v xml:space="preserve"> 09.08 Correct Groups</v>
          </cell>
          <cell r="I147" t="str">
            <v xml:space="preserve"> 09.08 Correct Groups</v>
          </cell>
          <cell r="J147" t="str">
            <v xml:space="preserve"> 09.08 Correct Groups</v>
          </cell>
          <cell r="K147" t="str">
            <v xml:space="preserve"> 2008 Grouped Data - Round EA</v>
          </cell>
          <cell r="L147" t="str">
            <v xml:space="preserve"> 2008 Grouped Data - Round EA</v>
          </cell>
          <cell r="M147" t="str">
            <v xml:space="preserve"> 2008 Grouped Data - Round EA</v>
          </cell>
          <cell r="N147" t="str">
            <v xml:space="preserve"> 2008 Grouped Data - Round EA</v>
          </cell>
          <cell r="O147" t="str">
            <v xml:space="preserve"> 2008 Grouped Data - Round EA</v>
          </cell>
          <cell r="P147" t="str">
            <v xml:space="preserve"> 2008 Grouped Data - Round EA</v>
          </cell>
          <cell r="Q147" t="str">
            <v xml:space="preserve"> 2008 Grouped Data - Round EA</v>
          </cell>
          <cell r="R147" t="str">
            <v xml:space="preserve"> 2008 Grouped Data - Round EA</v>
          </cell>
          <cell r="S147" t="str">
            <v xml:space="preserve"> 2008 Grouped Data - Round EA</v>
          </cell>
        </row>
        <row r="148">
          <cell r="C148" t="str">
            <v xml:space="preserve"> &lt;none&gt;</v>
          </cell>
          <cell r="D148" t="str">
            <v xml:space="preserve"> &lt;none&gt;</v>
          </cell>
          <cell r="E148" t="str">
            <v xml:space="preserve"> &lt;none&gt;</v>
          </cell>
          <cell r="F148" t="str">
            <v xml:space="preserve"> &lt;none&gt;</v>
          </cell>
          <cell r="G148" t="str">
            <v xml:space="preserve"> &lt;none&gt;</v>
          </cell>
          <cell r="H148" t="str">
            <v xml:space="preserve"> &lt;none&gt;</v>
          </cell>
          <cell r="I148" t="str">
            <v xml:space="preserve"> &lt;none&gt;</v>
          </cell>
          <cell r="J148" t="str">
            <v xml:space="preserve"> &lt;none&gt;</v>
          </cell>
          <cell r="K148" t="str">
            <v xml:space="preserve"> &lt;none&gt;</v>
          </cell>
          <cell r="L148" t="str">
            <v xml:space="preserve"> &lt;none&gt;</v>
          </cell>
          <cell r="M148" t="str">
            <v xml:space="preserve"> &lt;none&gt;</v>
          </cell>
          <cell r="N148" t="str">
            <v xml:space="preserve"> &lt;none&gt;</v>
          </cell>
          <cell r="O148" t="str">
            <v xml:space="preserve"> &lt;none&gt;</v>
          </cell>
          <cell r="P148" t="str">
            <v xml:space="preserve"> &lt;none&gt;</v>
          </cell>
          <cell r="Q148" t="str">
            <v xml:space="preserve"> &lt;none&gt;</v>
          </cell>
          <cell r="R148" t="str">
            <v xml:space="preserve"> &lt;none&gt;</v>
          </cell>
          <cell r="S148" t="str">
            <v xml:space="preserve"> &lt;none&gt;</v>
          </cell>
        </row>
        <row r="149">
          <cell r="C149" t="str">
            <v xml:space="preserve"> October 1, 2010  4:49 PM</v>
          </cell>
          <cell r="D149" t="str">
            <v xml:space="preserve"> October 1, 2010  4:49 PM</v>
          </cell>
          <cell r="E149" t="str">
            <v xml:space="preserve"> October 1, 2010  4:50 PM</v>
          </cell>
          <cell r="F149" t="str">
            <v xml:space="preserve"> October 1, 2010  4:50 PM</v>
          </cell>
          <cell r="G149" t="str">
            <v xml:space="preserve"> October 1, 2010  4:59 PM</v>
          </cell>
          <cell r="H149" t="str">
            <v xml:space="preserve"> October 1, 2010  5:00 PM</v>
          </cell>
          <cell r="I149" t="str">
            <v xml:space="preserve"> October 1, 2010  5:00 PM</v>
          </cell>
          <cell r="J149" t="str">
            <v xml:space="preserve"> October 1, 2010  5:00 PM</v>
          </cell>
          <cell r="K149" t="str">
            <v xml:space="preserve"> October 1, 2010  5:22 PM</v>
          </cell>
          <cell r="L149" t="str">
            <v xml:space="preserve"> October 1, 2010  5:22 PM</v>
          </cell>
          <cell r="M149" t="str">
            <v xml:space="preserve"> October 1, 2010  5:23 PM</v>
          </cell>
          <cell r="N149" t="str">
            <v xml:space="preserve"> October 1, 2010  5:23 PM</v>
          </cell>
          <cell r="O149" t="str">
            <v xml:space="preserve"> October 1, 2010  5:24 PM</v>
          </cell>
          <cell r="P149" t="str">
            <v xml:space="preserve"> October 1, 2010  5:24 PM</v>
          </cell>
          <cell r="Q149" t="str">
            <v xml:space="preserve"> August 31, 2010  12:01 AM</v>
          </cell>
          <cell r="R149" t="str">
            <v xml:space="preserve"> August 31, 2010  12:01 AM</v>
          </cell>
          <cell r="S149" t="str">
            <v xml:space="preserve"> August 31, 2010  12:02 AM</v>
          </cell>
        </row>
        <row r="150">
          <cell r="C150" t="str">
            <v xml:space="preserve"> 3.01 Sep 13, 2010</v>
          </cell>
          <cell r="D150" t="str">
            <v xml:space="preserve"> 3.01 Sep 13, 2010</v>
          </cell>
          <cell r="E150" t="str">
            <v xml:space="preserve"> 3.01 Sep 13, 2010</v>
          </cell>
          <cell r="F150" t="str">
            <v xml:space="preserve"> 3.01 Sep 13, 2010</v>
          </cell>
          <cell r="G150" t="str">
            <v xml:space="preserve"> 3.01 Sep 13, 2010</v>
          </cell>
          <cell r="H150" t="str">
            <v xml:space="preserve"> 3.01 Sep 13, 2010</v>
          </cell>
          <cell r="I150" t="str">
            <v xml:space="preserve"> 3.01 Sep 13, 2010</v>
          </cell>
          <cell r="J150" t="str">
            <v xml:space="preserve"> 3.01 Sep 13, 2010</v>
          </cell>
          <cell r="K150" t="str">
            <v xml:space="preserve"> 3.01 Sep 13, 2010</v>
          </cell>
          <cell r="L150" t="str">
            <v xml:space="preserve"> 3.01 Sep 13, 2010</v>
          </cell>
          <cell r="M150" t="str">
            <v xml:space="preserve"> 3.01 Sep 13, 2010</v>
          </cell>
          <cell r="N150" t="str">
            <v xml:space="preserve"> 3.01 Sep 13, 2010</v>
          </cell>
          <cell r="O150" t="str">
            <v xml:space="preserve"> 3.01 Sep 13, 2010</v>
          </cell>
          <cell r="P150" t="str">
            <v xml:space="preserve"> 3.01 Sep 13, 2010</v>
          </cell>
          <cell r="Q150" t="str">
            <v xml:space="preserve"> 3.01 Aug 19, 2010</v>
          </cell>
          <cell r="R150" t="str">
            <v xml:space="preserve"> 3.01 Aug 19, 2010</v>
          </cell>
          <cell r="S150" t="str">
            <v xml:space="preserve"> 3.01 Aug 19, 2010</v>
          </cell>
        </row>
        <row r="151">
          <cell r="C151" t="str">
            <v xml:space="preserve"> 01.01.09.04 - TSERS - Teachers - Mortality</v>
          </cell>
          <cell r="D151" t="str">
            <v xml:space="preserve"> 01.02.09.04 - TSERS - General - Mortality</v>
          </cell>
          <cell r="E151" t="str">
            <v xml:space="preserve"> 01.01.09.04 - TSERS - Teachers - Mortality</v>
          </cell>
          <cell r="F151" t="str">
            <v xml:space="preserve"> 01.02.09.04 - TSERS - General - Mortality</v>
          </cell>
          <cell r="G151" t="str">
            <v xml:space="preserve"> 01.02.09.04 - TSERS - General - Mortality</v>
          </cell>
          <cell r="H151" t="str">
            <v xml:space="preserve"> 01.02.09.04 - TSERS - General - Mortality</v>
          </cell>
          <cell r="I151" t="str">
            <v xml:space="preserve"> 01.03.09.04 - TSERS - Law Enforcement Officers - Mortality</v>
          </cell>
          <cell r="J151" t="str">
            <v xml:space="preserve"> 01.03.09.04 - TSERS - Law Enforcement Officers - Mortality</v>
          </cell>
          <cell r="K151" t="str">
            <v xml:space="preserve"> 01.01.08.01 - TSERS - Teachers</v>
          </cell>
          <cell r="L151" t="str">
            <v xml:space="preserve"> 01.01.08.02 - TSERS - Teachers - NC</v>
          </cell>
          <cell r="M151" t="str">
            <v xml:space="preserve"> 01.02.08.01 - TSERS - General</v>
          </cell>
          <cell r="N151" t="str">
            <v xml:space="preserve"> 01.02.08.02 - TSERS - General - NC</v>
          </cell>
          <cell r="O151" t="str">
            <v xml:space="preserve"> 01.03.08.01 - TSERS - Law Enforcement Officers</v>
          </cell>
          <cell r="P151" t="str">
            <v xml:space="preserve"> 01.03.08.02 - TSERS - Law Enforcement Officers - NC</v>
          </cell>
          <cell r="Q151" t="str">
            <v xml:space="preserve"> 01.01.08.01 - TSERS - Teachers</v>
          </cell>
          <cell r="R151" t="str">
            <v xml:space="preserve"> 01.01.08.01 - TSERS - Teachers</v>
          </cell>
          <cell r="S151" t="str">
            <v xml:space="preserve"> 01.02.08.01 - TSERS - General</v>
          </cell>
        </row>
        <row r="152">
          <cell r="C152">
            <v>7.2499999999999995E-2</v>
          </cell>
          <cell r="D152">
            <v>7.2499999999999995E-2</v>
          </cell>
          <cell r="E152">
            <v>7.2499999999999995E-2</v>
          </cell>
          <cell r="F152">
            <v>7.2499999999999995E-2</v>
          </cell>
          <cell r="G152">
            <v>7.2499999999999995E-2</v>
          </cell>
          <cell r="H152">
            <v>7.2499999999999995E-2</v>
          </cell>
          <cell r="I152">
            <v>7.2499999999999995E-2</v>
          </cell>
          <cell r="J152">
            <v>7.2499999999999995E-2</v>
          </cell>
          <cell r="K152">
            <v>7.2499999999999995E-2</v>
          </cell>
          <cell r="L152">
            <v>7.2499999999999995E-2</v>
          </cell>
          <cell r="M152">
            <v>7.2499999999999995E-2</v>
          </cell>
          <cell r="N152">
            <v>7.2499999999999995E-2</v>
          </cell>
          <cell r="O152">
            <v>7.2499999999999995E-2</v>
          </cell>
          <cell r="P152">
            <v>7.2499999999999995E-2</v>
          </cell>
          <cell r="Q152">
            <v>7.2499999999999995E-2</v>
          </cell>
          <cell r="R152">
            <v>7.2499999999999995E-2</v>
          </cell>
          <cell r="S152">
            <v>7.2499999999999995E-2</v>
          </cell>
        </row>
        <row r="153">
          <cell r="C153" t="str">
            <v xml:space="preserve"> 0.035 + merit scale</v>
          </cell>
          <cell r="D153" t="str">
            <v xml:space="preserve"> 0.035 + merit scale</v>
          </cell>
          <cell r="E153" t="str">
            <v xml:space="preserve"> 0.035 + merit scale</v>
          </cell>
          <cell r="F153" t="str">
            <v xml:space="preserve"> 0.035 + merit scale</v>
          </cell>
          <cell r="G153" t="str">
            <v xml:space="preserve"> 0.035 + merit scale</v>
          </cell>
          <cell r="H153" t="str">
            <v xml:space="preserve"> 0.035 + merit scale</v>
          </cell>
          <cell r="I153" t="str">
            <v xml:space="preserve"> 0.035 + merit scale</v>
          </cell>
          <cell r="J153" t="str">
            <v xml:space="preserve"> 0.035 + merit scale</v>
          </cell>
          <cell r="K153" t="str">
            <v xml:space="preserve"> 0.0375 + merit scale</v>
          </cell>
          <cell r="L153" t="str">
            <v xml:space="preserve"> 0.0375 + merit scale</v>
          </cell>
          <cell r="M153" t="str">
            <v xml:space="preserve"> 0.0375 + merit scale</v>
          </cell>
          <cell r="N153" t="str">
            <v xml:space="preserve"> 0.0375 + merit scale</v>
          </cell>
          <cell r="O153" t="str">
            <v xml:space="preserve"> 0.0375 + merit scale</v>
          </cell>
          <cell r="P153" t="str">
            <v xml:space="preserve"> 0.0375 + merit scale</v>
          </cell>
          <cell r="Q153" t="str">
            <v xml:space="preserve"> 0.0375 + merit scale</v>
          </cell>
          <cell r="R153" t="str">
            <v xml:space="preserve"> 0.0375 + merit scale</v>
          </cell>
          <cell r="S153" t="str">
            <v xml:space="preserve"> 0.0375 + merit scale</v>
          </cell>
        </row>
        <row r="154">
          <cell r="C154" t="str">
            <v xml:space="preserve"> &lt;not run&gt;</v>
          </cell>
          <cell r="D154" t="str">
            <v xml:space="preserve"> &lt;not run&gt;</v>
          </cell>
          <cell r="E154" t="str">
            <v xml:space="preserve"> &lt;not run&gt;</v>
          </cell>
          <cell r="F154" t="str">
            <v xml:space="preserve"> &lt;not run&gt;</v>
          </cell>
          <cell r="G154" t="str">
            <v xml:space="preserve"> &lt;not run&gt;</v>
          </cell>
          <cell r="H154" t="str">
            <v xml:space="preserve"> &lt;not run&gt;</v>
          </cell>
          <cell r="I154" t="str">
            <v xml:space="preserve"> &lt;not run&gt;</v>
          </cell>
          <cell r="J154" t="str">
            <v xml:space="preserve"> &lt;not run&gt;</v>
          </cell>
          <cell r="K154" t="str">
            <v xml:space="preserve"> &lt;not run&gt;</v>
          </cell>
          <cell r="L154" t="str">
            <v xml:space="preserve"> &lt;not run&gt;</v>
          </cell>
          <cell r="M154" t="str">
            <v xml:space="preserve"> &lt;not run&gt;</v>
          </cell>
          <cell r="N154" t="str">
            <v xml:space="preserve"> &lt;not run&gt;</v>
          </cell>
          <cell r="O154" t="str">
            <v xml:space="preserve"> &lt;not run&gt;</v>
          </cell>
          <cell r="P154" t="str">
            <v xml:space="preserve"> &lt;not run&gt;</v>
          </cell>
          <cell r="Q154" t="str">
            <v xml:space="preserve"> &lt;not run&gt;</v>
          </cell>
          <cell r="R154" t="str">
            <v xml:space="preserve"> &lt;not run&gt;</v>
          </cell>
          <cell r="S154" t="str">
            <v xml:space="preserve"> &lt;not run&gt;</v>
          </cell>
        </row>
        <row r="155">
          <cell r="C155" t="str">
            <v xml:space="preserve"> &lt;not run&gt;</v>
          </cell>
          <cell r="D155" t="str">
            <v xml:space="preserve"> &lt;not run&gt;</v>
          </cell>
          <cell r="E155" t="str">
            <v xml:space="preserve"> &lt;not run&gt;</v>
          </cell>
          <cell r="F155" t="str">
            <v xml:space="preserve"> &lt;not run&gt;</v>
          </cell>
          <cell r="G155" t="str">
            <v xml:space="preserve"> &lt;not run&gt;</v>
          </cell>
          <cell r="H155" t="str">
            <v xml:space="preserve"> &lt;not run&gt;</v>
          </cell>
          <cell r="I155" t="str">
            <v xml:space="preserve"> &lt;not run&gt;</v>
          </cell>
          <cell r="J155" t="str">
            <v xml:space="preserve"> &lt;not run&gt;</v>
          </cell>
          <cell r="K155" t="str">
            <v xml:space="preserve"> &lt;not run&gt;</v>
          </cell>
          <cell r="L155" t="str">
            <v xml:space="preserve"> &lt;not run&gt;</v>
          </cell>
          <cell r="M155" t="str">
            <v xml:space="preserve"> &lt;not run&gt;</v>
          </cell>
          <cell r="N155" t="str">
            <v xml:space="preserve"> &lt;not run&gt;</v>
          </cell>
          <cell r="O155" t="str">
            <v xml:space="preserve"> &lt;not run&gt;</v>
          </cell>
          <cell r="P155" t="str">
            <v xml:space="preserve"> &lt;not run&gt;</v>
          </cell>
          <cell r="Q155" t="str">
            <v xml:space="preserve"> &lt;not run&gt;</v>
          </cell>
          <cell r="R155" t="str">
            <v xml:space="preserve"> &lt;not run&gt;</v>
          </cell>
          <cell r="S155" t="str">
            <v xml:space="preserve"> &lt;not run&gt;</v>
          </cell>
        </row>
        <row r="156">
          <cell r="C156" t="str">
            <v xml:space="preserve"> &lt;none&gt;</v>
          </cell>
          <cell r="D156" t="str">
            <v xml:space="preserve"> &lt;none&gt;</v>
          </cell>
          <cell r="E156" t="str">
            <v xml:space="preserve"> &lt;none&gt;</v>
          </cell>
          <cell r="F156" t="str">
            <v xml:space="preserve"> &lt;none&gt;</v>
          </cell>
          <cell r="G156" t="str">
            <v xml:space="preserve"> &lt;none&gt;</v>
          </cell>
          <cell r="H156" t="str">
            <v xml:space="preserve"> &lt;none&gt;</v>
          </cell>
          <cell r="I156" t="str">
            <v xml:space="preserve"> &lt;none&gt;</v>
          </cell>
          <cell r="J156" t="str">
            <v xml:space="preserve"> &lt;none&gt;</v>
          </cell>
          <cell r="K156" t="str">
            <v xml:space="preserve"> &lt;none&gt;</v>
          </cell>
          <cell r="L156" t="str">
            <v xml:space="preserve"> &lt;none&gt;</v>
          </cell>
          <cell r="M156" t="str">
            <v xml:space="preserve"> &lt;none&gt;</v>
          </cell>
          <cell r="N156" t="str">
            <v xml:space="preserve"> &lt;none&gt;</v>
          </cell>
          <cell r="O156" t="str">
            <v xml:space="preserve"> &lt;none&gt;</v>
          </cell>
          <cell r="P156" t="str">
            <v xml:space="preserve"> &lt;none&gt;</v>
          </cell>
          <cell r="Q156" t="str">
            <v xml:space="preserve"> &lt;none&gt;</v>
          </cell>
          <cell r="R156" t="str">
            <v xml:space="preserve"> &lt;none&gt;</v>
          </cell>
          <cell r="S156" t="str">
            <v xml:space="preserve"> &lt;none&gt;</v>
          </cell>
        </row>
      </sheetData>
      <sheetData sheetId="7"/>
      <sheetData sheetId="8"/>
      <sheetData sheetId="9"/>
      <sheetData sheetId="10"/>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Conversion Worksheet"/>
      <sheetName val="A. Revenue by function"/>
      <sheetName val="B.  Property Taxes"/>
      <sheetName val="C. Other Revenues"/>
      <sheetName val="D. Depreciation"/>
      <sheetName val="E. Capital Outlay"/>
      <sheetName val="F.  Other Cap Asset Entries"/>
      <sheetName val="G. Debt Service"/>
      <sheetName val="H. Debt Issues"/>
      <sheetName val="I.  Other Asset Entries"/>
      <sheetName val="J. Other Liability &amp; Expenses"/>
      <sheetName val="K.1  Int. Service Fd Allocation"/>
      <sheetName val="K.2  Int. Service Fd Alloca"/>
      <sheetName val="K.3 Int. Service Fd Alloca"/>
      <sheetName val="L. Eliminations-Consolidations"/>
      <sheetName val="M. Net Position Calculation"/>
      <sheetName val="N.1 GASB 68 LGERS"/>
      <sheetName val="2019 summary"/>
      <sheetName val="LGERS Contributions FY 2018"/>
      <sheetName val="2018 summary"/>
      <sheetName val="N.1b LGERS 2018 PY"/>
      <sheetName val="N.2 GASB 68 ROD"/>
      <sheetName val="2019 Summary ROD"/>
      <sheetName val="2018 Contributions ROD"/>
      <sheetName val="N.2a ROD 2018 PY"/>
      <sheetName val="N.2b ROD Data PY"/>
      <sheetName val="N.3 GASB 68 FRSWPF"/>
      <sheetName val="O. GASB 73 LEO Entries"/>
      <sheetName val="Sheet1"/>
      <sheetName val="P.1 GASB 75 OPEB  - trust 1"/>
      <sheetName val="P.2 GASB 75 OPEB - trust 2"/>
      <sheetName val="P.3 GASB 75 OPEB - trust 3"/>
      <sheetName val="2018 OPEB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1">
          <cell r="D21">
            <v>4</v>
          </cell>
        </row>
      </sheetData>
      <sheetData sheetId="18" refreshError="1"/>
      <sheetData sheetId="19" refreshError="1"/>
      <sheetData sheetId="20" refreshError="1"/>
      <sheetData sheetId="21" refreshError="1">
        <row r="912">
          <cell r="B912" t="str">
            <v>No additional agency chosen</v>
          </cell>
          <cell r="C912" t="str">
            <v>N/A</v>
          </cell>
        </row>
        <row r="913">
          <cell r="B913" t="str">
            <v>Aberdeen</v>
          </cell>
          <cell r="C913">
            <v>96331</v>
          </cell>
        </row>
        <row r="914">
          <cell r="B914" t="str">
            <v>Ahoskie</v>
          </cell>
          <cell r="C914">
            <v>94611</v>
          </cell>
        </row>
        <row r="915">
          <cell r="B915" t="str">
            <v>Airport Commission Of Forsyth County</v>
          </cell>
          <cell r="C915">
            <v>93402</v>
          </cell>
        </row>
        <row r="916">
          <cell r="B916" t="str">
            <v>Alamance</v>
          </cell>
          <cell r="C916">
            <v>90151</v>
          </cell>
        </row>
        <row r="917">
          <cell r="B917" t="str">
            <v>Alamance Comm Fire Dist</v>
          </cell>
          <cell r="C917">
            <v>94109</v>
          </cell>
        </row>
        <row r="918">
          <cell r="B918" t="str">
            <v>Alamance County</v>
          </cell>
          <cell r="C918">
            <v>90101</v>
          </cell>
        </row>
        <row r="919">
          <cell r="B919" t="str">
            <v>Alamance Municipal ABC Board</v>
          </cell>
          <cell r="C919">
            <v>90117</v>
          </cell>
        </row>
        <row r="920">
          <cell r="B920" t="str">
            <v>Albemarle</v>
          </cell>
          <cell r="C920">
            <v>98411</v>
          </cell>
        </row>
        <row r="921">
          <cell r="B921" t="str">
            <v>Albemarle ABC Board</v>
          </cell>
          <cell r="C921">
            <v>98417</v>
          </cell>
        </row>
        <row r="922">
          <cell r="B922" t="str">
            <v>Albemarle District Jail Commission</v>
          </cell>
          <cell r="C922">
            <v>97008</v>
          </cell>
        </row>
        <row r="923">
          <cell r="B923" t="str">
            <v>Albemarle Hospital Authority</v>
          </cell>
          <cell r="C923">
            <v>97010</v>
          </cell>
        </row>
        <row r="924">
          <cell r="B924" t="str">
            <v>Albemarle Regional Health Services</v>
          </cell>
          <cell r="C924">
            <v>90096</v>
          </cell>
        </row>
        <row r="925">
          <cell r="B925" t="str">
            <v>Albemarle Regional Library</v>
          </cell>
          <cell r="C925">
            <v>90805</v>
          </cell>
        </row>
        <row r="926">
          <cell r="B926" t="str">
            <v>Albemarle Regnl Planning &amp; Development Comm</v>
          </cell>
          <cell r="C926">
            <v>92109</v>
          </cell>
        </row>
        <row r="927">
          <cell r="B927" t="str">
            <v>Alexander County</v>
          </cell>
          <cell r="C927">
            <v>90201</v>
          </cell>
        </row>
        <row r="928">
          <cell r="B928" t="str">
            <v>Alexander County Dept Of S S</v>
          </cell>
          <cell r="C928">
            <v>90206</v>
          </cell>
        </row>
        <row r="929">
          <cell r="B929" t="str">
            <v>Alexander County Health Dept</v>
          </cell>
          <cell r="C929">
            <v>90203</v>
          </cell>
        </row>
        <row r="930">
          <cell r="B930" t="str">
            <v>Alexander County Public Library</v>
          </cell>
          <cell r="C930">
            <v>90205</v>
          </cell>
        </row>
        <row r="931">
          <cell r="B931" t="str">
            <v>Alleghany County</v>
          </cell>
          <cell r="C931">
            <v>90301</v>
          </cell>
        </row>
        <row r="932">
          <cell r="B932" t="str">
            <v>Alliance Behavioral Healthcre</v>
          </cell>
          <cell r="C932">
            <v>93209</v>
          </cell>
        </row>
        <row r="933">
          <cell r="B933" t="str">
            <v>Andrews</v>
          </cell>
          <cell r="C933">
            <v>92021</v>
          </cell>
        </row>
        <row r="934">
          <cell r="B934" t="str">
            <v>Angier</v>
          </cell>
          <cell r="C934">
            <v>94351</v>
          </cell>
        </row>
        <row r="935">
          <cell r="B935" t="str">
            <v>Angier ABC Board</v>
          </cell>
          <cell r="C935">
            <v>94347</v>
          </cell>
        </row>
        <row r="936">
          <cell r="B936" t="str">
            <v>Anson County</v>
          </cell>
          <cell r="C936">
            <v>90401</v>
          </cell>
        </row>
        <row r="937">
          <cell r="B937" t="str">
            <v>Ansonville</v>
          </cell>
          <cell r="C937">
            <v>90451</v>
          </cell>
        </row>
        <row r="938">
          <cell r="B938" t="str">
            <v>Apex</v>
          </cell>
          <cell r="C938">
            <v>99271</v>
          </cell>
        </row>
        <row r="939">
          <cell r="B939" t="str">
            <v>Appalachian District Health Dept</v>
          </cell>
          <cell r="C939">
            <v>90099</v>
          </cell>
        </row>
        <row r="940">
          <cell r="B940" t="str">
            <v>Appalachian Regional Library</v>
          </cell>
          <cell r="C940">
            <v>99705</v>
          </cell>
        </row>
        <row r="941">
          <cell r="B941" t="str">
            <v>Archdale</v>
          </cell>
          <cell r="C941">
            <v>97651</v>
          </cell>
        </row>
        <row r="942">
          <cell r="B942" t="str">
            <v>Archer Lodge</v>
          </cell>
          <cell r="C942">
            <v>95106</v>
          </cell>
        </row>
        <row r="943">
          <cell r="B943" t="str">
            <v>Ashe County</v>
          </cell>
          <cell r="C943">
            <v>90501</v>
          </cell>
        </row>
        <row r="944">
          <cell r="B944" t="str">
            <v>Asheboro</v>
          </cell>
          <cell r="C944">
            <v>97611</v>
          </cell>
        </row>
        <row r="945">
          <cell r="B945" t="str">
            <v>Asheboro ABC Board</v>
          </cell>
          <cell r="C945">
            <v>97607</v>
          </cell>
        </row>
        <row r="946">
          <cell r="B946" t="str">
            <v>Asheboro Housing Auth</v>
          </cell>
          <cell r="C946">
            <v>97613</v>
          </cell>
        </row>
        <row r="947">
          <cell r="B947" t="str">
            <v>Asheville</v>
          </cell>
          <cell r="C947">
            <v>91121</v>
          </cell>
        </row>
        <row r="948">
          <cell r="B948" t="str">
            <v>Asheville ABC Board</v>
          </cell>
          <cell r="C948">
            <v>91127</v>
          </cell>
        </row>
        <row r="949">
          <cell r="B949" t="str">
            <v>Asheville Regional Airport Authority</v>
          </cell>
          <cell r="C949">
            <v>91128</v>
          </cell>
        </row>
        <row r="950">
          <cell r="B950" t="str">
            <v>Atlantic Beach</v>
          </cell>
          <cell r="C950">
            <v>91681</v>
          </cell>
        </row>
        <row r="951">
          <cell r="B951" t="str">
            <v>Aulander</v>
          </cell>
          <cell r="C951">
            <v>90811</v>
          </cell>
        </row>
        <row r="952">
          <cell r="B952" t="str">
            <v>Aurora</v>
          </cell>
          <cell r="C952">
            <v>90721</v>
          </cell>
        </row>
        <row r="953">
          <cell r="B953" t="str">
            <v>Autryville</v>
          </cell>
          <cell r="C953">
            <v>98271</v>
          </cell>
        </row>
        <row r="954">
          <cell r="B954" t="str">
            <v>Avery County</v>
          </cell>
          <cell r="C954">
            <v>90601</v>
          </cell>
        </row>
        <row r="955">
          <cell r="B955" t="str">
            <v>Avery County Fire Commission</v>
          </cell>
          <cell r="C955">
            <v>90602</v>
          </cell>
        </row>
        <row r="956">
          <cell r="B956" t="str">
            <v>Avery-Mitchell-Yancey Reg Library</v>
          </cell>
          <cell r="C956">
            <v>90605</v>
          </cell>
        </row>
        <row r="957">
          <cell r="B957" t="str">
            <v>Ayden</v>
          </cell>
          <cell r="C957">
            <v>97461</v>
          </cell>
        </row>
        <row r="958">
          <cell r="B958" t="str">
            <v>Ayden Housing Authority</v>
          </cell>
          <cell r="C958">
            <v>97463</v>
          </cell>
        </row>
        <row r="959">
          <cell r="B959" t="str">
            <v>B H M Regional Library</v>
          </cell>
          <cell r="C959">
            <v>90705</v>
          </cell>
        </row>
        <row r="960">
          <cell r="B960" t="str">
            <v>Badin</v>
          </cell>
          <cell r="C960">
            <v>98451</v>
          </cell>
        </row>
        <row r="961">
          <cell r="B961" t="str">
            <v>Bailey</v>
          </cell>
          <cell r="C961">
            <v>96451</v>
          </cell>
        </row>
        <row r="962">
          <cell r="B962" t="str">
            <v>Bakersville</v>
          </cell>
          <cell r="C962">
            <v>96121</v>
          </cell>
        </row>
        <row r="963">
          <cell r="B963" t="str">
            <v>Bald Head Island</v>
          </cell>
          <cell r="C963">
            <v>91091</v>
          </cell>
        </row>
        <row r="964">
          <cell r="B964" t="str">
            <v>Banner Elk</v>
          </cell>
          <cell r="C964">
            <v>90611</v>
          </cell>
        </row>
        <row r="965">
          <cell r="B965" t="str">
            <v>Bay River Metro Sewerage District</v>
          </cell>
          <cell r="C965">
            <v>96918</v>
          </cell>
        </row>
        <row r="966">
          <cell r="B966" t="str">
            <v>Bayboro</v>
          </cell>
          <cell r="C966">
            <v>96911</v>
          </cell>
        </row>
        <row r="967">
          <cell r="B967" t="str">
            <v>Bayleaf Fire Department</v>
          </cell>
          <cell r="C967">
            <v>99208</v>
          </cell>
        </row>
        <row r="968">
          <cell r="B968" t="str">
            <v>Beaufort</v>
          </cell>
          <cell r="C968">
            <v>91631</v>
          </cell>
        </row>
        <row r="969">
          <cell r="B969" t="str">
            <v>Beaufort County</v>
          </cell>
          <cell r="C969">
            <v>90701</v>
          </cell>
        </row>
        <row r="970">
          <cell r="B970" t="str">
            <v>Beaufort County ABC Board</v>
          </cell>
          <cell r="C970">
            <v>90704</v>
          </cell>
        </row>
        <row r="971">
          <cell r="B971" t="str">
            <v>Beaufort Housing Auth</v>
          </cell>
          <cell r="C971">
            <v>91633</v>
          </cell>
        </row>
        <row r="972">
          <cell r="B972" t="str">
            <v>Beech Mountain</v>
          </cell>
          <cell r="C972">
            <v>90631</v>
          </cell>
        </row>
        <row r="973">
          <cell r="B973" t="str">
            <v>Belhaven</v>
          </cell>
          <cell r="C973">
            <v>90731</v>
          </cell>
        </row>
        <row r="974">
          <cell r="B974" t="str">
            <v>Belmont</v>
          </cell>
          <cell r="C974">
            <v>93621</v>
          </cell>
        </row>
        <row r="975">
          <cell r="B975" t="str">
            <v>Belmont Housing Authority</v>
          </cell>
          <cell r="C975">
            <v>93623</v>
          </cell>
        </row>
        <row r="976">
          <cell r="B976" t="str">
            <v>Belville</v>
          </cell>
          <cell r="C976">
            <v>91020</v>
          </cell>
        </row>
        <row r="977">
          <cell r="B977" t="str">
            <v>Benson</v>
          </cell>
          <cell r="C977">
            <v>95141</v>
          </cell>
        </row>
        <row r="978">
          <cell r="B978" t="str">
            <v>Benson Housing Authority</v>
          </cell>
          <cell r="C978">
            <v>95103</v>
          </cell>
        </row>
        <row r="979">
          <cell r="B979" t="str">
            <v>Bermuda Run</v>
          </cell>
          <cell r="C979">
            <v>93021</v>
          </cell>
        </row>
        <row r="980">
          <cell r="B980" t="str">
            <v>Bertie County</v>
          </cell>
          <cell r="C980">
            <v>90801</v>
          </cell>
        </row>
        <row r="981">
          <cell r="B981" t="str">
            <v>Bertie County ABC Board</v>
          </cell>
          <cell r="C981">
            <v>90804</v>
          </cell>
        </row>
        <row r="982">
          <cell r="B982" t="str">
            <v>Bertie-Martin Regional Jail Comm</v>
          </cell>
          <cell r="C982">
            <v>90808</v>
          </cell>
        </row>
        <row r="983">
          <cell r="B983" t="str">
            <v>Bessemer City</v>
          </cell>
          <cell r="C983">
            <v>93671</v>
          </cell>
        </row>
        <row r="984">
          <cell r="B984" t="str">
            <v>Bessemer City ABC Board</v>
          </cell>
          <cell r="C984">
            <v>93677</v>
          </cell>
        </row>
        <row r="985">
          <cell r="B985" t="str">
            <v>Bethel</v>
          </cell>
          <cell r="C985">
            <v>97441</v>
          </cell>
        </row>
        <row r="986">
          <cell r="B986" t="str">
            <v>Beulaville</v>
          </cell>
          <cell r="C986">
            <v>93111</v>
          </cell>
        </row>
        <row r="987">
          <cell r="B987" t="str">
            <v>Biltmore Forest</v>
          </cell>
          <cell r="C987">
            <v>91111</v>
          </cell>
        </row>
        <row r="988">
          <cell r="B988" t="str">
            <v>Biscoe</v>
          </cell>
          <cell r="C988">
            <v>96231</v>
          </cell>
        </row>
        <row r="989">
          <cell r="B989" t="str">
            <v>Black Creek</v>
          </cell>
          <cell r="C989">
            <v>99831</v>
          </cell>
        </row>
        <row r="990">
          <cell r="B990" t="str">
            <v>Black Mountain</v>
          </cell>
          <cell r="C990">
            <v>91151</v>
          </cell>
        </row>
        <row r="991">
          <cell r="B991" t="str">
            <v>Black Mtn ABC Board</v>
          </cell>
          <cell r="C991">
            <v>91154</v>
          </cell>
        </row>
        <row r="992">
          <cell r="B992" t="str">
            <v>Bladen County</v>
          </cell>
          <cell r="C992">
            <v>90901</v>
          </cell>
        </row>
        <row r="993">
          <cell r="B993" t="str">
            <v>Bladenboro</v>
          </cell>
          <cell r="C993">
            <v>90941</v>
          </cell>
        </row>
        <row r="994">
          <cell r="B994" t="str">
            <v>Blowing Rock</v>
          </cell>
          <cell r="C994">
            <v>99521</v>
          </cell>
        </row>
        <row r="995">
          <cell r="B995" t="str">
            <v>Blowing Rock ABC Bd</v>
          </cell>
          <cell r="C995">
            <v>99527</v>
          </cell>
        </row>
        <row r="996">
          <cell r="B996" t="str">
            <v>Blowing Rock Tourism Development Authority</v>
          </cell>
          <cell r="C996">
            <v>99508</v>
          </cell>
        </row>
        <row r="997">
          <cell r="B997" t="str">
            <v>Blue Ridge Fire Department</v>
          </cell>
          <cell r="C997">
            <v>94532</v>
          </cell>
        </row>
        <row r="998">
          <cell r="B998" t="str">
            <v>Boiling Sprg Lakes</v>
          </cell>
          <cell r="C998">
            <v>91071</v>
          </cell>
        </row>
        <row r="999">
          <cell r="B999" t="str">
            <v>Boiling Spring Lakes ABC Board</v>
          </cell>
          <cell r="C999">
            <v>91077</v>
          </cell>
        </row>
        <row r="1000">
          <cell r="B1000" t="str">
            <v>Boiling Springs</v>
          </cell>
          <cell r="C1000">
            <v>92331</v>
          </cell>
        </row>
        <row r="1001">
          <cell r="B1001" t="str">
            <v>Bolton</v>
          </cell>
          <cell r="C1001">
            <v>92414</v>
          </cell>
        </row>
        <row r="1002">
          <cell r="B1002" t="str">
            <v>Boone</v>
          </cell>
          <cell r="C1002">
            <v>99511</v>
          </cell>
        </row>
        <row r="1003">
          <cell r="B1003" t="str">
            <v>Boonville</v>
          </cell>
          <cell r="C1003">
            <v>99941</v>
          </cell>
        </row>
        <row r="1004">
          <cell r="B1004" t="str">
            <v>Braswell Memorial Library</v>
          </cell>
          <cell r="C1004">
            <v>96405</v>
          </cell>
        </row>
        <row r="1005">
          <cell r="B1005" t="str">
            <v>Brevard</v>
          </cell>
          <cell r="C1005">
            <v>98811</v>
          </cell>
        </row>
        <row r="1006">
          <cell r="B1006" t="str">
            <v>Brevard ABC Board</v>
          </cell>
          <cell r="C1006">
            <v>98817</v>
          </cell>
        </row>
        <row r="1007">
          <cell r="B1007" t="str">
            <v>Bridgeton</v>
          </cell>
          <cell r="C1007">
            <v>92561</v>
          </cell>
        </row>
        <row r="1008">
          <cell r="B1008" t="str">
            <v>Broad River Water Authority</v>
          </cell>
          <cell r="C1008">
            <v>98102</v>
          </cell>
        </row>
        <row r="1009">
          <cell r="B1009" t="str">
            <v>Broadway</v>
          </cell>
          <cell r="C1009">
            <v>95321</v>
          </cell>
        </row>
        <row r="1010">
          <cell r="B1010" t="str">
            <v>Brookford</v>
          </cell>
          <cell r="C1010">
            <v>91861</v>
          </cell>
        </row>
        <row r="1011">
          <cell r="B1011" t="str">
            <v>Brunswick</v>
          </cell>
          <cell r="C1011">
            <v>92421</v>
          </cell>
        </row>
        <row r="1012">
          <cell r="B1012" t="str">
            <v>Brunswick Co Dept Of Social Services</v>
          </cell>
          <cell r="C1012">
            <v>91006</v>
          </cell>
        </row>
        <row r="1013">
          <cell r="B1013" t="str">
            <v>Brunswick Co Health Dept</v>
          </cell>
          <cell r="C1013">
            <v>91003</v>
          </cell>
        </row>
        <row r="1014">
          <cell r="B1014" t="str">
            <v>Brunswick County</v>
          </cell>
          <cell r="C1014">
            <v>91001</v>
          </cell>
        </row>
        <row r="1015">
          <cell r="B1015" t="str">
            <v>Brunswick County ABC Board</v>
          </cell>
          <cell r="C1015">
            <v>91004</v>
          </cell>
        </row>
        <row r="1016">
          <cell r="B1016" t="str">
            <v>Brunswick County Tourism Authority</v>
          </cell>
          <cell r="C1016">
            <v>91009</v>
          </cell>
        </row>
        <row r="1017">
          <cell r="B1017" t="str">
            <v>Brunswick Regional Water And Sewer H2Go</v>
          </cell>
          <cell r="C1017">
            <v>91042</v>
          </cell>
        </row>
        <row r="1018">
          <cell r="B1018" t="str">
            <v>Bryson City</v>
          </cell>
          <cell r="C1018">
            <v>98711</v>
          </cell>
        </row>
        <row r="1019">
          <cell r="B1019" t="str">
            <v>Bryson City ABC Board</v>
          </cell>
          <cell r="C1019">
            <v>98717</v>
          </cell>
        </row>
        <row r="1020">
          <cell r="B1020" t="str">
            <v>Buncombe County</v>
          </cell>
          <cell r="C1020">
            <v>91101</v>
          </cell>
        </row>
        <row r="1021">
          <cell r="B1021" t="str">
            <v>Bunn</v>
          </cell>
          <cell r="C1021">
            <v>93531</v>
          </cell>
        </row>
        <row r="1022">
          <cell r="B1022" t="str">
            <v>Bunn ABC Board</v>
          </cell>
          <cell r="C1022">
            <v>93537</v>
          </cell>
        </row>
        <row r="1023">
          <cell r="B1023" t="str">
            <v>Burgaw</v>
          </cell>
          <cell r="C1023">
            <v>97111</v>
          </cell>
        </row>
        <row r="1024">
          <cell r="B1024" t="str">
            <v>Burke Co Dept Of Social Services</v>
          </cell>
          <cell r="C1024">
            <v>91206</v>
          </cell>
        </row>
        <row r="1025">
          <cell r="B1025" t="str">
            <v>Burke Co Health Dept</v>
          </cell>
          <cell r="C1025">
            <v>91203</v>
          </cell>
        </row>
        <row r="1026">
          <cell r="B1026" t="str">
            <v>Burke County</v>
          </cell>
          <cell r="C1026">
            <v>91201</v>
          </cell>
        </row>
        <row r="1027">
          <cell r="B1027" t="str">
            <v>Burke County Tourism Dev. Authority</v>
          </cell>
          <cell r="C1027">
            <v>91208</v>
          </cell>
        </row>
        <row r="1028">
          <cell r="B1028" t="str">
            <v>Burke-Catawba Dist Confinement</v>
          </cell>
          <cell r="C1028">
            <v>91202</v>
          </cell>
        </row>
        <row r="1029">
          <cell r="B1029" t="str">
            <v>Burlington</v>
          </cell>
          <cell r="C1029">
            <v>90111</v>
          </cell>
        </row>
        <row r="1030">
          <cell r="B1030" t="str">
            <v>Burnsville</v>
          </cell>
          <cell r="C1030">
            <v>90011</v>
          </cell>
        </row>
        <row r="1031">
          <cell r="B1031" t="str">
            <v>Butner</v>
          </cell>
          <cell r="C1031">
            <v>93931</v>
          </cell>
        </row>
        <row r="1032">
          <cell r="B1032" t="str">
            <v>Cabarrus Co Public Health Auth</v>
          </cell>
          <cell r="C1032">
            <v>91306</v>
          </cell>
        </row>
        <row r="1033">
          <cell r="B1033" t="str">
            <v>Cabarrus County</v>
          </cell>
          <cell r="C1033">
            <v>91301</v>
          </cell>
        </row>
        <row r="1034">
          <cell r="B1034" t="str">
            <v>Cabarrus County Tourism Authority</v>
          </cell>
          <cell r="C1034">
            <v>91308</v>
          </cell>
        </row>
        <row r="1035">
          <cell r="B1035" t="str">
            <v>Cajah'S Mountain</v>
          </cell>
          <cell r="C1035">
            <v>91461</v>
          </cell>
        </row>
        <row r="1036">
          <cell r="B1036" t="str">
            <v>Calabash</v>
          </cell>
          <cell r="C1036">
            <v>91010</v>
          </cell>
        </row>
        <row r="1037">
          <cell r="B1037" t="str">
            <v>Calabash ABC Board</v>
          </cell>
          <cell r="C1037">
            <v>91007</v>
          </cell>
        </row>
        <row r="1038">
          <cell r="B1038" t="str">
            <v>Caldwell County</v>
          </cell>
          <cell r="C1038">
            <v>91401</v>
          </cell>
        </row>
        <row r="1039">
          <cell r="B1039" t="str">
            <v>Calypso</v>
          </cell>
          <cell r="C1039">
            <v>93171</v>
          </cell>
        </row>
        <row r="1040">
          <cell r="B1040" t="str">
            <v>Camden County</v>
          </cell>
          <cell r="C1040">
            <v>91501</v>
          </cell>
        </row>
        <row r="1041">
          <cell r="B1041" t="str">
            <v>Camden County ABC Board</v>
          </cell>
          <cell r="C1041">
            <v>91504</v>
          </cell>
        </row>
        <row r="1042">
          <cell r="B1042" t="str">
            <v>Cameron</v>
          </cell>
          <cell r="C1042">
            <v>96312</v>
          </cell>
        </row>
        <row r="1043">
          <cell r="B1043" t="str">
            <v>Candor</v>
          </cell>
          <cell r="C1043">
            <v>96241</v>
          </cell>
        </row>
        <row r="1044">
          <cell r="B1044" t="str">
            <v>Canton</v>
          </cell>
          <cell r="C1044">
            <v>94431</v>
          </cell>
        </row>
        <row r="1045">
          <cell r="B1045" t="str">
            <v>Canton ABC Board</v>
          </cell>
          <cell r="C1045">
            <v>94437</v>
          </cell>
        </row>
        <row r="1046">
          <cell r="B1046" t="str">
            <v>Cape Carteret</v>
          </cell>
          <cell r="C1046">
            <v>91671</v>
          </cell>
        </row>
        <row r="1047">
          <cell r="B1047" t="str">
            <v>Cape Fear Council Of Governments</v>
          </cell>
          <cell r="C1047">
            <v>91008</v>
          </cell>
        </row>
        <row r="1048">
          <cell r="B1048" t="str">
            <v>Cape Fear Public Transportation Authority</v>
          </cell>
          <cell r="C1048">
            <v>96512</v>
          </cell>
        </row>
        <row r="1049">
          <cell r="B1049" t="str">
            <v>Cape Fear Public Utility Authority</v>
          </cell>
          <cell r="C1049">
            <v>96507</v>
          </cell>
        </row>
        <row r="1050">
          <cell r="B1050" t="str">
            <v>Carolina Beach</v>
          </cell>
          <cell r="C1050">
            <v>96521</v>
          </cell>
        </row>
        <row r="1051">
          <cell r="B1051" t="str">
            <v>Carolina Shores</v>
          </cell>
          <cell r="C1051">
            <v>91024</v>
          </cell>
        </row>
        <row r="1052">
          <cell r="B1052" t="str">
            <v>Carrboro</v>
          </cell>
          <cell r="C1052">
            <v>96821</v>
          </cell>
        </row>
        <row r="1053">
          <cell r="B1053" t="str">
            <v>Carteret County</v>
          </cell>
          <cell r="C1053">
            <v>91601</v>
          </cell>
        </row>
        <row r="1054">
          <cell r="B1054" t="str">
            <v>Carteret County ABC Board</v>
          </cell>
          <cell r="C1054">
            <v>91604</v>
          </cell>
        </row>
        <row r="1055">
          <cell r="B1055" t="str">
            <v>Carthage</v>
          </cell>
          <cell r="C1055">
            <v>96391</v>
          </cell>
        </row>
        <row r="1056">
          <cell r="B1056" t="str">
            <v>Cary</v>
          </cell>
          <cell r="C1056">
            <v>99221</v>
          </cell>
        </row>
        <row r="1057">
          <cell r="B1057" t="str">
            <v>Caswell Beach</v>
          </cell>
          <cell r="C1057">
            <v>91051</v>
          </cell>
        </row>
        <row r="1058">
          <cell r="B1058" t="str">
            <v>Caswell Co Dept Of Social Services</v>
          </cell>
          <cell r="C1058">
            <v>91706</v>
          </cell>
        </row>
        <row r="1059">
          <cell r="B1059" t="str">
            <v>Caswell County</v>
          </cell>
          <cell r="C1059">
            <v>91701</v>
          </cell>
        </row>
        <row r="1060">
          <cell r="B1060" t="str">
            <v>Caswell County ABC Board</v>
          </cell>
          <cell r="C1060">
            <v>91704</v>
          </cell>
        </row>
        <row r="1061">
          <cell r="B1061" t="str">
            <v>Catawba</v>
          </cell>
          <cell r="C1061">
            <v>91881</v>
          </cell>
        </row>
        <row r="1062">
          <cell r="B1062" t="str">
            <v>Catawba County</v>
          </cell>
          <cell r="C1062">
            <v>91801</v>
          </cell>
        </row>
        <row r="1063">
          <cell r="B1063" t="str">
            <v>Catawba County ABC Board</v>
          </cell>
          <cell r="C1063">
            <v>91804</v>
          </cell>
        </row>
        <row r="1064">
          <cell r="B1064" t="str">
            <v>Cedar Point</v>
          </cell>
          <cell r="C1064">
            <v>91691</v>
          </cell>
        </row>
        <row r="1065">
          <cell r="B1065" t="str">
            <v>Centennial Authority</v>
          </cell>
          <cell r="C1065">
            <v>99222</v>
          </cell>
        </row>
        <row r="1066">
          <cell r="B1066" t="str">
            <v>Centerpoint Human Services</v>
          </cell>
          <cell r="C1066">
            <v>93408</v>
          </cell>
        </row>
        <row r="1067">
          <cell r="B1067" t="str">
            <v>Centralina Council Of Governments</v>
          </cell>
          <cell r="C1067">
            <v>96009</v>
          </cell>
        </row>
        <row r="1068">
          <cell r="B1068" t="str">
            <v>Chadbourn</v>
          </cell>
          <cell r="C1068">
            <v>92441</v>
          </cell>
        </row>
        <row r="1069">
          <cell r="B1069" t="str">
            <v>Chapel Hill</v>
          </cell>
          <cell r="C1069">
            <v>96811</v>
          </cell>
        </row>
        <row r="1070">
          <cell r="B1070" t="str">
            <v>Charlotte</v>
          </cell>
          <cell r="C1070">
            <v>96011</v>
          </cell>
        </row>
        <row r="1071">
          <cell r="B1071" t="str">
            <v>Charlotte Firemen'S Ret Sys</v>
          </cell>
          <cell r="C1071">
            <v>96018</v>
          </cell>
        </row>
        <row r="1072">
          <cell r="B1072" t="str">
            <v>Charlotte Housing Authority</v>
          </cell>
          <cell r="C1072">
            <v>96003</v>
          </cell>
        </row>
        <row r="1073">
          <cell r="B1073" t="str">
            <v>Charlotte Mecklenburg Public Library</v>
          </cell>
          <cell r="C1073">
            <v>96005</v>
          </cell>
        </row>
        <row r="1074">
          <cell r="B1074" t="str">
            <v>Charlotte Regional Visitors Authority</v>
          </cell>
          <cell r="C1074">
            <v>96012</v>
          </cell>
        </row>
        <row r="1075">
          <cell r="B1075" t="str">
            <v>Chatham Co Housing Auth</v>
          </cell>
          <cell r="C1075">
            <v>91903</v>
          </cell>
        </row>
        <row r="1076">
          <cell r="B1076" t="str">
            <v>Chatham County</v>
          </cell>
          <cell r="C1076">
            <v>91901</v>
          </cell>
        </row>
        <row r="1077">
          <cell r="B1077" t="str">
            <v>Chatham County ABC Board</v>
          </cell>
          <cell r="C1077">
            <v>91904</v>
          </cell>
        </row>
        <row r="1078">
          <cell r="B1078" t="str">
            <v>Cherokee County</v>
          </cell>
          <cell r="C1078">
            <v>92001</v>
          </cell>
        </row>
        <row r="1079">
          <cell r="B1079" t="str">
            <v>Cherryville</v>
          </cell>
          <cell r="C1079">
            <v>93641</v>
          </cell>
        </row>
        <row r="1080">
          <cell r="B1080" t="str">
            <v>Cherryville ABC Board</v>
          </cell>
          <cell r="C1080">
            <v>93647</v>
          </cell>
        </row>
        <row r="1081">
          <cell r="B1081" t="str">
            <v>China Grove</v>
          </cell>
          <cell r="C1081">
            <v>98041</v>
          </cell>
        </row>
        <row r="1082">
          <cell r="B1082" t="str">
            <v>Choanoke Public Transportation Auth</v>
          </cell>
          <cell r="C1082">
            <v>96612</v>
          </cell>
        </row>
        <row r="1083">
          <cell r="B1083" t="str">
            <v>Chocowinity</v>
          </cell>
          <cell r="C1083">
            <v>90751</v>
          </cell>
        </row>
        <row r="1084">
          <cell r="B1084" t="str">
            <v>Chowan County</v>
          </cell>
          <cell r="C1084">
            <v>92101</v>
          </cell>
        </row>
        <row r="1085">
          <cell r="B1085" t="str">
            <v>Chowan County Abc Board</v>
          </cell>
          <cell r="C1085">
            <v>92104</v>
          </cell>
        </row>
        <row r="1086">
          <cell r="B1086" t="str">
            <v>Claremont</v>
          </cell>
          <cell r="C1086">
            <v>91821</v>
          </cell>
        </row>
        <row r="1087">
          <cell r="B1087" t="str">
            <v>Clarkton</v>
          </cell>
          <cell r="C1087">
            <v>90931</v>
          </cell>
        </row>
        <row r="1088">
          <cell r="B1088" t="str">
            <v>Clay County</v>
          </cell>
          <cell r="C1088">
            <v>92201</v>
          </cell>
        </row>
        <row r="1089">
          <cell r="B1089" t="str">
            <v>Clayton</v>
          </cell>
          <cell r="C1089">
            <v>95131</v>
          </cell>
        </row>
        <row r="1090">
          <cell r="B1090" t="str">
            <v>Clemmons</v>
          </cell>
          <cell r="C1090">
            <v>93441</v>
          </cell>
        </row>
        <row r="1091">
          <cell r="B1091" t="str">
            <v>Clemmons Fire Department</v>
          </cell>
          <cell r="C1091">
            <v>93442</v>
          </cell>
        </row>
        <row r="1092">
          <cell r="B1092" t="str">
            <v>Cleveland</v>
          </cell>
          <cell r="C1092">
            <v>98091</v>
          </cell>
        </row>
        <row r="1093">
          <cell r="B1093" t="str">
            <v>Cleveland County</v>
          </cell>
          <cell r="C1093">
            <v>92301</v>
          </cell>
        </row>
        <row r="1094">
          <cell r="B1094" t="str">
            <v>Cleveland County Water</v>
          </cell>
          <cell r="C1094">
            <v>92302</v>
          </cell>
        </row>
        <row r="1095">
          <cell r="B1095" t="str">
            <v>Clinton</v>
          </cell>
          <cell r="C1095">
            <v>98211</v>
          </cell>
        </row>
        <row r="1096">
          <cell r="B1096" t="str">
            <v>Clinton ABC Board</v>
          </cell>
          <cell r="C1096">
            <v>98218</v>
          </cell>
        </row>
        <row r="1097">
          <cell r="B1097" t="str">
            <v>Coastal Carolina Regional Airport</v>
          </cell>
          <cell r="C1097">
            <v>92506</v>
          </cell>
        </row>
        <row r="1098">
          <cell r="B1098" t="str">
            <v>Coastal Regional Solid Waste Mngt Auth</v>
          </cell>
          <cell r="C1098">
            <v>92508</v>
          </cell>
        </row>
        <row r="1099">
          <cell r="B1099" t="str">
            <v>Coats</v>
          </cell>
          <cell r="C1099">
            <v>94341</v>
          </cell>
        </row>
        <row r="1100">
          <cell r="B1100" t="str">
            <v>Cofield</v>
          </cell>
          <cell r="C1100">
            <v>94641</v>
          </cell>
        </row>
        <row r="1101">
          <cell r="B1101" t="str">
            <v>Colerain</v>
          </cell>
          <cell r="C1101">
            <v>90813</v>
          </cell>
        </row>
        <row r="1102">
          <cell r="B1102" t="str">
            <v>Colfax Volunteer Fire Department</v>
          </cell>
          <cell r="C1102">
            <v>94168</v>
          </cell>
        </row>
        <row r="1103">
          <cell r="B1103" t="str">
            <v>Columbia</v>
          </cell>
          <cell r="C1103">
            <v>98911</v>
          </cell>
        </row>
        <row r="1104">
          <cell r="B1104" t="str">
            <v>Columbus</v>
          </cell>
          <cell r="C1104">
            <v>97521</v>
          </cell>
        </row>
        <row r="1105">
          <cell r="B1105" t="str">
            <v>Columbus County</v>
          </cell>
          <cell r="C1105">
            <v>92401</v>
          </cell>
        </row>
        <row r="1106">
          <cell r="B1106" t="str">
            <v>Concord</v>
          </cell>
          <cell r="C1106">
            <v>91311</v>
          </cell>
        </row>
        <row r="1107">
          <cell r="B1107" t="str">
            <v>Concord ABC Board</v>
          </cell>
          <cell r="C1107">
            <v>91317</v>
          </cell>
        </row>
        <row r="1108">
          <cell r="B1108" t="str">
            <v>Connelly Springs</v>
          </cell>
          <cell r="C1108">
            <v>91261</v>
          </cell>
        </row>
        <row r="1109">
          <cell r="B1109" t="str">
            <v>Conover</v>
          </cell>
          <cell r="C1109">
            <v>91851</v>
          </cell>
        </row>
        <row r="1110">
          <cell r="B1110" t="str">
            <v>Contennea Metropolitan Sewerage Dist</v>
          </cell>
          <cell r="C1110">
            <v>97408</v>
          </cell>
        </row>
        <row r="1111">
          <cell r="B1111" t="str">
            <v>Conway</v>
          </cell>
          <cell r="C1111">
            <v>96641</v>
          </cell>
        </row>
        <row r="1112">
          <cell r="B1112" t="str">
            <v>Cooleemee</v>
          </cell>
          <cell r="C1112">
            <v>93031</v>
          </cell>
        </row>
        <row r="1113">
          <cell r="B1113" t="str">
            <v>Cooleemee ABC Board</v>
          </cell>
          <cell r="C1113">
            <v>93027</v>
          </cell>
        </row>
        <row r="1114">
          <cell r="B1114" t="str">
            <v>Cornelius</v>
          </cell>
          <cell r="C1114">
            <v>96051</v>
          </cell>
        </row>
        <row r="1115">
          <cell r="B1115" t="str">
            <v>County Of Henderson</v>
          </cell>
          <cell r="C1115">
            <v>94501</v>
          </cell>
        </row>
        <row r="1116">
          <cell r="B1116" t="str">
            <v>Cove City</v>
          </cell>
          <cell r="C1116">
            <v>92571</v>
          </cell>
        </row>
        <row r="1117">
          <cell r="B1117" t="str">
            <v>Cramerton</v>
          </cell>
          <cell r="C1117">
            <v>93631</v>
          </cell>
        </row>
        <row r="1118">
          <cell r="B1118" t="str">
            <v>Craven Co ABC Bd</v>
          </cell>
          <cell r="C1118">
            <v>92504</v>
          </cell>
        </row>
        <row r="1119">
          <cell r="B1119" t="str">
            <v>Craven County</v>
          </cell>
          <cell r="C1119">
            <v>92501</v>
          </cell>
        </row>
        <row r="1120">
          <cell r="B1120" t="str">
            <v>Craven-Pamlico-Carteret Regional Library</v>
          </cell>
          <cell r="C1120">
            <v>92505</v>
          </cell>
        </row>
        <row r="1121">
          <cell r="B1121" t="str">
            <v>Creedmoor</v>
          </cell>
          <cell r="C1121">
            <v>93921</v>
          </cell>
        </row>
        <row r="1122">
          <cell r="B1122" t="str">
            <v>Creswell</v>
          </cell>
          <cell r="C1122">
            <v>99431</v>
          </cell>
        </row>
        <row r="1123">
          <cell r="B1123" t="str">
            <v>Cumberland Co ABC Board</v>
          </cell>
          <cell r="C1123">
            <v>92604</v>
          </cell>
        </row>
        <row r="1124">
          <cell r="B1124" t="str">
            <v>Cumberland County</v>
          </cell>
          <cell r="C1124">
            <v>92601</v>
          </cell>
        </row>
        <row r="1125">
          <cell r="B1125" t="str">
            <v>Cumberland Memorial Auditorium Com</v>
          </cell>
          <cell r="C1125">
            <v>92608</v>
          </cell>
        </row>
        <row r="1126">
          <cell r="B1126" t="str">
            <v>Currituck Co ABC Board</v>
          </cell>
          <cell r="C1126">
            <v>92704</v>
          </cell>
        </row>
        <row r="1127">
          <cell r="B1127" t="str">
            <v>Currituck County</v>
          </cell>
          <cell r="C1127">
            <v>92701</v>
          </cell>
        </row>
        <row r="1128">
          <cell r="B1128" t="str">
            <v>Dallas</v>
          </cell>
          <cell r="C1128">
            <v>93651</v>
          </cell>
        </row>
        <row r="1129">
          <cell r="B1129" t="str">
            <v>Dare County</v>
          </cell>
          <cell r="C1129">
            <v>92801</v>
          </cell>
        </row>
        <row r="1130">
          <cell r="B1130" t="str">
            <v>Dare County ABC Board</v>
          </cell>
          <cell r="C1130">
            <v>92804</v>
          </cell>
        </row>
        <row r="1131">
          <cell r="B1131" t="str">
            <v>Dare County Tourism Board</v>
          </cell>
          <cell r="C1131">
            <v>92802</v>
          </cell>
        </row>
        <row r="1132">
          <cell r="B1132" t="str">
            <v>Davidson</v>
          </cell>
          <cell r="C1132">
            <v>96081</v>
          </cell>
        </row>
        <row r="1133">
          <cell r="B1133" t="str">
            <v>Davidson County</v>
          </cell>
          <cell r="C1133">
            <v>92901</v>
          </cell>
        </row>
        <row r="1134">
          <cell r="B1134" t="str">
            <v>Davie County</v>
          </cell>
          <cell r="C1134">
            <v>93001</v>
          </cell>
        </row>
        <row r="1135">
          <cell r="B1135" t="str">
            <v>Davie Soil And Water Conservation Dist</v>
          </cell>
          <cell r="C1135">
            <v>93009</v>
          </cell>
        </row>
        <row r="1136">
          <cell r="B1136" t="str">
            <v>Denton</v>
          </cell>
          <cell r="C1136">
            <v>92921</v>
          </cell>
        </row>
        <row r="1137">
          <cell r="B1137" t="str">
            <v>Dobson</v>
          </cell>
          <cell r="C1137">
            <v>98621</v>
          </cell>
        </row>
        <row r="1138">
          <cell r="B1138" t="str">
            <v>Dobson ABC Bd</v>
          </cell>
          <cell r="C1138">
            <v>98627</v>
          </cell>
        </row>
        <row r="1139">
          <cell r="B1139" t="str">
            <v>Drexel</v>
          </cell>
          <cell r="C1139">
            <v>91221</v>
          </cell>
        </row>
        <row r="1140">
          <cell r="B1140" t="str">
            <v>Duck</v>
          </cell>
          <cell r="C1140">
            <v>92861</v>
          </cell>
        </row>
        <row r="1141">
          <cell r="B1141" t="str">
            <v>Dunn</v>
          </cell>
          <cell r="C1141">
            <v>94311</v>
          </cell>
        </row>
        <row r="1142">
          <cell r="B1142" t="str">
            <v>Dunn ABC Board</v>
          </cell>
          <cell r="C1142">
            <v>94317</v>
          </cell>
        </row>
        <row r="1143">
          <cell r="B1143" t="str">
            <v>Dunn Housing Authority</v>
          </cell>
          <cell r="C1143">
            <v>94313</v>
          </cell>
        </row>
        <row r="1144">
          <cell r="B1144" t="str">
            <v>Duplin County</v>
          </cell>
          <cell r="C1144">
            <v>93101</v>
          </cell>
        </row>
        <row r="1145">
          <cell r="B1145" t="str">
            <v>Duplin County Tourism Development Authority</v>
          </cell>
          <cell r="C1145">
            <v>93103</v>
          </cell>
        </row>
        <row r="1146">
          <cell r="B1146" t="str">
            <v>Durham</v>
          </cell>
          <cell r="C1146">
            <v>93211</v>
          </cell>
        </row>
        <row r="1147">
          <cell r="B1147" t="str">
            <v>Durham Convention &amp; Visitors Bureau</v>
          </cell>
          <cell r="C1147">
            <v>93212</v>
          </cell>
        </row>
        <row r="1148">
          <cell r="B1148" t="str">
            <v>Durham County</v>
          </cell>
          <cell r="C1148">
            <v>93201</v>
          </cell>
        </row>
        <row r="1149">
          <cell r="B1149" t="str">
            <v>Durham County ABC Board</v>
          </cell>
          <cell r="C1149">
            <v>93204</v>
          </cell>
        </row>
        <row r="1150">
          <cell r="B1150" t="str">
            <v>Durham Hwy Fire Protection Assoc</v>
          </cell>
          <cell r="C1150">
            <v>99212</v>
          </cell>
        </row>
        <row r="1151">
          <cell r="B1151" t="str">
            <v>East Albemarle Regional Library</v>
          </cell>
          <cell r="C1151">
            <v>97005</v>
          </cell>
        </row>
        <row r="1152">
          <cell r="B1152" t="str">
            <v>East Bend</v>
          </cell>
          <cell r="C1152">
            <v>99931</v>
          </cell>
        </row>
        <row r="1153">
          <cell r="B1153" t="str">
            <v>East Spencer</v>
          </cell>
          <cell r="C1153">
            <v>98021</v>
          </cell>
        </row>
        <row r="1154">
          <cell r="B1154" t="str">
            <v>East Spencer Housing Authority</v>
          </cell>
          <cell r="C1154">
            <v>98023</v>
          </cell>
        </row>
        <row r="1155">
          <cell r="B1155" t="str">
            <v>Eastern Band Of Cherokee Indians</v>
          </cell>
          <cell r="C1155">
            <v>70505</v>
          </cell>
        </row>
        <row r="1156">
          <cell r="B1156" t="str">
            <v>Eastern Carolina Reg'L Housing Auth</v>
          </cell>
          <cell r="C1156">
            <v>99603</v>
          </cell>
        </row>
        <row r="1157">
          <cell r="B1157" t="str">
            <v>Eastern Wayne Sanitary Dist</v>
          </cell>
          <cell r="C1157">
            <v>99610</v>
          </cell>
        </row>
        <row r="1158">
          <cell r="B1158" t="str">
            <v>Eastover</v>
          </cell>
          <cell r="C1158">
            <v>92681</v>
          </cell>
        </row>
        <row r="1159">
          <cell r="B1159" t="str">
            <v>Eastpointe Human Services</v>
          </cell>
          <cell r="C1159">
            <v>93108</v>
          </cell>
        </row>
        <row r="1160">
          <cell r="B1160" t="str">
            <v>Eden</v>
          </cell>
          <cell r="C1160">
            <v>97951</v>
          </cell>
        </row>
        <row r="1161">
          <cell r="B1161" t="str">
            <v>Eden ABC Board</v>
          </cell>
          <cell r="C1161">
            <v>97957</v>
          </cell>
        </row>
        <row r="1162">
          <cell r="B1162" t="str">
            <v>Edenton</v>
          </cell>
          <cell r="C1162">
            <v>92111</v>
          </cell>
        </row>
        <row r="1163">
          <cell r="B1163" t="str">
            <v>Edgecombe County</v>
          </cell>
          <cell r="C1163">
            <v>93301</v>
          </cell>
        </row>
        <row r="1164">
          <cell r="B1164" t="str">
            <v>Edgecombe County ABC Board</v>
          </cell>
          <cell r="C1164">
            <v>93304</v>
          </cell>
        </row>
        <row r="1165">
          <cell r="B1165" t="str">
            <v>Edgecombe County Memorial Library</v>
          </cell>
          <cell r="C1165">
            <v>93305</v>
          </cell>
        </row>
        <row r="1166">
          <cell r="B1166" t="str">
            <v>Electricities Of Nc</v>
          </cell>
          <cell r="C1166">
            <v>99210</v>
          </cell>
        </row>
        <row r="1167">
          <cell r="B1167" t="str">
            <v>Elizabeth City</v>
          </cell>
          <cell r="C1167">
            <v>97011</v>
          </cell>
        </row>
        <row r="1168">
          <cell r="B1168" t="str">
            <v>Elizabeth City Pasquotank County Tda</v>
          </cell>
          <cell r="C1168">
            <v>97013</v>
          </cell>
        </row>
        <row r="1169">
          <cell r="B1169" t="str">
            <v>Elizabeth City-Pasquotank Co Airport Auth</v>
          </cell>
          <cell r="C1169">
            <v>97012</v>
          </cell>
        </row>
        <row r="1170">
          <cell r="B1170" t="str">
            <v>Elizabeth Cty-Pasquotank Co Industrl Development C</v>
          </cell>
          <cell r="C1170">
            <v>97018</v>
          </cell>
        </row>
        <row r="1171">
          <cell r="B1171" t="str">
            <v>Elizabethtown</v>
          </cell>
          <cell r="C1171">
            <v>90911</v>
          </cell>
        </row>
        <row r="1172">
          <cell r="B1172" t="str">
            <v>Elizabethtown ABC Board</v>
          </cell>
          <cell r="C1172">
            <v>90917</v>
          </cell>
        </row>
        <row r="1173">
          <cell r="B1173" t="str">
            <v>Elk Park</v>
          </cell>
          <cell r="C1173">
            <v>90641</v>
          </cell>
        </row>
        <row r="1174">
          <cell r="B1174" t="str">
            <v>Elkin</v>
          </cell>
          <cell r="C1174">
            <v>98641</v>
          </cell>
        </row>
        <row r="1175">
          <cell r="B1175" t="str">
            <v>Ellenboro</v>
          </cell>
          <cell r="C1175">
            <v>98161</v>
          </cell>
        </row>
        <row r="1176">
          <cell r="B1176" t="str">
            <v>Ellerbe</v>
          </cell>
          <cell r="C1176">
            <v>97731</v>
          </cell>
        </row>
        <row r="1177">
          <cell r="B1177" t="str">
            <v>Elm City</v>
          </cell>
          <cell r="C1177">
            <v>99851</v>
          </cell>
        </row>
        <row r="1178">
          <cell r="B1178" t="str">
            <v>Elon</v>
          </cell>
          <cell r="C1178">
            <v>90131</v>
          </cell>
        </row>
        <row r="1179">
          <cell r="B1179" t="str">
            <v>Emerald Isle</v>
          </cell>
          <cell r="C1179">
            <v>91651</v>
          </cell>
        </row>
        <row r="1180">
          <cell r="B1180" t="str">
            <v>Enfield</v>
          </cell>
          <cell r="C1180">
            <v>94211</v>
          </cell>
        </row>
        <row r="1181">
          <cell r="B1181" t="str">
            <v>Erwin</v>
          </cell>
          <cell r="C1181">
            <v>94331</v>
          </cell>
        </row>
        <row r="1182">
          <cell r="B1182" t="str">
            <v>Fair Bluff</v>
          </cell>
          <cell r="C1182">
            <v>92431</v>
          </cell>
        </row>
        <row r="1183">
          <cell r="B1183" t="str">
            <v>Fairmont</v>
          </cell>
          <cell r="C1183">
            <v>97821</v>
          </cell>
        </row>
        <row r="1184">
          <cell r="B1184" t="str">
            <v>Fairmont Housing Authority</v>
          </cell>
          <cell r="C1184">
            <v>97823</v>
          </cell>
        </row>
        <row r="1185">
          <cell r="B1185" t="str">
            <v>Faison</v>
          </cell>
          <cell r="C1185">
            <v>93141</v>
          </cell>
        </row>
        <row r="1186">
          <cell r="B1186" t="str">
            <v>Faith</v>
          </cell>
          <cell r="C1186">
            <v>98081</v>
          </cell>
        </row>
        <row r="1187">
          <cell r="B1187" t="str">
            <v>Falcon</v>
          </cell>
          <cell r="C1187">
            <v>92671</v>
          </cell>
        </row>
        <row r="1188">
          <cell r="B1188" t="str">
            <v>Farmville</v>
          </cell>
          <cell r="C1188">
            <v>97421</v>
          </cell>
        </row>
        <row r="1189">
          <cell r="B1189" t="str">
            <v>Farmville Housing Authority</v>
          </cell>
          <cell r="C1189">
            <v>97423</v>
          </cell>
        </row>
        <row r="1190">
          <cell r="B1190" t="str">
            <v>Fayetteville</v>
          </cell>
          <cell r="C1190">
            <v>92611</v>
          </cell>
        </row>
        <row r="1191">
          <cell r="B1191" t="str">
            <v>Fayetteville Metropolitan Housing Auth</v>
          </cell>
          <cell r="C1191">
            <v>92613</v>
          </cell>
        </row>
        <row r="1192">
          <cell r="B1192" t="str">
            <v>First Craven Sanitary Dist</v>
          </cell>
          <cell r="C1192">
            <v>92502</v>
          </cell>
        </row>
        <row r="1193">
          <cell r="B1193" t="str">
            <v>Flat Rock</v>
          </cell>
          <cell r="C1193">
            <v>94531</v>
          </cell>
        </row>
        <row r="1194">
          <cell r="B1194" t="str">
            <v>Fletcher</v>
          </cell>
          <cell r="C1194">
            <v>94541</v>
          </cell>
        </row>
        <row r="1195">
          <cell r="B1195" t="str">
            <v>Fletcher ABC Board</v>
          </cell>
          <cell r="C1195">
            <v>94547</v>
          </cell>
        </row>
        <row r="1196">
          <cell r="B1196" t="str">
            <v>Fontana Regional Library</v>
          </cell>
          <cell r="C1196">
            <v>95005</v>
          </cell>
        </row>
        <row r="1197">
          <cell r="B1197" t="str">
            <v>Forest City</v>
          </cell>
          <cell r="C1197">
            <v>98111</v>
          </cell>
        </row>
        <row r="1198">
          <cell r="B1198" t="str">
            <v>Forest City ABC Board 168</v>
          </cell>
          <cell r="C1198">
            <v>98107</v>
          </cell>
        </row>
        <row r="1199">
          <cell r="B1199" t="str">
            <v>Forest City Housing Authority</v>
          </cell>
          <cell r="C1199">
            <v>98113</v>
          </cell>
        </row>
        <row r="1200">
          <cell r="B1200" t="str">
            <v>Fork Township Sanitary Dist</v>
          </cell>
          <cell r="C1200">
            <v>99602</v>
          </cell>
        </row>
        <row r="1201">
          <cell r="B1201" t="str">
            <v>Forsyth County</v>
          </cell>
          <cell r="C1201">
            <v>93401</v>
          </cell>
        </row>
        <row r="1202">
          <cell r="B1202" t="str">
            <v>Fountain, Town Of</v>
          </cell>
          <cell r="C1202">
            <v>97491</v>
          </cell>
        </row>
        <row r="1203">
          <cell r="B1203" t="str">
            <v>Four Oaks</v>
          </cell>
          <cell r="C1203">
            <v>95151</v>
          </cell>
        </row>
        <row r="1204">
          <cell r="B1204" t="str">
            <v>Foxfire Village</v>
          </cell>
          <cell r="C1204">
            <v>96381</v>
          </cell>
        </row>
        <row r="1205">
          <cell r="B1205" t="str">
            <v>Franklin</v>
          </cell>
          <cell r="C1205">
            <v>95611</v>
          </cell>
        </row>
        <row r="1206">
          <cell r="B1206" t="str">
            <v>Franklin County</v>
          </cell>
          <cell r="C1206">
            <v>93501</v>
          </cell>
        </row>
        <row r="1207">
          <cell r="B1207" t="str">
            <v>Franklinton</v>
          </cell>
          <cell r="C1207">
            <v>93511</v>
          </cell>
        </row>
        <row r="1208">
          <cell r="B1208" t="str">
            <v>Franklinton ABC Board</v>
          </cell>
          <cell r="C1208">
            <v>93517</v>
          </cell>
        </row>
        <row r="1209">
          <cell r="B1209" t="str">
            <v>Fremont</v>
          </cell>
          <cell r="C1209">
            <v>99631</v>
          </cell>
        </row>
        <row r="1210">
          <cell r="B1210" t="str">
            <v>Fuquay-Varina</v>
          </cell>
          <cell r="C1210">
            <v>99261</v>
          </cell>
        </row>
        <row r="1211">
          <cell r="B1211" t="str">
            <v>Garland</v>
          </cell>
          <cell r="C1211">
            <v>98241</v>
          </cell>
        </row>
        <row r="1212">
          <cell r="B1212" t="str">
            <v>Garner</v>
          </cell>
          <cell r="C1212">
            <v>99251</v>
          </cell>
        </row>
        <row r="1213">
          <cell r="B1213" t="str">
            <v>Garner Fire Dept</v>
          </cell>
          <cell r="C1213">
            <v>99252</v>
          </cell>
        </row>
        <row r="1214">
          <cell r="B1214" t="str">
            <v>Garysburg</v>
          </cell>
          <cell r="C1214">
            <v>96631</v>
          </cell>
        </row>
        <row r="1215">
          <cell r="B1215" t="str">
            <v>Gaston</v>
          </cell>
          <cell r="C1215">
            <v>96651</v>
          </cell>
        </row>
        <row r="1216">
          <cell r="B1216" t="str">
            <v>Gaston County</v>
          </cell>
          <cell r="C1216">
            <v>93601</v>
          </cell>
        </row>
        <row r="1217">
          <cell r="B1217" t="str">
            <v>Gaston County Economic Dev. Commission</v>
          </cell>
          <cell r="C1217">
            <v>93618</v>
          </cell>
        </row>
        <row r="1218">
          <cell r="B1218" t="str">
            <v>Gastonia</v>
          </cell>
          <cell r="C1218">
            <v>93611</v>
          </cell>
        </row>
        <row r="1219">
          <cell r="B1219" t="str">
            <v>Gastonia ABC Board</v>
          </cell>
          <cell r="C1219">
            <v>93617</v>
          </cell>
        </row>
        <row r="1220">
          <cell r="B1220" t="str">
            <v>Gates County</v>
          </cell>
          <cell r="C1220">
            <v>93701</v>
          </cell>
        </row>
        <row r="1221">
          <cell r="B1221" t="str">
            <v>Gates County ABC Board</v>
          </cell>
          <cell r="C1221">
            <v>93704</v>
          </cell>
        </row>
        <row r="1222">
          <cell r="B1222" t="str">
            <v>Gibson</v>
          </cell>
          <cell r="C1222">
            <v>98331</v>
          </cell>
        </row>
        <row r="1223">
          <cell r="B1223" t="str">
            <v>Gibsonville</v>
          </cell>
          <cell r="C1223">
            <v>94151</v>
          </cell>
        </row>
        <row r="1224">
          <cell r="B1224" t="str">
            <v>Gibsonville ABC Board</v>
          </cell>
          <cell r="C1224">
            <v>94157</v>
          </cell>
        </row>
        <row r="1225">
          <cell r="B1225" t="str">
            <v>Glen Alpine</v>
          </cell>
          <cell r="C1225">
            <v>91241</v>
          </cell>
        </row>
        <row r="1226">
          <cell r="B1226" t="str">
            <v>Global Transpark Development Comm</v>
          </cell>
          <cell r="C1226">
            <v>95412</v>
          </cell>
        </row>
        <row r="1227">
          <cell r="B1227" t="str">
            <v>Goldsboro</v>
          </cell>
          <cell r="C1227">
            <v>99611</v>
          </cell>
        </row>
        <row r="1228">
          <cell r="B1228" t="str">
            <v>Goldston-Gulf Sanitary District</v>
          </cell>
          <cell r="C1228">
            <v>91908</v>
          </cell>
        </row>
        <row r="1229">
          <cell r="B1229" t="str">
            <v>Graham</v>
          </cell>
          <cell r="C1229">
            <v>90121</v>
          </cell>
        </row>
        <row r="1230">
          <cell r="B1230" t="str">
            <v>Graham Co Health Dept</v>
          </cell>
          <cell r="C1230">
            <v>93803</v>
          </cell>
        </row>
        <row r="1231">
          <cell r="B1231" t="str">
            <v>Graham County</v>
          </cell>
          <cell r="C1231">
            <v>93801</v>
          </cell>
        </row>
        <row r="1232">
          <cell r="B1232" t="str">
            <v>Graham County Dept Of S S</v>
          </cell>
          <cell r="C1232">
            <v>93806</v>
          </cell>
        </row>
        <row r="1233">
          <cell r="B1233" t="str">
            <v>Granite Falls</v>
          </cell>
          <cell r="C1233">
            <v>91411</v>
          </cell>
        </row>
        <row r="1234">
          <cell r="B1234" t="str">
            <v>Granite Falls ABC Board</v>
          </cell>
          <cell r="C1234">
            <v>91417</v>
          </cell>
        </row>
        <row r="1235">
          <cell r="B1235" t="str">
            <v>Granite Quarry</v>
          </cell>
          <cell r="C1235">
            <v>98061</v>
          </cell>
        </row>
        <row r="1236">
          <cell r="B1236" t="str">
            <v>Granville Co ABC Bd</v>
          </cell>
          <cell r="C1236">
            <v>93904</v>
          </cell>
        </row>
        <row r="1237">
          <cell r="B1237" t="str">
            <v>Granville County</v>
          </cell>
          <cell r="C1237">
            <v>93901</v>
          </cell>
        </row>
        <row r="1238">
          <cell r="B1238" t="str">
            <v>Granville County Hospital</v>
          </cell>
          <cell r="C1238">
            <v>93906</v>
          </cell>
        </row>
        <row r="1239">
          <cell r="B1239" t="str">
            <v>Granville-Vance Public Health</v>
          </cell>
          <cell r="C1239">
            <v>93908</v>
          </cell>
        </row>
        <row r="1240">
          <cell r="B1240" t="str">
            <v>Greater Statesville Development Corp</v>
          </cell>
          <cell r="C1240">
            <v>94908</v>
          </cell>
        </row>
        <row r="1241">
          <cell r="B1241" t="str">
            <v>Green Level</v>
          </cell>
          <cell r="C1241">
            <v>90161</v>
          </cell>
        </row>
        <row r="1242">
          <cell r="B1242" t="str">
            <v>Greene County</v>
          </cell>
          <cell r="C1242">
            <v>94001</v>
          </cell>
        </row>
        <row r="1243">
          <cell r="B1243" t="str">
            <v>Greene County ABC Board</v>
          </cell>
          <cell r="C1243">
            <v>94004</v>
          </cell>
        </row>
        <row r="1244">
          <cell r="B1244" t="str">
            <v>Greensboro</v>
          </cell>
          <cell r="C1244">
            <v>94111</v>
          </cell>
        </row>
        <row r="1245">
          <cell r="B1245" t="str">
            <v>Greensboro ABC Bd</v>
          </cell>
          <cell r="C1245">
            <v>94117</v>
          </cell>
        </row>
        <row r="1246">
          <cell r="B1246" t="str">
            <v>Greenville</v>
          </cell>
          <cell r="C1246">
            <v>97411</v>
          </cell>
        </row>
        <row r="1247">
          <cell r="B1247" t="str">
            <v>Greenville Housing Authority</v>
          </cell>
          <cell r="C1247">
            <v>97413</v>
          </cell>
        </row>
        <row r="1248">
          <cell r="B1248" t="str">
            <v>Greenville Utilities Commission</v>
          </cell>
          <cell r="C1248">
            <v>97412</v>
          </cell>
        </row>
        <row r="1249">
          <cell r="B1249" t="str">
            <v>Grifton</v>
          </cell>
          <cell r="C1249">
            <v>97431</v>
          </cell>
        </row>
        <row r="1250">
          <cell r="B1250" t="str">
            <v>Grimesland</v>
          </cell>
          <cell r="C1250">
            <v>97471</v>
          </cell>
        </row>
        <row r="1251">
          <cell r="B1251" t="str">
            <v>Grover</v>
          </cell>
          <cell r="C1251">
            <v>92351</v>
          </cell>
        </row>
        <row r="1252">
          <cell r="B1252" t="str">
            <v>Guilford County</v>
          </cell>
          <cell r="C1252">
            <v>94101</v>
          </cell>
        </row>
        <row r="1253">
          <cell r="B1253" t="str">
            <v>Guilford Fire District # 13 Inc</v>
          </cell>
          <cell r="C1253">
            <v>94118</v>
          </cell>
        </row>
        <row r="1254">
          <cell r="B1254" t="str">
            <v>Guil-Rand Fire Department</v>
          </cell>
          <cell r="C1254">
            <v>94102</v>
          </cell>
        </row>
        <row r="1255">
          <cell r="B1255" t="str">
            <v>Halifax County</v>
          </cell>
          <cell r="C1255">
            <v>94201</v>
          </cell>
        </row>
        <row r="1256">
          <cell r="B1256" t="str">
            <v>Halifax County ABC Board</v>
          </cell>
          <cell r="C1256">
            <v>94204</v>
          </cell>
        </row>
        <row r="1257">
          <cell r="B1257" t="str">
            <v>Halifax County Tourism Development Authority</v>
          </cell>
          <cell r="C1257">
            <v>94205</v>
          </cell>
        </row>
        <row r="1258">
          <cell r="B1258" t="str">
            <v>Hamilton</v>
          </cell>
          <cell r="C1258">
            <v>95831</v>
          </cell>
        </row>
        <row r="1259">
          <cell r="B1259" t="str">
            <v>Hamlet</v>
          </cell>
          <cell r="C1259">
            <v>97721</v>
          </cell>
        </row>
        <row r="1260">
          <cell r="B1260" t="str">
            <v>Hamlet ABC Board</v>
          </cell>
          <cell r="C1260">
            <v>97717</v>
          </cell>
        </row>
        <row r="1261">
          <cell r="B1261" t="str">
            <v>Harnett County</v>
          </cell>
          <cell r="C1261">
            <v>94301</v>
          </cell>
        </row>
        <row r="1262">
          <cell r="B1262" t="str">
            <v>Harrisburg</v>
          </cell>
          <cell r="C1262">
            <v>91441</v>
          </cell>
        </row>
        <row r="1263">
          <cell r="B1263" t="str">
            <v>Havelock</v>
          </cell>
          <cell r="C1263">
            <v>92531</v>
          </cell>
        </row>
        <row r="1264">
          <cell r="B1264" t="str">
            <v>Haw River</v>
          </cell>
          <cell r="C1264">
            <v>90141</v>
          </cell>
        </row>
        <row r="1265">
          <cell r="B1265" t="str">
            <v>Haywood County</v>
          </cell>
          <cell r="C1265">
            <v>94401</v>
          </cell>
        </row>
        <row r="1266">
          <cell r="B1266" t="str">
            <v>Haywood County Tourism Development Authority</v>
          </cell>
          <cell r="C1266">
            <v>94403</v>
          </cell>
        </row>
        <row r="1267">
          <cell r="B1267" t="str">
            <v>Haywood Medical Center</v>
          </cell>
          <cell r="C1267">
            <v>94402</v>
          </cell>
        </row>
        <row r="1268">
          <cell r="B1268" t="str">
            <v>Henderson</v>
          </cell>
          <cell r="C1268">
            <v>99111</v>
          </cell>
        </row>
        <row r="1269">
          <cell r="B1269" t="str">
            <v>Hendersonville</v>
          </cell>
          <cell r="C1269">
            <v>94511</v>
          </cell>
        </row>
        <row r="1270">
          <cell r="B1270" t="str">
            <v>Hendersonville ABC Bd</v>
          </cell>
          <cell r="C1270">
            <v>94517</v>
          </cell>
        </row>
        <row r="1271">
          <cell r="B1271" t="str">
            <v>Hendersonville Water Commission</v>
          </cell>
          <cell r="C1271">
            <v>94512</v>
          </cell>
        </row>
        <row r="1272">
          <cell r="B1272" t="str">
            <v>Hertford</v>
          </cell>
          <cell r="C1272">
            <v>97211</v>
          </cell>
        </row>
        <row r="1273">
          <cell r="B1273" t="str">
            <v>Hertford ABC Board</v>
          </cell>
          <cell r="C1273">
            <v>97217</v>
          </cell>
        </row>
        <row r="1274">
          <cell r="B1274" t="str">
            <v>Hertford County</v>
          </cell>
          <cell r="C1274">
            <v>94601</v>
          </cell>
        </row>
        <row r="1275">
          <cell r="B1275" t="str">
            <v>Hertford County ABC Board</v>
          </cell>
          <cell r="C1275">
            <v>94604</v>
          </cell>
        </row>
        <row r="1276">
          <cell r="B1276" t="str">
            <v>Hertford County Public Health Authority</v>
          </cell>
          <cell r="C1276">
            <v>94606</v>
          </cell>
        </row>
        <row r="1277">
          <cell r="B1277" t="str">
            <v>Hertford Housing Auth</v>
          </cell>
          <cell r="C1277">
            <v>97213</v>
          </cell>
        </row>
        <row r="1278">
          <cell r="B1278" t="str">
            <v>Hickory</v>
          </cell>
          <cell r="C1278">
            <v>91811</v>
          </cell>
        </row>
        <row r="1279">
          <cell r="B1279" t="str">
            <v>Hickory Conover Tourism Dev Auth</v>
          </cell>
          <cell r="C1279">
            <v>91812</v>
          </cell>
        </row>
        <row r="1280">
          <cell r="B1280" t="str">
            <v>Hickory Public Housing Authority</v>
          </cell>
          <cell r="C1280">
            <v>91813</v>
          </cell>
        </row>
        <row r="1281">
          <cell r="B1281" t="str">
            <v>High Country ABC Board</v>
          </cell>
          <cell r="C1281">
            <v>90617</v>
          </cell>
        </row>
        <row r="1282">
          <cell r="B1282" t="str">
            <v>High Point ABC Bd</v>
          </cell>
          <cell r="C1282">
            <v>94127</v>
          </cell>
        </row>
        <row r="1283">
          <cell r="B1283" t="str">
            <v>Highlands</v>
          </cell>
          <cell r="C1283">
            <v>95621</v>
          </cell>
        </row>
        <row r="1284">
          <cell r="B1284" t="str">
            <v>Highlands ABC Board</v>
          </cell>
          <cell r="C1284">
            <v>95617</v>
          </cell>
        </row>
        <row r="1285">
          <cell r="B1285" t="str">
            <v>HighPoint</v>
          </cell>
          <cell r="C1285">
            <v>94121</v>
          </cell>
        </row>
        <row r="1286">
          <cell r="B1286" t="str">
            <v>Hildebran</v>
          </cell>
          <cell r="C1286">
            <v>91251</v>
          </cell>
        </row>
        <row r="1287">
          <cell r="B1287" t="str">
            <v>Hillsborough</v>
          </cell>
          <cell r="C1287">
            <v>96831</v>
          </cell>
        </row>
        <row r="1288">
          <cell r="B1288" t="str">
            <v>Hobgood</v>
          </cell>
          <cell r="C1288">
            <v>94251</v>
          </cell>
        </row>
        <row r="1289">
          <cell r="B1289" t="str">
            <v>Hoke County</v>
          </cell>
          <cell r="C1289">
            <v>94701</v>
          </cell>
        </row>
        <row r="1290">
          <cell r="B1290" t="str">
            <v>Hoke County ABC Board</v>
          </cell>
          <cell r="C1290">
            <v>94704</v>
          </cell>
        </row>
        <row r="1291">
          <cell r="B1291" t="str">
            <v>Holden Beach</v>
          </cell>
          <cell r="C1291">
            <v>91014</v>
          </cell>
        </row>
        <row r="1292">
          <cell r="B1292" t="str">
            <v>Holly Ridge</v>
          </cell>
          <cell r="C1292">
            <v>96731</v>
          </cell>
        </row>
        <row r="1293">
          <cell r="B1293" t="str">
            <v>Holly Ridge Housing Authority</v>
          </cell>
          <cell r="C1293">
            <v>96733</v>
          </cell>
        </row>
        <row r="1294">
          <cell r="B1294" t="str">
            <v>Holly Springs</v>
          </cell>
          <cell r="C1294">
            <v>99202</v>
          </cell>
        </row>
        <row r="1295">
          <cell r="B1295" t="str">
            <v>Hookerton</v>
          </cell>
          <cell r="C1295">
            <v>94011</v>
          </cell>
        </row>
        <row r="1296">
          <cell r="B1296" t="str">
            <v>Hope Mills</v>
          </cell>
          <cell r="C1296">
            <v>92631</v>
          </cell>
        </row>
        <row r="1297">
          <cell r="B1297" t="str">
            <v>Hot Springs Housing Authority</v>
          </cell>
          <cell r="C1297">
            <v>95733</v>
          </cell>
        </row>
        <row r="1298">
          <cell r="B1298" t="str">
            <v>Housing Auth For The Cty Of Kinston</v>
          </cell>
          <cell r="C1298">
            <v>95413</v>
          </cell>
        </row>
        <row r="1299">
          <cell r="B1299" t="str">
            <v>Housing Auth Of The Cty Of Salisbury</v>
          </cell>
          <cell r="C1299">
            <v>98013</v>
          </cell>
        </row>
        <row r="1300">
          <cell r="B1300" t="str">
            <v>Housing Authority Of Goldsboro</v>
          </cell>
          <cell r="C1300">
            <v>99613</v>
          </cell>
        </row>
        <row r="1301">
          <cell r="B1301" t="str">
            <v>Hudson</v>
          </cell>
          <cell r="C1301">
            <v>91431</v>
          </cell>
        </row>
        <row r="1302">
          <cell r="B1302" t="str">
            <v>Huntersville</v>
          </cell>
          <cell r="C1302">
            <v>96041</v>
          </cell>
        </row>
        <row r="1303">
          <cell r="B1303" t="str">
            <v>Hyde County</v>
          </cell>
          <cell r="C1303">
            <v>94801</v>
          </cell>
        </row>
        <row r="1304">
          <cell r="B1304" t="str">
            <v>Hyde County ABC Board</v>
          </cell>
          <cell r="C1304">
            <v>94804</v>
          </cell>
        </row>
        <row r="1305">
          <cell r="B1305" t="str">
            <v>Indian Beach</v>
          </cell>
          <cell r="C1305">
            <v>91661</v>
          </cell>
        </row>
        <row r="1306">
          <cell r="B1306" t="str">
            <v>Indian Trail</v>
          </cell>
          <cell r="C1306">
            <v>99051</v>
          </cell>
        </row>
        <row r="1307">
          <cell r="B1307" t="str">
            <v>Indian Trail ABC Board</v>
          </cell>
          <cell r="C1307">
            <v>99014</v>
          </cell>
        </row>
        <row r="1308">
          <cell r="B1308" t="str">
            <v>Iredell County</v>
          </cell>
          <cell r="C1308">
            <v>94901</v>
          </cell>
        </row>
        <row r="1309">
          <cell r="B1309" t="str">
            <v>Isothermal Planning And Dev Comm</v>
          </cell>
          <cell r="C1309">
            <v>98109</v>
          </cell>
        </row>
        <row r="1310">
          <cell r="B1310" t="str">
            <v>J C Holiday Mem Library</v>
          </cell>
          <cell r="C1310">
            <v>98205</v>
          </cell>
        </row>
        <row r="1311">
          <cell r="B1311" t="str">
            <v>Jackson</v>
          </cell>
          <cell r="C1311">
            <v>96661</v>
          </cell>
        </row>
        <row r="1312">
          <cell r="B1312" t="str">
            <v>Jackson County</v>
          </cell>
          <cell r="C1312">
            <v>95001</v>
          </cell>
        </row>
        <row r="1313">
          <cell r="B1313" t="str">
            <v>Jackson County ABC Board</v>
          </cell>
          <cell r="C1313">
            <v>95017</v>
          </cell>
        </row>
        <row r="1314">
          <cell r="B1314" t="str">
            <v>Jacksonville</v>
          </cell>
          <cell r="C1314">
            <v>96711</v>
          </cell>
        </row>
        <row r="1315">
          <cell r="B1315" t="str">
            <v>Jamestown</v>
          </cell>
          <cell r="C1315">
            <v>94131</v>
          </cell>
        </row>
        <row r="1316">
          <cell r="B1316" t="str">
            <v>Jamesville</v>
          </cell>
          <cell r="C1316">
            <v>95841</v>
          </cell>
        </row>
        <row r="1317">
          <cell r="B1317" t="str">
            <v>Jefferson</v>
          </cell>
          <cell r="C1317">
            <v>90511</v>
          </cell>
        </row>
        <row r="1318">
          <cell r="B1318" t="str">
            <v>Johnston County</v>
          </cell>
          <cell r="C1318">
            <v>95101</v>
          </cell>
        </row>
        <row r="1319">
          <cell r="B1319" t="str">
            <v>Johnston County ABC Board</v>
          </cell>
          <cell r="C1319">
            <v>95104</v>
          </cell>
        </row>
        <row r="1320">
          <cell r="B1320" t="str">
            <v>Johnston Health Center</v>
          </cell>
          <cell r="C1320">
            <v>95110</v>
          </cell>
        </row>
        <row r="1321">
          <cell r="B1321" t="str">
            <v>Jones County</v>
          </cell>
          <cell r="C1321">
            <v>95201</v>
          </cell>
        </row>
        <row r="1322">
          <cell r="B1322" t="str">
            <v>Jones County ABC Board</v>
          </cell>
          <cell r="C1322">
            <v>95204</v>
          </cell>
        </row>
        <row r="1323">
          <cell r="B1323" t="str">
            <v>Jonesville</v>
          </cell>
          <cell r="C1323">
            <v>99921</v>
          </cell>
        </row>
        <row r="1324">
          <cell r="B1324" t="str">
            <v>Junaluska Sanitary District</v>
          </cell>
          <cell r="C1324">
            <v>94408</v>
          </cell>
        </row>
        <row r="1325">
          <cell r="B1325" t="str">
            <v>Kannapolis</v>
          </cell>
          <cell r="C1325">
            <v>91331</v>
          </cell>
        </row>
        <row r="1326">
          <cell r="B1326" t="str">
            <v>Kenansville</v>
          </cell>
          <cell r="C1326">
            <v>93121</v>
          </cell>
        </row>
        <row r="1327">
          <cell r="B1327" t="str">
            <v>Kenansville ABC Board</v>
          </cell>
          <cell r="C1327">
            <v>93127</v>
          </cell>
        </row>
        <row r="1328">
          <cell r="B1328" t="str">
            <v>Kenly</v>
          </cell>
          <cell r="C1328">
            <v>95171</v>
          </cell>
        </row>
        <row r="1329">
          <cell r="B1329" t="str">
            <v>Kernersville</v>
          </cell>
          <cell r="C1329">
            <v>93421</v>
          </cell>
        </row>
        <row r="1330">
          <cell r="B1330" t="str">
            <v>Kerr Area Transportation Authority</v>
          </cell>
          <cell r="C1330">
            <v>99110</v>
          </cell>
        </row>
        <row r="1331">
          <cell r="B1331" t="str">
            <v>Kerr-Tar Regional Council Of Govts</v>
          </cell>
          <cell r="C1331">
            <v>99109</v>
          </cell>
        </row>
        <row r="1332">
          <cell r="B1332" t="str">
            <v>Kill Devil Hills</v>
          </cell>
          <cell r="C1332">
            <v>92821</v>
          </cell>
        </row>
        <row r="1333">
          <cell r="B1333" t="str">
            <v>King</v>
          </cell>
          <cell r="C1333">
            <v>98521</v>
          </cell>
        </row>
        <row r="1334">
          <cell r="B1334" t="str">
            <v>Kings Mountain ABC Board</v>
          </cell>
          <cell r="C1334">
            <v>92327</v>
          </cell>
        </row>
        <row r="1335">
          <cell r="B1335" t="str">
            <v>KingsMountain</v>
          </cell>
          <cell r="C1335">
            <v>92321</v>
          </cell>
        </row>
        <row r="1336">
          <cell r="B1336" t="str">
            <v>Kinston</v>
          </cell>
          <cell r="C1336">
            <v>95411</v>
          </cell>
        </row>
        <row r="1337">
          <cell r="B1337" t="str">
            <v>Kinston-Lenoir Co Pub Library</v>
          </cell>
          <cell r="C1337">
            <v>95415</v>
          </cell>
        </row>
        <row r="1338">
          <cell r="B1338" t="str">
            <v>Kitty Hawk</v>
          </cell>
          <cell r="C1338">
            <v>92851</v>
          </cell>
        </row>
        <row r="1339">
          <cell r="B1339" t="str">
            <v>Knightdale</v>
          </cell>
          <cell r="C1339">
            <v>99291</v>
          </cell>
        </row>
        <row r="1340">
          <cell r="B1340" t="str">
            <v>Kure Beach</v>
          </cell>
          <cell r="C1340">
            <v>96541</v>
          </cell>
        </row>
        <row r="1341">
          <cell r="B1341" t="str">
            <v>Lagrange</v>
          </cell>
          <cell r="C1341">
            <v>95431</v>
          </cell>
        </row>
        <row r="1342">
          <cell r="B1342" t="str">
            <v>Lake Lure</v>
          </cell>
          <cell r="C1342">
            <v>98131</v>
          </cell>
        </row>
        <row r="1343">
          <cell r="B1343" t="str">
            <v>Lake Waccamaw</v>
          </cell>
          <cell r="C1343">
            <v>92461</v>
          </cell>
        </row>
        <row r="1344">
          <cell r="B1344" t="str">
            <v>Lake Waccamaw ABC Board</v>
          </cell>
          <cell r="C1344">
            <v>92427</v>
          </cell>
        </row>
        <row r="1345">
          <cell r="B1345" t="str">
            <v>Landis</v>
          </cell>
          <cell r="C1345">
            <v>98051</v>
          </cell>
        </row>
        <row r="1346">
          <cell r="B1346" t="str">
            <v>Land-Of-Sky Regional Council</v>
          </cell>
          <cell r="C1346">
            <v>91102</v>
          </cell>
        </row>
        <row r="1347">
          <cell r="B1347" t="str">
            <v>Laurel Park</v>
          </cell>
          <cell r="C1347">
            <v>94521</v>
          </cell>
        </row>
        <row r="1348">
          <cell r="B1348" t="str">
            <v>Laurel Park ABC Board</v>
          </cell>
          <cell r="C1348">
            <v>94527</v>
          </cell>
        </row>
        <row r="1349">
          <cell r="B1349" t="str">
            <v>Laurinburg</v>
          </cell>
          <cell r="C1349">
            <v>98311</v>
          </cell>
        </row>
        <row r="1350">
          <cell r="B1350" t="str">
            <v>Laurinburg Housing Authority</v>
          </cell>
          <cell r="C1350">
            <v>98313</v>
          </cell>
        </row>
        <row r="1351">
          <cell r="B1351" t="str">
            <v>Laurinburg-Maxton Airport Commission</v>
          </cell>
          <cell r="C1351">
            <v>98308</v>
          </cell>
        </row>
        <row r="1352">
          <cell r="B1352" t="str">
            <v>Lawndale</v>
          </cell>
          <cell r="C1352">
            <v>92341</v>
          </cell>
        </row>
        <row r="1353">
          <cell r="B1353" t="str">
            <v>Lee County</v>
          </cell>
          <cell r="C1353">
            <v>95301</v>
          </cell>
        </row>
        <row r="1354">
          <cell r="B1354" t="str">
            <v>Leland</v>
          </cell>
          <cell r="C1354">
            <v>91002</v>
          </cell>
        </row>
        <row r="1355">
          <cell r="B1355" t="str">
            <v>Lenoir</v>
          </cell>
          <cell r="C1355">
            <v>91451</v>
          </cell>
        </row>
        <row r="1356">
          <cell r="B1356" t="str">
            <v>Lenoir County</v>
          </cell>
          <cell r="C1356">
            <v>95401</v>
          </cell>
        </row>
        <row r="1357">
          <cell r="B1357" t="str">
            <v>Lenoir County ABC Board</v>
          </cell>
          <cell r="C1357">
            <v>95404</v>
          </cell>
        </row>
        <row r="1358">
          <cell r="B1358" t="str">
            <v>Lenoir Housing Authority</v>
          </cell>
          <cell r="C1358">
            <v>91423</v>
          </cell>
        </row>
        <row r="1359">
          <cell r="B1359" t="str">
            <v>LenoirABCBoard</v>
          </cell>
          <cell r="C1359">
            <v>91457</v>
          </cell>
        </row>
        <row r="1360">
          <cell r="B1360" t="str">
            <v>Lewiston Woodville</v>
          </cell>
          <cell r="C1360">
            <v>90861</v>
          </cell>
        </row>
        <row r="1361">
          <cell r="B1361" t="str">
            <v>Lewisville</v>
          </cell>
          <cell r="C1361">
            <v>93451</v>
          </cell>
        </row>
        <row r="1362">
          <cell r="B1362" t="str">
            <v>Lexington</v>
          </cell>
          <cell r="C1362">
            <v>92931</v>
          </cell>
        </row>
        <row r="1363">
          <cell r="B1363" t="str">
            <v>Lexington ABC Board</v>
          </cell>
          <cell r="C1363">
            <v>92917</v>
          </cell>
        </row>
        <row r="1364">
          <cell r="B1364" t="str">
            <v>Liberty</v>
          </cell>
          <cell r="C1364">
            <v>97631</v>
          </cell>
        </row>
        <row r="1365">
          <cell r="B1365" t="str">
            <v>Liberty ABC Board</v>
          </cell>
          <cell r="C1365">
            <v>97637</v>
          </cell>
        </row>
        <row r="1366">
          <cell r="B1366" t="str">
            <v>Lilesville</v>
          </cell>
          <cell r="C1366">
            <v>90421</v>
          </cell>
        </row>
        <row r="1367">
          <cell r="B1367" t="str">
            <v>Lillington</v>
          </cell>
          <cell r="C1367">
            <v>94321</v>
          </cell>
        </row>
        <row r="1368">
          <cell r="B1368" t="str">
            <v>Lincoln County</v>
          </cell>
          <cell r="C1368">
            <v>95501</v>
          </cell>
        </row>
        <row r="1369">
          <cell r="B1369" t="str">
            <v>Lincoln County ABC Board</v>
          </cell>
          <cell r="C1369">
            <v>95504</v>
          </cell>
        </row>
        <row r="1370">
          <cell r="B1370" t="str">
            <v>Lincolnton</v>
          </cell>
          <cell r="C1370">
            <v>95511</v>
          </cell>
        </row>
        <row r="1371">
          <cell r="B1371" t="str">
            <v>Lincolnton ABC Board</v>
          </cell>
          <cell r="C1371">
            <v>95517</v>
          </cell>
        </row>
        <row r="1372">
          <cell r="B1372" t="str">
            <v>Lincolnton Housing Authority</v>
          </cell>
          <cell r="C1372">
            <v>95513</v>
          </cell>
        </row>
        <row r="1373">
          <cell r="B1373" t="str">
            <v>Linden</v>
          </cell>
          <cell r="C1373">
            <v>92651</v>
          </cell>
        </row>
        <row r="1374">
          <cell r="B1374" t="str">
            <v>Littleton</v>
          </cell>
          <cell r="C1374">
            <v>94261</v>
          </cell>
        </row>
        <row r="1375">
          <cell r="B1375" t="str">
            <v>Locust</v>
          </cell>
          <cell r="C1375">
            <v>98431</v>
          </cell>
        </row>
        <row r="1376">
          <cell r="B1376" t="str">
            <v>Locust ABC Board</v>
          </cell>
          <cell r="C1376">
            <v>98404</v>
          </cell>
        </row>
        <row r="1377">
          <cell r="B1377" t="str">
            <v>Longview</v>
          </cell>
          <cell r="C1377">
            <v>91841</v>
          </cell>
        </row>
        <row r="1378">
          <cell r="B1378" t="str">
            <v>Louisburg</v>
          </cell>
          <cell r="C1378">
            <v>93521</v>
          </cell>
        </row>
        <row r="1379">
          <cell r="B1379" t="str">
            <v>Louisburg ABC Board</v>
          </cell>
          <cell r="C1379">
            <v>93527</v>
          </cell>
        </row>
        <row r="1380">
          <cell r="B1380" t="str">
            <v>Lowell</v>
          </cell>
          <cell r="C1380">
            <v>93661</v>
          </cell>
        </row>
        <row r="1381">
          <cell r="B1381" t="str">
            <v>Lower Cape Fear Water &amp; Sewer Auth</v>
          </cell>
          <cell r="C1381">
            <v>96508</v>
          </cell>
        </row>
        <row r="1382">
          <cell r="B1382" t="str">
            <v>Lucama</v>
          </cell>
          <cell r="C1382">
            <v>99841</v>
          </cell>
        </row>
        <row r="1383">
          <cell r="B1383" t="str">
            <v>Lumber River Council Of Governments</v>
          </cell>
          <cell r="C1383">
            <v>97802</v>
          </cell>
        </row>
        <row r="1384">
          <cell r="B1384" t="str">
            <v>Lumberton</v>
          </cell>
          <cell r="C1384">
            <v>97811</v>
          </cell>
        </row>
        <row r="1385">
          <cell r="B1385" t="str">
            <v>Lumberton ABC Board</v>
          </cell>
          <cell r="C1385">
            <v>97817</v>
          </cell>
        </row>
        <row r="1386">
          <cell r="B1386" t="str">
            <v>Lumberton Airport Comm</v>
          </cell>
          <cell r="C1386">
            <v>97818</v>
          </cell>
        </row>
        <row r="1387">
          <cell r="B1387" t="str">
            <v>Macclesfield</v>
          </cell>
          <cell r="C1387">
            <v>93341</v>
          </cell>
        </row>
        <row r="1388">
          <cell r="B1388" t="str">
            <v>Macon County</v>
          </cell>
          <cell r="C1388">
            <v>95601</v>
          </cell>
        </row>
        <row r="1389">
          <cell r="B1389" t="str">
            <v>Madison</v>
          </cell>
          <cell r="C1389">
            <v>97941</v>
          </cell>
        </row>
        <row r="1390">
          <cell r="B1390" t="str">
            <v>Madison ABC Board</v>
          </cell>
          <cell r="C1390">
            <v>97947</v>
          </cell>
        </row>
        <row r="1391">
          <cell r="B1391" t="str">
            <v>Madison County</v>
          </cell>
          <cell r="C1391">
            <v>95701</v>
          </cell>
        </row>
        <row r="1392">
          <cell r="B1392" t="str">
            <v>Madison-Mayodan Recreation Comm</v>
          </cell>
          <cell r="C1392">
            <v>97948</v>
          </cell>
        </row>
        <row r="1393">
          <cell r="B1393" t="str">
            <v>Maggie Valley</v>
          </cell>
          <cell r="C1393">
            <v>94421</v>
          </cell>
        </row>
        <row r="1394">
          <cell r="B1394" t="str">
            <v>Maggie Valley ABC Board</v>
          </cell>
          <cell r="C1394">
            <v>94427</v>
          </cell>
        </row>
        <row r="1395">
          <cell r="B1395" t="str">
            <v>Maggie Valley Sanitary Dist</v>
          </cell>
          <cell r="C1395">
            <v>94428</v>
          </cell>
        </row>
        <row r="1396">
          <cell r="B1396" t="str">
            <v>Magnolia</v>
          </cell>
          <cell r="C1396">
            <v>93191</v>
          </cell>
        </row>
        <row r="1397">
          <cell r="B1397" t="str">
            <v>Maiden</v>
          </cell>
          <cell r="C1397">
            <v>91831</v>
          </cell>
        </row>
        <row r="1398">
          <cell r="B1398" t="str">
            <v>Manteo</v>
          </cell>
          <cell r="C1398">
            <v>92831</v>
          </cell>
        </row>
        <row r="1399">
          <cell r="B1399" t="str">
            <v>Marion</v>
          </cell>
          <cell r="C1399">
            <v>95911</v>
          </cell>
        </row>
        <row r="1400">
          <cell r="B1400" t="str">
            <v>Marion ABC Board</v>
          </cell>
          <cell r="C1400">
            <v>95917</v>
          </cell>
        </row>
        <row r="1401">
          <cell r="B1401" t="str">
            <v>Mars Hill</v>
          </cell>
          <cell r="C1401">
            <v>95711</v>
          </cell>
        </row>
        <row r="1402">
          <cell r="B1402" t="str">
            <v>Marshall</v>
          </cell>
          <cell r="C1402">
            <v>95721</v>
          </cell>
        </row>
        <row r="1403">
          <cell r="B1403" t="str">
            <v>Marshville</v>
          </cell>
          <cell r="C1403">
            <v>99021</v>
          </cell>
        </row>
        <row r="1404">
          <cell r="B1404" t="str">
            <v>Martin Co Travel &amp; Tourism Auth</v>
          </cell>
          <cell r="C1404">
            <v>95802</v>
          </cell>
        </row>
        <row r="1405">
          <cell r="B1405" t="str">
            <v>Martin County</v>
          </cell>
          <cell r="C1405">
            <v>95801</v>
          </cell>
        </row>
        <row r="1406">
          <cell r="B1406" t="str">
            <v>Martin County ABC Board</v>
          </cell>
          <cell r="C1406">
            <v>95804</v>
          </cell>
        </row>
        <row r="1407">
          <cell r="B1407" t="str">
            <v>Martin-Tyrrell-Washington Dist Health Dept</v>
          </cell>
          <cell r="C1407">
            <v>90092</v>
          </cell>
        </row>
        <row r="1408">
          <cell r="B1408" t="str">
            <v>Marvin</v>
          </cell>
          <cell r="C1408">
            <v>99081</v>
          </cell>
        </row>
        <row r="1409">
          <cell r="B1409" t="str">
            <v>Matthews</v>
          </cell>
          <cell r="C1409">
            <v>96071</v>
          </cell>
        </row>
        <row r="1410">
          <cell r="B1410" t="str">
            <v>Maury Sanitary Land District</v>
          </cell>
          <cell r="C1410">
            <v>94002</v>
          </cell>
        </row>
        <row r="1411">
          <cell r="B1411" t="str">
            <v>Maxton</v>
          </cell>
          <cell r="C1411">
            <v>97840</v>
          </cell>
        </row>
        <row r="1412">
          <cell r="B1412" t="str">
            <v>Maxton ABC Board</v>
          </cell>
          <cell r="C1412">
            <v>97847</v>
          </cell>
        </row>
        <row r="1413">
          <cell r="B1413" t="str">
            <v>Mayodan</v>
          </cell>
          <cell r="C1413">
            <v>97921</v>
          </cell>
        </row>
        <row r="1414">
          <cell r="B1414" t="str">
            <v>Maysville</v>
          </cell>
          <cell r="C1414">
            <v>95221</v>
          </cell>
        </row>
        <row r="1415">
          <cell r="B1415" t="str">
            <v>Mcadenville</v>
          </cell>
          <cell r="C1415">
            <v>93610</v>
          </cell>
        </row>
        <row r="1416">
          <cell r="B1416" t="str">
            <v>Mcdowell County</v>
          </cell>
          <cell r="C1416">
            <v>95901</v>
          </cell>
        </row>
        <row r="1417">
          <cell r="B1417" t="str">
            <v>Mebane</v>
          </cell>
          <cell r="C1417">
            <v>90114</v>
          </cell>
        </row>
        <row r="1418">
          <cell r="B1418" t="str">
            <v>Mecklenburg County</v>
          </cell>
          <cell r="C1418">
            <v>96001</v>
          </cell>
        </row>
        <row r="1419">
          <cell r="B1419" t="str">
            <v>Mecklenburg County ABC Board</v>
          </cell>
          <cell r="C1419">
            <v>96004</v>
          </cell>
        </row>
        <row r="1420">
          <cell r="B1420" t="str">
            <v>Mecklenburg Emer Med Svcs Agcy</v>
          </cell>
          <cell r="C1420">
            <v>96008</v>
          </cell>
        </row>
        <row r="1421">
          <cell r="B1421" t="str">
            <v>Metro Sewerage Dist Of Buncombe County</v>
          </cell>
          <cell r="C1421">
            <v>91108</v>
          </cell>
        </row>
        <row r="1422">
          <cell r="B1422" t="str">
            <v>Mi Connection Communications System</v>
          </cell>
          <cell r="C1422">
            <v>94941</v>
          </cell>
        </row>
        <row r="1423">
          <cell r="B1423" t="str">
            <v>Micro</v>
          </cell>
          <cell r="C1423">
            <v>95122</v>
          </cell>
        </row>
        <row r="1424">
          <cell r="B1424" t="str">
            <v>Mid-Carolina Council Of Governments</v>
          </cell>
          <cell r="C1424">
            <v>92607</v>
          </cell>
        </row>
        <row r="1425">
          <cell r="B1425" t="str">
            <v>Middlesex</v>
          </cell>
          <cell r="C1425">
            <v>96431</v>
          </cell>
        </row>
        <row r="1426">
          <cell r="B1426" t="str">
            <v>Mideast Commission</v>
          </cell>
          <cell r="C1426">
            <v>90709</v>
          </cell>
        </row>
        <row r="1427">
          <cell r="B1427" t="str">
            <v>Midland</v>
          </cell>
          <cell r="C1427">
            <v>91341</v>
          </cell>
        </row>
        <row r="1428">
          <cell r="B1428" t="str">
            <v>Midway</v>
          </cell>
          <cell r="C1428">
            <v>92941</v>
          </cell>
        </row>
        <row r="1429">
          <cell r="B1429" t="str">
            <v>Mills River</v>
          </cell>
          <cell r="C1429">
            <v>94551</v>
          </cell>
        </row>
        <row r="1430">
          <cell r="B1430" t="str">
            <v>Mineral Springs</v>
          </cell>
          <cell r="C1430">
            <v>99022</v>
          </cell>
        </row>
        <row r="1431">
          <cell r="B1431" t="str">
            <v>Mint Hill</v>
          </cell>
          <cell r="C1431">
            <v>96031</v>
          </cell>
        </row>
        <row r="1432">
          <cell r="B1432" t="str">
            <v>Misenheimer</v>
          </cell>
          <cell r="C1432">
            <v>98414</v>
          </cell>
        </row>
        <row r="1433">
          <cell r="B1433" t="str">
            <v>Mitchell County</v>
          </cell>
          <cell r="C1433">
            <v>96101</v>
          </cell>
        </row>
        <row r="1434">
          <cell r="B1434" t="str">
            <v>Mitchell Soil &amp; Water Conservation Dist</v>
          </cell>
          <cell r="C1434">
            <v>96102</v>
          </cell>
        </row>
        <row r="1435">
          <cell r="B1435" t="str">
            <v>Mocksville</v>
          </cell>
          <cell r="C1435">
            <v>93011</v>
          </cell>
        </row>
        <row r="1436">
          <cell r="B1436" t="str">
            <v>Monroe</v>
          </cell>
          <cell r="C1436">
            <v>99011</v>
          </cell>
        </row>
        <row r="1437">
          <cell r="B1437" t="str">
            <v>Monroe ABC Board</v>
          </cell>
          <cell r="C1437">
            <v>99017</v>
          </cell>
        </row>
        <row r="1438">
          <cell r="B1438" t="str">
            <v>MonroeHousingAuthority</v>
          </cell>
          <cell r="C1438">
            <v>99013</v>
          </cell>
        </row>
        <row r="1439">
          <cell r="B1439" t="str">
            <v>Montgomery County</v>
          </cell>
          <cell r="C1439">
            <v>96201</v>
          </cell>
        </row>
        <row r="1440">
          <cell r="B1440" t="str">
            <v>Montgomery-Municipal ABC Board</v>
          </cell>
          <cell r="C1440">
            <v>96204</v>
          </cell>
        </row>
        <row r="1441">
          <cell r="B1441" t="str">
            <v>Montreat</v>
          </cell>
          <cell r="C1441">
            <v>91161</v>
          </cell>
        </row>
        <row r="1442">
          <cell r="B1442" t="str">
            <v>Moore County</v>
          </cell>
          <cell r="C1442">
            <v>96301</v>
          </cell>
        </row>
        <row r="1443">
          <cell r="B1443" t="str">
            <v>Moore County ABC Board</v>
          </cell>
          <cell r="C1443">
            <v>96304</v>
          </cell>
        </row>
        <row r="1444">
          <cell r="B1444" t="str">
            <v>Moore County Airport Authority</v>
          </cell>
          <cell r="C1444">
            <v>96310</v>
          </cell>
        </row>
        <row r="1445">
          <cell r="B1445" t="str">
            <v>Moore County Tourism Development Authority</v>
          </cell>
          <cell r="C1445">
            <v>96305</v>
          </cell>
        </row>
        <row r="1446">
          <cell r="B1446" t="str">
            <v>Mooresville</v>
          </cell>
          <cell r="C1446">
            <v>94921</v>
          </cell>
        </row>
        <row r="1447">
          <cell r="B1447" t="str">
            <v>Mooresville ABC Board</v>
          </cell>
          <cell r="C1447">
            <v>94927</v>
          </cell>
        </row>
        <row r="1448">
          <cell r="B1448" t="str">
            <v>Mooresville Housing Authority</v>
          </cell>
          <cell r="C1448">
            <v>94923</v>
          </cell>
        </row>
        <row r="1449">
          <cell r="B1449" t="str">
            <v>Morehead City</v>
          </cell>
          <cell r="C1449">
            <v>91611</v>
          </cell>
        </row>
        <row r="1450">
          <cell r="B1450" t="str">
            <v>Morganton</v>
          </cell>
          <cell r="C1450">
            <v>91231</v>
          </cell>
        </row>
        <row r="1451">
          <cell r="B1451" t="str">
            <v>Morganton ABC Board</v>
          </cell>
          <cell r="C1451">
            <v>91217</v>
          </cell>
        </row>
        <row r="1452">
          <cell r="B1452" t="str">
            <v>Morganton Housing Authority</v>
          </cell>
          <cell r="C1452">
            <v>91233</v>
          </cell>
        </row>
        <row r="1453">
          <cell r="B1453" t="str">
            <v>Morrisville</v>
          </cell>
          <cell r="C1453">
            <v>99206</v>
          </cell>
        </row>
        <row r="1454">
          <cell r="B1454" t="str">
            <v>Morven</v>
          </cell>
          <cell r="C1454">
            <v>90461</v>
          </cell>
        </row>
        <row r="1455">
          <cell r="B1455" t="str">
            <v>Mount Airy Alcoholic Board Of Control</v>
          </cell>
          <cell r="C1455">
            <v>98637</v>
          </cell>
        </row>
        <row r="1456">
          <cell r="B1456" t="str">
            <v>Mount Gilead</v>
          </cell>
          <cell r="C1456">
            <v>96251</v>
          </cell>
        </row>
        <row r="1457">
          <cell r="B1457" t="str">
            <v>Mount Olive</v>
          </cell>
          <cell r="C1457">
            <v>99621</v>
          </cell>
        </row>
        <row r="1458">
          <cell r="B1458" t="str">
            <v>Mount Pleasant</v>
          </cell>
          <cell r="C1458">
            <v>91321</v>
          </cell>
        </row>
        <row r="1459">
          <cell r="B1459" t="str">
            <v>MountAiry</v>
          </cell>
          <cell r="C1459">
            <v>98631</v>
          </cell>
        </row>
        <row r="1460">
          <cell r="B1460" t="str">
            <v>MountHolly</v>
          </cell>
          <cell r="C1460">
            <v>93691</v>
          </cell>
        </row>
        <row r="1461">
          <cell r="B1461" t="str">
            <v>Mt Olive Housing Authority</v>
          </cell>
          <cell r="C1461">
            <v>99623</v>
          </cell>
        </row>
        <row r="1462">
          <cell r="B1462" t="str">
            <v>Mt Pleasant ABC Board</v>
          </cell>
          <cell r="C1462">
            <v>91327</v>
          </cell>
        </row>
        <row r="1463">
          <cell r="B1463" t="str">
            <v>Murfreesboro</v>
          </cell>
          <cell r="C1463">
            <v>94621</v>
          </cell>
        </row>
        <row r="1464">
          <cell r="B1464" t="str">
            <v>Murphy</v>
          </cell>
          <cell r="C1464">
            <v>92011</v>
          </cell>
        </row>
        <row r="1465">
          <cell r="B1465" t="str">
            <v>Murphy ABC Board</v>
          </cell>
          <cell r="C1465">
            <v>92017</v>
          </cell>
        </row>
        <row r="1466">
          <cell r="B1466" t="str">
            <v>N C Assoc Of Co Commissioners</v>
          </cell>
          <cell r="C1466">
            <v>99991</v>
          </cell>
        </row>
        <row r="1467">
          <cell r="B1467" t="str">
            <v>N C League Of Municipalities</v>
          </cell>
          <cell r="C1467">
            <v>99999</v>
          </cell>
        </row>
        <row r="1468">
          <cell r="B1468" t="str">
            <v>Nags Head</v>
          </cell>
          <cell r="C1468">
            <v>92811</v>
          </cell>
        </row>
        <row r="1469">
          <cell r="B1469" t="str">
            <v>Nantahala Regional Library</v>
          </cell>
          <cell r="C1469">
            <v>92005</v>
          </cell>
        </row>
        <row r="1470">
          <cell r="B1470" t="str">
            <v>Nash County</v>
          </cell>
          <cell r="C1470">
            <v>96401</v>
          </cell>
        </row>
        <row r="1471">
          <cell r="B1471" t="str">
            <v>Nash County ABC Board</v>
          </cell>
          <cell r="C1471">
            <v>96404</v>
          </cell>
        </row>
        <row r="1472">
          <cell r="B1472" t="str">
            <v>Nashville</v>
          </cell>
          <cell r="C1472">
            <v>96421</v>
          </cell>
        </row>
        <row r="1473">
          <cell r="B1473" t="str">
            <v>Navassa</v>
          </cell>
          <cell r="C1473">
            <v>91026</v>
          </cell>
        </row>
        <row r="1474">
          <cell r="B1474" t="str">
            <v>Neuse Regional Library</v>
          </cell>
          <cell r="C1474">
            <v>95405</v>
          </cell>
        </row>
        <row r="1475">
          <cell r="B1475" t="str">
            <v>Neuse Regional Library-Greene County</v>
          </cell>
          <cell r="C1475">
            <v>94005</v>
          </cell>
        </row>
        <row r="1476">
          <cell r="B1476" t="str">
            <v>Neuse Regional Library-Jones County</v>
          </cell>
          <cell r="C1476">
            <v>95205</v>
          </cell>
        </row>
        <row r="1477">
          <cell r="B1477" t="str">
            <v>Neuse River Council Of Governments</v>
          </cell>
          <cell r="C1477">
            <v>92507</v>
          </cell>
        </row>
        <row r="1478">
          <cell r="B1478" t="str">
            <v>New Edenton Housing Auth</v>
          </cell>
          <cell r="C1478">
            <v>92113</v>
          </cell>
        </row>
        <row r="1479">
          <cell r="B1479" t="str">
            <v>New Hanover Airport Auth</v>
          </cell>
          <cell r="C1479">
            <v>96502</v>
          </cell>
        </row>
        <row r="1480">
          <cell r="B1480" t="str">
            <v>New Hanover County</v>
          </cell>
          <cell r="C1480">
            <v>96501</v>
          </cell>
        </row>
        <row r="1481">
          <cell r="B1481" t="str">
            <v>New Hanover County ABC Board</v>
          </cell>
          <cell r="C1481">
            <v>96504</v>
          </cell>
        </row>
        <row r="1482">
          <cell r="B1482" t="str">
            <v>New Reidsville Housing Auth</v>
          </cell>
          <cell r="C1482">
            <v>97913</v>
          </cell>
        </row>
        <row r="1483">
          <cell r="B1483" t="str">
            <v>NewBern</v>
          </cell>
          <cell r="C1483">
            <v>92511</v>
          </cell>
        </row>
        <row r="1484">
          <cell r="B1484" t="str">
            <v>Newland</v>
          </cell>
          <cell r="C1484">
            <v>90621</v>
          </cell>
        </row>
        <row r="1485">
          <cell r="B1485" t="str">
            <v>Newport</v>
          </cell>
          <cell r="C1485">
            <v>91621</v>
          </cell>
        </row>
        <row r="1486">
          <cell r="B1486" t="str">
            <v>Newton</v>
          </cell>
          <cell r="C1486">
            <v>91871</v>
          </cell>
        </row>
        <row r="1487">
          <cell r="B1487" t="str">
            <v>Newton Grove</v>
          </cell>
          <cell r="C1487">
            <v>98231</v>
          </cell>
        </row>
        <row r="1488">
          <cell r="B1488" t="str">
            <v>Norlina</v>
          </cell>
          <cell r="C1488">
            <v>99311</v>
          </cell>
        </row>
        <row r="1489">
          <cell r="B1489" t="str">
            <v>North Topsail Beach</v>
          </cell>
          <cell r="C1489">
            <v>96751</v>
          </cell>
        </row>
        <row r="1490">
          <cell r="B1490" t="str">
            <v>North Wilkesboro</v>
          </cell>
          <cell r="C1490">
            <v>99711</v>
          </cell>
        </row>
        <row r="1491">
          <cell r="B1491" t="str">
            <v>North Wilkesboro ABC Board</v>
          </cell>
          <cell r="C1491">
            <v>99717</v>
          </cell>
        </row>
        <row r="1492">
          <cell r="B1492" t="str">
            <v>Northampton County</v>
          </cell>
          <cell r="C1492">
            <v>96601</v>
          </cell>
        </row>
        <row r="1493">
          <cell r="B1493" t="str">
            <v>Northampton County ABC Board</v>
          </cell>
          <cell r="C1493">
            <v>96604</v>
          </cell>
        </row>
        <row r="1494">
          <cell r="B1494" t="str">
            <v>Northwest</v>
          </cell>
          <cell r="C1494">
            <v>91012</v>
          </cell>
        </row>
        <row r="1495">
          <cell r="B1495" t="str">
            <v>Northwestern Regional Library</v>
          </cell>
          <cell r="C1495">
            <v>90305</v>
          </cell>
        </row>
        <row r="1496">
          <cell r="B1496" t="str">
            <v>Norwood</v>
          </cell>
          <cell r="C1496">
            <v>98421</v>
          </cell>
        </row>
        <row r="1497">
          <cell r="B1497" t="str">
            <v>Norwood ABC Bd</v>
          </cell>
          <cell r="C1497">
            <v>98427</v>
          </cell>
        </row>
        <row r="1498">
          <cell r="B1498" t="str">
            <v>Oak City</v>
          </cell>
          <cell r="C1498">
            <v>95821</v>
          </cell>
        </row>
        <row r="1499">
          <cell r="B1499" t="str">
            <v>Oak Island</v>
          </cell>
          <cell r="C1499">
            <v>91021</v>
          </cell>
        </row>
        <row r="1500">
          <cell r="B1500" t="str">
            <v>Oak Island ABC Bd</v>
          </cell>
          <cell r="C1500">
            <v>91027</v>
          </cell>
        </row>
        <row r="1501">
          <cell r="B1501" t="str">
            <v>Oak Ridge</v>
          </cell>
          <cell r="C1501">
            <v>94161</v>
          </cell>
        </row>
        <row r="1502">
          <cell r="B1502" t="str">
            <v>Oakboro</v>
          </cell>
          <cell r="C1502">
            <v>98441</v>
          </cell>
        </row>
        <row r="1503">
          <cell r="B1503" t="str">
            <v>Ocean Isle Beach</v>
          </cell>
          <cell r="C1503">
            <v>91061</v>
          </cell>
        </row>
        <row r="1504">
          <cell r="B1504" t="str">
            <v>Ocean Isle Beach ABC Board</v>
          </cell>
          <cell r="C1504">
            <v>91067</v>
          </cell>
        </row>
        <row r="1505">
          <cell r="B1505" t="str">
            <v>Ocracoke Sanitary Dist</v>
          </cell>
          <cell r="C1505">
            <v>94812</v>
          </cell>
        </row>
        <row r="1506">
          <cell r="B1506" t="str">
            <v>Old Fort</v>
          </cell>
          <cell r="C1506">
            <v>95921</v>
          </cell>
        </row>
        <row r="1507">
          <cell r="B1507" t="str">
            <v>Onslow County</v>
          </cell>
          <cell r="C1507">
            <v>96701</v>
          </cell>
        </row>
        <row r="1508">
          <cell r="B1508" t="str">
            <v>Onslow County ABC Board</v>
          </cell>
          <cell r="C1508">
            <v>96704</v>
          </cell>
        </row>
        <row r="1509">
          <cell r="B1509" t="str">
            <v>Onslow Water &amp; Sewer Authority</v>
          </cell>
          <cell r="C1509">
            <v>96708</v>
          </cell>
        </row>
        <row r="1510">
          <cell r="B1510" t="str">
            <v>Orange County</v>
          </cell>
          <cell r="C1510">
            <v>96801</v>
          </cell>
        </row>
        <row r="1511">
          <cell r="B1511" t="str">
            <v>Orange County ABC Board</v>
          </cell>
          <cell r="C1511">
            <v>96804</v>
          </cell>
        </row>
        <row r="1512">
          <cell r="B1512" t="str">
            <v>Orange Water And Sewer Authority</v>
          </cell>
          <cell r="C1512">
            <v>96808</v>
          </cell>
        </row>
        <row r="1513">
          <cell r="B1513" t="str">
            <v>Oriental</v>
          </cell>
          <cell r="C1513">
            <v>96912</v>
          </cell>
        </row>
        <row r="1514">
          <cell r="B1514" t="str">
            <v>Oxford</v>
          </cell>
          <cell r="C1514">
            <v>93911</v>
          </cell>
        </row>
        <row r="1515">
          <cell r="B1515" t="str">
            <v>Oxford Housing Authority</v>
          </cell>
          <cell r="C1515">
            <v>93913</v>
          </cell>
        </row>
        <row r="1516">
          <cell r="B1516" t="str">
            <v>Pamlico County</v>
          </cell>
          <cell r="C1516">
            <v>96901</v>
          </cell>
        </row>
        <row r="1517">
          <cell r="B1517" t="str">
            <v>Parkton</v>
          </cell>
          <cell r="C1517">
            <v>97841</v>
          </cell>
        </row>
        <row r="1518">
          <cell r="B1518" t="str">
            <v>Parkwood Fire Department</v>
          </cell>
          <cell r="C1518">
            <v>93202</v>
          </cell>
        </row>
        <row r="1519">
          <cell r="B1519" t="str">
            <v>Partners Behavioral Health Management</v>
          </cell>
          <cell r="C1519">
            <v>93609</v>
          </cell>
        </row>
        <row r="1520">
          <cell r="B1520" t="str">
            <v>Pasquotank Co ABC Board</v>
          </cell>
          <cell r="C1520">
            <v>97004</v>
          </cell>
        </row>
        <row r="1521">
          <cell r="B1521" t="str">
            <v>Pasquotank County</v>
          </cell>
          <cell r="C1521">
            <v>97001</v>
          </cell>
        </row>
        <row r="1522">
          <cell r="B1522" t="str">
            <v>Pasquotank-Camden Ambulance Service</v>
          </cell>
          <cell r="C1522">
            <v>97002</v>
          </cell>
        </row>
        <row r="1523">
          <cell r="B1523" t="str">
            <v>Pasquotank-Camden Library</v>
          </cell>
          <cell r="C1523">
            <v>97015</v>
          </cell>
        </row>
        <row r="1524">
          <cell r="B1524" t="str">
            <v>Peachland</v>
          </cell>
          <cell r="C1524">
            <v>90441</v>
          </cell>
        </row>
        <row r="1525">
          <cell r="B1525" t="str">
            <v>Pembroke</v>
          </cell>
          <cell r="C1525">
            <v>97851</v>
          </cell>
        </row>
        <row r="1526">
          <cell r="B1526" t="str">
            <v>Pembroke Housing Authority</v>
          </cell>
          <cell r="C1526">
            <v>97853</v>
          </cell>
        </row>
        <row r="1527">
          <cell r="B1527" t="str">
            <v>Pender County</v>
          </cell>
          <cell r="C1527">
            <v>97101</v>
          </cell>
        </row>
        <row r="1528">
          <cell r="B1528" t="str">
            <v>Pender County ABC Board</v>
          </cell>
          <cell r="C1528">
            <v>97104</v>
          </cell>
        </row>
        <row r="1529">
          <cell r="B1529" t="str">
            <v>Perquimans County</v>
          </cell>
          <cell r="C1529">
            <v>97201</v>
          </cell>
        </row>
        <row r="1530">
          <cell r="B1530" t="str">
            <v>Person Co ABC Bd</v>
          </cell>
          <cell r="C1530">
            <v>97304</v>
          </cell>
        </row>
        <row r="1531">
          <cell r="B1531" t="str">
            <v>Person County</v>
          </cell>
          <cell r="C1531">
            <v>97301</v>
          </cell>
        </row>
        <row r="1532">
          <cell r="B1532" t="str">
            <v>Pettigrew Regional Library</v>
          </cell>
          <cell r="C1532">
            <v>99405</v>
          </cell>
        </row>
        <row r="1533">
          <cell r="B1533" t="str">
            <v>Piedmont Triad Airport Authority</v>
          </cell>
          <cell r="C1533">
            <v>72265</v>
          </cell>
        </row>
        <row r="1534">
          <cell r="B1534" t="str">
            <v>Piedmont Triad Reg Water Auth</v>
          </cell>
          <cell r="C1534">
            <v>94112</v>
          </cell>
        </row>
        <row r="1535">
          <cell r="B1535" t="str">
            <v>Piedmont Triad Regional Council</v>
          </cell>
          <cell r="C1535">
            <v>93406</v>
          </cell>
        </row>
        <row r="1536">
          <cell r="B1536" t="str">
            <v>Pikeville</v>
          </cell>
          <cell r="C1536">
            <v>99651</v>
          </cell>
        </row>
        <row r="1537">
          <cell r="B1537" t="str">
            <v>Pilot Mountain</v>
          </cell>
          <cell r="C1537">
            <v>98611</v>
          </cell>
        </row>
        <row r="1538">
          <cell r="B1538" t="str">
            <v>Pilot Mountain ABC Board</v>
          </cell>
          <cell r="C1538">
            <v>98607</v>
          </cell>
        </row>
        <row r="1539">
          <cell r="B1539" t="str">
            <v>Pine Knoll Shores</v>
          </cell>
          <cell r="C1539">
            <v>91641</v>
          </cell>
        </row>
        <row r="1540">
          <cell r="B1540" t="str">
            <v>Pine Level</v>
          </cell>
          <cell r="C1540">
            <v>95161</v>
          </cell>
        </row>
        <row r="1541">
          <cell r="B1541" t="str">
            <v>Pinebluff</v>
          </cell>
          <cell r="C1541">
            <v>96361</v>
          </cell>
        </row>
        <row r="1542">
          <cell r="B1542" t="str">
            <v>Pinecroft-Sedgefield Fire Dist Inc</v>
          </cell>
          <cell r="C1542">
            <v>94108</v>
          </cell>
        </row>
        <row r="1543">
          <cell r="B1543" t="str">
            <v>Pinehurst</v>
          </cell>
          <cell r="C1543">
            <v>96351</v>
          </cell>
        </row>
        <row r="1544">
          <cell r="B1544" t="str">
            <v>Pinetops</v>
          </cell>
          <cell r="C1544">
            <v>93331</v>
          </cell>
        </row>
        <row r="1545">
          <cell r="B1545" t="str">
            <v>Pineville</v>
          </cell>
          <cell r="C1545">
            <v>96021</v>
          </cell>
        </row>
        <row r="1546">
          <cell r="B1546" t="str">
            <v>Pink Hill</v>
          </cell>
          <cell r="C1546">
            <v>95421</v>
          </cell>
        </row>
        <row r="1547">
          <cell r="B1547" t="str">
            <v>Pitt County</v>
          </cell>
          <cell r="C1547">
            <v>97401</v>
          </cell>
        </row>
        <row r="1548">
          <cell r="B1548" t="str">
            <v>Pitt County ABC Board</v>
          </cell>
          <cell r="C1548">
            <v>97404</v>
          </cell>
        </row>
        <row r="1549">
          <cell r="B1549" t="str">
            <v>Pitt-Greenville Conv &amp; Vistors</v>
          </cell>
          <cell r="C1549">
            <v>97402</v>
          </cell>
        </row>
        <row r="1550">
          <cell r="B1550" t="str">
            <v>Pittsboro</v>
          </cell>
          <cell r="C1550">
            <v>91921</v>
          </cell>
        </row>
        <row r="1551">
          <cell r="B1551" t="str">
            <v>Pleasant Garden Fire Dept</v>
          </cell>
          <cell r="C1551">
            <v>95908</v>
          </cell>
        </row>
        <row r="1552">
          <cell r="B1552" t="str">
            <v>Plymouth</v>
          </cell>
          <cell r="C1552">
            <v>99411</v>
          </cell>
        </row>
        <row r="1553">
          <cell r="B1553" t="str">
            <v>Plymouth Housing Authority</v>
          </cell>
          <cell r="C1553">
            <v>99413</v>
          </cell>
        </row>
        <row r="1554">
          <cell r="B1554" t="str">
            <v>Polk County</v>
          </cell>
          <cell r="C1554">
            <v>97501</v>
          </cell>
        </row>
        <row r="1555">
          <cell r="B1555" t="str">
            <v>Polkton</v>
          </cell>
          <cell r="C1555">
            <v>90431</v>
          </cell>
        </row>
        <row r="1556">
          <cell r="B1556" t="str">
            <v>Pollocksville</v>
          </cell>
          <cell r="C1556">
            <v>95211</v>
          </cell>
        </row>
        <row r="1557">
          <cell r="B1557" t="str">
            <v>Princeton</v>
          </cell>
          <cell r="C1557">
            <v>95181</v>
          </cell>
        </row>
        <row r="1558">
          <cell r="B1558" t="str">
            <v>Princeville</v>
          </cell>
          <cell r="C1558">
            <v>93351</v>
          </cell>
        </row>
        <row r="1559">
          <cell r="B1559" t="str">
            <v>Public Library Of Johnston Co And Smithfield</v>
          </cell>
          <cell r="C1559">
            <v>95105</v>
          </cell>
        </row>
        <row r="1560">
          <cell r="B1560" t="str">
            <v>Public Works Comm Cty Of Fayetteville</v>
          </cell>
          <cell r="C1560">
            <v>92614</v>
          </cell>
        </row>
        <row r="1561">
          <cell r="B1561" t="str">
            <v>Raeford</v>
          </cell>
          <cell r="C1561">
            <v>94711</v>
          </cell>
        </row>
        <row r="1562">
          <cell r="B1562" t="str">
            <v>Raleigh</v>
          </cell>
          <cell r="C1562">
            <v>99211</v>
          </cell>
        </row>
        <row r="1563">
          <cell r="B1563" t="str">
            <v>Raleigh-Durham Airport Authority</v>
          </cell>
          <cell r="C1563">
            <v>99218</v>
          </cell>
        </row>
        <row r="1564">
          <cell r="B1564" t="str">
            <v>RaleighHousingAuthority</v>
          </cell>
          <cell r="C1564">
            <v>99213</v>
          </cell>
        </row>
        <row r="1565">
          <cell r="B1565" t="str">
            <v>Ramseur</v>
          </cell>
          <cell r="C1565">
            <v>97641</v>
          </cell>
        </row>
        <row r="1566">
          <cell r="B1566" t="str">
            <v>Randleman</v>
          </cell>
          <cell r="C1566">
            <v>97621</v>
          </cell>
        </row>
        <row r="1567">
          <cell r="B1567" t="str">
            <v>RandlemanABCBoard</v>
          </cell>
          <cell r="C1567">
            <v>97627</v>
          </cell>
        </row>
        <row r="1568">
          <cell r="B1568" t="str">
            <v>RandlemanHousingAuthority</v>
          </cell>
          <cell r="C1568">
            <v>97623</v>
          </cell>
        </row>
        <row r="1569">
          <cell r="B1569" t="str">
            <v>Randolph County</v>
          </cell>
          <cell r="C1569">
            <v>97601</v>
          </cell>
        </row>
        <row r="1570">
          <cell r="B1570" t="str">
            <v>Ranlo</v>
          </cell>
          <cell r="C1570">
            <v>93681</v>
          </cell>
        </row>
        <row r="1571">
          <cell r="B1571" t="str">
            <v>Red Springs</v>
          </cell>
          <cell r="C1571">
            <v>97871</v>
          </cell>
        </row>
        <row r="1572">
          <cell r="B1572" t="str">
            <v>Red Springs ABC Board</v>
          </cell>
          <cell r="C1572">
            <v>97877</v>
          </cell>
        </row>
        <row r="1573">
          <cell r="B1573" t="str">
            <v>Region D Council Of Governments</v>
          </cell>
          <cell r="C1573">
            <v>99502</v>
          </cell>
        </row>
        <row r="1574">
          <cell r="B1574" t="str">
            <v>Reidsville</v>
          </cell>
          <cell r="C1574">
            <v>97911</v>
          </cell>
        </row>
        <row r="1575">
          <cell r="B1575" t="str">
            <v>Reidsville ABC Board</v>
          </cell>
          <cell r="C1575">
            <v>97917</v>
          </cell>
        </row>
        <row r="1576">
          <cell r="B1576" t="str">
            <v>Rich Square</v>
          </cell>
          <cell r="C1576">
            <v>96611</v>
          </cell>
        </row>
        <row r="1577">
          <cell r="B1577" t="str">
            <v>Richlands</v>
          </cell>
          <cell r="C1577">
            <v>96741</v>
          </cell>
        </row>
        <row r="1578">
          <cell r="B1578" t="str">
            <v>Richmond County</v>
          </cell>
          <cell r="C1578">
            <v>97701</v>
          </cell>
        </row>
        <row r="1579">
          <cell r="B1579" t="str">
            <v>River Bend</v>
          </cell>
          <cell r="C1579">
            <v>92541</v>
          </cell>
        </row>
        <row r="1580">
          <cell r="B1580" t="str">
            <v>Roanoke Rapids Sanitary District</v>
          </cell>
          <cell r="C1580">
            <v>94209</v>
          </cell>
        </row>
        <row r="1581">
          <cell r="B1581" t="str">
            <v>RoanokeRapids</v>
          </cell>
          <cell r="C1581">
            <v>94221</v>
          </cell>
        </row>
        <row r="1582">
          <cell r="B1582" t="str">
            <v>Robbins</v>
          </cell>
          <cell r="C1582">
            <v>96341</v>
          </cell>
        </row>
        <row r="1583">
          <cell r="B1583" t="str">
            <v>Robbinsville</v>
          </cell>
          <cell r="C1583">
            <v>93821</v>
          </cell>
        </row>
        <row r="1584">
          <cell r="B1584" t="str">
            <v>Robersonville</v>
          </cell>
          <cell r="C1584">
            <v>95851</v>
          </cell>
        </row>
        <row r="1585">
          <cell r="B1585" t="str">
            <v>Robersonville Housing Authority</v>
          </cell>
          <cell r="C1585">
            <v>95853</v>
          </cell>
        </row>
        <row r="1586">
          <cell r="B1586" t="str">
            <v>Robeson County</v>
          </cell>
          <cell r="C1586">
            <v>97801</v>
          </cell>
        </row>
        <row r="1587">
          <cell r="B1587" t="str">
            <v>Robeson County Housing Authority</v>
          </cell>
          <cell r="C1587">
            <v>97803</v>
          </cell>
        </row>
        <row r="1588">
          <cell r="B1588" t="str">
            <v>Robeson County Public Library</v>
          </cell>
          <cell r="C1588">
            <v>97805</v>
          </cell>
        </row>
        <row r="1589">
          <cell r="B1589" t="str">
            <v>Rockingham</v>
          </cell>
          <cell r="C1589">
            <v>97711</v>
          </cell>
        </row>
        <row r="1590">
          <cell r="B1590" t="str">
            <v>Rockingham County</v>
          </cell>
          <cell r="C1590">
            <v>97901</v>
          </cell>
        </row>
        <row r="1591">
          <cell r="B1591" t="str">
            <v>Rockingham Housing Authority</v>
          </cell>
          <cell r="C1591">
            <v>97713</v>
          </cell>
        </row>
        <row r="1592">
          <cell r="B1592" t="str">
            <v>RockinghamABCBoard</v>
          </cell>
          <cell r="C1592">
            <v>97727</v>
          </cell>
        </row>
        <row r="1593">
          <cell r="B1593" t="str">
            <v>Rockwell</v>
          </cell>
          <cell r="C1593">
            <v>98071</v>
          </cell>
        </row>
        <row r="1594">
          <cell r="B1594" t="str">
            <v>Rocky Mount-Wilson Airport Authority</v>
          </cell>
          <cell r="C1594">
            <v>93323</v>
          </cell>
        </row>
        <row r="1595">
          <cell r="B1595" t="str">
            <v>Rocky Mt Housing Authority</v>
          </cell>
          <cell r="C1595">
            <v>93333</v>
          </cell>
        </row>
        <row r="1596">
          <cell r="B1596" t="str">
            <v>RockyMount</v>
          </cell>
          <cell r="C1596">
            <v>93321</v>
          </cell>
        </row>
        <row r="1597">
          <cell r="B1597" t="str">
            <v>Rolesville</v>
          </cell>
          <cell r="C1597">
            <v>99203</v>
          </cell>
        </row>
        <row r="1598">
          <cell r="B1598" t="str">
            <v>Roper</v>
          </cell>
          <cell r="C1598">
            <v>99421</v>
          </cell>
        </row>
        <row r="1599">
          <cell r="B1599" t="str">
            <v>Rose Hill</v>
          </cell>
          <cell r="C1599">
            <v>93161</v>
          </cell>
        </row>
        <row r="1600">
          <cell r="B1600" t="str">
            <v>Roseboro</v>
          </cell>
          <cell r="C1600">
            <v>98261</v>
          </cell>
        </row>
        <row r="1601">
          <cell r="B1601" t="str">
            <v>Roseboro ABC Board</v>
          </cell>
          <cell r="C1601">
            <v>98237</v>
          </cell>
        </row>
        <row r="1602">
          <cell r="B1602" t="str">
            <v>Rowan Co Housing Authority</v>
          </cell>
          <cell r="C1602">
            <v>98003</v>
          </cell>
        </row>
        <row r="1603">
          <cell r="B1603" t="str">
            <v>Rowan Co Soil &amp; Water Conv Dist</v>
          </cell>
          <cell r="C1603">
            <v>98008</v>
          </cell>
        </row>
        <row r="1604">
          <cell r="B1604" t="str">
            <v>Rowan Convention &amp; Vistors Bureau</v>
          </cell>
          <cell r="C1604">
            <v>98002</v>
          </cell>
        </row>
        <row r="1605">
          <cell r="B1605" t="str">
            <v>Rowan County</v>
          </cell>
          <cell r="C1605">
            <v>98001</v>
          </cell>
        </row>
        <row r="1606">
          <cell r="B1606" t="str">
            <v>Rowan County ABC Board</v>
          </cell>
          <cell r="C1606">
            <v>98004</v>
          </cell>
        </row>
        <row r="1607">
          <cell r="B1607" t="str">
            <v>Rowland</v>
          </cell>
          <cell r="C1607">
            <v>97861</v>
          </cell>
        </row>
        <row r="1608">
          <cell r="B1608" t="str">
            <v>Roxboro</v>
          </cell>
          <cell r="C1608">
            <v>97311</v>
          </cell>
        </row>
        <row r="1609">
          <cell r="B1609" t="str">
            <v>Rural Hall</v>
          </cell>
          <cell r="C1609">
            <v>93431</v>
          </cell>
        </row>
        <row r="1610">
          <cell r="B1610" t="str">
            <v>Rutherford College</v>
          </cell>
          <cell r="C1610">
            <v>91214</v>
          </cell>
        </row>
        <row r="1611">
          <cell r="B1611" t="str">
            <v>Rutherford County</v>
          </cell>
          <cell r="C1611">
            <v>98101</v>
          </cell>
        </row>
        <row r="1612">
          <cell r="B1612" t="str">
            <v>Rutherford Polk Mcdowell Dist Brd Of Health</v>
          </cell>
          <cell r="C1612">
            <v>98103</v>
          </cell>
        </row>
        <row r="1613">
          <cell r="B1613" t="str">
            <v>Rutherfordton</v>
          </cell>
          <cell r="C1613">
            <v>98141</v>
          </cell>
        </row>
        <row r="1614">
          <cell r="B1614" t="str">
            <v>Rutherfordton ABC Brd</v>
          </cell>
          <cell r="C1614">
            <v>98147</v>
          </cell>
        </row>
        <row r="1615">
          <cell r="B1615" t="str">
            <v>Salemburg</v>
          </cell>
          <cell r="C1615">
            <v>98221</v>
          </cell>
        </row>
        <row r="1616">
          <cell r="B1616" t="str">
            <v>Salisbury</v>
          </cell>
          <cell r="C1616">
            <v>98011</v>
          </cell>
        </row>
        <row r="1617">
          <cell r="B1617" t="str">
            <v>Saluda</v>
          </cell>
          <cell r="C1617">
            <v>97531</v>
          </cell>
        </row>
        <row r="1618">
          <cell r="B1618" t="str">
            <v>Sampson County</v>
          </cell>
          <cell r="C1618">
            <v>98201</v>
          </cell>
        </row>
        <row r="1619">
          <cell r="B1619" t="str">
            <v>Sandhill Regional Library</v>
          </cell>
          <cell r="C1619">
            <v>97705</v>
          </cell>
        </row>
        <row r="1620">
          <cell r="B1620" t="str">
            <v>Sandhills Center</v>
          </cell>
          <cell r="C1620">
            <v>96318</v>
          </cell>
        </row>
        <row r="1621">
          <cell r="B1621" t="str">
            <v>Sanford</v>
          </cell>
          <cell r="C1621">
            <v>95311</v>
          </cell>
        </row>
        <row r="1622">
          <cell r="B1622" t="str">
            <v>Sanford ABC Board</v>
          </cell>
          <cell r="C1622">
            <v>95317</v>
          </cell>
        </row>
        <row r="1623">
          <cell r="B1623" t="str">
            <v>Sawmills</v>
          </cell>
          <cell r="C1623">
            <v>91421</v>
          </cell>
        </row>
        <row r="1624">
          <cell r="B1624" t="str">
            <v>Scotland County</v>
          </cell>
          <cell r="C1624">
            <v>98301</v>
          </cell>
        </row>
        <row r="1625">
          <cell r="B1625" t="str">
            <v>Scotland County ABC Board</v>
          </cell>
          <cell r="C1625">
            <v>98304</v>
          </cell>
        </row>
        <row r="1626">
          <cell r="B1626" t="str">
            <v>Scotland Neck</v>
          </cell>
          <cell r="C1626">
            <v>94241</v>
          </cell>
        </row>
        <row r="1627">
          <cell r="B1627" t="str">
            <v>Seaboard</v>
          </cell>
          <cell r="C1627">
            <v>96681</v>
          </cell>
        </row>
        <row r="1628">
          <cell r="B1628" t="str">
            <v>Seagrove</v>
          </cell>
          <cell r="C1628">
            <v>72593</v>
          </cell>
        </row>
        <row r="1629">
          <cell r="B1629" t="str">
            <v>Selma</v>
          </cell>
          <cell r="C1629">
            <v>95121</v>
          </cell>
        </row>
        <row r="1630">
          <cell r="B1630" t="str">
            <v>Selma Housing Authority</v>
          </cell>
          <cell r="C1630">
            <v>95123</v>
          </cell>
        </row>
        <row r="1631">
          <cell r="B1631" t="str">
            <v>Seven Devils</v>
          </cell>
          <cell r="C1631">
            <v>99531</v>
          </cell>
        </row>
        <row r="1632">
          <cell r="B1632" t="str">
            <v>Severn</v>
          </cell>
          <cell r="C1632">
            <v>96671</v>
          </cell>
        </row>
        <row r="1633">
          <cell r="B1633" t="str">
            <v>Shallotte</v>
          </cell>
          <cell r="C1633">
            <v>91081</v>
          </cell>
        </row>
        <row r="1634">
          <cell r="B1634" t="str">
            <v>Shallotte ABC Board</v>
          </cell>
          <cell r="C1634">
            <v>91057</v>
          </cell>
        </row>
        <row r="1635">
          <cell r="B1635" t="str">
            <v>Sharpsburg</v>
          </cell>
          <cell r="C1635">
            <v>96461</v>
          </cell>
        </row>
        <row r="1636">
          <cell r="B1636" t="str">
            <v>Shelby</v>
          </cell>
          <cell r="C1636">
            <v>92311</v>
          </cell>
        </row>
        <row r="1637">
          <cell r="B1637" t="str">
            <v>Shelby ABC Board</v>
          </cell>
          <cell r="C1637">
            <v>92317</v>
          </cell>
        </row>
        <row r="1638">
          <cell r="B1638" t="str">
            <v>Sheppard Memorial Library</v>
          </cell>
          <cell r="C1638">
            <v>97405</v>
          </cell>
        </row>
        <row r="1639">
          <cell r="B1639" t="str">
            <v>Siler City</v>
          </cell>
          <cell r="C1639">
            <v>91911</v>
          </cell>
        </row>
        <row r="1640">
          <cell r="B1640" t="str">
            <v>Siler City ABC Board</v>
          </cell>
          <cell r="C1640">
            <v>91917</v>
          </cell>
        </row>
        <row r="1641">
          <cell r="B1641" t="str">
            <v>Simpson</v>
          </cell>
          <cell r="C1641">
            <v>97481</v>
          </cell>
        </row>
        <row r="1642">
          <cell r="B1642" t="str">
            <v>Skyland Vol Fire Dept</v>
          </cell>
          <cell r="C1642">
            <v>91138</v>
          </cell>
        </row>
        <row r="1643">
          <cell r="B1643" t="str">
            <v>Smithfield</v>
          </cell>
          <cell r="C1643">
            <v>95111</v>
          </cell>
        </row>
        <row r="1644">
          <cell r="B1644" t="str">
            <v>Smithfield Housing Authority</v>
          </cell>
          <cell r="C1644">
            <v>95113</v>
          </cell>
        </row>
        <row r="1645">
          <cell r="B1645" t="str">
            <v>Snow Hill</v>
          </cell>
          <cell r="C1645">
            <v>94021</v>
          </cell>
        </row>
        <row r="1646">
          <cell r="B1646" t="str">
            <v>South Eastern Economic Development Comm</v>
          </cell>
          <cell r="C1646">
            <v>90918</v>
          </cell>
        </row>
        <row r="1647">
          <cell r="B1647" t="str">
            <v>South Granville Water And Sewer Authority</v>
          </cell>
          <cell r="C1647">
            <v>93910</v>
          </cell>
        </row>
        <row r="1648">
          <cell r="B1648" t="str">
            <v>Southeast Brunswick Sanitary District</v>
          </cell>
          <cell r="C1648">
            <v>91013</v>
          </cell>
        </row>
        <row r="1649">
          <cell r="B1649" t="str">
            <v>Southern Pines</v>
          </cell>
          <cell r="C1649">
            <v>96311</v>
          </cell>
        </row>
        <row r="1650">
          <cell r="B1650" t="str">
            <v>Southern Shores</v>
          </cell>
          <cell r="C1650">
            <v>92841</v>
          </cell>
        </row>
        <row r="1651">
          <cell r="B1651" t="str">
            <v>Southern Wayne Sanitary District</v>
          </cell>
          <cell r="C1651">
            <v>99609</v>
          </cell>
        </row>
        <row r="1652">
          <cell r="B1652" t="str">
            <v>Southport</v>
          </cell>
          <cell r="C1652">
            <v>91011</v>
          </cell>
        </row>
        <row r="1653">
          <cell r="B1653" t="str">
            <v>SouthportABCBoard</v>
          </cell>
          <cell r="C1653">
            <v>91017</v>
          </cell>
        </row>
        <row r="1654">
          <cell r="B1654" t="str">
            <v>Southwestern Nc Planning &amp; Econ.Dev.Commis.</v>
          </cell>
          <cell r="C1654">
            <v>95008</v>
          </cell>
        </row>
        <row r="1655">
          <cell r="B1655" t="str">
            <v>Sparta</v>
          </cell>
          <cell r="C1655">
            <v>72657</v>
          </cell>
        </row>
        <row r="1656">
          <cell r="B1656" t="str">
            <v>Sparta ABC Board</v>
          </cell>
          <cell r="C1656">
            <v>90307</v>
          </cell>
        </row>
        <row r="1657">
          <cell r="B1657" t="str">
            <v>Spencer</v>
          </cell>
          <cell r="C1657">
            <v>98031</v>
          </cell>
        </row>
        <row r="1658">
          <cell r="B1658" t="str">
            <v>Spindale</v>
          </cell>
          <cell r="C1658">
            <v>98121</v>
          </cell>
        </row>
        <row r="1659">
          <cell r="B1659" t="str">
            <v>Spring Hope</v>
          </cell>
          <cell r="C1659">
            <v>96411</v>
          </cell>
        </row>
        <row r="1660">
          <cell r="B1660" t="str">
            <v>Spring Lake</v>
          </cell>
          <cell r="C1660">
            <v>92661</v>
          </cell>
        </row>
        <row r="1661">
          <cell r="B1661" t="str">
            <v>Spruce Pine</v>
          </cell>
          <cell r="C1661">
            <v>96111</v>
          </cell>
        </row>
        <row r="1662">
          <cell r="B1662" t="str">
            <v>St James</v>
          </cell>
          <cell r="C1662">
            <v>91032</v>
          </cell>
        </row>
        <row r="1663">
          <cell r="B1663" t="str">
            <v>St Pauls</v>
          </cell>
          <cell r="C1663">
            <v>97831</v>
          </cell>
        </row>
        <row r="1664">
          <cell r="B1664" t="str">
            <v>St Paul'S Brd Of Alcoholic Ctl</v>
          </cell>
          <cell r="C1664">
            <v>97837</v>
          </cell>
        </row>
        <row r="1665">
          <cell r="B1665" t="str">
            <v>Stallings</v>
          </cell>
          <cell r="C1665">
            <v>96061</v>
          </cell>
        </row>
        <row r="1666">
          <cell r="B1666" t="str">
            <v>Stanfield</v>
          </cell>
          <cell r="C1666">
            <v>98481</v>
          </cell>
        </row>
        <row r="1667">
          <cell r="B1667" t="str">
            <v>Stanley</v>
          </cell>
          <cell r="C1667">
            <v>93602</v>
          </cell>
        </row>
        <row r="1668">
          <cell r="B1668" t="str">
            <v>Stanly County</v>
          </cell>
          <cell r="C1668">
            <v>98401</v>
          </cell>
        </row>
        <row r="1669">
          <cell r="B1669" t="str">
            <v>Stantonsburg</v>
          </cell>
          <cell r="C1669">
            <v>99821</v>
          </cell>
        </row>
        <row r="1670">
          <cell r="B1670" t="str">
            <v>Star</v>
          </cell>
          <cell r="C1670">
            <v>96211</v>
          </cell>
        </row>
        <row r="1671">
          <cell r="B1671" t="str">
            <v>Statesville</v>
          </cell>
          <cell r="C1671">
            <v>94911</v>
          </cell>
        </row>
        <row r="1672">
          <cell r="B1672" t="str">
            <v>Statesville ABC Board</v>
          </cell>
          <cell r="C1672">
            <v>94917</v>
          </cell>
        </row>
        <row r="1673">
          <cell r="B1673" t="str">
            <v>Stedman</v>
          </cell>
          <cell r="C1673">
            <v>92621</v>
          </cell>
        </row>
        <row r="1674">
          <cell r="B1674" t="str">
            <v>Stokes County</v>
          </cell>
          <cell r="C1674">
            <v>98501</v>
          </cell>
        </row>
        <row r="1675">
          <cell r="B1675" t="str">
            <v>Stoneville</v>
          </cell>
          <cell r="C1675">
            <v>97931</v>
          </cell>
        </row>
        <row r="1676">
          <cell r="B1676" t="str">
            <v>Stovall</v>
          </cell>
          <cell r="C1676">
            <v>93914</v>
          </cell>
        </row>
        <row r="1677">
          <cell r="B1677" t="str">
            <v>Sugar Mountain</v>
          </cell>
          <cell r="C1677">
            <v>90651</v>
          </cell>
        </row>
        <row r="1678">
          <cell r="B1678" t="str">
            <v>Summerfield</v>
          </cell>
          <cell r="C1678">
            <v>94171</v>
          </cell>
        </row>
        <row r="1679">
          <cell r="B1679" t="str">
            <v>Summerfield Fire District</v>
          </cell>
          <cell r="C1679">
            <v>94172</v>
          </cell>
        </row>
        <row r="1680">
          <cell r="B1680" t="str">
            <v>Sunset Beach</v>
          </cell>
          <cell r="C1680">
            <v>91041</v>
          </cell>
        </row>
        <row r="1681">
          <cell r="B1681" t="str">
            <v>Sunset Beach ABC Board</v>
          </cell>
          <cell r="C1681">
            <v>91047</v>
          </cell>
        </row>
        <row r="1682">
          <cell r="B1682" t="str">
            <v>Surf City</v>
          </cell>
          <cell r="C1682">
            <v>97131</v>
          </cell>
        </row>
        <row r="1683">
          <cell r="B1683" t="str">
            <v>Surry County</v>
          </cell>
          <cell r="C1683">
            <v>98601</v>
          </cell>
        </row>
        <row r="1684">
          <cell r="B1684" t="str">
            <v>Swain County</v>
          </cell>
          <cell r="C1684">
            <v>98701</v>
          </cell>
        </row>
        <row r="1685">
          <cell r="B1685" t="str">
            <v>Swansboro</v>
          </cell>
          <cell r="C1685">
            <v>96721</v>
          </cell>
        </row>
        <row r="1686">
          <cell r="B1686" t="str">
            <v>Sylva</v>
          </cell>
          <cell r="C1686">
            <v>95011</v>
          </cell>
        </row>
        <row r="1687">
          <cell r="B1687" t="str">
            <v>Tabor City</v>
          </cell>
          <cell r="C1687">
            <v>92451</v>
          </cell>
        </row>
        <row r="1688">
          <cell r="B1688" t="str">
            <v>Tarboro</v>
          </cell>
          <cell r="C1688">
            <v>93311</v>
          </cell>
        </row>
        <row r="1689">
          <cell r="B1689" t="str">
            <v>Tarboro Redevelopment Commission</v>
          </cell>
          <cell r="C1689">
            <v>93317</v>
          </cell>
        </row>
        <row r="1690">
          <cell r="B1690" t="str">
            <v>Taylorsville</v>
          </cell>
          <cell r="C1690">
            <v>90211</v>
          </cell>
        </row>
        <row r="1691">
          <cell r="B1691" t="str">
            <v>Taylortown</v>
          </cell>
          <cell r="C1691">
            <v>96302</v>
          </cell>
        </row>
        <row r="1692">
          <cell r="B1692" t="str">
            <v>Teachey</v>
          </cell>
          <cell r="C1692">
            <v>93181</v>
          </cell>
        </row>
        <row r="1693">
          <cell r="B1693" t="str">
            <v>Thomasville</v>
          </cell>
          <cell r="C1693">
            <v>92911</v>
          </cell>
        </row>
        <row r="1694">
          <cell r="B1694" t="str">
            <v>Thomasville ABC Board</v>
          </cell>
          <cell r="C1694">
            <v>92914</v>
          </cell>
        </row>
        <row r="1695">
          <cell r="B1695" t="str">
            <v>Thomasville Housing Authority</v>
          </cell>
          <cell r="C1695">
            <v>92913</v>
          </cell>
        </row>
        <row r="1696">
          <cell r="B1696" t="str">
            <v>Tobaccoville</v>
          </cell>
          <cell r="C1696">
            <v>93471</v>
          </cell>
        </row>
        <row r="1697">
          <cell r="B1697" t="str">
            <v>Toe River Health District</v>
          </cell>
          <cell r="C1697">
            <v>90098</v>
          </cell>
        </row>
        <row r="1698">
          <cell r="B1698" t="str">
            <v>Topsail Beach</v>
          </cell>
          <cell r="C1698">
            <v>97121</v>
          </cell>
        </row>
        <row r="1699">
          <cell r="B1699" t="str">
            <v>Transylvania County</v>
          </cell>
          <cell r="C1699">
            <v>98801</v>
          </cell>
        </row>
        <row r="1700">
          <cell r="B1700" t="str">
            <v>Trent Woods</v>
          </cell>
          <cell r="C1700">
            <v>92521</v>
          </cell>
        </row>
        <row r="1701">
          <cell r="B1701" t="str">
            <v>Triad Municipal ABC Board</v>
          </cell>
          <cell r="C1701">
            <v>93417</v>
          </cell>
        </row>
        <row r="1702">
          <cell r="B1702" t="str">
            <v>Triangle J Council Of Governments</v>
          </cell>
          <cell r="C1702">
            <v>93219</v>
          </cell>
        </row>
        <row r="1703">
          <cell r="B1703" t="str">
            <v>Trillium Health Resources</v>
          </cell>
          <cell r="C1703">
            <v>92513</v>
          </cell>
        </row>
        <row r="1704">
          <cell r="B1704" t="str">
            <v>Trinity</v>
          </cell>
          <cell r="C1704">
            <v>97661</v>
          </cell>
        </row>
        <row r="1705">
          <cell r="B1705" t="str">
            <v>Troutman</v>
          </cell>
          <cell r="C1705">
            <v>94931</v>
          </cell>
        </row>
        <row r="1706">
          <cell r="B1706" t="str">
            <v>Troy</v>
          </cell>
          <cell r="C1706">
            <v>96221</v>
          </cell>
        </row>
        <row r="1707">
          <cell r="B1707" t="str">
            <v>Tryon</v>
          </cell>
          <cell r="C1707">
            <v>97511</v>
          </cell>
        </row>
        <row r="1708">
          <cell r="B1708" t="str">
            <v>Tuckaseigee Water Authority</v>
          </cell>
          <cell r="C1708">
            <v>95002</v>
          </cell>
        </row>
        <row r="1709">
          <cell r="B1709" t="str">
            <v>Turkey</v>
          </cell>
          <cell r="C1709">
            <v>98251</v>
          </cell>
        </row>
        <row r="1710">
          <cell r="B1710" t="str">
            <v>Tyrrell Co ABC Board</v>
          </cell>
          <cell r="C1710">
            <v>98904</v>
          </cell>
        </row>
        <row r="1711">
          <cell r="B1711" t="str">
            <v>Tyrrell County</v>
          </cell>
          <cell r="C1711">
            <v>98901</v>
          </cell>
        </row>
        <row r="1712">
          <cell r="B1712" t="str">
            <v>Union County</v>
          </cell>
          <cell r="C1712">
            <v>99001</v>
          </cell>
        </row>
        <row r="1713">
          <cell r="B1713" t="str">
            <v>Unionville</v>
          </cell>
          <cell r="C1713">
            <v>99061</v>
          </cell>
        </row>
        <row r="1714">
          <cell r="B1714" t="str">
            <v>Upper Coastal Plain Council Of Governments</v>
          </cell>
          <cell r="C1714">
            <v>93309</v>
          </cell>
        </row>
        <row r="1715">
          <cell r="B1715" t="str">
            <v>Valdese</v>
          </cell>
          <cell r="C1715">
            <v>91211</v>
          </cell>
        </row>
        <row r="1716">
          <cell r="B1716" t="str">
            <v>Valdese Housing Authority</v>
          </cell>
          <cell r="C1716">
            <v>91213</v>
          </cell>
        </row>
        <row r="1717">
          <cell r="B1717" t="str">
            <v>Vance County</v>
          </cell>
          <cell r="C1717">
            <v>99101</v>
          </cell>
        </row>
        <row r="1718">
          <cell r="B1718" t="str">
            <v>Vance County ABC Bd</v>
          </cell>
          <cell r="C1718">
            <v>99104</v>
          </cell>
        </row>
        <row r="1719">
          <cell r="B1719" t="str">
            <v>Vanceboro</v>
          </cell>
          <cell r="C1719">
            <v>92551</v>
          </cell>
        </row>
        <row r="1720">
          <cell r="B1720" t="str">
            <v>Vass</v>
          </cell>
          <cell r="C1720">
            <v>96321</v>
          </cell>
        </row>
        <row r="1721">
          <cell r="B1721" t="str">
            <v>Vaya Health</v>
          </cell>
          <cell r="C1721">
            <v>95009</v>
          </cell>
        </row>
        <row r="1722">
          <cell r="B1722" t="str">
            <v>Wade</v>
          </cell>
          <cell r="C1722">
            <v>92641</v>
          </cell>
        </row>
        <row r="1723">
          <cell r="B1723" t="str">
            <v>Wadesboro</v>
          </cell>
          <cell r="C1723">
            <v>90411</v>
          </cell>
        </row>
        <row r="1724">
          <cell r="B1724" t="str">
            <v>Wadesboro ABC Board</v>
          </cell>
          <cell r="C1724">
            <v>90417</v>
          </cell>
        </row>
        <row r="1725">
          <cell r="B1725" t="str">
            <v>Wadesboro Housing Authority</v>
          </cell>
          <cell r="C1725">
            <v>90413</v>
          </cell>
        </row>
        <row r="1726">
          <cell r="B1726" t="str">
            <v>Wagram</v>
          </cell>
          <cell r="C1726">
            <v>98321</v>
          </cell>
        </row>
        <row r="1727">
          <cell r="B1727" t="str">
            <v>Wake County</v>
          </cell>
          <cell r="C1727">
            <v>99201</v>
          </cell>
        </row>
        <row r="1728">
          <cell r="B1728" t="str">
            <v>Wake County ABC Board</v>
          </cell>
          <cell r="C1728">
            <v>99204</v>
          </cell>
        </row>
        <row r="1729">
          <cell r="B1729" t="str">
            <v>Wake County Housing Authority</v>
          </cell>
          <cell r="C1729">
            <v>99207</v>
          </cell>
        </row>
        <row r="1730">
          <cell r="B1730" t="str">
            <v>Wake Forest</v>
          </cell>
          <cell r="C1730">
            <v>99281</v>
          </cell>
        </row>
        <row r="1731">
          <cell r="B1731" t="str">
            <v>Walkertown</v>
          </cell>
          <cell r="C1731">
            <v>93461</v>
          </cell>
        </row>
        <row r="1732">
          <cell r="B1732" t="str">
            <v>Wallace</v>
          </cell>
          <cell r="C1732">
            <v>93151</v>
          </cell>
        </row>
        <row r="1733">
          <cell r="B1733" t="str">
            <v>Wallace ABC Bd</v>
          </cell>
          <cell r="C1733">
            <v>93157</v>
          </cell>
        </row>
        <row r="1734">
          <cell r="B1734" t="str">
            <v>Walnut Cove</v>
          </cell>
          <cell r="C1734">
            <v>98511</v>
          </cell>
        </row>
        <row r="1735">
          <cell r="B1735" t="str">
            <v>Walnut Cove ABC Board</v>
          </cell>
          <cell r="C1735">
            <v>98517</v>
          </cell>
        </row>
        <row r="1736">
          <cell r="B1736" t="str">
            <v>Walnut Creek</v>
          </cell>
          <cell r="C1736">
            <v>99661</v>
          </cell>
        </row>
        <row r="1737">
          <cell r="B1737" t="str">
            <v>Walstonburg</v>
          </cell>
          <cell r="C1737">
            <v>94031</v>
          </cell>
        </row>
        <row r="1738">
          <cell r="B1738" t="str">
            <v>Warren County</v>
          </cell>
          <cell r="C1738">
            <v>99301</v>
          </cell>
        </row>
        <row r="1739">
          <cell r="B1739" t="str">
            <v>Warren County ABC Board</v>
          </cell>
          <cell r="C1739">
            <v>99304</v>
          </cell>
        </row>
        <row r="1740">
          <cell r="B1740" t="str">
            <v>Warrenton</v>
          </cell>
          <cell r="C1740">
            <v>99321</v>
          </cell>
        </row>
        <row r="1741">
          <cell r="B1741" t="str">
            <v>Warsaw</v>
          </cell>
          <cell r="C1741">
            <v>93131</v>
          </cell>
        </row>
        <row r="1742">
          <cell r="B1742" t="str">
            <v>Warsaw ABC Board</v>
          </cell>
          <cell r="C1742">
            <v>93137</v>
          </cell>
        </row>
        <row r="1743">
          <cell r="B1743" t="str">
            <v>Washington</v>
          </cell>
          <cell r="C1743">
            <v>90711</v>
          </cell>
        </row>
        <row r="1744">
          <cell r="B1744" t="str">
            <v>Washington County</v>
          </cell>
          <cell r="C1744">
            <v>99401</v>
          </cell>
        </row>
        <row r="1745">
          <cell r="B1745" t="str">
            <v>Washington County ABC Board</v>
          </cell>
          <cell r="C1745">
            <v>99404</v>
          </cell>
        </row>
        <row r="1746">
          <cell r="B1746" t="str">
            <v>Washington Park</v>
          </cell>
          <cell r="C1746">
            <v>90741</v>
          </cell>
        </row>
        <row r="1747">
          <cell r="B1747" t="str">
            <v>Watauga County</v>
          </cell>
          <cell r="C1747">
            <v>99501</v>
          </cell>
        </row>
        <row r="1748">
          <cell r="B1748" t="str">
            <v>Watauga County District U Tda</v>
          </cell>
          <cell r="C1748">
            <v>99509</v>
          </cell>
        </row>
        <row r="1749">
          <cell r="B1749" t="str">
            <v>Water &amp; Sewer Auth Of Cabarrus Cnty</v>
          </cell>
          <cell r="C1749">
            <v>91302</v>
          </cell>
        </row>
        <row r="1750">
          <cell r="B1750" t="str">
            <v>Waxhaw</v>
          </cell>
          <cell r="C1750">
            <v>99041</v>
          </cell>
        </row>
        <row r="1751">
          <cell r="B1751" t="str">
            <v>Waxhaw ABC Board</v>
          </cell>
          <cell r="C1751">
            <v>99047</v>
          </cell>
        </row>
        <row r="1752">
          <cell r="B1752" t="str">
            <v>Wayne County</v>
          </cell>
          <cell r="C1752">
            <v>99601</v>
          </cell>
        </row>
        <row r="1753">
          <cell r="B1753" t="str">
            <v>Wayne County ABC Board</v>
          </cell>
          <cell r="C1753">
            <v>99604</v>
          </cell>
        </row>
        <row r="1754">
          <cell r="B1754" t="str">
            <v>Waynesville</v>
          </cell>
          <cell r="C1754">
            <v>94411</v>
          </cell>
        </row>
        <row r="1755">
          <cell r="B1755" t="str">
            <v>Waynesville ABC Board</v>
          </cell>
          <cell r="C1755">
            <v>94412</v>
          </cell>
        </row>
        <row r="1756">
          <cell r="B1756" t="str">
            <v>Weaverville</v>
          </cell>
          <cell r="C1756">
            <v>91141</v>
          </cell>
        </row>
        <row r="1757">
          <cell r="B1757" t="str">
            <v>Weaverville ABC Board</v>
          </cell>
          <cell r="C1757">
            <v>91147</v>
          </cell>
        </row>
        <row r="1758">
          <cell r="B1758" t="str">
            <v>Weddington</v>
          </cell>
          <cell r="C1758">
            <v>99071</v>
          </cell>
        </row>
        <row r="1759">
          <cell r="B1759" t="str">
            <v>Weldon</v>
          </cell>
          <cell r="C1759">
            <v>94231</v>
          </cell>
        </row>
        <row r="1760">
          <cell r="B1760" t="str">
            <v>Wendell</v>
          </cell>
          <cell r="C1760">
            <v>99231</v>
          </cell>
        </row>
        <row r="1761">
          <cell r="B1761" t="str">
            <v>Wesley Chapel</v>
          </cell>
          <cell r="C1761">
            <v>99091</v>
          </cell>
        </row>
        <row r="1762">
          <cell r="B1762" t="str">
            <v>West Buncombe Fire Dept</v>
          </cell>
          <cell r="C1762">
            <v>91120</v>
          </cell>
        </row>
        <row r="1763">
          <cell r="B1763" t="str">
            <v>West Columbus ABC Board</v>
          </cell>
          <cell r="C1763">
            <v>92444</v>
          </cell>
        </row>
        <row r="1764">
          <cell r="B1764" t="str">
            <v>West Jefferson</v>
          </cell>
          <cell r="C1764">
            <v>90521</v>
          </cell>
        </row>
        <row r="1765">
          <cell r="B1765" t="str">
            <v>West Jefferson ABC Board</v>
          </cell>
          <cell r="C1765">
            <v>90507</v>
          </cell>
        </row>
        <row r="1766">
          <cell r="B1766" t="str">
            <v>Westarea Volunteer Fire Dept</v>
          </cell>
          <cell r="C1766">
            <v>92602</v>
          </cell>
        </row>
        <row r="1767">
          <cell r="B1767" t="str">
            <v>Western Carteret Interlocal Cooperation Agency</v>
          </cell>
          <cell r="C1767">
            <v>91608</v>
          </cell>
        </row>
        <row r="1768">
          <cell r="B1768" t="str">
            <v>Western Highland Area Authority</v>
          </cell>
          <cell r="C1768">
            <v>91119</v>
          </cell>
        </row>
        <row r="1769">
          <cell r="B1769" t="str">
            <v>Western Nc Regional Air Quality</v>
          </cell>
          <cell r="C1769">
            <v>91107</v>
          </cell>
        </row>
        <row r="1770">
          <cell r="B1770" t="str">
            <v>Western Piedmont Council Of Gvmts</v>
          </cell>
          <cell r="C1770">
            <v>91818</v>
          </cell>
        </row>
        <row r="1771">
          <cell r="B1771" t="str">
            <v>Western Piedmont Regional Transit Authority</v>
          </cell>
          <cell r="C1771">
            <v>91819</v>
          </cell>
        </row>
        <row r="1772">
          <cell r="B1772" t="str">
            <v>Whispering Pines</v>
          </cell>
          <cell r="C1772">
            <v>96371</v>
          </cell>
        </row>
        <row r="1773">
          <cell r="B1773" t="str">
            <v>Whitakers</v>
          </cell>
          <cell r="C1773">
            <v>96441</v>
          </cell>
        </row>
        <row r="1774">
          <cell r="B1774" t="str">
            <v>White Lake</v>
          </cell>
          <cell r="C1774">
            <v>90921</v>
          </cell>
        </row>
        <row r="1775">
          <cell r="B1775" t="str">
            <v>Whiteville</v>
          </cell>
          <cell r="C1775">
            <v>92411</v>
          </cell>
        </row>
        <row r="1776">
          <cell r="B1776" t="str">
            <v>Whiteville ABC Board</v>
          </cell>
          <cell r="C1776">
            <v>92417</v>
          </cell>
        </row>
        <row r="1777">
          <cell r="B1777" t="str">
            <v>Whiteville Housing Authority</v>
          </cell>
          <cell r="C1777">
            <v>92403</v>
          </cell>
        </row>
        <row r="1778">
          <cell r="B1778" t="str">
            <v>Wilkes County</v>
          </cell>
          <cell r="C1778">
            <v>99701</v>
          </cell>
        </row>
        <row r="1779">
          <cell r="B1779" t="str">
            <v>Wilkesboro</v>
          </cell>
          <cell r="C1779">
            <v>99721</v>
          </cell>
        </row>
        <row r="1780">
          <cell r="B1780" t="str">
            <v>Wilkesboro ABC Board</v>
          </cell>
          <cell r="C1780">
            <v>99727</v>
          </cell>
        </row>
        <row r="1781">
          <cell r="B1781" t="str">
            <v>Williamston</v>
          </cell>
          <cell r="C1781">
            <v>95811</v>
          </cell>
        </row>
        <row r="1782">
          <cell r="B1782" t="str">
            <v>Williamston Housing Authority</v>
          </cell>
          <cell r="C1782">
            <v>95813</v>
          </cell>
        </row>
        <row r="1783">
          <cell r="B1783" t="str">
            <v>Wilmington</v>
          </cell>
          <cell r="C1783">
            <v>96531</v>
          </cell>
        </row>
        <row r="1784">
          <cell r="B1784" t="str">
            <v>Wilmington Housing Authority</v>
          </cell>
          <cell r="C1784">
            <v>96503</v>
          </cell>
        </row>
        <row r="1785">
          <cell r="B1785" t="str">
            <v>Wilson</v>
          </cell>
          <cell r="C1785">
            <v>99811</v>
          </cell>
        </row>
        <row r="1786">
          <cell r="B1786" t="str">
            <v>Wilson Cemetery Commission</v>
          </cell>
          <cell r="C1786">
            <v>99818</v>
          </cell>
        </row>
        <row r="1787">
          <cell r="B1787" t="str">
            <v>Wilson County</v>
          </cell>
          <cell r="C1787">
            <v>99801</v>
          </cell>
        </row>
        <row r="1788">
          <cell r="B1788" t="str">
            <v>Wilson County ABC Board</v>
          </cell>
          <cell r="C1788">
            <v>99804</v>
          </cell>
        </row>
        <row r="1789">
          <cell r="B1789" t="str">
            <v>Wilson County Tourism Development Auth</v>
          </cell>
          <cell r="C1789">
            <v>99802</v>
          </cell>
        </row>
        <row r="1790">
          <cell r="B1790" t="str">
            <v>Wilson Economic Dev Council</v>
          </cell>
          <cell r="C1790">
            <v>99812</v>
          </cell>
        </row>
        <row r="1791">
          <cell r="B1791" t="str">
            <v>Wilson'S Mills</v>
          </cell>
          <cell r="C1791">
            <v>95191</v>
          </cell>
        </row>
        <row r="1792">
          <cell r="B1792" t="str">
            <v>Windsor</v>
          </cell>
          <cell r="C1792">
            <v>90812</v>
          </cell>
        </row>
        <row r="1793">
          <cell r="B1793" t="str">
            <v>Winfall</v>
          </cell>
          <cell r="C1793">
            <v>97221</v>
          </cell>
        </row>
        <row r="1794">
          <cell r="B1794" t="str">
            <v>Wingate</v>
          </cell>
          <cell r="C1794">
            <v>99031</v>
          </cell>
        </row>
        <row r="1795">
          <cell r="B1795" t="str">
            <v>Winston-Salem</v>
          </cell>
          <cell r="C1795">
            <v>93411</v>
          </cell>
        </row>
        <row r="1796">
          <cell r="B1796" t="str">
            <v>Winston-Salem Housing Authority</v>
          </cell>
          <cell r="C1796">
            <v>93413</v>
          </cell>
        </row>
        <row r="1797">
          <cell r="B1797" t="str">
            <v>Winterville</v>
          </cell>
          <cell r="C1797">
            <v>97451</v>
          </cell>
        </row>
        <row r="1798">
          <cell r="B1798" t="str">
            <v>Winton</v>
          </cell>
          <cell r="C1798">
            <v>94631</v>
          </cell>
        </row>
        <row r="1799">
          <cell r="B1799" t="str">
            <v>Woodfin</v>
          </cell>
          <cell r="C1799">
            <v>91171</v>
          </cell>
        </row>
        <row r="1800">
          <cell r="B1800" t="str">
            <v>Woodfin ABC Commission</v>
          </cell>
          <cell r="C1800">
            <v>91104</v>
          </cell>
        </row>
        <row r="1801">
          <cell r="B1801" t="str">
            <v>Woodfin Sanitary Water And Sewer Dist</v>
          </cell>
          <cell r="C1801">
            <v>91109</v>
          </cell>
        </row>
        <row r="1802">
          <cell r="B1802" t="str">
            <v>Woodland</v>
          </cell>
          <cell r="C1802">
            <v>96621</v>
          </cell>
        </row>
        <row r="1803">
          <cell r="B1803" t="str">
            <v>Wrightsville Beach</v>
          </cell>
          <cell r="C1803">
            <v>96511</v>
          </cell>
        </row>
        <row r="1804">
          <cell r="B1804" t="str">
            <v>Yadkin County</v>
          </cell>
          <cell r="C1804">
            <v>99901</v>
          </cell>
        </row>
        <row r="1805">
          <cell r="B1805" t="str">
            <v>Yadkin Valley ABC Board</v>
          </cell>
          <cell r="C1805">
            <v>98604</v>
          </cell>
        </row>
        <row r="1806">
          <cell r="B1806" t="str">
            <v>Yadkin Valley Sewer Authority</v>
          </cell>
          <cell r="C1806">
            <v>98608</v>
          </cell>
        </row>
        <row r="1807">
          <cell r="B1807" t="str">
            <v>Yadkinville</v>
          </cell>
          <cell r="C1807">
            <v>99911</v>
          </cell>
        </row>
        <row r="1808">
          <cell r="B1808" t="str">
            <v>Yancey County</v>
          </cell>
          <cell r="C1808">
            <v>90001</v>
          </cell>
        </row>
        <row r="1809">
          <cell r="B1809" t="str">
            <v>Yancey Soil &amp; Water Cons</v>
          </cell>
          <cell r="C1809">
            <v>90002</v>
          </cell>
        </row>
        <row r="1810">
          <cell r="B1810" t="str">
            <v>Yanceyville</v>
          </cell>
          <cell r="C1810">
            <v>91719</v>
          </cell>
        </row>
        <row r="1811">
          <cell r="B1811" t="str">
            <v>Youngsville</v>
          </cell>
          <cell r="C1811">
            <v>93541</v>
          </cell>
        </row>
        <row r="1812">
          <cell r="B1812" t="str">
            <v>Zebulon</v>
          </cell>
          <cell r="C1812">
            <v>99241</v>
          </cell>
        </row>
        <row r="1813">
          <cell r="B1813" t="str">
            <v>Carolina County</v>
          </cell>
          <cell r="C1813" t="str">
            <v>9xxxy</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Conversion Worksheet"/>
      <sheetName val="A. Revenue by function"/>
      <sheetName val="B.  Property Taxes"/>
      <sheetName val="C. Other Revenues"/>
      <sheetName val="D. Depreciation"/>
      <sheetName val="E. Capital Outlay"/>
      <sheetName val="F.  Other Cap Asset Entries"/>
      <sheetName val="G. Debt Service"/>
      <sheetName val="H. Debt Issues"/>
      <sheetName val="I.  Other Asset Entries"/>
      <sheetName val="J. Other Liability &amp; Expenses"/>
      <sheetName val="K.1  Int. Service Fd Allocation"/>
      <sheetName val="K.2  Int. Service Fd Alloca"/>
      <sheetName val="K.3 Int. Service Fd Alloca"/>
      <sheetName val="L. Eliminations-Consolidations"/>
      <sheetName val="M. Net Position Calculation"/>
      <sheetName val="N.1 GASB 68 LGERS"/>
      <sheetName val="2019 LGERS summary"/>
      <sheetName val="2018 LGERS summary"/>
      <sheetName val="N.1b LGERS 2018 PY"/>
      <sheetName val="N.1b LGERS Data PY"/>
      <sheetName val="LGERS Contributions FY 2018"/>
      <sheetName val="N.2 GASB 68 ROD"/>
      <sheetName val="2019 Summary ROD"/>
      <sheetName val="N.2a ROD 2018 PY"/>
      <sheetName val="2018 Contributions ROD"/>
      <sheetName val="N.2b ROD Data PY"/>
      <sheetName val="N.3 GASB 68 FRSWPF"/>
      <sheetName val="O. GASB 73 LEO Entries"/>
      <sheetName val="Sheet1"/>
      <sheetName val="P.1 GASB 75 OPEB  - trust 1"/>
      <sheetName val="P.2 GASB 75 OPEB - trust 2"/>
      <sheetName val="P.3 GASB 75 OPEB - trust 3"/>
      <sheetName val="2018 OPEB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1">
          <cell r="C21">
            <v>3</v>
          </cell>
          <cell r="D21">
            <v>4</v>
          </cell>
          <cell r="F21">
            <v>5</v>
          </cell>
          <cell r="G21">
            <v>6</v>
          </cell>
          <cell r="H21">
            <v>7</v>
          </cell>
          <cell r="I21">
            <v>8</v>
          </cell>
          <cell r="J21">
            <v>9</v>
          </cell>
          <cell r="K21">
            <v>10</v>
          </cell>
          <cell r="L21">
            <v>11</v>
          </cell>
          <cell r="M21">
            <v>12</v>
          </cell>
          <cell r="N21">
            <v>13</v>
          </cell>
          <cell r="O21">
            <v>14</v>
          </cell>
          <cell r="P21">
            <v>15</v>
          </cell>
          <cell r="Q21">
            <v>16</v>
          </cell>
          <cell r="R21">
            <v>17</v>
          </cell>
          <cell r="S21">
            <v>18</v>
          </cell>
          <cell r="T21">
            <v>19</v>
          </cell>
          <cell r="U21">
            <v>20</v>
          </cell>
          <cell r="V21">
            <v>21</v>
          </cell>
        </row>
      </sheetData>
      <sheetData sheetId="18">
        <row r="1">
          <cell r="A1" t="str">
            <v>Measurement date 6/30/2018</v>
          </cell>
          <cell r="H1"/>
        </row>
        <row r="2">
          <cell r="A2" t="str">
            <v>Recognition period - 5.00 years</v>
          </cell>
          <cell r="H2"/>
        </row>
        <row r="3">
          <cell r="H3"/>
        </row>
        <row r="4">
          <cell r="G4" t="str">
            <v>Deferred Outflows Of Resources</v>
          </cell>
          <cell r="H4"/>
          <cell r="I4"/>
          <cell r="J4"/>
          <cell r="K4"/>
          <cell r="M4" t="str">
            <v>Deferred Inflows Of Resources</v>
          </cell>
          <cell r="N4"/>
          <cell r="O4"/>
          <cell r="P4"/>
          <cell r="R4" t="str">
            <v>Pension Expense</v>
          </cell>
          <cell r="S4"/>
          <cell r="T4"/>
        </row>
        <row r="5">
          <cell r="A5" t="str">
            <v>Agency Number</v>
          </cell>
          <cell r="B5" t="str">
            <v>Agency</v>
          </cell>
          <cell r="C5" t="str">
            <v>Current Proportional Share</v>
          </cell>
          <cell r="D5" t="str">
            <v>Prior Proportional Share</v>
          </cell>
          <cell r="E5" t="str">
            <v>Net Pension Liability</v>
          </cell>
          <cell r="F5"/>
          <cell r="G5" t="str">
            <v>Differences Between Expected And Actual Experience</v>
          </cell>
          <cell r="H5" t="str">
            <v>Net Difference Between Projected And Actual Investment Earnings On Plan Investments</v>
          </cell>
          <cell r="I5" t="str">
            <v>Changes Of Assumptions</v>
          </cell>
          <cell r="J5" t="str">
            <v>Changes In Proportion And Differences Between Employer Contributions And Proportional Share Of Contributions</v>
          </cell>
          <cell r="K5" t="str">
            <v>Total Deferred Outflows of Resources</v>
          </cell>
          <cell r="L5"/>
          <cell r="M5" t="str">
            <v>Differences Between Expected And Actual Experience</v>
          </cell>
          <cell r="N5" t="str">
            <v>Changes Of Assumptions</v>
          </cell>
          <cell r="O5" t="str">
            <v>Changes In Proportion And Differences Between Employer Contributions And Proportional Share Of Contributions</v>
          </cell>
          <cell r="P5" t="str">
            <v>Total Deferred Inflows of Resources</v>
          </cell>
          <cell r="Q5"/>
          <cell r="R5" t="str">
            <v>Proportional Share Of Pension Expense</v>
          </cell>
          <cell r="S5" t="str">
            <v>Net Amortization Of Deferred Amounts From Changes In Proportion And Differences Between Employer Contributions And Proportional Share Of Contributions</v>
          </cell>
          <cell r="T5" t="str">
            <v>Total Employer Pension Expense</v>
          </cell>
        </row>
        <row r="6">
          <cell r="A6" t="str">
            <v>N/A</v>
          </cell>
          <cell r="B6" t="str">
            <v>No additional agency chosen</v>
          </cell>
          <cell r="C6"/>
          <cell r="D6"/>
          <cell r="E6"/>
          <cell r="F6"/>
          <cell r="G6"/>
          <cell r="H6"/>
          <cell r="I6"/>
          <cell r="J6"/>
          <cell r="K6"/>
          <cell r="L6"/>
          <cell r="M6"/>
          <cell r="N6"/>
          <cell r="O6"/>
          <cell r="P6"/>
          <cell r="Q6"/>
          <cell r="R6"/>
          <cell r="S6"/>
          <cell r="T6"/>
        </row>
        <row r="7">
          <cell r="A7">
            <v>70505</v>
          </cell>
          <cell r="B7" t="str">
            <v>THE EASTERN BAND OF CHEROKEE INDIANS</v>
          </cell>
          <cell r="C7">
            <v>3.6600000000000001E-4</v>
          </cell>
          <cell r="D7">
            <v>4.147E-4</v>
          </cell>
          <cell r="E7">
            <v>868277</v>
          </cell>
          <cell r="F7"/>
          <cell r="G7">
            <v>133955</v>
          </cell>
          <cell r="H7">
            <v>119188</v>
          </cell>
          <cell r="I7">
            <v>230407</v>
          </cell>
          <cell r="J7">
            <v>0</v>
          </cell>
          <cell r="K7">
            <v>483550</v>
          </cell>
          <cell r="L7"/>
          <cell r="M7">
            <v>4495</v>
          </cell>
          <cell r="N7">
            <v>0</v>
          </cell>
          <cell r="O7">
            <v>53689</v>
          </cell>
          <cell r="P7">
            <v>58184</v>
          </cell>
          <cell r="Q7"/>
          <cell r="R7">
            <v>241184</v>
          </cell>
          <cell r="S7">
            <v>-22825</v>
          </cell>
          <cell r="T7">
            <v>218359</v>
          </cell>
        </row>
        <row r="9">
          <cell r="A9">
            <v>72265</v>
          </cell>
          <cell r="B9" t="str">
            <v>PIEDMONT TRIAD AIRPORT AUTHORITY</v>
          </cell>
          <cell r="C9">
            <v>1.538E-4</v>
          </cell>
          <cell r="D9">
            <v>1.4009999999999999E-4</v>
          </cell>
          <cell r="E9">
            <v>364866</v>
          </cell>
          <cell r="F9"/>
          <cell r="G9">
            <v>56290</v>
          </cell>
          <cell r="H9">
            <v>50085</v>
          </cell>
          <cell r="I9">
            <v>96821</v>
          </cell>
          <cell r="J9">
            <v>10295</v>
          </cell>
          <cell r="K9">
            <v>213491</v>
          </cell>
          <cell r="L9"/>
          <cell r="M9">
            <v>1889</v>
          </cell>
          <cell r="N9">
            <v>0</v>
          </cell>
          <cell r="O9">
            <v>2396</v>
          </cell>
          <cell r="P9">
            <v>4285</v>
          </cell>
          <cell r="Q9"/>
          <cell r="R9">
            <v>101350</v>
          </cell>
          <cell r="S9">
            <v>5014</v>
          </cell>
          <cell r="T9">
            <v>106364</v>
          </cell>
        </row>
        <row r="10">
          <cell r="A10">
            <v>72593</v>
          </cell>
          <cell r="B10" t="str">
            <v xml:space="preserve"> SEAGROVE</v>
          </cell>
          <cell r="C10">
            <v>6.0000000000000002E-6</v>
          </cell>
          <cell r="D10">
            <v>5.9000000000000003E-6</v>
          </cell>
          <cell r="E10">
            <v>14234</v>
          </cell>
          <cell r="F10"/>
          <cell r="G10">
            <v>2196</v>
          </cell>
          <cell r="H10">
            <v>1954</v>
          </cell>
          <cell r="I10">
            <v>3777</v>
          </cell>
          <cell r="J10">
            <v>2261</v>
          </cell>
          <cell r="K10">
            <v>10188</v>
          </cell>
          <cell r="L10"/>
          <cell r="M10">
            <v>74</v>
          </cell>
          <cell r="N10">
            <v>0</v>
          </cell>
          <cell r="O10">
            <v>590</v>
          </cell>
          <cell r="P10">
            <v>664</v>
          </cell>
          <cell r="Q10"/>
          <cell r="R10">
            <v>3954</v>
          </cell>
          <cell r="S10">
            <v>605</v>
          </cell>
          <cell r="T10">
            <v>4559</v>
          </cell>
        </row>
        <row r="11">
          <cell r="A11">
            <v>72657</v>
          </cell>
          <cell r="B11" t="str">
            <v xml:space="preserve"> SPARTA</v>
          </cell>
          <cell r="C11">
            <v>3.9199999999999997E-5</v>
          </cell>
          <cell r="D11">
            <v>3.9900000000000001E-5</v>
          </cell>
          <cell r="E11">
            <v>92996</v>
          </cell>
          <cell r="F11"/>
          <cell r="G11">
            <v>14347</v>
          </cell>
          <cell r="H11">
            <v>12765</v>
          </cell>
          <cell r="I11">
            <v>24677</v>
          </cell>
          <cell r="J11">
            <v>0</v>
          </cell>
          <cell r="K11">
            <v>51789</v>
          </cell>
          <cell r="L11"/>
          <cell r="M11">
            <v>481</v>
          </cell>
          <cell r="N11">
            <v>0</v>
          </cell>
          <cell r="O11">
            <v>6011</v>
          </cell>
          <cell r="P11">
            <v>6492</v>
          </cell>
          <cell r="Q11"/>
          <cell r="R11">
            <v>25832</v>
          </cell>
          <cell r="S11">
            <v>356</v>
          </cell>
          <cell r="T11">
            <v>26188</v>
          </cell>
        </row>
        <row r="12">
          <cell r="A12">
            <v>90001</v>
          </cell>
          <cell r="B12" t="str">
            <v>YANCEY COUNTY</v>
          </cell>
          <cell r="C12">
            <v>8.61E-4</v>
          </cell>
          <cell r="D12">
            <v>8.6030000000000004E-4</v>
          </cell>
          <cell r="E12">
            <v>2042586</v>
          </cell>
          <cell r="F12"/>
          <cell r="G12">
            <v>315123</v>
          </cell>
          <cell r="H12">
            <v>280386</v>
          </cell>
          <cell r="I12">
            <v>542024</v>
          </cell>
          <cell r="J12">
            <v>7657</v>
          </cell>
          <cell r="K12">
            <v>1145190</v>
          </cell>
          <cell r="L12"/>
          <cell r="M12">
            <v>10574</v>
          </cell>
          <cell r="N12">
            <v>0</v>
          </cell>
          <cell r="O12">
            <v>10725</v>
          </cell>
          <cell r="P12">
            <v>21299</v>
          </cell>
          <cell r="Q12"/>
          <cell r="R12">
            <v>567376</v>
          </cell>
          <cell r="S12">
            <v>1195</v>
          </cell>
          <cell r="T12">
            <v>568571</v>
          </cell>
        </row>
        <row r="13">
          <cell r="A13">
            <v>90002</v>
          </cell>
          <cell r="B13" t="str">
            <v>YANCEY SOIL &amp; WATER CONS</v>
          </cell>
          <cell r="C13">
            <v>9.5000000000000005E-6</v>
          </cell>
          <cell r="D13">
            <v>1.06E-5</v>
          </cell>
          <cell r="E13">
            <v>22537</v>
          </cell>
          <cell r="F13"/>
          <cell r="G13">
            <v>3477</v>
          </cell>
          <cell r="H13">
            <v>3094</v>
          </cell>
          <cell r="I13">
            <v>5981</v>
          </cell>
          <cell r="J13">
            <v>1636</v>
          </cell>
          <cell r="K13">
            <v>14188</v>
          </cell>
          <cell r="L13"/>
          <cell r="M13">
            <v>117</v>
          </cell>
          <cell r="N13">
            <v>0</v>
          </cell>
          <cell r="O13">
            <v>0</v>
          </cell>
          <cell r="P13">
            <v>117</v>
          </cell>
          <cell r="Q13"/>
          <cell r="R13">
            <v>6260</v>
          </cell>
          <cell r="S13">
            <v>737</v>
          </cell>
          <cell r="T13">
            <v>6997</v>
          </cell>
        </row>
        <row r="14">
          <cell r="A14">
            <v>90011</v>
          </cell>
          <cell r="B14" t="str">
            <v xml:space="preserve"> BURNSVILLE</v>
          </cell>
          <cell r="C14">
            <v>1.916E-4</v>
          </cell>
          <cell r="D14">
            <v>1.974E-4</v>
          </cell>
          <cell r="E14">
            <v>454541</v>
          </cell>
          <cell r="F14"/>
          <cell r="G14">
            <v>70125</v>
          </cell>
          <cell r="H14">
            <v>62395</v>
          </cell>
          <cell r="I14">
            <v>120618</v>
          </cell>
          <cell r="J14">
            <v>0</v>
          </cell>
          <cell r="K14">
            <v>253138</v>
          </cell>
          <cell r="L14"/>
          <cell r="M14">
            <v>2353</v>
          </cell>
          <cell r="N14">
            <v>0</v>
          </cell>
          <cell r="O14">
            <v>27708</v>
          </cell>
          <cell r="P14">
            <v>30061</v>
          </cell>
          <cell r="Q14"/>
          <cell r="R14">
            <v>126259</v>
          </cell>
          <cell r="S14">
            <v>-9526</v>
          </cell>
          <cell r="T14">
            <v>116733</v>
          </cell>
        </row>
        <row r="15">
          <cell r="A15">
            <v>90092</v>
          </cell>
          <cell r="B15" t="str">
            <v>MARTIN-TYRRELL-WASHINGTON DIST HEALTH DEPT</v>
          </cell>
          <cell r="C15">
            <v>3.547E-4</v>
          </cell>
          <cell r="D15">
            <v>3.5349999999999997E-4</v>
          </cell>
          <cell r="E15">
            <v>841470</v>
          </cell>
          <cell r="F15"/>
          <cell r="G15">
            <v>129819</v>
          </cell>
          <cell r="H15">
            <v>115509</v>
          </cell>
          <cell r="I15">
            <v>223294</v>
          </cell>
          <cell r="J15">
            <v>14687</v>
          </cell>
          <cell r="K15">
            <v>483309</v>
          </cell>
          <cell r="L15"/>
          <cell r="M15">
            <v>4356</v>
          </cell>
          <cell r="N15">
            <v>0</v>
          </cell>
          <cell r="O15">
            <v>40510</v>
          </cell>
          <cell r="P15">
            <v>44866</v>
          </cell>
          <cell r="Q15"/>
          <cell r="R15">
            <v>233738</v>
          </cell>
          <cell r="S15">
            <v>-38987</v>
          </cell>
          <cell r="T15">
            <v>194751</v>
          </cell>
        </row>
        <row r="16">
          <cell r="A16">
            <v>90096</v>
          </cell>
          <cell r="B16" t="str">
            <v>ALBEMARLE REGIONAL HEALTH SERVICES</v>
          </cell>
          <cell r="C16">
            <v>9.1730000000000002E-4</v>
          </cell>
          <cell r="D16">
            <v>9.7559999999999997E-4</v>
          </cell>
          <cell r="E16">
            <v>2176149</v>
          </cell>
          <cell r="F16"/>
          <cell r="G16">
            <v>335728</v>
          </cell>
          <cell r="H16">
            <v>298720</v>
          </cell>
          <cell r="I16">
            <v>577466</v>
          </cell>
          <cell r="J16">
            <v>43181</v>
          </cell>
          <cell r="K16">
            <v>1255095</v>
          </cell>
          <cell r="L16"/>
          <cell r="M16">
            <v>11265</v>
          </cell>
          <cell r="N16">
            <v>0</v>
          </cell>
          <cell r="O16">
            <v>175620</v>
          </cell>
          <cell r="P16">
            <v>186885</v>
          </cell>
          <cell r="Q16"/>
          <cell r="R16">
            <v>604476</v>
          </cell>
          <cell r="S16">
            <v>-19105</v>
          </cell>
          <cell r="T16">
            <v>585371</v>
          </cell>
        </row>
        <row r="17">
          <cell r="A17">
            <v>90098</v>
          </cell>
          <cell r="B17" t="str">
            <v>TOE RIVER HEALTH DISTRICT</v>
          </cell>
          <cell r="C17">
            <v>3.1510000000000002E-4</v>
          </cell>
          <cell r="D17">
            <v>2.9599999999999998E-4</v>
          </cell>
          <cell r="E17">
            <v>747525</v>
          </cell>
          <cell r="F17"/>
          <cell r="G17">
            <v>115325</v>
          </cell>
          <cell r="H17">
            <v>102613</v>
          </cell>
          <cell r="I17">
            <v>198364</v>
          </cell>
          <cell r="J17">
            <v>19294</v>
          </cell>
          <cell r="K17">
            <v>435596</v>
          </cell>
          <cell r="L17"/>
          <cell r="M17">
            <v>3870</v>
          </cell>
          <cell r="N17">
            <v>0</v>
          </cell>
          <cell r="O17">
            <v>58299</v>
          </cell>
          <cell r="P17">
            <v>62169</v>
          </cell>
          <cell r="Q17"/>
          <cell r="R17">
            <v>207642</v>
          </cell>
          <cell r="S17">
            <v>-47420</v>
          </cell>
          <cell r="T17">
            <v>160222</v>
          </cell>
        </row>
        <row r="18">
          <cell r="A18">
            <v>90099</v>
          </cell>
          <cell r="B18" t="str">
            <v>APPALACHIAN DISTRICT HEALTH DEPT</v>
          </cell>
          <cell r="C18">
            <v>6.8800000000000003E-4</v>
          </cell>
          <cell r="D18">
            <v>6.6330000000000002E-4</v>
          </cell>
          <cell r="E18">
            <v>1632171</v>
          </cell>
          <cell r="F18"/>
          <cell r="G18">
            <v>251805</v>
          </cell>
          <cell r="H18">
            <v>224048</v>
          </cell>
          <cell r="I18">
            <v>433115</v>
          </cell>
          <cell r="J18">
            <v>65504</v>
          </cell>
          <cell r="K18">
            <v>974472</v>
          </cell>
          <cell r="L18"/>
          <cell r="M18">
            <v>8449</v>
          </cell>
          <cell r="N18">
            <v>0</v>
          </cell>
          <cell r="O18">
            <v>31571</v>
          </cell>
          <cell r="P18">
            <v>40020</v>
          </cell>
          <cell r="Q18"/>
          <cell r="R18">
            <v>453373</v>
          </cell>
          <cell r="S18">
            <v>6742</v>
          </cell>
          <cell r="T18">
            <v>460115</v>
          </cell>
        </row>
        <row r="19">
          <cell r="A19">
            <v>90101</v>
          </cell>
          <cell r="B19" t="str">
            <v>ALAMANCE COUNTY</v>
          </cell>
          <cell r="C19">
            <v>6.4729000000000002E-3</v>
          </cell>
          <cell r="D19">
            <v>6.6312000000000003E-3</v>
          </cell>
          <cell r="E19">
            <v>15355933</v>
          </cell>
          <cell r="F19"/>
          <cell r="G19">
            <v>2369056</v>
          </cell>
          <cell r="H19">
            <v>2107912</v>
          </cell>
          <cell r="I19">
            <v>4074872</v>
          </cell>
          <cell r="J19">
            <v>152067</v>
          </cell>
          <cell r="K19">
            <v>8703907</v>
          </cell>
          <cell r="L19"/>
          <cell r="M19">
            <v>79494</v>
          </cell>
          <cell r="N19">
            <v>0</v>
          </cell>
          <cell r="O19">
            <v>140729</v>
          </cell>
          <cell r="P19">
            <v>220223</v>
          </cell>
          <cell r="Q19"/>
          <cell r="R19">
            <v>4265466</v>
          </cell>
          <cell r="S19">
            <v>32971</v>
          </cell>
          <cell r="T19">
            <v>4298437</v>
          </cell>
        </row>
        <row r="20">
          <cell r="A20">
            <v>90111</v>
          </cell>
          <cell r="B20" t="str">
            <v>CITY OF BURLINGTON</v>
          </cell>
          <cell r="C20">
            <v>5.0667999999999998E-3</v>
          </cell>
          <cell r="D20">
            <v>4.9740000000000001E-3</v>
          </cell>
          <cell r="E20">
            <v>12020182</v>
          </cell>
          <cell r="F20"/>
          <cell r="G20">
            <v>1854429</v>
          </cell>
          <cell r="H20">
            <v>1650013</v>
          </cell>
          <cell r="I20">
            <v>3189692</v>
          </cell>
          <cell r="J20">
            <v>18312</v>
          </cell>
          <cell r="K20">
            <v>6712446</v>
          </cell>
          <cell r="L20"/>
          <cell r="M20">
            <v>62225</v>
          </cell>
          <cell r="N20">
            <v>0</v>
          </cell>
          <cell r="O20">
            <v>49468</v>
          </cell>
          <cell r="P20">
            <v>111693</v>
          </cell>
          <cell r="Q20"/>
          <cell r="R20">
            <v>3338884</v>
          </cell>
          <cell r="S20">
            <v>-51615</v>
          </cell>
          <cell r="T20">
            <v>3287269</v>
          </cell>
        </row>
        <row r="21">
          <cell r="A21">
            <v>90114</v>
          </cell>
          <cell r="B21" t="str">
            <v>CITY OF MEBANE</v>
          </cell>
          <cell r="C21">
            <v>1.0735E-3</v>
          </cell>
          <cell r="D21">
            <v>1.0919E-3</v>
          </cell>
          <cell r="E21">
            <v>2546709</v>
          </cell>
          <cell r="F21"/>
          <cell r="G21">
            <v>392897</v>
          </cell>
          <cell r="H21">
            <v>349588</v>
          </cell>
          <cell r="I21">
            <v>675798</v>
          </cell>
          <cell r="J21">
            <v>1231689</v>
          </cell>
          <cell r="K21">
            <v>2649972</v>
          </cell>
          <cell r="L21"/>
          <cell r="M21">
            <v>13184</v>
          </cell>
          <cell r="N21">
            <v>0</v>
          </cell>
          <cell r="O21">
            <v>0</v>
          </cell>
          <cell r="P21">
            <v>13184</v>
          </cell>
          <cell r="Q21"/>
          <cell r="R21">
            <v>707408</v>
          </cell>
          <cell r="S21">
            <v>502556</v>
          </cell>
          <cell r="T21">
            <v>1209964</v>
          </cell>
        </row>
        <row r="22">
          <cell r="A22">
            <v>90117</v>
          </cell>
          <cell r="B22" t="str">
            <v>ALAMANCE MUNICIPAL ABC BOARD</v>
          </cell>
          <cell r="C22">
            <v>1.36E-4</v>
          </cell>
          <cell r="D22">
            <v>1.407E-4</v>
          </cell>
          <cell r="E22">
            <v>322639</v>
          </cell>
          <cell r="F22"/>
          <cell r="G22">
            <v>49775</v>
          </cell>
          <cell r="H22">
            <v>44288</v>
          </cell>
          <cell r="I22">
            <v>85616</v>
          </cell>
          <cell r="J22">
            <v>40224</v>
          </cell>
          <cell r="K22">
            <v>219903</v>
          </cell>
          <cell r="L22"/>
          <cell r="M22">
            <v>1670</v>
          </cell>
          <cell r="N22">
            <v>0</v>
          </cell>
          <cell r="O22">
            <v>0</v>
          </cell>
          <cell r="P22">
            <v>1670</v>
          </cell>
          <cell r="Q22"/>
          <cell r="R22">
            <v>89620</v>
          </cell>
          <cell r="S22">
            <v>21821</v>
          </cell>
          <cell r="T22">
            <v>111441</v>
          </cell>
        </row>
        <row r="23">
          <cell r="A23">
            <v>90121</v>
          </cell>
          <cell r="B23" t="str">
            <v>CITY OF GRAHAM</v>
          </cell>
          <cell r="C23">
            <v>1.0601E-3</v>
          </cell>
          <cell r="D23">
            <v>1.0991E-3</v>
          </cell>
          <cell r="E23">
            <v>2514920</v>
          </cell>
          <cell r="F23"/>
          <cell r="G23">
            <v>387992</v>
          </cell>
          <cell r="H23">
            <v>345223</v>
          </cell>
          <cell r="I23">
            <v>667363</v>
          </cell>
          <cell r="J23">
            <v>0</v>
          </cell>
          <cell r="K23">
            <v>1400578</v>
          </cell>
          <cell r="L23"/>
          <cell r="M23">
            <v>13019</v>
          </cell>
          <cell r="N23">
            <v>0</v>
          </cell>
          <cell r="O23">
            <v>126217</v>
          </cell>
          <cell r="P23">
            <v>139236</v>
          </cell>
          <cell r="Q23"/>
          <cell r="R23">
            <v>698577</v>
          </cell>
          <cell r="S23">
            <v>-43331</v>
          </cell>
          <cell r="T23">
            <v>655246</v>
          </cell>
        </row>
        <row r="24">
          <cell r="A24">
            <v>90131</v>
          </cell>
          <cell r="B24" t="str">
            <v xml:space="preserve"> ELON</v>
          </cell>
          <cell r="C24">
            <v>4.7830000000000003E-4</v>
          </cell>
          <cell r="D24">
            <v>4.7639999999999998E-4</v>
          </cell>
          <cell r="E24">
            <v>1134691</v>
          </cell>
          <cell r="F24"/>
          <cell r="G24">
            <v>175056</v>
          </cell>
          <cell r="H24">
            <v>155759</v>
          </cell>
          <cell r="I24">
            <v>301103</v>
          </cell>
          <cell r="J24">
            <v>0</v>
          </cell>
          <cell r="K24">
            <v>631918</v>
          </cell>
          <cell r="L24"/>
          <cell r="M24">
            <v>5874</v>
          </cell>
          <cell r="N24">
            <v>0</v>
          </cell>
          <cell r="O24">
            <v>36391</v>
          </cell>
          <cell r="P24">
            <v>42265</v>
          </cell>
          <cell r="Q24"/>
          <cell r="R24">
            <v>315187</v>
          </cell>
          <cell r="S24">
            <v>-18431</v>
          </cell>
          <cell r="T24">
            <v>296756</v>
          </cell>
        </row>
        <row r="25">
          <cell r="A25">
            <v>90141</v>
          </cell>
          <cell r="B25" t="str">
            <v xml:space="preserve"> HAW RIVER</v>
          </cell>
          <cell r="C25">
            <v>1.4770000000000001E-4</v>
          </cell>
          <cell r="D25">
            <v>1.4779999999999999E-4</v>
          </cell>
          <cell r="E25">
            <v>350395</v>
          </cell>
          <cell r="F25"/>
          <cell r="G25">
            <v>54058</v>
          </cell>
          <cell r="H25">
            <v>48099</v>
          </cell>
          <cell r="I25">
            <v>92981</v>
          </cell>
          <cell r="J25">
            <v>5965</v>
          </cell>
          <cell r="K25">
            <v>201103</v>
          </cell>
          <cell r="L25"/>
          <cell r="M25">
            <v>1814</v>
          </cell>
          <cell r="N25">
            <v>0</v>
          </cell>
          <cell r="O25">
            <v>9422</v>
          </cell>
          <cell r="P25">
            <v>11236</v>
          </cell>
          <cell r="Q25"/>
          <cell r="R25">
            <v>97330</v>
          </cell>
          <cell r="S25">
            <v>-1562</v>
          </cell>
          <cell r="T25">
            <v>95768</v>
          </cell>
        </row>
        <row r="26">
          <cell r="A26">
            <v>90151</v>
          </cell>
          <cell r="B26" t="str">
            <v xml:space="preserve"> ALAMANCE</v>
          </cell>
          <cell r="C26">
            <v>9.7000000000000003E-6</v>
          </cell>
          <cell r="D26">
            <v>9.9000000000000001E-6</v>
          </cell>
          <cell r="E26">
            <v>23012</v>
          </cell>
          <cell r="F26"/>
          <cell r="G26">
            <v>3550</v>
          </cell>
          <cell r="H26">
            <v>3159</v>
          </cell>
          <cell r="I26">
            <v>6106</v>
          </cell>
          <cell r="J26">
            <v>0</v>
          </cell>
          <cell r="K26">
            <v>12815</v>
          </cell>
          <cell r="L26"/>
          <cell r="M26">
            <v>119</v>
          </cell>
          <cell r="N26">
            <v>0</v>
          </cell>
          <cell r="O26">
            <v>2941</v>
          </cell>
          <cell r="P26">
            <v>3060</v>
          </cell>
          <cell r="Q26"/>
          <cell r="R26">
            <v>6392</v>
          </cell>
          <cell r="S26">
            <v>-1416</v>
          </cell>
          <cell r="T26">
            <v>4976</v>
          </cell>
        </row>
        <row r="27">
          <cell r="A27">
            <v>90161</v>
          </cell>
          <cell r="B27" t="str">
            <v xml:space="preserve"> GREEN LEVEL</v>
          </cell>
          <cell r="C27">
            <v>4.3999999999999999E-5</v>
          </cell>
          <cell r="D27">
            <v>3.4199999999999998E-5</v>
          </cell>
          <cell r="E27">
            <v>104383</v>
          </cell>
          <cell r="F27"/>
          <cell r="G27">
            <v>16104</v>
          </cell>
          <cell r="H27">
            <v>14329</v>
          </cell>
          <cell r="I27">
            <v>27699</v>
          </cell>
          <cell r="J27">
            <v>4975</v>
          </cell>
          <cell r="K27">
            <v>63107</v>
          </cell>
          <cell r="L27"/>
          <cell r="M27">
            <v>540</v>
          </cell>
          <cell r="N27">
            <v>0</v>
          </cell>
          <cell r="O27">
            <v>347</v>
          </cell>
          <cell r="P27">
            <v>887</v>
          </cell>
          <cell r="Q27"/>
          <cell r="R27">
            <v>28995</v>
          </cell>
          <cell r="S27">
            <v>2254</v>
          </cell>
          <cell r="T27">
            <v>31249</v>
          </cell>
        </row>
        <row r="28">
          <cell r="A28">
            <v>90201</v>
          </cell>
          <cell r="B28" t="str">
            <v>ALEXANDER COUNTY</v>
          </cell>
          <cell r="C28">
            <v>1.1705999999999999E-3</v>
          </cell>
          <cell r="D28">
            <v>1.2126999999999999E-3</v>
          </cell>
          <cell r="E28">
            <v>2777064</v>
          </cell>
          <cell r="F28"/>
          <cell r="G28">
            <v>428435</v>
          </cell>
          <cell r="H28">
            <v>381209</v>
          </cell>
          <cell r="I28">
            <v>736925</v>
          </cell>
          <cell r="J28">
            <v>2854</v>
          </cell>
          <cell r="K28">
            <v>1549423</v>
          </cell>
          <cell r="L28"/>
          <cell r="M28">
            <v>14376</v>
          </cell>
          <cell r="N28">
            <v>0</v>
          </cell>
          <cell r="O28">
            <v>52999</v>
          </cell>
          <cell r="P28">
            <v>67375</v>
          </cell>
          <cell r="Q28"/>
          <cell r="R28">
            <v>771394</v>
          </cell>
          <cell r="S28">
            <v>18200</v>
          </cell>
          <cell r="T28">
            <v>789594</v>
          </cell>
        </row>
        <row r="29">
          <cell r="A29">
            <v>90203</v>
          </cell>
          <cell r="B29" t="str">
            <v>ALEXANDER COUNTY HEALTH DEPT</v>
          </cell>
          <cell r="C29">
            <v>1.9909999999999999E-4</v>
          </cell>
          <cell r="D29">
            <v>1.994E-4</v>
          </cell>
          <cell r="E29">
            <v>472333</v>
          </cell>
          <cell r="F29"/>
          <cell r="G29">
            <v>72870</v>
          </cell>
          <cell r="H29">
            <v>64837</v>
          </cell>
          <cell r="I29">
            <v>125339</v>
          </cell>
          <cell r="J29">
            <v>4091</v>
          </cell>
          <cell r="K29">
            <v>267137</v>
          </cell>
          <cell r="L29"/>
          <cell r="M29">
            <v>2445</v>
          </cell>
          <cell r="N29">
            <v>0</v>
          </cell>
          <cell r="O29">
            <v>29936</v>
          </cell>
          <cell r="P29">
            <v>32381</v>
          </cell>
          <cell r="Q29"/>
          <cell r="R29">
            <v>131202</v>
          </cell>
          <cell r="S29">
            <v>-17176</v>
          </cell>
          <cell r="T29">
            <v>114026</v>
          </cell>
        </row>
        <row r="30">
          <cell r="A30">
            <v>90205</v>
          </cell>
          <cell r="B30" t="str">
            <v>ALEXANDER COUNTY PUBLIC LIBRARY</v>
          </cell>
          <cell r="C30">
            <v>3.2499999999999997E-5</v>
          </cell>
          <cell r="D30">
            <v>3.0000000000000001E-5</v>
          </cell>
          <cell r="E30">
            <v>77101</v>
          </cell>
          <cell r="F30"/>
          <cell r="G30">
            <v>11895</v>
          </cell>
          <cell r="H30">
            <v>10583</v>
          </cell>
          <cell r="I30">
            <v>20460</v>
          </cell>
          <cell r="J30">
            <v>2535</v>
          </cell>
          <cell r="K30">
            <v>45473</v>
          </cell>
          <cell r="L30"/>
          <cell r="M30">
            <v>399</v>
          </cell>
          <cell r="N30">
            <v>0</v>
          </cell>
          <cell r="O30">
            <v>1911</v>
          </cell>
          <cell r="P30">
            <v>2310</v>
          </cell>
          <cell r="Q30"/>
          <cell r="R30">
            <v>21417</v>
          </cell>
          <cell r="S30">
            <v>484</v>
          </cell>
          <cell r="T30">
            <v>21901</v>
          </cell>
        </row>
        <row r="31">
          <cell r="A31">
            <v>90206</v>
          </cell>
          <cell r="B31" t="str">
            <v>ALEXANDER COUNTY DEPT OF S S</v>
          </cell>
          <cell r="C31">
            <v>4.1950000000000001E-4</v>
          </cell>
          <cell r="D31">
            <v>4.2069999999999998E-4</v>
          </cell>
          <cell r="E31">
            <v>995197</v>
          </cell>
          <cell r="F31"/>
          <cell r="G31">
            <v>153535</v>
          </cell>
          <cell r="H31">
            <v>136611</v>
          </cell>
          <cell r="I31">
            <v>264087</v>
          </cell>
          <cell r="J31">
            <v>0</v>
          </cell>
          <cell r="K31">
            <v>554233</v>
          </cell>
          <cell r="L31"/>
          <cell r="M31">
            <v>5152</v>
          </cell>
          <cell r="N31">
            <v>0</v>
          </cell>
          <cell r="O31">
            <v>23372</v>
          </cell>
          <cell r="P31">
            <v>28524</v>
          </cell>
          <cell r="Q31"/>
          <cell r="R31">
            <v>276439</v>
          </cell>
          <cell r="S31">
            <v>-212</v>
          </cell>
          <cell r="T31">
            <v>276227</v>
          </cell>
        </row>
        <row r="32">
          <cell r="A32">
            <v>90211</v>
          </cell>
          <cell r="B32" t="str">
            <v xml:space="preserve"> TAYLORSVILLE</v>
          </cell>
          <cell r="C32">
            <v>1.5330000000000001E-4</v>
          </cell>
          <cell r="D32">
            <v>1.4799999999999999E-4</v>
          </cell>
          <cell r="E32">
            <v>363680</v>
          </cell>
          <cell r="F32"/>
          <cell r="G32">
            <v>56107</v>
          </cell>
          <cell r="H32">
            <v>49922</v>
          </cell>
          <cell r="I32">
            <v>96507</v>
          </cell>
          <cell r="J32">
            <v>7134</v>
          </cell>
          <cell r="K32">
            <v>209670</v>
          </cell>
          <cell r="L32"/>
          <cell r="M32">
            <v>1883</v>
          </cell>
          <cell r="N32">
            <v>0</v>
          </cell>
          <cell r="O32">
            <v>9218</v>
          </cell>
          <cell r="P32">
            <v>11101</v>
          </cell>
          <cell r="Q32"/>
          <cell r="R32">
            <v>101021</v>
          </cell>
          <cell r="S32">
            <v>-4342</v>
          </cell>
          <cell r="T32">
            <v>96679</v>
          </cell>
        </row>
        <row r="33">
          <cell r="A33">
            <v>90301</v>
          </cell>
          <cell r="B33" t="str">
            <v>ALLEGHANY COUNTY</v>
          </cell>
          <cell r="C33">
            <v>7.0640000000000004E-4</v>
          </cell>
          <cell r="D33">
            <v>6.7040000000000003E-4</v>
          </cell>
          <cell r="E33">
            <v>1675822</v>
          </cell>
          <cell r="F33"/>
          <cell r="G33">
            <v>258540</v>
          </cell>
          <cell r="H33">
            <v>230041</v>
          </cell>
          <cell r="I33">
            <v>444699</v>
          </cell>
          <cell r="J33">
            <v>1945</v>
          </cell>
          <cell r="K33">
            <v>935225</v>
          </cell>
          <cell r="L33"/>
          <cell r="M33">
            <v>8675</v>
          </cell>
          <cell r="N33">
            <v>0</v>
          </cell>
          <cell r="O33">
            <v>11529</v>
          </cell>
          <cell r="P33">
            <v>20204</v>
          </cell>
          <cell r="Q33"/>
          <cell r="R33">
            <v>465499</v>
          </cell>
          <cell r="S33">
            <v>-7033</v>
          </cell>
          <cell r="T33">
            <v>458466</v>
          </cell>
        </row>
        <row r="34">
          <cell r="A34">
            <v>90305</v>
          </cell>
          <cell r="B34" t="str">
            <v>NORTHWESTERN REGIONAL LIBRARY</v>
          </cell>
          <cell r="C34">
            <v>1.4909999999999999E-4</v>
          </cell>
          <cell r="D34">
            <v>1.617E-4</v>
          </cell>
          <cell r="E34">
            <v>353716</v>
          </cell>
          <cell r="F34"/>
          <cell r="G34">
            <v>54570</v>
          </cell>
          <cell r="H34">
            <v>48554</v>
          </cell>
          <cell r="I34">
            <v>93863</v>
          </cell>
          <cell r="J34">
            <v>12323</v>
          </cell>
          <cell r="K34">
            <v>209310</v>
          </cell>
          <cell r="L34"/>
          <cell r="M34">
            <v>1831</v>
          </cell>
          <cell r="N34">
            <v>0</v>
          </cell>
          <cell r="O34">
            <v>0</v>
          </cell>
          <cell r="P34">
            <v>1831</v>
          </cell>
          <cell r="Q34"/>
          <cell r="R34">
            <v>98253</v>
          </cell>
          <cell r="S34">
            <v>10409</v>
          </cell>
          <cell r="T34">
            <v>108662</v>
          </cell>
        </row>
        <row r="35">
          <cell r="A35">
            <v>90307</v>
          </cell>
          <cell r="B35" t="str">
            <v xml:space="preserve"> SPARTA ABC BOARD</v>
          </cell>
          <cell r="C35">
            <v>6.6000000000000003E-6</v>
          </cell>
          <cell r="D35">
            <v>7.7999999999999999E-6</v>
          </cell>
          <cell r="E35">
            <v>15657</v>
          </cell>
          <cell r="F35"/>
          <cell r="G35">
            <v>2416</v>
          </cell>
          <cell r="H35">
            <v>2149</v>
          </cell>
          <cell r="I35">
            <v>4155</v>
          </cell>
          <cell r="J35">
            <v>447</v>
          </cell>
          <cell r="K35">
            <v>9167</v>
          </cell>
          <cell r="L35"/>
          <cell r="M35">
            <v>81</v>
          </cell>
          <cell r="N35">
            <v>0</v>
          </cell>
          <cell r="O35">
            <v>32</v>
          </cell>
          <cell r="P35">
            <v>113</v>
          </cell>
          <cell r="Q35"/>
          <cell r="R35">
            <v>4349</v>
          </cell>
          <cell r="S35">
            <v>151</v>
          </cell>
          <cell r="T35">
            <v>4500</v>
          </cell>
        </row>
        <row r="36">
          <cell r="A36">
            <v>90401</v>
          </cell>
          <cell r="B36" t="str">
            <v>ANSON COUNTY</v>
          </cell>
          <cell r="C36">
            <v>1.2583E-3</v>
          </cell>
          <cell r="D36">
            <v>1.3270999999999999E-3</v>
          </cell>
          <cell r="E36">
            <v>2985118</v>
          </cell>
          <cell r="F36"/>
          <cell r="G36">
            <v>460533</v>
          </cell>
          <cell r="H36">
            <v>409768</v>
          </cell>
          <cell r="I36">
            <v>792135</v>
          </cell>
          <cell r="J36">
            <v>17301</v>
          </cell>
          <cell r="K36">
            <v>1679737</v>
          </cell>
          <cell r="L36"/>
          <cell r="M36">
            <v>15453</v>
          </cell>
          <cell r="N36">
            <v>0</v>
          </cell>
          <cell r="O36">
            <v>18146</v>
          </cell>
          <cell r="P36">
            <v>33599</v>
          </cell>
          <cell r="Q36"/>
          <cell r="R36">
            <v>829186</v>
          </cell>
          <cell r="S36">
            <v>21476</v>
          </cell>
          <cell r="T36">
            <v>850662</v>
          </cell>
        </row>
        <row r="37">
          <cell r="A37">
            <v>90411</v>
          </cell>
          <cell r="B37" t="str">
            <v xml:space="preserve"> WADESBORO</v>
          </cell>
          <cell r="C37">
            <v>3.5110000000000002E-4</v>
          </cell>
          <cell r="D37">
            <v>3.5100000000000002E-4</v>
          </cell>
          <cell r="E37">
            <v>832929</v>
          </cell>
          <cell r="F37"/>
          <cell r="G37">
            <v>128501</v>
          </cell>
          <cell r="H37">
            <v>114336</v>
          </cell>
          <cell r="I37">
            <v>221027</v>
          </cell>
          <cell r="J37">
            <v>0</v>
          </cell>
          <cell r="K37">
            <v>463864</v>
          </cell>
          <cell r="L37"/>
          <cell r="M37">
            <v>4312</v>
          </cell>
          <cell r="N37">
            <v>0</v>
          </cell>
          <cell r="O37">
            <v>35756</v>
          </cell>
          <cell r="P37">
            <v>40068</v>
          </cell>
          <cell r="Q37"/>
          <cell r="R37">
            <v>231365</v>
          </cell>
          <cell r="S37">
            <v>-18400</v>
          </cell>
          <cell r="T37">
            <v>212965</v>
          </cell>
        </row>
        <row r="38">
          <cell r="A38">
            <v>90413</v>
          </cell>
          <cell r="B38" t="str">
            <v>WADESBORO HOUSING AUTHORITY</v>
          </cell>
          <cell r="C38">
            <v>3.4700000000000003E-5</v>
          </cell>
          <cell r="D38">
            <v>3.4600000000000001E-5</v>
          </cell>
          <cell r="E38">
            <v>82320</v>
          </cell>
          <cell r="F38"/>
          <cell r="G38">
            <v>12700</v>
          </cell>
          <cell r="H38">
            <v>11300</v>
          </cell>
          <cell r="I38">
            <v>21845</v>
          </cell>
          <cell r="J38">
            <v>4037</v>
          </cell>
          <cell r="K38">
            <v>49882</v>
          </cell>
          <cell r="L38"/>
          <cell r="M38">
            <v>426</v>
          </cell>
          <cell r="N38">
            <v>0</v>
          </cell>
          <cell r="O38">
            <v>687</v>
          </cell>
          <cell r="P38">
            <v>1113</v>
          </cell>
          <cell r="Q38"/>
          <cell r="R38">
            <v>22866</v>
          </cell>
          <cell r="S38">
            <v>3839</v>
          </cell>
          <cell r="T38">
            <v>26705</v>
          </cell>
        </row>
        <row r="39">
          <cell r="A39">
            <v>90417</v>
          </cell>
          <cell r="B39" t="str">
            <v>WADESBORO ABC BOARD</v>
          </cell>
          <cell r="C39">
            <v>1.19E-5</v>
          </cell>
          <cell r="D39">
            <v>1.17E-5</v>
          </cell>
          <cell r="E39">
            <v>28231</v>
          </cell>
          <cell r="F39"/>
          <cell r="G39">
            <v>4355</v>
          </cell>
          <cell r="H39">
            <v>3875</v>
          </cell>
          <cell r="I39">
            <v>7491</v>
          </cell>
          <cell r="J39">
            <v>4872</v>
          </cell>
          <cell r="K39">
            <v>20593</v>
          </cell>
          <cell r="L39"/>
          <cell r="M39">
            <v>146</v>
          </cell>
          <cell r="N39">
            <v>0</v>
          </cell>
          <cell r="O39">
            <v>0</v>
          </cell>
          <cell r="P39">
            <v>146</v>
          </cell>
          <cell r="Q39"/>
          <cell r="R39">
            <v>7842</v>
          </cell>
          <cell r="S39">
            <v>1871</v>
          </cell>
          <cell r="T39">
            <v>9713</v>
          </cell>
        </row>
        <row r="40">
          <cell r="A40">
            <v>90421</v>
          </cell>
          <cell r="B40" t="str">
            <v xml:space="preserve"> LILESVILLE</v>
          </cell>
          <cell r="C40">
            <v>2.09E-5</v>
          </cell>
          <cell r="D40">
            <v>2.19E-5</v>
          </cell>
          <cell r="E40">
            <v>49582</v>
          </cell>
          <cell r="F40"/>
          <cell r="G40">
            <v>7649</v>
          </cell>
          <cell r="H40">
            <v>6806</v>
          </cell>
          <cell r="I40">
            <v>13157</v>
          </cell>
          <cell r="J40">
            <v>0</v>
          </cell>
          <cell r="K40">
            <v>27612</v>
          </cell>
          <cell r="L40"/>
          <cell r="M40">
            <v>257</v>
          </cell>
          <cell r="N40">
            <v>0</v>
          </cell>
          <cell r="O40">
            <v>4614</v>
          </cell>
          <cell r="P40">
            <v>4871</v>
          </cell>
          <cell r="Q40"/>
          <cell r="R40">
            <v>13773</v>
          </cell>
          <cell r="S40">
            <v>-2235</v>
          </cell>
          <cell r="T40">
            <v>11538</v>
          </cell>
        </row>
        <row r="41">
          <cell r="A41">
            <v>90431</v>
          </cell>
          <cell r="B41" t="str">
            <v xml:space="preserve"> POLKTON</v>
          </cell>
          <cell r="C41">
            <v>4.5099999999999998E-5</v>
          </cell>
          <cell r="D41">
            <v>4.8300000000000002E-5</v>
          </cell>
          <cell r="E41">
            <v>106993</v>
          </cell>
          <cell r="F41"/>
          <cell r="G41">
            <v>16506</v>
          </cell>
          <cell r="H41">
            <v>14687</v>
          </cell>
          <cell r="I41">
            <v>28392</v>
          </cell>
          <cell r="J41">
            <v>4577</v>
          </cell>
          <cell r="K41">
            <v>64162</v>
          </cell>
          <cell r="L41"/>
          <cell r="M41">
            <v>554</v>
          </cell>
          <cell r="N41">
            <v>0</v>
          </cell>
          <cell r="O41">
            <v>2267</v>
          </cell>
          <cell r="P41">
            <v>2821</v>
          </cell>
          <cell r="Q41"/>
          <cell r="R41">
            <v>29720</v>
          </cell>
          <cell r="S41">
            <v>3281</v>
          </cell>
          <cell r="T41">
            <v>33001</v>
          </cell>
        </row>
        <row r="42">
          <cell r="A42">
            <v>90441</v>
          </cell>
          <cell r="B42" t="str">
            <v xml:space="preserve"> PEACHLAND</v>
          </cell>
          <cell r="C42">
            <v>7.5000000000000002E-6</v>
          </cell>
          <cell r="D42">
            <v>8.3999999999999992E-6</v>
          </cell>
          <cell r="E42">
            <v>17793</v>
          </cell>
          <cell r="F42" t="str">
            <v xml:space="preserve">   </v>
          </cell>
          <cell r="G42">
            <v>2745</v>
          </cell>
          <cell r="H42">
            <v>2443</v>
          </cell>
          <cell r="I42">
            <v>4721</v>
          </cell>
          <cell r="J42">
            <v>827</v>
          </cell>
          <cell r="K42">
            <v>10736</v>
          </cell>
          <cell r="L42"/>
          <cell r="M42">
            <v>92</v>
          </cell>
          <cell r="N42">
            <v>0</v>
          </cell>
          <cell r="O42">
            <v>58</v>
          </cell>
          <cell r="P42">
            <v>150</v>
          </cell>
          <cell r="Q42"/>
          <cell r="R42">
            <v>4942</v>
          </cell>
          <cell r="S42">
            <v>771</v>
          </cell>
          <cell r="T42">
            <v>5713</v>
          </cell>
        </row>
        <row r="43">
          <cell r="A43">
            <v>90451</v>
          </cell>
          <cell r="B43" t="str">
            <v xml:space="preserve"> ANSONVILLE</v>
          </cell>
          <cell r="C43">
            <v>2.05E-5</v>
          </cell>
          <cell r="D43">
            <v>1.6699999999999999E-5</v>
          </cell>
          <cell r="E43">
            <v>48633</v>
          </cell>
          <cell r="F43" t="str">
            <v xml:space="preserve">   </v>
          </cell>
          <cell r="G43">
            <v>7503</v>
          </cell>
          <cell r="H43">
            <v>6676</v>
          </cell>
          <cell r="I43">
            <v>12905</v>
          </cell>
          <cell r="J43">
            <v>3881</v>
          </cell>
          <cell r="K43">
            <v>30965</v>
          </cell>
          <cell r="L43"/>
          <cell r="M43">
            <v>252</v>
          </cell>
          <cell r="N43">
            <v>0</v>
          </cell>
          <cell r="O43">
            <v>623</v>
          </cell>
          <cell r="P43">
            <v>875</v>
          </cell>
          <cell r="Q43"/>
          <cell r="R43">
            <v>13509</v>
          </cell>
          <cell r="S43">
            <v>1281</v>
          </cell>
          <cell r="T43">
            <v>14790</v>
          </cell>
        </row>
        <row r="44">
          <cell r="A44">
            <v>90461</v>
          </cell>
          <cell r="B44" t="str">
            <v xml:space="preserve"> MORVEN</v>
          </cell>
          <cell r="C44">
            <v>5.5999999999999997E-6</v>
          </cell>
          <cell r="D44">
            <v>7.4000000000000003E-6</v>
          </cell>
          <cell r="E44">
            <v>13285</v>
          </cell>
          <cell r="F44" t="str">
            <v xml:space="preserve">   </v>
          </cell>
          <cell r="G44">
            <v>2050</v>
          </cell>
          <cell r="H44">
            <v>1823</v>
          </cell>
          <cell r="I44">
            <v>3525</v>
          </cell>
          <cell r="J44">
            <v>1470</v>
          </cell>
          <cell r="K44">
            <v>8868</v>
          </cell>
          <cell r="L44"/>
          <cell r="M44">
            <v>69</v>
          </cell>
          <cell r="N44">
            <v>0</v>
          </cell>
          <cell r="O44">
            <v>4983</v>
          </cell>
          <cell r="P44">
            <v>5052</v>
          </cell>
          <cell r="Q44"/>
          <cell r="R44">
            <v>3690</v>
          </cell>
          <cell r="S44">
            <v>-968</v>
          </cell>
          <cell r="T44">
            <v>2722</v>
          </cell>
        </row>
        <row r="45">
          <cell r="A45">
            <v>90501</v>
          </cell>
          <cell r="B45" t="str">
            <v>ASHE COUNTY</v>
          </cell>
          <cell r="C45">
            <v>1.3675E-3</v>
          </cell>
          <cell r="D45">
            <v>1.4176E-3</v>
          </cell>
          <cell r="E45">
            <v>3244178</v>
          </cell>
          <cell r="F45" t="str">
            <v xml:space="preserve">   </v>
          </cell>
          <cell r="G45">
            <v>500500</v>
          </cell>
          <cell r="H45">
            <v>445329</v>
          </cell>
          <cell r="I45">
            <v>860880</v>
          </cell>
          <cell r="J45">
            <v>26910</v>
          </cell>
          <cell r="K45">
            <v>1833619</v>
          </cell>
          <cell r="L45"/>
          <cell r="M45">
            <v>16794</v>
          </cell>
          <cell r="N45">
            <v>0</v>
          </cell>
          <cell r="O45">
            <v>5948</v>
          </cell>
          <cell r="P45">
            <v>22742</v>
          </cell>
          <cell r="Q45"/>
          <cell r="R45">
            <v>901146</v>
          </cell>
          <cell r="S45">
            <v>25526</v>
          </cell>
          <cell r="T45">
            <v>926672</v>
          </cell>
        </row>
        <row r="46">
          <cell r="A46">
            <v>90507</v>
          </cell>
          <cell r="B46" t="str">
            <v>WEST JEFFERSON ABC BOARD</v>
          </cell>
          <cell r="C46">
            <v>6.3999999999999997E-6</v>
          </cell>
          <cell r="D46">
            <v>6.6000000000000003E-6</v>
          </cell>
          <cell r="E46">
            <v>15183</v>
          </cell>
          <cell r="F46" t="str">
            <v xml:space="preserve">   </v>
          </cell>
          <cell r="G46">
            <v>2342</v>
          </cell>
          <cell r="H46">
            <v>2084</v>
          </cell>
          <cell r="I46">
            <v>4029</v>
          </cell>
          <cell r="J46">
            <v>13580</v>
          </cell>
          <cell r="K46">
            <v>22035</v>
          </cell>
          <cell r="L46"/>
          <cell r="M46">
            <v>79</v>
          </cell>
          <cell r="N46">
            <v>0</v>
          </cell>
          <cell r="O46">
            <v>0</v>
          </cell>
          <cell r="P46">
            <v>79</v>
          </cell>
          <cell r="Q46"/>
          <cell r="R46">
            <v>4217</v>
          </cell>
          <cell r="S46">
            <v>5652</v>
          </cell>
          <cell r="T46">
            <v>9869</v>
          </cell>
        </row>
        <row r="47">
          <cell r="A47">
            <v>90511</v>
          </cell>
          <cell r="B47" t="str">
            <v xml:space="preserve"> JEFFERSON</v>
          </cell>
          <cell r="C47">
            <v>8.25E-5</v>
          </cell>
          <cell r="D47">
            <v>8.7000000000000001E-5</v>
          </cell>
          <cell r="E47">
            <v>195718</v>
          </cell>
          <cell r="F47" t="str">
            <v xml:space="preserve">   </v>
          </cell>
          <cell r="G47">
            <v>30195</v>
          </cell>
          <cell r="H47">
            <v>26866</v>
          </cell>
          <cell r="I47">
            <v>51936</v>
          </cell>
          <cell r="J47">
            <v>16195</v>
          </cell>
          <cell r="K47">
            <v>125192</v>
          </cell>
          <cell r="L47"/>
          <cell r="M47">
            <v>1013</v>
          </cell>
          <cell r="N47">
            <v>0</v>
          </cell>
          <cell r="O47">
            <v>0</v>
          </cell>
          <cell r="P47">
            <v>1013</v>
          </cell>
          <cell r="Q47"/>
          <cell r="R47">
            <v>54365</v>
          </cell>
          <cell r="S47">
            <v>8520</v>
          </cell>
          <cell r="T47">
            <v>62885</v>
          </cell>
        </row>
        <row r="48">
          <cell r="A48">
            <v>90521</v>
          </cell>
          <cell r="B48" t="str">
            <v xml:space="preserve"> WEST JEFFERSON</v>
          </cell>
          <cell r="C48">
            <v>1.281E-4</v>
          </cell>
          <cell r="D48">
            <v>1.3880000000000001E-4</v>
          </cell>
          <cell r="E48">
            <v>303897</v>
          </cell>
          <cell r="F48" t="str">
            <v xml:space="preserve">   </v>
          </cell>
          <cell r="G48">
            <v>46884</v>
          </cell>
          <cell r="H48">
            <v>41717</v>
          </cell>
          <cell r="I48">
            <v>80643</v>
          </cell>
          <cell r="J48">
            <v>0</v>
          </cell>
          <cell r="K48">
            <v>169244</v>
          </cell>
          <cell r="L48"/>
          <cell r="M48">
            <v>1573</v>
          </cell>
          <cell r="N48">
            <v>0</v>
          </cell>
          <cell r="O48">
            <v>24197</v>
          </cell>
          <cell r="P48">
            <v>25770</v>
          </cell>
          <cell r="Q48"/>
          <cell r="R48">
            <v>84414</v>
          </cell>
          <cell r="S48">
            <v>-10337</v>
          </cell>
          <cell r="T48">
            <v>74077</v>
          </cell>
        </row>
        <row r="49">
          <cell r="A49">
            <v>90601</v>
          </cell>
          <cell r="B49" t="str">
            <v>AVERY COUNTY</v>
          </cell>
          <cell r="C49">
            <v>1.1383999999999999E-3</v>
          </cell>
          <cell r="D49">
            <v>1.1888000000000001E-3</v>
          </cell>
          <cell r="E49">
            <v>2700674</v>
          </cell>
          <cell r="F49" t="str">
            <v xml:space="preserve">   </v>
          </cell>
          <cell r="G49">
            <v>416650</v>
          </cell>
          <cell r="H49">
            <v>370722</v>
          </cell>
          <cell r="I49">
            <v>716655</v>
          </cell>
          <cell r="J49">
            <v>5621</v>
          </cell>
          <cell r="K49">
            <v>1509648</v>
          </cell>
          <cell r="L49"/>
          <cell r="M49">
            <v>13981</v>
          </cell>
          <cell r="N49">
            <v>0</v>
          </cell>
          <cell r="O49">
            <v>38880</v>
          </cell>
          <cell r="P49">
            <v>52861</v>
          </cell>
          <cell r="Q49"/>
          <cell r="R49">
            <v>750175</v>
          </cell>
          <cell r="S49">
            <v>1751</v>
          </cell>
          <cell r="T49">
            <v>751926</v>
          </cell>
        </row>
        <row r="50">
          <cell r="A50">
            <v>90602</v>
          </cell>
          <cell r="B50" t="str">
            <v>AVERY COUNTY FIRE COMMISSION</v>
          </cell>
          <cell r="C50">
            <v>6.3100000000000002E-5</v>
          </cell>
          <cell r="D50">
            <v>6.3899999999999995E-5</v>
          </cell>
          <cell r="E50">
            <v>149695</v>
          </cell>
          <cell r="F50" t="str">
            <v xml:space="preserve">   </v>
          </cell>
          <cell r="G50">
            <v>23094</v>
          </cell>
          <cell r="H50">
            <v>20549</v>
          </cell>
          <cell r="I50">
            <v>39723</v>
          </cell>
          <cell r="J50">
            <v>34569</v>
          </cell>
          <cell r="K50">
            <v>117935</v>
          </cell>
          <cell r="L50"/>
          <cell r="M50">
            <v>775</v>
          </cell>
          <cell r="N50">
            <v>0</v>
          </cell>
          <cell r="O50">
            <v>0</v>
          </cell>
          <cell r="P50">
            <v>775</v>
          </cell>
          <cell r="Q50"/>
          <cell r="R50">
            <v>41581</v>
          </cell>
          <cell r="S50">
            <v>16640</v>
          </cell>
          <cell r="T50">
            <v>58221</v>
          </cell>
        </row>
        <row r="51">
          <cell r="A51">
            <v>90605</v>
          </cell>
          <cell r="B51" t="str">
            <v>AVERY-MITCHELL-YANCEY REG LIBRARY</v>
          </cell>
          <cell r="C51">
            <v>3.9199999999999997E-5</v>
          </cell>
          <cell r="D51">
            <v>4.1999999999999998E-5</v>
          </cell>
          <cell r="E51">
            <v>92996</v>
          </cell>
          <cell r="F51" t="str">
            <v xml:space="preserve">   </v>
          </cell>
          <cell r="G51">
            <v>14347</v>
          </cell>
          <cell r="H51">
            <v>12765</v>
          </cell>
          <cell r="I51">
            <v>24677</v>
          </cell>
          <cell r="J51">
            <v>14565</v>
          </cell>
          <cell r="K51">
            <v>66354</v>
          </cell>
          <cell r="L51"/>
          <cell r="M51">
            <v>481</v>
          </cell>
          <cell r="N51">
            <v>0</v>
          </cell>
          <cell r="O51">
            <v>0</v>
          </cell>
          <cell r="P51">
            <v>481</v>
          </cell>
          <cell r="Q51"/>
          <cell r="R51">
            <v>25832</v>
          </cell>
          <cell r="S51">
            <v>6805</v>
          </cell>
          <cell r="T51">
            <v>32637</v>
          </cell>
        </row>
        <row r="52">
          <cell r="A52">
            <v>90611</v>
          </cell>
          <cell r="B52" t="str">
            <v xml:space="preserve"> BANNER ELK</v>
          </cell>
          <cell r="C52">
            <v>1.4009999999999999E-4</v>
          </cell>
          <cell r="D52">
            <v>1.4880000000000001E-4</v>
          </cell>
          <cell r="E52">
            <v>332365</v>
          </cell>
          <cell r="F52" t="str">
            <v xml:space="preserve">   </v>
          </cell>
          <cell r="G52">
            <v>51276</v>
          </cell>
          <cell r="H52">
            <v>45624</v>
          </cell>
          <cell r="I52">
            <v>88197</v>
          </cell>
          <cell r="J52">
            <v>0</v>
          </cell>
          <cell r="K52">
            <v>185097</v>
          </cell>
          <cell r="L52"/>
          <cell r="M52">
            <v>1721</v>
          </cell>
          <cell r="N52">
            <v>0</v>
          </cell>
          <cell r="O52">
            <v>20888</v>
          </cell>
          <cell r="P52">
            <v>22609</v>
          </cell>
          <cell r="Q52"/>
          <cell r="R52">
            <v>92322</v>
          </cell>
          <cell r="S52">
            <v>-5234</v>
          </cell>
          <cell r="T52">
            <v>87088</v>
          </cell>
        </row>
        <row r="53">
          <cell r="A53">
            <v>90617</v>
          </cell>
          <cell r="B53" t="str">
            <v>HIGH COUNTRY ABC BOARD</v>
          </cell>
          <cell r="C53">
            <v>2.72E-5</v>
          </cell>
          <cell r="D53">
            <v>2.5999999999999998E-5</v>
          </cell>
          <cell r="E53">
            <v>64528</v>
          </cell>
          <cell r="F53" t="str">
            <v xml:space="preserve">   </v>
          </cell>
          <cell r="G53">
            <v>9955</v>
          </cell>
          <cell r="H53">
            <v>8857</v>
          </cell>
          <cell r="I53">
            <v>17123</v>
          </cell>
          <cell r="J53">
            <v>5515</v>
          </cell>
          <cell r="K53">
            <v>41450</v>
          </cell>
          <cell r="L53"/>
          <cell r="M53">
            <v>334</v>
          </cell>
          <cell r="N53">
            <v>0</v>
          </cell>
          <cell r="O53">
            <v>0</v>
          </cell>
          <cell r="P53">
            <v>334</v>
          </cell>
          <cell r="Q53"/>
          <cell r="R53">
            <v>17924</v>
          </cell>
          <cell r="S53">
            <v>4552</v>
          </cell>
          <cell r="T53">
            <v>22476</v>
          </cell>
        </row>
        <row r="54">
          <cell r="A54">
            <v>90621</v>
          </cell>
          <cell r="B54" t="str">
            <v xml:space="preserve"> NEWLAND</v>
          </cell>
          <cell r="C54">
            <v>6.5699999999999998E-5</v>
          </cell>
          <cell r="D54">
            <v>6.3999999999999997E-5</v>
          </cell>
          <cell r="E54">
            <v>155863</v>
          </cell>
          <cell r="F54" t="str">
            <v xml:space="preserve">   </v>
          </cell>
          <cell r="G54">
            <v>24046</v>
          </cell>
          <cell r="H54">
            <v>21396</v>
          </cell>
          <cell r="I54">
            <v>41360</v>
          </cell>
          <cell r="J54">
            <v>0</v>
          </cell>
          <cell r="K54">
            <v>86802</v>
          </cell>
          <cell r="L54"/>
          <cell r="M54">
            <v>807</v>
          </cell>
          <cell r="N54">
            <v>0</v>
          </cell>
          <cell r="O54">
            <v>15822</v>
          </cell>
          <cell r="P54">
            <v>16629</v>
          </cell>
          <cell r="Q54"/>
          <cell r="R54">
            <v>43295</v>
          </cell>
          <cell r="S54">
            <v>-6033</v>
          </cell>
          <cell r="T54">
            <v>37262</v>
          </cell>
        </row>
        <row r="55">
          <cell r="A55">
            <v>90631</v>
          </cell>
          <cell r="B55" t="str">
            <v xml:space="preserve"> BEECH MOUNTAIN</v>
          </cell>
          <cell r="C55">
            <v>3.7120000000000002E-4</v>
          </cell>
          <cell r="D55">
            <v>3.9560000000000002E-4</v>
          </cell>
          <cell r="E55">
            <v>880613</v>
          </cell>
          <cell r="F55" t="str">
            <v xml:space="preserve">   </v>
          </cell>
          <cell r="G55">
            <v>135858</v>
          </cell>
          <cell r="H55">
            <v>120882</v>
          </cell>
          <cell r="I55">
            <v>233681</v>
          </cell>
          <cell r="J55">
            <v>12101</v>
          </cell>
          <cell r="K55">
            <v>502522</v>
          </cell>
          <cell r="L55"/>
          <cell r="M55">
            <v>4559</v>
          </cell>
          <cell r="N55">
            <v>0</v>
          </cell>
          <cell r="O55">
            <v>18351</v>
          </cell>
          <cell r="P55">
            <v>22910</v>
          </cell>
          <cell r="Q55"/>
          <cell r="R55">
            <v>244611</v>
          </cell>
          <cell r="S55">
            <v>-4506</v>
          </cell>
          <cell r="T55">
            <v>240105</v>
          </cell>
        </row>
        <row r="56">
          <cell r="A56">
            <v>90641</v>
          </cell>
          <cell r="B56" t="str">
            <v xml:space="preserve"> ELK PARK</v>
          </cell>
          <cell r="C56">
            <v>1.2999999999999999E-5</v>
          </cell>
          <cell r="D56">
            <v>1.38E-5</v>
          </cell>
          <cell r="E56">
            <v>30840</v>
          </cell>
          <cell r="F56" t="str">
            <v xml:space="preserve">   </v>
          </cell>
          <cell r="G56">
            <v>4758</v>
          </cell>
          <cell r="H56">
            <v>4233</v>
          </cell>
          <cell r="I56">
            <v>8184</v>
          </cell>
          <cell r="J56">
            <v>250</v>
          </cell>
          <cell r="K56">
            <v>17425</v>
          </cell>
          <cell r="L56"/>
          <cell r="M56">
            <v>160</v>
          </cell>
          <cell r="N56">
            <v>0</v>
          </cell>
          <cell r="O56">
            <v>254</v>
          </cell>
          <cell r="P56">
            <v>414</v>
          </cell>
          <cell r="Q56"/>
          <cell r="R56">
            <v>8567</v>
          </cell>
          <cell r="S56">
            <v>-102</v>
          </cell>
          <cell r="T56">
            <v>8465</v>
          </cell>
        </row>
        <row r="57">
          <cell r="A57">
            <v>90651</v>
          </cell>
          <cell r="B57" t="str">
            <v xml:space="preserve"> SUGAR MOUNTAIN</v>
          </cell>
          <cell r="C57">
            <v>1.064E-4</v>
          </cell>
          <cell r="D57">
            <v>1E-4</v>
          </cell>
          <cell r="E57">
            <v>252417</v>
          </cell>
          <cell r="F57" t="str">
            <v xml:space="preserve">   </v>
          </cell>
          <cell r="G57">
            <v>38942</v>
          </cell>
          <cell r="H57">
            <v>34650</v>
          </cell>
          <cell r="I57">
            <v>66982</v>
          </cell>
          <cell r="J57">
            <v>100554</v>
          </cell>
          <cell r="K57">
            <v>241128</v>
          </cell>
          <cell r="L57"/>
          <cell r="M57">
            <v>1307</v>
          </cell>
          <cell r="N57">
            <v>0</v>
          </cell>
          <cell r="O57">
            <v>0</v>
          </cell>
          <cell r="P57">
            <v>1307</v>
          </cell>
          <cell r="Q57"/>
          <cell r="R57">
            <v>70115</v>
          </cell>
          <cell r="S57">
            <v>36979</v>
          </cell>
          <cell r="T57">
            <v>107094</v>
          </cell>
        </row>
        <row r="58">
          <cell r="A58">
            <v>90701</v>
          </cell>
          <cell r="B58" t="str">
            <v>BEAUFORT COUNTY</v>
          </cell>
          <cell r="C58">
            <v>2.6327999999999998E-3</v>
          </cell>
          <cell r="D58">
            <v>2.6581E-3</v>
          </cell>
          <cell r="E58">
            <v>6245902</v>
          </cell>
          <cell r="F58" t="str">
            <v xml:space="preserve">   </v>
          </cell>
          <cell r="G58">
            <v>963594</v>
          </cell>
          <cell r="H58">
            <v>857376</v>
          </cell>
          <cell r="I58">
            <v>1657421</v>
          </cell>
          <cell r="J58">
            <v>84751</v>
          </cell>
          <cell r="K58">
            <v>3563142</v>
          </cell>
          <cell r="L58"/>
          <cell r="M58">
            <v>32333</v>
          </cell>
          <cell r="N58">
            <v>0</v>
          </cell>
          <cell r="O58">
            <v>109908</v>
          </cell>
          <cell r="P58">
            <v>142241</v>
          </cell>
          <cell r="Q58"/>
          <cell r="R58">
            <v>1734944</v>
          </cell>
          <cell r="S58">
            <v>11083</v>
          </cell>
          <cell r="T58">
            <v>1746027</v>
          </cell>
        </row>
        <row r="59">
          <cell r="A59">
            <v>90704</v>
          </cell>
          <cell r="B59" t="str">
            <v>BEAUFORT COUNTY ABC BOARD</v>
          </cell>
          <cell r="C59">
            <v>3.4100000000000002E-5</v>
          </cell>
          <cell r="D59">
            <v>3.3300000000000003E-5</v>
          </cell>
          <cell r="E59">
            <v>80897</v>
          </cell>
          <cell r="F59" t="str">
            <v xml:space="preserve">   </v>
          </cell>
          <cell r="G59">
            <v>12480</v>
          </cell>
          <cell r="H59">
            <v>11105</v>
          </cell>
          <cell r="I59">
            <v>21467</v>
          </cell>
          <cell r="J59">
            <v>17851</v>
          </cell>
          <cell r="K59">
            <v>62903</v>
          </cell>
          <cell r="L59"/>
          <cell r="M59">
            <v>419</v>
          </cell>
          <cell r="N59">
            <v>0</v>
          </cell>
          <cell r="O59">
            <v>0</v>
          </cell>
          <cell r="P59">
            <v>419</v>
          </cell>
          <cell r="Q59"/>
          <cell r="R59">
            <v>22471</v>
          </cell>
          <cell r="S59">
            <v>7847</v>
          </cell>
          <cell r="T59">
            <v>30318</v>
          </cell>
        </row>
        <row r="60">
          <cell r="A60">
            <v>90705</v>
          </cell>
          <cell r="B60" t="str">
            <v>B H M REGIONAL LIBRARY</v>
          </cell>
          <cell r="C60">
            <v>3.6000000000000001E-5</v>
          </cell>
          <cell r="D60">
            <v>5.3000000000000001E-5</v>
          </cell>
          <cell r="E60">
            <v>85404</v>
          </cell>
          <cell r="F60" t="str">
            <v xml:space="preserve">   </v>
          </cell>
          <cell r="G60">
            <v>13176</v>
          </cell>
          <cell r="H60">
            <v>11723</v>
          </cell>
          <cell r="I60">
            <v>22663</v>
          </cell>
          <cell r="J60">
            <v>12180</v>
          </cell>
          <cell r="K60">
            <v>59742</v>
          </cell>
          <cell r="L60"/>
          <cell r="M60">
            <v>442</v>
          </cell>
          <cell r="N60">
            <v>0</v>
          </cell>
          <cell r="O60">
            <v>7440</v>
          </cell>
          <cell r="P60">
            <v>7882</v>
          </cell>
          <cell r="Q60"/>
          <cell r="R60">
            <v>23723</v>
          </cell>
          <cell r="S60">
            <v>4327</v>
          </cell>
          <cell r="T60">
            <v>28050</v>
          </cell>
        </row>
        <row r="61">
          <cell r="A61">
            <v>90709</v>
          </cell>
          <cell r="B61" t="str">
            <v>MIDEAST COMMISSION</v>
          </cell>
          <cell r="C61">
            <v>1.683E-4</v>
          </cell>
          <cell r="D61">
            <v>1.2650000000000001E-4</v>
          </cell>
          <cell r="E61">
            <v>399265</v>
          </cell>
          <cell r="F61" t="str">
            <v xml:space="preserve">   </v>
          </cell>
          <cell r="G61">
            <v>61597</v>
          </cell>
          <cell r="H61">
            <v>54807</v>
          </cell>
          <cell r="I61">
            <v>105950</v>
          </cell>
          <cell r="J61">
            <v>39082</v>
          </cell>
          <cell r="K61">
            <v>261436</v>
          </cell>
          <cell r="L61"/>
          <cell r="M61">
            <v>2067</v>
          </cell>
          <cell r="N61">
            <v>0</v>
          </cell>
          <cell r="O61">
            <v>28001</v>
          </cell>
          <cell r="P61">
            <v>30068</v>
          </cell>
          <cell r="Q61"/>
          <cell r="R61">
            <v>110905</v>
          </cell>
          <cell r="S61">
            <v>346</v>
          </cell>
          <cell r="T61">
            <v>111251</v>
          </cell>
        </row>
        <row r="62">
          <cell r="A62">
            <v>90711</v>
          </cell>
          <cell r="B62" t="str">
            <v>CITY OF WASHINGTON</v>
          </cell>
          <cell r="C62">
            <v>1.6165000000000001E-3</v>
          </cell>
          <cell r="D62">
            <v>1.6877000000000001E-3</v>
          </cell>
          <cell r="E62">
            <v>3834891</v>
          </cell>
          <cell r="F62" t="str">
            <v xml:space="preserve">   </v>
          </cell>
          <cell r="G62">
            <v>591633</v>
          </cell>
          <cell r="H62">
            <v>526416</v>
          </cell>
          <cell r="I62">
            <v>1017632</v>
          </cell>
          <cell r="J62">
            <v>0</v>
          </cell>
          <cell r="K62">
            <v>2135681</v>
          </cell>
          <cell r="L62"/>
          <cell r="M62">
            <v>19852</v>
          </cell>
          <cell r="N62">
            <v>0</v>
          </cell>
          <cell r="O62">
            <v>152515</v>
          </cell>
          <cell r="P62">
            <v>172367</v>
          </cell>
          <cell r="Q62"/>
          <cell r="R62">
            <v>1065230</v>
          </cell>
          <cell r="S62">
            <v>-83743</v>
          </cell>
          <cell r="T62">
            <v>981487</v>
          </cell>
        </row>
        <row r="63">
          <cell r="A63">
            <v>90721</v>
          </cell>
          <cell r="B63" t="str">
            <v xml:space="preserve"> AURORA</v>
          </cell>
          <cell r="C63">
            <v>2.8200000000000001E-5</v>
          </cell>
          <cell r="D63">
            <v>2.8600000000000001E-5</v>
          </cell>
          <cell r="E63">
            <v>66900</v>
          </cell>
          <cell r="F63" t="str">
            <v xml:space="preserve">   </v>
          </cell>
          <cell r="G63">
            <v>10321</v>
          </cell>
          <cell r="H63">
            <v>9183</v>
          </cell>
          <cell r="I63">
            <v>17753</v>
          </cell>
          <cell r="J63">
            <v>792</v>
          </cell>
          <cell r="K63">
            <v>38049</v>
          </cell>
          <cell r="L63"/>
          <cell r="M63">
            <v>346</v>
          </cell>
          <cell r="N63">
            <v>0</v>
          </cell>
          <cell r="O63">
            <v>3624</v>
          </cell>
          <cell r="P63">
            <v>3970</v>
          </cell>
          <cell r="Q63"/>
          <cell r="R63">
            <v>18583</v>
          </cell>
          <cell r="S63">
            <v>1108</v>
          </cell>
          <cell r="T63">
            <v>19691</v>
          </cell>
        </row>
        <row r="64">
          <cell r="A64">
            <v>90731</v>
          </cell>
          <cell r="B64" t="str">
            <v xml:space="preserve"> BELHAVEN</v>
          </cell>
          <cell r="C64">
            <v>1.4919999999999999E-4</v>
          </cell>
          <cell r="D64">
            <v>1.741E-4</v>
          </cell>
          <cell r="E64">
            <v>353953</v>
          </cell>
          <cell r="F64" t="str">
            <v xml:space="preserve">   </v>
          </cell>
          <cell r="G64">
            <v>54607</v>
          </cell>
          <cell r="H64">
            <v>48587</v>
          </cell>
          <cell r="I64">
            <v>93926</v>
          </cell>
          <cell r="J64">
            <v>0</v>
          </cell>
          <cell r="K64">
            <v>197120</v>
          </cell>
          <cell r="L64"/>
          <cell r="M64">
            <v>1832</v>
          </cell>
          <cell r="N64">
            <v>0</v>
          </cell>
          <cell r="O64">
            <v>24103</v>
          </cell>
          <cell r="P64">
            <v>25935</v>
          </cell>
          <cell r="Q64"/>
          <cell r="R64">
            <v>98319</v>
          </cell>
          <cell r="S64">
            <v>-10239</v>
          </cell>
          <cell r="T64">
            <v>88080</v>
          </cell>
        </row>
        <row r="65">
          <cell r="A65">
            <v>90741</v>
          </cell>
          <cell r="B65" t="str">
            <v xml:space="preserve"> WASHINGTON PARK</v>
          </cell>
          <cell r="C65">
            <v>1.52E-5</v>
          </cell>
          <cell r="D65">
            <v>9.0999999999999993E-6</v>
          </cell>
          <cell r="E65">
            <v>36060</v>
          </cell>
          <cell r="F65" t="str">
            <v xml:space="preserve">   </v>
          </cell>
          <cell r="G65">
            <v>5563</v>
          </cell>
          <cell r="H65">
            <v>4950</v>
          </cell>
          <cell r="I65">
            <v>9569</v>
          </cell>
          <cell r="J65">
            <v>5141</v>
          </cell>
          <cell r="K65">
            <v>25223</v>
          </cell>
          <cell r="L65"/>
          <cell r="M65">
            <v>187</v>
          </cell>
          <cell r="N65">
            <v>0</v>
          </cell>
          <cell r="O65">
            <v>155</v>
          </cell>
          <cell r="P65">
            <v>342</v>
          </cell>
          <cell r="Q65"/>
          <cell r="R65">
            <v>10016</v>
          </cell>
          <cell r="S65">
            <v>1246</v>
          </cell>
          <cell r="T65">
            <v>11262</v>
          </cell>
        </row>
        <row r="66">
          <cell r="A66">
            <v>90751</v>
          </cell>
          <cell r="B66" t="str">
            <v xml:space="preserve"> CHOCOWINITY</v>
          </cell>
          <cell r="C66">
            <v>7.9499999999999994E-5</v>
          </cell>
          <cell r="D66">
            <v>6.8700000000000003E-5</v>
          </cell>
          <cell r="E66">
            <v>188601</v>
          </cell>
          <cell r="F66" t="str">
            <v xml:space="preserve">   </v>
          </cell>
          <cell r="G66">
            <v>29097</v>
          </cell>
          <cell r="H66">
            <v>25890</v>
          </cell>
          <cell r="I66">
            <v>50047</v>
          </cell>
          <cell r="J66">
            <v>3763</v>
          </cell>
          <cell r="K66">
            <v>108797</v>
          </cell>
          <cell r="L66"/>
          <cell r="M66">
            <v>976</v>
          </cell>
          <cell r="N66">
            <v>0</v>
          </cell>
          <cell r="O66">
            <v>810</v>
          </cell>
          <cell r="P66">
            <v>1786</v>
          </cell>
          <cell r="Q66"/>
          <cell r="R66">
            <v>52388</v>
          </cell>
          <cell r="S66">
            <v>3994</v>
          </cell>
          <cell r="T66">
            <v>56382</v>
          </cell>
        </row>
        <row r="67">
          <cell r="A67">
            <v>90801</v>
          </cell>
          <cell r="B67" t="str">
            <v>BERTIE COUNTY</v>
          </cell>
          <cell r="C67">
            <v>1.338E-3</v>
          </cell>
          <cell r="D67">
            <v>1.3064000000000001E-3</v>
          </cell>
          <cell r="E67">
            <v>3174194</v>
          </cell>
          <cell r="F67" t="str">
            <v xml:space="preserve">   </v>
          </cell>
          <cell r="G67">
            <v>489703</v>
          </cell>
          <cell r="H67">
            <v>435722</v>
          </cell>
          <cell r="I67">
            <v>842308</v>
          </cell>
          <cell r="J67">
            <v>86295</v>
          </cell>
          <cell r="K67">
            <v>1854028</v>
          </cell>
          <cell r="L67"/>
          <cell r="M67">
            <v>16432</v>
          </cell>
          <cell r="N67">
            <v>0</v>
          </cell>
          <cell r="O67">
            <v>50464</v>
          </cell>
          <cell r="P67">
            <v>66896</v>
          </cell>
          <cell r="Q67"/>
          <cell r="R67">
            <v>881706</v>
          </cell>
          <cell r="S67">
            <v>52732</v>
          </cell>
          <cell r="T67">
            <v>934438</v>
          </cell>
        </row>
        <row r="68">
          <cell r="A68">
            <v>90804</v>
          </cell>
          <cell r="B68" t="str">
            <v>BERTIE COUNTY ABC BOARD</v>
          </cell>
          <cell r="C68">
            <v>6.0000000000000002E-6</v>
          </cell>
          <cell r="D68">
            <v>6.1999999999999999E-6</v>
          </cell>
          <cell r="E68">
            <v>14234</v>
          </cell>
          <cell r="F68" t="str">
            <v xml:space="preserve">   </v>
          </cell>
          <cell r="G68">
            <v>2196</v>
          </cell>
          <cell r="H68">
            <v>1954</v>
          </cell>
          <cell r="I68">
            <v>3777</v>
          </cell>
          <cell r="J68">
            <v>574</v>
          </cell>
          <cell r="K68">
            <v>8501</v>
          </cell>
          <cell r="L68"/>
          <cell r="M68">
            <v>74</v>
          </cell>
          <cell r="N68">
            <v>0</v>
          </cell>
          <cell r="O68">
            <v>215</v>
          </cell>
          <cell r="P68">
            <v>289</v>
          </cell>
          <cell r="Q68"/>
          <cell r="R68">
            <v>3954</v>
          </cell>
          <cell r="S68">
            <v>834</v>
          </cell>
          <cell r="T68">
            <v>4788</v>
          </cell>
        </row>
        <row r="69">
          <cell r="A69">
            <v>90805</v>
          </cell>
          <cell r="B69" t="str">
            <v>ALBEMARLE REGIONAL LIBRARY</v>
          </cell>
          <cell r="C69">
            <v>6.6600000000000006E-5</v>
          </cell>
          <cell r="D69">
            <v>5.1900000000000001E-5</v>
          </cell>
          <cell r="E69">
            <v>157998</v>
          </cell>
          <cell r="F69" t="str">
            <v xml:space="preserve">   </v>
          </cell>
          <cell r="G69">
            <v>24375</v>
          </cell>
          <cell r="H69">
            <v>21688</v>
          </cell>
          <cell r="I69">
            <v>41927</v>
          </cell>
          <cell r="J69">
            <v>29750</v>
          </cell>
          <cell r="K69">
            <v>117740</v>
          </cell>
          <cell r="L69"/>
          <cell r="M69">
            <v>818</v>
          </cell>
          <cell r="N69">
            <v>0</v>
          </cell>
          <cell r="O69">
            <v>0</v>
          </cell>
          <cell r="P69">
            <v>818</v>
          </cell>
          <cell r="Q69"/>
          <cell r="R69">
            <v>43888</v>
          </cell>
          <cell r="S69">
            <v>13705</v>
          </cell>
          <cell r="T69">
            <v>57593</v>
          </cell>
        </row>
        <row r="70">
          <cell r="A70">
            <v>90808</v>
          </cell>
          <cell r="B70" t="str">
            <v>BERTIE-MARTIN REGIONAL JAIL COMM</v>
          </cell>
          <cell r="C70">
            <v>1.0119999999999999E-4</v>
          </cell>
          <cell r="D70">
            <v>1.131E-4</v>
          </cell>
          <cell r="E70">
            <v>240081</v>
          </cell>
          <cell r="F70" t="str">
            <v xml:space="preserve">   </v>
          </cell>
          <cell r="G70">
            <v>37039</v>
          </cell>
          <cell r="H70">
            <v>32956</v>
          </cell>
          <cell r="I70">
            <v>63708</v>
          </cell>
          <cell r="J70">
            <v>3985</v>
          </cell>
          <cell r="K70">
            <v>137688</v>
          </cell>
          <cell r="L70"/>
          <cell r="M70">
            <v>1243</v>
          </cell>
          <cell r="N70">
            <v>0</v>
          </cell>
          <cell r="O70">
            <v>1338</v>
          </cell>
          <cell r="P70">
            <v>2581</v>
          </cell>
          <cell r="Q70"/>
          <cell r="R70">
            <v>66688</v>
          </cell>
          <cell r="S70">
            <v>662</v>
          </cell>
          <cell r="T70">
            <v>67350</v>
          </cell>
        </row>
        <row r="71">
          <cell r="A71">
            <v>90811</v>
          </cell>
          <cell r="B71" t="str">
            <v xml:space="preserve"> AULANDER</v>
          </cell>
          <cell r="C71">
            <v>3.6199999999999999E-5</v>
          </cell>
          <cell r="D71">
            <v>3.3599999999999997E-5</v>
          </cell>
          <cell r="E71">
            <v>85879</v>
          </cell>
          <cell r="F71" t="str">
            <v xml:space="preserve">   </v>
          </cell>
          <cell r="G71">
            <v>13249</v>
          </cell>
          <cell r="H71">
            <v>11789</v>
          </cell>
          <cell r="I71">
            <v>22789</v>
          </cell>
          <cell r="J71">
            <v>0</v>
          </cell>
          <cell r="K71">
            <v>47827</v>
          </cell>
          <cell r="L71"/>
          <cell r="M71">
            <v>445</v>
          </cell>
          <cell r="N71">
            <v>0</v>
          </cell>
          <cell r="O71">
            <v>9224</v>
          </cell>
          <cell r="P71">
            <v>9669</v>
          </cell>
          <cell r="Q71"/>
          <cell r="R71">
            <v>23855</v>
          </cell>
          <cell r="S71">
            <v>-2702</v>
          </cell>
          <cell r="T71">
            <v>21153</v>
          </cell>
        </row>
        <row r="72">
          <cell r="A72">
            <v>90812</v>
          </cell>
          <cell r="B72" t="str">
            <v xml:space="preserve"> WINDSOR</v>
          </cell>
          <cell r="C72">
            <v>2.2489999999999999E-4</v>
          </cell>
          <cell r="D72">
            <v>2.2900000000000001E-4</v>
          </cell>
          <cell r="E72">
            <v>533540</v>
          </cell>
          <cell r="F72" t="str">
            <v xml:space="preserve">   </v>
          </cell>
          <cell r="G72">
            <v>82313</v>
          </cell>
          <cell r="H72">
            <v>73239</v>
          </cell>
          <cell r="I72">
            <v>141581</v>
          </cell>
          <cell r="J72">
            <v>8319</v>
          </cell>
          <cell r="K72">
            <v>305452</v>
          </cell>
          <cell r="L72"/>
          <cell r="M72">
            <v>2762</v>
          </cell>
          <cell r="N72">
            <v>0</v>
          </cell>
          <cell r="O72">
            <v>11401</v>
          </cell>
          <cell r="P72">
            <v>14163</v>
          </cell>
          <cell r="Q72"/>
          <cell r="R72">
            <v>148203</v>
          </cell>
          <cell r="S72">
            <v>1945</v>
          </cell>
          <cell r="T72">
            <v>150148</v>
          </cell>
        </row>
        <row r="73">
          <cell r="A73">
            <v>90813</v>
          </cell>
          <cell r="B73" t="str">
            <v xml:space="preserve"> COLERAIN</v>
          </cell>
          <cell r="C73">
            <v>5.0000000000000004E-6</v>
          </cell>
          <cell r="D73">
            <v>5.3000000000000001E-6</v>
          </cell>
          <cell r="E73">
            <v>11862</v>
          </cell>
          <cell r="F73" t="str">
            <v xml:space="preserve">   </v>
          </cell>
          <cell r="G73">
            <v>1830</v>
          </cell>
          <cell r="H73">
            <v>1628</v>
          </cell>
          <cell r="I73">
            <v>3148</v>
          </cell>
          <cell r="J73">
            <v>0</v>
          </cell>
          <cell r="K73">
            <v>6606</v>
          </cell>
          <cell r="L73"/>
          <cell r="M73">
            <v>61</v>
          </cell>
          <cell r="N73">
            <v>0</v>
          </cell>
          <cell r="O73">
            <v>1028</v>
          </cell>
          <cell r="P73">
            <v>1089</v>
          </cell>
          <cell r="Q73"/>
          <cell r="R73">
            <v>3295</v>
          </cell>
          <cell r="S73">
            <v>-607</v>
          </cell>
          <cell r="T73">
            <v>2688</v>
          </cell>
        </row>
        <row r="74">
          <cell r="A74">
            <v>90861</v>
          </cell>
          <cell r="B74" t="str">
            <v xml:space="preserve"> LEWISTON WOODVILLE</v>
          </cell>
          <cell r="C74">
            <v>7.7999999999999999E-6</v>
          </cell>
          <cell r="D74">
            <v>4.1999999999999996E-6</v>
          </cell>
          <cell r="E74">
            <v>18504</v>
          </cell>
          <cell r="F74" t="str">
            <v xml:space="preserve">   </v>
          </cell>
          <cell r="G74">
            <v>2855</v>
          </cell>
          <cell r="H74">
            <v>2540</v>
          </cell>
          <cell r="I74">
            <v>4910</v>
          </cell>
          <cell r="J74">
            <v>6531</v>
          </cell>
          <cell r="K74">
            <v>16836</v>
          </cell>
          <cell r="L74"/>
          <cell r="M74">
            <v>96</v>
          </cell>
          <cell r="N74">
            <v>0</v>
          </cell>
          <cell r="O74">
            <v>0</v>
          </cell>
          <cell r="P74">
            <v>96</v>
          </cell>
          <cell r="Q74"/>
          <cell r="R74">
            <v>5140</v>
          </cell>
          <cell r="S74">
            <v>1362</v>
          </cell>
          <cell r="T74">
            <v>6502</v>
          </cell>
        </row>
        <row r="75">
          <cell r="A75">
            <v>90901</v>
          </cell>
          <cell r="B75" t="str">
            <v>BLADEN COUNTY</v>
          </cell>
          <cell r="C75">
            <v>2.1440000000000001E-3</v>
          </cell>
          <cell r="D75">
            <v>2.1814999999999998E-3</v>
          </cell>
          <cell r="E75">
            <v>5086301</v>
          </cell>
          <cell r="F75" t="str">
            <v xml:space="preserve">   </v>
          </cell>
          <cell r="G75">
            <v>784695</v>
          </cell>
          <cell r="H75">
            <v>698198</v>
          </cell>
          <cell r="I75">
            <v>1349708</v>
          </cell>
          <cell r="J75">
            <v>13390</v>
          </cell>
          <cell r="K75">
            <v>2845991</v>
          </cell>
          <cell r="L75"/>
          <cell r="M75">
            <v>26330</v>
          </cell>
          <cell r="N75">
            <v>0</v>
          </cell>
          <cell r="O75">
            <v>28266</v>
          </cell>
          <cell r="P75">
            <v>54596</v>
          </cell>
          <cell r="Q75"/>
          <cell r="R75">
            <v>1412838</v>
          </cell>
          <cell r="S75">
            <v>-7333</v>
          </cell>
          <cell r="T75">
            <v>1405505</v>
          </cell>
        </row>
        <row r="76">
          <cell r="A76">
            <v>90911</v>
          </cell>
          <cell r="B76" t="str">
            <v xml:space="preserve"> ELIZABETHTOWN</v>
          </cell>
          <cell r="C76">
            <v>4.037E-4</v>
          </cell>
          <cell r="D76">
            <v>3.9780000000000002E-4</v>
          </cell>
          <cell r="E76">
            <v>957714</v>
          </cell>
          <cell r="F76" t="str">
            <v xml:space="preserve">   </v>
          </cell>
          <cell r="G76">
            <v>147753</v>
          </cell>
          <cell r="H76">
            <v>131466</v>
          </cell>
          <cell r="I76">
            <v>254140</v>
          </cell>
          <cell r="J76">
            <v>5104</v>
          </cell>
          <cell r="K76">
            <v>538463</v>
          </cell>
          <cell r="L76"/>
          <cell r="M76">
            <v>4958</v>
          </cell>
          <cell r="N76">
            <v>0</v>
          </cell>
          <cell r="O76">
            <v>27769</v>
          </cell>
          <cell r="P76">
            <v>32727</v>
          </cell>
          <cell r="Q76"/>
          <cell r="R76">
            <v>266027</v>
          </cell>
          <cell r="S76">
            <v>-22253</v>
          </cell>
          <cell r="T76">
            <v>243774</v>
          </cell>
        </row>
        <row r="77">
          <cell r="A77">
            <v>90917</v>
          </cell>
          <cell r="B77" t="str">
            <v>ELIZABETHTOWN ABC BOARD</v>
          </cell>
          <cell r="C77">
            <v>1.1800000000000001E-5</v>
          </cell>
          <cell r="D77">
            <v>1.4399999999999999E-5</v>
          </cell>
          <cell r="E77">
            <v>27994</v>
          </cell>
          <cell r="F77" t="str">
            <v xml:space="preserve"> </v>
          </cell>
          <cell r="G77">
            <v>4319</v>
          </cell>
          <cell r="H77">
            <v>3843</v>
          </cell>
          <cell r="I77">
            <v>7428</v>
          </cell>
          <cell r="J77">
            <v>910</v>
          </cell>
          <cell r="K77">
            <v>16500</v>
          </cell>
          <cell r="L77"/>
          <cell r="M77">
            <v>145</v>
          </cell>
          <cell r="N77">
            <v>0</v>
          </cell>
          <cell r="O77">
            <v>1772</v>
          </cell>
          <cell r="P77">
            <v>1917</v>
          </cell>
          <cell r="Q77"/>
          <cell r="R77">
            <v>7776</v>
          </cell>
          <cell r="S77">
            <v>-363</v>
          </cell>
          <cell r="T77">
            <v>7413</v>
          </cell>
        </row>
        <row r="78">
          <cell r="A78">
            <v>90918</v>
          </cell>
          <cell r="B78" t="str">
            <v>SOUTH EASTERN ECONOMIC DEVELOPMENT COMM</v>
          </cell>
          <cell r="C78">
            <v>1.13E-5</v>
          </cell>
          <cell r="D78">
            <v>1.19E-5</v>
          </cell>
          <cell r="E78">
            <v>26807</v>
          </cell>
          <cell r="F78" t="str">
            <v xml:space="preserve"> </v>
          </cell>
          <cell r="G78">
            <v>4136</v>
          </cell>
          <cell r="H78">
            <v>3680</v>
          </cell>
          <cell r="I78">
            <v>7114</v>
          </cell>
          <cell r="J78">
            <v>0</v>
          </cell>
          <cell r="K78">
            <v>14930</v>
          </cell>
          <cell r="L78"/>
          <cell r="M78">
            <v>139</v>
          </cell>
          <cell r="N78">
            <v>0</v>
          </cell>
          <cell r="O78">
            <v>2292</v>
          </cell>
          <cell r="P78">
            <v>2431</v>
          </cell>
          <cell r="Q78"/>
          <cell r="R78">
            <v>7446</v>
          </cell>
          <cell r="S78">
            <v>-1290</v>
          </cell>
          <cell r="T78">
            <v>6156</v>
          </cell>
        </row>
        <row r="79">
          <cell r="A79">
            <v>90921</v>
          </cell>
          <cell r="B79" t="str">
            <v xml:space="preserve"> WHITE LAKE</v>
          </cell>
          <cell r="C79">
            <v>1.2789999999999999E-4</v>
          </cell>
          <cell r="D79">
            <v>1.2970000000000001E-4</v>
          </cell>
          <cell r="E79">
            <v>303423</v>
          </cell>
          <cell r="F79" t="str">
            <v xml:space="preserve"> </v>
          </cell>
          <cell r="G79">
            <v>46811</v>
          </cell>
          <cell r="H79">
            <v>41651</v>
          </cell>
          <cell r="I79">
            <v>80517</v>
          </cell>
          <cell r="J79">
            <v>22540</v>
          </cell>
          <cell r="K79">
            <v>191519</v>
          </cell>
          <cell r="L79"/>
          <cell r="M79">
            <v>1571</v>
          </cell>
          <cell r="N79">
            <v>0</v>
          </cell>
          <cell r="O79">
            <v>4483</v>
          </cell>
          <cell r="P79">
            <v>6054</v>
          </cell>
          <cell r="Q79"/>
          <cell r="R79">
            <v>84283</v>
          </cell>
          <cell r="S79">
            <v>4862</v>
          </cell>
          <cell r="T79">
            <v>89145</v>
          </cell>
        </row>
        <row r="80">
          <cell r="A80">
            <v>90931</v>
          </cell>
          <cell r="B80" t="str">
            <v xml:space="preserve"> CLARKTON</v>
          </cell>
          <cell r="C80">
            <v>3.8099999999999998E-5</v>
          </cell>
          <cell r="D80">
            <v>4.07E-5</v>
          </cell>
          <cell r="E80">
            <v>90386</v>
          </cell>
          <cell r="F80" t="str">
            <v xml:space="preserve"> </v>
          </cell>
          <cell r="G80">
            <v>13944</v>
          </cell>
          <cell r="H80">
            <v>12407</v>
          </cell>
          <cell r="I80">
            <v>23985</v>
          </cell>
          <cell r="J80">
            <v>1061</v>
          </cell>
          <cell r="K80">
            <v>51397</v>
          </cell>
          <cell r="L80"/>
          <cell r="M80">
            <v>468</v>
          </cell>
          <cell r="N80">
            <v>0</v>
          </cell>
          <cell r="O80">
            <v>13836</v>
          </cell>
          <cell r="P80">
            <v>14304</v>
          </cell>
          <cell r="Q80"/>
          <cell r="R80">
            <v>25107</v>
          </cell>
          <cell r="S80">
            <v>-2235</v>
          </cell>
          <cell r="T80">
            <v>22872</v>
          </cell>
        </row>
        <row r="81">
          <cell r="A81">
            <v>90941</v>
          </cell>
          <cell r="B81" t="str">
            <v xml:space="preserve"> BLADENBORO</v>
          </cell>
          <cell r="C81">
            <v>8.2000000000000001E-5</v>
          </cell>
          <cell r="D81">
            <v>7.0300000000000001E-5</v>
          </cell>
          <cell r="E81">
            <v>194532</v>
          </cell>
          <cell r="F81" t="str">
            <v xml:space="preserve"> </v>
          </cell>
          <cell r="G81">
            <v>30012</v>
          </cell>
          <cell r="H81">
            <v>26704</v>
          </cell>
          <cell r="I81">
            <v>51621</v>
          </cell>
          <cell r="J81">
            <v>8606</v>
          </cell>
          <cell r="K81">
            <v>116943</v>
          </cell>
          <cell r="L81"/>
          <cell r="M81">
            <v>1007</v>
          </cell>
          <cell r="N81">
            <v>0</v>
          </cell>
          <cell r="O81">
            <v>10455</v>
          </cell>
          <cell r="P81">
            <v>11462</v>
          </cell>
          <cell r="Q81"/>
          <cell r="R81">
            <v>54036</v>
          </cell>
          <cell r="S81">
            <v>-3109</v>
          </cell>
          <cell r="T81">
            <v>50927</v>
          </cell>
        </row>
        <row r="82">
          <cell r="A82">
            <v>91001</v>
          </cell>
          <cell r="B82" t="str">
            <v>BRUNSWICK COUNTY</v>
          </cell>
          <cell r="C82">
            <v>6.6366999999999997E-3</v>
          </cell>
          <cell r="D82">
            <v>6.6703999999999999E-3</v>
          </cell>
          <cell r="E82">
            <v>15744522</v>
          </cell>
          <cell r="F82" t="str">
            <v xml:space="preserve"> </v>
          </cell>
          <cell r="G82">
            <v>2429006</v>
          </cell>
          <cell r="H82">
            <v>2161254</v>
          </cell>
          <cell r="I82">
            <v>4177988</v>
          </cell>
          <cell r="J82">
            <v>0</v>
          </cell>
          <cell r="K82">
            <v>8768248</v>
          </cell>
          <cell r="L82"/>
          <cell r="M82">
            <v>81505</v>
          </cell>
          <cell r="N82">
            <v>0</v>
          </cell>
          <cell r="O82">
            <v>332799</v>
          </cell>
          <cell r="P82">
            <v>414304</v>
          </cell>
          <cell r="Q82"/>
          <cell r="R82">
            <v>4373406</v>
          </cell>
          <cell r="S82">
            <v>-87933</v>
          </cell>
          <cell r="T82">
            <v>4285473</v>
          </cell>
        </row>
        <row r="83">
          <cell r="A83">
            <v>91002</v>
          </cell>
          <cell r="B83" t="str">
            <v xml:space="preserve"> LELAND</v>
          </cell>
          <cell r="C83">
            <v>9.4410000000000002E-4</v>
          </cell>
          <cell r="D83">
            <v>6.8860000000000004E-4</v>
          </cell>
          <cell r="E83">
            <v>2239728</v>
          </cell>
          <cell r="F83" t="str">
            <v xml:space="preserve"> </v>
          </cell>
          <cell r="G83">
            <v>345537</v>
          </cell>
          <cell r="H83">
            <v>307448</v>
          </cell>
          <cell r="I83">
            <v>594337</v>
          </cell>
          <cell r="J83">
            <v>166396</v>
          </cell>
          <cell r="K83">
            <v>1413718</v>
          </cell>
          <cell r="L83"/>
          <cell r="M83">
            <v>11594</v>
          </cell>
          <cell r="N83">
            <v>0</v>
          </cell>
          <cell r="O83">
            <v>27902</v>
          </cell>
          <cell r="P83">
            <v>39496</v>
          </cell>
          <cell r="Q83"/>
          <cell r="R83">
            <v>622136</v>
          </cell>
          <cell r="S83">
            <v>25830</v>
          </cell>
          <cell r="T83">
            <v>647966</v>
          </cell>
        </row>
        <row r="84">
          <cell r="A84">
            <v>91003</v>
          </cell>
          <cell r="B84" t="str">
            <v>BRUNSWICK CO HEALTH DEPT</v>
          </cell>
          <cell r="C84">
            <v>5.354E-4</v>
          </cell>
          <cell r="D84">
            <v>5.7260000000000004E-4</v>
          </cell>
          <cell r="E84">
            <v>1270152</v>
          </cell>
          <cell r="F84" t="str">
            <v xml:space="preserve"> </v>
          </cell>
          <cell r="G84">
            <v>195954</v>
          </cell>
          <cell r="H84">
            <v>174354</v>
          </cell>
          <cell r="I84">
            <v>337049</v>
          </cell>
          <cell r="J84">
            <v>10600</v>
          </cell>
          <cell r="K84">
            <v>717957</v>
          </cell>
          <cell r="L84"/>
          <cell r="M84">
            <v>6575</v>
          </cell>
          <cell r="N84">
            <v>0</v>
          </cell>
          <cell r="O84">
            <v>38265</v>
          </cell>
          <cell r="P84">
            <v>44840</v>
          </cell>
          <cell r="Q84"/>
          <cell r="R84">
            <v>352814</v>
          </cell>
          <cell r="S84">
            <v>2232</v>
          </cell>
          <cell r="T84">
            <v>355046</v>
          </cell>
        </row>
        <row r="85">
          <cell r="A85">
            <v>91004</v>
          </cell>
          <cell r="B85" t="str">
            <v>BRUNSWICK COUNTY ABC BOARD</v>
          </cell>
          <cell r="C85">
            <v>3.6600000000000002E-5</v>
          </cell>
          <cell r="D85">
            <v>2.58E-5</v>
          </cell>
          <cell r="E85">
            <v>86828</v>
          </cell>
          <cell r="F85" t="str">
            <v xml:space="preserve"> </v>
          </cell>
          <cell r="G85">
            <v>13395</v>
          </cell>
          <cell r="H85">
            <v>11919</v>
          </cell>
          <cell r="I85">
            <v>23041</v>
          </cell>
          <cell r="J85">
            <v>15071</v>
          </cell>
          <cell r="K85">
            <v>63426</v>
          </cell>
          <cell r="L85"/>
          <cell r="M85">
            <v>449</v>
          </cell>
          <cell r="N85">
            <v>0</v>
          </cell>
          <cell r="O85">
            <v>0</v>
          </cell>
          <cell r="P85">
            <v>449</v>
          </cell>
          <cell r="Q85"/>
          <cell r="R85">
            <v>24118</v>
          </cell>
          <cell r="S85">
            <v>6104</v>
          </cell>
          <cell r="T85">
            <v>30222</v>
          </cell>
        </row>
        <row r="86">
          <cell r="A86">
            <v>91006</v>
          </cell>
          <cell r="B86" t="str">
            <v>BRUNSWICK CO DEPT OF SOCIAL SERVICES</v>
          </cell>
          <cell r="C86">
            <v>1.0660999999999999E-3</v>
          </cell>
          <cell r="D86">
            <v>1.0317E-3</v>
          </cell>
          <cell r="E86">
            <v>2529154</v>
          </cell>
          <cell r="F86" t="str">
            <v xml:space="preserve"> </v>
          </cell>
          <cell r="G86">
            <v>390188</v>
          </cell>
          <cell r="H86">
            <v>347177</v>
          </cell>
          <cell r="I86">
            <v>671140</v>
          </cell>
          <cell r="J86">
            <v>7631</v>
          </cell>
          <cell r="K86">
            <v>1416136</v>
          </cell>
          <cell r="L86"/>
          <cell r="M86">
            <v>13093</v>
          </cell>
          <cell r="N86">
            <v>0</v>
          </cell>
          <cell r="O86">
            <v>29301</v>
          </cell>
          <cell r="P86">
            <v>42394</v>
          </cell>
          <cell r="Q86"/>
          <cell r="R86">
            <v>702531</v>
          </cell>
          <cell r="S86">
            <v>-205</v>
          </cell>
          <cell r="T86">
            <v>702326</v>
          </cell>
        </row>
        <row r="87">
          <cell r="A87">
            <v>91007</v>
          </cell>
          <cell r="B87" t="str">
            <v>CALABASH ABC BOARD</v>
          </cell>
          <cell r="C87">
            <v>8.4999999999999999E-6</v>
          </cell>
          <cell r="D87">
            <v>9.5000000000000005E-6</v>
          </cell>
          <cell r="E87">
            <v>20165</v>
          </cell>
          <cell r="F87" t="str">
            <v xml:space="preserve"> </v>
          </cell>
          <cell r="G87">
            <v>3111</v>
          </cell>
          <cell r="H87">
            <v>2768</v>
          </cell>
          <cell r="I87">
            <v>5351</v>
          </cell>
          <cell r="J87">
            <v>4888</v>
          </cell>
          <cell r="K87">
            <v>16118</v>
          </cell>
          <cell r="L87"/>
          <cell r="M87">
            <v>104</v>
          </cell>
          <cell r="N87">
            <v>0</v>
          </cell>
          <cell r="O87">
            <v>0</v>
          </cell>
          <cell r="P87">
            <v>104</v>
          </cell>
          <cell r="Q87"/>
          <cell r="R87">
            <v>5601</v>
          </cell>
          <cell r="S87">
            <v>2173</v>
          </cell>
          <cell r="T87">
            <v>7774</v>
          </cell>
        </row>
        <row r="88">
          <cell r="A88">
            <v>91008</v>
          </cell>
          <cell r="B88" t="str">
            <v>CAPE FEAR COUNCIL OF GOVERNMENTS</v>
          </cell>
          <cell r="C88">
            <v>1.3909999999999999E-4</v>
          </cell>
          <cell r="D88">
            <v>1.236E-4</v>
          </cell>
          <cell r="E88">
            <v>329993</v>
          </cell>
          <cell r="F88" t="str">
            <v xml:space="preserve"> </v>
          </cell>
          <cell r="G88">
            <v>50910</v>
          </cell>
          <cell r="H88">
            <v>45298</v>
          </cell>
          <cell r="I88">
            <v>87567</v>
          </cell>
          <cell r="J88">
            <v>36233</v>
          </cell>
          <cell r="K88">
            <v>220008</v>
          </cell>
          <cell r="L88"/>
          <cell r="M88">
            <v>1708</v>
          </cell>
          <cell r="N88">
            <v>0</v>
          </cell>
          <cell r="O88">
            <v>0</v>
          </cell>
          <cell r="P88">
            <v>1708</v>
          </cell>
          <cell r="Q88"/>
          <cell r="R88">
            <v>91663</v>
          </cell>
          <cell r="S88">
            <v>21688</v>
          </cell>
          <cell r="T88">
            <v>113351</v>
          </cell>
        </row>
        <row r="89">
          <cell r="A89">
            <v>91009</v>
          </cell>
          <cell r="B89" t="str">
            <v>BRUNSWICK COUNTY TOURISM AUTHORITY</v>
          </cell>
          <cell r="C89">
            <v>1.59E-5</v>
          </cell>
          <cell r="D89">
            <v>1.7499999999999998E-5</v>
          </cell>
          <cell r="E89">
            <v>37720</v>
          </cell>
          <cell r="F89" t="str">
            <v xml:space="preserve"> </v>
          </cell>
          <cell r="G89">
            <v>5819</v>
          </cell>
          <cell r="H89">
            <v>5178</v>
          </cell>
          <cell r="I89">
            <v>10009</v>
          </cell>
          <cell r="J89">
            <v>5304</v>
          </cell>
          <cell r="K89">
            <v>26310</v>
          </cell>
          <cell r="L89"/>
          <cell r="M89">
            <v>195</v>
          </cell>
          <cell r="N89">
            <v>0</v>
          </cell>
          <cell r="O89">
            <v>1101</v>
          </cell>
          <cell r="P89">
            <v>1296</v>
          </cell>
          <cell r="Q89"/>
          <cell r="R89">
            <v>10478</v>
          </cell>
          <cell r="S89">
            <v>660</v>
          </cell>
          <cell r="T89">
            <v>11138</v>
          </cell>
        </row>
        <row r="90">
          <cell r="A90">
            <v>91010</v>
          </cell>
          <cell r="B90" t="str">
            <v xml:space="preserve"> CALABASH</v>
          </cell>
          <cell r="C90">
            <v>5.8699999999999997E-5</v>
          </cell>
          <cell r="D90">
            <v>7.0099999999999996E-5</v>
          </cell>
          <cell r="E90">
            <v>139256</v>
          </cell>
          <cell r="F90" t="str">
            <v xml:space="preserve"> </v>
          </cell>
          <cell r="G90">
            <v>21484</v>
          </cell>
          <cell r="H90">
            <v>19115</v>
          </cell>
          <cell r="I90">
            <v>36953</v>
          </cell>
          <cell r="J90">
            <v>2787</v>
          </cell>
          <cell r="K90">
            <v>80339</v>
          </cell>
          <cell r="L90"/>
          <cell r="M90">
            <v>721</v>
          </cell>
          <cell r="N90">
            <v>0</v>
          </cell>
          <cell r="O90">
            <v>6905</v>
          </cell>
          <cell r="P90">
            <v>7626</v>
          </cell>
          <cell r="Q90"/>
          <cell r="R90">
            <v>38682</v>
          </cell>
          <cell r="S90">
            <v>3034</v>
          </cell>
          <cell r="T90">
            <v>41716</v>
          </cell>
        </row>
        <row r="91">
          <cell r="A91">
            <v>91011</v>
          </cell>
          <cell r="B91" t="str">
            <v>CITY OF SOUTHPORT</v>
          </cell>
          <cell r="C91">
            <v>3.6509999999999998E-4</v>
          </cell>
          <cell r="D91">
            <v>3.5760000000000002E-4</v>
          </cell>
          <cell r="E91">
            <v>866142</v>
          </cell>
          <cell r="F91" t="str">
            <v xml:space="preserve"> </v>
          </cell>
          <cell r="G91">
            <v>133625</v>
          </cell>
          <cell r="H91">
            <v>118896</v>
          </cell>
          <cell r="I91">
            <v>229841</v>
          </cell>
          <cell r="J91">
            <v>27536</v>
          </cell>
          <cell r="K91">
            <v>509898</v>
          </cell>
          <cell r="L91"/>
          <cell r="M91">
            <v>4484</v>
          </cell>
          <cell r="N91">
            <v>0</v>
          </cell>
          <cell r="O91">
            <v>1497</v>
          </cell>
          <cell r="P91">
            <v>5981</v>
          </cell>
          <cell r="Q91"/>
          <cell r="R91">
            <v>240591</v>
          </cell>
          <cell r="S91">
            <v>15734</v>
          </cell>
          <cell r="T91">
            <v>256325</v>
          </cell>
        </row>
        <row r="92">
          <cell r="A92">
            <v>91012</v>
          </cell>
          <cell r="B92" t="str">
            <v>CITY OF NORTHWEST</v>
          </cell>
          <cell r="C92">
            <v>1.42E-5</v>
          </cell>
          <cell r="D92">
            <v>1.9300000000000002E-5</v>
          </cell>
          <cell r="E92">
            <v>33687</v>
          </cell>
          <cell r="F92" t="str">
            <v xml:space="preserve"> </v>
          </cell>
          <cell r="G92">
            <v>5197</v>
          </cell>
          <cell r="H92">
            <v>4624</v>
          </cell>
          <cell r="I92">
            <v>8939</v>
          </cell>
          <cell r="J92">
            <v>3786</v>
          </cell>
          <cell r="K92">
            <v>22546</v>
          </cell>
          <cell r="L92"/>
          <cell r="M92">
            <v>174</v>
          </cell>
          <cell r="N92">
            <v>0</v>
          </cell>
          <cell r="O92">
            <v>3306</v>
          </cell>
          <cell r="P92">
            <v>3480</v>
          </cell>
          <cell r="Q92"/>
          <cell r="R92">
            <v>9357</v>
          </cell>
          <cell r="S92">
            <v>-1418</v>
          </cell>
          <cell r="T92">
            <v>7939</v>
          </cell>
        </row>
        <row r="93">
          <cell r="A93">
            <v>91013</v>
          </cell>
          <cell r="B93" t="str">
            <v>SOUTHEAST BRUNSWICK SANITARY DISTRICT</v>
          </cell>
          <cell r="C93">
            <v>1.9899999999999999E-5</v>
          </cell>
          <cell r="D93">
            <v>2.34E-5</v>
          </cell>
          <cell r="E93">
            <v>47210</v>
          </cell>
          <cell r="F93" t="str">
            <v xml:space="preserve"> </v>
          </cell>
          <cell r="G93">
            <v>7283</v>
          </cell>
          <cell r="H93">
            <v>6481</v>
          </cell>
          <cell r="I93">
            <v>12528</v>
          </cell>
          <cell r="J93">
            <v>39132</v>
          </cell>
          <cell r="K93">
            <v>65424</v>
          </cell>
          <cell r="L93"/>
          <cell r="M93">
            <v>244</v>
          </cell>
          <cell r="N93">
            <v>0</v>
          </cell>
          <cell r="O93">
            <v>0</v>
          </cell>
          <cell r="P93">
            <v>244</v>
          </cell>
          <cell r="Q93"/>
          <cell r="R93">
            <v>13114</v>
          </cell>
          <cell r="S93">
            <v>13739</v>
          </cell>
          <cell r="T93">
            <v>26853</v>
          </cell>
        </row>
        <row r="94">
          <cell r="A94">
            <v>91014</v>
          </cell>
          <cell r="B94" t="str">
            <v xml:space="preserve"> HOLDEN BEACH</v>
          </cell>
          <cell r="C94">
            <v>2.02E-4</v>
          </cell>
          <cell r="D94">
            <v>2.22E-4</v>
          </cell>
          <cell r="E94">
            <v>479213</v>
          </cell>
          <cell r="F94" t="str">
            <v xml:space="preserve"> </v>
          </cell>
          <cell r="G94">
            <v>73931</v>
          </cell>
          <cell r="H94">
            <v>65782</v>
          </cell>
          <cell r="I94">
            <v>127165</v>
          </cell>
          <cell r="J94">
            <v>986</v>
          </cell>
          <cell r="K94">
            <v>267864</v>
          </cell>
          <cell r="L94"/>
          <cell r="M94">
            <v>2481</v>
          </cell>
          <cell r="N94">
            <v>0</v>
          </cell>
          <cell r="O94">
            <v>19420</v>
          </cell>
          <cell r="P94">
            <v>21901</v>
          </cell>
          <cell r="Q94"/>
          <cell r="R94">
            <v>133113</v>
          </cell>
          <cell r="S94">
            <v>-9738</v>
          </cell>
          <cell r="T94">
            <v>123375</v>
          </cell>
        </row>
        <row r="95">
          <cell r="A95">
            <v>91015</v>
          </cell>
          <cell r="B95" t="str">
            <v>CAPE FEAR REGIONAL JETPORT</v>
          </cell>
          <cell r="C95">
            <v>1.9400000000000001E-5</v>
          </cell>
          <cell r="D95">
            <v>0</v>
          </cell>
          <cell r="E95">
            <v>46023</v>
          </cell>
          <cell r="F95" t="str">
            <v xml:space="preserve"> </v>
          </cell>
          <cell r="G95">
            <v>7100</v>
          </cell>
          <cell r="H95">
            <v>6317</v>
          </cell>
          <cell r="I95">
            <v>12213</v>
          </cell>
          <cell r="J95">
            <v>20258</v>
          </cell>
          <cell r="K95">
            <v>45888</v>
          </cell>
          <cell r="L95"/>
          <cell r="M95">
            <v>238</v>
          </cell>
          <cell r="N95">
            <v>0</v>
          </cell>
          <cell r="O95">
            <v>0</v>
          </cell>
          <cell r="P95">
            <v>238</v>
          </cell>
          <cell r="Q95"/>
          <cell r="R95">
            <v>12784</v>
          </cell>
          <cell r="S95">
            <v>5064</v>
          </cell>
          <cell r="T95">
            <v>17848</v>
          </cell>
        </row>
        <row r="96">
          <cell r="A96">
            <v>91017</v>
          </cell>
          <cell r="B96" t="str">
            <v>CITY OF SOUTHPORT ABC BOARD</v>
          </cell>
          <cell r="C96">
            <v>2.3499999999999999E-5</v>
          </cell>
          <cell r="D96">
            <v>2.4300000000000001E-5</v>
          </cell>
          <cell r="E96">
            <v>55750</v>
          </cell>
          <cell r="F96" t="str">
            <v xml:space="preserve"> </v>
          </cell>
          <cell r="G96">
            <v>8601</v>
          </cell>
          <cell r="H96">
            <v>7653</v>
          </cell>
          <cell r="I96">
            <v>14794</v>
          </cell>
          <cell r="J96">
            <v>6947</v>
          </cell>
          <cell r="K96">
            <v>37995</v>
          </cell>
          <cell r="L96"/>
          <cell r="M96">
            <v>289</v>
          </cell>
          <cell r="N96">
            <v>0</v>
          </cell>
          <cell r="O96">
            <v>0</v>
          </cell>
          <cell r="P96">
            <v>289</v>
          </cell>
          <cell r="Q96"/>
          <cell r="R96">
            <v>15486</v>
          </cell>
          <cell r="S96">
            <v>4203</v>
          </cell>
          <cell r="T96">
            <v>19689</v>
          </cell>
        </row>
        <row r="97">
          <cell r="A97">
            <v>91020</v>
          </cell>
          <cell r="B97" t="str">
            <v xml:space="preserve"> BELVILLE</v>
          </cell>
          <cell r="C97">
            <v>2.9200000000000002E-5</v>
          </cell>
          <cell r="D97">
            <v>2.27E-5</v>
          </cell>
          <cell r="E97">
            <v>69272</v>
          </cell>
          <cell r="F97" t="str">
            <v xml:space="preserve"> </v>
          </cell>
          <cell r="G97">
            <v>10687</v>
          </cell>
          <cell r="H97">
            <v>9509</v>
          </cell>
          <cell r="I97">
            <v>18382</v>
          </cell>
          <cell r="J97">
            <v>6791</v>
          </cell>
          <cell r="K97">
            <v>45369</v>
          </cell>
          <cell r="L97"/>
          <cell r="M97">
            <v>359</v>
          </cell>
          <cell r="N97">
            <v>0</v>
          </cell>
          <cell r="O97">
            <v>170</v>
          </cell>
          <cell r="P97">
            <v>529</v>
          </cell>
          <cell r="Q97"/>
          <cell r="R97">
            <v>19242</v>
          </cell>
          <cell r="S97">
            <v>2303</v>
          </cell>
          <cell r="T97">
            <v>21545</v>
          </cell>
        </row>
        <row r="98">
          <cell r="A98">
            <v>91021</v>
          </cell>
          <cell r="B98" t="str">
            <v xml:space="preserve"> OAK ISLAND</v>
          </cell>
          <cell r="C98">
            <v>8.8009999999999998E-4</v>
          </cell>
          <cell r="D98">
            <v>8.6450000000000003E-4</v>
          </cell>
          <cell r="E98">
            <v>2087898</v>
          </cell>
          <cell r="F98" t="str">
            <v xml:space="preserve"> </v>
          </cell>
          <cell r="G98">
            <v>322113</v>
          </cell>
          <cell r="H98">
            <v>286606</v>
          </cell>
          <cell r="I98">
            <v>554048</v>
          </cell>
          <cell r="J98">
            <v>16435</v>
          </cell>
          <cell r="K98">
            <v>1179202</v>
          </cell>
          <cell r="L98"/>
          <cell r="M98">
            <v>10809</v>
          </cell>
          <cell r="N98">
            <v>0</v>
          </cell>
          <cell r="O98">
            <v>34261</v>
          </cell>
          <cell r="P98">
            <v>45070</v>
          </cell>
          <cell r="Q98"/>
          <cell r="R98">
            <v>579962</v>
          </cell>
          <cell r="S98">
            <v>-44308</v>
          </cell>
          <cell r="T98">
            <v>535654</v>
          </cell>
        </row>
        <row r="99">
          <cell r="A99">
            <v>91024</v>
          </cell>
          <cell r="B99" t="str">
            <v xml:space="preserve"> CAROLINA SHORES</v>
          </cell>
          <cell r="C99">
            <v>9.3800000000000003E-5</v>
          </cell>
          <cell r="D99">
            <v>7.2999999999999999E-5</v>
          </cell>
          <cell r="E99">
            <v>222526</v>
          </cell>
          <cell r="F99" t="str">
            <v xml:space="preserve"> </v>
          </cell>
          <cell r="G99">
            <v>34330</v>
          </cell>
          <cell r="H99">
            <v>30546</v>
          </cell>
          <cell r="I99">
            <v>59050</v>
          </cell>
          <cell r="J99">
            <v>29168</v>
          </cell>
          <cell r="K99">
            <v>153094</v>
          </cell>
          <cell r="L99"/>
          <cell r="M99">
            <v>1152</v>
          </cell>
          <cell r="N99">
            <v>0</v>
          </cell>
          <cell r="O99">
            <v>0</v>
          </cell>
          <cell r="P99">
            <v>1152</v>
          </cell>
          <cell r="Q99"/>
          <cell r="R99">
            <v>61812</v>
          </cell>
          <cell r="S99">
            <v>14801</v>
          </cell>
          <cell r="T99">
            <v>76613</v>
          </cell>
        </row>
        <row r="100">
          <cell r="A100">
            <v>91026</v>
          </cell>
          <cell r="B100" t="str">
            <v xml:space="preserve"> NAVASSA</v>
          </cell>
          <cell r="C100">
            <v>4.5599999999999997E-5</v>
          </cell>
          <cell r="D100">
            <v>4.18E-5</v>
          </cell>
          <cell r="E100">
            <v>108179</v>
          </cell>
          <cell r="F100" t="str">
            <v xml:space="preserve"> </v>
          </cell>
          <cell r="G100">
            <v>16689</v>
          </cell>
          <cell r="H100">
            <v>14849</v>
          </cell>
          <cell r="I100">
            <v>28706</v>
          </cell>
          <cell r="J100">
            <v>42442</v>
          </cell>
          <cell r="K100">
            <v>102686</v>
          </cell>
          <cell r="L100"/>
          <cell r="M100">
            <v>560</v>
          </cell>
          <cell r="N100">
            <v>0</v>
          </cell>
          <cell r="O100">
            <v>0</v>
          </cell>
          <cell r="P100">
            <v>560</v>
          </cell>
          <cell r="Q100"/>
          <cell r="R100">
            <v>30049</v>
          </cell>
          <cell r="S100">
            <v>17241</v>
          </cell>
          <cell r="T100">
            <v>47290</v>
          </cell>
        </row>
        <row r="101">
          <cell r="A101">
            <v>91027</v>
          </cell>
          <cell r="B101" t="str">
            <v>OAK ISLAND ABC BD</v>
          </cell>
          <cell r="C101">
            <v>1.6699999999999999E-5</v>
          </cell>
          <cell r="D101">
            <v>1.4E-5</v>
          </cell>
          <cell r="E101">
            <v>39618</v>
          </cell>
          <cell r="F101" t="str">
            <v xml:space="preserve"> </v>
          </cell>
          <cell r="G101">
            <v>6112</v>
          </cell>
          <cell r="H101">
            <v>5439</v>
          </cell>
          <cell r="I101">
            <v>10513</v>
          </cell>
          <cell r="J101">
            <v>16743</v>
          </cell>
          <cell r="K101">
            <v>38807</v>
          </cell>
          <cell r="L101"/>
          <cell r="M101">
            <v>205</v>
          </cell>
          <cell r="N101">
            <v>0</v>
          </cell>
          <cell r="O101">
            <v>0</v>
          </cell>
          <cell r="P101">
            <v>205</v>
          </cell>
          <cell r="Q101"/>
          <cell r="R101">
            <v>11005</v>
          </cell>
          <cell r="S101">
            <v>8336</v>
          </cell>
          <cell r="T101">
            <v>19341</v>
          </cell>
        </row>
        <row r="102">
          <cell r="A102">
            <v>91032</v>
          </cell>
          <cell r="B102" t="str">
            <v xml:space="preserve"> ST JAMES</v>
          </cell>
          <cell r="C102">
            <v>1.6399999999999999E-5</v>
          </cell>
          <cell r="D102">
            <v>1.8E-5</v>
          </cell>
          <cell r="E102">
            <v>38906</v>
          </cell>
          <cell r="F102" t="str">
            <v xml:space="preserve"> </v>
          </cell>
          <cell r="G102">
            <v>6002</v>
          </cell>
          <cell r="H102">
            <v>5341</v>
          </cell>
          <cell r="I102">
            <v>10324</v>
          </cell>
          <cell r="J102">
            <v>16497</v>
          </cell>
          <cell r="K102">
            <v>38164</v>
          </cell>
          <cell r="L102"/>
          <cell r="M102">
            <v>201</v>
          </cell>
          <cell r="N102">
            <v>0</v>
          </cell>
          <cell r="O102">
            <v>0</v>
          </cell>
          <cell r="P102">
            <v>201</v>
          </cell>
          <cell r="Q102"/>
          <cell r="R102">
            <v>10807</v>
          </cell>
          <cell r="S102">
            <v>8433</v>
          </cell>
          <cell r="T102">
            <v>19240</v>
          </cell>
        </row>
        <row r="103">
          <cell r="A103">
            <v>91041</v>
          </cell>
          <cell r="B103" t="str">
            <v xml:space="preserve"> SUNSET BEACH</v>
          </cell>
          <cell r="C103">
            <v>4.373E-4</v>
          </cell>
          <cell r="D103">
            <v>4.0400000000000001E-4</v>
          </cell>
          <cell r="E103">
            <v>1037425</v>
          </cell>
          <cell r="F103" t="str">
            <v xml:space="preserve"> </v>
          </cell>
          <cell r="G103">
            <v>160050</v>
          </cell>
          <cell r="H103">
            <v>142408</v>
          </cell>
          <cell r="I103">
            <v>275293</v>
          </cell>
          <cell r="J103">
            <v>0</v>
          </cell>
          <cell r="K103">
            <v>577751</v>
          </cell>
          <cell r="L103"/>
          <cell r="M103">
            <v>5370</v>
          </cell>
          <cell r="N103">
            <v>0</v>
          </cell>
          <cell r="O103">
            <v>74844</v>
          </cell>
          <cell r="P103">
            <v>80214</v>
          </cell>
          <cell r="Q103"/>
          <cell r="R103">
            <v>288169</v>
          </cell>
          <cell r="S103">
            <v>-40195</v>
          </cell>
          <cell r="T103">
            <v>247974</v>
          </cell>
        </row>
        <row r="104">
          <cell r="A104">
            <v>91042</v>
          </cell>
          <cell r="B104" t="str">
            <v>BRUNSWICK REGIONAL WATER AND SEWER H2GO</v>
          </cell>
          <cell r="C104">
            <v>2.6630000000000002E-4</v>
          </cell>
          <cell r="D104">
            <v>2.3360000000000001E-4</v>
          </cell>
          <cell r="E104">
            <v>631755</v>
          </cell>
          <cell r="F104" t="str">
            <v xml:space="preserve"> </v>
          </cell>
          <cell r="G104">
            <v>97465</v>
          </cell>
          <cell r="H104">
            <v>86722</v>
          </cell>
          <cell r="I104">
            <v>167643</v>
          </cell>
          <cell r="J104">
            <v>20600</v>
          </cell>
          <cell r="K104">
            <v>372430</v>
          </cell>
          <cell r="L104"/>
          <cell r="M104">
            <v>3270</v>
          </cell>
          <cell r="N104">
            <v>0</v>
          </cell>
          <cell r="O104">
            <v>4544</v>
          </cell>
          <cell r="P104">
            <v>7814</v>
          </cell>
          <cell r="Q104"/>
          <cell r="R104">
            <v>175485</v>
          </cell>
          <cell r="S104">
            <v>3567</v>
          </cell>
          <cell r="T104">
            <v>179052</v>
          </cell>
        </row>
        <row r="105">
          <cell r="A105">
            <v>91047</v>
          </cell>
          <cell r="B105" t="str">
            <v xml:space="preserve"> SUNSET BEACH ABC BOARD</v>
          </cell>
          <cell r="C105">
            <v>1.24E-5</v>
          </cell>
          <cell r="D105">
            <v>1.31E-5</v>
          </cell>
          <cell r="E105">
            <v>29417</v>
          </cell>
          <cell r="F105" t="str">
            <v xml:space="preserve"> </v>
          </cell>
          <cell r="G105">
            <v>4538</v>
          </cell>
          <cell r="H105">
            <v>4038</v>
          </cell>
          <cell r="I105">
            <v>7806</v>
          </cell>
          <cell r="J105">
            <v>22020</v>
          </cell>
          <cell r="K105">
            <v>38402</v>
          </cell>
          <cell r="L105"/>
          <cell r="M105">
            <v>152</v>
          </cell>
          <cell r="N105">
            <v>0</v>
          </cell>
          <cell r="O105">
            <v>0</v>
          </cell>
          <cell r="P105">
            <v>152</v>
          </cell>
          <cell r="Q105"/>
          <cell r="R105">
            <v>8171</v>
          </cell>
          <cell r="S105">
            <v>9821</v>
          </cell>
          <cell r="T105">
            <v>17992</v>
          </cell>
        </row>
        <row r="106">
          <cell r="A106">
            <v>91051</v>
          </cell>
          <cell r="B106" t="str">
            <v xml:space="preserve"> CASWELL BEACH</v>
          </cell>
          <cell r="C106">
            <v>6.7999999999999999E-5</v>
          </cell>
          <cell r="D106">
            <v>6.6400000000000001E-5</v>
          </cell>
          <cell r="E106">
            <v>161319</v>
          </cell>
          <cell r="F106" t="str">
            <v xml:space="preserve"> </v>
          </cell>
          <cell r="G106">
            <v>24888</v>
          </cell>
          <cell r="H106">
            <v>22144</v>
          </cell>
          <cell r="I106">
            <v>42808</v>
          </cell>
          <cell r="J106">
            <v>1891</v>
          </cell>
          <cell r="K106">
            <v>91731</v>
          </cell>
          <cell r="L106"/>
          <cell r="M106">
            <v>835</v>
          </cell>
          <cell r="N106">
            <v>0</v>
          </cell>
          <cell r="O106">
            <v>5967</v>
          </cell>
          <cell r="P106">
            <v>6802</v>
          </cell>
          <cell r="Q106"/>
          <cell r="R106">
            <v>44810</v>
          </cell>
          <cell r="S106">
            <v>-1282</v>
          </cell>
          <cell r="T106">
            <v>43528</v>
          </cell>
        </row>
        <row r="107">
          <cell r="A107">
            <v>91057</v>
          </cell>
          <cell r="B107" t="str">
            <v>SHALLOTTE ABC BOARD</v>
          </cell>
          <cell r="C107">
            <v>1.3699999999999999E-5</v>
          </cell>
          <cell r="D107">
            <v>1.4399999999999999E-5</v>
          </cell>
          <cell r="E107">
            <v>32501</v>
          </cell>
          <cell r="F107" t="str">
            <v xml:space="preserve"> </v>
          </cell>
          <cell r="G107">
            <v>5014</v>
          </cell>
          <cell r="H107">
            <v>4461</v>
          </cell>
          <cell r="I107">
            <v>8625</v>
          </cell>
          <cell r="J107">
            <v>6313</v>
          </cell>
          <cell r="K107">
            <v>24413</v>
          </cell>
          <cell r="L107"/>
          <cell r="M107">
            <v>168</v>
          </cell>
          <cell r="N107">
            <v>0</v>
          </cell>
          <cell r="O107">
            <v>0</v>
          </cell>
          <cell r="P107">
            <v>168</v>
          </cell>
          <cell r="Q107"/>
          <cell r="R107">
            <v>9028</v>
          </cell>
          <cell r="S107">
            <v>2864</v>
          </cell>
          <cell r="T107">
            <v>11892</v>
          </cell>
        </row>
        <row r="108">
          <cell r="A108">
            <v>91061</v>
          </cell>
          <cell r="B108" t="str">
            <v xml:space="preserve"> OCEAN ISLE BEACH</v>
          </cell>
          <cell r="C108">
            <v>3.657E-4</v>
          </cell>
          <cell r="D108">
            <v>4.104E-4</v>
          </cell>
          <cell r="E108">
            <v>867565</v>
          </cell>
          <cell r="F108" t="str">
            <v xml:space="preserve"> </v>
          </cell>
          <cell r="G108">
            <v>133845</v>
          </cell>
          <cell r="H108">
            <v>119091</v>
          </cell>
          <cell r="I108">
            <v>230218</v>
          </cell>
          <cell r="J108">
            <v>13475</v>
          </cell>
          <cell r="K108">
            <v>496629</v>
          </cell>
          <cell r="L108"/>
          <cell r="M108">
            <v>4491</v>
          </cell>
          <cell r="N108">
            <v>0</v>
          </cell>
          <cell r="O108">
            <v>35188</v>
          </cell>
          <cell r="P108">
            <v>39679</v>
          </cell>
          <cell r="Q108"/>
          <cell r="R108">
            <v>240986</v>
          </cell>
          <cell r="S108">
            <v>-19918</v>
          </cell>
          <cell r="T108">
            <v>221068</v>
          </cell>
        </row>
        <row r="109">
          <cell r="A109">
            <v>91067</v>
          </cell>
          <cell r="B109" t="str">
            <v>OCEAN ISLE BEACH ABC BOARD</v>
          </cell>
          <cell r="C109">
            <v>1.6900000000000001E-5</v>
          </cell>
          <cell r="D109">
            <v>1.5699999999999999E-5</v>
          </cell>
          <cell r="E109">
            <v>40093</v>
          </cell>
          <cell r="F109" t="str">
            <v xml:space="preserve"> </v>
          </cell>
          <cell r="G109">
            <v>6185</v>
          </cell>
          <cell r="H109">
            <v>5503</v>
          </cell>
          <cell r="I109">
            <v>10639</v>
          </cell>
          <cell r="J109">
            <v>2715</v>
          </cell>
          <cell r="K109">
            <v>25042</v>
          </cell>
          <cell r="L109"/>
          <cell r="M109">
            <v>208</v>
          </cell>
          <cell r="N109">
            <v>0</v>
          </cell>
          <cell r="O109">
            <v>305</v>
          </cell>
          <cell r="P109">
            <v>513</v>
          </cell>
          <cell r="Q109"/>
          <cell r="R109">
            <v>11137</v>
          </cell>
          <cell r="S109">
            <v>1543</v>
          </cell>
          <cell r="T109">
            <v>12680</v>
          </cell>
        </row>
        <row r="110">
          <cell r="A110">
            <v>91071</v>
          </cell>
          <cell r="B110" t="str">
            <v>CITY OF BOILING SPRG LAKES</v>
          </cell>
          <cell r="C110">
            <v>2.354E-4</v>
          </cell>
          <cell r="D110">
            <v>2.2770000000000001E-4</v>
          </cell>
          <cell r="E110">
            <v>558449</v>
          </cell>
          <cell r="F110" t="str">
            <v xml:space="preserve"> </v>
          </cell>
          <cell r="G110">
            <v>86155</v>
          </cell>
          <cell r="H110">
            <v>76659</v>
          </cell>
          <cell r="I110">
            <v>148191</v>
          </cell>
          <cell r="J110">
            <v>0</v>
          </cell>
          <cell r="K110">
            <v>311005</v>
          </cell>
          <cell r="L110"/>
          <cell r="M110">
            <v>2891</v>
          </cell>
          <cell r="N110">
            <v>0</v>
          </cell>
          <cell r="O110">
            <v>17112</v>
          </cell>
          <cell r="P110">
            <v>20003</v>
          </cell>
          <cell r="Q110"/>
          <cell r="R110">
            <v>155122</v>
          </cell>
          <cell r="S110">
            <v>2083</v>
          </cell>
          <cell r="T110">
            <v>157205</v>
          </cell>
        </row>
        <row r="111">
          <cell r="A111">
            <v>91077</v>
          </cell>
          <cell r="B111" t="str">
            <v>BOILING SPRING LAKES ABC BOARD</v>
          </cell>
          <cell r="C111">
            <v>3.1E-6</v>
          </cell>
          <cell r="D111">
            <v>3.5999999999999998E-6</v>
          </cell>
          <cell r="E111">
            <v>7354</v>
          </cell>
          <cell r="F111" t="str">
            <v xml:space="preserve"> </v>
          </cell>
          <cell r="G111">
            <v>1135</v>
          </cell>
          <cell r="H111">
            <v>1009</v>
          </cell>
          <cell r="I111">
            <v>1952</v>
          </cell>
          <cell r="J111">
            <v>1928</v>
          </cell>
          <cell r="K111">
            <v>6024</v>
          </cell>
          <cell r="L111"/>
          <cell r="M111">
            <v>38</v>
          </cell>
          <cell r="N111">
            <v>0</v>
          </cell>
          <cell r="O111">
            <v>0</v>
          </cell>
          <cell r="P111">
            <v>38</v>
          </cell>
          <cell r="Q111"/>
          <cell r="R111">
            <v>2043</v>
          </cell>
          <cell r="S111">
            <v>728</v>
          </cell>
          <cell r="T111">
            <v>2771</v>
          </cell>
        </row>
        <row r="112">
          <cell r="A112">
            <v>91081</v>
          </cell>
          <cell r="B112" t="str">
            <v xml:space="preserve"> SHALLOTTE</v>
          </cell>
          <cell r="C112">
            <v>3.8870000000000002E-4</v>
          </cell>
          <cell r="D112">
            <v>3.6240000000000003E-4</v>
          </cell>
          <cell r="E112">
            <v>922129</v>
          </cell>
          <cell r="F112" t="str">
            <v xml:space="preserve"> </v>
          </cell>
          <cell r="G112">
            <v>142263</v>
          </cell>
          <cell r="H112">
            <v>126581</v>
          </cell>
          <cell r="I112">
            <v>244698</v>
          </cell>
          <cell r="J112">
            <v>20151</v>
          </cell>
          <cell r="K112">
            <v>533693</v>
          </cell>
          <cell r="L112"/>
          <cell r="M112">
            <v>4774</v>
          </cell>
          <cell r="N112">
            <v>0</v>
          </cell>
          <cell r="O112">
            <v>0</v>
          </cell>
          <cell r="P112">
            <v>4774</v>
          </cell>
          <cell r="Q112"/>
          <cell r="R112">
            <v>256143</v>
          </cell>
          <cell r="S112">
            <v>-8184</v>
          </cell>
          <cell r="T112">
            <v>247959</v>
          </cell>
        </row>
        <row r="113">
          <cell r="A113">
            <v>91091</v>
          </cell>
          <cell r="B113" t="str">
            <v xml:space="preserve"> BALD HEAD ISLAND</v>
          </cell>
          <cell r="C113">
            <v>5.0319999999999998E-4</v>
          </cell>
          <cell r="D113">
            <v>5.3790000000000001E-4</v>
          </cell>
          <cell r="E113">
            <v>1193762</v>
          </cell>
          <cell r="F113" t="str">
            <v xml:space="preserve"> </v>
          </cell>
          <cell r="G113">
            <v>184169</v>
          </cell>
          <cell r="H113">
            <v>163868</v>
          </cell>
          <cell r="I113">
            <v>316778</v>
          </cell>
          <cell r="J113">
            <v>0</v>
          </cell>
          <cell r="K113">
            <v>664815</v>
          </cell>
          <cell r="L113"/>
          <cell r="M113">
            <v>6180</v>
          </cell>
          <cell r="N113">
            <v>0</v>
          </cell>
          <cell r="O113">
            <v>63597</v>
          </cell>
          <cell r="P113">
            <v>69777</v>
          </cell>
          <cell r="Q113"/>
          <cell r="R113">
            <v>331595</v>
          </cell>
          <cell r="S113">
            <v>-37735</v>
          </cell>
          <cell r="T113">
            <v>293860</v>
          </cell>
        </row>
        <row r="114">
          <cell r="A114">
            <v>91101</v>
          </cell>
          <cell r="B114" t="str">
            <v>BUNCOMBE COUNTY</v>
          </cell>
          <cell r="C114">
            <v>1.3608800000000001E-2</v>
          </cell>
          <cell r="D114">
            <v>1.35581E-2</v>
          </cell>
          <cell r="E114">
            <v>32284728</v>
          </cell>
          <cell r="F114" t="str">
            <v xml:space="preserve"> </v>
          </cell>
          <cell r="G114">
            <v>4980766</v>
          </cell>
          <cell r="H114">
            <v>4431733</v>
          </cell>
          <cell r="I114">
            <v>8567121</v>
          </cell>
          <cell r="J114">
            <v>153266</v>
          </cell>
          <cell r="K114">
            <v>18132886</v>
          </cell>
          <cell r="L114"/>
          <cell r="M114">
            <v>167130</v>
          </cell>
          <cell r="N114">
            <v>0</v>
          </cell>
          <cell r="O114">
            <v>611807</v>
          </cell>
          <cell r="P114">
            <v>778937</v>
          </cell>
          <cell r="Q114"/>
          <cell r="R114">
            <v>8967832</v>
          </cell>
          <cell r="S114">
            <v>97540</v>
          </cell>
          <cell r="T114">
            <v>9065372</v>
          </cell>
        </row>
        <row r="115">
          <cell r="A115">
            <v>91102</v>
          </cell>
          <cell r="B115" t="str">
            <v>LAND-OF-SKY REGIONAL COUNCIL</v>
          </cell>
          <cell r="C115">
            <v>3.2509999999999999E-4</v>
          </cell>
          <cell r="D115">
            <v>3.2919999999999998E-4</v>
          </cell>
          <cell r="E115">
            <v>771248</v>
          </cell>
          <cell r="F115" t="str">
            <v xml:space="preserve"> </v>
          </cell>
          <cell r="G115">
            <v>118985</v>
          </cell>
          <cell r="H115">
            <v>105870</v>
          </cell>
          <cell r="I115">
            <v>204660</v>
          </cell>
          <cell r="J115">
            <v>24895</v>
          </cell>
          <cell r="K115">
            <v>454410</v>
          </cell>
          <cell r="L115"/>
          <cell r="M115">
            <v>3993</v>
          </cell>
          <cell r="N115">
            <v>0</v>
          </cell>
          <cell r="O115">
            <v>16541</v>
          </cell>
          <cell r="P115">
            <v>20534</v>
          </cell>
          <cell r="Q115"/>
          <cell r="R115">
            <v>214232</v>
          </cell>
          <cell r="S115">
            <v>-8634</v>
          </cell>
          <cell r="T115">
            <v>205598</v>
          </cell>
        </row>
        <row r="116">
          <cell r="A116">
            <v>91104</v>
          </cell>
          <cell r="B116" t="str">
            <v>WOODFIN ABC COMMISSION</v>
          </cell>
          <cell r="C116">
            <v>6.9999999999999999E-6</v>
          </cell>
          <cell r="D116">
            <v>7.9000000000000006E-6</v>
          </cell>
          <cell r="E116">
            <v>16606</v>
          </cell>
          <cell r="F116" t="str">
            <v xml:space="preserve"> </v>
          </cell>
          <cell r="G116">
            <v>2562</v>
          </cell>
          <cell r="H116">
            <v>2279</v>
          </cell>
          <cell r="I116">
            <v>4407</v>
          </cell>
          <cell r="J116">
            <v>4377</v>
          </cell>
          <cell r="K116">
            <v>13625</v>
          </cell>
          <cell r="L116"/>
          <cell r="M116">
            <v>86</v>
          </cell>
          <cell r="N116">
            <v>0</v>
          </cell>
          <cell r="O116">
            <v>0</v>
          </cell>
          <cell r="P116">
            <v>86</v>
          </cell>
          <cell r="Q116"/>
          <cell r="R116">
            <v>4613</v>
          </cell>
          <cell r="S116">
            <v>1311</v>
          </cell>
          <cell r="T116">
            <v>5924</v>
          </cell>
        </row>
        <row r="117">
          <cell r="A117">
            <v>91107</v>
          </cell>
          <cell r="B117" t="str">
            <v>WESTERN NC REGIONAL AIR QUALITY</v>
          </cell>
          <cell r="C117">
            <v>5.8999999999999998E-5</v>
          </cell>
          <cell r="D117">
            <v>7.08E-5</v>
          </cell>
          <cell r="E117">
            <v>139968</v>
          </cell>
          <cell r="F117" t="str">
            <v xml:space="preserve"> </v>
          </cell>
          <cell r="G117">
            <v>21594</v>
          </cell>
          <cell r="H117">
            <v>19214</v>
          </cell>
          <cell r="I117">
            <v>37142</v>
          </cell>
          <cell r="J117">
            <v>7995</v>
          </cell>
          <cell r="K117">
            <v>85945</v>
          </cell>
          <cell r="L117"/>
          <cell r="M117">
            <v>725</v>
          </cell>
          <cell r="N117">
            <v>0</v>
          </cell>
          <cell r="O117">
            <v>3010</v>
          </cell>
          <cell r="P117">
            <v>3735</v>
          </cell>
          <cell r="Q117"/>
          <cell r="R117">
            <v>38879</v>
          </cell>
          <cell r="S117">
            <v>4395</v>
          </cell>
          <cell r="T117">
            <v>43274</v>
          </cell>
        </row>
        <row r="118">
          <cell r="A118">
            <v>91108</v>
          </cell>
          <cell r="B118" t="str">
            <v>METRO SEWERAGE DIST OF BUNCOMBE COUNTY</v>
          </cell>
          <cell r="C118">
            <v>1.2019000000000001E-3</v>
          </cell>
          <cell r="D118">
            <v>1.2413999999999999E-3</v>
          </cell>
          <cell r="E118">
            <v>2851318</v>
          </cell>
          <cell r="F118" t="str">
            <v xml:space="preserve"> </v>
          </cell>
          <cell r="G118">
            <v>439891</v>
          </cell>
          <cell r="H118">
            <v>391401</v>
          </cell>
          <cell r="I118">
            <v>756630</v>
          </cell>
          <cell r="J118">
            <v>64196</v>
          </cell>
          <cell r="K118">
            <v>1652118</v>
          </cell>
          <cell r="L118"/>
          <cell r="M118">
            <v>14761</v>
          </cell>
          <cell r="N118">
            <v>0</v>
          </cell>
          <cell r="O118">
            <v>0</v>
          </cell>
          <cell r="P118">
            <v>14761</v>
          </cell>
          <cell r="Q118"/>
          <cell r="R118">
            <v>792020</v>
          </cell>
          <cell r="S118">
            <v>40803</v>
          </cell>
          <cell r="T118">
            <v>832823</v>
          </cell>
        </row>
        <row r="119">
          <cell r="A119">
            <v>91109</v>
          </cell>
          <cell r="B119" t="str">
            <v>WOODFIN SANITARY WATER AND SEWER DIST</v>
          </cell>
          <cell r="C119">
            <v>1E-4</v>
          </cell>
          <cell r="D119">
            <v>9.9599999999999995E-5</v>
          </cell>
          <cell r="E119">
            <v>237234</v>
          </cell>
          <cell r="F119" t="str">
            <v xml:space="preserve"> </v>
          </cell>
          <cell r="G119">
            <v>36600</v>
          </cell>
          <cell r="H119">
            <v>32565</v>
          </cell>
          <cell r="I119">
            <v>62953</v>
          </cell>
          <cell r="J119">
            <v>7411</v>
          </cell>
          <cell r="K119">
            <v>139529</v>
          </cell>
          <cell r="L119"/>
          <cell r="M119">
            <v>1228</v>
          </cell>
          <cell r="N119">
            <v>0</v>
          </cell>
          <cell r="O119">
            <v>235</v>
          </cell>
          <cell r="P119">
            <v>1463</v>
          </cell>
          <cell r="Q119"/>
          <cell r="R119">
            <v>65897</v>
          </cell>
          <cell r="S119">
            <v>2068</v>
          </cell>
          <cell r="T119">
            <v>67965</v>
          </cell>
        </row>
        <row r="120">
          <cell r="A120">
            <v>91111</v>
          </cell>
          <cell r="B120" t="str">
            <v xml:space="preserve"> BILTMORE FOREST</v>
          </cell>
          <cell r="C120">
            <v>2.3499999999999999E-4</v>
          </cell>
          <cell r="D120">
            <v>2.2719999999999999E-4</v>
          </cell>
          <cell r="E120">
            <v>557500</v>
          </cell>
          <cell r="F120" t="str">
            <v xml:space="preserve"> </v>
          </cell>
          <cell r="G120">
            <v>86009</v>
          </cell>
          <cell r="H120">
            <v>76528</v>
          </cell>
          <cell r="I120">
            <v>147939</v>
          </cell>
          <cell r="J120">
            <v>19329</v>
          </cell>
          <cell r="K120">
            <v>329805</v>
          </cell>
          <cell r="L120"/>
          <cell r="M120">
            <v>2886</v>
          </cell>
          <cell r="N120">
            <v>0</v>
          </cell>
          <cell r="O120">
            <v>0</v>
          </cell>
          <cell r="P120">
            <v>2886</v>
          </cell>
          <cell r="Q120"/>
          <cell r="R120">
            <v>154859</v>
          </cell>
          <cell r="S120">
            <v>11947</v>
          </cell>
          <cell r="T120">
            <v>166806</v>
          </cell>
        </row>
        <row r="121">
          <cell r="A121">
            <v>91119</v>
          </cell>
          <cell r="B121" t="str">
            <v>WESTERN HIGHLAND AREA AUTHORITY</v>
          </cell>
          <cell r="C121">
            <v>0</v>
          </cell>
          <cell r="D121">
            <v>0</v>
          </cell>
          <cell r="E121">
            <v>0</v>
          </cell>
          <cell r="F121" t="str">
            <v xml:space="preserve"> </v>
          </cell>
          <cell r="G121">
            <v>0</v>
          </cell>
          <cell r="H121">
            <v>0</v>
          </cell>
          <cell r="I121">
            <v>0</v>
          </cell>
          <cell r="J121">
            <v>0</v>
          </cell>
          <cell r="K121">
            <v>0</v>
          </cell>
          <cell r="L121"/>
          <cell r="M121">
            <v>0</v>
          </cell>
          <cell r="N121">
            <v>0</v>
          </cell>
          <cell r="O121">
            <v>0</v>
          </cell>
          <cell r="P121">
            <v>0</v>
          </cell>
          <cell r="Q121"/>
          <cell r="R121">
            <v>0</v>
          </cell>
          <cell r="S121">
            <v>-321091</v>
          </cell>
          <cell r="T121">
            <v>-321091</v>
          </cell>
        </row>
        <row r="122">
          <cell r="A122">
            <v>91120</v>
          </cell>
          <cell r="B122" t="str">
            <v>WEST BUNCOMBE FIRE DEPT</v>
          </cell>
          <cell r="C122">
            <v>1.2679999999999999E-4</v>
          </cell>
          <cell r="D122">
            <v>1.3019999999999999E-4</v>
          </cell>
          <cell r="E122">
            <v>300813</v>
          </cell>
          <cell r="F122" t="str">
            <v xml:space="preserve"> </v>
          </cell>
          <cell r="G122">
            <v>46408</v>
          </cell>
          <cell r="H122">
            <v>41293</v>
          </cell>
          <cell r="I122">
            <v>79824</v>
          </cell>
          <cell r="J122">
            <v>0</v>
          </cell>
          <cell r="K122">
            <v>167525</v>
          </cell>
          <cell r="L122"/>
          <cell r="M122">
            <v>1557</v>
          </cell>
          <cell r="N122">
            <v>0</v>
          </cell>
          <cell r="O122">
            <v>20743</v>
          </cell>
          <cell r="P122">
            <v>22300</v>
          </cell>
          <cell r="Q122"/>
          <cell r="R122">
            <v>83558</v>
          </cell>
          <cell r="S122">
            <v>-14819</v>
          </cell>
          <cell r="T122">
            <v>68739</v>
          </cell>
        </row>
        <row r="123">
          <cell r="A123">
            <v>91121</v>
          </cell>
          <cell r="B123" t="str">
            <v>CITY OF ASHEVILLE</v>
          </cell>
          <cell r="C123">
            <v>1.02925E-2</v>
          </cell>
          <cell r="D123">
            <v>9.9927999999999996E-3</v>
          </cell>
          <cell r="E123">
            <v>24417330</v>
          </cell>
          <cell r="F123" t="str">
            <v xml:space="preserve"> </v>
          </cell>
          <cell r="G123">
            <v>3767014</v>
          </cell>
          <cell r="H123">
            <v>3351774</v>
          </cell>
          <cell r="I123">
            <v>6479417</v>
          </cell>
          <cell r="J123">
            <v>0</v>
          </cell>
          <cell r="K123">
            <v>13598205</v>
          </cell>
          <cell r="L123"/>
          <cell r="M123">
            <v>126402</v>
          </cell>
          <cell r="N123">
            <v>0</v>
          </cell>
          <cell r="O123">
            <v>408831</v>
          </cell>
          <cell r="P123">
            <v>535233</v>
          </cell>
          <cell r="Q123"/>
          <cell r="R123">
            <v>6782480</v>
          </cell>
          <cell r="S123">
            <v>-342903</v>
          </cell>
          <cell r="T123">
            <v>6439577</v>
          </cell>
        </row>
        <row r="124">
          <cell r="A124">
            <v>91127</v>
          </cell>
          <cell r="B124" t="str">
            <v>ASHEVILLE ABC BOARD</v>
          </cell>
          <cell r="C124">
            <v>2.8370000000000001E-4</v>
          </cell>
          <cell r="D124">
            <v>2.6879999999999997E-4</v>
          </cell>
          <cell r="E124">
            <v>673033</v>
          </cell>
          <cell r="F124" t="str">
            <v xml:space="preserve"> </v>
          </cell>
          <cell r="G124">
            <v>103833</v>
          </cell>
          <cell r="H124">
            <v>92387</v>
          </cell>
          <cell r="I124">
            <v>178597</v>
          </cell>
          <cell r="J124">
            <v>49510</v>
          </cell>
          <cell r="K124">
            <v>424327</v>
          </cell>
          <cell r="L124"/>
          <cell r="M124">
            <v>3484</v>
          </cell>
          <cell r="N124">
            <v>0</v>
          </cell>
          <cell r="O124">
            <v>0</v>
          </cell>
          <cell r="P124">
            <v>3484</v>
          </cell>
          <cell r="Q124"/>
          <cell r="R124">
            <v>186951</v>
          </cell>
          <cell r="S124">
            <v>31849</v>
          </cell>
          <cell r="T124">
            <v>218800</v>
          </cell>
        </row>
        <row r="125">
          <cell r="A125">
            <v>91128</v>
          </cell>
          <cell r="B125" t="str">
            <v>ASHEVILLE REGIONAL AIRPORT AUTHORITY</v>
          </cell>
          <cell r="C125">
            <v>5.1060000000000005E-4</v>
          </cell>
          <cell r="D125">
            <v>5.2380000000000005E-4</v>
          </cell>
          <cell r="E125">
            <v>1211318</v>
          </cell>
          <cell r="F125" t="str">
            <v xml:space="preserve"> </v>
          </cell>
          <cell r="G125">
            <v>186878</v>
          </cell>
          <cell r="H125">
            <v>166278</v>
          </cell>
          <cell r="I125">
            <v>321437</v>
          </cell>
          <cell r="J125">
            <v>9519</v>
          </cell>
          <cell r="K125">
            <v>684112</v>
          </cell>
          <cell r="L125"/>
          <cell r="M125">
            <v>6271</v>
          </cell>
          <cell r="N125">
            <v>0</v>
          </cell>
          <cell r="O125">
            <v>11235</v>
          </cell>
          <cell r="P125">
            <v>17506</v>
          </cell>
          <cell r="Q125"/>
          <cell r="R125">
            <v>336472</v>
          </cell>
          <cell r="S125">
            <v>-3424</v>
          </cell>
          <cell r="T125">
            <v>333048</v>
          </cell>
        </row>
        <row r="126">
          <cell r="A126">
            <v>91138</v>
          </cell>
          <cell r="B126" t="str">
            <v>SKYLAND VOL FIRE DEPT</v>
          </cell>
          <cell r="C126">
            <v>4.8819999999999999E-4</v>
          </cell>
          <cell r="D126">
            <v>6.2629999999999999E-4</v>
          </cell>
          <cell r="E126">
            <v>1158177</v>
          </cell>
          <cell r="F126" t="str">
            <v xml:space="preserve"> </v>
          </cell>
          <cell r="G126">
            <v>178679</v>
          </cell>
          <cell r="H126">
            <v>158983</v>
          </cell>
          <cell r="I126">
            <v>307336</v>
          </cell>
          <cell r="J126">
            <v>0</v>
          </cell>
          <cell r="K126">
            <v>644998</v>
          </cell>
          <cell r="L126"/>
          <cell r="M126">
            <v>5996</v>
          </cell>
          <cell r="N126">
            <v>0</v>
          </cell>
          <cell r="O126">
            <v>212777</v>
          </cell>
          <cell r="P126">
            <v>218773</v>
          </cell>
          <cell r="Q126"/>
          <cell r="R126">
            <v>321711</v>
          </cell>
          <cell r="S126">
            <v>-81735</v>
          </cell>
          <cell r="T126">
            <v>239976</v>
          </cell>
        </row>
        <row r="127">
          <cell r="A127">
            <v>91141</v>
          </cell>
          <cell r="B127" t="str">
            <v xml:space="preserve"> WEAVERVILLE</v>
          </cell>
          <cell r="C127">
            <v>5.5960000000000005E-4</v>
          </cell>
          <cell r="D127">
            <v>5.7569999999999995E-4</v>
          </cell>
          <cell r="E127">
            <v>1327563</v>
          </cell>
          <cell r="F127" t="str">
            <v xml:space="preserve"> </v>
          </cell>
          <cell r="G127">
            <v>204811</v>
          </cell>
          <cell r="H127">
            <v>182235</v>
          </cell>
          <cell r="I127">
            <v>352284</v>
          </cell>
          <cell r="J127">
            <v>0</v>
          </cell>
          <cell r="K127">
            <v>739330</v>
          </cell>
          <cell r="L127"/>
          <cell r="M127">
            <v>6872</v>
          </cell>
          <cell r="N127">
            <v>0</v>
          </cell>
          <cell r="O127">
            <v>65730</v>
          </cell>
          <cell r="P127">
            <v>72602</v>
          </cell>
          <cell r="Q127"/>
          <cell r="R127">
            <v>368761</v>
          </cell>
          <cell r="S127">
            <v>-43880</v>
          </cell>
          <cell r="T127">
            <v>324881</v>
          </cell>
        </row>
        <row r="128">
          <cell r="A128">
            <v>91147</v>
          </cell>
          <cell r="B128" t="str">
            <v>WEAVERVILLE ABC BOARD</v>
          </cell>
          <cell r="C128">
            <v>2.87E-5</v>
          </cell>
          <cell r="D128">
            <v>2.6699999999999998E-5</v>
          </cell>
          <cell r="E128">
            <v>68086</v>
          </cell>
          <cell r="F128" t="str">
            <v xml:space="preserve"> </v>
          </cell>
          <cell r="G128">
            <v>10504</v>
          </cell>
          <cell r="H128">
            <v>9346</v>
          </cell>
          <cell r="I128">
            <v>18067</v>
          </cell>
          <cell r="J128">
            <v>5905</v>
          </cell>
          <cell r="K128">
            <v>43822</v>
          </cell>
          <cell r="L128"/>
          <cell r="M128">
            <v>352</v>
          </cell>
          <cell r="N128">
            <v>0</v>
          </cell>
          <cell r="O128">
            <v>0</v>
          </cell>
          <cell r="P128">
            <v>352</v>
          </cell>
          <cell r="Q128"/>
          <cell r="R128">
            <v>18913</v>
          </cell>
          <cell r="S128">
            <v>4757</v>
          </cell>
          <cell r="T128">
            <v>23670</v>
          </cell>
        </row>
        <row r="129">
          <cell r="A129">
            <v>91151</v>
          </cell>
          <cell r="B129" t="str">
            <v xml:space="preserve"> BLACK MOUNTAIN</v>
          </cell>
          <cell r="C129">
            <v>6.2589999999999998E-4</v>
          </cell>
          <cell r="D129">
            <v>6.3409999999999996E-4</v>
          </cell>
          <cell r="E129">
            <v>1484849</v>
          </cell>
          <cell r="F129" t="str">
            <v xml:space="preserve"> </v>
          </cell>
          <cell r="G129">
            <v>229077</v>
          </cell>
          <cell r="H129">
            <v>203826</v>
          </cell>
          <cell r="I129">
            <v>394022</v>
          </cell>
          <cell r="J129">
            <v>3112</v>
          </cell>
          <cell r="K129">
            <v>830037</v>
          </cell>
          <cell r="L129"/>
          <cell r="M129">
            <v>7687</v>
          </cell>
          <cell r="N129">
            <v>0</v>
          </cell>
          <cell r="O129">
            <v>68725</v>
          </cell>
          <cell r="P129">
            <v>76412</v>
          </cell>
          <cell r="Q129"/>
          <cell r="R129">
            <v>412451</v>
          </cell>
          <cell r="S129">
            <v>-24854</v>
          </cell>
          <cell r="T129">
            <v>387597</v>
          </cell>
        </row>
        <row r="130">
          <cell r="A130">
            <v>91154</v>
          </cell>
          <cell r="B130" t="str">
            <v>BLACK MTN ABC BOARD</v>
          </cell>
          <cell r="C130">
            <v>2.41E-5</v>
          </cell>
          <cell r="D130">
            <v>2.6299999999999999E-5</v>
          </cell>
          <cell r="E130">
            <v>57173</v>
          </cell>
          <cell r="F130" t="str">
            <v xml:space="preserve"> </v>
          </cell>
          <cell r="G130">
            <v>8821</v>
          </cell>
          <cell r="H130">
            <v>7848</v>
          </cell>
          <cell r="I130">
            <v>15172</v>
          </cell>
          <cell r="J130">
            <v>4369</v>
          </cell>
          <cell r="K130">
            <v>36210</v>
          </cell>
          <cell r="L130"/>
          <cell r="M130">
            <v>296</v>
          </cell>
          <cell r="N130">
            <v>0</v>
          </cell>
          <cell r="O130">
            <v>2182</v>
          </cell>
          <cell r="P130">
            <v>2478</v>
          </cell>
          <cell r="Q130"/>
          <cell r="R130">
            <v>15881</v>
          </cell>
          <cell r="S130">
            <v>2411</v>
          </cell>
          <cell r="T130">
            <v>18292</v>
          </cell>
        </row>
        <row r="131">
          <cell r="A131">
            <v>91161</v>
          </cell>
          <cell r="B131" t="str">
            <v xml:space="preserve"> MONTREAT</v>
          </cell>
          <cell r="C131">
            <v>7.9699999999999999E-5</v>
          </cell>
          <cell r="D131">
            <v>9.2600000000000001E-5</v>
          </cell>
          <cell r="E131">
            <v>189076</v>
          </cell>
          <cell r="F131" t="str">
            <v xml:space="preserve"> </v>
          </cell>
          <cell r="G131">
            <v>29170</v>
          </cell>
          <cell r="H131">
            <v>25954</v>
          </cell>
          <cell r="I131">
            <v>50173</v>
          </cell>
          <cell r="J131">
            <v>2466</v>
          </cell>
          <cell r="K131">
            <v>107763</v>
          </cell>
          <cell r="L131"/>
          <cell r="M131">
            <v>979</v>
          </cell>
          <cell r="N131">
            <v>0</v>
          </cell>
          <cell r="O131">
            <v>9902</v>
          </cell>
          <cell r="P131">
            <v>10881</v>
          </cell>
          <cell r="Q131"/>
          <cell r="R131">
            <v>52520</v>
          </cell>
          <cell r="S131">
            <v>-1236</v>
          </cell>
          <cell r="T131">
            <v>51284</v>
          </cell>
        </row>
        <row r="132">
          <cell r="A132">
            <v>91171</v>
          </cell>
          <cell r="B132" t="str">
            <v xml:space="preserve"> WOODFIN</v>
          </cell>
          <cell r="C132">
            <v>2.3790000000000001E-4</v>
          </cell>
          <cell r="D132">
            <v>1.95E-4</v>
          </cell>
          <cell r="E132">
            <v>564380</v>
          </cell>
          <cell r="F132" t="str">
            <v xml:space="preserve"> </v>
          </cell>
          <cell r="G132">
            <v>87070</v>
          </cell>
          <cell r="H132">
            <v>77473</v>
          </cell>
          <cell r="I132">
            <v>149765</v>
          </cell>
          <cell r="J132">
            <v>24306</v>
          </cell>
          <cell r="K132">
            <v>338614</v>
          </cell>
          <cell r="L132"/>
          <cell r="M132">
            <v>2922</v>
          </cell>
          <cell r="N132">
            <v>0</v>
          </cell>
          <cell r="O132">
            <v>36666</v>
          </cell>
          <cell r="P132">
            <v>39588</v>
          </cell>
          <cell r="Q132"/>
          <cell r="R132">
            <v>156770</v>
          </cell>
          <cell r="S132">
            <v>-15275</v>
          </cell>
          <cell r="T132">
            <v>141495</v>
          </cell>
        </row>
        <row r="133">
          <cell r="A133">
            <v>91201</v>
          </cell>
          <cell r="B133" t="str">
            <v>BURKE COUNTY</v>
          </cell>
          <cell r="C133">
            <v>2.2587000000000002E-3</v>
          </cell>
          <cell r="D133">
            <v>2.2878E-3</v>
          </cell>
          <cell r="E133">
            <v>5358409</v>
          </cell>
          <cell r="F133" t="str">
            <v xml:space="preserve"> </v>
          </cell>
          <cell r="G133">
            <v>826675</v>
          </cell>
          <cell r="H133">
            <v>735550</v>
          </cell>
          <cell r="I133">
            <v>1421915</v>
          </cell>
          <cell r="J133">
            <v>15312</v>
          </cell>
          <cell r="K133">
            <v>2999452</v>
          </cell>
          <cell r="L133"/>
          <cell r="M133">
            <v>27739</v>
          </cell>
          <cell r="N133">
            <v>0</v>
          </cell>
          <cell r="O133">
            <v>131332</v>
          </cell>
          <cell r="P133">
            <v>159071</v>
          </cell>
          <cell r="Q133"/>
          <cell r="R133">
            <v>1488422</v>
          </cell>
          <cell r="S133">
            <v>-15775</v>
          </cell>
          <cell r="T133">
            <v>1472647</v>
          </cell>
        </row>
        <row r="134">
          <cell r="A134">
            <v>91202</v>
          </cell>
          <cell r="B134" t="str">
            <v>BURKE-CATAWBA DIST CONFINEMENT</v>
          </cell>
          <cell r="C134">
            <v>1.9579999999999999E-4</v>
          </cell>
          <cell r="D134">
            <v>1.9330000000000001E-4</v>
          </cell>
          <cell r="E134">
            <v>464505</v>
          </cell>
          <cell r="F134" t="str">
            <v xml:space="preserve"> </v>
          </cell>
          <cell r="G134">
            <v>71662</v>
          </cell>
          <cell r="H134">
            <v>63762</v>
          </cell>
          <cell r="I134">
            <v>123262</v>
          </cell>
          <cell r="J134">
            <v>19480</v>
          </cell>
          <cell r="K134">
            <v>278166</v>
          </cell>
          <cell r="L134"/>
          <cell r="M134">
            <v>2405</v>
          </cell>
          <cell r="N134">
            <v>0</v>
          </cell>
          <cell r="O134">
            <v>0</v>
          </cell>
          <cell r="P134">
            <v>2405</v>
          </cell>
          <cell r="Q134"/>
          <cell r="R134">
            <v>129027</v>
          </cell>
          <cell r="S134">
            <v>13312</v>
          </cell>
          <cell r="T134">
            <v>142339</v>
          </cell>
        </row>
        <row r="135">
          <cell r="A135">
            <v>91203</v>
          </cell>
          <cell r="B135" t="str">
            <v>BURKE CO HEALTH DEPT</v>
          </cell>
          <cell r="C135">
            <v>2.3000000000000001E-4</v>
          </cell>
          <cell r="D135">
            <v>2.1939999999999999E-4</v>
          </cell>
          <cell r="E135">
            <v>545639</v>
          </cell>
          <cell r="F135" t="str">
            <v xml:space="preserve"> </v>
          </cell>
          <cell r="G135">
            <v>84179</v>
          </cell>
          <cell r="H135">
            <v>74900</v>
          </cell>
          <cell r="I135">
            <v>144791</v>
          </cell>
          <cell r="J135">
            <v>39994</v>
          </cell>
          <cell r="K135">
            <v>343864</v>
          </cell>
          <cell r="L135"/>
          <cell r="M135">
            <v>2825</v>
          </cell>
          <cell r="N135">
            <v>0</v>
          </cell>
          <cell r="O135">
            <v>0</v>
          </cell>
          <cell r="P135">
            <v>2825</v>
          </cell>
          <cell r="Q135"/>
          <cell r="R135">
            <v>151564</v>
          </cell>
          <cell r="S135">
            <v>19261</v>
          </cell>
          <cell r="T135">
            <v>170825</v>
          </cell>
        </row>
        <row r="136">
          <cell r="A136">
            <v>91206</v>
          </cell>
          <cell r="B136" t="str">
            <v>BURKE CO DEPT OF SOCIAL SERVICES</v>
          </cell>
          <cell r="C136">
            <v>9.0660000000000003E-4</v>
          </cell>
          <cell r="D136">
            <v>8.6450000000000003E-4</v>
          </cell>
          <cell r="E136">
            <v>2150765</v>
          </cell>
          <cell r="F136" t="str">
            <v xml:space="preserve"> </v>
          </cell>
          <cell r="G136">
            <v>331812</v>
          </cell>
          <cell r="H136">
            <v>295237</v>
          </cell>
          <cell r="I136">
            <v>570730</v>
          </cell>
          <cell r="J136">
            <v>45439</v>
          </cell>
          <cell r="K136">
            <v>1243218</v>
          </cell>
          <cell r="L136"/>
          <cell r="M136">
            <v>11134</v>
          </cell>
          <cell r="N136">
            <v>0</v>
          </cell>
          <cell r="O136">
            <v>736</v>
          </cell>
          <cell r="P136">
            <v>11870</v>
          </cell>
          <cell r="Q136"/>
          <cell r="R136">
            <v>597425</v>
          </cell>
          <cell r="S136">
            <v>22732</v>
          </cell>
          <cell r="T136">
            <v>620157</v>
          </cell>
        </row>
        <row r="137">
          <cell r="A137">
            <v>91208</v>
          </cell>
          <cell r="B137" t="str">
            <v>BURKE COUNTY TOURISM DEV. AUTHORITY</v>
          </cell>
          <cell r="C137">
            <v>1.3200000000000001E-5</v>
          </cell>
          <cell r="D137">
            <v>1.42E-5</v>
          </cell>
          <cell r="E137">
            <v>31315</v>
          </cell>
          <cell r="F137" t="str">
            <v xml:space="preserve"> </v>
          </cell>
          <cell r="G137">
            <v>4831</v>
          </cell>
          <cell r="H137">
            <v>4299</v>
          </cell>
          <cell r="I137">
            <v>8310</v>
          </cell>
          <cell r="J137">
            <v>529</v>
          </cell>
          <cell r="K137">
            <v>17969</v>
          </cell>
          <cell r="L137"/>
          <cell r="M137">
            <v>162</v>
          </cell>
          <cell r="N137">
            <v>0</v>
          </cell>
          <cell r="O137">
            <v>522</v>
          </cell>
          <cell r="P137">
            <v>684</v>
          </cell>
          <cell r="Q137"/>
          <cell r="R137">
            <v>8698</v>
          </cell>
          <cell r="S137">
            <v>3299</v>
          </cell>
          <cell r="T137">
            <v>11997</v>
          </cell>
        </row>
        <row r="138">
          <cell r="A138">
            <v>91211</v>
          </cell>
          <cell r="B138" t="str">
            <v xml:space="preserve"> VALDESE</v>
          </cell>
          <cell r="C138">
            <v>4.526E-4</v>
          </cell>
          <cell r="D138">
            <v>4.5530000000000001E-4</v>
          </cell>
          <cell r="E138">
            <v>1073722</v>
          </cell>
          <cell r="F138" t="str">
            <v xml:space="preserve"> </v>
          </cell>
          <cell r="G138">
            <v>165650</v>
          </cell>
          <cell r="H138">
            <v>147390</v>
          </cell>
          <cell r="I138">
            <v>284924</v>
          </cell>
          <cell r="J138">
            <v>3586</v>
          </cell>
          <cell r="K138">
            <v>601550</v>
          </cell>
          <cell r="L138"/>
          <cell r="M138">
            <v>5558</v>
          </cell>
          <cell r="N138">
            <v>0</v>
          </cell>
          <cell r="O138">
            <v>16402</v>
          </cell>
          <cell r="P138">
            <v>21960</v>
          </cell>
          <cell r="Q138"/>
          <cell r="R138">
            <v>298251</v>
          </cell>
          <cell r="S138">
            <v>-2389</v>
          </cell>
          <cell r="T138">
            <v>295862</v>
          </cell>
        </row>
        <row r="139">
          <cell r="A139">
            <v>91213</v>
          </cell>
          <cell r="B139" t="str">
            <v>VALDESE HOUSING AUTHORITY</v>
          </cell>
          <cell r="C139">
            <v>2.4700000000000001E-5</v>
          </cell>
          <cell r="D139">
            <v>3.2499999999999997E-5</v>
          </cell>
          <cell r="E139">
            <v>58597</v>
          </cell>
          <cell r="F139" t="str">
            <v xml:space="preserve"> </v>
          </cell>
          <cell r="G139">
            <v>9040</v>
          </cell>
          <cell r="H139">
            <v>8043</v>
          </cell>
          <cell r="I139">
            <v>15549</v>
          </cell>
          <cell r="J139">
            <v>0</v>
          </cell>
          <cell r="K139">
            <v>32632</v>
          </cell>
          <cell r="L139"/>
          <cell r="M139">
            <v>303</v>
          </cell>
          <cell r="N139">
            <v>0</v>
          </cell>
          <cell r="O139">
            <v>10895</v>
          </cell>
          <cell r="P139">
            <v>11198</v>
          </cell>
          <cell r="Q139"/>
          <cell r="R139">
            <v>16277</v>
          </cell>
          <cell r="S139">
            <v>-4124</v>
          </cell>
          <cell r="T139">
            <v>12153</v>
          </cell>
        </row>
        <row r="140">
          <cell r="A140">
            <v>91214</v>
          </cell>
          <cell r="B140" t="str">
            <v xml:space="preserve"> RUTHERFORD COLLEGE</v>
          </cell>
          <cell r="C140">
            <v>3.0499999999999999E-5</v>
          </cell>
          <cell r="D140">
            <v>2.9300000000000001E-5</v>
          </cell>
          <cell r="E140">
            <v>72356</v>
          </cell>
          <cell r="F140" t="str">
            <v xml:space="preserve"> </v>
          </cell>
          <cell r="G140">
            <v>11163</v>
          </cell>
          <cell r="H140">
            <v>9932</v>
          </cell>
          <cell r="I140">
            <v>19201</v>
          </cell>
          <cell r="J140">
            <v>530</v>
          </cell>
          <cell r="K140">
            <v>40826</v>
          </cell>
          <cell r="L140"/>
          <cell r="M140">
            <v>375</v>
          </cell>
          <cell r="N140">
            <v>0</v>
          </cell>
          <cell r="O140">
            <v>4250</v>
          </cell>
          <cell r="P140">
            <v>4625</v>
          </cell>
          <cell r="Q140"/>
          <cell r="R140">
            <v>20099</v>
          </cell>
          <cell r="S140">
            <v>-694</v>
          </cell>
          <cell r="T140">
            <v>19405</v>
          </cell>
        </row>
        <row r="141">
          <cell r="A141">
            <v>91217</v>
          </cell>
          <cell r="B141" t="str">
            <v>MORGANTON ABC BOARD</v>
          </cell>
          <cell r="C141">
            <v>1.77E-5</v>
          </cell>
          <cell r="D141">
            <v>2.8799999999999999E-5</v>
          </cell>
          <cell r="E141">
            <v>41990</v>
          </cell>
          <cell r="F141" t="str">
            <v xml:space="preserve"> </v>
          </cell>
          <cell r="G141">
            <v>6478</v>
          </cell>
          <cell r="H141">
            <v>5764</v>
          </cell>
          <cell r="I141">
            <v>11143</v>
          </cell>
          <cell r="J141">
            <v>6480</v>
          </cell>
          <cell r="K141">
            <v>29865</v>
          </cell>
          <cell r="L141"/>
          <cell r="M141">
            <v>217</v>
          </cell>
          <cell r="N141">
            <v>0</v>
          </cell>
          <cell r="O141">
            <v>3242</v>
          </cell>
          <cell r="P141">
            <v>3459</v>
          </cell>
          <cell r="Q141"/>
          <cell r="R141">
            <v>11664</v>
          </cell>
          <cell r="S141">
            <v>3494</v>
          </cell>
          <cell r="T141">
            <v>15158</v>
          </cell>
        </row>
        <row r="142">
          <cell r="A142">
            <v>91221</v>
          </cell>
          <cell r="B142" t="str">
            <v xml:space="preserve"> DREXEL</v>
          </cell>
          <cell r="C142">
            <v>1.2329999999999999E-4</v>
          </cell>
          <cell r="D142">
            <v>1.3359999999999999E-4</v>
          </cell>
          <cell r="E142">
            <v>292510</v>
          </cell>
          <cell r="F142" t="str">
            <v xml:space="preserve"> </v>
          </cell>
          <cell r="G142">
            <v>45127</v>
          </cell>
          <cell r="H142">
            <v>40153</v>
          </cell>
          <cell r="I142">
            <v>77621</v>
          </cell>
          <cell r="J142">
            <v>981</v>
          </cell>
          <cell r="K142">
            <v>163882</v>
          </cell>
          <cell r="L142"/>
          <cell r="M142">
            <v>1514</v>
          </cell>
          <cell r="N142">
            <v>0</v>
          </cell>
          <cell r="O142">
            <v>13939</v>
          </cell>
          <cell r="P142">
            <v>15453</v>
          </cell>
          <cell r="Q142"/>
          <cell r="R142">
            <v>81251</v>
          </cell>
          <cell r="S142">
            <v>-1021</v>
          </cell>
          <cell r="T142">
            <v>80230</v>
          </cell>
        </row>
        <row r="143">
          <cell r="A143">
            <v>91231</v>
          </cell>
          <cell r="B143" t="str">
            <v>CITY OF MORGANTON</v>
          </cell>
          <cell r="C143">
            <v>1.8527000000000001E-3</v>
          </cell>
          <cell r="D143">
            <v>1.8856000000000001E-3</v>
          </cell>
          <cell r="E143">
            <v>4395238</v>
          </cell>
          <cell r="F143" t="str">
            <v xml:space="preserve"> </v>
          </cell>
          <cell r="G143">
            <v>678081</v>
          </cell>
          <cell r="H143">
            <v>603336</v>
          </cell>
          <cell r="I143">
            <v>1166327</v>
          </cell>
          <cell r="J143">
            <v>0</v>
          </cell>
          <cell r="K143">
            <v>2447744</v>
          </cell>
          <cell r="L143"/>
          <cell r="M143">
            <v>22753</v>
          </cell>
          <cell r="N143">
            <v>0</v>
          </cell>
          <cell r="O143">
            <v>112717</v>
          </cell>
          <cell r="P143">
            <v>135470</v>
          </cell>
          <cell r="Q143"/>
          <cell r="R143">
            <v>1220879</v>
          </cell>
          <cell r="S143">
            <v>-37802</v>
          </cell>
          <cell r="T143">
            <v>1183077</v>
          </cell>
        </row>
        <row r="144">
          <cell r="A144">
            <v>91233</v>
          </cell>
          <cell r="B144" t="str">
            <v>MORGANTON HOUSING AUTHORITY</v>
          </cell>
          <cell r="C144">
            <v>5.3499999999999999E-5</v>
          </cell>
          <cell r="D144">
            <v>5.8100000000000003E-5</v>
          </cell>
          <cell r="E144">
            <v>126920</v>
          </cell>
          <cell r="F144" t="str">
            <v xml:space="preserve"> </v>
          </cell>
          <cell r="G144">
            <v>19581</v>
          </cell>
          <cell r="H144">
            <v>17422</v>
          </cell>
          <cell r="I144">
            <v>33680</v>
          </cell>
          <cell r="J144">
            <v>5224</v>
          </cell>
          <cell r="K144">
            <v>75907</v>
          </cell>
          <cell r="L144"/>
          <cell r="M144">
            <v>657</v>
          </cell>
          <cell r="N144">
            <v>0</v>
          </cell>
          <cell r="O144">
            <v>6405</v>
          </cell>
          <cell r="P144">
            <v>7062</v>
          </cell>
          <cell r="Q144"/>
          <cell r="R144">
            <v>35255</v>
          </cell>
          <cell r="S144">
            <v>2697</v>
          </cell>
          <cell r="T144">
            <v>37952</v>
          </cell>
        </row>
        <row r="145">
          <cell r="A145">
            <v>91241</v>
          </cell>
          <cell r="B145" t="str">
            <v xml:space="preserve"> GLEN ALPINE</v>
          </cell>
          <cell r="C145">
            <v>4.3099999999999997E-5</v>
          </cell>
          <cell r="D145">
            <v>3.5500000000000002E-5</v>
          </cell>
          <cell r="E145">
            <v>102248</v>
          </cell>
          <cell r="F145" t="str">
            <v xml:space="preserve"> </v>
          </cell>
          <cell r="G145">
            <v>15774</v>
          </cell>
          <cell r="H145">
            <v>14035</v>
          </cell>
          <cell r="I145">
            <v>27133</v>
          </cell>
          <cell r="J145">
            <v>11777</v>
          </cell>
          <cell r="K145">
            <v>68719</v>
          </cell>
          <cell r="L145"/>
          <cell r="M145">
            <v>529</v>
          </cell>
          <cell r="N145">
            <v>0</v>
          </cell>
          <cell r="O145">
            <v>1842</v>
          </cell>
          <cell r="P145">
            <v>2371</v>
          </cell>
          <cell r="Q145"/>
          <cell r="R145">
            <v>28402</v>
          </cell>
          <cell r="S145">
            <v>394</v>
          </cell>
          <cell r="T145">
            <v>28796</v>
          </cell>
        </row>
        <row r="146">
          <cell r="A146">
            <v>91251</v>
          </cell>
          <cell r="B146" t="str">
            <v xml:space="preserve"> HILDEBRAN</v>
          </cell>
          <cell r="C146">
            <v>2.9499999999999999E-5</v>
          </cell>
          <cell r="D146">
            <v>1.9899999999999999E-5</v>
          </cell>
          <cell r="E146">
            <v>69984</v>
          </cell>
          <cell r="F146" t="str">
            <v xml:space="preserve"> </v>
          </cell>
          <cell r="G146">
            <v>10797</v>
          </cell>
          <cell r="H146">
            <v>9607</v>
          </cell>
          <cell r="I146">
            <v>18571</v>
          </cell>
          <cell r="J146">
            <v>9082</v>
          </cell>
          <cell r="K146">
            <v>48057</v>
          </cell>
          <cell r="L146"/>
          <cell r="M146">
            <v>362</v>
          </cell>
          <cell r="N146">
            <v>0</v>
          </cell>
          <cell r="O146">
            <v>2515</v>
          </cell>
          <cell r="P146">
            <v>2877</v>
          </cell>
          <cell r="Q146"/>
          <cell r="R146">
            <v>19440</v>
          </cell>
          <cell r="S146">
            <v>3588</v>
          </cell>
          <cell r="T146">
            <v>23028</v>
          </cell>
        </row>
        <row r="147">
          <cell r="A147">
            <v>91261</v>
          </cell>
          <cell r="B147" t="str">
            <v xml:space="preserve"> CONNELLY SPRINGS</v>
          </cell>
          <cell r="C147">
            <v>1.06E-5</v>
          </cell>
          <cell r="D147">
            <v>1.03E-5</v>
          </cell>
          <cell r="E147">
            <v>25147</v>
          </cell>
          <cell r="F147" t="str">
            <v xml:space="preserve"> </v>
          </cell>
          <cell r="G147">
            <v>3880</v>
          </cell>
          <cell r="H147">
            <v>3452</v>
          </cell>
          <cell r="I147">
            <v>6673</v>
          </cell>
          <cell r="J147">
            <v>939</v>
          </cell>
          <cell r="K147">
            <v>14944</v>
          </cell>
          <cell r="L147"/>
          <cell r="M147">
            <v>130</v>
          </cell>
          <cell r="N147">
            <v>0</v>
          </cell>
          <cell r="O147">
            <v>0</v>
          </cell>
          <cell r="P147">
            <v>130</v>
          </cell>
          <cell r="Q147"/>
          <cell r="R147">
            <v>6985</v>
          </cell>
          <cell r="S147">
            <v>848</v>
          </cell>
          <cell r="T147">
            <v>7833</v>
          </cell>
        </row>
        <row r="148">
          <cell r="A148">
            <v>91301</v>
          </cell>
          <cell r="B148" t="str">
            <v>CABARRUS COUNTY</v>
          </cell>
          <cell r="C148">
            <v>7.7812000000000003E-3</v>
          </cell>
          <cell r="D148">
            <v>7.6985999999999999E-3</v>
          </cell>
          <cell r="E148">
            <v>18459668</v>
          </cell>
          <cell r="F148" t="str">
            <v xml:space="preserve"> </v>
          </cell>
          <cell r="G148">
            <v>2847888</v>
          </cell>
          <cell r="H148">
            <v>2533963</v>
          </cell>
          <cell r="I148">
            <v>4898483</v>
          </cell>
          <cell r="J148">
            <v>12950</v>
          </cell>
          <cell r="K148">
            <v>10293284</v>
          </cell>
          <cell r="L148"/>
          <cell r="M148">
            <v>95561</v>
          </cell>
          <cell r="N148">
            <v>0</v>
          </cell>
          <cell r="O148">
            <v>224172</v>
          </cell>
          <cell r="P148">
            <v>319733</v>
          </cell>
          <cell r="Q148"/>
          <cell r="R148">
            <v>5127601</v>
          </cell>
          <cell r="S148">
            <v>-118489</v>
          </cell>
          <cell r="T148">
            <v>5009112</v>
          </cell>
        </row>
        <row r="149">
          <cell r="A149">
            <v>91302</v>
          </cell>
          <cell r="B149" t="str">
            <v>WATER &amp; SEWER AUTHORITY OF CABARRUS CNTY</v>
          </cell>
          <cell r="C149">
            <v>5.4440000000000001E-4</v>
          </cell>
          <cell r="D149">
            <v>6.0300000000000002E-4</v>
          </cell>
          <cell r="E149">
            <v>1291503</v>
          </cell>
          <cell r="F149" t="str">
            <v xml:space="preserve"> </v>
          </cell>
          <cell r="G149">
            <v>199248</v>
          </cell>
          <cell r="H149">
            <v>177285</v>
          </cell>
          <cell r="I149">
            <v>342715</v>
          </cell>
          <cell r="J149">
            <v>12855</v>
          </cell>
          <cell r="K149">
            <v>732103</v>
          </cell>
          <cell r="L149"/>
          <cell r="M149">
            <v>6686</v>
          </cell>
          <cell r="N149">
            <v>0</v>
          </cell>
          <cell r="O149">
            <v>55205</v>
          </cell>
          <cell r="P149">
            <v>61891</v>
          </cell>
          <cell r="Q149"/>
          <cell r="R149">
            <v>358745</v>
          </cell>
          <cell r="S149">
            <v>5826</v>
          </cell>
          <cell r="T149">
            <v>364571</v>
          </cell>
        </row>
        <row r="150">
          <cell r="A150">
            <v>91306</v>
          </cell>
          <cell r="B150" t="str">
            <v>CABARRUS CO PUBLIC HEALTH AUTHORITY</v>
          </cell>
          <cell r="C150">
            <v>1.8347000000000001E-3</v>
          </cell>
          <cell r="D150">
            <v>1.6412E-3</v>
          </cell>
          <cell r="E150">
            <v>4352536</v>
          </cell>
          <cell r="F150" t="str">
            <v xml:space="preserve"> </v>
          </cell>
          <cell r="G150">
            <v>671493</v>
          </cell>
          <cell r="H150">
            <v>597473</v>
          </cell>
          <cell r="I150">
            <v>1154995</v>
          </cell>
          <cell r="J150">
            <v>204148</v>
          </cell>
          <cell r="K150">
            <v>2628109</v>
          </cell>
          <cell r="L150"/>
          <cell r="M150">
            <v>22532</v>
          </cell>
          <cell r="N150">
            <v>0</v>
          </cell>
          <cell r="O150">
            <v>5325</v>
          </cell>
          <cell r="P150">
            <v>27857</v>
          </cell>
          <cell r="Q150"/>
          <cell r="R150">
            <v>1209018</v>
          </cell>
          <cell r="S150">
            <v>96839</v>
          </cell>
          <cell r="T150">
            <v>1305857</v>
          </cell>
        </row>
        <row r="151">
          <cell r="A151">
            <v>91308</v>
          </cell>
          <cell r="B151" t="str">
            <v>CABARRUS COUNTY TOURISM AUTHORITY</v>
          </cell>
          <cell r="C151">
            <v>1.7149999999999999E-4</v>
          </cell>
          <cell r="D151">
            <v>1.8009999999999999E-4</v>
          </cell>
          <cell r="E151">
            <v>406857</v>
          </cell>
          <cell r="F151" t="str">
            <v xml:space="preserve"> </v>
          </cell>
          <cell r="G151">
            <v>62768</v>
          </cell>
          <cell r="H151">
            <v>55849</v>
          </cell>
          <cell r="I151">
            <v>107964</v>
          </cell>
          <cell r="J151">
            <v>117</v>
          </cell>
          <cell r="K151">
            <v>226698</v>
          </cell>
          <cell r="L151"/>
          <cell r="M151">
            <v>2106</v>
          </cell>
          <cell r="N151">
            <v>0</v>
          </cell>
          <cell r="O151">
            <v>22928</v>
          </cell>
          <cell r="P151">
            <v>25034</v>
          </cell>
          <cell r="Q151"/>
          <cell r="R151">
            <v>113014</v>
          </cell>
          <cell r="S151">
            <v>-5660</v>
          </cell>
          <cell r="T151">
            <v>107354</v>
          </cell>
        </row>
        <row r="152">
          <cell r="A152">
            <v>91311</v>
          </cell>
          <cell r="B152" t="str">
            <v>CITY OF CONCORD</v>
          </cell>
          <cell r="C152">
            <v>7.7199E-3</v>
          </cell>
          <cell r="D152">
            <v>7.6685E-3</v>
          </cell>
          <cell r="E152">
            <v>18314243</v>
          </cell>
          <cell r="F152" t="str">
            <v xml:space="preserve"> </v>
          </cell>
          <cell r="G152">
            <v>2825453</v>
          </cell>
          <cell r="H152">
            <v>2514000</v>
          </cell>
          <cell r="I152">
            <v>4859893</v>
          </cell>
          <cell r="J152">
            <v>35298</v>
          </cell>
          <cell r="K152">
            <v>10234644</v>
          </cell>
          <cell r="L152"/>
          <cell r="M152">
            <v>94808</v>
          </cell>
          <cell r="N152">
            <v>0</v>
          </cell>
          <cell r="O152">
            <v>364413</v>
          </cell>
          <cell r="P152">
            <v>459221</v>
          </cell>
          <cell r="Q152"/>
          <cell r="R152">
            <v>5087206</v>
          </cell>
          <cell r="S152">
            <v>-205799</v>
          </cell>
          <cell r="T152">
            <v>4881407</v>
          </cell>
        </row>
        <row r="153">
          <cell r="A153">
            <v>91317</v>
          </cell>
          <cell r="B153" t="str">
            <v>CONCORD ABC BOARD</v>
          </cell>
          <cell r="C153">
            <v>1.004E-4</v>
          </cell>
          <cell r="D153">
            <v>1.016E-4</v>
          </cell>
          <cell r="E153">
            <v>238183</v>
          </cell>
          <cell r="F153" t="str">
            <v xml:space="preserve"> </v>
          </cell>
          <cell r="G153">
            <v>36746</v>
          </cell>
          <cell r="H153">
            <v>32696</v>
          </cell>
          <cell r="I153">
            <v>63205</v>
          </cell>
          <cell r="J153">
            <v>13218</v>
          </cell>
          <cell r="K153">
            <v>145865</v>
          </cell>
          <cell r="L153"/>
          <cell r="M153">
            <v>1233</v>
          </cell>
          <cell r="N153">
            <v>0</v>
          </cell>
          <cell r="O153">
            <v>602</v>
          </cell>
          <cell r="P153">
            <v>1835</v>
          </cell>
          <cell r="Q153"/>
          <cell r="R153">
            <v>66161</v>
          </cell>
          <cell r="S153">
            <v>3844</v>
          </cell>
          <cell r="T153">
            <v>70005</v>
          </cell>
        </row>
        <row r="154">
          <cell r="A154">
            <v>91321</v>
          </cell>
          <cell r="B154" t="str">
            <v xml:space="preserve"> MOUNT PLEASANT</v>
          </cell>
          <cell r="C154">
            <v>4.5899999999999998E-5</v>
          </cell>
          <cell r="D154">
            <v>4.2799999999999997E-5</v>
          </cell>
          <cell r="E154">
            <v>108890</v>
          </cell>
          <cell r="F154" t="str">
            <v xml:space="preserve"> </v>
          </cell>
          <cell r="G154">
            <v>16799</v>
          </cell>
          <cell r="H154">
            <v>14947</v>
          </cell>
          <cell r="I154">
            <v>28895</v>
          </cell>
          <cell r="J154">
            <v>34886</v>
          </cell>
          <cell r="K154">
            <v>95527</v>
          </cell>
          <cell r="L154"/>
          <cell r="M154">
            <v>564</v>
          </cell>
          <cell r="N154">
            <v>0</v>
          </cell>
          <cell r="O154">
            <v>1694</v>
          </cell>
          <cell r="P154">
            <v>2258</v>
          </cell>
          <cell r="Q154"/>
          <cell r="R154">
            <v>30247</v>
          </cell>
          <cell r="S154">
            <v>8780</v>
          </cell>
          <cell r="T154">
            <v>39027</v>
          </cell>
        </row>
        <row r="155">
          <cell r="A155">
            <v>91327</v>
          </cell>
          <cell r="B155" t="str">
            <v>MT PLEASANT ABC BOARD</v>
          </cell>
          <cell r="C155">
            <v>7.7000000000000008E-6</v>
          </cell>
          <cell r="D155">
            <v>8.1999999999999994E-6</v>
          </cell>
          <cell r="E155">
            <v>18267</v>
          </cell>
          <cell r="F155" t="str">
            <v xml:space="preserve"> </v>
          </cell>
          <cell r="G155">
            <v>2818</v>
          </cell>
          <cell r="H155">
            <v>2507</v>
          </cell>
          <cell r="I155">
            <v>4847</v>
          </cell>
          <cell r="J155">
            <v>526</v>
          </cell>
          <cell r="K155">
            <v>10698</v>
          </cell>
          <cell r="L155"/>
          <cell r="M155">
            <v>95</v>
          </cell>
          <cell r="N155">
            <v>0</v>
          </cell>
          <cell r="O155">
            <v>1045</v>
          </cell>
          <cell r="P155">
            <v>1140</v>
          </cell>
          <cell r="Q155"/>
          <cell r="R155">
            <v>5074</v>
          </cell>
          <cell r="S155">
            <v>-349</v>
          </cell>
          <cell r="T155">
            <v>4725</v>
          </cell>
        </row>
        <row r="156">
          <cell r="A156">
            <v>91331</v>
          </cell>
          <cell r="B156" t="str">
            <v>CITY OF KANNAPOLIS</v>
          </cell>
          <cell r="C156">
            <v>3.0000000000000001E-3</v>
          </cell>
          <cell r="D156">
            <v>3.0033E-3</v>
          </cell>
          <cell r="E156">
            <v>7117026</v>
          </cell>
          <cell r="F156" t="str">
            <v xml:space="preserve"> </v>
          </cell>
          <cell r="G156">
            <v>1097988</v>
          </cell>
          <cell r="H156">
            <v>976956</v>
          </cell>
          <cell r="I156">
            <v>1888584</v>
          </cell>
          <cell r="J156">
            <v>0</v>
          </cell>
          <cell r="K156">
            <v>3963528</v>
          </cell>
          <cell r="L156"/>
          <cell r="M156">
            <v>36843</v>
          </cell>
          <cell r="N156">
            <v>0</v>
          </cell>
          <cell r="O156">
            <v>309037</v>
          </cell>
          <cell r="P156">
            <v>345880</v>
          </cell>
          <cell r="Q156"/>
          <cell r="R156">
            <v>1976919</v>
          </cell>
          <cell r="S156">
            <v>-211269</v>
          </cell>
          <cell r="T156">
            <v>1765650</v>
          </cell>
        </row>
        <row r="157">
          <cell r="A157">
            <v>91341</v>
          </cell>
          <cell r="B157" t="str">
            <v xml:space="preserve"> MIDLAND</v>
          </cell>
          <cell r="C157">
            <v>2.44E-5</v>
          </cell>
          <cell r="D157">
            <v>2.51E-5</v>
          </cell>
          <cell r="E157">
            <v>57885</v>
          </cell>
          <cell r="F157" t="str">
            <v xml:space="preserve"> </v>
          </cell>
          <cell r="G157">
            <v>8930</v>
          </cell>
          <cell r="H157">
            <v>7946</v>
          </cell>
          <cell r="I157">
            <v>15360</v>
          </cell>
          <cell r="J157">
            <v>5509</v>
          </cell>
          <cell r="K157">
            <v>37745</v>
          </cell>
          <cell r="L157"/>
          <cell r="M157">
            <v>300</v>
          </cell>
          <cell r="N157">
            <v>0</v>
          </cell>
          <cell r="O157">
            <v>1144</v>
          </cell>
          <cell r="P157">
            <v>1444</v>
          </cell>
          <cell r="Q157"/>
          <cell r="R157">
            <v>16079</v>
          </cell>
          <cell r="S157">
            <v>1311</v>
          </cell>
          <cell r="T157">
            <v>17390</v>
          </cell>
        </row>
        <row r="158">
          <cell r="A158">
            <v>91401</v>
          </cell>
          <cell r="B158" t="str">
            <v>CALDWELL COUNTY</v>
          </cell>
          <cell r="C158">
            <v>3.5492000000000002E-3</v>
          </cell>
          <cell r="D158">
            <v>3.5885000000000001E-3</v>
          </cell>
          <cell r="E158">
            <v>8419916</v>
          </cell>
          <cell r="F158" t="str">
            <v xml:space="preserve"> </v>
          </cell>
          <cell r="G158">
            <v>1298993</v>
          </cell>
          <cell r="H158">
            <v>1155804</v>
          </cell>
          <cell r="I158">
            <v>2234321</v>
          </cell>
          <cell r="J158">
            <v>4118</v>
          </cell>
          <cell r="K158">
            <v>4693236</v>
          </cell>
          <cell r="L158"/>
          <cell r="M158">
            <v>43588</v>
          </cell>
          <cell r="N158">
            <v>0</v>
          </cell>
          <cell r="O158">
            <v>191268</v>
          </cell>
          <cell r="P158">
            <v>234856</v>
          </cell>
          <cell r="Q158"/>
          <cell r="R158">
            <v>2338827</v>
          </cell>
          <cell r="S158">
            <v>-44473</v>
          </cell>
          <cell r="T158">
            <v>2294354</v>
          </cell>
        </row>
        <row r="159">
          <cell r="A159">
            <v>91411</v>
          </cell>
          <cell r="B159" t="str">
            <v xml:space="preserve"> GRANITE FALLS</v>
          </cell>
          <cell r="C159">
            <v>3.8479999999999997E-4</v>
          </cell>
          <cell r="D159">
            <v>3.7829999999999998E-4</v>
          </cell>
          <cell r="E159">
            <v>912877</v>
          </cell>
          <cell r="F159" t="str">
            <v xml:space="preserve"> </v>
          </cell>
          <cell r="G159">
            <v>140835</v>
          </cell>
          <cell r="H159">
            <v>125311</v>
          </cell>
          <cell r="I159">
            <v>242242</v>
          </cell>
          <cell r="J159">
            <v>20796</v>
          </cell>
          <cell r="K159">
            <v>529184</v>
          </cell>
          <cell r="L159"/>
          <cell r="M159">
            <v>4726</v>
          </cell>
          <cell r="N159">
            <v>0</v>
          </cell>
          <cell r="O159">
            <v>0</v>
          </cell>
          <cell r="P159">
            <v>4726</v>
          </cell>
          <cell r="Q159"/>
          <cell r="R159">
            <v>253573</v>
          </cell>
          <cell r="S159">
            <v>8126</v>
          </cell>
          <cell r="T159">
            <v>261699</v>
          </cell>
        </row>
        <row r="160">
          <cell r="A160">
            <v>91417</v>
          </cell>
          <cell r="B160" t="str">
            <v>GRANITE FALLS ABC BOARD</v>
          </cell>
          <cell r="C160">
            <v>8.3999999999999992E-6</v>
          </cell>
          <cell r="D160">
            <v>9.3000000000000007E-6</v>
          </cell>
          <cell r="E160">
            <v>19928</v>
          </cell>
          <cell r="F160" t="str">
            <v xml:space="preserve"> </v>
          </cell>
          <cell r="G160">
            <v>3074</v>
          </cell>
          <cell r="H160">
            <v>2735</v>
          </cell>
          <cell r="I160">
            <v>5288</v>
          </cell>
          <cell r="J160">
            <v>1077</v>
          </cell>
          <cell r="K160">
            <v>12174</v>
          </cell>
          <cell r="L160"/>
          <cell r="M160">
            <v>103</v>
          </cell>
          <cell r="N160">
            <v>0</v>
          </cell>
          <cell r="O160">
            <v>0</v>
          </cell>
          <cell r="P160">
            <v>103</v>
          </cell>
          <cell r="Q160"/>
          <cell r="R160">
            <v>5535</v>
          </cell>
          <cell r="S160">
            <v>1921</v>
          </cell>
          <cell r="T160">
            <v>7456</v>
          </cell>
        </row>
        <row r="161">
          <cell r="A161">
            <v>91421</v>
          </cell>
          <cell r="B161" t="str">
            <v xml:space="preserve"> SAWMILLS</v>
          </cell>
          <cell r="C161">
            <v>7.2299999999999996E-5</v>
          </cell>
          <cell r="D161">
            <v>6.9499999999999995E-5</v>
          </cell>
          <cell r="E161">
            <v>171520</v>
          </cell>
          <cell r="F161" t="str">
            <v xml:space="preserve"> </v>
          </cell>
          <cell r="G161">
            <v>26462</v>
          </cell>
          <cell r="H161">
            <v>23545</v>
          </cell>
          <cell r="I161">
            <v>45515</v>
          </cell>
          <cell r="J161">
            <v>7066</v>
          </cell>
          <cell r="K161">
            <v>102588</v>
          </cell>
          <cell r="L161"/>
          <cell r="M161">
            <v>888</v>
          </cell>
          <cell r="N161">
            <v>0</v>
          </cell>
          <cell r="O161">
            <v>1453</v>
          </cell>
          <cell r="P161">
            <v>2341</v>
          </cell>
          <cell r="Q161"/>
          <cell r="R161">
            <v>47644</v>
          </cell>
          <cell r="S161">
            <v>1546</v>
          </cell>
          <cell r="T161">
            <v>49190</v>
          </cell>
        </row>
        <row r="162">
          <cell r="A162">
            <v>91423</v>
          </cell>
          <cell r="B162" t="str">
            <v>LENOIR HOUSING AUTHORITY</v>
          </cell>
          <cell r="C162">
            <v>4.88E-5</v>
          </cell>
          <cell r="D162">
            <v>5.38E-5</v>
          </cell>
          <cell r="E162">
            <v>115770</v>
          </cell>
          <cell r="F162" t="str">
            <v xml:space="preserve"> </v>
          </cell>
          <cell r="G162">
            <v>17861</v>
          </cell>
          <cell r="H162">
            <v>15892</v>
          </cell>
          <cell r="I162">
            <v>30721</v>
          </cell>
          <cell r="J162">
            <v>8202</v>
          </cell>
          <cell r="K162">
            <v>72676</v>
          </cell>
          <cell r="L162"/>
          <cell r="M162">
            <v>599</v>
          </cell>
          <cell r="N162">
            <v>0</v>
          </cell>
          <cell r="O162">
            <v>6851</v>
          </cell>
          <cell r="P162">
            <v>7450</v>
          </cell>
          <cell r="Q162"/>
          <cell r="R162">
            <v>32158</v>
          </cell>
          <cell r="S162">
            <v>1514</v>
          </cell>
          <cell r="T162">
            <v>33672</v>
          </cell>
        </row>
        <row r="163">
          <cell r="A163">
            <v>91431</v>
          </cell>
          <cell r="B163" t="str">
            <v xml:space="preserve"> HUDSON</v>
          </cell>
          <cell r="C163">
            <v>1.6229999999999999E-4</v>
          </cell>
          <cell r="D163">
            <v>1.562E-4</v>
          </cell>
          <cell r="E163">
            <v>385031</v>
          </cell>
          <cell r="F163" t="str">
            <v xml:space="preserve"> </v>
          </cell>
          <cell r="G163">
            <v>59401</v>
          </cell>
          <cell r="H163">
            <v>52853</v>
          </cell>
          <cell r="I163">
            <v>102172</v>
          </cell>
          <cell r="J163">
            <v>24735</v>
          </cell>
          <cell r="K163">
            <v>239161</v>
          </cell>
          <cell r="L163"/>
          <cell r="M163">
            <v>1993</v>
          </cell>
          <cell r="N163">
            <v>0</v>
          </cell>
          <cell r="O163">
            <v>1035</v>
          </cell>
          <cell r="P163">
            <v>3028</v>
          </cell>
          <cell r="Q163"/>
          <cell r="R163">
            <v>106951</v>
          </cell>
          <cell r="S163">
            <v>6979</v>
          </cell>
          <cell r="T163">
            <v>113930</v>
          </cell>
        </row>
        <row r="164">
          <cell r="A164">
            <v>91441</v>
          </cell>
          <cell r="B164" t="str">
            <v xml:space="preserve"> HARRISBURG</v>
          </cell>
          <cell r="C164">
            <v>9.4680000000000003E-4</v>
          </cell>
          <cell r="D164">
            <v>9.5140000000000003E-4</v>
          </cell>
          <cell r="E164">
            <v>2246133</v>
          </cell>
          <cell r="F164" t="str">
            <v xml:space="preserve"> </v>
          </cell>
          <cell r="G164">
            <v>346525</v>
          </cell>
          <cell r="H164">
            <v>308327</v>
          </cell>
          <cell r="I164">
            <v>596037</v>
          </cell>
          <cell r="J164">
            <v>35215</v>
          </cell>
          <cell r="K164">
            <v>1286104</v>
          </cell>
          <cell r="L164"/>
          <cell r="M164">
            <v>11628</v>
          </cell>
          <cell r="N164">
            <v>0</v>
          </cell>
          <cell r="O164">
            <v>145358</v>
          </cell>
          <cell r="P164">
            <v>156986</v>
          </cell>
          <cell r="Q164"/>
          <cell r="R164">
            <v>623916</v>
          </cell>
          <cell r="S164">
            <v>-63164</v>
          </cell>
          <cell r="T164">
            <v>560752</v>
          </cell>
        </row>
        <row r="165">
          <cell r="A165">
            <v>91451</v>
          </cell>
          <cell r="B165" t="str">
            <v>CITY OF LENOIR</v>
          </cell>
          <cell r="C165">
            <v>1.4832000000000001E-3</v>
          </cell>
          <cell r="D165">
            <v>1.4760000000000001E-3</v>
          </cell>
          <cell r="E165">
            <v>3518658</v>
          </cell>
          <cell r="F165" t="str">
            <v xml:space="preserve"> </v>
          </cell>
          <cell r="G165">
            <v>542845</v>
          </cell>
          <cell r="H165">
            <v>483007</v>
          </cell>
          <cell r="I165">
            <v>933716</v>
          </cell>
          <cell r="J165">
            <v>0</v>
          </cell>
          <cell r="K165">
            <v>1959568</v>
          </cell>
          <cell r="L165"/>
          <cell r="M165">
            <v>18215</v>
          </cell>
          <cell r="N165">
            <v>0</v>
          </cell>
          <cell r="O165">
            <v>115272</v>
          </cell>
          <cell r="P165">
            <v>133487</v>
          </cell>
          <cell r="Q165"/>
          <cell r="R165">
            <v>977389</v>
          </cell>
          <cell r="S165">
            <v>-84871</v>
          </cell>
          <cell r="T165">
            <v>892518</v>
          </cell>
        </row>
        <row r="166">
          <cell r="A166">
            <v>91457</v>
          </cell>
          <cell r="B166" t="str">
            <v>CITY OF LENOIR ABC BRD</v>
          </cell>
          <cell r="C166">
            <v>2.2099999999999998E-5</v>
          </cell>
          <cell r="D166">
            <v>2.23E-5</v>
          </cell>
          <cell r="E166">
            <v>52429</v>
          </cell>
          <cell r="F166" t="str">
            <v xml:space="preserve"> </v>
          </cell>
          <cell r="G166">
            <v>8089</v>
          </cell>
          <cell r="H166">
            <v>7197</v>
          </cell>
          <cell r="I166">
            <v>13913</v>
          </cell>
          <cell r="J166">
            <v>34989</v>
          </cell>
          <cell r="K166">
            <v>64188</v>
          </cell>
          <cell r="L166"/>
          <cell r="M166">
            <v>271</v>
          </cell>
          <cell r="N166">
            <v>0</v>
          </cell>
          <cell r="O166">
            <v>0</v>
          </cell>
          <cell r="P166">
            <v>271</v>
          </cell>
          <cell r="Q166"/>
          <cell r="R166">
            <v>14563</v>
          </cell>
          <cell r="S166">
            <v>14690</v>
          </cell>
          <cell r="T166">
            <v>29253</v>
          </cell>
        </row>
        <row r="167">
          <cell r="A167">
            <v>91461</v>
          </cell>
          <cell r="B167" t="str">
            <v xml:space="preserve"> CAJAH'S MOUNTAIN</v>
          </cell>
          <cell r="C167">
            <v>9.5999999999999996E-6</v>
          </cell>
          <cell r="D167">
            <v>9.3999999999999998E-6</v>
          </cell>
          <cell r="E167">
            <v>22774</v>
          </cell>
          <cell r="F167" t="str">
            <v xml:space="preserve"> </v>
          </cell>
          <cell r="G167">
            <v>3514</v>
          </cell>
          <cell r="H167">
            <v>3126</v>
          </cell>
          <cell r="I167">
            <v>6043</v>
          </cell>
          <cell r="J167">
            <v>951</v>
          </cell>
          <cell r="K167">
            <v>13634</v>
          </cell>
          <cell r="L167"/>
          <cell r="M167">
            <v>118</v>
          </cell>
          <cell r="N167">
            <v>0</v>
          </cell>
          <cell r="O167">
            <v>1594</v>
          </cell>
          <cell r="P167">
            <v>1712</v>
          </cell>
          <cell r="Q167"/>
          <cell r="R167">
            <v>6326</v>
          </cell>
          <cell r="S167">
            <v>664</v>
          </cell>
          <cell r="T167">
            <v>6990</v>
          </cell>
        </row>
        <row r="168">
          <cell r="A168">
            <v>91501</v>
          </cell>
          <cell r="B168" t="str">
            <v>CAMDEN COUNTY</v>
          </cell>
          <cell r="C168">
            <v>4.6460000000000002E-4</v>
          </cell>
          <cell r="D168">
            <v>4.9700000000000005E-4</v>
          </cell>
          <cell r="E168">
            <v>1102190</v>
          </cell>
          <cell r="F168" t="str">
            <v xml:space="preserve"> </v>
          </cell>
          <cell r="G168">
            <v>170042</v>
          </cell>
          <cell r="H168">
            <v>151298</v>
          </cell>
          <cell r="I168">
            <v>292479</v>
          </cell>
          <cell r="J168">
            <v>7231</v>
          </cell>
          <cell r="K168">
            <v>621050</v>
          </cell>
          <cell r="L168"/>
          <cell r="M168">
            <v>5706</v>
          </cell>
          <cell r="N168">
            <v>0</v>
          </cell>
          <cell r="O168">
            <v>20696</v>
          </cell>
          <cell r="P168">
            <v>26402</v>
          </cell>
          <cell r="Q168"/>
          <cell r="R168">
            <v>306159</v>
          </cell>
          <cell r="S168">
            <v>11595</v>
          </cell>
          <cell r="T168">
            <v>317754</v>
          </cell>
        </row>
        <row r="169">
          <cell r="A169">
            <v>91504</v>
          </cell>
          <cell r="B169" t="str">
            <v>CAMDEN COUNTY ABC BOARD</v>
          </cell>
          <cell r="C169">
            <v>9.7999999999999993E-6</v>
          </cell>
          <cell r="D169">
            <v>9.7000000000000003E-6</v>
          </cell>
          <cell r="E169">
            <v>23249</v>
          </cell>
          <cell r="F169" t="str">
            <v xml:space="preserve"> </v>
          </cell>
          <cell r="G169">
            <v>3587</v>
          </cell>
          <cell r="H169">
            <v>3191</v>
          </cell>
          <cell r="I169">
            <v>6169</v>
          </cell>
          <cell r="J169">
            <v>4807</v>
          </cell>
          <cell r="K169">
            <v>17754</v>
          </cell>
          <cell r="L169"/>
          <cell r="M169">
            <v>120</v>
          </cell>
          <cell r="N169">
            <v>0</v>
          </cell>
          <cell r="O169">
            <v>0</v>
          </cell>
          <cell r="P169">
            <v>120</v>
          </cell>
          <cell r="Q169"/>
          <cell r="R169">
            <v>6458</v>
          </cell>
          <cell r="S169">
            <v>3045</v>
          </cell>
          <cell r="T169">
            <v>9503</v>
          </cell>
        </row>
        <row r="170">
          <cell r="A170">
            <v>91601</v>
          </cell>
          <cell r="B170" t="str">
            <v>CARTERET COUNTY</v>
          </cell>
          <cell r="C170">
            <v>2.7648E-3</v>
          </cell>
          <cell r="D170">
            <v>2.8040000000000001E-3</v>
          </cell>
          <cell r="E170">
            <v>6559051</v>
          </cell>
          <cell r="F170" t="str">
            <v xml:space="preserve"> </v>
          </cell>
          <cell r="G170">
            <v>1011906</v>
          </cell>
          <cell r="H170">
            <v>900363</v>
          </cell>
          <cell r="I170">
            <v>1740519</v>
          </cell>
          <cell r="J170">
            <v>84439</v>
          </cell>
          <cell r="K170">
            <v>3737227</v>
          </cell>
          <cell r="L170"/>
          <cell r="M170">
            <v>33955</v>
          </cell>
          <cell r="N170">
            <v>0</v>
          </cell>
          <cell r="O170">
            <v>30275</v>
          </cell>
          <cell r="P170">
            <v>64230</v>
          </cell>
          <cell r="Q170"/>
          <cell r="R170">
            <v>1821929</v>
          </cell>
          <cell r="S170">
            <v>76277</v>
          </cell>
          <cell r="T170">
            <v>1898206</v>
          </cell>
        </row>
        <row r="171">
          <cell r="A171">
            <v>91604</v>
          </cell>
          <cell r="B171" t="str">
            <v>CARTERET COUNTY ABC BOARD</v>
          </cell>
          <cell r="C171">
            <v>8.5000000000000006E-5</v>
          </cell>
          <cell r="D171">
            <v>8.8499999999999996E-5</v>
          </cell>
          <cell r="E171">
            <v>201649</v>
          </cell>
          <cell r="F171" t="str">
            <v xml:space="preserve"> </v>
          </cell>
          <cell r="G171">
            <v>31110</v>
          </cell>
          <cell r="H171">
            <v>27680</v>
          </cell>
          <cell r="I171">
            <v>53510</v>
          </cell>
          <cell r="J171">
            <v>22196</v>
          </cell>
          <cell r="K171">
            <v>134496</v>
          </cell>
          <cell r="L171"/>
          <cell r="M171">
            <v>1044</v>
          </cell>
          <cell r="N171">
            <v>0</v>
          </cell>
          <cell r="O171">
            <v>0</v>
          </cell>
          <cell r="P171">
            <v>1044</v>
          </cell>
          <cell r="Q171"/>
          <cell r="R171">
            <v>56013</v>
          </cell>
          <cell r="S171">
            <v>9895</v>
          </cell>
          <cell r="T171">
            <v>65908</v>
          </cell>
        </row>
        <row r="172">
          <cell r="A172">
            <v>91608</v>
          </cell>
          <cell r="B172" t="str">
            <v>WESTERN CARTERET INTERLOCAL COOPERATION AGENCY</v>
          </cell>
          <cell r="C172">
            <v>1.5909999999999999E-4</v>
          </cell>
          <cell r="D172">
            <v>1.5349999999999999E-4</v>
          </cell>
          <cell r="E172">
            <v>377440</v>
          </cell>
          <cell r="F172" t="str">
            <v xml:space="preserve"> </v>
          </cell>
          <cell r="G172">
            <v>58230</v>
          </cell>
          <cell r="H172">
            <v>51811</v>
          </cell>
          <cell r="I172">
            <v>100158</v>
          </cell>
          <cell r="J172">
            <v>1169</v>
          </cell>
          <cell r="K172">
            <v>211368</v>
          </cell>
          <cell r="L172"/>
          <cell r="M172">
            <v>1954</v>
          </cell>
          <cell r="N172">
            <v>0</v>
          </cell>
          <cell r="O172">
            <v>30984</v>
          </cell>
          <cell r="P172">
            <v>32938</v>
          </cell>
          <cell r="Q172"/>
          <cell r="R172">
            <v>104843</v>
          </cell>
          <cell r="S172">
            <v>-16992</v>
          </cell>
          <cell r="T172">
            <v>87851</v>
          </cell>
        </row>
        <row r="173">
          <cell r="A173">
            <v>91611</v>
          </cell>
          <cell r="B173" t="str">
            <v xml:space="preserve"> MOREHEAD CITY</v>
          </cell>
          <cell r="C173">
            <v>1.4744000000000001E-3</v>
          </cell>
          <cell r="D173">
            <v>1.4708E-3</v>
          </cell>
          <cell r="E173">
            <v>3497781</v>
          </cell>
          <cell r="F173" t="str">
            <v xml:space="preserve"> </v>
          </cell>
          <cell r="G173">
            <v>539625</v>
          </cell>
          <cell r="H173">
            <v>480141</v>
          </cell>
          <cell r="I173">
            <v>928176</v>
          </cell>
          <cell r="J173">
            <v>2046</v>
          </cell>
          <cell r="K173">
            <v>1949988</v>
          </cell>
          <cell r="L173"/>
          <cell r="M173">
            <v>18107</v>
          </cell>
          <cell r="N173">
            <v>0</v>
          </cell>
          <cell r="O173">
            <v>121302</v>
          </cell>
          <cell r="P173">
            <v>139409</v>
          </cell>
          <cell r="Q173"/>
          <cell r="R173">
            <v>971590</v>
          </cell>
          <cell r="S173">
            <v>-18398</v>
          </cell>
          <cell r="T173">
            <v>953192</v>
          </cell>
        </row>
        <row r="174">
          <cell r="A174">
            <v>91621</v>
          </cell>
          <cell r="B174" t="str">
            <v xml:space="preserve"> NEWPORT</v>
          </cell>
          <cell r="C174">
            <v>2.6800000000000001E-4</v>
          </cell>
          <cell r="D174">
            <v>2.7050000000000002E-4</v>
          </cell>
          <cell r="E174">
            <v>635788</v>
          </cell>
          <cell r="F174" t="str">
            <v xml:space="preserve"> </v>
          </cell>
          <cell r="G174">
            <v>98087</v>
          </cell>
          <cell r="H174">
            <v>87275</v>
          </cell>
          <cell r="I174">
            <v>168714</v>
          </cell>
          <cell r="J174">
            <v>5973</v>
          </cell>
          <cell r="K174">
            <v>360049</v>
          </cell>
          <cell r="L174"/>
          <cell r="M174">
            <v>3291</v>
          </cell>
          <cell r="N174">
            <v>0</v>
          </cell>
          <cell r="O174">
            <v>10529</v>
          </cell>
          <cell r="P174">
            <v>13820</v>
          </cell>
          <cell r="Q174"/>
          <cell r="R174">
            <v>176605</v>
          </cell>
          <cell r="S174">
            <v>-5908</v>
          </cell>
          <cell r="T174">
            <v>170697</v>
          </cell>
        </row>
        <row r="175">
          <cell r="A175">
            <v>91631</v>
          </cell>
          <cell r="B175" t="str">
            <v xml:space="preserve"> BEAUFORT</v>
          </cell>
          <cell r="C175">
            <v>5.509E-4</v>
          </cell>
          <cell r="D175">
            <v>5.2249999999999996E-4</v>
          </cell>
          <cell r="E175">
            <v>1306923</v>
          </cell>
          <cell r="F175" t="str">
            <v xml:space="preserve"> </v>
          </cell>
          <cell r="G175">
            <v>201627</v>
          </cell>
          <cell r="H175">
            <v>179401</v>
          </cell>
          <cell r="I175">
            <v>346807</v>
          </cell>
          <cell r="J175">
            <v>0</v>
          </cell>
          <cell r="K175">
            <v>727835</v>
          </cell>
          <cell r="L175"/>
          <cell r="M175">
            <v>6766</v>
          </cell>
          <cell r="N175">
            <v>0</v>
          </cell>
          <cell r="O175">
            <v>39359</v>
          </cell>
          <cell r="P175">
            <v>46125</v>
          </cell>
          <cell r="Q175"/>
          <cell r="R175">
            <v>363028</v>
          </cell>
          <cell r="S175">
            <v>-17688</v>
          </cell>
          <cell r="T175">
            <v>345340</v>
          </cell>
        </row>
        <row r="176">
          <cell r="A176">
            <v>91633</v>
          </cell>
          <cell r="B176" t="str">
            <v>BEAUFORT HOUSING AUTHORITY</v>
          </cell>
          <cell r="C176">
            <v>1.8600000000000001E-5</v>
          </cell>
          <cell r="D176">
            <v>2.51E-5</v>
          </cell>
          <cell r="E176">
            <v>44126</v>
          </cell>
          <cell r="F176" t="str">
            <v xml:space="preserve"> </v>
          </cell>
          <cell r="G176">
            <v>6808</v>
          </cell>
          <cell r="H176">
            <v>6058</v>
          </cell>
          <cell r="I176">
            <v>11709</v>
          </cell>
          <cell r="J176">
            <v>1031</v>
          </cell>
          <cell r="K176">
            <v>25606</v>
          </cell>
          <cell r="L176"/>
          <cell r="M176">
            <v>228</v>
          </cell>
          <cell r="N176">
            <v>0</v>
          </cell>
          <cell r="O176">
            <v>5120</v>
          </cell>
          <cell r="P176">
            <v>5348</v>
          </cell>
          <cell r="Q176"/>
          <cell r="R176">
            <v>12257</v>
          </cell>
          <cell r="S176">
            <v>-2305</v>
          </cell>
          <cell r="T176">
            <v>9952</v>
          </cell>
        </row>
        <row r="177">
          <cell r="A177">
            <v>91641</v>
          </cell>
          <cell r="B177" t="str">
            <v xml:space="preserve"> PINE KNOLL SHORES</v>
          </cell>
          <cell r="C177">
            <v>2.652E-4</v>
          </cell>
          <cell r="D177">
            <v>3.1139999999999998E-4</v>
          </cell>
          <cell r="E177">
            <v>629145</v>
          </cell>
          <cell r="F177" t="str">
            <v xml:space="preserve"> </v>
          </cell>
          <cell r="G177">
            <v>97062</v>
          </cell>
          <cell r="H177">
            <v>86363</v>
          </cell>
          <cell r="I177">
            <v>166951</v>
          </cell>
          <cell r="J177">
            <v>0</v>
          </cell>
          <cell r="K177">
            <v>350376</v>
          </cell>
          <cell r="L177"/>
          <cell r="M177">
            <v>3257</v>
          </cell>
          <cell r="N177">
            <v>0</v>
          </cell>
          <cell r="O177">
            <v>74135</v>
          </cell>
          <cell r="P177">
            <v>77392</v>
          </cell>
          <cell r="Q177"/>
          <cell r="R177">
            <v>174760</v>
          </cell>
          <cell r="S177">
            <v>-37016</v>
          </cell>
          <cell r="T177">
            <v>137744</v>
          </cell>
        </row>
        <row r="178">
          <cell r="A178">
            <v>91651</v>
          </cell>
          <cell r="B178" t="str">
            <v xml:space="preserve"> EMERALD ISLE</v>
          </cell>
          <cell r="C178">
            <v>4.73E-4</v>
          </cell>
          <cell r="D178">
            <v>4.4440000000000001E-4</v>
          </cell>
          <cell r="E178">
            <v>1122118</v>
          </cell>
          <cell r="F178" t="str">
            <v xml:space="preserve"> </v>
          </cell>
          <cell r="G178">
            <v>173116</v>
          </cell>
          <cell r="H178">
            <v>154033</v>
          </cell>
          <cell r="I178">
            <v>297767</v>
          </cell>
          <cell r="J178">
            <v>25871</v>
          </cell>
          <cell r="K178">
            <v>650787</v>
          </cell>
          <cell r="L178"/>
          <cell r="M178">
            <v>5809</v>
          </cell>
          <cell r="N178">
            <v>0</v>
          </cell>
          <cell r="O178">
            <v>18310</v>
          </cell>
          <cell r="P178">
            <v>24119</v>
          </cell>
          <cell r="Q178"/>
          <cell r="R178">
            <v>311694</v>
          </cell>
          <cell r="S178">
            <v>-5917</v>
          </cell>
          <cell r="T178">
            <v>305777</v>
          </cell>
        </row>
        <row r="179">
          <cell r="A179">
            <v>91661</v>
          </cell>
          <cell r="B179" t="str">
            <v xml:space="preserve"> INDIAN BEACH</v>
          </cell>
          <cell r="C179">
            <v>1.8259999999999999E-4</v>
          </cell>
          <cell r="D179">
            <v>1.673E-4</v>
          </cell>
          <cell r="E179">
            <v>433190</v>
          </cell>
          <cell r="F179" t="str">
            <v xml:space="preserve"> </v>
          </cell>
          <cell r="G179">
            <v>66831</v>
          </cell>
          <cell r="H179">
            <v>59464</v>
          </cell>
          <cell r="I179">
            <v>114952</v>
          </cell>
          <cell r="J179">
            <v>0</v>
          </cell>
          <cell r="K179">
            <v>241247</v>
          </cell>
          <cell r="L179"/>
          <cell r="M179">
            <v>2243</v>
          </cell>
          <cell r="N179">
            <v>0</v>
          </cell>
          <cell r="O179">
            <v>36351</v>
          </cell>
          <cell r="P179">
            <v>38594</v>
          </cell>
          <cell r="Q179"/>
          <cell r="R179">
            <v>120328</v>
          </cell>
          <cell r="S179">
            <v>-17938</v>
          </cell>
          <cell r="T179">
            <v>102390</v>
          </cell>
        </row>
        <row r="180">
          <cell r="A180">
            <v>91671</v>
          </cell>
          <cell r="B180" t="str">
            <v xml:space="preserve"> CAPE CARTERET</v>
          </cell>
          <cell r="C180">
            <v>1.132E-4</v>
          </cell>
          <cell r="D180">
            <v>9.6700000000000006E-5</v>
          </cell>
          <cell r="E180">
            <v>268549</v>
          </cell>
          <cell r="F180" t="str">
            <v xml:space="preserve"> </v>
          </cell>
          <cell r="G180">
            <v>41431</v>
          </cell>
          <cell r="H180">
            <v>36864</v>
          </cell>
          <cell r="I180">
            <v>71263</v>
          </cell>
          <cell r="J180">
            <v>10756</v>
          </cell>
          <cell r="K180">
            <v>160314</v>
          </cell>
          <cell r="L180"/>
          <cell r="M180">
            <v>1390</v>
          </cell>
          <cell r="N180">
            <v>0</v>
          </cell>
          <cell r="O180">
            <v>898</v>
          </cell>
          <cell r="P180">
            <v>2288</v>
          </cell>
          <cell r="Q180"/>
          <cell r="R180">
            <v>74596</v>
          </cell>
          <cell r="S180">
            <v>7037</v>
          </cell>
          <cell r="T180">
            <v>81633</v>
          </cell>
        </row>
        <row r="181">
          <cell r="A181">
            <v>91681</v>
          </cell>
          <cell r="B181" t="str">
            <v xml:space="preserve"> ATLANTIC BEACH</v>
          </cell>
          <cell r="C181">
            <v>4.6460000000000002E-4</v>
          </cell>
          <cell r="D181">
            <v>4.728E-4</v>
          </cell>
          <cell r="E181">
            <v>1102190</v>
          </cell>
          <cell r="F181" t="str">
            <v xml:space="preserve"> </v>
          </cell>
          <cell r="G181">
            <v>170042</v>
          </cell>
          <cell r="H181">
            <v>151298</v>
          </cell>
          <cell r="I181">
            <v>292479</v>
          </cell>
          <cell r="J181">
            <v>312404</v>
          </cell>
          <cell r="K181">
            <v>926223</v>
          </cell>
          <cell r="L181"/>
          <cell r="M181">
            <v>5706</v>
          </cell>
          <cell r="N181">
            <v>0</v>
          </cell>
          <cell r="O181">
            <v>0</v>
          </cell>
          <cell r="P181">
            <v>5706</v>
          </cell>
          <cell r="Q181"/>
          <cell r="R181">
            <v>306159</v>
          </cell>
          <cell r="S181">
            <v>122769</v>
          </cell>
          <cell r="T181">
            <v>428928</v>
          </cell>
        </row>
        <row r="182">
          <cell r="A182">
            <v>91691</v>
          </cell>
          <cell r="B182" t="str">
            <v xml:space="preserve"> CEDAR POINT</v>
          </cell>
          <cell r="C182">
            <v>2.26E-5</v>
          </cell>
          <cell r="D182">
            <v>2.3200000000000001E-5</v>
          </cell>
          <cell r="E182">
            <v>53615</v>
          </cell>
          <cell r="F182" t="str">
            <v xml:space="preserve"> </v>
          </cell>
          <cell r="G182">
            <v>8272</v>
          </cell>
          <cell r="H182">
            <v>7360</v>
          </cell>
          <cell r="I182">
            <v>14227</v>
          </cell>
          <cell r="J182">
            <v>1115</v>
          </cell>
          <cell r="K182">
            <v>30974</v>
          </cell>
          <cell r="L182"/>
          <cell r="M182">
            <v>278</v>
          </cell>
          <cell r="N182">
            <v>0</v>
          </cell>
          <cell r="O182">
            <v>1387</v>
          </cell>
          <cell r="P182">
            <v>1665</v>
          </cell>
          <cell r="Q182"/>
          <cell r="R182">
            <v>14893</v>
          </cell>
          <cell r="S182">
            <v>30</v>
          </cell>
          <cell r="T182">
            <v>14923</v>
          </cell>
        </row>
        <row r="183">
          <cell r="A183">
            <v>91701</v>
          </cell>
          <cell r="B183" t="str">
            <v>CASWELL COUNTY</v>
          </cell>
          <cell r="C183">
            <v>1.2348999999999999E-3</v>
          </cell>
          <cell r="D183">
            <v>1.2451999999999999E-3</v>
          </cell>
          <cell r="E183">
            <v>2929605</v>
          </cell>
          <cell r="F183" t="str">
            <v xml:space="preserve"> </v>
          </cell>
          <cell r="G183">
            <v>451968</v>
          </cell>
          <cell r="H183">
            <v>402148</v>
          </cell>
          <cell r="I183">
            <v>777404</v>
          </cell>
          <cell r="J183">
            <v>70220</v>
          </cell>
          <cell r="K183">
            <v>1701740</v>
          </cell>
          <cell r="L183"/>
          <cell r="M183">
            <v>15166</v>
          </cell>
          <cell r="N183">
            <v>0</v>
          </cell>
          <cell r="O183">
            <v>39266</v>
          </cell>
          <cell r="P183">
            <v>54432</v>
          </cell>
          <cell r="Q183"/>
          <cell r="R183">
            <v>813766</v>
          </cell>
          <cell r="S183">
            <v>8978</v>
          </cell>
          <cell r="T183">
            <v>822744</v>
          </cell>
        </row>
        <row r="184">
          <cell r="A184">
            <v>91704</v>
          </cell>
          <cell r="B184" t="str">
            <v>CASWELL COUNTY ABC BOARD</v>
          </cell>
          <cell r="C184">
            <v>1.73E-5</v>
          </cell>
          <cell r="D184">
            <v>1.73E-5</v>
          </cell>
          <cell r="E184">
            <v>41042</v>
          </cell>
          <cell r="F184" t="str">
            <v xml:space="preserve"> </v>
          </cell>
          <cell r="G184">
            <v>6332</v>
          </cell>
          <cell r="H184">
            <v>5634</v>
          </cell>
          <cell r="I184">
            <v>10891</v>
          </cell>
          <cell r="J184">
            <v>560</v>
          </cell>
          <cell r="K184">
            <v>23417</v>
          </cell>
          <cell r="L184"/>
          <cell r="M184">
            <v>212</v>
          </cell>
          <cell r="N184">
            <v>0</v>
          </cell>
          <cell r="O184">
            <v>0</v>
          </cell>
          <cell r="P184">
            <v>212</v>
          </cell>
          <cell r="Q184"/>
          <cell r="R184">
            <v>11400</v>
          </cell>
          <cell r="S184">
            <v>666</v>
          </cell>
          <cell r="T184">
            <v>12066</v>
          </cell>
        </row>
        <row r="185">
          <cell r="A185">
            <v>91706</v>
          </cell>
          <cell r="B185" t="str">
            <v>CASWELL CO DEPT OF SOCIAL SERVICES</v>
          </cell>
          <cell r="C185">
            <v>2.2139999999999999E-4</v>
          </cell>
          <cell r="D185">
            <v>2.4340000000000001E-4</v>
          </cell>
          <cell r="E185">
            <v>525237</v>
          </cell>
          <cell r="F185" t="str">
            <v xml:space="preserve"> </v>
          </cell>
          <cell r="G185">
            <v>81032</v>
          </cell>
          <cell r="H185">
            <v>72099</v>
          </cell>
          <cell r="I185">
            <v>139377</v>
          </cell>
          <cell r="J185">
            <v>37061</v>
          </cell>
          <cell r="K185">
            <v>329569</v>
          </cell>
          <cell r="L185"/>
          <cell r="M185">
            <v>2719</v>
          </cell>
          <cell r="N185">
            <v>0</v>
          </cell>
          <cell r="O185">
            <v>1775</v>
          </cell>
          <cell r="P185">
            <v>4494</v>
          </cell>
          <cell r="Q185"/>
          <cell r="R185">
            <v>145897</v>
          </cell>
          <cell r="S185">
            <v>3534</v>
          </cell>
          <cell r="T185">
            <v>149431</v>
          </cell>
        </row>
        <row r="186">
          <cell r="A186">
            <v>91719</v>
          </cell>
          <cell r="B186" t="str">
            <v xml:space="preserve"> YANCEYVILLE</v>
          </cell>
          <cell r="C186">
            <v>5.6799999999999998E-5</v>
          </cell>
          <cell r="D186">
            <v>4.9700000000000002E-5</v>
          </cell>
          <cell r="E186">
            <v>134749</v>
          </cell>
          <cell r="F186" t="str">
            <v xml:space="preserve"> </v>
          </cell>
          <cell r="G186">
            <v>20789</v>
          </cell>
          <cell r="H186">
            <v>18497</v>
          </cell>
          <cell r="I186">
            <v>35757</v>
          </cell>
          <cell r="J186">
            <v>2513</v>
          </cell>
          <cell r="K186">
            <v>77556</v>
          </cell>
          <cell r="L186"/>
          <cell r="M186">
            <v>698</v>
          </cell>
          <cell r="N186">
            <v>0</v>
          </cell>
          <cell r="O186">
            <v>2058</v>
          </cell>
          <cell r="P186">
            <v>2756</v>
          </cell>
          <cell r="Q186"/>
          <cell r="R186">
            <v>37430</v>
          </cell>
          <cell r="S186">
            <v>186</v>
          </cell>
          <cell r="T186">
            <v>37616</v>
          </cell>
        </row>
        <row r="187">
          <cell r="A187">
            <v>91801</v>
          </cell>
          <cell r="B187" t="str">
            <v>CATAWBA COUNTY</v>
          </cell>
          <cell r="C187">
            <v>7.9632999999999995E-3</v>
          </cell>
          <cell r="D187">
            <v>8.0961000000000002E-3</v>
          </cell>
          <cell r="E187">
            <v>18891671</v>
          </cell>
          <cell r="F187" t="str">
            <v xml:space="preserve"> </v>
          </cell>
          <cell r="G187">
            <v>2914536</v>
          </cell>
          <cell r="H187">
            <v>2593265</v>
          </cell>
          <cell r="I187">
            <v>5013120</v>
          </cell>
          <cell r="J187">
            <v>0</v>
          </cell>
          <cell r="K187">
            <v>10520921</v>
          </cell>
          <cell r="L187"/>
          <cell r="M187">
            <v>97797</v>
          </cell>
          <cell r="N187">
            <v>0</v>
          </cell>
          <cell r="O187">
            <v>291905</v>
          </cell>
          <cell r="P187">
            <v>389702</v>
          </cell>
          <cell r="Q187"/>
          <cell r="R187">
            <v>5247600</v>
          </cell>
          <cell r="S187">
            <v>-120864</v>
          </cell>
          <cell r="T187">
            <v>5126736</v>
          </cell>
        </row>
        <row r="188">
          <cell r="A188">
            <v>91804</v>
          </cell>
          <cell r="B188" t="str">
            <v>CATAWBA COUNTY ABC BOARD</v>
          </cell>
          <cell r="C188">
            <v>1.4770000000000001E-4</v>
          </cell>
          <cell r="D188">
            <v>1.3439999999999999E-4</v>
          </cell>
          <cell r="E188">
            <v>350395</v>
          </cell>
          <cell r="F188" t="str">
            <v xml:space="preserve"> </v>
          </cell>
          <cell r="G188">
            <v>54058</v>
          </cell>
          <cell r="H188">
            <v>48099</v>
          </cell>
          <cell r="I188">
            <v>92981</v>
          </cell>
          <cell r="J188">
            <v>68194</v>
          </cell>
          <cell r="K188">
            <v>263332</v>
          </cell>
          <cell r="L188"/>
          <cell r="M188">
            <v>1814</v>
          </cell>
          <cell r="N188">
            <v>0</v>
          </cell>
          <cell r="O188">
            <v>0</v>
          </cell>
          <cell r="P188">
            <v>1814</v>
          </cell>
          <cell r="Q188"/>
          <cell r="R188">
            <v>97330</v>
          </cell>
          <cell r="S188">
            <v>32579</v>
          </cell>
          <cell r="T188">
            <v>129909</v>
          </cell>
        </row>
        <row r="189">
          <cell r="A189">
            <v>91811</v>
          </cell>
          <cell r="B189" t="str">
            <v>CITY OF HICKORY</v>
          </cell>
          <cell r="C189">
            <v>4.4413999999999999E-3</v>
          </cell>
          <cell r="D189">
            <v>4.5555999999999999E-3</v>
          </cell>
          <cell r="E189">
            <v>10536520</v>
          </cell>
          <cell r="F189" t="str">
            <v xml:space="preserve"> </v>
          </cell>
          <cell r="G189">
            <v>1625535</v>
          </cell>
          <cell r="H189">
            <v>1446350</v>
          </cell>
          <cell r="I189">
            <v>2795986</v>
          </cell>
          <cell r="J189">
            <v>0</v>
          </cell>
          <cell r="K189">
            <v>5867871</v>
          </cell>
          <cell r="L189"/>
          <cell r="M189">
            <v>54545</v>
          </cell>
          <cell r="N189">
            <v>0</v>
          </cell>
          <cell r="O189">
            <v>497047</v>
          </cell>
          <cell r="P189">
            <v>551592</v>
          </cell>
          <cell r="Q189"/>
          <cell r="R189">
            <v>2926763</v>
          </cell>
          <cell r="S189">
            <v>-241160</v>
          </cell>
          <cell r="T189">
            <v>2685603</v>
          </cell>
        </row>
        <row r="190">
          <cell r="A190">
            <v>91812</v>
          </cell>
          <cell r="B190" t="str">
            <v>HICKORY CONOVER TOURISM DEV AUTHORITY</v>
          </cell>
          <cell r="C190">
            <v>5.3600000000000002E-5</v>
          </cell>
          <cell r="D190">
            <v>5.0800000000000002E-5</v>
          </cell>
          <cell r="E190">
            <v>127158</v>
          </cell>
          <cell r="F190" t="str">
            <v xml:space="preserve"> </v>
          </cell>
          <cell r="G190">
            <v>19617</v>
          </cell>
          <cell r="H190">
            <v>17455</v>
          </cell>
          <cell r="I190">
            <v>33743</v>
          </cell>
          <cell r="J190">
            <v>9789</v>
          </cell>
          <cell r="K190">
            <v>80604</v>
          </cell>
          <cell r="L190"/>
          <cell r="M190">
            <v>658</v>
          </cell>
          <cell r="N190">
            <v>0</v>
          </cell>
          <cell r="O190">
            <v>2033</v>
          </cell>
          <cell r="P190">
            <v>2691</v>
          </cell>
          <cell r="Q190"/>
          <cell r="R190">
            <v>35321</v>
          </cell>
          <cell r="S190">
            <v>5503</v>
          </cell>
          <cell r="T190">
            <v>40824</v>
          </cell>
        </row>
        <row r="191">
          <cell r="A191">
            <v>91813</v>
          </cell>
          <cell r="B191" t="str">
            <v>HICKORY PUBLIC HOUSING AUTHORITY</v>
          </cell>
          <cell r="C191">
            <v>8.1299999999999997E-5</v>
          </cell>
          <cell r="D191">
            <v>8.6100000000000006E-5</v>
          </cell>
          <cell r="E191">
            <v>192871</v>
          </cell>
          <cell r="F191" t="str">
            <v xml:space="preserve"> </v>
          </cell>
          <cell r="G191">
            <v>29755</v>
          </cell>
          <cell r="H191">
            <v>26476</v>
          </cell>
          <cell r="I191">
            <v>51181</v>
          </cell>
          <cell r="J191">
            <v>5758</v>
          </cell>
          <cell r="K191">
            <v>113170</v>
          </cell>
          <cell r="L191"/>
          <cell r="M191">
            <v>998</v>
          </cell>
          <cell r="N191">
            <v>0</v>
          </cell>
          <cell r="O191">
            <v>10114</v>
          </cell>
          <cell r="P191">
            <v>11112</v>
          </cell>
          <cell r="Q191"/>
          <cell r="R191">
            <v>53575</v>
          </cell>
          <cell r="S191">
            <v>-606</v>
          </cell>
          <cell r="T191">
            <v>52969</v>
          </cell>
        </row>
        <row r="192">
          <cell r="A192">
            <v>91818</v>
          </cell>
          <cell r="B192" t="str">
            <v>WESTERN PIEDMONT COUNCIL OF GVMTS</v>
          </cell>
          <cell r="C192">
            <v>3.9429999999999999E-4</v>
          </cell>
          <cell r="D192">
            <v>4.0079999999999998E-4</v>
          </cell>
          <cell r="E192">
            <v>935414</v>
          </cell>
          <cell r="F192" t="str">
            <v xml:space="preserve"> </v>
          </cell>
          <cell r="G192">
            <v>144312</v>
          </cell>
          <cell r="H192">
            <v>128404</v>
          </cell>
          <cell r="I192">
            <v>248223</v>
          </cell>
          <cell r="J192">
            <v>524689</v>
          </cell>
          <cell r="K192">
            <v>1045628</v>
          </cell>
          <cell r="L192"/>
          <cell r="M192">
            <v>4842</v>
          </cell>
          <cell r="N192">
            <v>0</v>
          </cell>
          <cell r="O192">
            <v>0</v>
          </cell>
          <cell r="P192">
            <v>4842</v>
          </cell>
          <cell r="Q192"/>
          <cell r="R192">
            <v>259833</v>
          </cell>
          <cell r="S192">
            <v>209067</v>
          </cell>
          <cell r="T192">
            <v>468900</v>
          </cell>
        </row>
        <row r="193">
          <cell r="A193">
            <v>91819</v>
          </cell>
          <cell r="B193" t="str">
            <v>WESTERN PIEDMONT REGIONAL TRANSIT AUTHORITY</v>
          </cell>
          <cell r="C193">
            <v>3.0469999999999998E-4</v>
          </cell>
          <cell r="D193">
            <v>2.8489999999999999E-4</v>
          </cell>
          <cell r="E193">
            <v>722853</v>
          </cell>
          <cell r="F193" t="str">
            <v xml:space="preserve"> </v>
          </cell>
          <cell r="G193">
            <v>111519</v>
          </cell>
          <cell r="H193">
            <v>99226</v>
          </cell>
          <cell r="I193">
            <v>191817</v>
          </cell>
          <cell r="J193">
            <v>26641</v>
          </cell>
          <cell r="K193">
            <v>429203</v>
          </cell>
          <cell r="L193"/>
          <cell r="M193">
            <v>3742</v>
          </cell>
          <cell r="N193">
            <v>0</v>
          </cell>
          <cell r="O193">
            <v>4590</v>
          </cell>
          <cell r="P193">
            <v>8332</v>
          </cell>
          <cell r="Q193"/>
          <cell r="R193">
            <v>200789</v>
          </cell>
          <cell r="S193">
            <v>10326</v>
          </cell>
          <cell r="T193">
            <v>211115</v>
          </cell>
        </row>
        <row r="194">
          <cell r="A194">
            <v>91821</v>
          </cell>
          <cell r="B194" t="str">
            <v>CITY OF CLAREMONT</v>
          </cell>
          <cell r="C194">
            <v>1.671E-4</v>
          </cell>
          <cell r="D194">
            <v>1.7330000000000001E-4</v>
          </cell>
          <cell r="E194">
            <v>396418</v>
          </cell>
          <cell r="F194" t="str">
            <v xml:space="preserve"> </v>
          </cell>
          <cell r="G194">
            <v>61158</v>
          </cell>
          <cell r="H194">
            <v>54416</v>
          </cell>
          <cell r="I194">
            <v>105194</v>
          </cell>
          <cell r="J194">
            <v>487</v>
          </cell>
          <cell r="K194">
            <v>221255</v>
          </cell>
          <cell r="L194"/>
          <cell r="M194">
            <v>2052</v>
          </cell>
          <cell r="N194">
            <v>0</v>
          </cell>
          <cell r="O194">
            <v>9930</v>
          </cell>
          <cell r="P194">
            <v>11982</v>
          </cell>
          <cell r="Q194"/>
          <cell r="R194">
            <v>110114</v>
          </cell>
          <cell r="S194">
            <v>-745</v>
          </cell>
          <cell r="T194">
            <v>109369</v>
          </cell>
        </row>
        <row r="195">
          <cell r="A195">
            <v>91831</v>
          </cell>
          <cell r="B195" t="str">
            <v xml:space="preserve"> MAIDEN</v>
          </cell>
          <cell r="C195">
            <v>3.7740000000000001E-4</v>
          </cell>
          <cell r="D195">
            <v>3.366E-4</v>
          </cell>
          <cell r="E195">
            <v>895322</v>
          </cell>
          <cell r="F195" t="str">
            <v xml:space="preserve"> </v>
          </cell>
          <cell r="G195">
            <v>138127</v>
          </cell>
          <cell r="H195">
            <v>122901</v>
          </cell>
          <cell r="I195">
            <v>237584</v>
          </cell>
          <cell r="J195">
            <v>17106</v>
          </cell>
          <cell r="K195">
            <v>515718</v>
          </cell>
          <cell r="L195"/>
          <cell r="M195">
            <v>4635</v>
          </cell>
          <cell r="N195">
            <v>0</v>
          </cell>
          <cell r="O195">
            <v>9431</v>
          </cell>
          <cell r="P195">
            <v>14066</v>
          </cell>
          <cell r="Q195"/>
          <cell r="R195">
            <v>248696</v>
          </cell>
          <cell r="S195">
            <v>3967</v>
          </cell>
          <cell r="T195">
            <v>252663</v>
          </cell>
        </row>
        <row r="196">
          <cell r="A196">
            <v>91841</v>
          </cell>
          <cell r="B196" t="str">
            <v>THE  LONGVIEW</v>
          </cell>
          <cell r="C196">
            <v>2.6479999999999999E-4</v>
          </cell>
          <cell r="D196">
            <v>2.5339999999999998E-4</v>
          </cell>
          <cell r="E196">
            <v>628196</v>
          </cell>
          <cell r="F196" t="str">
            <v xml:space="preserve"> </v>
          </cell>
          <cell r="G196">
            <v>96916</v>
          </cell>
          <cell r="H196">
            <v>86233</v>
          </cell>
          <cell r="I196">
            <v>166699</v>
          </cell>
          <cell r="J196">
            <v>5951</v>
          </cell>
          <cell r="K196">
            <v>355799</v>
          </cell>
          <cell r="L196"/>
          <cell r="M196">
            <v>3252</v>
          </cell>
          <cell r="N196">
            <v>0</v>
          </cell>
          <cell r="O196">
            <v>4615</v>
          </cell>
          <cell r="P196">
            <v>7867</v>
          </cell>
          <cell r="Q196"/>
          <cell r="R196">
            <v>174496</v>
          </cell>
          <cell r="S196">
            <v>-8503</v>
          </cell>
          <cell r="T196">
            <v>165993</v>
          </cell>
        </row>
        <row r="197">
          <cell r="A197">
            <v>91851</v>
          </cell>
          <cell r="B197" t="str">
            <v xml:space="preserve"> CONOVER</v>
          </cell>
          <cell r="C197">
            <v>7.3039999999999997E-4</v>
          </cell>
          <cell r="D197">
            <v>7.4910000000000005E-4</v>
          </cell>
          <cell r="E197">
            <v>1732759</v>
          </cell>
          <cell r="F197" t="str">
            <v xml:space="preserve"> </v>
          </cell>
          <cell r="G197">
            <v>267323</v>
          </cell>
          <cell r="H197">
            <v>237856</v>
          </cell>
          <cell r="I197">
            <v>459807</v>
          </cell>
          <cell r="J197">
            <v>4093</v>
          </cell>
          <cell r="K197">
            <v>969079</v>
          </cell>
          <cell r="L197"/>
          <cell r="M197">
            <v>8970</v>
          </cell>
          <cell r="N197">
            <v>0</v>
          </cell>
          <cell r="O197">
            <v>35449</v>
          </cell>
          <cell r="P197">
            <v>44419</v>
          </cell>
          <cell r="Q197"/>
          <cell r="R197">
            <v>481314</v>
          </cell>
          <cell r="S197">
            <v>-15851</v>
          </cell>
          <cell r="T197">
            <v>465463</v>
          </cell>
        </row>
        <row r="198">
          <cell r="A198">
            <v>91861</v>
          </cell>
          <cell r="B198" t="str">
            <v xml:space="preserve"> BROOKFORD</v>
          </cell>
          <cell r="C198">
            <v>1.1800000000000001E-5</v>
          </cell>
          <cell r="D198">
            <v>1.9700000000000001E-5</v>
          </cell>
          <cell r="E198">
            <v>27994</v>
          </cell>
          <cell r="F198" t="str">
            <v xml:space="preserve"> </v>
          </cell>
          <cell r="G198">
            <v>4319</v>
          </cell>
          <cell r="H198">
            <v>3843</v>
          </cell>
          <cell r="I198">
            <v>7428</v>
          </cell>
          <cell r="J198">
            <v>1009</v>
          </cell>
          <cell r="K198">
            <v>16599</v>
          </cell>
          <cell r="L198"/>
          <cell r="M198">
            <v>145</v>
          </cell>
          <cell r="N198">
            <v>0</v>
          </cell>
          <cell r="O198">
            <v>5115</v>
          </cell>
          <cell r="P198">
            <v>5260</v>
          </cell>
          <cell r="Q198"/>
          <cell r="R198">
            <v>7776</v>
          </cell>
          <cell r="S198">
            <v>-408</v>
          </cell>
          <cell r="T198">
            <v>7368</v>
          </cell>
        </row>
        <row r="199">
          <cell r="A199">
            <v>91871</v>
          </cell>
          <cell r="B199" t="str">
            <v>CITY OF NEWTON</v>
          </cell>
          <cell r="C199">
            <v>1.3219E-3</v>
          </cell>
          <cell r="D199">
            <v>1.3319E-3</v>
          </cell>
          <cell r="E199">
            <v>3135999</v>
          </cell>
          <cell r="F199" t="str">
            <v xml:space="preserve"> </v>
          </cell>
          <cell r="G199">
            <v>483810</v>
          </cell>
          <cell r="H199">
            <v>430480</v>
          </cell>
          <cell r="I199">
            <v>832173</v>
          </cell>
          <cell r="J199">
            <v>16903</v>
          </cell>
          <cell r="K199">
            <v>1763366</v>
          </cell>
          <cell r="L199"/>
          <cell r="M199">
            <v>16234</v>
          </cell>
          <cell r="N199">
            <v>0</v>
          </cell>
          <cell r="O199">
            <v>71958</v>
          </cell>
          <cell r="P199">
            <v>88192</v>
          </cell>
          <cell r="Q199"/>
          <cell r="R199">
            <v>871096</v>
          </cell>
          <cell r="S199">
            <v>-36895</v>
          </cell>
          <cell r="T199">
            <v>834201</v>
          </cell>
        </row>
        <row r="200">
          <cell r="A200">
            <v>91881</v>
          </cell>
          <cell r="B200" t="str">
            <v xml:space="preserve"> CATAWBA</v>
          </cell>
          <cell r="C200">
            <v>8.1000000000000004E-6</v>
          </cell>
          <cell r="D200">
            <v>9.3000000000000007E-6</v>
          </cell>
          <cell r="E200">
            <v>19216</v>
          </cell>
          <cell r="F200" t="str">
            <v xml:space="preserve"> </v>
          </cell>
          <cell r="G200">
            <v>2965</v>
          </cell>
          <cell r="H200">
            <v>2638</v>
          </cell>
          <cell r="I200">
            <v>5099</v>
          </cell>
          <cell r="J200">
            <v>917</v>
          </cell>
          <cell r="K200">
            <v>11619</v>
          </cell>
          <cell r="L200"/>
          <cell r="M200">
            <v>99</v>
          </cell>
          <cell r="N200">
            <v>0</v>
          </cell>
          <cell r="O200">
            <v>2944</v>
          </cell>
          <cell r="P200">
            <v>3043</v>
          </cell>
          <cell r="Q200"/>
          <cell r="R200">
            <v>5338</v>
          </cell>
          <cell r="S200">
            <v>-5564</v>
          </cell>
          <cell r="T200">
            <v>-226</v>
          </cell>
        </row>
        <row r="201">
          <cell r="A201">
            <v>91901</v>
          </cell>
          <cell r="B201" t="str">
            <v>CHATHAM COUNTY</v>
          </cell>
          <cell r="C201">
            <v>3.6922000000000001E-3</v>
          </cell>
          <cell r="D201">
            <v>3.6706999999999998E-3</v>
          </cell>
          <cell r="E201">
            <v>8759161</v>
          </cell>
          <cell r="F201" t="str">
            <v xml:space="preserve"> </v>
          </cell>
          <cell r="G201">
            <v>1351330</v>
          </cell>
          <cell r="H201">
            <v>1202373</v>
          </cell>
          <cell r="I201">
            <v>2324343</v>
          </cell>
          <cell r="J201">
            <v>32174</v>
          </cell>
          <cell r="K201">
            <v>4910220</v>
          </cell>
          <cell r="L201"/>
          <cell r="M201">
            <v>45344</v>
          </cell>
          <cell r="N201">
            <v>0</v>
          </cell>
          <cell r="O201">
            <v>47401</v>
          </cell>
          <cell r="P201">
            <v>92745</v>
          </cell>
          <cell r="Q201"/>
          <cell r="R201">
            <v>2433060</v>
          </cell>
          <cell r="S201">
            <v>44660</v>
          </cell>
          <cell r="T201">
            <v>2477720</v>
          </cell>
        </row>
        <row r="202">
          <cell r="A202">
            <v>91903</v>
          </cell>
          <cell r="B202" t="str">
            <v>CHATHAM CO HOUSING AUTHORITY</v>
          </cell>
          <cell r="C202">
            <v>8.8000000000000004E-6</v>
          </cell>
          <cell r="D202">
            <v>8.6999999999999997E-6</v>
          </cell>
          <cell r="E202">
            <v>20877</v>
          </cell>
          <cell r="F202" t="str">
            <v xml:space="preserve"> </v>
          </cell>
          <cell r="G202">
            <v>3221</v>
          </cell>
          <cell r="H202">
            <v>2866</v>
          </cell>
          <cell r="I202">
            <v>5540</v>
          </cell>
          <cell r="J202">
            <v>3278</v>
          </cell>
          <cell r="K202">
            <v>14905</v>
          </cell>
          <cell r="L202"/>
          <cell r="M202">
            <v>108</v>
          </cell>
          <cell r="N202">
            <v>0</v>
          </cell>
          <cell r="O202">
            <v>0</v>
          </cell>
          <cell r="P202">
            <v>108</v>
          </cell>
          <cell r="Q202"/>
          <cell r="R202">
            <v>5799</v>
          </cell>
          <cell r="S202">
            <v>-1932</v>
          </cell>
          <cell r="T202">
            <v>3867</v>
          </cell>
        </row>
        <row r="203">
          <cell r="A203">
            <v>91904</v>
          </cell>
          <cell r="B203" t="str">
            <v>CHATHAM COUNTY ABC BOARD</v>
          </cell>
          <cell r="C203">
            <v>3.1399999999999998E-5</v>
          </cell>
          <cell r="D203">
            <v>3.3399999999999999E-5</v>
          </cell>
          <cell r="E203">
            <v>74492</v>
          </cell>
          <cell r="F203" t="str">
            <v xml:space="preserve"> </v>
          </cell>
          <cell r="G203">
            <v>11492</v>
          </cell>
          <cell r="H203">
            <v>10225</v>
          </cell>
          <cell r="I203">
            <v>19767</v>
          </cell>
          <cell r="J203">
            <v>6870</v>
          </cell>
          <cell r="K203">
            <v>48354</v>
          </cell>
          <cell r="L203"/>
          <cell r="M203">
            <v>386</v>
          </cell>
          <cell r="N203">
            <v>0</v>
          </cell>
          <cell r="O203">
            <v>434</v>
          </cell>
          <cell r="P203">
            <v>820</v>
          </cell>
          <cell r="Q203"/>
          <cell r="R203">
            <v>20692</v>
          </cell>
          <cell r="S203">
            <v>4213</v>
          </cell>
          <cell r="T203">
            <v>24905</v>
          </cell>
        </row>
        <row r="204">
          <cell r="A204">
            <v>91908</v>
          </cell>
          <cell r="B204" t="str">
            <v>GOLDSTON-GULF SANITARY DISTRICT</v>
          </cell>
          <cell r="C204">
            <v>1.5299999999999999E-5</v>
          </cell>
          <cell r="D204">
            <v>1.6900000000000001E-5</v>
          </cell>
          <cell r="E204">
            <v>36297</v>
          </cell>
          <cell r="F204" t="str">
            <v xml:space="preserve"> </v>
          </cell>
          <cell r="G204">
            <v>5600</v>
          </cell>
          <cell r="H204">
            <v>4983</v>
          </cell>
          <cell r="I204">
            <v>9632</v>
          </cell>
          <cell r="J204">
            <v>106</v>
          </cell>
          <cell r="K204">
            <v>20321</v>
          </cell>
          <cell r="L204"/>
          <cell r="M204">
            <v>188</v>
          </cell>
          <cell r="N204">
            <v>0</v>
          </cell>
          <cell r="O204">
            <v>4660</v>
          </cell>
          <cell r="P204">
            <v>4848</v>
          </cell>
          <cell r="Q204"/>
          <cell r="R204">
            <v>10082</v>
          </cell>
          <cell r="S204">
            <v>-814</v>
          </cell>
          <cell r="T204">
            <v>9268</v>
          </cell>
        </row>
        <row r="205">
          <cell r="A205">
            <v>91911</v>
          </cell>
          <cell r="B205" t="str">
            <v xml:space="preserve"> SILER CITY</v>
          </cell>
          <cell r="C205">
            <v>4.8529999999999998E-4</v>
          </cell>
          <cell r="D205">
            <v>4.5580000000000002E-4</v>
          </cell>
          <cell r="E205">
            <v>1151298</v>
          </cell>
          <cell r="F205" t="str">
            <v xml:space="preserve"> </v>
          </cell>
          <cell r="G205">
            <v>177618</v>
          </cell>
          <cell r="H205">
            <v>158038</v>
          </cell>
          <cell r="I205">
            <v>305510</v>
          </cell>
          <cell r="J205">
            <v>25824</v>
          </cell>
          <cell r="K205">
            <v>666990</v>
          </cell>
          <cell r="L205"/>
          <cell r="M205">
            <v>5960</v>
          </cell>
          <cell r="N205">
            <v>0</v>
          </cell>
          <cell r="O205">
            <v>1556</v>
          </cell>
          <cell r="P205">
            <v>7516</v>
          </cell>
          <cell r="Q205"/>
          <cell r="R205">
            <v>319800</v>
          </cell>
          <cell r="S205">
            <v>4709</v>
          </cell>
          <cell r="T205">
            <v>324509</v>
          </cell>
        </row>
        <row r="206">
          <cell r="A206">
            <v>91917</v>
          </cell>
          <cell r="B206" t="str">
            <v>SILER CITY ABC BOARD</v>
          </cell>
          <cell r="C206">
            <v>1.04E-5</v>
          </cell>
          <cell r="D206">
            <v>1.22E-5</v>
          </cell>
          <cell r="E206">
            <v>24672</v>
          </cell>
          <cell r="F206" t="str">
            <v xml:space="preserve"> </v>
          </cell>
          <cell r="G206">
            <v>3806</v>
          </cell>
          <cell r="H206">
            <v>3387</v>
          </cell>
          <cell r="I206">
            <v>6547</v>
          </cell>
          <cell r="J206">
            <v>521</v>
          </cell>
          <cell r="K206">
            <v>14261</v>
          </cell>
          <cell r="L206"/>
          <cell r="M206">
            <v>128</v>
          </cell>
          <cell r="N206">
            <v>0</v>
          </cell>
          <cell r="O206">
            <v>233</v>
          </cell>
          <cell r="P206">
            <v>361</v>
          </cell>
          <cell r="Q206"/>
          <cell r="R206">
            <v>6853</v>
          </cell>
          <cell r="S206">
            <v>175</v>
          </cell>
          <cell r="T206">
            <v>7028</v>
          </cell>
        </row>
        <row r="207">
          <cell r="A207">
            <v>91921</v>
          </cell>
          <cell r="B207" t="str">
            <v xml:space="preserve"> PITTSBORO</v>
          </cell>
          <cell r="C207">
            <v>3.5619999999999998E-4</v>
          </cell>
          <cell r="D207">
            <v>3.769E-4</v>
          </cell>
          <cell r="E207">
            <v>845028</v>
          </cell>
          <cell r="F207" t="str">
            <v xml:space="preserve"> </v>
          </cell>
          <cell r="G207">
            <v>130368</v>
          </cell>
          <cell r="H207">
            <v>115997</v>
          </cell>
          <cell r="I207">
            <v>224238</v>
          </cell>
          <cell r="J207">
            <v>0</v>
          </cell>
          <cell r="K207">
            <v>470603</v>
          </cell>
          <cell r="L207"/>
          <cell r="M207">
            <v>4374</v>
          </cell>
          <cell r="N207">
            <v>0</v>
          </cell>
          <cell r="O207">
            <v>26775</v>
          </cell>
          <cell r="P207">
            <v>31149</v>
          </cell>
          <cell r="Q207"/>
          <cell r="R207">
            <v>234726</v>
          </cell>
          <cell r="S207">
            <v>-10664</v>
          </cell>
          <cell r="T207">
            <v>224062</v>
          </cell>
        </row>
        <row r="208">
          <cell r="A208">
            <v>92001</v>
          </cell>
          <cell r="B208" t="str">
            <v>CHEROKEE COUNTY</v>
          </cell>
          <cell r="C208">
            <v>1.8332999999999999E-3</v>
          </cell>
          <cell r="D208">
            <v>1.8143E-3</v>
          </cell>
          <cell r="E208">
            <v>4349215</v>
          </cell>
          <cell r="F208" t="str">
            <v xml:space="preserve"> </v>
          </cell>
          <cell r="G208">
            <v>670980</v>
          </cell>
          <cell r="H208">
            <v>597017</v>
          </cell>
          <cell r="I208">
            <v>1154114</v>
          </cell>
          <cell r="J208">
            <v>30924</v>
          </cell>
          <cell r="K208">
            <v>2453035</v>
          </cell>
          <cell r="L208"/>
          <cell r="M208">
            <v>22515</v>
          </cell>
          <cell r="N208">
            <v>0</v>
          </cell>
          <cell r="O208">
            <v>112538</v>
          </cell>
          <cell r="P208">
            <v>135053</v>
          </cell>
          <cell r="Q208"/>
          <cell r="R208">
            <v>1208095</v>
          </cell>
          <cell r="S208">
            <v>-45166</v>
          </cell>
          <cell r="T208">
            <v>1162929</v>
          </cell>
        </row>
        <row r="209">
          <cell r="A209">
            <v>92005</v>
          </cell>
          <cell r="B209" t="str">
            <v>NANTAHALA REGIONAL LIBRARY</v>
          </cell>
          <cell r="C209">
            <v>4.2700000000000001E-5</v>
          </cell>
          <cell r="D209">
            <v>4.1399999999999997E-5</v>
          </cell>
          <cell r="E209">
            <v>101299</v>
          </cell>
          <cell r="F209" t="str">
            <v xml:space="preserve"> </v>
          </cell>
          <cell r="G209">
            <v>15628</v>
          </cell>
          <cell r="H209">
            <v>13906</v>
          </cell>
          <cell r="I209">
            <v>26881</v>
          </cell>
          <cell r="J209">
            <v>4118</v>
          </cell>
          <cell r="K209">
            <v>60533</v>
          </cell>
          <cell r="L209"/>
          <cell r="M209">
            <v>524</v>
          </cell>
          <cell r="N209">
            <v>0</v>
          </cell>
          <cell r="O209">
            <v>1571</v>
          </cell>
          <cell r="P209">
            <v>2095</v>
          </cell>
          <cell r="Q209"/>
          <cell r="R209">
            <v>28138</v>
          </cell>
          <cell r="S209">
            <v>1018</v>
          </cell>
          <cell r="T209">
            <v>29156</v>
          </cell>
        </row>
        <row r="210">
          <cell r="A210">
            <v>92011</v>
          </cell>
          <cell r="B210" t="str">
            <v xml:space="preserve"> MURPHY</v>
          </cell>
          <cell r="C210">
            <v>1.916E-4</v>
          </cell>
          <cell r="D210">
            <v>2.0049999999999999E-4</v>
          </cell>
          <cell r="E210">
            <v>454541</v>
          </cell>
          <cell r="F210" t="str">
            <v xml:space="preserve"> </v>
          </cell>
          <cell r="G210">
            <v>70125</v>
          </cell>
          <cell r="H210">
            <v>62395</v>
          </cell>
          <cell r="I210">
            <v>120618</v>
          </cell>
          <cell r="J210">
            <v>7900</v>
          </cell>
          <cell r="K210">
            <v>261038</v>
          </cell>
          <cell r="L210"/>
          <cell r="M210">
            <v>2353</v>
          </cell>
          <cell r="N210">
            <v>0</v>
          </cell>
          <cell r="O210">
            <v>5785</v>
          </cell>
          <cell r="P210">
            <v>8138</v>
          </cell>
          <cell r="Q210"/>
          <cell r="R210">
            <v>126259</v>
          </cell>
          <cell r="S210">
            <v>8269</v>
          </cell>
          <cell r="T210">
            <v>134528</v>
          </cell>
        </row>
        <row r="211">
          <cell r="A211">
            <v>92017</v>
          </cell>
          <cell r="B211" t="str">
            <v>MURPHY ABC BOARD</v>
          </cell>
          <cell r="C211">
            <v>3.3200000000000001E-5</v>
          </cell>
          <cell r="D211">
            <v>3.4199999999999998E-5</v>
          </cell>
          <cell r="E211">
            <v>78762</v>
          </cell>
          <cell r="F211" t="str">
            <v xml:space="preserve"> </v>
          </cell>
          <cell r="G211">
            <v>12151</v>
          </cell>
          <cell r="H211">
            <v>10811</v>
          </cell>
          <cell r="I211">
            <v>20900</v>
          </cell>
          <cell r="J211">
            <v>1396</v>
          </cell>
          <cell r="K211">
            <v>45258</v>
          </cell>
          <cell r="L211"/>
          <cell r="M211">
            <v>408</v>
          </cell>
          <cell r="N211">
            <v>0</v>
          </cell>
          <cell r="O211">
            <v>361</v>
          </cell>
          <cell r="P211">
            <v>769</v>
          </cell>
          <cell r="Q211"/>
          <cell r="R211">
            <v>21878</v>
          </cell>
          <cell r="S211">
            <v>-415</v>
          </cell>
          <cell r="T211">
            <v>21463</v>
          </cell>
        </row>
        <row r="212">
          <cell r="A212">
            <v>92021</v>
          </cell>
          <cell r="B212" t="str">
            <v xml:space="preserve"> ANDREWS</v>
          </cell>
          <cell r="C212">
            <v>1.451E-4</v>
          </cell>
          <cell r="D212">
            <v>1.5779999999999999E-4</v>
          </cell>
          <cell r="E212">
            <v>344227</v>
          </cell>
          <cell r="F212" t="str">
            <v xml:space="preserve"> </v>
          </cell>
          <cell r="G212">
            <v>53106</v>
          </cell>
          <cell r="H212">
            <v>47253</v>
          </cell>
          <cell r="I212">
            <v>91345</v>
          </cell>
          <cell r="J212">
            <v>20876</v>
          </cell>
          <cell r="K212">
            <v>212580</v>
          </cell>
          <cell r="L212"/>
          <cell r="M212">
            <v>1782</v>
          </cell>
          <cell r="N212">
            <v>0</v>
          </cell>
          <cell r="O212">
            <v>23774</v>
          </cell>
          <cell r="P212">
            <v>25556</v>
          </cell>
          <cell r="Q212"/>
          <cell r="R212">
            <v>95617</v>
          </cell>
          <cell r="S212">
            <v>-3302</v>
          </cell>
          <cell r="T212">
            <v>92315</v>
          </cell>
        </row>
        <row r="213">
          <cell r="A213">
            <v>92101</v>
          </cell>
          <cell r="B213" t="str">
            <v>CHOWAN COUNTY</v>
          </cell>
          <cell r="C213">
            <v>8.183E-4</v>
          </cell>
          <cell r="D213">
            <v>8.5209999999999995E-4</v>
          </cell>
          <cell r="E213">
            <v>1941287</v>
          </cell>
          <cell r="F213" t="str">
            <v xml:space="preserve"> </v>
          </cell>
          <cell r="G213">
            <v>299495</v>
          </cell>
          <cell r="H213">
            <v>266481</v>
          </cell>
          <cell r="I213">
            <v>515143</v>
          </cell>
          <cell r="J213">
            <v>575</v>
          </cell>
          <cell r="K213">
            <v>1081694</v>
          </cell>
          <cell r="L213"/>
          <cell r="M213">
            <v>10050</v>
          </cell>
          <cell r="N213">
            <v>0</v>
          </cell>
          <cell r="O213">
            <v>80217</v>
          </cell>
          <cell r="P213">
            <v>90267</v>
          </cell>
          <cell r="Q213"/>
          <cell r="R213">
            <v>539238</v>
          </cell>
          <cell r="S213">
            <v>-19299</v>
          </cell>
          <cell r="T213">
            <v>519939</v>
          </cell>
        </row>
        <row r="214">
          <cell r="A214">
            <v>92104</v>
          </cell>
          <cell r="B214" t="str">
            <v>CHOWAN COUNTY ABC BOARD</v>
          </cell>
          <cell r="C214">
            <v>8.3999999999999992E-6</v>
          </cell>
          <cell r="D214">
            <v>8.6000000000000007E-6</v>
          </cell>
          <cell r="E214">
            <v>19928</v>
          </cell>
          <cell r="F214" t="str">
            <v xml:space="preserve"> </v>
          </cell>
          <cell r="G214">
            <v>3074</v>
          </cell>
          <cell r="H214">
            <v>2735</v>
          </cell>
          <cell r="I214">
            <v>5288</v>
          </cell>
          <cell r="J214">
            <v>2394</v>
          </cell>
          <cell r="K214">
            <v>13491</v>
          </cell>
          <cell r="L214"/>
          <cell r="M214">
            <v>103</v>
          </cell>
          <cell r="N214">
            <v>0</v>
          </cell>
          <cell r="O214">
            <v>0</v>
          </cell>
          <cell r="P214">
            <v>103</v>
          </cell>
          <cell r="Q214"/>
          <cell r="R214">
            <v>5535</v>
          </cell>
          <cell r="S214">
            <v>2056</v>
          </cell>
          <cell r="T214">
            <v>7591</v>
          </cell>
        </row>
        <row r="215">
          <cell r="A215">
            <v>92109</v>
          </cell>
          <cell r="B215" t="str">
            <v>ALBEMARLE REGNL PLANNING &amp; DEVELOPMENT COMM</v>
          </cell>
          <cell r="C215">
            <v>1.7239999999999999E-4</v>
          </cell>
          <cell r="D215">
            <v>1.8809999999999999E-4</v>
          </cell>
          <cell r="E215">
            <v>408992</v>
          </cell>
          <cell r="F215" t="str">
            <v xml:space="preserve"> </v>
          </cell>
          <cell r="G215">
            <v>63098</v>
          </cell>
          <cell r="H215">
            <v>56142</v>
          </cell>
          <cell r="I215">
            <v>108531</v>
          </cell>
          <cell r="J215">
            <v>547</v>
          </cell>
          <cell r="K215">
            <v>228318</v>
          </cell>
          <cell r="L215"/>
          <cell r="M215">
            <v>2117</v>
          </cell>
          <cell r="N215">
            <v>0</v>
          </cell>
          <cell r="O215">
            <v>19072</v>
          </cell>
          <cell r="P215">
            <v>21189</v>
          </cell>
          <cell r="Q215"/>
          <cell r="R215">
            <v>113607</v>
          </cell>
          <cell r="S215">
            <v>-8757</v>
          </cell>
          <cell r="T215">
            <v>104850</v>
          </cell>
        </row>
        <row r="216">
          <cell r="A216">
            <v>92111</v>
          </cell>
          <cell r="B216" t="str">
            <v xml:space="preserve"> EDENTON</v>
          </cell>
          <cell r="C216">
            <v>5.2209999999999995E-4</v>
          </cell>
          <cell r="D216">
            <v>5.0460000000000001E-4</v>
          </cell>
          <cell r="E216">
            <v>1238600</v>
          </cell>
          <cell r="F216" t="str">
            <v xml:space="preserve"> </v>
          </cell>
          <cell r="G216">
            <v>191087</v>
          </cell>
          <cell r="H216">
            <v>170023</v>
          </cell>
          <cell r="I216">
            <v>328677</v>
          </cell>
          <cell r="J216">
            <v>4892</v>
          </cell>
          <cell r="K216">
            <v>694679</v>
          </cell>
          <cell r="L216"/>
          <cell r="M216">
            <v>6412</v>
          </cell>
          <cell r="N216">
            <v>0</v>
          </cell>
          <cell r="O216">
            <v>8630</v>
          </cell>
          <cell r="P216">
            <v>15042</v>
          </cell>
          <cell r="Q216"/>
          <cell r="R216">
            <v>344050</v>
          </cell>
          <cell r="S216">
            <v>2737</v>
          </cell>
          <cell r="T216">
            <v>346787</v>
          </cell>
        </row>
        <row r="217">
          <cell r="A217">
            <v>92113</v>
          </cell>
          <cell r="B217" t="str">
            <v>THE NEW EDENTON HOUSING AUTHORITY</v>
          </cell>
          <cell r="C217">
            <v>1.56E-5</v>
          </cell>
          <cell r="D217">
            <v>1.4399999999999999E-5</v>
          </cell>
          <cell r="E217">
            <v>37009</v>
          </cell>
          <cell r="F217" t="str">
            <v xml:space="preserve"> </v>
          </cell>
          <cell r="G217">
            <v>5710</v>
          </cell>
          <cell r="H217">
            <v>5080</v>
          </cell>
          <cell r="I217">
            <v>9821</v>
          </cell>
          <cell r="J217">
            <v>14622</v>
          </cell>
          <cell r="K217">
            <v>35233</v>
          </cell>
          <cell r="L217"/>
          <cell r="M217">
            <v>192</v>
          </cell>
          <cell r="N217">
            <v>0</v>
          </cell>
          <cell r="O217">
            <v>1633</v>
          </cell>
          <cell r="P217">
            <v>1825</v>
          </cell>
          <cell r="Q217"/>
          <cell r="R217">
            <v>10280</v>
          </cell>
          <cell r="S217">
            <v>8352</v>
          </cell>
          <cell r="T217">
            <v>18632</v>
          </cell>
        </row>
        <row r="218">
          <cell r="A218">
            <v>92201</v>
          </cell>
          <cell r="B218" t="str">
            <v>CLAY COUNTY</v>
          </cell>
          <cell r="C218">
            <v>9.1100000000000003E-4</v>
          </cell>
          <cell r="D218">
            <v>9.3389999999999999E-4</v>
          </cell>
          <cell r="E218">
            <v>2161204</v>
          </cell>
          <cell r="F218" t="str">
            <v xml:space="preserve"> </v>
          </cell>
          <cell r="G218">
            <v>333422</v>
          </cell>
          <cell r="H218">
            <v>296669</v>
          </cell>
          <cell r="I218">
            <v>573500</v>
          </cell>
          <cell r="J218">
            <v>13246</v>
          </cell>
          <cell r="K218">
            <v>1216837</v>
          </cell>
          <cell r="L218"/>
          <cell r="M218">
            <v>11188</v>
          </cell>
          <cell r="N218">
            <v>0</v>
          </cell>
          <cell r="O218">
            <v>32516</v>
          </cell>
          <cell r="P218">
            <v>43704</v>
          </cell>
          <cell r="Q218"/>
          <cell r="R218">
            <v>600324</v>
          </cell>
          <cell r="S218">
            <v>12990</v>
          </cell>
          <cell r="T218">
            <v>613314</v>
          </cell>
        </row>
        <row r="219">
          <cell r="A219">
            <v>92214</v>
          </cell>
          <cell r="B219" t="str">
            <v>CLAY COUNTY ABC BOARD</v>
          </cell>
          <cell r="C219">
            <v>1.9000000000000001E-5</v>
          </cell>
          <cell r="D219">
            <v>0</v>
          </cell>
          <cell r="E219">
            <v>45074</v>
          </cell>
          <cell r="F219" t="str">
            <v xml:space="preserve"> </v>
          </cell>
          <cell r="G219">
            <v>6954</v>
          </cell>
          <cell r="H219">
            <v>6187</v>
          </cell>
          <cell r="I219">
            <v>11961</v>
          </cell>
          <cell r="J219">
            <v>14011</v>
          </cell>
          <cell r="K219">
            <v>39113</v>
          </cell>
          <cell r="L219"/>
          <cell r="M219">
            <v>233</v>
          </cell>
          <cell r="N219">
            <v>0</v>
          </cell>
          <cell r="O219">
            <v>0</v>
          </cell>
          <cell r="P219">
            <v>233</v>
          </cell>
          <cell r="Q219"/>
          <cell r="R219">
            <v>12520</v>
          </cell>
          <cell r="S219">
            <v>3503</v>
          </cell>
          <cell r="T219">
            <v>16023</v>
          </cell>
        </row>
        <row r="220">
          <cell r="A220">
            <v>92301</v>
          </cell>
          <cell r="B220" t="str">
            <v>CLEVELAND COUNTY</v>
          </cell>
          <cell r="C220">
            <v>5.1875999999999997E-3</v>
          </cell>
          <cell r="D220">
            <v>5.2129999999999998E-3</v>
          </cell>
          <cell r="E220">
            <v>12306761</v>
          </cell>
          <cell r="F220" t="str">
            <v xml:space="preserve"> </v>
          </cell>
          <cell r="G220">
            <v>1898641</v>
          </cell>
          <cell r="H220">
            <v>1689353</v>
          </cell>
          <cell r="I220">
            <v>3265739</v>
          </cell>
          <cell r="J220">
            <v>65564</v>
          </cell>
          <cell r="K220">
            <v>6919297</v>
          </cell>
          <cell r="L220"/>
          <cell r="M220">
            <v>63709</v>
          </cell>
          <cell r="N220">
            <v>0</v>
          </cell>
          <cell r="O220">
            <v>24051</v>
          </cell>
          <cell r="P220">
            <v>87760</v>
          </cell>
          <cell r="Q220"/>
          <cell r="R220">
            <v>3418488</v>
          </cell>
          <cell r="S220">
            <v>16356</v>
          </cell>
          <cell r="T220">
            <v>3434844</v>
          </cell>
        </row>
        <row r="221">
          <cell r="A221">
            <v>92302</v>
          </cell>
          <cell r="B221" t="str">
            <v>CLEVELAND COUNTY WATER</v>
          </cell>
          <cell r="C221">
            <v>3.2410000000000002E-4</v>
          </cell>
          <cell r="D221">
            <v>2.9740000000000002E-4</v>
          </cell>
          <cell r="E221">
            <v>768876</v>
          </cell>
          <cell r="F221" t="str">
            <v xml:space="preserve"> </v>
          </cell>
          <cell r="G221">
            <v>118619</v>
          </cell>
          <cell r="H221">
            <v>105543</v>
          </cell>
          <cell r="I221">
            <v>204030</v>
          </cell>
          <cell r="J221">
            <v>6461</v>
          </cell>
          <cell r="K221">
            <v>434653</v>
          </cell>
          <cell r="L221"/>
          <cell r="M221">
            <v>3980</v>
          </cell>
          <cell r="N221">
            <v>0</v>
          </cell>
          <cell r="O221">
            <v>18923</v>
          </cell>
          <cell r="P221">
            <v>22903</v>
          </cell>
          <cell r="Q221"/>
          <cell r="R221">
            <v>213573</v>
          </cell>
          <cell r="S221">
            <v>-8101</v>
          </cell>
          <cell r="T221">
            <v>205472</v>
          </cell>
        </row>
        <row r="222">
          <cell r="A222">
            <v>92311</v>
          </cell>
          <cell r="B222" t="str">
            <v>CITY OF SHELBY</v>
          </cell>
          <cell r="C222">
            <v>2.2258999999999998E-3</v>
          </cell>
          <cell r="D222">
            <v>2.2504999999999999E-3</v>
          </cell>
          <cell r="E222">
            <v>5280596</v>
          </cell>
          <cell r="F222" t="str">
            <v xml:space="preserve"> </v>
          </cell>
          <cell r="G222">
            <v>814670</v>
          </cell>
          <cell r="H222">
            <v>724869</v>
          </cell>
          <cell r="I222">
            <v>1401266</v>
          </cell>
          <cell r="J222">
            <v>6268</v>
          </cell>
          <cell r="K222">
            <v>2947073</v>
          </cell>
          <cell r="L222"/>
          <cell r="M222">
            <v>27336</v>
          </cell>
          <cell r="N222">
            <v>0</v>
          </cell>
          <cell r="O222">
            <v>77605</v>
          </cell>
          <cell r="P222">
            <v>104941</v>
          </cell>
          <cell r="Q222"/>
          <cell r="R222">
            <v>1466808</v>
          </cell>
          <cell r="S222">
            <v>-51715</v>
          </cell>
          <cell r="T222">
            <v>1415093</v>
          </cell>
        </row>
        <row r="223">
          <cell r="A223">
            <v>92317</v>
          </cell>
          <cell r="B223" t="str">
            <v>SHELBY ABC BOARD</v>
          </cell>
          <cell r="C223">
            <v>2.1800000000000001E-5</v>
          </cell>
          <cell r="D223">
            <v>2.94E-5</v>
          </cell>
          <cell r="E223">
            <v>51717</v>
          </cell>
          <cell r="F223" t="str">
            <v xml:space="preserve"> </v>
          </cell>
          <cell r="G223">
            <v>7979</v>
          </cell>
          <cell r="H223">
            <v>7099</v>
          </cell>
          <cell r="I223">
            <v>13724</v>
          </cell>
          <cell r="J223">
            <v>13785</v>
          </cell>
          <cell r="K223">
            <v>42587</v>
          </cell>
          <cell r="L223"/>
          <cell r="M223">
            <v>268</v>
          </cell>
          <cell r="N223">
            <v>0</v>
          </cell>
          <cell r="O223">
            <v>0</v>
          </cell>
          <cell r="P223">
            <v>268</v>
          </cell>
          <cell r="Q223"/>
          <cell r="R223">
            <v>14366</v>
          </cell>
          <cell r="S223">
            <v>7302</v>
          </cell>
          <cell r="T223">
            <v>21668</v>
          </cell>
        </row>
        <row r="224">
          <cell r="A224">
            <v>92321</v>
          </cell>
          <cell r="B224" t="str">
            <v>CITY OF KINGS MOUNTAIN</v>
          </cell>
          <cell r="C224">
            <v>1.2386000000000001E-3</v>
          </cell>
          <cell r="D224">
            <v>1.1773E-3</v>
          </cell>
          <cell r="E224">
            <v>2938383</v>
          </cell>
          <cell r="F224" t="str">
            <v xml:space="preserve"> </v>
          </cell>
          <cell r="G224">
            <v>453323</v>
          </cell>
          <cell r="H224">
            <v>403353</v>
          </cell>
          <cell r="I224">
            <v>779733</v>
          </cell>
          <cell r="J224">
            <v>50947</v>
          </cell>
          <cell r="K224">
            <v>1687356</v>
          </cell>
          <cell r="L224"/>
          <cell r="M224">
            <v>15211</v>
          </cell>
          <cell r="N224">
            <v>0</v>
          </cell>
          <cell r="O224">
            <v>15403</v>
          </cell>
          <cell r="P224">
            <v>30614</v>
          </cell>
          <cell r="Q224"/>
          <cell r="R224">
            <v>816204</v>
          </cell>
          <cell r="S224">
            <v>30637</v>
          </cell>
          <cell r="T224">
            <v>846841</v>
          </cell>
        </row>
        <row r="225">
          <cell r="A225">
            <v>92327</v>
          </cell>
          <cell r="B225" t="str">
            <v>KINGS MOUNTAIN ABC BOARD</v>
          </cell>
          <cell r="C225">
            <v>6.8000000000000001E-6</v>
          </cell>
          <cell r="D225">
            <v>5.6999999999999996E-6</v>
          </cell>
          <cell r="E225">
            <v>16132</v>
          </cell>
          <cell r="F225" t="str">
            <v xml:space="preserve"> </v>
          </cell>
          <cell r="G225">
            <v>2489</v>
          </cell>
          <cell r="H225">
            <v>2215</v>
          </cell>
          <cell r="I225">
            <v>4281</v>
          </cell>
          <cell r="J225">
            <v>5548</v>
          </cell>
          <cell r="K225">
            <v>14533</v>
          </cell>
          <cell r="L225"/>
          <cell r="M225">
            <v>84</v>
          </cell>
          <cell r="N225">
            <v>0</v>
          </cell>
          <cell r="O225">
            <v>0</v>
          </cell>
          <cell r="P225">
            <v>84</v>
          </cell>
          <cell r="Q225"/>
          <cell r="R225">
            <v>4481</v>
          </cell>
          <cell r="S225">
            <v>2080</v>
          </cell>
          <cell r="T225">
            <v>6561</v>
          </cell>
        </row>
        <row r="226">
          <cell r="A226">
            <v>92331</v>
          </cell>
          <cell r="B226" t="str">
            <v xml:space="preserve"> BOILING SPRINGS</v>
          </cell>
          <cell r="C226">
            <v>1.315E-4</v>
          </cell>
          <cell r="D226">
            <v>1.3970000000000001E-4</v>
          </cell>
          <cell r="E226">
            <v>311963</v>
          </cell>
          <cell r="F226" t="str">
            <v xml:space="preserve"> </v>
          </cell>
          <cell r="G226">
            <v>48128</v>
          </cell>
          <cell r="H226">
            <v>42823</v>
          </cell>
          <cell r="I226">
            <v>82783</v>
          </cell>
          <cell r="J226">
            <v>427</v>
          </cell>
          <cell r="K226">
            <v>174161</v>
          </cell>
          <cell r="L226"/>
          <cell r="M226">
            <v>1615</v>
          </cell>
          <cell r="N226">
            <v>0</v>
          </cell>
          <cell r="O226">
            <v>9509</v>
          </cell>
          <cell r="P226">
            <v>11124</v>
          </cell>
          <cell r="Q226"/>
          <cell r="R226">
            <v>86655</v>
          </cell>
          <cell r="S226">
            <v>-1856</v>
          </cell>
          <cell r="T226">
            <v>84799</v>
          </cell>
        </row>
        <row r="227">
          <cell r="A227">
            <v>92341</v>
          </cell>
          <cell r="B227" t="str">
            <v xml:space="preserve"> LAWNDALE</v>
          </cell>
          <cell r="C227">
            <v>9.2E-6</v>
          </cell>
          <cell r="D227">
            <v>9.7999999999999993E-6</v>
          </cell>
          <cell r="E227">
            <v>21826</v>
          </cell>
          <cell r="F227" t="str">
            <v xml:space="preserve"> </v>
          </cell>
          <cell r="G227">
            <v>3367</v>
          </cell>
          <cell r="H227">
            <v>2996</v>
          </cell>
          <cell r="I227">
            <v>5792</v>
          </cell>
          <cell r="J227">
            <v>297</v>
          </cell>
          <cell r="K227">
            <v>12452</v>
          </cell>
          <cell r="L227"/>
          <cell r="M227">
            <v>113</v>
          </cell>
          <cell r="N227">
            <v>0</v>
          </cell>
          <cell r="O227">
            <v>2308</v>
          </cell>
          <cell r="P227">
            <v>2421</v>
          </cell>
          <cell r="Q227"/>
          <cell r="R227">
            <v>6063</v>
          </cell>
          <cell r="S227">
            <v>-1214</v>
          </cell>
          <cell r="T227">
            <v>4849</v>
          </cell>
        </row>
        <row r="228">
          <cell r="A228">
            <v>92351</v>
          </cell>
          <cell r="B228" t="str">
            <v xml:space="preserve"> GROVER</v>
          </cell>
          <cell r="C228">
            <v>1.9400000000000001E-5</v>
          </cell>
          <cell r="D228">
            <v>1.8600000000000001E-5</v>
          </cell>
          <cell r="E228">
            <v>46023</v>
          </cell>
          <cell r="F228" t="str">
            <v xml:space="preserve"> </v>
          </cell>
          <cell r="G228">
            <v>7100</v>
          </cell>
          <cell r="H228">
            <v>6317</v>
          </cell>
          <cell r="I228">
            <v>12213</v>
          </cell>
          <cell r="J228">
            <v>3336</v>
          </cell>
          <cell r="K228">
            <v>28966</v>
          </cell>
          <cell r="L228"/>
          <cell r="M228">
            <v>238</v>
          </cell>
          <cell r="N228">
            <v>0</v>
          </cell>
          <cell r="O228">
            <v>2532</v>
          </cell>
          <cell r="P228">
            <v>2770</v>
          </cell>
          <cell r="Q228"/>
          <cell r="R228">
            <v>12784</v>
          </cell>
          <cell r="S228">
            <v>-213</v>
          </cell>
          <cell r="T228">
            <v>12571</v>
          </cell>
        </row>
        <row r="229">
          <cell r="A229">
            <v>92401</v>
          </cell>
          <cell r="B229" t="str">
            <v>COLUMBUS COUNTY</v>
          </cell>
          <cell r="C229">
            <v>2.4808E-3</v>
          </cell>
          <cell r="D229">
            <v>2.6890999999999998E-3</v>
          </cell>
          <cell r="E229">
            <v>5885306</v>
          </cell>
          <cell r="F229" t="str">
            <v xml:space="preserve"> </v>
          </cell>
          <cell r="G229">
            <v>907963</v>
          </cell>
          <cell r="H229">
            <v>807877</v>
          </cell>
          <cell r="I229">
            <v>1561733</v>
          </cell>
          <cell r="J229">
            <v>14194</v>
          </cell>
          <cell r="K229">
            <v>3291767</v>
          </cell>
          <cell r="L229"/>
          <cell r="M229">
            <v>30467</v>
          </cell>
          <cell r="N229">
            <v>0</v>
          </cell>
          <cell r="O229">
            <v>55822</v>
          </cell>
          <cell r="P229">
            <v>86289</v>
          </cell>
          <cell r="Q229"/>
          <cell r="R229">
            <v>1634780</v>
          </cell>
          <cell r="S229">
            <v>5281</v>
          </cell>
          <cell r="T229">
            <v>1640061</v>
          </cell>
        </row>
        <row r="230">
          <cell r="A230">
            <v>92403</v>
          </cell>
          <cell r="B230" t="str">
            <v>WHITEVILLE HOUSING AUTHORITY</v>
          </cell>
          <cell r="C230">
            <v>1.0200000000000001E-5</v>
          </cell>
          <cell r="D230">
            <v>1.11E-5</v>
          </cell>
          <cell r="E230">
            <v>24198</v>
          </cell>
          <cell r="F230" t="str">
            <v xml:space="preserve"> </v>
          </cell>
          <cell r="G230">
            <v>3733</v>
          </cell>
          <cell r="H230">
            <v>3321</v>
          </cell>
          <cell r="I230">
            <v>6421</v>
          </cell>
          <cell r="J230">
            <v>1611</v>
          </cell>
          <cell r="K230">
            <v>15086</v>
          </cell>
          <cell r="L230"/>
          <cell r="M230">
            <v>125</v>
          </cell>
          <cell r="N230">
            <v>0</v>
          </cell>
          <cell r="O230">
            <v>851</v>
          </cell>
          <cell r="P230">
            <v>976</v>
          </cell>
          <cell r="Q230"/>
          <cell r="R230">
            <v>6722</v>
          </cell>
          <cell r="S230">
            <v>220</v>
          </cell>
          <cell r="T230">
            <v>6942</v>
          </cell>
        </row>
        <row r="231">
          <cell r="A231">
            <v>92411</v>
          </cell>
          <cell r="B231" t="str">
            <v>CITY OF WHITEVILLE</v>
          </cell>
          <cell r="C231">
            <v>4.4569999999999999E-4</v>
          </cell>
          <cell r="D231">
            <v>5.0469999999999996E-4</v>
          </cell>
          <cell r="E231">
            <v>1057353</v>
          </cell>
          <cell r="F231" t="str">
            <v xml:space="preserve"> </v>
          </cell>
          <cell r="G231">
            <v>163124</v>
          </cell>
          <cell r="H231">
            <v>145143</v>
          </cell>
          <cell r="I231">
            <v>280581</v>
          </cell>
          <cell r="J231">
            <v>165</v>
          </cell>
          <cell r="K231">
            <v>589013</v>
          </cell>
          <cell r="L231"/>
          <cell r="M231">
            <v>5474</v>
          </cell>
          <cell r="N231">
            <v>0</v>
          </cell>
          <cell r="O231">
            <v>72580</v>
          </cell>
          <cell r="P231">
            <v>78054</v>
          </cell>
          <cell r="Q231"/>
          <cell r="R231">
            <v>293704</v>
          </cell>
          <cell r="S231">
            <v>-29467</v>
          </cell>
          <cell r="T231">
            <v>264237</v>
          </cell>
        </row>
        <row r="232">
          <cell r="A232">
            <v>92414</v>
          </cell>
          <cell r="B232" t="str">
            <v xml:space="preserve"> BOLTON</v>
          </cell>
          <cell r="C232">
            <v>0</v>
          </cell>
          <cell r="D232">
            <v>0</v>
          </cell>
          <cell r="E232">
            <v>0</v>
          </cell>
          <cell r="F232" t="str">
            <v xml:space="preserve"> </v>
          </cell>
          <cell r="G232">
            <v>0</v>
          </cell>
          <cell r="H232">
            <v>0</v>
          </cell>
          <cell r="I232">
            <v>0</v>
          </cell>
          <cell r="J232">
            <v>0</v>
          </cell>
          <cell r="K232">
            <v>0</v>
          </cell>
          <cell r="L232"/>
          <cell r="M232">
            <v>0</v>
          </cell>
          <cell r="N232">
            <v>0</v>
          </cell>
          <cell r="O232">
            <v>3269</v>
          </cell>
          <cell r="P232">
            <v>3269</v>
          </cell>
          <cell r="Q232"/>
          <cell r="R232">
            <v>0</v>
          </cell>
          <cell r="S232">
            <v>-2443</v>
          </cell>
          <cell r="T232">
            <v>-2443</v>
          </cell>
        </row>
        <row r="233">
          <cell r="A233">
            <v>92417</v>
          </cell>
          <cell r="B233" t="str">
            <v>WHITEVILLE ABC BOARD</v>
          </cell>
          <cell r="C233">
            <v>1.8600000000000001E-5</v>
          </cell>
          <cell r="D233">
            <v>1.8300000000000001E-5</v>
          </cell>
          <cell r="E233">
            <v>44126</v>
          </cell>
          <cell r="F233" t="str">
            <v xml:space="preserve"> </v>
          </cell>
          <cell r="G233">
            <v>6808</v>
          </cell>
          <cell r="H233">
            <v>6058</v>
          </cell>
          <cell r="I233">
            <v>11709</v>
          </cell>
          <cell r="J233">
            <v>0</v>
          </cell>
          <cell r="K233">
            <v>24575</v>
          </cell>
          <cell r="L233"/>
          <cell r="M233">
            <v>228</v>
          </cell>
          <cell r="N233">
            <v>0</v>
          </cell>
          <cell r="O233">
            <v>3682</v>
          </cell>
          <cell r="P233">
            <v>3910</v>
          </cell>
          <cell r="Q233"/>
          <cell r="R233">
            <v>12257</v>
          </cell>
          <cell r="S233">
            <v>-1356</v>
          </cell>
          <cell r="T233">
            <v>10901</v>
          </cell>
        </row>
        <row r="234">
          <cell r="A234">
            <v>92421</v>
          </cell>
          <cell r="B234" t="str">
            <v xml:space="preserve"> BRUNSWICK</v>
          </cell>
          <cell r="C234">
            <v>8.6999999999999997E-6</v>
          </cell>
          <cell r="D234">
            <v>8.8000000000000004E-6</v>
          </cell>
          <cell r="E234">
            <v>20639</v>
          </cell>
          <cell r="F234" t="str">
            <v xml:space="preserve"> </v>
          </cell>
          <cell r="G234">
            <v>3184</v>
          </cell>
          <cell r="H234">
            <v>2833</v>
          </cell>
          <cell r="I234">
            <v>5477</v>
          </cell>
          <cell r="J234">
            <v>6193</v>
          </cell>
          <cell r="K234">
            <v>17687</v>
          </cell>
          <cell r="L234"/>
          <cell r="M234">
            <v>107</v>
          </cell>
          <cell r="N234">
            <v>0</v>
          </cell>
          <cell r="O234">
            <v>746</v>
          </cell>
          <cell r="P234">
            <v>853</v>
          </cell>
          <cell r="Q234"/>
          <cell r="R234">
            <v>5733</v>
          </cell>
          <cell r="S234">
            <v>1925</v>
          </cell>
          <cell r="T234">
            <v>7658</v>
          </cell>
        </row>
        <row r="235">
          <cell r="A235">
            <v>92427</v>
          </cell>
          <cell r="B235" t="str">
            <v>LAKE WACCAMAW ABC BOARD</v>
          </cell>
          <cell r="C235">
            <v>1.9999999999999999E-6</v>
          </cell>
          <cell r="D235">
            <v>3.9999999999999998E-7</v>
          </cell>
          <cell r="E235">
            <v>4745</v>
          </cell>
          <cell r="F235" t="str">
            <v xml:space="preserve"> </v>
          </cell>
          <cell r="G235">
            <v>732</v>
          </cell>
          <cell r="H235">
            <v>651</v>
          </cell>
          <cell r="I235">
            <v>1259</v>
          </cell>
          <cell r="J235">
            <v>2874</v>
          </cell>
          <cell r="K235">
            <v>5516</v>
          </cell>
          <cell r="L235"/>
          <cell r="M235">
            <v>25</v>
          </cell>
          <cell r="N235">
            <v>0</v>
          </cell>
          <cell r="O235">
            <v>0</v>
          </cell>
          <cell r="P235">
            <v>25</v>
          </cell>
          <cell r="Q235"/>
          <cell r="R235">
            <v>1318</v>
          </cell>
          <cell r="S235">
            <v>1269</v>
          </cell>
          <cell r="T235">
            <v>2587</v>
          </cell>
        </row>
        <row r="236">
          <cell r="A236">
            <v>92431</v>
          </cell>
          <cell r="B236" t="str">
            <v xml:space="preserve"> FAIR BLUFF</v>
          </cell>
          <cell r="C236">
            <v>2.1999999999999999E-5</v>
          </cell>
          <cell r="D236">
            <v>3.0800000000000003E-5</v>
          </cell>
          <cell r="E236">
            <v>52192</v>
          </cell>
          <cell r="F236" t="str">
            <v xml:space="preserve"> </v>
          </cell>
          <cell r="G236">
            <v>8052</v>
          </cell>
          <cell r="H236">
            <v>7164</v>
          </cell>
          <cell r="I236">
            <v>13850</v>
          </cell>
          <cell r="J236">
            <v>12947</v>
          </cell>
          <cell r="K236">
            <v>42013</v>
          </cell>
          <cell r="L236"/>
          <cell r="M236">
            <v>270</v>
          </cell>
          <cell r="N236">
            <v>0</v>
          </cell>
          <cell r="O236">
            <v>3712</v>
          </cell>
          <cell r="P236">
            <v>3982</v>
          </cell>
          <cell r="Q236"/>
          <cell r="R236">
            <v>14497</v>
          </cell>
          <cell r="S236">
            <v>3732</v>
          </cell>
          <cell r="T236">
            <v>18229</v>
          </cell>
        </row>
        <row r="237">
          <cell r="A237">
            <v>92441</v>
          </cell>
          <cell r="B237" t="str">
            <v xml:space="preserve"> CHADBOURN</v>
          </cell>
          <cell r="C237">
            <v>1.002E-4</v>
          </cell>
          <cell r="D237">
            <v>7.7999999999999999E-5</v>
          </cell>
          <cell r="E237">
            <v>237709</v>
          </cell>
          <cell r="F237" t="str">
            <v xml:space="preserve"> </v>
          </cell>
          <cell r="G237">
            <v>36673</v>
          </cell>
          <cell r="H237">
            <v>32630</v>
          </cell>
          <cell r="I237">
            <v>63079</v>
          </cell>
          <cell r="J237">
            <v>15338</v>
          </cell>
          <cell r="K237">
            <v>147720</v>
          </cell>
          <cell r="L237"/>
          <cell r="M237">
            <v>1231</v>
          </cell>
          <cell r="N237">
            <v>0</v>
          </cell>
          <cell r="O237">
            <v>8352</v>
          </cell>
          <cell r="P237">
            <v>9583</v>
          </cell>
          <cell r="Q237"/>
          <cell r="R237">
            <v>66029</v>
          </cell>
          <cell r="S237">
            <v>-3122</v>
          </cell>
          <cell r="T237">
            <v>62907</v>
          </cell>
        </row>
        <row r="238">
          <cell r="A238">
            <v>92444</v>
          </cell>
          <cell r="B238" t="str">
            <v>WEST COLUMBUS ABC BOARD</v>
          </cell>
          <cell r="C238">
            <v>1.7E-6</v>
          </cell>
          <cell r="D238">
            <v>1.7999999999999999E-6</v>
          </cell>
          <cell r="E238">
            <v>4033</v>
          </cell>
          <cell r="F238" t="str">
            <v xml:space="preserve"> </v>
          </cell>
          <cell r="G238">
            <v>622</v>
          </cell>
          <cell r="H238">
            <v>553</v>
          </cell>
          <cell r="I238">
            <v>1070</v>
          </cell>
          <cell r="J238">
            <v>3193</v>
          </cell>
          <cell r="K238">
            <v>5438</v>
          </cell>
          <cell r="L238"/>
          <cell r="M238">
            <v>21</v>
          </cell>
          <cell r="N238">
            <v>0</v>
          </cell>
          <cell r="O238">
            <v>0</v>
          </cell>
          <cell r="P238">
            <v>21</v>
          </cell>
          <cell r="Q238"/>
          <cell r="R238">
            <v>1120</v>
          </cell>
          <cell r="S238">
            <v>1642</v>
          </cell>
          <cell r="T238">
            <v>2762</v>
          </cell>
        </row>
        <row r="239">
          <cell r="A239">
            <v>92451</v>
          </cell>
          <cell r="B239" t="str">
            <v xml:space="preserve"> TABOR CITY</v>
          </cell>
          <cell r="C239">
            <v>1.2650000000000001E-4</v>
          </cell>
          <cell r="D239">
            <v>1.3070000000000001E-4</v>
          </cell>
          <cell r="E239">
            <v>300101</v>
          </cell>
          <cell r="F239" t="str">
            <v xml:space="preserve"> </v>
          </cell>
          <cell r="G239">
            <v>46298</v>
          </cell>
          <cell r="H239">
            <v>41195</v>
          </cell>
          <cell r="I239">
            <v>79635</v>
          </cell>
          <cell r="J239">
            <v>28275</v>
          </cell>
          <cell r="K239">
            <v>195403</v>
          </cell>
          <cell r="L239"/>
          <cell r="M239">
            <v>1554</v>
          </cell>
          <cell r="N239">
            <v>0</v>
          </cell>
          <cell r="O239">
            <v>0</v>
          </cell>
          <cell r="P239">
            <v>1554</v>
          </cell>
          <cell r="Q239"/>
          <cell r="R239">
            <v>83360</v>
          </cell>
          <cell r="S239">
            <v>15181</v>
          </cell>
          <cell r="T239">
            <v>98541</v>
          </cell>
        </row>
        <row r="240">
          <cell r="A240">
            <v>92461</v>
          </cell>
          <cell r="B240" t="str">
            <v xml:space="preserve"> LAKE WACCAMAW</v>
          </cell>
          <cell r="C240">
            <v>6.7500000000000001E-5</v>
          </cell>
          <cell r="D240">
            <v>7.1099999999999994E-5</v>
          </cell>
          <cell r="E240">
            <v>160133</v>
          </cell>
          <cell r="F240" t="str">
            <v xml:space="preserve"> </v>
          </cell>
          <cell r="G240">
            <v>24705</v>
          </cell>
          <cell r="H240">
            <v>21982</v>
          </cell>
          <cell r="I240">
            <v>42493</v>
          </cell>
          <cell r="J240">
            <v>14437</v>
          </cell>
          <cell r="K240">
            <v>103617</v>
          </cell>
          <cell r="L240"/>
          <cell r="M240">
            <v>829</v>
          </cell>
          <cell r="N240">
            <v>0</v>
          </cell>
          <cell r="O240">
            <v>2116</v>
          </cell>
          <cell r="P240">
            <v>2945</v>
          </cell>
          <cell r="Q240"/>
          <cell r="R240">
            <v>44481</v>
          </cell>
          <cell r="S240">
            <v>2527</v>
          </cell>
          <cell r="T240">
            <v>47008</v>
          </cell>
        </row>
        <row r="241">
          <cell r="A241">
            <v>92501</v>
          </cell>
          <cell r="B241" t="str">
            <v>CRAVEN COUNTY</v>
          </cell>
          <cell r="C241">
            <v>3.7823000000000002E-3</v>
          </cell>
          <cell r="D241">
            <v>3.8252E-3</v>
          </cell>
          <cell r="E241">
            <v>8972909</v>
          </cell>
          <cell r="F241" t="str">
            <v xml:space="preserve"> </v>
          </cell>
          <cell r="G241">
            <v>1384307</v>
          </cell>
          <cell r="H241">
            <v>1231713</v>
          </cell>
          <cell r="I241">
            <v>2381064</v>
          </cell>
          <cell r="J241">
            <v>177147</v>
          </cell>
          <cell r="K241">
            <v>5174231</v>
          </cell>
          <cell r="L241"/>
          <cell r="M241">
            <v>46450</v>
          </cell>
          <cell r="N241">
            <v>0</v>
          </cell>
          <cell r="O241">
            <v>4069</v>
          </cell>
          <cell r="P241">
            <v>50519</v>
          </cell>
          <cell r="Q241"/>
          <cell r="R241">
            <v>2492434</v>
          </cell>
          <cell r="S241">
            <v>67545</v>
          </cell>
          <cell r="T241">
            <v>2559979</v>
          </cell>
        </row>
        <row r="242">
          <cell r="A242">
            <v>92502</v>
          </cell>
          <cell r="B242" t="str">
            <v>FIRST CRAVEN SANITARY DIST</v>
          </cell>
          <cell r="C242">
            <v>2.5700000000000001E-5</v>
          </cell>
          <cell r="D242">
            <v>2.7500000000000001E-5</v>
          </cell>
          <cell r="E242">
            <v>60969</v>
          </cell>
          <cell r="F242" t="str">
            <v xml:space="preserve"> </v>
          </cell>
          <cell r="G242">
            <v>9406</v>
          </cell>
          <cell r="H242">
            <v>8369</v>
          </cell>
          <cell r="I242">
            <v>16179</v>
          </cell>
          <cell r="J242">
            <v>3432</v>
          </cell>
          <cell r="K242">
            <v>37386</v>
          </cell>
          <cell r="L242"/>
          <cell r="M242">
            <v>316</v>
          </cell>
          <cell r="N242">
            <v>0</v>
          </cell>
          <cell r="O242">
            <v>803</v>
          </cell>
          <cell r="P242">
            <v>1119</v>
          </cell>
          <cell r="Q242"/>
          <cell r="R242">
            <v>16936</v>
          </cell>
          <cell r="S242">
            <v>200</v>
          </cell>
          <cell r="T242">
            <v>17136</v>
          </cell>
        </row>
        <row r="243">
          <cell r="A243">
            <v>92504</v>
          </cell>
          <cell r="B243" t="str">
            <v>CRAVEN CO ABC BD</v>
          </cell>
          <cell r="C243">
            <v>7.86E-5</v>
          </cell>
          <cell r="D243">
            <v>8.4300000000000003E-5</v>
          </cell>
          <cell r="E243">
            <v>186466</v>
          </cell>
          <cell r="F243" t="str">
            <v xml:space="preserve"> </v>
          </cell>
          <cell r="G243">
            <v>28767</v>
          </cell>
          <cell r="H243">
            <v>25596</v>
          </cell>
          <cell r="I243">
            <v>49481</v>
          </cell>
          <cell r="J243">
            <v>24679</v>
          </cell>
          <cell r="K243">
            <v>128523</v>
          </cell>
          <cell r="L243"/>
          <cell r="M243">
            <v>965</v>
          </cell>
          <cell r="N243">
            <v>0</v>
          </cell>
          <cell r="O243">
            <v>0</v>
          </cell>
          <cell r="P243">
            <v>965</v>
          </cell>
          <cell r="Q243"/>
          <cell r="R243">
            <v>51795</v>
          </cell>
          <cell r="S243">
            <v>11445</v>
          </cell>
          <cell r="T243">
            <v>63240</v>
          </cell>
        </row>
        <row r="244">
          <cell r="A244">
            <v>92505</v>
          </cell>
          <cell r="B244" t="str">
            <v>CRAVEN-PAMLICO-CARTERET REGIONAL LIBRARY</v>
          </cell>
          <cell r="C244">
            <v>1.8330000000000001E-4</v>
          </cell>
          <cell r="D244">
            <v>1.9239999999999999E-4</v>
          </cell>
          <cell r="E244">
            <v>434850</v>
          </cell>
          <cell r="F244" t="str">
            <v xml:space="preserve"> </v>
          </cell>
          <cell r="G244">
            <v>67087</v>
          </cell>
          <cell r="H244">
            <v>59692</v>
          </cell>
          <cell r="I244">
            <v>115392</v>
          </cell>
          <cell r="J244">
            <v>59838</v>
          </cell>
          <cell r="K244">
            <v>302009</v>
          </cell>
          <cell r="L244"/>
          <cell r="M244">
            <v>2251</v>
          </cell>
          <cell r="N244">
            <v>0</v>
          </cell>
          <cell r="O244">
            <v>0</v>
          </cell>
          <cell r="P244">
            <v>2251</v>
          </cell>
          <cell r="Q244"/>
          <cell r="R244">
            <v>120790</v>
          </cell>
          <cell r="S244">
            <v>29276</v>
          </cell>
          <cell r="T244">
            <v>150066</v>
          </cell>
        </row>
        <row r="245">
          <cell r="A245">
            <v>92506</v>
          </cell>
          <cell r="B245" t="str">
            <v>COASTAL CAROLINA REGIONAL AIRPORT</v>
          </cell>
          <cell r="C245">
            <v>6.05E-5</v>
          </cell>
          <cell r="D245">
            <v>4.7500000000000003E-5</v>
          </cell>
          <cell r="E245">
            <v>143527</v>
          </cell>
          <cell r="F245" t="str">
            <v xml:space="preserve"> </v>
          </cell>
          <cell r="G245">
            <v>22143</v>
          </cell>
          <cell r="H245">
            <v>19702</v>
          </cell>
          <cell r="I245">
            <v>38086</v>
          </cell>
          <cell r="J245">
            <v>23804</v>
          </cell>
          <cell r="K245">
            <v>103735</v>
          </cell>
          <cell r="L245"/>
          <cell r="M245">
            <v>743</v>
          </cell>
          <cell r="N245">
            <v>0</v>
          </cell>
          <cell r="O245">
            <v>0</v>
          </cell>
          <cell r="P245">
            <v>743</v>
          </cell>
          <cell r="Q245"/>
          <cell r="R245">
            <v>39868</v>
          </cell>
          <cell r="S245">
            <v>10713</v>
          </cell>
          <cell r="T245">
            <v>50581</v>
          </cell>
        </row>
        <row r="246">
          <cell r="A246">
            <v>92507</v>
          </cell>
          <cell r="B246" t="str">
            <v>NEUSE RIVER COUNCIL OF GOVERNMENTS</v>
          </cell>
          <cell r="C246">
            <v>9.2800000000000006E-5</v>
          </cell>
          <cell r="D246">
            <v>9.5699999999999995E-5</v>
          </cell>
          <cell r="E246">
            <v>220153</v>
          </cell>
          <cell r="F246" t="str">
            <v xml:space="preserve"> </v>
          </cell>
          <cell r="G246">
            <v>33964</v>
          </cell>
          <cell r="H246">
            <v>30220</v>
          </cell>
          <cell r="I246">
            <v>58420</v>
          </cell>
          <cell r="J246">
            <v>7696</v>
          </cell>
          <cell r="K246">
            <v>130300</v>
          </cell>
          <cell r="L246"/>
          <cell r="M246">
            <v>1140</v>
          </cell>
          <cell r="N246">
            <v>0</v>
          </cell>
          <cell r="O246">
            <v>13640</v>
          </cell>
          <cell r="P246">
            <v>14780</v>
          </cell>
          <cell r="Q246"/>
          <cell r="R246">
            <v>61153</v>
          </cell>
          <cell r="S246">
            <v>-7333</v>
          </cell>
          <cell r="T246">
            <v>53820</v>
          </cell>
        </row>
        <row r="247">
          <cell r="A247">
            <v>92508</v>
          </cell>
          <cell r="B247" t="str">
            <v>COASTAL REGIONAL SOLID WASTE MNGT AUTHORITY</v>
          </cell>
          <cell r="C247">
            <v>3.076E-4</v>
          </cell>
          <cell r="D247">
            <v>3.1E-4</v>
          </cell>
          <cell r="E247">
            <v>729732</v>
          </cell>
          <cell r="F247" t="str">
            <v xml:space="preserve"> </v>
          </cell>
          <cell r="G247">
            <v>112580</v>
          </cell>
          <cell r="H247">
            <v>100171</v>
          </cell>
          <cell r="I247">
            <v>193643</v>
          </cell>
          <cell r="J247">
            <v>7720</v>
          </cell>
          <cell r="K247">
            <v>414114</v>
          </cell>
          <cell r="L247"/>
          <cell r="M247">
            <v>3778</v>
          </cell>
          <cell r="N247">
            <v>0</v>
          </cell>
          <cell r="O247">
            <v>915</v>
          </cell>
          <cell r="P247">
            <v>4693</v>
          </cell>
          <cell r="Q247"/>
          <cell r="R247">
            <v>202700</v>
          </cell>
          <cell r="S247">
            <v>4814</v>
          </cell>
          <cell r="T247">
            <v>207514</v>
          </cell>
        </row>
        <row r="249">
          <cell r="A249">
            <v>92511</v>
          </cell>
          <cell r="B249" t="str">
            <v>CITY OF NEW BERN</v>
          </cell>
          <cell r="C249">
            <v>3.3249999999999998E-3</v>
          </cell>
          <cell r="D249">
            <v>3.3240000000000001E-3</v>
          </cell>
          <cell r="E249">
            <v>7888037</v>
          </cell>
          <cell r="F249" t="str">
            <v xml:space="preserve"> </v>
          </cell>
          <cell r="G249">
            <v>1216937</v>
          </cell>
          <cell r="H249">
            <v>1082793</v>
          </cell>
          <cell r="I249">
            <v>2093181</v>
          </cell>
          <cell r="J249">
            <v>11784</v>
          </cell>
          <cell r="K249">
            <v>4404695</v>
          </cell>
          <cell r="L249"/>
          <cell r="M249">
            <v>40834</v>
          </cell>
          <cell r="N249">
            <v>0</v>
          </cell>
          <cell r="O249">
            <v>152525</v>
          </cell>
          <cell r="P249">
            <v>193359</v>
          </cell>
          <cell r="Q249"/>
          <cell r="R249">
            <v>2191085</v>
          </cell>
          <cell r="S249">
            <v>-70016</v>
          </cell>
          <cell r="T249">
            <v>2121069</v>
          </cell>
        </row>
        <row r="250">
          <cell r="A250" t="str">
            <v>96519M</v>
          </cell>
          <cell r="B250" t="str">
            <v>COASTALCARE</v>
          </cell>
          <cell r="C250">
            <v>0</v>
          </cell>
          <cell r="D250">
            <v>0</v>
          </cell>
          <cell r="E250">
            <v>0</v>
          </cell>
          <cell r="F250" t="str">
            <v xml:space="preserve"> </v>
          </cell>
          <cell r="G250">
            <v>0</v>
          </cell>
          <cell r="H250">
            <v>0</v>
          </cell>
          <cell r="I250">
            <v>0</v>
          </cell>
          <cell r="J250">
            <v>25219</v>
          </cell>
          <cell r="K250">
            <v>25219</v>
          </cell>
          <cell r="L250"/>
          <cell r="M250">
            <v>0</v>
          </cell>
          <cell r="N250">
            <v>0</v>
          </cell>
          <cell r="O250">
            <v>448900</v>
          </cell>
          <cell r="P250">
            <v>448900</v>
          </cell>
          <cell r="Q250"/>
          <cell r="R250">
            <v>0</v>
          </cell>
          <cell r="S250">
            <v>-104030</v>
          </cell>
          <cell r="T250">
            <v>-104030</v>
          </cell>
        </row>
        <row r="251">
          <cell r="A251" t="str">
            <v>92509M</v>
          </cell>
          <cell r="B251" t="str">
            <v>EAST CAROLINA BEHAVORIAL HEALTHCARE</v>
          </cell>
          <cell r="C251">
            <v>0</v>
          </cell>
          <cell r="D251">
            <v>0</v>
          </cell>
          <cell r="E251">
            <v>0</v>
          </cell>
          <cell r="F251" t="str">
            <v xml:space="preserve"> </v>
          </cell>
          <cell r="G251">
            <v>0</v>
          </cell>
          <cell r="H251">
            <v>0</v>
          </cell>
          <cell r="I251">
            <v>0</v>
          </cell>
          <cell r="J251">
            <v>8188</v>
          </cell>
          <cell r="K251">
            <v>8188</v>
          </cell>
          <cell r="L251"/>
          <cell r="M251">
            <v>0</v>
          </cell>
          <cell r="N251">
            <v>0</v>
          </cell>
          <cell r="O251">
            <v>564201</v>
          </cell>
          <cell r="P251">
            <v>564201</v>
          </cell>
          <cell r="Q251"/>
          <cell r="R251">
            <v>0</v>
          </cell>
          <cell r="S251">
            <v>-224458</v>
          </cell>
          <cell r="T251">
            <v>-224458</v>
          </cell>
        </row>
        <row r="252">
          <cell r="A252" t="str">
            <v>92513M</v>
          </cell>
          <cell r="B252" t="str">
            <v>TRILLIUM HEALTH RESOURCES</v>
          </cell>
          <cell r="C252">
            <v>3.9129000000000004E-3</v>
          </cell>
          <cell r="D252">
            <v>4.0328999999999999E-3</v>
          </cell>
          <cell r="E252">
            <v>9282737</v>
          </cell>
          <cell r="F252" t="str">
            <v xml:space="preserve"> </v>
          </cell>
          <cell r="G252">
            <v>1432106</v>
          </cell>
          <cell r="H252">
            <v>1274244</v>
          </cell>
          <cell r="I252">
            <v>2463280</v>
          </cell>
          <cell r="J252">
            <v>963519</v>
          </cell>
          <cell r="K252">
            <v>6133149</v>
          </cell>
          <cell r="L252"/>
          <cell r="M252">
            <v>48054</v>
          </cell>
          <cell r="N252">
            <v>0</v>
          </cell>
          <cell r="O252">
            <v>288340</v>
          </cell>
          <cell r="P252">
            <v>336394</v>
          </cell>
          <cell r="Q252"/>
          <cell r="R252">
            <v>2578495</v>
          </cell>
          <cell r="S252">
            <v>439276</v>
          </cell>
          <cell r="T252">
            <v>3017771</v>
          </cell>
        </row>
        <row r="253">
          <cell r="A253">
            <v>92513</v>
          </cell>
          <cell r="B253" t="str">
            <v>TRILLIUM HEALTH RESOURCES (INCLUDES EAST CAROLINA BEHAVIORAL HEALTHCARE AND COASTALCARE)</v>
          </cell>
          <cell r="C253">
            <v>3.9129000000000004E-3</v>
          </cell>
          <cell r="D253">
            <v>4.0328999999999999E-3</v>
          </cell>
          <cell r="E253">
            <v>9282737</v>
          </cell>
          <cell r="F253"/>
          <cell r="G253">
            <v>1432106</v>
          </cell>
          <cell r="H253">
            <v>1274244</v>
          </cell>
          <cell r="I253">
            <v>2463280</v>
          </cell>
          <cell r="J253">
            <v>996926</v>
          </cell>
          <cell r="K253">
            <v>6166556</v>
          </cell>
          <cell r="L253"/>
          <cell r="M253">
            <v>48054</v>
          </cell>
          <cell r="N253">
            <v>0</v>
          </cell>
          <cell r="O253">
            <v>1301441</v>
          </cell>
          <cell r="P253">
            <v>1349495</v>
          </cell>
          <cell r="Q253"/>
          <cell r="R253">
            <v>2578495</v>
          </cell>
          <cell r="S253">
            <v>110788</v>
          </cell>
          <cell r="T253">
            <v>2689283</v>
          </cell>
        </row>
        <row r="254">
          <cell r="A254">
            <v>92521</v>
          </cell>
          <cell r="B254" t="str">
            <v xml:space="preserve"> TRENT WOODS</v>
          </cell>
          <cell r="C254">
            <v>8.6799999999999996E-5</v>
          </cell>
          <cell r="D254">
            <v>8.6899999999999998E-5</v>
          </cell>
          <cell r="E254">
            <v>205919</v>
          </cell>
          <cell r="F254" t="str">
            <v xml:space="preserve"> </v>
          </cell>
          <cell r="G254">
            <v>31768</v>
          </cell>
          <cell r="H254">
            <v>28267</v>
          </cell>
          <cell r="I254">
            <v>54643</v>
          </cell>
          <cell r="J254">
            <v>1428</v>
          </cell>
          <cell r="K254">
            <v>116106</v>
          </cell>
          <cell r="L254"/>
          <cell r="M254">
            <v>1066</v>
          </cell>
          <cell r="N254">
            <v>0</v>
          </cell>
          <cell r="O254">
            <v>8085</v>
          </cell>
          <cell r="P254">
            <v>9151</v>
          </cell>
          <cell r="Q254"/>
          <cell r="R254">
            <v>57199</v>
          </cell>
          <cell r="S254">
            <v>-2979</v>
          </cell>
          <cell r="T254">
            <v>54220</v>
          </cell>
        </row>
        <row r="255">
          <cell r="A255">
            <v>92531</v>
          </cell>
          <cell r="B255" t="str">
            <v>CITY OF HAVELOCK</v>
          </cell>
          <cell r="C255">
            <v>8.4360000000000001E-4</v>
          </cell>
          <cell r="D255">
            <v>8.6490000000000004E-4</v>
          </cell>
          <cell r="E255">
            <v>2001308</v>
          </cell>
          <cell r="F255" t="str">
            <v xml:space="preserve"> </v>
          </cell>
          <cell r="G255">
            <v>308754</v>
          </cell>
          <cell r="H255">
            <v>274720</v>
          </cell>
          <cell r="I255">
            <v>531070</v>
          </cell>
          <cell r="J255">
            <v>0</v>
          </cell>
          <cell r="K255">
            <v>1114544</v>
          </cell>
          <cell r="L255"/>
          <cell r="M255">
            <v>10360</v>
          </cell>
          <cell r="N255">
            <v>0</v>
          </cell>
          <cell r="O255">
            <v>111598</v>
          </cell>
          <cell r="P255">
            <v>121958</v>
          </cell>
          <cell r="Q255"/>
          <cell r="R255">
            <v>555910</v>
          </cell>
          <cell r="S255">
            <v>-73390</v>
          </cell>
          <cell r="T255">
            <v>482520</v>
          </cell>
        </row>
        <row r="256">
          <cell r="A256">
            <v>92541</v>
          </cell>
          <cell r="B256" t="str">
            <v xml:space="preserve"> RIVER BEND</v>
          </cell>
          <cell r="C256">
            <v>1.2459999999999999E-4</v>
          </cell>
          <cell r="D256">
            <v>1.4469999999999999E-4</v>
          </cell>
          <cell r="E256">
            <v>295594</v>
          </cell>
          <cell r="F256" t="str">
            <v xml:space="preserve"> </v>
          </cell>
          <cell r="G256">
            <v>45603</v>
          </cell>
          <cell r="H256">
            <v>40576</v>
          </cell>
          <cell r="I256">
            <v>78439</v>
          </cell>
          <cell r="J256">
            <v>2741</v>
          </cell>
          <cell r="K256">
            <v>167359</v>
          </cell>
          <cell r="L256"/>
          <cell r="M256">
            <v>1530</v>
          </cell>
          <cell r="N256">
            <v>0</v>
          </cell>
          <cell r="O256">
            <v>19775</v>
          </cell>
          <cell r="P256">
            <v>21305</v>
          </cell>
          <cell r="Q256"/>
          <cell r="R256">
            <v>82108</v>
          </cell>
          <cell r="S256">
            <v>-1772</v>
          </cell>
          <cell r="T256">
            <v>80336</v>
          </cell>
        </row>
        <row r="257">
          <cell r="A257">
            <v>92551</v>
          </cell>
          <cell r="B257" t="str">
            <v xml:space="preserve"> VANCEBORO</v>
          </cell>
          <cell r="C257">
            <v>4.3399999999999998E-5</v>
          </cell>
          <cell r="D257">
            <v>5.3300000000000001E-5</v>
          </cell>
          <cell r="E257">
            <v>102960</v>
          </cell>
          <cell r="F257" t="str">
            <v xml:space="preserve"> </v>
          </cell>
          <cell r="G257">
            <v>15884</v>
          </cell>
          <cell r="H257">
            <v>14134</v>
          </cell>
          <cell r="I257">
            <v>27322</v>
          </cell>
          <cell r="J257">
            <v>3097</v>
          </cell>
          <cell r="K257">
            <v>60437</v>
          </cell>
          <cell r="L257"/>
          <cell r="M257">
            <v>533</v>
          </cell>
          <cell r="N257">
            <v>0</v>
          </cell>
          <cell r="O257">
            <v>11920</v>
          </cell>
          <cell r="P257">
            <v>12453</v>
          </cell>
          <cell r="Q257"/>
          <cell r="R257">
            <v>28599</v>
          </cell>
          <cell r="S257">
            <v>-841</v>
          </cell>
          <cell r="T257">
            <v>27758</v>
          </cell>
        </row>
        <row r="258">
          <cell r="A258">
            <v>92561</v>
          </cell>
          <cell r="B258" t="str">
            <v xml:space="preserve"> BRIDGETON</v>
          </cell>
          <cell r="C258">
            <v>2.1399999999999998E-5</v>
          </cell>
          <cell r="D258">
            <v>2.2200000000000001E-5</v>
          </cell>
          <cell r="E258">
            <v>50768</v>
          </cell>
          <cell r="F258" t="str">
            <v xml:space="preserve"> </v>
          </cell>
          <cell r="G258">
            <v>7832</v>
          </cell>
          <cell r="H258">
            <v>6969</v>
          </cell>
          <cell r="I258">
            <v>13472</v>
          </cell>
          <cell r="J258">
            <v>2739</v>
          </cell>
          <cell r="K258">
            <v>31012</v>
          </cell>
          <cell r="L258"/>
          <cell r="M258">
            <v>263</v>
          </cell>
          <cell r="N258">
            <v>0</v>
          </cell>
          <cell r="O258">
            <v>135</v>
          </cell>
          <cell r="P258">
            <v>398</v>
          </cell>
          <cell r="Q258"/>
          <cell r="R258">
            <v>14102</v>
          </cell>
          <cell r="S258">
            <v>2596</v>
          </cell>
          <cell r="T258">
            <v>16698</v>
          </cell>
        </row>
        <row r="259">
          <cell r="A259">
            <v>92571</v>
          </cell>
          <cell r="B259" t="str">
            <v xml:space="preserve"> COVE CITY</v>
          </cell>
          <cell r="C259">
            <v>8.1000000000000004E-6</v>
          </cell>
          <cell r="D259">
            <v>1.01E-5</v>
          </cell>
          <cell r="E259">
            <v>19216</v>
          </cell>
          <cell r="F259" t="str">
            <v xml:space="preserve"> </v>
          </cell>
          <cell r="G259">
            <v>2965</v>
          </cell>
          <cell r="H259">
            <v>2638</v>
          </cell>
          <cell r="I259">
            <v>5099</v>
          </cell>
          <cell r="J259">
            <v>7660</v>
          </cell>
          <cell r="K259">
            <v>18362</v>
          </cell>
          <cell r="L259"/>
          <cell r="M259">
            <v>99</v>
          </cell>
          <cell r="N259">
            <v>0</v>
          </cell>
          <cell r="O259">
            <v>0</v>
          </cell>
          <cell r="P259">
            <v>99</v>
          </cell>
          <cell r="Q259"/>
          <cell r="R259">
            <v>5338</v>
          </cell>
          <cell r="S259">
            <v>2958</v>
          </cell>
          <cell r="T259">
            <v>8296</v>
          </cell>
        </row>
        <row r="260">
          <cell r="A260">
            <v>92601</v>
          </cell>
          <cell r="B260" t="str">
            <v>CUMBERLAND COUNTY</v>
          </cell>
          <cell r="C260">
            <v>1.34308E-2</v>
          </cell>
          <cell r="D260">
            <v>1.51874E-2</v>
          </cell>
          <cell r="E260">
            <v>31862451</v>
          </cell>
          <cell r="F260" t="str">
            <v xml:space="preserve"> </v>
          </cell>
          <cell r="G260">
            <v>4915619</v>
          </cell>
          <cell r="H260">
            <v>4373767</v>
          </cell>
          <cell r="I260">
            <v>8455065</v>
          </cell>
          <cell r="J260">
            <v>12367</v>
          </cell>
          <cell r="K260">
            <v>17756818</v>
          </cell>
          <cell r="L260"/>
          <cell r="M260">
            <v>164944</v>
          </cell>
          <cell r="N260">
            <v>0</v>
          </cell>
          <cell r="O260">
            <v>1190672</v>
          </cell>
          <cell r="P260">
            <v>1355616</v>
          </cell>
          <cell r="Q260"/>
          <cell r="R260">
            <v>8850535</v>
          </cell>
          <cell r="S260">
            <v>-178107</v>
          </cell>
          <cell r="T260">
            <v>8672428</v>
          </cell>
        </row>
        <row r="261">
          <cell r="A261">
            <v>92602</v>
          </cell>
          <cell r="B261" t="str">
            <v>WESTAREA VOLUNTEER FIRE DEPT</v>
          </cell>
          <cell r="C261">
            <v>6.3999999999999997E-6</v>
          </cell>
          <cell r="D261">
            <v>8.3000000000000002E-6</v>
          </cell>
          <cell r="E261">
            <v>15183</v>
          </cell>
          <cell r="F261" t="str">
            <v xml:space="preserve"> </v>
          </cell>
          <cell r="G261">
            <v>2342</v>
          </cell>
          <cell r="H261">
            <v>2084</v>
          </cell>
          <cell r="I261">
            <v>4029</v>
          </cell>
          <cell r="J261">
            <v>0</v>
          </cell>
          <cell r="K261">
            <v>8455</v>
          </cell>
          <cell r="L261"/>
          <cell r="M261">
            <v>79</v>
          </cell>
          <cell r="N261">
            <v>0</v>
          </cell>
          <cell r="O261">
            <v>2377</v>
          </cell>
          <cell r="P261">
            <v>2456</v>
          </cell>
          <cell r="Q261"/>
          <cell r="R261">
            <v>4217</v>
          </cell>
          <cell r="S261">
            <v>-578</v>
          </cell>
          <cell r="T261">
            <v>3639</v>
          </cell>
        </row>
        <row r="262">
          <cell r="A262">
            <v>92604</v>
          </cell>
          <cell r="B262" t="str">
            <v>CUMBERLAND CO ABC BOARD</v>
          </cell>
          <cell r="C262">
            <v>3.3560000000000003E-4</v>
          </cell>
          <cell r="D262">
            <v>3.4099999999999999E-4</v>
          </cell>
          <cell r="E262">
            <v>796158</v>
          </cell>
          <cell r="F262" t="str">
            <v xml:space="preserve"> </v>
          </cell>
          <cell r="G262">
            <v>122828</v>
          </cell>
          <cell r="H262">
            <v>109289</v>
          </cell>
          <cell r="I262">
            <v>211270</v>
          </cell>
          <cell r="J262">
            <v>48811</v>
          </cell>
          <cell r="K262">
            <v>492198</v>
          </cell>
          <cell r="L262"/>
          <cell r="M262">
            <v>4122</v>
          </cell>
          <cell r="N262">
            <v>0</v>
          </cell>
          <cell r="O262">
            <v>0</v>
          </cell>
          <cell r="P262">
            <v>4122</v>
          </cell>
          <cell r="Q262"/>
          <cell r="R262">
            <v>221151</v>
          </cell>
          <cell r="S262">
            <v>28864</v>
          </cell>
          <cell r="T262">
            <v>250015</v>
          </cell>
        </row>
        <row r="263">
          <cell r="A263">
            <v>92607</v>
          </cell>
          <cell r="B263" t="str">
            <v>MID-CAROLINA COUNCIL OF GOVERNMENTS</v>
          </cell>
          <cell r="C263">
            <v>6.1699999999999995E-5</v>
          </cell>
          <cell r="D263">
            <v>6.6400000000000001E-5</v>
          </cell>
          <cell r="E263">
            <v>146374</v>
          </cell>
          <cell r="F263" t="str">
            <v xml:space="preserve"> </v>
          </cell>
          <cell r="G263">
            <v>22582</v>
          </cell>
          <cell r="H263">
            <v>20093</v>
          </cell>
          <cell r="I263">
            <v>38842</v>
          </cell>
          <cell r="J263">
            <v>9704</v>
          </cell>
          <cell r="K263">
            <v>91221</v>
          </cell>
          <cell r="L263"/>
          <cell r="M263">
            <v>758</v>
          </cell>
          <cell r="N263">
            <v>0</v>
          </cell>
          <cell r="O263">
            <v>0</v>
          </cell>
          <cell r="P263">
            <v>758</v>
          </cell>
          <cell r="Q263"/>
          <cell r="R263">
            <v>40659</v>
          </cell>
          <cell r="S263">
            <v>6018</v>
          </cell>
          <cell r="T263">
            <v>46677</v>
          </cell>
        </row>
        <row r="264">
          <cell r="A264">
            <v>92608</v>
          </cell>
          <cell r="B264" t="str">
            <v>CUMBERLAND MEMORIAL AUDITORIUM COM</v>
          </cell>
          <cell r="C264">
            <v>0</v>
          </cell>
          <cell r="D264">
            <v>0</v>
          </cell>
          <cell r="E264">
            <v>0</v>
          </cell>
          <cell r="F264" t="str">
            <v xml:space="preserve"> </v>
          </cell>
          <cell r="G264">
            <v>0</v>
          </cell>
          <cell r="H264">
            <v>0</v>
          </cell>
          <cell r="I264">
            <v>0</v>
          </cell>
          <cell r="J264">
            <v>0</v>
          </cell>
          <cell r="K264">
            <v>0</v>
          </cell>
          <cell r="L264"/>
          <cell r="M264">
            <v>0</v>
          </cell>
          <cell r="N264">
            <v>0</v>
          </cell>
          <cell r="O264">
            <v>752</v>
          </cell>
          <cell r="P264">
            <v>752</v>
          </cell>
          <cell r="Q264"/>
          <cell r="R264">
            <v>0</v>
          </cell>
          <cell r="S264">
            <v>-69182</v>
          </cell>
          <cell r="T264">
            <v>-69182</v>
          </cell>
        </row>
        <row r="265">
          <cell r="A265">
            <v>92611</v>
          </cell>
          <cell r="B265" t="str">
            <v>CITY OF FAYETTEVILLE</v>
          </cell>
          <cell r="C265">
            <v>1.26649E-2</v>
          </cell>
          <cell r="D265">
            <v>1.3080899999999999E-2</v>
          </cell>
          <cell r="E265">
            <v>30045474</v>
          </cell>
          <cell r="F265" t="str">
            <v xml:space="preserve"> </v>
          </cell>
          <cell r="G265">
            <v>4635303</v>
          </cell>
          <cell r="H265">
            <v>4124350</v>
          </cell>
          <cell r="I265">
            <v>7972909</v>
          </cell>
          <cell r="J265">
            <v>0</v>
          </cell>
          <cell r="K265">
            <v>16732562</v>
          </cell>
          <cell r="L265"/>
          <cell r="M265">
            <v>155538</v>
          </cell>
          <cell r="N265">
            <v>0</v>
          </cell>
          <cell r="O265">
            <v>1208188</v>
          </cell>
          <cell r="P265">
            <v>1363726</v>
          </cell>
          <cell r="Q265"/>
          <cell r="R265">
            <v>8345827</v>
          </cell>
          <cell r="S265">
            <v>-451976</v>
          </cell>
          <cell r="T265">
            <v>7893851</v>
          </cell>
        </row>
        <row r="266">
          <cell r="A266">
            <v>92613</v>
          </cell>
          <cell r="B266" t="str">
            <v>FAYETTEVILLE METROPOLITAN HOUSING AUTHORITY</v>
          </cell>
          <cell r="C266">
            <v>2.3599999999999999E-4</v>
          </cell>
          <cell r="D266">
            <v>2.6439999999999998E-4</v>
          </cell>
          <cell r="E266">
            <v>559873</v>
          </cell>
          <cell r="F266" t="str">
            <v xml:space="preserve"> </v>
          </cell>
          <cell r="G266">
            <v>86375</v>
          </cell>
          <cell r="H266">
            <v>76854</v>
          </cell>
          <cell r="I266">
            <v>148569</v>
          </cell>
          <cell r="J266">
            <v>42032</v>
          </cell>
          <cell r="K266">
            <v>353830</v>
          </cell>
          <cell r="L266"/>
          <cell r="M266">
            <v>2898</v>
          </cell>
          <cell r="N266">
            <v>0</v>
          </cell>
          <cell r="O266">
            <v>1086</v>
          </cell>
          <cell r="P266">
            <v>3984</v>
          </cell>
          <cell r="Q266"/>
          <cell r="R266">
            <v>155518</v>
          </cell>
          <cell r="S266">
            <v>41245</v>
          </cell>
          <cell r="T266">
            <v>196763</v>
          </cell>
        </row>
        <row r="267">
          <cell r="A267">
            <v>92614</v>
          </cell>
          <cell r="B267" t="str">
            <v>PUBLIC WORKS COMM CTY OF FAYETTEVILLE</v>
          </cell>
          <cell r="C267">
            <v>5.5757000000000003E-3</v>
          </cell>
          <cell r="D267">
            <v>5.7273000000000003E-3</v>
          </cell>
          <cell r="E267">
            <v>13227467</v>
          </cell>
          <cell r="F267" t="str">
            <v xml:space="preserve"> </v>
          </cell>
          <cell r="G267">
            <v>2040684</v>
          </cell>
          <cell r="H267">
            <v>1815737</v>
          </cell>
          <cell r="I267">
            <v>3510059</v>
          </cell>
          <cell r="J267">
            <v>4152143</v>
          </cell>
          <cell r="K267">
            <v>11518623</v>
          </cell>
          <cell r="L267"/>
          <cell r="M267">
            <v>68475</v>
          </cell>
          <cell r="N267">
            <v>0</v>
          </cell>
          <cell r="O267">
            <v>0</v>
          </cell>
          <cell r="P267">
            <v>68475</v>
          </cell>
          <cell r="Q267"/>
          <cell r="R267">
            <v>3674236</v>
          </cell>
          <cell r="S267">
            <v>1829865</v>
          </cell>
          <cell r="T267">
            <v>5504101</v>
          </cell>
        </row>
        <row r="268">
          <cell r="A268">
            <v>92621</v>
          </cell>
          <cell r="B268" t="str">
            <v xml:space="preserve"> STEDMAN</v>
          </cell>
          <cell r="C268">
            <v>2.4600000000000002E-5</v>
          </cell>
          <cell r="D268">
            <v>2.72E-5</v>
          </cell>
          <cell r="E268">
            <v>58360</v>
          </cell>
          <cell r="F268" t="str">
            <v xml:space="preserve"> </v>
          </cell>
          <cell r="G268">
            <v>9004</v>
          </cell>
          <cell r="H268">
            <v>8011</v>
          </cell>
          <cell r="I268">
            <v>15486</v>
          </cell>
          <cell r="J268">
            <v>393</v>
          </cell>
          <cell r="K268">
            <v>32894</v>
          </cell>
          <cell r="L268"/>
          <cell r="M268">
            <v>302</v>
          </cell>
          <cell r="N268">
            <v>0</v>
          </cell>
          <cell r="O268">
            <v>4712</v>
          </cell>
          <cell r="P268">
            <v>5014</v>
          </cell>
          <cell r="Q268"/>
          <cell r="R268">
            <v>16211</v>
          </cell>
          <cell r="S268">
            <v>-2140</v>
          </cell>
          <cell r="T268">
            <v>14071</v>
          </cell>
        </row>
        <row r="269">
          <cell r="A269">
            <v>92631</v>
          </cell>
          <cell r="B269" t="str">
            <v xml:space="preserve"> HOPE MILLS</v>
          </cell>
          <cell r="C269">
            <v>9.0030000000000004E-4</v>
          </cell>
          <cell r="D269">
            <v>9.2710000000000004E-4</v>
          </cell>
          <cell r="E269">
            <v>2135820</v>
          </cell>
          <cell r="F269" t="str">
            <v xml:space="preserve"> </v>
          </cell>
          <cell r="G269">
            <v>329506</v>
          </cell>
          <cell r="H269">
            <v>293184</v>
          </cell>
          <cell r="I269">
            <v>566764</v>
          </cell>
          <cell r="J269">
            <v>0</v>
          </cell>
          <cell r="K269">
            <v>1189454</v>
          </cell>
          <cell r="L269"/>
          <cell r="M269">
            <v>11057</v>
          </cell>
          <cell r="N269">
            <v>0</v>
          </cell>
          <cell r="O269">
            <v>135840</v>
          </cell>
          <cell r="P269">
            <v>146897</v>
          </cell>
          <cell r="Q269"/>
          <cell r="R269">
            <v>593273</v>
          </cell>
          <cell r="S269">
            <v>-59375</v>
          </cell>
          <cell r="T269">
            <v>533898</v>
          </cell>
        </row>
        <row r="270">
          <cell r="A270">
            <v>92641</v>
          </cell>
          <cell r="B270" t="str">
            <v xml:space="preserve"> WADE</v>
          </cell>
          <cell r="C270">
            <v>9.7000000000000003E-6</v>
          </cell>
          <cell r="D270">
            <v>1.0200000000000001E-5</v>
          </cell>
          <cell r="E270">
            <v>23012</v>
          </cell>
          <cell r="F270" t="str">
            <v xml:space="preserve"> </v>
          </cell>
          <cell r="G270">
            <v>3550</v>
          </cell>
          <cell r="H270">
            <v>3159</v>
          </cell>
          <cell r="I270">
            <v>6106</v>
          </cell>
          <cell r="J270">
            <v>2866</v>
          </cell>
          <cell r="K270">
            <v>15681</v>
          </cell>
          <cell r="L270"/>
          <cell r="M270">
            <v>119</v>
          </cell>
          <cell r="N270">
            <v>0</v>
          </cell>
          <cell r="O270">
            <v>0</v>
          </cell>
          <cell r="P270">
            <v>119</v>
          </cell>
          <cell r="Q270"/>
          <cell r="R270">
            <v>6392</v>
          </cell>
          <cell r="S270">
            <v>543</v>
          </cell>
          <cell r="T270">
            <v>6935</v>
          </cell>
        </row>
        <row r="271">
          <cell r="A271">
            <v>92651</v>
          </cell>
          <cell r="B271" t="str">
            <v xml:space="preserve"> LINDEN</v>
          </cell>
          <cell r="C271">
            <v>4.4000000000000002E-6</v>
          </cell>
          <cell r="D271">
            <v>2.6000000000000001E-6</v>
          </cell>
          <cell r="E271">
            <v>10438</v>
          </cell>
          <cell r="F271" t="str">
            <v xml:space="preserve"> </v>
          </cell>
          <cell r="G271">
            <v>1610</v>
          </cell>
          <cell r="H271">
            <v>1433</v>
          </cell>
          <cell r="I271">
            <v>2770</v>
          </cell>
          <cell r="J271">
            <v>3690</v>
          </cell>
          <cell r="K271">
            <v>9503</v>
          </cell>
          <cell r="L271"/>
          <cell r="M271">
            <v>54</v>
          </cell>
          <cell r="N271">
            <v>0</v>
          </cell>
          <cell r="O271">
            <v>0</v>
          </cell>
          <cell r="P271">
            <v>54</v>
          </cell>
          <cell r="Q271"/>
          <cell r="R271">
            <v>2899</v>
          </cell>
          <cell r="S271">
            <v>1740</v>
          </cell>
          <cell r="T271">
            <v>4639</v>
          </cell>
        </row>
        <row r="272">
          <cell r="A272">
            <v>92661</v>
          </cell>
          <cell r="B272" t="str">
            <v xml:space="preserve"> SPRING LAKE</v>
          </cell>
          <cell r="C272">
            <v>6.334E-4</v>
          </cell>
          <cell r="D272">
            <v>6.9999999999999999E-4</v>
          </cell>
          <cell r="E272">
            <v>1502641</v>
          </cell>
          <cell r="F272" t="str">
            <v xml:space="preserve"> </v>
          </cell>
          <cell r="G272">
            <v>231822</v>
          </cell>
          <cell r="H272">
            <v>206268</v>
          </cell>
          <cell r="I272">
            <v>398743</v>
          </cell>
          <cell r="J272">
            <v>441125</v>
          </cell>
          <cell r="K272">
            <v>1277958</v>
          </cell>
          <cell r="L272"/>
          <cell r="M272">
            <v>7779</v>
          </cell>
          <cell r="N272">
            <v>0</v>
          </cell>
          <cell r="O272">
            <v>0</v>
          </cell>
          <cell r="P272">
            <v>7779</v>
          </cell>
          <cell r="Q272"/>
          <cell r="R272">
            <v>417393</v>
          </cell>
          <cell r="S272">
            <v>165863</v>
          </cell>
          <cell r="T272">
            <v>583256</v>
          </cell>
        </row>
        <row r="273">
          <cell r="A273">
            <v>92671</v>
          </cell>
          <cell r="B273" t="str">
            <v xml:space="preserve"> FALCON</v>
          </cell>
          <cell r="C273">
            <v>2.3999999999999999E-6</v>
          </cell>
          <cell r="D273">
            <v>2.6000000000000001E-6</v>
          </cell>
          <cell r="E273">
            <v>5694</v>
          </cell>
          <cell r="F273" t="str">
            <v xml:space="preserve"> </v>
          </cell>
          <cell r="G273">
            <v>878</v>
          </cell>
          <cell r="H273">
            <v>781</v>
          </cell>
          <cell r="I273">
            <v>1511</v>
          </cell>
          <cell r="J273">
            <v>7284</v>
          </cell>
          <cell r="K273">
            <v>10454</v>
          </cell>
          <cell r="L273"/>
          <cell r="M273">
            <v>29</v>
          </cell>
          <cell r="N273">
            <v>0</v>
          </cell>
          <cell r="O273">
            <v>0</v>
          </cell>
          <cell r="P273">
            <v>29</v>
          </cell>
          <cell r="Q273"/>
          <cell r="R273">
            <v>1582</v>
          </cell>
          <cell r="S273">
            <v>3016</v>
          </cell>
          <cell r="T273">
            <v>4598</v>
          </cell>
        </row>
        <row r="274">
          <cell r="A274">
            <v>92681</v>
          </cell>
          <cell r="B274" t="str">
            <v xml:space="preserve"> EASTOVER</v>
          </cell>
          <cell r="C274">
            <v>1.1800000000000001E-5</v>
          </cell>
          <cell r="D274">
            <v>1.17E-5</v>
          </cell>
          <cell r="E274">
            <v>27994</v>
          </cell>
          <cell r="F274" t="str">
            <v xml:space="preserve"> </v>
          </cell>
          <cell r="G274">
            <v>4319</v>
          </cell>
          <cell r="H274">
            <v>3843</v>
          </cell>
          <cell r="I274">
            <v>7428</v>
          </cell>
          <cell r="J274">
            <v>13847</v>
          </cell>
          <cell r="K274">
            <v>29437</v>
          </cell>
          <cell r="L274"/>
          <cell r="M274">
            <v>145</v>
          </cell>
          <cell r="N274">
            <v>0</v>
          </cell>
          <cell r="O274">
            <v>0</v>
          </cell>
          <cell r="P274">
            <v>145</v>
          </cell>
          <cell r="Q274"/>
          <cell r="R274">
            <v>7776</v>
          </cell>
          <cell r="S274">
            <v>6248</v>
          </cell>
          <cell r="T274">
            <v>14024</v>
          </cell>
        </row>
        <row r="275">
          <cell r="A275">
            <v>92701</v>
          </cell>
          <cell r="B275" t="str">
            <v>CURRITUCK COUNTY</v>
          </cell>
          <cell r="C275">
            <v>2.8871000000000001E-3</v>
          </cell>
          <cell r="D275">
            <v>3.0777000000000001E-3</v>
          </cell>
          <cell r="E275">
            <v>6849189</v>
          </cell>
          <cell r="F275" t="str">
            <v xml:space="preserve"> </v>
          </cell>
          <cell r="G275">
            <v>1056667</v>
          </cell>
          <cell r="H275">
            <v>940190</v>
          </cell>
          <cell r="I275">
            <v>1817510</v>
          </cell>
          <cell r="J275">
            <v>35473</v>
          </cell>
          <cell r="K275">
            <v>3849840</v>
          </cell>
          <cell r="L275"/>
          <cell r="M275">
            <v>35456</v>
          </cell>
          <cell r="N275">
            <v>0</v>
          </cell>
          <cell r="O275">
            <v>155267</v>
          </cell>
          <cell r="P275">
            <v>190723</v>
          </cell>
          <cell r="Q275"/>
          <cell r="R275">
            <v>1902521</v>
          </cell>
          <cell r="S275">
            <v>-62476</v>
          </cell>
          <cell r="T275">
            <v>1840045</v>
          </cell>
        </row>
        <row r="276">
          <cell r="A276">
            <v>92704</v>
          </cell>
          <cell r="B276" t="str">
            <v>CURRITUCK CO ABC BOARD</v>
          </cell>
          <cell r="C276">
            <v>3.9400000000000002E-5</v>
          </cell>
          <cell r="D276">
            <v>4.1600000000000002E-5</v>
          </cell>
          <cell r="E276">
            <v>93470</v>
          </cell>
          <cell r="F276" t="str">
            <v xml:space="preserve"> </v>
          </cell>
          <cell r="G276">
            <v>14420</v>
          </cell>
          <cell r="H276">
            <v>12831</v>
          </cell>
          <cell r="I276">
            <v>24803</v>
          </cell>
          <cell r="J276">
            <v>703</v>
          </cell>
          <cell r="K276">
            <v>52757</v>
          </cell>
          <cell r="L276"/>
          <cell r="M276">
            <v>484</v>
          </cell>
          <cell r="N276">
            <v>0</v>
          </cell>
          <cell r="O276">
            <v>5422</v>
          </cell>
          <cell r="P276">
            <v>5906</v>
          </cell>
          <cell r="Q276"/>
          <cell r="R276">
            <v>25964</v>
          </cell>
          <cell r="S276">
            <v>-1035</v>
          </cell>
          <cell r="T276">
            <v>24929</v>
          </cell>
        </row>
        <row r="277">
          <cell r="A277">
            <v>92801</v>
          </cell>
          <cell r="B277" t="str">
            <v>DARE COUNTY</v>
          </cell>
          <cell r="C277">
            <v>5.2335999999999997E-3</v>
          </cell>
          <cell r="D277">
            <v>5.0951E-3</v>
          </cell>
          <cell r="E277">
            <v>12415889</v>
          </cell>
          <cell r="F277" t="str">
            <v xml:space="preserve"> </v>
          </cell>
          <cell r="G277">
            <v>1915477</v>
          </cell>
          <cell r="H277">
            <v>1704333</v>
          </cell>
          <cell r="I277">
            <v>3294698</v>
          </cell>
          <cell r="J277">
            <v>237901</v>
          </cell>
          <cell r="K277">
            <v>7152409</v>
          </cell>
          <cell r="L277"/>
          <cell r="M277">
            <v>64274</v>
          </cell>
          <cell r="N277">
            <v>0</v>
          </cell>
          <cell r="O277">
            <v>0</v>
          </cell>
          <cell r="P277">
            <v>64274</v>
          </cell>
          <cell r="Q277"/>
          <cell r="R277">
            <v>3448801</v>
          </cell>
          <cell r="S277">
            <v>122866</v>
          </cell>
          <cell r="T277">
            <v>3571667</v>
          </cell>
        </row>
        <row r="278">
          <cell r="A278">
            <v>92802</v>
          </cell>
          <cell r="B278" t="str">
            <v>DARE COUNTY TOURISM BOARD</v>
          </cell>
          <cell r="C278">
            <v>1.2799999999999999E-4</v>
          </cell>
          <cell r="D278">
            <v>1.2970000000000001E-4</v>
          </cell>
          <cell r="E278">
            <v>303660</v>
          </cell>
          <cell r="F278" t="str">
            <v xml:space="preserve"> </v>
          </cell>
          <cell r="G278">
            <v>46847</v>
          </cell>
          <cell r="H278">
            <v>41684</v>
          </cell>
          <cell r="I278">
            <v>80580</v>
          </cell>
          <cell r="J278">
            <v>0</v>
          </cell>
          <cell r="K278">
            <v>169111</v>
          </cell>
          <cell r="L278"/>
          <cell r="M278">
            <v>1572</v>
          </cell>
          <cell r="N278">
            <v>0</v>
          </cell>
          <cell r="O278">
            <v>15754</v>
          </cell>
          <cell r="P278">
            <v>17326</v>
          </cell>
          <cell r="Q278"/>
          <cell r="R278">
            <v>84349</v>
          </cell>
          <cell r="S278">
            <v>-8217</v>
          </cell>
          <cell r="T278">
            <v>76132</v>
          </cell>
        </row>
        <row r="279">
          <cell r="A279">
            <v>92804</v>
          </cell>
          <cell r="B279" t="str">
            <v>DARE COUNTY ABC BOARD</v>
          </cell>
          <cell r="C279">
            <v>1.4990000000000001E-4</v>
          </cell>
          <cell r="D279">
            <v>1.36E-4</v>
          </cell>
          <cell r="E279">
            <v>355614</v>
          </cell>
          <cell r="F279" t="str">
            <v xml:space="preserve"> </v>
          </cell>
          <cell r="G279">
            <v>54863</v>
          </cell>
          <cell r="H279">
            <v>48815</v>
          </cell>
          <cell r="I279">
            <v>94366</v>
          </cell>
          <cell r="J279">
            <v>9289</v>
          </cell>
          <cell r="K279">
            <v>207333</v>
          </cell>
          <cell r="L279"/>
          <cell r="M279">
            <v>1841</v>
          </cell>
          <cell r="N279">
            <v>0</v>
          </cell>
          <cell r="O279">
            <v>8327</v>
          </cell>
          <cell r="P279">
            <v>10168</v>
          </cell>
          <cell r="Q279"/>
          <cell r="R279">
            <v>98780</v>
          </cell>
          <cell r="S279">
            <v>967</v>
          </cell>
          <cell r="T279">
            <v>99747</v>
          </cell>
        </row>
        <row r="280">
          <cell r="A280">
            <v>92811</v>
          </cell>
          <cell r="B280" t="str">
            <v xml:space="preserve"> NAGS HEAD</v>
          </cell>
          <cell r="C280">
            <v>9.6909999999999997E-4</v>
          </cell>
          <cell r="D280">
            <v>1.0036000000000001E-3</v>
          </cell>
          <cell r="E280">
            <v>2299037</v>
          </cell>
          <cell r="F280" t="str">
            <v xml:space="preserve"> </v>
          </cell>
          <cell r="G280">
            <v>354687</v>
          </cell>
          <cell r="H280">
            <v>315589</v>
          </cell>
          <cell r="I280">
            <v>610076</v>
          </cell>
          <cell r="J280">
            <v>0</v>
          </cell>
          <cell r="K280">
            <v>1280352</v>
          </cell>
          <cell r="L280"/>
          <cell r="M280">
            <v>11902</v>
          </cell>
          <cell r="N280">
            <v>0</v>
          </cell>
          <cell r="O280">
            <v>69119</v>
          </cell>
          <cell r="P280">
            <v>81021</v>
          </cell>
          <cell r="Q280"/>
          <cell r="R280">
            <v>638611</v>
          </cell>
          <cell r="S280">
            <v>-41669</v>
          </cell>
          <cell r="T280">
            <v>596942</v>
          </cell>
        </row>
        <row r="281">
          <cell r="A281">
            <v>92821</v>
          </cell>
          <cell r="B281" t="str">
            <v xml:space="preserve"> KILL DEVIL HILLS</v>
          </cell>
          <cell r="C281">
            <v>1.0001999999999999E-3</v>
          </cell>
          <cell r="D281">
            <v>9.9400000000000009E-4</v>
          </cell>
          <cell r="E281">
            <v>2372816</v>
          </cell>
          <cell r="F281" t="str">
            <v xml:space="preserve"> </v>
          </cell>
          <cell r="G281">
            <v>366069</v>
          </cell>
          <cell r="H281">
            <v>325717</v>
          </cell>
          <cell r="I281">
            <v>629654</v>
          </cell>
          <cell r="J281">
            <v>28694</v>
          </cell>
          <cell r="K281">
            <v>1350134</v>
          </cell>
          <cell r="L281"/>
          <cell r="M281">
            <v>12283</v>
          </cell>
          <cell r="N281">
            <v>0</v>
          </cell>
          <cell r="O281">
            <v>0</v>
          </cell>
          <cell r="P281">
            <v>12283</v>
          </cell>
          <cell r="Q281"/>
          <cell r="R281">
            <v>659105</v>
          </cell>
          <cell r="S281">
            <v>14053</v>
          </cell>
          <cell r="T281">
            <v>673158</v>
          </cell>
        </row>
        <row r="282">
          <cell r="A282">
            <v>92831</v>
          </cell>
          <cell r="B282" t="str">
            <v xml:space="preserve"> MANTEO</v>
          </cell>
          <cell r="C282">
            <v>2.3580000000000001E-4</v>
          </cell>
          <cell r="D282">
            <v>2.1829999999999999E-4</v>
          </cell>
          <cell r="E282">
            <v>559398</v>
          </cell>
          <cell r="F282" t="str">
            <v xml:space="preserve"> </v>
          </cell>
          <cell r="G282">
            <v>86302</v>
          </cell>
          <cell r="H282">
            <v>76789</v>
          </cell>
          <cell r="I282">
            <v>148443</v>
          </cell>
          <cell r="J282">
            <v>36641</v>
          </cell>
          <cell r="K282">
            <v>348175</v>
          </cell>
          <cell r="L282"/>
          <cell r="M282">
            <v>2896</v>
          </cell>
          <cell r="N282">
            <v>0</v>
          </cell>
          <cell r="O282">
            <v>1618</v>
          </cell>
          <cell r="P282">
            <v>4514</v>
          </cell>
          <cell r="Q282"/>
          <cell r="R282">
            <v>155386</v>
          </cell>
          <cell r="S282">
            <v>16332</v>
          </cell>
          <cell r="T282">
            <v>171718</v>
          </cell>
        </row>
        <row r="283">
          <cell r="A283">
            <v>92841</v>
          </cell>
          <cell r="B283" t="str">
            <v xml:space="preserve"> SOUTHERN SHORES</v>
          </cell>
          <cell r="C283">
            <v>2.5769999999999998E-4</v>
          </cell>
          <cell r="D283">
            <v>2.7809999999999998E-4</v>
          </cell>
          <cell r="E283">
            <v>611353</v>
          </cell>
          <cell r="F283" t="str">
            <v xml:space="preserve"> </v>
          </cell>
          <cell r="G283">
            <v>94317</v>
          </cell>
          <cell r="H283">
            <v>83921</v>
          </cell>
          <cell r="I283">
            <v>162229</v>
          </cell>
          <cell r="J283">
            <v>0</v>
          </cell>
          <cell r="K283">
            <v>340467</v>
          </cell>
          <cell r="L283"/>
          <cell r="M283">
            <v>3165</v>
          </cell>
          <cell r="N283">
            <v>0</v>
          </cell>
          <cell r="O283">
            <v>24975</v>
          </cell>
          <cell r="P283">
            <v>28140</v>
          </cell>
          <cell r="Q283"/>
          <cell r="R283">
            <v>169817</v>
          </cell>
          <cell r="S283">
            <v>-1626</v>
          </cell>
          <cell r="T283">
            <v>168191</v>
          </cell>
        </row>
        <row r="284">
          <cell r="A284">
            <v>92851</v>
          </cell>
          <cell r="B284" t="str">
            <v xml:space="preserve"> KITTY HAWK</v>
          </cell>
          <cell r="C284">
            <v>4.3899999999999999E-4</v>
          </cell>
          <cell r="D284">
            <v>4.6079999999999998E-4</v>
          </cell>
          <cell r="E284">
            <v>1041458</v>
          </cell>
          <cell r="F284" t="str">
            <v xml:space="preserve"> </v>
          </cell>
          <cell r="G284">
            <v>160672</v>
          </cell>
          <cell r="H284">
            <v>142961</v>
          </cell>
          <cell r="I284">
            <v>276363</v>
          </cell>
          <cell r="J284">
            <v>0</v>
          </cell>
          <cell r="K284">
            <v>579996</v>
          </cell>
          <cell r="L284"/>
          <cell r="M284">
            <v>5391</v>
          </cell>
          <cell r="N284">
            <v>0</v>
          </cell>
          <cell r="O284">
            <v>61052</v>
          </cell>
          <cell r="P284">
            <v>66443</v>
          </cell>
          <cell r="Q284"/>
          <cell r="R284">
            <v>289289</v>
          </cell>
          <cell r="S284">
            <v>-43806</v>
          </cell>
          <cell r="T284">
            <v>245483</v>
          </cell>
        </row>
        <row r="285">
          <cell r="A285">
            <v>92861</v>
          </cell>
          <cell r="B285" t="str">
            <v xml:space="preserve"> DUCK</v>
          </cell>
          <cell r="C285">
            <v>3.7629999999999999E-4</v>
          </cell>
          <cell r="D285">
            <v>3.6010000000000003E-4</v>
          </cell>
          <cell r="E285">
            <v>892712</v>
          </cell>
          <cell r="F285" t="str">
            <v xml:space="preserve"> </v>
          </cell>
          <cell r="G285">
            <v>137724</v>
          </cell>
          <cell r="H285">
            <v>122543</v>
          </cell>
          <cell r="I285">
            <v>236891</v>
          </cell>
          <cell r="J285">
            <v>0</v>
          </cell>
          <cell r="K285">
            <v>497158</v>
          </cell>
          <cell r="L285"/>
          <cell r="M285">
            <v>4621</v>
          </cell>
          <cell r="N285">
            <v>0</v>
          </cell>
          <cell r="O285">
            <v>73406</v>
          </cell>
          <cell r="P285">
            <v>78027</v>
          </cell>
          <cell r="Q285"/>
          <cell r="R285">
            <v>247972</v>
          </cell>
          <cell r="S285">
            <v>-43591</v>
          </cell>
          <cell r="T285">
            <v>204381</v>
          </cell>
        </row>
        <row r="286">
          <cell r="A286">
            <v>92901</v>
          </cell>
          <cell r="B286" t="str">
            <v>DAVIDSON COUNTY</v>
          </cell>
          <cell r="C286">
            <v>5.4257999999999997E-3</v>
          </cell>
          <cell r="D286">
            <v>5.5082999999999998E-3</v>
          </cell>
          <cell r="E286">
            <v>12871853</v>
          </cell>
          <cell r="F286" t="str">
            <v xml:space="preserve"> </v>
          </cell>
          <cell r="G286">
            <v>1985821</v>
          </cell>
          <cell r="H286">
            <v>1766922</v>
          </cell>
          <cell r="I286">
            <v>3415693</v>
          </cell>
          <cell r="J286">
            <v>22983</v>
          </cell>
          <cell r="K286">
            <v>7191419</v>
          </cell>
          <cell r="L286"/>
          <cell r="M286">
            <v>66634</v>
          </cell>
          <cell r="N286">
            <v>0</v>
          </cell>
          <cell r="O286">
            <v>91593</v>
          </cell>
          <cell r="P286">
            <v>158227</v>
          </cell>
          <cell r="Q286"/>
          <cell r="R286">
            <v>3575456</v>
          </cell>
          <cell r="S286">
            <v>5628</v>
          </cell>
          <cell r="T286">
            <v>3581084</v>
          </cell>
        </row>
        <row r="287">
          <cell r="A287">
            <v>92911</v>
          </cell>
          <cell r="B287" t="str">
            <v>CITY OF THOMASVILLE</v>
          </cell>
          <cell r="C287">
            <v>1.9322E-3</v>
          </cell>
          <cell r="D287">
            <v>1.9548999999999999E-3</v>
          </cell>
          <cell r="E287">
            <v>4583839</v>
          </cell>
          <cell r="F287" t="str">
            <v xml:space="preserve"> </v>
          </cell>
          <cell r="G287">
            <v>707177</v>
          </cell>
          <cell r="H287">
            <v>629224</v>
          </cell>
          <cell r="I287">
            <v>1216374</v>
          </cell>
          <cell r="J287">
            <v>39110</v>
          </cell>
          <cell r="K287">
            <v>2591885</v>
          </cell>
          <cell r="L287"/>
          <cell r="M287">
            <v>23729</v>
          </cell>
          <cell r="N287">
            <v>0</v>
          </cell>
          <cell r="O287">
            <v>51551</v>
          </cell>
          <cell r="P287">
            <v>75280</v>
          </cell>
          <cell r="Q287"/>
          <cell r="R287">
            <v>1273268</v>
          </cell>
          <cell r="S287">
            <v>-50417</v>
          </cell>
          <cell r="T287">
            <v>1222851</v>
          </cell>
        </row>
        <row r="288">
          <cell r="A288">
            <v>92913</v>
          </cell>
          <cell r="B288" t="str">
            <v>THOMASVILLE HOUSING AUTHORITY</v>
          </cell>
          <cell r="C288">
            <v>2.1500000000000001E-5</v>
          </cell>
          <cell r="D288">
            <v>2.1999999999999999E-5</v>
          </cell>
          <cell r="E288">
            <v>51005</v>
          </cell>
          <cell r="F288" t="str">
            <v xml:space="preserve"> </v>
          </cell>
          <cell r="G288">
            <v>7869</v>
          </cell>
          <cell r="H288">
            <v>7001</v>
          </cell>
          <cell r="I288">
            <v>13535</v>
          </cell>
          <cell r="J288">
            <v>88672</v>
          </cell>
          <cell r="K288">
            <v>117077</v>
          </cell>
          <cell r="L288"/>
          <cell r="M288">
            <v>264</v>
          </cell>
          <cell r="N288">
            <v>0</v>
          </cell>
          <cell r="O288">
            <v>0</v>
          </cell>
          <cell r="P288">
            <v>264</v>
          </cell>
          <cell r="Q288"/>
          <cell r="R288">
            <v>14168</v>
          </cell>
          <cell r="S288">
            <v>34736</v>
          </cell>
          <cell r="T288">
            <v>48904</v>
          </cell>
        </row>
        <row r="289">
          <cell r="A289">
            <v>92914</v>
          </cell>
          <cell r="B289" t="str">
            <v>THOMASVILLE ABC BOARD</v>
          </cell>
          <cell r="C289">
            <v>2.4899999999999999E-5</v>
          </cell>
          <cell r="D289">
            <v>2.8900000000000001E-5</v>
          </cell>
          <cell r="E289">
            <v>59071</v>
          </cell>
          <cell r="F289" t="str">
            <v xml:space="preserve"> </v>
          </cell>
          <cell r="G289">
            <v>9113</v>
          </cell>
          <cell r="H289">
            <v>8109</v>
          </cell>
          <cell r="I289">
            <v>15675</v>
          </cell>
          <cell r="J289">
            <v>12880</v>
          </cell>
          <cell r="K289">
            <v>45777</v>
          </cell>
          <cell r="L289"/>
          <cell r="M289">
            <v>306</v>
          </cell>
          <cell r="N289">
            <v>0</v>
          </cell>
          <cell r="O289">
            <v>1246</v>
          </cell>
          <cell r="P289">
            <v>1552</v>
          </cell>
          <cell r="Q289"/>
          <cell r="R289">
            <v>16408</v>
          </cell>
          <cell r="S289">
            <v>3981</v>
          </cell>
          <cell r="T289">
            <v>20389</v>
          </cell>
        </row>
        <row r="290">
          <cell r="A290">
            <v>92917</v>
          </cell>
          <cell r="B290" t="str">
            <v>LEXINGTON ABC BOARD</v>
          </cell>
          <cell r="C290">
            <v>1.6099999999999998E-5</v>
          </cell>
          <cell r="D290">
            <v>1.4800000000000001E-5</v>
          </cell>
          <cell r="E290">
            <v>38195</v>
          </cell>
          <cell r="F290" t="str">
            <v xml:space="preserve"> </v>
          </cell>
          <cell r="G290">
            <v>5893</v>
          </cell>
          <cell r="H290">
            <v>5243</v>
          </cell>
          <cell r="I290">
            <v>10135</v>
          </cell>
          <cell r="J290">
            <v>14400</v>
          </cell>
          <cell r="K290">
            <v>35671</v>
          </cell>
          <cell r="L290"/>
          <cell r="M290">
            <v>198</v>
          </cell>
          <cell r="N290">
            <v>0</v>
          </cell>
          <cell r="O290">
            <v>0</v>
          </cell>
          <cell r="P290">
            <v>198</v>
          </cell>
          <cell r="Q290"/>
          <cell r="R290">
            <v>10609</v>
          </cell>
          <cell r="S290">
            <v>8201</v>
          </cell>
          <cell r="T290">
            <v>18810</v>
          </cell>
        </row>
        <row r="291">
          <cell r="A291">
            <v>92921</v>
          </cell>
          <cell r="B291" t="str">
            <v xml:space="preserve"> DENTON</v>
          </cell>
          <cell r="C291">
            <v>9.2499999999999999E-5</v>
          </cell>
          <cell r="D291">
            <v>7.4400000000000006E-5</v>
          </cell>
          <cell r="E291">
            <v>219442</v>
          </cell>
          <cell r="F291" t="str">
            <v xml:space="preserve"> </v>
          </cell>
          <cell r="G291">
            <v>33855</v>
          </cell>
          <cell r="H291">
            <v>30123</v>
          </cell>
          <cell r="I291">
            <v>58231</v>
          </cell>
          <cell r="J291">
            <v>24651</v>
          </cell>
          <cell r="K291">
            <v>146860</v>
          </cell>
          <cell r="L291"/>
          <cell r="M291">
            <v>1136</v>
          </cell>
          <cell r="N291">
            <v>0</v>
          </cell>
          <cell r="O291">
            <v>1659</v>
          </cell>
          <cell r="P291">
            <v>2795</v>
          </cell>
          <cell r="Q291"/>
          <cell r="R291">
            <v>60955</v>
          </cell>
          <cell r="S291">
            <v>819</v>
          </cell>
          <cell r="T291">
            <v>61774</v>
          </cell>
        </row>
        <row r="292">
          <cell r="A292">
            <v>92931</v>
          </cell>
          <cell r="B292" t="str">
            <v>CITY OF LEXINGTON</v>
          </cell>
          <cell r="C292">
            <v>2.4600999999999998E-3</v>
          </cell>
          <cell r="D292">
            <v>2.3996E-3</v>
          </cell>
          <cell r="E292">
            <v>5836199</v>
          </cell>
          <cell r="F292" t="str">
            <v xml:space="preserve"> </v>
          </cell>
          <cell r="G292">
            <v>900387</v>
          </cell>
          <cell r="H292">
            <v>801137</v>
          </cell>
          <cell r="I292">
            <v>1548702</v>
          </cell>
          <cell r="J292">
            <v>28206</v>
          </cell>
          <cell r="K292">
            <v>3278432</v>
          </cell>
          <cell r="L292"/>
          <cell r="M292">
            <v>30212</v>
          </cell>
          <cell r="N292">
            <v>0</v>
          </cell>
          <cell r="O292">
            <v>98782</v>
          </cell>
          <cell r="P292">
            <v>128994</v>
          </cell>
          <cell r="Q292"/>
          <cell r="R292">
            <v>1621139</v>
          </cell>
          <cell r="S292">
            <v>-34302</v>
          </cell>
          <cell r="T292">
            <v>1586837</v>
          </cell>
        </row>
        <row r="293">
          <cell r="A293">
            <v>92941</v>
          </cell>
          <cell r="B293" t="str">
            <v xml:space="preserve"> MIDWAY</v>
          </cell>
          <cell r="C293">
            <v>4.3000000000000003E-6</v>
          </cell>
          <cell r="D293">
            <v>1.2300000000000001E-5</v>
          </cell>
          <cell r="E293">
            <v>10201</v>
          </cell>
          <cell r="F293" t="str">
            <v xml:space="preserve"> </v>
          </cell>
          <cell r="G293">
            <v>1574</v>
          </cell>
          <cell r="H293">
            <v>1400</v>
          </cell>
          <cell r="I293">
            <v>2707</v>
          </cell>
          <cell r="J293">
            <v>3011</v>
          </cell>
          <cell r="K293">
            <v>8692</v>
          </cell>
          <cell r="L293"/>
          <cell r="M293">
            <v>53</v>
          </cell>
          <cell r="N293">
            <v>0</v>
          </cell>
          <cell r="O293">
            <v>4092</v>
          </cell>
          <cell r="P293">
            <v>4145</v>
          </cell>
          <cell r="Q293"/>
          <cell r="R293">
            <v>2834</v>
          </cell>
          <cell r="S293">
            <v>2468</v>
          </cell>
          <cell r="T293">
            <v>5302</v>
          </cell>
        </row>
        <row r="294">
          <cell r="A294">
            <v>93001</v>
          </cell>
          <cell r="B294" t="str">
            <v>DAVIE COUNTY</v>
          </cell>
          <cell r="C294">
            <v>2.2772000000000001E-3</v>
          </cell>
          <cell r="D294">
            <v>2.2227000000000002E-3</v>
          </cell>
          <cell r="E294">
            <v>5402297</v>
          </cell>
          <cell r="F294" t="str">
            <v xml:space="preserve"> </v>
          </cell>
          <cell r="G294">
            <v>833446</v>
          </cell>
          <cell r="H294">
            <v>741575</v>
          </cell>
          <cell r="I294">
            <v>1433561</v>
          </cell>
          <cell r="J294">
            <v>14691</v>
          </cell>
          <cell r="K294">
            <v>3023273</v>
          </cell>
          <cell r="L294"/>
          <cell r="M294">
            <v>27966</v>
          </cell>
          <cell r="N294">
            <v>0</v>
          </cell>
          <cell r="O294">
            <v>61962</v>
          </cell>
          <cell r="P294">
            <v>89928</v>
          </cell>
          <cell r="Q294"/>
          <cell r="R294">
            <v>1500613</v>
          </cell>
          <cell r="S294">
            <v>-54280</v>
          </cell>
          <cell r="T294">
            <v>1446333</v>
          </cell>
        </row>
        <row r="295">
          <cell r="A295">
            <v>93009</v>
          </cell>
          <cell r="B295" t="str">
            <v>DAVIE SOIL AND WATER CONSERVATION DIST</v>
          </cell>
          <cell r="C295">
            <v>1.38E-5</v>
          </cell>
          <cell r="D295">
            <v>1.47E-5</v>
          </cell>
          <cell r="E295">
            <v>32738</v>
          </cell>
          <cell r="F295" t="str">
            <v xml:space="preserve"> </v>
          </cell>
          <cell r="G295">
            <v>5051</v>
          </cell>
          <cell r="H295">
            <v>4494</v>
          </cell>
          <cell r="I295">
            <v>8687</v>
          </cell>
          <cell r="J295">
            <v>0</v>
          </cell>
          <cell r="K295">
            <v>18232</v>
          </cell>
          <cell r="L295"/>
          <cell r="M295">
            <v>169</v>
          </cell>
          <cell r="N295">
            <v>0</v>
          </cell>
          <cell r="O295">
            <v>3798</v>
          </cell>
          <cell r="P295">
            <v>3967</v>
          </cell>
          <cell r="Q295"/>
          <cell r="R295">
            <v>9094</v>
          </cell>
          <cell r="S295">
            <v>-2270</v>
          </cell>
          <cell r="T295">
            <v>6824</v>
          </cell>
        </row>
        <row r="296">
          <cell r="A296">
            <v>93011</v>
          </cell>
          <cell r="B296" t="str">
            <v xml:space="preserve"> MOCKSVILLE</v>
          </cell>
          <cell r="C296">
            <v>2.7599999999999999E-4</v>
          </cell>
          <cell r="D296">
            <v>2.2699999999999999E-4</v>
          </cell>
          <cell r="E296">
            <v>654766</v>
          </cell>
          <cell r="F296" t="str">
            <v xml:space="preserve"> </v>
          </cell>
          <cell r="G296">
            <v>101015</v>
          </cell>
          <cell r="H296">
            <v>89880</v>
          </cell>
          <cell r="I296">
            <v>173750</v>
          </cell>
          <cell r="J296">
            <v>51648</v>
          </cell>
          <cell r="K296">
            <v>416293</v>
          </cell>
          <cell r="L296"/>
          <cell r="M296">
            <v>3390</v>
          </cell>
          <cell r="N296">
            <v>0</v>
          </cell>
          <cell r="O296">
            <v>10320</v>
          </cell>
          <cell r="P296">
            <v>13710</v>
          </cell>
          <cell r="Q296"/>
          <cell r="R296">
            <v>181877</v>
          </cell>
          <cell r="S296">
            <v>8885</v>
          </cell>
          <cell r="T296">
            <v>190762</v>
          </cell>
        </row>
        <row r="297">
          <cell r="A297">
            <v>93021</v>
          </cell>
          <cell r="B297" t="str">
            <v xml:space="preserve"> BERMUDA RUN</v>
          </cell>
          <cell r="C297">
            <v>3.3399999999999999E-5</v>
          </cell>
          <cell r="D297">
            <v>3.4199999999999998E-5</v>
          </cell>
          <cell r="E297">
            <v>79236</v>
          </cell>
          <cell r="F297" t="str">
            <v xml:space="preserve"> </v>
          </cell>
          <cell r="G297">
            <v>12224</v>
          </cell>
          <cell r="H297">
            <v>10877</v>
          </cell>
          <cell r="I297">
            <v>21026</v>
          </cell>
          <cell r="J297">
            <v>1795</v>
          </cell>
          <cell r="K297">
            <v>45922</v>
          </cell>
          <cell r="L297"/>
          <cell r="M297">
            <v>410</v>
          </cell>
          <cell r="N297">
            <v>0</v>
          </cell>
          <cell r="O297">
            <v>5715</v>
          </cell>
          <cell r="P297">
            <v>6125</v>
          </cell>
          <cell r="Q297"/>
          <cell r="R297">
            <v>22010</v>
          </cell>
          <cell r="S297">
            <v>-366</v>
          </cell>
          <cell r="T297">
            <v>21644</v>
          </cell>
        </row>
        <row r="298">
          <cell r="A298">
            <v>93027</v>
          </cell>
          <cell r="B298" t="str">
            <v>COOLEEMEE ABC BOARD</v>
          </cell>
          <cell r="C298">
            <v>1.5E-5</v>
          </cell>
          <cell r="D298">
            <v>1.6699999999999999E-5</v>
          </cell>
          <cell r="E298">
            <v>35585</v>
          </cell>
          <cell r="F298" t="str">
            <v xml:space="preserve"> </v>
          </cell>
          <cell r="G298">
            <v>5490</v>
          </cell>
          <cell r="H298">
            <v>4885</v>
          </cell>
          <cell r="I298">
            <v>9443</v>
          </cell>
          <cell r="J298">
            <v>796</v>
          </cell>
          <cell r="K298">
            <v>20614</v>
          </cell>
          <cell r="L298"/>
          <cell r="M298">
            <v>184</v>
          </cell>
          <cell r="N298">
            <v>0</v>
          </cell>
          <cell r="O298">
            <v>2296</v>
          </cell>
          <cell r="P298">
            <v>2480</v>
          </cell>
          <cell r="Q298"/>
          <cell r="R298">
            <v>9885</v>
          </cell>
          <cell r="S298">
            <v>-833</v>
          </cell>
          <cell r="T298">
            <v>9052</v>
          </cell>
        </row>
        <row r="299">
          <cell r="A299">
            <v>93031</v>
          </cell>
          <cell r="B299" t="str">
            <v xml:space="preserve"> COOLEEMEE</v>
          </cell>
          <cell r="C299">
            <v>1.26E-5</v>
          </cell>
          <cell r="D299">
            <v>2.1699999999999999E-5</v>
          </cell>
          <cell r="E299">
            <v>29892</v>
          </cell>
          <cell r="F299" t="str">
            <v xml:space="preserve"> </v>
          </cell>
          <cell r="G299">
            <v>4612</v>
          </cell>
          <cell r="H299">
            <v>4103</v>
          </cell>
          <cell r="I299">
            <v>7932</v>
          </cell>
          <cell r="J299">
            <v>20350</v>
          </cell>
          <cell r="K299">
            <v>36997</v>
          </cell>
          <cell r="L299"/>
          <cell r="M299">
            <v>155</v>
          </cell>
          <cell r="N299">
            <v>0</v>
          </cell>
          <cell r="O299">
            <v>0</v>
          </cell>
          <cell r="P299">
            <v>155</v>
          </cell>
          <cell r="Q299"/>
          <cell r="R299">
            <v>8303</v>
          </cell>
          <cell r="S299">
            <v>7768</v>
          </cell>
          <cell r="T299">
            <v>16071</v>
          </cell>
        </row>
        <row r="300">
          <cell r="A300">
            <v>93101</v>
          </cell>
          <cell r="B300" t="str">
            <v>DUPLIN COUNTY</v>
          </cell>
          <cell r="C300">
            <v>3.2376000000000002E-3</v>
          </cell>
          <cell r="D300">
            <v>3.5159000000000002E-3</v>
          </cell>
          <cell r="E300">
            <v>7680694</v>
          </cell>
          <cell r="F300" t="str">
            <v xml:space="preserve"> </v>
          </cell>
          <cell r="G300">
            <v>1184949</v>
          </cell>
          <cell r="H300">
            <v>1054330</v>
          </cell>
          <cell r="I300">
            <v>2038160</v>
          </cell>
          <cell r="J300">
            <v>36350</v>
          </cell>
          <cell r="K300">
            <v>4313789</v>
          </cell>
          <cell r="L300"/>
          <cell r="M300">
            <v>39761</v>
          </cell>
          <cell r="N300">
            <v>0</v>
          </cell>
          <cell r="O300">
            <v>306148</v>
          </cell>
          <cell r="P300">
            <v>345909</v>
          </cell>
          <cell r="Q300"/>
          <cell r="R300">
            <v>2133491</v>
          </cell>
          <cell r="S300">
            <v>-15838</v>
          </cell>
          <cell r="T300">
            <v>2117653</v>
          </cell>
        </row>
        <row r="301">
          <cell r="A301">
            <v>93103</v>
          </cell>
          <cell r="B301" t="str">
            <v>DUPLIN COUNTY TOURISM DEVELOPMENT AUTHORITY</v>
          </cell>
          <cell r="C301">
            <v>1.6699999999999999E-5</v>
          </cell>
          <cell r="D301">
            <v>1.7099999999999999E-5</v>
          </cell>
          <cell r="E301">
            <v>39618</v>
          </cell>
          <cell r="F301" t="str">
            <v xml:space="preserve"> </v>
          </cell>
          <cell r="G301">
            <v>6112</v>
          </cell>
          <cell r="H301">
            <v>5439</v>
          </cell>
          <cell r="I301">
            <v>10513</v>
          </cell>
          <cell r="J301">
            <v>4185</v>
          </cell>
          <cell r="K301">
            <v>26249</v>
          </cell>
          <cell r="L301"/>
          <cell r="M301">
            <v>205</v>
          </cell>
          <cell r="N301">
            <v>0</v>
          </cell>
          <cell r="O301">
            <v>3362</v>
          </cell>
          <cell r="P301">
            <v>3567</v>
          </cell>
          <cell r="Q301"/>
          <cell r="R301">
            <v>11005</v>
          </cell>
          <cell r="S301">
            <v>1580</v>
          </cell>
          <cell r="T301">
            <v>12585</v>
          </cell>
        </row>
        <row r="302">
          <cell r="A302">
            <v>93108</v>
          </cell>
          <cell r="B302" t="str">
            <v>EASTPOINTE HUMAN SERVICES</v>
          </cell>
          <cell r="C302">
            <v>2.4109999999999999E-3</v>
          </cell>
          <cell r="D302">
            <v>2.6624999999999999E-3</v>
          </cell>
          <cell r="E302">
            <v>5719717</v>
          </cell>
          <cell r="F302" t="str">
            <v xml:space="preserve"> </v>
          </cell>
          <cell r="G302">
            <v>882416</v>
          </cell>
          <cell r="H302">
            <v>785147</v>
          </cell>
          <cell r="I302">
            <v>1517792</v>
          </cell>
          <cell r="J302">
            <v>86396</v>
          </cell>
          <cell r="K302">
            <v>3271751</v>
          </cell>
          <cell r="L302"/>
          <cell r="M302">
            <v>29609</v>
          </cell>
          <cell r="N302">
            <v>0</v>
          </cell>
          <cell r="O302">
            <v>181635</v>
          </cell>
          <cell r="P302">
            <v>211244</v>
          </cell>
          <cell r="Q302"/>
          <cell r="R302">
            <v>1588784</v>
          </cell>
          <cell r="S302">
            <v>143056</v>
          </cell>
          <cell r="T302">
            <v>1731840</v>
          </cell>
        </row>
        <row r="303">
          <cell r="A303">
            <v>93111</v>
          </cell>
          <cell r="B303" t="str">
            <v xml:space="preserve"> BEULAVILLE</v>
          </cell>
          <cell r="C303">
            <v>6.1500000000000004E-5</v>
          </cell>
          <cell r="D303">
            <v>5.8499999999999999E-5</v>
          </cell>
          <cell r="E303">
            <v>145899</v>
          </cell>
          <cell r="F303" t="str">
            <v xml:space="preserve"> </v>
          </cell>
          <cell r="G303">
            <v>22509</v>
          </cell>
          <cell r="H303">
            <v>20027</v>
          </cell>
          <cell r="I303">
            <v>38716</v>
          </cell>
          <cell r="J303">
            <v>609</v>
          </cell>
          <cell r="K303">
            <v>81861</v>
          </cell>
          <cell r="L303"/>
          <cell r="M303">
            <v>755</v>
          </cell>
          <cell r="N303">
            <v>0</v>
          </cell>
          <cell r="O303">
            <v>9926</v>
          </cell>
          <cell r="P303">
            <v>10681</v>
          </cell>
          <cell r="Q303"/>
          <cell r="R303">
            <v>40527</v>
          </cell>
          <cell r="S303">
            <v>-5384</v>
          </cell>
          <cell r="T303">
            <v>35143</v>
          </cell>
        </row>
        <row r="304">
          <cell r="A304">
            <v>93121</v>
          </cell>
          <cell r="B304" t="str">
            <v xml:space="preserve"> KENANSVILLE</v>
          </cell>
          <cell r="C304">
            <v>5.3300000000000001E-5</v>
          </cell>
          <cell r="D304">
            <v>6.2299999999999996E-5</v>
          </cell>
          <cell r="E304">
            <v>126446</v>
          </cell>
          <cell r="F304" t="str">
            <v xml:space="preserve"> </v>
          </cell>
          <cell r="G304">
            <v>19508</v>
          </cell>
          <cell r="H304">
            <v>17358</v>
          </cell>
          <cell r="I304">
            <v>33554</v>
          </cell>
          <cell r="J304">
            <v>1532</v>
          </cell>
          <cell r="K304">
            <v>71952</v>
          </cell>
          <cell r="L304"/>
          <cell r="M304">
            <v>655</v>
          </cell>
          <cell r="N304">
            <v>0</v>
          </cell>
          <cell r="O304">
            <v>7485</v>
          </cell>
          <cell r="P304">
            <v>8140</v>
          </cell>
          <cell r="Q304"/>
          <cell r="R304">
            <v>35123</v>
          </cell>
          <cell r="S304">
            <v>-4157</v>
          </cell>
          <cell r="T304">
            <v>30966</v>
          </cell>
        </row>
        <row r="305">
          <cell r="A305">
            <v>93127</v>
          </cell>
          <cell r="B305" t="str">
            <v>KENANSVILLE ABC BOARD</v>
          </cell>
          <cell r="C305">
            <v>6.8000000000000001E-6</v>
          </cell>
          <cell r="D305">
            <v>6.9E-6</v>
          </cell>
          <cell r="E305">
            <v>16132</v>
          </cell>
          <cell r="F305" t="str">
            <v xml:space="preserve"> </v>
          </cell>
          <cell r="G305">
            <v>2489</v>
          </cell>
          <cell r="H305">
            <v>2215</v>
          </cell>
          <cell r="I305">
            <v>4281</v>
          </cell>
          <cell r="J305">
            <v>93</v>
          </cell>
          <cell r="K305">
            <v>9078</v>
          </cell>
          <cell r="L305"/>
          <cell r="M305">
            <v>84</v>
          </cell>
          <cell r="N305">
            <v>0</v>
          </cell>
          <cell r="O305">
            <v>482</v>
          </cell>
          <cell r="P305">
            <v>566</v>
          </cell>
          <cell r="Q305"/>
          <cell r="R305">
            <v>4481</v>
          </cell>
          <cell r="S305">
            <v>-405</v>
          </cell>
          <cell r="T305">
            <v>4076</v>
          </cell>
        </row>
        <row r="306">
          <cell r="A306">
            <v>93131</v>
          </cell>
          <cell r="B306" t="str">
            <v xml:space="preserve"> WARSAW</v>
          </cell>
          <cell r="C306">
            <v>2.0129999999999999E-4</v>
          </cell>
          <cell r="D306">
            <v>2.218E-4</v>
          </cell>
          <cell r="E306">
            <v>477552</v>
          </cell>
          <cell r="F306" t="str">
            <v xml:space="preserve"> </v>
          </cell>
          <cell r="G306">
            <v>73675</v>
          </cell>
          <cell r="H306">
            <v>65554</v>
          </cell>
          <cell r="I306">
            <v>126724</v>
          </cell>
          <cell r="J306">
            <v>2495</v>
          </cell>
          <cell r="K306">
            <v>268448</v>
          </cell>
          <cell r="L306"/>
          <cell r="M306">
            <v>2472</v>
          </cell>
          <cell r="N306">
            <v>0</v>
          </cell>
          <cell r="O306">
            <v>34365</v>
          </cell>
          <cell r="P306">
            <v>36837</v>
          </cell>
          <cell r="Q306"/>
          <cell r="R306">
            <v>132651</v>
          </cell>
          <cell r="S306">
            <v>-5155</v>
          </cell>
          <cell r="T306">
            <v>127496</v>
          </cell>
        </row>
        <row r="307">
          <cell r="A307">
            <v>93137</v>
          </cell>
          <cell r="B307" t="str">
            <v>WARSAW ABC BOARD</v>
          </cell>
          <cell r="C307">
            <v>4.7999999999999998E-6</v>
          </cell>
          <cell r="D307">
            <v>3.3000000000000002E-6</v>
          </cell>
          <cell r="E307">
            <v>11387</v>
          </cell>
          <cell r="F307" t="str">
            <v xml:space="preserve"> </v>
          </cell>
          <cell r="G307">
            <v>1757</v>
          </cell>
          <cell r="H307">
            <v>1563</v>
          </cell>
          <cell r="I307">
            <v>3022</v>
          </cell>
          <cell r="J307">
            <v>3426</v>
          </cell>
          <cell r="K307">
            <v>9768</v>
          </cell>
          <cell r="L307"/>
          <cell r="M307">
            <v>59</v>
          </cell>
          <cell r="N307">
            <v>0</v>
          </cell>
          <cell r="O307">
            <v>0</v>
          </cell>
          <cell r="P307">
            <v>59</v>
          </cell>
          <cell r="Q307"/>
          <cell r="R307">
            <v>3163</v>
          </cell>
          <cell r="S307">
            <v>1228</v>
          </cell>
          <cell r="T307">
            <v>4391</v>
          </cell>
        </row>
        <row r="308">
          <cell r="A308">
            <v>93141</v>
          </cell>
          <cell r="B308" t="str">
            <v xml:space="preserve"> FAISON</v>
          </cell>
          <cell r="C308">
            <v>3.2299999999999999E-5</v>
          </cell>
          <cell r="D308">
            <v>4.1100000000000003E-5</v>
          </cell>
          <cell r="E308">
            <v>76627</v>
          </cell>
          <cell r="F308" t="str">
            <v xml:space="preserve"> </v>
          </cell>
          <cell r="G308">
            <v>11822</v>
          </cell>
          <cell r="H308">
            <v>10519</v>
          </cell>
          <cell r="I308">
            <v>20334</v>
          </cell>
          <cell r="J308">
            <v>0</v>
          </cell>
          <cell r="K308">
            <v>42675</v>
          </cell>
          <cell r="L308"/>
          <cell r="M308">
            <v>397</v>
          </cell>
          <cell r="N308">
            <v>0</v>
          </cell>
          <cell r="O308">
            <v>11022</v>
          </cell>
          <cell r="P308">
            <v>11419</v>
          </cell>
          <cell r="Q308"/>
          <cell r="R308">
            <v>21285</v>
          </cell>
          <cell r="S308">
            <v>-1889</v>
          </cell>
          <cell r="T308">
            <v>19396</v>
          </cell>
        </row>
        <row r="309">
          <cell r="A309">
            <v>93151</v>
          </cell>
          <cell r="B309" t="str">
            <v xml:space="preserve"> WALLACE</v>
          </cell>
          <cell r="C309">
            <v>3.2410000000000002E-4</v>
          </cell>
          <cell r="D309">
            <v>3.4279999999999998E-4</v>
          </cell>
          <cell r="E309">
            <v>768876</v>
          </cell>
          <cell r="F309" t="str">
            <v xml:space="preserve"> </v>
          </cell>
          <cell r="G309">
            <v>118619</v>
          </cell>
          <cell r="H309">
            <v>105543</v>
          </cell>
          <cell r="I309">
            <v>204030</v>
          </cell>
          <cell r="J309">
            <v>1711</v>
          </cell>
          <cell r="K309">
            <v>429903</v>
          </cell>
          <cell r="L309"/>
          <cell r="M309">
            <v>3980</v>
          </cell>
          <cell r="N309">
            <v>0</v>
          </cell>
          <cell r="O309">
            <v>25198</v>
          </cell>
          <cell r="P309">
            <v>29178</v>
          </cell>
          <cell r="Q309"/>
          <cell r="R309">
            <v>213573</v>
          </cell>
          <cell r="S309">
            <v>-7249</v>
          </cell>
          <cell r="T309">
            <v>206324</v>
          </cell>
        </row>
        <row r="310">
          <cell r="A310">
            <v>93157</v>
          </cell>
          <cell r="B310" t="str">
            <v>WALLACE ABC BD</v>
          </cell>
          <cell r="C310">
            <v>3.4999999999999999E-6</v>
          </cell>
          <cell r="D310">
            <v>3.5999999999999998E-6</v>
          </cell>
          <cell r="E310">
            <v>8303</v>
          </cell>
          <cell r="F310" t="str">
            <v xml:space="preserve"> </v>
          </cell>
          <cell r="G310">
            <v>1281</v>
          </cell>
          <cell r="H310">
            <v>1140</v>
          </cell>
          <cell r="I310">
            <v>2203</v>
          </cell>
          <cell r="J310">
            <v>7990</v>
          </cell>
          <cell r="K310">
            <v>12614</v>
          </cell>
          <cell r="L310"/>
          <cell r="M310">
            <v>43</v>
          </cell>
          <cell r="N310">
            <v>0</v>
          </cell>
          <cell r="O310">
            <v>152</v>
          </cell>
          <cell r="P310">
            <v>195</v>
          </cell>
          <cell r="Q310"/>
          <cell r="R310">
            <v>2306</v>
          </cell>
          <cell r="S310">
            <v>3773</v>
          </cell>
          <cell r="T310">
            <v>6079</v>
          </cell>
        </row>
        <row r="311">
          <cell r="A311">
            <v>93161</v>
          </cell>
          <cell r="B311" t="str">
            <v xml:space="preserve"> ROSE HILL</v>
          </cell>
          <cell r="C311">
            <v>1.105E-4</v>
          </cell>
          <cell r="D311">
            <v>1.038E-4</v>
          </cell>
          <cell r="E311">
            <v>262144</v>
          </cell>
          <cell r="F311" t="str">
            <v xml:space="preserve"> </v>
          </cell>
          <cell r="G311">
            <v>40443</v>
          </cell>
          <cell r="H311">
            <v>35984</v>
          </cell>
          <cell r="I311">
            <v>69563</v>
          </cell>
          <cell r="J311">
            <v>25987</v>
          </cell>
          <cell r="K311">
            <v>171977</v>
          </cell>
          <cell r="L311"/>
          <cell r="M311">
            <v>1357</v>
          </cell>
          <cell r="N311">
            <v>0</v>
          </cell>
          <cell r="O311">
            <v>0</v>
          </cell>
          <cell r="P311">
            <v>1357</v>
          </cell>
          <cell r="Q311"/>
          <cell r="R311">
            <v>72817</v>
          </cell>
          <cell r="S311">
            <v>13692</v>
          </cell>
          <cell r="T311">
            <v>86509</v>
          </cell>
        </row>
        <row r="312">
          <cell r="A312">
            <v>93171</v>
          </cell>
          <cell r="B312" t="str">
            <v xml:space="preserve"> CALYPSO</v>
          </cell>
          <cell r="C312">
            <v>2.7E-6</v>
          </cell>
          <cell r="D312">
            <v>5.2000000000000002E-6</v>
          </cell>
          <cell r="E312">
            <v>6405</v>
          </cell>
          <cell r="F312" t="str">
            <v xml:space="preserve"> </v>
          </cell>
          <cell r="G312">
            <v>988</v>
          </cell>
          <cell r="H312">
            <v>879</v>
          </cell>
          <cell r="I312">
            <v>1700</v>
          </cell>
          <cell r="J312">
            <v>1171</v>
          </cell>
          <cell r="K312">
            <v>4738</v>
          </cell>
          <cell r="L312"/>
          <cell r="M312">
            <v>33</v>
          </cell>
          <cell r="N312">
            <v>0</v>
          </cell>
          <cell r="O312">
            <v>987</v>
          </cell>
          <cell r="P312">
            <v>1020</v>
          </cell>
          <cell r="Q312"/>
          <cell r="R312">
            <v>1779</v>
          </cell>
          <cell r="S312">
            <v>542</v>
          </cell>
          <cell r="T312">
            <v>2321</v>
          </cell>
        </row>
        <row r="313">
          <cell r="A313">
            <v>93181</v>
          </cell>
          <cell r="B313" t="str">
            <v xml:space="preserve"> TEACHEY</v>
          </cell>
          <cell r="C313">
            <v>1.1E-5</v>
          </cell>
          <cell r="D313">
            <v>1.13E-5</v>
          </cell>
          <cell r="E313">
            <v>26096</v>
          </cell>
          <cell r="F313" t="str">
            <v xml:space="preserve"> </v>
          </cell>
          <cell r="G313">
            <v>4026</v>
          </cell>
          <cell r="H313">
            <v>3582</v>
          </cell>
          <cell r="I313">
            <v>6925</v>
          </cell>
          <cell r="J313">
            <v>457</v>
          </cell>
          <cell r="K313">
            <v>14990</v>
          </cell>
          <cell r="L313"/>
          <cell r="M313">
            <v>135</v>
          </cell>
          <cell r="N313">
            <v>0</v>
          </cell>
          <cell r="O313">
            <v>12</v>
          </cell>
          <cell r="P313">
            <v>147</v>
          </cell>
          <cell r="Q313"/>
          <cell r="R313">
            <v>7249</v>
          </cell>
          <cell r="S313">
            <v>435</v>
          </cell>
          <cell r="T313">
            <v>7684</v>
          </cell>
        </row>
        <row r="314">
          <cell r="A314">
            <v>93191</v>
          </cell>
          <cell r="B314" t="str">
            <v xml:space="preserve"> MAGNOLIA</v>
          </cell>
          <cell r="C314">
            <v>2.2500000000000001E-5</v>
          </cell>
          <cell r="D314">
            <v>2.4600000000000002E-5</v>
          </cell>
          <cell r="E314">
            <v>53378</v>
          </cell>
          <cell r="F314" t="str">
            <v xml:space="preserve"> </v>
          </cell>
          <cell r="G314">
            <v>8235</v>
          </cell>
          <cell r="H314">
            <v>7328</v>
          </cell>
          <cell r="I314">
            <v>14164</v>
          </cell>
          <cell r="J314">
            <v>3738</v>
          </cell>
          <cell r="K314">
            <v>33465</v>
          </cell>
          <cell r="L314"/>
          <cell r="M314">
            <v>276</v>
          </cell>
          <cell r="N314">
            <v>0</v>
          </cell>
          <cell r="O314">
            <v>1346</v>
          </cell>
          <cell r="P314">
            <v>1622</v>
          </cell>
          <cell r="Q314"/>
          <cell r="R314">
            <v>14827</v>
          </cell>
          <cell r="S314">
            <v>577</v>
          </cell>
          <cell r="T314">
            <v>15404</v>
          </cell>
        </row>
        <row r="315">
          <cell r="A315">
            <v>93201</v>
          </cell>
          <cell r="B315" t="str">
            <v>DURHAM COUNTY</v>
          </cell>
          <cell r="C315">
            <v>1.5763099999999999E-2</v>
          </cell>
          <cell r="D315">
            <v>1.5517E-2</v>
          </cell>
          <cell r="E315">
            <v>37395464</v>
          </cell>
          <cell r="F315" t="str">
            <v xml:space="preserve"> </v>
          </cell>
          <cell r="G315">
            <v>5769232</v>
          </cell>
          <cell r="H315">
            <v>5133286</v>
          </cell>
          <cell r="I315">
            <v>9923313</v>
          </cell>
          <cell r="J315">
            <v>597239</v>
          </cell>
          <cell r="K315">
            <v>21423070</v>
          </cell>
          <cell r="L315"/>
          <cell r="M315">
            <v>193587</v>
          </cell>
          <cell r="N315">
            <v>0</v>
          </cell>
          <cell r="O315">
            <v>154811</v>
          </cell>
          <cell r="P315">
            <v>348398</v>
          </cell>
          <cell r="Q315"/>
          <cell r="R315">
            <v>10387457</v>
          </cell>
          <cell r="S315">
            <v>455365</v>
          </cell>
          <cell r="T315">
            <v>10842822</v>
          </cell>
        </row>
        <row r="316">
          <cell r="A316">
            <v>93202</v>
          </cell>
          <cell r="B316" t="str">
            <v>PARKWOOD FIRE DEPARTMENT</v>
          </cell>
          <cell r="C316">
            <v>0</v>
          </cell>
          <cell r="D316">
            <v>0</v>
          </cell>
          <cell r="E316">
            <v>0</v>
          </cell>
          <cell r="F316" t="str">
            <v xml:space="preserve"> </v>
          </cell>
          <cell r="G316">
            <v>0</v>
          </cell>
          <cell r="H316">
            <v>0</v>
          </cell>
          <cell r="I316">
            <v>0</v>
          </cell>
          <cell r="J316">
            <v>0</v>
          </cell>
          <cell r="K316">
            <v>0</v>
          </cell>
          <cell r="L316"/>
          <cell r="M316">
            <v>0</v>
          </cell>
          <cell r="N316">
            <v>0</v>
          </cell>
          <cell r="O316">
            <v>103181</v>
          </cell>
          <cell r="P316">
            <v>103181</v>
          </cell>
          <cell r="Q316"/>
          <cell r="R316">
            <v>0</v>
          </cell>
          <cell r="S316">
            <v>-109337</v>
          </cell>
          <cell r="T316">
            <v>-109337</v>
          </cell>
        </row>
        <row r="317">
          <cell r="A317">
            <v>93204</v>
          </cell>
          <cell r="B317" t="str">
            <v>DURHAM COUNTY ABC BOARD</v>
          </cell>
          <cell r="C317">
            <v>3.28E-4</v>
          </cell>
          <cell r="D317">
            <v>3.0279999999999999E-4</v>
          </cell>
          <cell r="E317">
            <v>778128</v>
          </cell>
          <cell r="F317" t="str">
            <v xml:space="preserve"> </v>
          </cell>
          <cell r="G317">
            <v>120047</v>
          </cell>
          <cell r="H317">
            <v>106813</v>
          </cell>
          <cell r="I317">
            <v>206485</v>
          </cell>
          <cell r="J317">
            <v>42387</v>
          </cell>
          <cell r="K317">
            <v>475732</v>
          </cell>
          <cell r="L317"/>
          <cell r="M317">
            <v>4028</v>
          </cell>
          <cell r="N317">
            <v>0</v>
          </cell>
          <cell r="O317">
            <v>3051</v>
          </cell>
          <cell r="P317">
            <v>7079</v>
          </cell>
          <cell r="Q317"/>
          <cell r="R317">
            <v>216143</v>
          </cell>
          <cell r="S317">
            <v>7193</v>
          </cell>
          <cell r="T317">
            <v>223336</v>
          </cell>
        </row>
        <row r="318">
          <cell r="A318">
            <v>93209</v>
          </cell>
          <cell r="B318" t="str">
            <v>ALLIANCE BEHAVIORAL HEALTHCRE</v>
          </cell>
          <cell r="C318">
            <v>5.1598E-3</v>
          </cell>
          <cell r="D318">
            <v>4.6693999999999998E-3</v>
          </cell>
          <cell r="E318">
            <v>12240810</v>
          </cell>
          <cell r="F318" t="str">
            <v xml:space="preserve"> </v>
          </cell>
          <cell r="G318">
            <v>1888466</v>
          </cell>
          <cell r="H318">
            <v>1680299</v>
          </cell>
          <cell r="I318">
            <v>3248239</v>
          </cell>
          <cell r="J318">
            <v>484024</v>
          </cell>
          <cell r="K318">
            <v>7301028</v>
          </cell>
          <cell r="L318"/>
          <cell r="M318">
            <v>63368</v>
          </cell>
          <cell r="N318">
            <v>0</v>
          </cell>
          <cell r="O318">
            <v>0</v>
          </cell>
          <cell r="P318">
            <v>63368</v>
          </cell>
          <cell r="Q318"/>
          <cell r="R318">
            <v>3400169</v>
          </cell>
          <cell r="S318">
            <v>595668</v>
          </cell>
          <cell r="T318">
            <v>3995837</v>
          </cell>
        </row>
        <row r="319">
          <cell r="A319">
            <v>93211</v>
          </cell>
          <cell r="B319" t="str">
            <v>CITY OF DURHAM</v>
          </cell>
          <cell r="C319">
            <v>2.1090299999999999E-2</v>
          </cell>
          <cell r="D319">
            <v>2.0374099999999999E-2</v>
          </cell>
          <cell r="E319">
            <v>50033404</v>
          </cell>
          <cell r="F319" t="str">
            <v xml:space="preserve"> </v>
          </cell>
          <cell r="G319">
            <v>7718965</v>
          </cell>
          <cell r="H319">
            <v>6868098</v>
          </cell>
          <cell r="I319">
            <v>13276934</v>
          </cell>
          <cell r="J319">
            <v>418893</v>
          </cell>
          <cell r="K319">
            <v>28282890</v>
          </cell>
          <cell r="L319"/>
          <cell r="M319">
            <v>259010</v>
          </cell>
          <cell r="N319">
            <v>0</v>
          </cell>
          <cell r="O319">
            <v>485736</v>
          </cell>
          <cell r="P319">
            <v>744746</v>
          </cell>
          <cell r="Q319"/>
          <cell r="R319">
            <v>13897938</v>
          </cell>
          <cell r="S319">
            <v>-400564</v>
          </cell>
          <cell r="T319">
            <v>13497374</v>
          </cell>
        </row>
        <row r="320">
          <cell r="A320">
            <v>93212</v>
          </cell>
          <cell r="B320" t="str">
            <v>DURHAM CONVENTION &amp; VISITORS BUREAU</v>
          </cell>
          <cell r="C320">
            <v>2.7540000000000003E-4</v>
          </cell>
          <cell r="D320">
            <v>2.2130000000000001E-4</v>
          </cell>
          <cell r="E320">
            <v>653343</v>
          </cell>
          <cell r="F320" t="str">
            <v xml:space="preserve"> </v>
          </cell>
          <cell r="G320">
            <v>100795</v>
          </cell>
          <cell r="H320">
            <v>89685</v>
          </cell>
          <cell r="I320">
            <v>173372</v>
          </cell>
          <cell r="J320">
            <v>231765</v>
          </cell>
          <cell r="K320">
            <v>595617</v>
          </cell>
          <cell r="L320"/>
          <cell r="M320">
            <v>3382</v>
          </cell>
          <cell r="N320">
            <v>0</v>
          </cell>
          <cell r="O320">
            <v>0</v>
          </cell>
          <cell r="P320">
            <v>3382</v>
          </cell>
          <cell r="Q320"/>
          <cell r="R320">
            <v>181481</v>
          </cell>
          <cell r="S320">
            <v>85113</v>
          </cell>
          <cell r="T320">
            <v>266594</v>
          </cell>
        </row>
        <row r="321">
          <cell r="A321">
            <v>93219</v>
          </cell>
          <cell r="B321" t="str">
            <v>TRIANGLE J COUNCIL OF GOVERNMENTS</v>
          </cell>
          <cell r="C321">
            <v>2.5329999999999998E-4</v>
          </cell>
          <cell r="D321">
            <v>2.6289999999999999E-4</v>
          </cell>
          <cell r="E321">
            <v>600914</v>
          </cell>
          <cell r="F321" t="str">
            <v xml:space="preserve"> </v>
          </cell>
          <cell r="G321">
            <v>92707</v>
          </cell>
          <cell r="H321">
            <v>82487</v>
          </cell>
          <cell r="I321">
            <v>159459</v>
          </cell>
          <cell r="J321">
            <v>16940</v>
          </cell>
          <cell r="K321">
            <v>351593</v>
          </cell>
          <cell r="L321"/>
          <cell r="M321">
            <v>3111</v>
          </cell>
          <cell r="N321">
            <v>0</v>
          </cell>
          <cell r="O321">
            <v>7235</v>
          </cell>
          <cell r="P321">
            <v>10346</v>
          </cell>
          <cell r="Q321"/>
          <cell r="R321">
            <v>166918</v>
          </cell>
          <cell r="S321">
            <v>841</v>
          </cell>
          <cell r="T321">
            <v>167759</v>
          </cell>
        </row>
        <row r="322">
          <cell r="A322">
            <v>93301</v>
          </cell>
          <cell r="B322" t="str">
            <v>EDGECOMBE COUNTY</v>
          </cell>
          <cell r="C322">
            <v>2.3299000000000002E-3</v>
          </cell>
          <cell r="D322">
            <v>2.5243000000000002E-3</v>
          </cell>
          <cell r="E322">
            <v>5527320</v>
          </cell>
          <cell r="F322" t="str">
            <v xml:space="preserve"> </v>
          </cell>
          <cell r="G322">
            <v>852734</v>
          </cell>
          <cell r="H322">
            <v>758737</v>
          </cell>
          <cell r="I322">
            <v>1466737</v>
          </cell>
          <cell r="J322">
            <v>30807</v>
          </cell>
          <cell r="K322">
            <v>3109015</v>
          </cell>
          <cell r="L322"/>
          <cell r="M322">
            <v>28614</v>
          </cell>
          <cell r="N322">
            <v>0</v>
          </cell>
          <cell r="O322">
            <v>198572</v>
          </cell>
          <cell r="P322">
            <v>227186</v>
          </cell>
          <cell r="Q322"/>
          <cell r="R322">
            <v>1535341</v>
          </cell>
          <cell r="S322">
            <v>-62950</v>
          </cell>
          <cell r="T322">
            <v>1472391</v>
          </cell>
        </row>
        <row r="323">
          <cell r="A323">
            <v>93304</v>
          </cell>
          <cell r="B323" t="str">
            <v>EDGECOMBE COUNTY ABC BOARD</v>
          </cell>
          <cell r="C323">
            <v>3.3399999999999999E-5</v>
          </cell>
          <cell r="D323">
            <v>3.0300000000000001E-5</v>
          </cell>
          <cell r="E323">
            <v>79236</v>
          </cell>
          <cell r="F323" t="str">
            <v xml:space="preserve"> </v>
          </cell>
          <cell r="G323">
            <v>12224</v>
          </cell>
          <cell r="H323">
            <v>10877</v>
          </cell>
          <cell r="I323">
            <v>21026</v>
          </cell>
          <cell r="J323">
            <v>10139</v>
          </cell>
          <cell r="K323">
            <v>54266</v>
          </cell>
          <cell r="L323"/>
          <cell r="M323">
            <v>410</v>
          </cell>
          <cell r="N323">
            <v>0</v>
          </cell>
          <cell r="O323">
            <v>0</v>
          </cell>
          <cell r="P323">
            <v>410</v>
          </cell>
          <cell r="Q323"/>
          <cell r="R323">
            <v>22010</v>
          </cell>
          <cell r="S323">
            <v>6577</v>
          </cell>
          <cell r="T323">
            <v>28587</v>
          </cell>
        </row>
        <row r="324">
          <cell r="A324">
            <v>93305</v>
          </cell>
          <cell r="B324" t="str">
            <v>EDGECOMBE COUNTY MEMORIAL LIBRARY</v>
          </cell>
          <cell r="C324">
            <v>4.4799999999999998E-5</v>
          </cell>
          <cell r="D324">
            <v>4.6999999999999997E-5</v>
          </cell>
          <cell r="E324">
            <v>106281</v>
          </cell>
          <cell r="F324" t="str">
            <v xml:space="preserve"> </v>
          </cell>
          <cell r="G324">
            <v>16397</v>
          </cell>
          <cell r="H324">
            <v>14590</v>
          </cell>
          <cell r="I324">
            <v>28203</v>
          </cell>
          <cell r="J324">
            <v>0</v>
          </cell>
          <cell r="K324">
            <v>59190</v>
          </cell>
          <cell r="L324"/>
          <cell r="M324">
            <v>550</v>
          </cell>
          <cell r="N324">
            <v>0</v>
          </cell>
          <cell r="O324">
            <v>6061</v>
          </cell>
          <cell r="P324">
            <v>6611</v>
          </cell>
          <cell r="Q324"/>
          <cell r="R324">
            <v>29522</v>
          </cell>
          <cell r="S324">
            <v>-2514</v>
          </cell>
          <cell r="T324">
            <v>27008</v>
          </cell>
        </row>
        <row r="325">
          <cell r="A325">
            <v>93309</v>
          </cell>
          <cell r="B325" t="str">
            <v>UPPER COASTAL PLAIN COUNCIL OF GOVERNMENTS</v>
          </cell>
          <cell r="C325">
            <v>1.6430000000000001E-4</v>
          </cell>
          <cell r="D325">
            <v>1.63E-4</v>
          </cell>
          <cell r="E325">
            <v>389776</v>
          </cell>
          <cell r="F325" t="str">
            <v xml:space="preserve"> </v>
          </cell>
          <cell r="G325">
            <v>60133</v>
          </cell>
          <cell r="H325">
            <v>53504</v>
          </cell>
          <cell r="I325">
            <v>103431</v>
          </cell>
          <cell r="J325">
            <v>30559</v>
          </cell>
          <cell r="K325">
            <v>247627</v>
          </cell>
          <cell r="L325"/>
          <cell r="M325">
            <v>2018</v>
          </cell>
          <cell r="N325">
            <v>0</v>
          </cell>
          <cell r="O325">
            <v>0</v>
          </cell>
          <cell r="P325">
            <v>2018</v>
          </cell>
          <cell r="Q325"/>
          <cell r="R325">
            <v>108269</v>
          </cell>
          <cell r="S325">
            <v>11215</v>
          </cell>
          <cell r="T325">
            <v>119484</v>
          </cell>
        </row>
        <row r="326">
          <cell r="A326">
            <v>93311</v>
          </cell>
          <cell r="B326" t="str">
            <v xml:space="preserve"> TARBORO</v>
          </cell>
          <cell r="C326">
            <v>1.2439E-3</v>
          </cell>
          <cell r="D326">
            <v>1.1665E-3</v>
          </cell>
          <cell r="E326">
            <v>2950956</v>
          </cell>
          <cell r="F326" t="str">
            <v xml:space="preserve"> </v>
          </cell>
          <cell r="G326">
            <v>455262</v>
          </cell>
          <cell r="H326">
            <v>405079</v>
          </cell>
          <cell r="I326">
            <v>783070</v>
          </cell>
          <cell r="J326">
            <v>22773</v>
          </cell>
          <cell r="K326">
            <v>1666184</v>
          </cell>
          <cell r="L326"/>
          <cell r="M326">
            <v>15276</v>
          </cell>
          <cell r="N326">
            <v>0</v>
          </cell>
          <cell r="O326">
            <v>45734</v>
          </cell>
          <cell r="P326">
            <v>61010</v>
          </cell>
          <cell r="Q326"/>
          <cell r="R326">
            <v>819697</v>
          </cell>
          <cell r="S326">
            <v>-32212</v>
          </cell>
          <cell r="T326">
            <v>787485</v>
          </cell>
        </row>
        <row r="327">
          <cell r="A327">
            <v>93317</v>
          </cell>
          <cell r="B327" t="str">
            <v>TARBORO REDEVELOPMENT COMMISSION</v>
          </cell>
          <cell r="C327">
            <v>4.8300000000000002E-5</v>
          </cell>
          <cell r="D327">
            <v>5.0099999999999998E-5</v>
          </cell>
          <cell r="E327">
            <v>114584</v>
          </cell>
          <cell r="F327" t="str">
            <v xml:space="preserve"> </v>
          </cell>
          <cell r="G327">
            <v>17678</v>
          </cell>
          <cell r="H327">
            <v>15729</v>
          </cell>
          <cell r="I327">
            <v>30406</v>
          </cell>
          <cell r="J327">
            <v>550</v>
          </cell>
          <cell r="K327">
            <v>64363</v>
          </cell>
          <cell r="L327"/>
          <cell r="M327">
            <v>593</v>
          </cell>
          <cell r="N327">
            <v>0</v>
          </cell>
          <cell r="O327">
            <v>2758</v>
          </cell>
          <cell r="P327">
            <v>3351</v>
          </cell>
          <cell r="Q327"/>
          <cell r="R327">
            <v>31828</v>
          </cell>
          <cell r="S327">
            <v>-711</v>
          </cell>
          <cell r="T327">
            <v>31117</v>
          </cell>
        </row>
        <row r="328">
          <cell r="A328">
            <v>93321</v>
          </cell>
          <cell r="B328" t="str">
            <v>CITY OF ROCKY MOUNT</v>
          </cell>
          <cell r="C328">
            <v>7.0657000000000003E-3</v>
          </cell>
          <cell r="D328">
            <v>7.3600000000000002E-3</v>
          </cell>
          <cell r="E328">
            <v>16762257</v>
          </cell>
          <cell r="F328" t="str">
            <v xml:space="preserve"> </v>
          </cell>
          <cell r="G328">
            <v>2586018</v>
          </cell>
          <cell r="H328">
            <v>2300960</v>
          </cell>
          <cell r="I328">
            <v>4448056</v>
          </cell>
          <cell r="J328">
            <v>0</v>
          </cell>
          <cell r="K328">
            <v>9335034</v>
          </cell>
          <cell r="L328"/>
          <cell r="M328">
            <v>86774</v>
          </cell>
          <cell r="N328">
            <v>0</v>
          </cell>
          <cell r="O328">
            <v>623798</v>
          </cell>
          <cell r="P328">
            <v>710572</v>
          </cell>
          <cell r="Q328"/>
          <cell r="R328">
            <v>4656106</v>
          </cell>
          <cell r="S328">
            <v>-396274</v>
          </cell>
          <cell r="T328">
            <v>4259832</v>
          </cell>
        </row>
        <row r="329">
          <cell r="A329">
            <v>93323</v>
          </cell>
          <cell r="B329" t="str">
            <v>ROCKY MOUNT-WILSON AIRPORT AUTHORITY</v>
          </cell>
          <cell r="C329">
            <v>1.9300000000000002E-5</v>
          </cell>
          <cell r="D329">
            <v>2.19E-5</v>
          </cell>
          <cell r="E329">
            <v>45786</v>
          </cell>
          <cell r="F329" t="str">
            <v xml:space="preserve"> </v>
          </cell>
          <cell r="G329">
            <v>7064</v>
          </cell>
          <cell r="H329">
            <v>6286</v>
          </cell>
          <cell r="I329">
            <v>12150</v>
          </cell>
          <cell r="J329">
            <v>5709</v>
          </cell>
          <cell r="K329">
            <v>31209</v>
          </cell>
          <cell r="L329"/>
          <cell r="M329">
            <v>237</v>
          </cell>
          <cell r="N329">
            <v>0</v>
          </cell>
          <cell r="O329">
            <v>2583</v>
          </cell>
          <cell r="P329">
            <v>2820</v>
          </cell>
          <cell r="Q329"/>
          <cell r="R329">
            <v>12718</v>
          </cell>
          <cell r="S329">
            <v>2046</v>
          </cell>
          <cell r="T329">
            <v>14764</v>
          </cell>
        </row>
        <row r="330">
          <cell r="A330">
            <v>93331</v>
          </cell>
          <cell r="B330" t="str">
            <v xml:space="preserve"> PINETOPS</v>
          </cell>
          <cell r="C330">
            <v>1.22E-4</v>
          </cell>
          <cell r="D330">
            <v>1.208E-4</v>
          </cell>
          <cell r="E330">
            <v>289426</v>
          </cell>
          <cell r="F330" t="str">
            <v xml:space="preserve"> </v>
          </cell>
          <cell r="G330">
            <v>44652</v>
          </cell>
          <cell r="H330">
            <v>39730</v>
          </cell>
          <cell r="I330">
            <v>76802</v>
          </cell>
          <cell r="J330">
            <v>5671</v>
          </cell>
          <cell r="K330">
            <v>166855</v>
          </cell>
          <cell r="L330"/>
          <cell r="M330">
            <v>1498</v>
          </cell>
          <cell r="N330">
            <v>0</v>
          </cell>
          <cell r="O330">
            <v>6870</v>
          </cell>
          <cell r="P330">
            <v>8368</v>
          </cell>
          <cell r="Q330"/>
          <cell r="R330">
            <v>80395</v>
          </cell>
          <cell r="S330">
            <v>-1201</v>
          </cell>
          <cell r="T330">
            <v>79194</v>
          </cell>
        </row>
        <row r="331">
          <cell r="A331">
            <v>93333</v>
          </cell>
          <cell r="B331" t="str">
            <v>ROCKY MT HOUSING AUTHORITY</v>
          </cell>
          <cell r="C331">
            <v>1.685E-4</v>
          </cell>
          <cell r="D331">
            <v>1.796E-4</v>
          </cell>
          <cell r="E331">
            <v>399740</v>
          </cell>
          <cell r="F331" t="str">
            <v xml:space="preserve"> </v>
          </cell>
          <cell r="G331">
            <v>61670</v>
          </cell>
          <cell r="H331">
            <v>54872</v>
          </cell>
          <cell r="I331">
            <v>106075</v>
          </cell>
          <cell r="J331">
            <v>128475</v>
          </cell>
          <cell r="K331">
            <v>351092</v>
          </cell>
          <cell r="L331"/>
          <cell r="M331">
            <v>2069</v>
          </cell>
          <cell r="N331">
            <v>0</v>
          </cell>
          <cell r="O331">
            <v>0</v>
          </cell>
          <cell r="P331">
            <v>2069</v>
          </cell>
          <cell r="Q331"/>
          <cell r="R331">
            <v>111037</v>
          </cell>
          <cell r="S331">
            <v>76738</v>
          </cell>
          <cell r="T331">
            <v>187775</v>
          </cell>
        </row>
        <row r="332">
          <cell r="A332">
            <v>93341</v>
          </cell>
          <cell r="B332" t="str">
            <v xml:space="preserve"> MACCLESFIELD</v>
          </cell>
          <cell r="C332">
            <v>2.7500000000000001E-5</v>
          </cell>
          <cell r="D332">
            <v>2.34E-5</v>
          </cell>
          <cell r="E332">
            <v>65239</v>
          </cell>
          <cell r="F332" t="str">
            <v xml:space="preserve"> </v>
          </cell>
          <cell r="G332">
            <v>10065</v>
          </cell>
          <cell r="H332">
            <v>8955</v>
          </cell>
          <cell r="I332">
            <v>17312</v>
          </cell>
          <cell r="J332">
            <v>4514</v>
          </cell>
          <cell r="K332">
            <v>40846</v>
          </cell>
          <cell r="L332"/>
          <cell r="M332">
            <v>338</v>
          </cell>
          <cell r="N332">
            <v>0</v>
          </cell>
          <cell r="O332">
            <v>647</v>
          </cell>
          <cell r="P332">
            <v>985</v>
          </cell>
          <cell r="Q332"/>
          <cell r="R332">
            <v>18122</v>
          </cell>
          <cell r="S332">
            <v>1598</v>
          </cell>
          <cell r="T332">
            <v>19720</v>
          </cell>
        </row>
        <row r="333">
          <cell r="A333">
            <v>93351</v>
          </cell>
          <cell r="B333" t="str">
            <v xml:space="preserve"> PRINCEVILLE</v>
          </cell>
          <cell r="C333">
            <v>1.7600000000000001E-5</v>
          </cell>
          <cell r="D333">
            <v>3.4E-5</v>
          </cell>
          <cell r="E333">
            <v>41753</v>
          </cell>
          <cell r="F333" t="str">
            <v xml:space="preserve"> </v>
          </cell>
          <cell r="G333">
            <v>6442</v>
          </cell>
          <cell r="H333">
            <v>5731</v>
          </cell>
          <cell r="I333">
            <v>11080</v>
          </cell>
          <cell r="J333">
            <v>13531</v>
          </cell>
          <cell r="K333">
            <v>36784</v>
          </cell>
          <cell r="L333"/>
          <cell r="M333">
            <v>216</v>
          </cell>
          <cell r="N333">
            <v>0</v>
          </cell>
          <cell r="O333">
            <v>12460</v>
          </cell>
          <cell r="P333">
            <v>12676</v>
          </cell>
          <cell r="Q333"/>
          <cell r="R333">
            <v>11598</v>
          </cell>
          <cell r="S333">
            <v>228</v>
          </cell>
          <cell r="T333">
            <v>11826</v>
          </cell>
        </row>
        <row r="334">
          <cell r="A334">
            <v>93401</v>
          </cell>
          <cell r="B334" t="str">
            <v>FORSYTH COUNTY</v>
          </cell>
          <cell r="C334">
            <v>1.40187E-2</v>
          </cell>
          <cell r="D334">
            <v>1.3834900000000001E-2</v>
          </cell>
          <cell r="E334">
            <v>33257151</v>
          </cell>
          <cell r="F334" t="str">
            <v xml:space="preserve"> </v>
          </cell>
          <cell r="G334">
            <v>5130788</v>
          </cell>
          <cell r="H334">
            <v>4565217</v>
          </cell>
          <cell r="I334">
            <v>8825164</v>
          </cell>
          <cell r="J334">
            <v>179357</v>
          </cell>
          <cell r="K334">
            <v>18700526</v>
          </cell>
          <cell r="L334"/>
          <cell r="M334">
            <v>172164</v>
          </cell>
          <cell r="N334">
            <v>0</v>
          </cell>
          <cell r="O334">
            <v>63750</v>
          </cell>
          <cell r="P334">
            <v>235914</v>
          </cell>
          <cell r="Q334"/>
          <cell r="R334">
            <v>9237945</v>
          </cell>
          <cell r="S334">
            <v>-44240</v>
          </cell>
          <cell r="T334">
            <v>9193705</v>
          </cell>
        </row>
        <row r="335">
          <cell r="A335">
            <v>93402</v>
          </cell>
          <cell r="B335" t="str">
            <v>AIRPORT COMMISSION OF FORSYTH COUNTY</v>
          </cell>
          <cell r="C335">
            <v>9.6399999999999999E-5</v>
          </cell>
          <cell r="D335">
            <v>9.8800000000000003E-5</v>
          </cell>
          <cell r="E335">
            <v>228694</v>
          </cell>
          <cell r="F335" t="str">
            <v xml:space="preserve"> </v>
          </cell>
          <cell r="G335">
            <v>35282</v>
          </cell>
          <cell r="H335">
            <v>31393</v>
          </cell>
          <cell r="I335">
            <v>60686</v>
          </cell>
          <cell r="J335">
            <v>1484</v>
          </cell>
          <cell r="K335">
            <v>128845</v>
          </cell>
          <cell r="L335"/>
          <cell r="M335">
            <v>1184</v>
          </cell>
          <cell r="N335">
            <v>0</v>
          </cell>
          <cell r="O335">
            <v>10261</v>
          </cell>
          <cell r="P335">
            <v>11445</v>
          </cell>
          <cell r="Q335"/>
          <cell r="R335">
            <v>63525</v>
          </cell>
          <cell r="S335">
            <v>1040</v>
          </cell>
          <cell r="T335">
            <v>64565</v>
          </cell>
        </row>
        <row r="336">
          <cell r="A336">
            <v>93406</v>
          </cell>
          <cell r="B336" t="str">
            <v>PIEDMONT TRIAD REGIONAL COUNCIL</v>
          </cell>
          <cell r="C336">
            <v>5.0830000000000005E-4</v>
          </cell>
          <cell r="D336">
            <v>6.5059999999999998E-4</v>
          </cell>
          <cell r="E336">
            <v>1205861</v>
          </cell>
          <cell r="F336" t="str">
            <v xml:space="preserve"> </v>
          </cell>
          <cell r="G336">
            <v>186036</v>
          </cell>
          <cell r="H336">
            <v>165529</v>
          </cell>
          <cell r="I336">
            <v>319989</v>
          </cell>
          <cell r="J336">
            <v>7137</v>
          </cell>
          <cell r="K336">
            <v>678691</v>
          </cell>
          <cell r="L336"/>
          <cell r="M336">
            <v>6242</v>
          </cell>
          <cell r="N336">
            <v>0</v>
          </cell>
          <cell r="O336">
            <v>129835</v>
          </cell>
          <cell r="P336">
            <v>136077</v>
          </cell>
          <cell r="Q336"/>
          <cell r="R336">
            <v>334956</v>
          </cell>
          <cell r="S336">
            <v>-16548</v>
          </cell>
          <cell r="T336">
            <v>318408</v>
          </cell>
        </row>
        <row r="337">
          <cell r="A337">
            <v>93408</v>
          </cell>
          <cell r="B337" t="str">
            <v>CENTERPOINT HUMAN SERVICES</v>
          </cell>
          <cell r="C337">
            <v>0</v>
          </cell>
          <cell r="D337">
            <v>0</v>
          </cell>
          <cell r="E337">
            <v>0</v>
          </cell>
          <cell r="F337" t="str">
            <v xml:space="preserve"> </v>
          </cell>
          <cell r="G337">
            <v>0</v>
          </cell>
          <cell r="H337">
            <v>0</v>
          </cell>
          <cell r="I337">
            <v>0</v>
          </cell>
          <cell r="J337">
            <v>26519</v>
          </cell>
          <cell r="K337">
            <v>26519</v>
          </cell>
          <cell r="L337"/>
          <cell r="M337">
            <v>0</v>
          </cell>
          <cell r="N337">
            <v>0</v>
          </cell>
          <cell r="O337">
            <v>1164660</v>
          </cell>
          <cell r="P337">
            <v>1164660</v>
          </cell>
          <cell r="Q337"/>
          <cell r="R337">
            <v>0</v>
          </cell>
          <cell r="S337">
            <v>-293308</v>
          </cell>
          <cell r="T337">
            <v>-293308</v>
          </cell>
        </row>
        <row r="338">
          <cell r="A338">
            <v>93411</v>
          </cell>
          <cell r="B338" t="str">
            <v>CITY OF WINSTON-SALEM</v>
          </cell>
          <cell r="C338">
            <v>1.8113199999999999E-2</v>
          </cell>
          <cell r="D338">
            <v>1.7454999999999998E-2</v>
          </cell>
          <cell r="E338">
            <v>42970705</v>
          </cell>
          <cell r="F338" t="str">
            <v xml:space="preserve"> </v>
          </cell>
          <cell r="G338">
            <v>6629359</v>
          </cell>
          <cell r="H338">
            <v>5898600</v>
          </cell>
          <cell r="I338">
            <v>11402767</v>
          </cell>
          <cell r="J338">
            <v>739661</v>
          </cell>
          <cell r="K338">
            <v>24670387</v>
          </cell>
          <cell r="L338"/>
          <cell r="M338">
            <v>222448</v>
          </cell>
          <cell r="N338">
            <v>0</v>
          </cell>
          <cell r="O338">
            <v>227877</v>
          </cell>
          <cell r="P338">
            <v>450325</v>
          </cell>
          <cell r="Q338"/>
          <cell r="R338">
            <v>11936110</v>
          </cell>
          <cell r="S338">
            <v>-166296</v>
          </cell>
          <cell r="T338">
            <v>11769814</v>
          </cell>
        </row>
        <row r="339">
          <cell r="A339">
            <v>93413</v>
          </cell>
          <cell r="B339" t="str">
            <v>WINSTON-SALEM HOUSING AUTHORITY</v>
          </cell>
          <cell r="C339">
            <v>7.1969999999999998E-4</v>
          </cell>
          <cell r="D339">
            <v>7.7070000000000003E-4</v>
          </cell>
          <cell r="E339">
            <v>1707375</v>
          </cell>
          <cell r="F339" t="str">
            <v xml:space="preserve"> </v>
          </cell>
          <cell r="G339">
            <v>263407</v>
          </cell>
          <cell r="H339">
            <v>234372</v>
          </cell>
          <cell r="I339">
            <v>453071</v>
          </cell>
          <cell r="J339">
            <v>0</v>
          </cell>
          <cell r="K339">
            <v>950850</v>
          </cell>
          <cell r="L339"/>
          <cell r="M339">
            <v>8839</v>
          </cell>
          <cell r="N339">
            <v>0</v>
          </cell>
          <cell r="O339">
            <v>32288</v>
          </cell>
          <cell r="P339">
            <v>41127</v>
          </cell>
          <cell r="Q339"/>
          <cell r="R339">
            <v>474263</v>
          </cell>
          <cell r="S339">
            <v>-21077</v>
          </cell>
          <cell r="T339">
            <v>453186</v>
          </cell>
        </row>
        <row r="340">
          <cell r="A340">
            <v>93417</v>
          </cell>
          <cell r="B340" t="str">
            <v>TRIAD MUNICIPAL ABC BOARD</v>
          </cell>
          <cell r="C340">
            <v>3.279E-4</v>
          </cell>
          <cell r="D340">
            <v>3.4430000000000002E-4</v>
          </cell>
          <cell r="E340">
            <v>777891</v>
          </cell>
          <cell r="F340" t="str">
            <v xml:space="preserve"> </v>
          </cell>
          <cell r="G340">
            <v>120010</v>
          </cell>
          <cell r="H340">
            <v>106782</v>
          </cell>
          <cell r="I340">
            <v>206422</v>
          </cell>
          <cell r="J340">
            <v>10888</v>
          </cell>
          <cell r="K340">
            <v>444102</v>
          </cell>
          <cell r="L340"/>
          <cell r="M340">
            <v>4027</v>
          </cell>
          <cell r="N340">
            <v>0</v>
          </cell>
          <cell r="O340">
            <v>24803</v>
          </cell>
          <cell r="P340">
            <v>28830</v>
          </cell>
          <cell r="Q340"/>
          <cell r="R340">
            <v>216077</v>
          </cell>
          <cell r="S340">
            <v>8121</v>
          </cell>
          <cell r="T340">
            <v>224198</v>
          </cell>
        </row>
        <row r="341">
          <cell r="A341">
            <v>93421</v>
          </cell>
          <cell r="B341" t="str">
            <v xml:space="preserve"> KERNERSVILLE</v>
          </cell>
          <cell r="C341">
            <v>2.1354999999999998E-3</v>
          </cell>
          <cell r="D341">
            <v>2.1294999999999999E-3</v>
          </cell>
          <cell r="E341">
            <v>5066136</v>
          </cell>
          <cell r="F341" t="str">
            <v xml:space="preserve"> </v>
          </cell>
          <cell r="G341">
            <v>781584</v>
          </cell>
          <cell r="H341">
            <v>695430</v>
          </cell>
          <cell r="I341">
            <v>1344357</v>
          </cell>
          <cell r="J341">
            <v>0</v>
          </cell>
          <cell r="K341">
            <v>2821371</v>
          </cell>
          <cell r="L341"/>
          <cell r="M341">
            <v>26226</v>
          </cell>
          <cell r="N341">
            <v>0</v>
          </cell>
          <cell r="O341">
            <v>215571</v>
          </cell>
          <cell r="P341">
            <v>241797</v>
          </cell>
          <cell r="Q341"/>
          <cell r="R341">
            <v>1407237</v>
          </cell>
          <cell r="S341">
            <v>-143206</v>
          </cell>
          <cell r="T341">
            <v>1264031</v>
          </cell>
        </row>
        <row r="342">
          <cell r="A342">
            <v>93431</v>
          </cell>
          <cell r="B342" t="str">
            <v xml:space="preserve"> RURAL HALL</v>
          </cell>
          <cell r="C342">
            <v>1.393E-4</v>
          </cell>
          <cell r="D342">
            <v>1.2689999999999999E-4</v>
          </cell>
          <cell r="E342">
            <v>330467</v>
          </cell>
          <cell r="F342" t="str">
            <v xml:space="preserve"> </v>
          </cell>
          <cell r="G342">
            <v>50983</v>
          </cell>
          <cell r="H342">
            <v>45363</v>
          </cell>
          <cell r="I342">
            <v>87693</v>
          </cell>
          <cell r="J342">
            <v>17651</v>
          </cell>
          <cell r="K342">
            <v>201690</v>
          </cell>
          <cell r="L342"/>
          <cell r="M342">
            <v>1711</v>
          </cell>
          <cell r="N342">
            <v>0</v>
          </cell>
          <cell r="O342">
            <v>3344</v>
          </cell>
          <cell r="P342">
            <v>5055</v>
          </cell>
          <cell r="Q342"/>
          <cell r="R342">
            <v>91795</v>
          </cell>
          <cell r="S342">
            <v>3930</v>
          </cell>
          <cell r="T342">
            <v>95725</v>
          </cell>
        </row>
        <row r="343">
          <cell r="A343">
            <v>93441</v>
          </cell>
          <cell r="B343" t="str">
            <v xml:space="preserve"> CLEMMONS</v>
          </cell>
          <cell r="C343">
            <v>1.651E-4</v>
          </cell>
          <cell r="D343">
            <v>1.54E-4</v>
          </cell>
          <cell r="E343">
            <v>391674</v>
          </cell>
          <cell r="F343" t="str">
            <v xml:space="preserve"> </v>
          </cell>
          <cell r="G343">
            <v>60426</v>
          </cell>
          <cell r="H343">
            <v>53765</v>
          </cell>
          <cell r="I343">
            <v>103935</v>
          </cell>
          <cell r="J343">
            <v>21962</v>
          </cell>
          <cell r="K343">
            <v>240088</v>
          </cell>
          <cell r="L343"/>
          <cell r="M343">
            <v>2028</v>
          </cell>
          <cell r="N343">
            <v>0</v>
          </cell>
          <cell r="O343">
            <v>0</v>
          </cell>
          <cell r="P343">
            <v>2028</v>
          </cell>
          <cell r="Q343"/>
          <cell r="R343">
            <v>108796</v>
          </cell>
          <cell r="S343">
            <v>16238</v>
          </cell>
          <cell r="T343">
            <v>125034</v>
          </cell>
        </row>
        <row r="344">
          <cell r="A344">
            <v>93442</v>
          </cell>
          <cell r="B344" t="str">
            <v>CLEMMONS FIRE DEPARTMENT</v>
          </cell>
          <cell r="C344">
            <v>1.5139999999999999E-4</v>
          </cell>
          <cell r="D344">
            <v>1.505E-4</v>
          </cell>
          <cell r="E344">
            <v>359173</v>
          </cell>
          <cell r="F344" t="str">
            <v xml:space="preserve"> </v>
          </cell>
          <cell r="G344">
            <v>55412</v>
          </cell>
          <cell r="H344">
            <v>49304</v>
          </cell>
          <cell r="I344">
            <v>95311</v>
          </cell>
          <cell r="J344">
            <v>2596</v>
          </cell>
          <cell r="K344">
            <v>202623</v>
          </cell>
          <cell r="L344"/>
          <cell r="M344">
            <v>1859</v>
          </cell>
          <cell r="N344">
            <v>0</v>
          </cell>
          <cell r="O344">
            <v>18150</v>
          </cell>
          <cell r="P344">
            <v>20009</v>
          </cell>
          <cell r="Q344"/>
          <cell r="R344">
            <v>99769</v>
          </cell>
          <cell r="S344">
            <v>-7850</v>
          </cell>
          <cell r="T344">
            <v>91919</v>
          </cell>
        </row>
        <row r="345">
          <cell r="A345">
            <v>93451</v>
          </cell>
          <cell r="B345" t="str">
            <v xml:space="preserve"> LEWISVILLE</v>
          </cell>
          <cell r="C345">
            <v>7.9599999999999997E-5</v>
          </cell>
          <cell r="D345">
            <v>7.0900000000000002E-5</v>
          </cell>
          <cell r="E345">
            <v>188838</v>
          </cell>
          <cell r="F345" t="str">
            <v xml:space="preserve"> </v>
          </cell>
          <cell r="G345">
            <v>29133</v>
          </cell>
          <cell r="H345">
            <v>25922</v>
          </cell>
          <cell r="I345">
            <v>50110</v>
          </cell>
          <cell r="J345">
            <v>21182</v>
          </cell>
          <cell r="K345">
            <v>126347</v>
          </cell>
          <cell r="L345"/>
          <cell r="M345">
            <v>978</v>
          </cell>
          <cell r="N345">
            <v>0</v>
          </cell>
          <cell r="O345">
            <v>0</v>
          </cell>
          <cell r="P345">
            <v>978</v>
          </cell>
          <cell r="Q345"/>
          <cell r="R345">
            <v>52454</v>
          </cell>
          <cell r="S345">
            <v>8104</v>
          </cell>
          <cell r="T345">
            <v>60558</v>
          </cell>
        </row>
        <row r="346">
          <cell r="A346">
            <v>93461</v>
          </cell>
          <cell r="B346" t="str">
            <v>WALKERTOWN</v>
          </cell>
          <cell r="C346">
            <v>1.6200000000000001E-5</v>
          </cell>
          <cell r="D346">
            <v>1.66E-5</v>
          </cell>
          <cell r="E346">
            <v>38432</v>
          </cell>
          <cell r="F346" t="str">
            <v xml:space="preserve"> </v>
          </cell>
          <cell r="G346">
            <v>5929</v>
          </cell>
          <cell r="H346">
            <v>5275</v>
          </cell>
          <cell r="I346">
            <v>10198</v>
          </cell>
          <cell r="J346">
            <v>707</v>
          </cell>
          <cell r="K346">
            <v>22109</v>
          </cell>
          <cell r="L346"/>
          <cell r="M346">
            <v>199</v>
          </cell>
          <cell r="N346">
            <v>0</v>
          </cell>
          <cell r="O346">
            <v>0</v>
          </cell>
          <cell r="P346">
            <v>199</v>
          </cell>
          <cell r="Q346"/>
          <cell r="R346">
            <v>10675</v>
          </cell>
          <cell r="S346">
            <v>351</v>
          </cell>
          <cell r="T346">
            <v>11026</v>
          </cell>
        </row>
        <row r="347">
          <cell r="A347">
            <v>93471</v>
          </cell>
          <cell r="B347" t="str">
            <v>TOBACCOVILLE</v>
          </cell>
          <cell r="C347">
            <v>1.15E-5</v>
          </cell>
          <cell r="D347">
            <v>1.31E-5</v>
          </cell>
          <cell r="E347">
            <v>27282</v>
          </cell>
          <cell r="F347" t="str">
            <v xml:space="preserve"> </v>
          </cell>
          <cell r="G347">
            <v>4209</v>
          </cell>
          <cell r="H347">
            <v>3745</v>
          </cell>
          <cell r="I347">
            <v>7240</v>
          </cell>
          <cell r="J347">
            <v>4442</v>
          </cell>
          <cell r="K347">
            <v>19636</v>
          </cell>
          <cell r="L347"/>
          <cell r="M347">
            <v>141</v>
          </cell>
          <cell r="N347">
            <v>0</v>
          </cell>
          <cell r="O347">
            <v>0</v>
          </cell>
          <cell r="P347">
            <v>141</v>
          </cell>
          <cell r="Q347"/>
          <cell r="R347">
            <v>7578</v>
          </cell>
          <cell r="S347">
            <v>1610</v>
          </cell>
          <cell r="T347">
            <v>9188</v>
          </cell>
        </row>
        <row r="348">
          <cell r="A348">
            <v>93501</v>
          </cell>
          <cell r="B348" t="str">
            <v>FRANKLIN COUNTY</v>
          </cell>
          <cell r="C348">
            <v>3.6803000000000001E-3</v>
          </cell>
          <cell r="D348">
            <v>3.6113999999999999E-3</v>
          </cell>
          <cell r="E348">
            <v>8730930</v>
          </cell>
          <cell r="F348" t="str">
            <v xml:space="preserve"> </v>
          </cell>
          <cell r="G348">
            <v>1346975</v>
          </cell>
          <cell r="H348">
            <v>1198497</v>
          </cell>
          <cell r="I348">
            <v>2316852</v>
          </cell>
          <cell r="J348">
            <v>177586</v>
          </cell>
          <cell r="K348">
            <v>5039910</v>
          </cell>
          <cell r="L348"/>
          <cell r="M348">
            <v>45198</v>
          </cell>
          <cell r="N348">
            <v>0</v>
          </cell>
          <cell r="O348">
            <v>37454</v>
          </cell>
          <cell r="P348">
            <v>82652</v>
          </cell>
          <cell r="Q348"/>
          <cell r="R348">
            <v>2425218</v>
          </cell>
          <cell r="S348">
            <v>100778</v>
          </cell>
          <cell r="T348">
            <v>2525996</v>
          </cell>
        </row>
        <row r="349">
          <cell r="A349">
            <v>93511</v>
          </cell>
          <cell r="B349" t="str">
            <v xml:space="preserve"> FRANKLINTON</v>
          </cell>
          <cell r="C349">
            <v>8.8800000000000004E-5</v>
          </cell>
          <cell r="D349">
            <v>8.8300000000000005E-5</v>
          </cell>
          <cell r="E349">
            <v>210664</v>
          </cell>
          <cell r="F349" t="str">
            <v xml:space="preserve"> </v>
          </cell>
          <cell r="G349">
            <v>32500</v>
          </cell>
          <cell r="H349">
            <v>28917</v>
          </cell>
          <cell r="I349">
            <v>55902</v>
          </cell>
          <cell r="J349">
            <v>5601</v>
          </cell>
          <cell r="K349">
            <v>122920</v>
          </cell>
          <cell r="L349"/>
          <cell r="M349">
            <v>1091</v>
          </cell>
          <cell r="N349">
            <v>0</v>
          </cell>
          <cell r="O349">
            <v>8503</v>
          </cell>
          <cell r="P349">
            <v>9594</v>
          </cell>
          <cell r="Q349"/>
          <cell r="R349">
            <v>58517</v>
          </cell>
          <cell r="S349">
            <v>-1309</v>
          </cell>
          <cell r="T349">
            <v>57208</v>
          </cell>
        </row>
        <row r="350">
          <cell r="A350">
            <v>93517</v>
          </cell>
          <cell r="B350" t="str">
            <v>FRANKLINTON ABC BOARD</v>
          </cell>
          <cell r="C350">
            <v>5.0000000000000004E-6</v>
          </cell>
          <cell r="D350">
            <v>6.0000000000000002E-6</v>
          </cell>
          <cell r="E350">
            <v>11862</v>
          </cell>
          <cell r="F350" t="str">
            <v xml:space="preserve"> </v>
          </cell>
          <cell r="G350">
            <v>1830</v>
          </cell>
          <cell r="H350">
            <v>1628</v>
          </cell>
          <cell r="I350">
            <v>3148</v>
          </cell>
          <cell r="J350">
            <v>2812</v>
          </cell>
          <cell r="K350">
            <v>9418</v>
          </cell>
          <cell r="L350"/>
          <cell r="M350">
            <v>61</v>
          </cell>
          <cell r="N350">
            <v>0</v>
          </cell>
          <cell r="O350">
            <v>0</v>
          </cell>
          <cell r="P350">
            <v>61</v>
          </cell>
          <cell r="Q350"/>
          <cell r="R350">
            <v>3295</v>
          </cell>
          <cell r="S350">
            <v>1016</v>
          </cell>
          <cell r="T350">
            <v>4311</v>
          </cell>
        </row>
        <row r="351">
          <cell r="A351">
            <v>93521</v>
          </cell>
          <cell r="B351" t="str">
            <v xml:space="preserve"> LOUISBURG</v>
          </cell>
          <cell r="C351">
            <v>4.639E-4</v>
          </cell>
          <cell r="D351">
            <v>4.5649999999999998E-4</v>
          </cell>
          <cell r="E351">
            <v>1100529</v>
          </cell>
          <cell r="F351" t="str">
            <v xml:space="preserve"> </v>
          </cell>
          <cell r="G351">
            <v>169786</v>
          </cell>
          <cell r="H351">
            <v>151070</v>
          </cell>
          <cell r="I351">
            <v>292038</v>
          </cell>
          <cell r="J351">
            <v>6931</v>
          </cell>
          <cell r="K351">
            <v>619825</v>
          </cell>
          <cell r="L351"/>
          <cell r="M351">
            <v>5697</v>
          </cell>
          <cell r="N351">
            <v>0</v>
          </cell>
          <cell r="O351">
            <v>52279</v>
          </cell>
          <cell r="P351">
            <v>57976</v>
          </cell>
          <cell r="Q351"/>
          <cell r="R351">
            <v>305698</v>
          </cell>
          <cell r="S351">
            <v>-19233</v>
          </cell>
          <cell r="T351">
            <v>286465</v>
          </cell>
        </row>
        <row r="352">
          <cell r="A352">
            <v>93527</v>
          </cell>
          <cell r="B352" t="str">
            <v>LOUISBURG ABC BOARD</v>
          </cell>
          <cell r="C352">
            <v>1.2799999999999999E-5</v>
          </cell>
          <cell r="D352">
            <v>1.2099999999999999E-5</v>
          </cell>
          <cell r="E352">
            <v>30366</v>
          </cell>
          <cell r="F352" t="str">
            <v xml:space="preserve"> </v>
          </cell>
          <cell r="G352">
            <v>4685</v>
          </cell>
          <cell r="H352">
            <v>4168</v>
          </cell>
          <cell r="I352">
            <v>8058</v>
          </cell>
          <cell r="J352">
            <v>13477</v>
          </cell>
          <cell r="K352">
            <v>30388</v>
          </cell>
          <cell r="L352"/>
          <cell r="M352">
            <v>157</v>
          </cell>
          <cell r="N352">
            <v>0</v>
          </cell>
          <cell r="O352">
            <v>0</v>
          </cell>
          <cell r="P352">
            <v>157</v>
          </cell>
          <cell r="Q352"/>
          <cell r="R352">
            <v>8435</v>
          </cell>
          <cell r="S352">
            <v>6937</v>
          </cell>
          <cell r="T352">
            <v>15372</v>
          </cell>
        </row>
        <row r="353">
          <cell r="A353">
            <v>93531</v>
          </cell>
          <cell r="B353" t="str">
            <v>BUNN</v>
          </cell>
          <cell r="C353">
            <v>3.0700000000000001E-5</v>
          </cell>
          <cell r="D353">
            <v>1.7E-5</v>
          </cell>
          <cell r="E353">
            <v>72831</v>
          </cell>
          <cell r="F353" t="str">
            <v xml:space="preserve"> </v>
          </cell>
          <cell r="G353">
            <v>11236</v>
          </cell>
          <cell r="H353">
            <v>9997</v>
          </cell>
          <cell r="I353">
            <v>19327</v>
          </cell>
          <cell r="J353">
            <v>7722</v>
          </cell>
          <cell r="K353">
            <v>48282</v>
          </cell>
          <cell r="L353"/>
          <cell r="M353">
            <v>377</v>
          </cell>
          <cell r="N353">
            <v>0</v>
          </cell>
          <cell r="O353">
            <v>1264</v>
          </cell>
          <cell r="P353">
            <v>1641</v>
          </cell>
          <cell r="Q353"/>
          <cell r="R353">
            <v>20230</v>
          </cell>
          <cell r="S353">
            <v>601</v>
          </cell>
          <cell r="T353">
            <v>20831</v>
          </cell>
        </row>
        <row r="354">
          <cell r="A354">
            <v>93537</v>
          </cell>
          <cell r="B354" t="str">
            <v>ABC BOARD -  BUNN</v>
          </cell>
          <cell r="C354">
            <v>1.1E-5</v>
          </cell>
          <cell r="D354">
            <v>1.1199999999999999E-5</v>
          </cell>
          <cell r="E354">
            <v>26096</v>
          </cell>
          <cell r="F354" t="str">
            <v xml:space="preserve"> </v>
          </cell>
          <cell r="G354">
            <v>4026</v>
          </cell>
          <cell r="H354">
            <v>3582</v>
          </cell>
          <cell r="I354">
            <v>6925</v>
          </cell>
          <cell r="J354">
            <v>0</v>
          </cell>
          <cell r="K354">
            <v>14533</v>
          </cell>
          <cell r="L354"/>
          <cell r="M354">
            <v>135</v>
          </cell>
          <cell r="N354">
            <v>0</v>
          </cell>
          <cell r="O354">
            <v>2378</v>
          </cell>
          <cell r="P354">
            <v>2513</v>
          </cell>
          <cell r="Q354"/>
          <cell r="R354">
            <v>7249</v>
          </cell>
          <cell r="S354">
            <v>-840</v>
          </cell>
          <cell r="T354">
            <v>6409</v>
          </cell>
        </row>
        <row r="355">
          <cell r="A355">
            <v>93541</v>
          </cell>
          <cell r="B355" t="str">
            <v xml:space="preserve"> YOUNGSVILLE</v>
          </cell>
          <cell r="C355">
            <v>8.9800000000000001E-5</v>
          </cell>
          <cell r="D355">
            <v>1.0560000000000001E-4</v>
          </cell>
          <cell r="E355">
            <v>213036</v>
          </cell>
          <cell r="F355" t="str">
            <v xml:space="preserve"> </v>
          </cell>
          <cell r="G355">
            <v>32866</v>
          </cell>
          <cell r="H355">
            <v>29244</v>
          </cell>
          <cell r="I355">
            <v>56532</v>
          </cell>
          <cell r="J355">
            <v>226</v>
          </cell>
          <cell r="K355">
            <v>118868</v>
          </cell>
          <cell r="L355"/>
          <cell r="M355">
            <v>1103</v>
          </cell>
          <cell r="N355">
            <v>0</v>
          </cell>
          <cell r="O355">
            <v>5147</v>
          </cell>
          <cell r="P355">
            <v>6250</v>
          </cell>
          <cell r="Q355"/>
          <cell r="R355">
            <v>59176</v>
          </cell>
          <cell r="S355">
            <v>2777</v>
          </cell>
          <cell r="T355">
            <v>61953</v>
          </cell>
        </row>
        <row r="356">
          <cell r="A356">
            <v>93601</v>
          </cell>
          <cell r="B356" t="str">
            <v>GASTON COUNTY</v>
          </cell>
          <cell r="C356">
            <v>1.11494E-2</v>
          </cell>
          <cell r="D356">
            <v>1.0721400000000001E-2</v>
          </cell>
          <cell r="E356">
            <v>26450190</v>
          </cell>
          <cell r="F356" t="str">
            <v xml:space="preserve"> </v>
          </cell>
          <cell r="G356">
            <v>4080636</v>
          </cell>
          <cell r="H356">
            <v>3630824</v>
          </cell>
          <cell r="I356">
            <v>7018859</v>
          </cell>
          <cell r="J356">
            <v>430627</v>
          </cell>
          <cell r="K356">
            <v>15160946</v>
          </cell>
          <cell r="L356"/>
          <cell r="M356">
            <v>136926</v>
          </cell>
          <cell r="N356">
            <v>0</v>
          </cell>
          <cell r="O356">
            <v>172766</v>
          </cell>
          <cell r="P356">
            <v>309692</v>
          </cell>
          <cell r="Q356"/>
          <cell r="R356">
            <v>7347154</v>
          </cell>
          <cell r="S356">
            <v>9789</v>
          </cell>
          <cell r="T356">
            <v>7356943</v>
          </cell>
        </row>
        <row r="357">
          <cell r="A357">
            <v>93602</v>
          </cell>
          <cell r="B357" t="str">
            <v>STANLEY</v>
          </cell>
          <cell r="C357">
            <v>1.8340000000000001E-4</v>
          </cell>
          <cell r="D357">
            <v>1.7540000000000001E-4</v>
          </cell>
          <cell r="E357">
            <v>435088</v>
          </cell>
          <cell r="F357" t="str">
            <v xml:space="preserve"> </v>
          </cell>
          <cell r="G357">
            <v>67124</v>
          </cell>
          <cell r="H357">
            <v>59724</v>
          </cell>
          <cell r="I357">
            <v>115455</v>
          </cell>
          <cell r="J357">
            <v>10138</v>
          </cell>
          <cell r="K357">
            <v>252441</v>
          </cell>
          <cell r="L357"/>
          <cell r="M357">
            <v>2252</v>
          </cell>
          <cell r="N357">
            <v>0</v>
          </cell>
          <cell r="O357">
            <v>6076</v>
          </cell>
          <cell r="P357">
            <v>8328</v>
          </cell>
          <cell r="Q357"/>
          <cell r="R357">
            <v>120856</v>
          </cell>
          <cell r="S357">
            <v>-1090</v>
          </cell>
          <cell r="T357">
            <v>119766</v>
          </cell>
        </row>
        <row r="358">
          <cell r="A358">
            <v>93604</v>
          </cell>
          <cell r="B358" t="str">
            <v>CRAMERTON ABC BOARD</v>
          </cell>
          <cell r="C358">
            <v>2.0100000000000001E-5</v>
          </cell>
          <cell r="D358">
            <v>0</v>
          </cell>
          <cell r="E358">
            <v>47684</v>
          </cell>
          <cell r="F358" t="str">
            <v xml:space="preserve"> </v>
          </cell>
          <cell r="G358">
            <v>7357</v>
          </cell>
          <cell r="H358">
            <v>6545</v>
          </cell>
          <cell r="I358">
            <v>12654</v>
          </cell>
          <cell r="J358">
            <v>19602</v>
          </cell>
          <cell r="K358">
            <v>46158</v>
          </cell>
          <cell r="L358"/>
          <cell r="M358">
            <v>247</v>
          </cell>
          <cell r="N358">
            <v>0</v>
          </cell>
          <cell r="O358">
            <v>0</v>
          </cell>
          <cell r="P358">
            <v>247</v>
          </cell>
          <cell r="Q358"/>
          <cell r="R358">
            <v>13245</v>
          </cell>
          <cell r="S358">
            <v>4900</v>
          </cell>
          <cell r="T358">
            <v>18145</v>
          </cell>
        </row>
        <row r="359">
          <cell r="A359">
            <v>93609</v>
          </cell>
          <cell r="B359" t="str">
            <v>PARTNERS BEHAVIORAL HEALTH MANAGEMENT</v>
          </cell>
          <cell r="C359">
            <v>3.9097000000000003E-3</v>
          </cell>
          <cell r="D359">
            <v>3.7629999999999999E-3</v>
          </cell>
          <cell r="E359">
            <v>9275146</v>
          </cell>
          <cell r="F359" t="str">
            <v xml:space="preserve"> </v>
          </cell>
          <cell r="G359">
            <v>1430935</v>
          </cell>
          <cell r="H359">
            <v>1273202</v>
          </cell>
          <cell r="I359">
            <v>2461266</v>
          </cell>
          <cell r="J359">
            <v>502120</v>
          </cell>
          <cell r="K359">
            <v>5667523</v>
          </cell>
          <cell r="L359"/>
          <cell r="M359">
            <v>48015</v>
          </cell>
          <cell r="N359">
            <v>0</v>
          </cell>
          <cell r="O359">
            <v>0</v>
          </cell>
          <cell r="P359">
            <v>48015</v>
          </cell>
          <cell r="Q359"/>
          <cell r="R359">
            <v>2576387</v>
          </cell>
          <cell r="S359">
            <v>367709</v>
          </cell>
          <cell r="T359">
            <v>2944096</v>
          </cell>
        </row>
        <row r="360">
          <cell r="A360">
            <v>93610</v>
          </cell>
          <cell r="B360" t="str">
            <v>MCADENVILLE</v>
          </cell>
          <cell r="C360">
            <v>1.5500000000000001E-5</v>
          </cell>
          <cell r="D360">
            <v>1.33E-5</v>
          </cell>
          <cell r="E360">
            <v>36771</v>
          </cell>
          <cell r="F360" t="str">
            <v xml:space="preserve"> </v>
          </cell>
          <cell r="G360">
            <v>5673</v>
          </cell>
          <cell r="H360">
            <v>5047</v>
          </cell>
          <cell r="I360">
            <v>9758</v>
          </cell>
          <cell r="J360">
            <v>4558</v>
          </cell>
          <cell r="K360">
            <v>25036</v>
          </cell>
          <cell r="L360"/>
          <cell r="M360">
            <v>190</v>
          </cell>
          <cell r="N360">
            <v>0</v>
          </cell>
          <cell r="O360">
            <v>2193</v>
          </cell>
          <cell r="P360">
            <v>2383</v>
          </cell>
          <cell r="Q360"/>
          <cell r="R360">
            <v>10214</v>
          </cell>
          <cell r="S360">
            <v>1404</v>
          </cell>
          <cell r="T360">
            <v>11618</v>
          </cell>
        </row>
        <row r="361">
          <cell r="A361">
            <v>93611</v>
          </cell>
          <cell r="B361" t="str">
            <v>CITY OF GASTONIA</v>
          </cell>
          <cell r="C361">
            <v>6.9170000000000004E-3</v>
          </cell>
          <cell r="D361">
            <v>6.9544000000000003E-3</v>
          </cell>
          <cell r="E361">
            <v>16409490</v>
          </cell>
          <cell r="F361" t="str">
            <v xml:space="preserve"> </v>
          </cell>
          <cell r="G361">
            <v>2531594</v>
          </cell>
          <cell r="H361">
            <v>2252535</v>
          </cell>
          <cell r="I361">
            <v>4354445</v>
          </cell>
          <cell r="J361">
            <v>45861</v>
          </cell>
          <cell r="K361">
            <v>9184435</v>
          </cell>
          <cell r="L361"/>
          <cell r="M361">
            <v>84948</v>
          </cell>
          <cell r="N361">
            <v>0</v>
          </cell>
          <cell r="O361">
            <v>74749</v>
          </cell>
          <cell r="P361">
            <v>159697</v>
          </cell>
          <cell r="Q361"/>
          <cell r="R361">
            <v>4558116</v>
          </cell>
          <cell r="S361">
            <v>-105909</v>
          </cell>
          <cell r="T361">
            <v>4452207</v>
          </cell>
        </row>
        <row r="362">
          <cell r="A362">
            <v>93617</v>
          </cell>
          <cell r="B362" t="str">
            <v>GASTONIA ABC BOARD</v>
          </cell>
          <cell r="C362">
            <v>8.7499999999999999E-5</v>
          </cell>
          <cell r="D362">
            <v>8.2799999999999993E-5</v>
          </cell>
          <cell r="E362">
            <v>207580</v>
          </cell>
          <cell r="F362" t="str">
            <v xml:space="preserve"> </v>
          </cell>
          <cell r="G362">
            <v>32025</v>
          </cell>
          <cell r="H362">
            <v>28494</v>
          </cell>
          <cell r="I362">
            <v>55084</v>
          </cell>
          <cell r="J362">
            <v>21712</v>
          </cell>
          <cell r="K362">
            <v>137315</v>
          </cell>
          <cell r="L362"/>
          <cell r="M362">
            <v>1075</v>
          </cell>
          <cell r="N362">
            <v>0</v>
          </cell>
          <cell r="O362">
            <v>0</v>
          </cell>
          <cell r="P362">
            <v>1075</v>
          </cell>
          <cell r="Q362"/>
          <cell r="R362">
            <v>57660</v>
          </cell>
          <cell r="S362">
            <v>13203</v>
          </cell>
          <cell r="T362">
            <v>70863</v>
          </cell>
        </row>
        <row r="363">
          <cell r="A363">
            <v>93618</v>
          </cell>
          <cell r="B363" t="str">
            <v>GASTON COUNTY ECONOMIC DEV. COMMISSION</v>
          </cell>
          <cell r="C363">
            <v>1.03E-5</v>
          </cell>
          <cell r="D363">
            <v>1.11E-5</v>
          </cell>
          <cell r="E363">
            <v>24435</v>
          </cell>
          <cell r="F363" t="str">
            <v xml:space="preserve"> </v>
          </cell>
          <cell r="G363">
            <v>3770</v>
          </cell>
          <cell r="H363">
            <v>3354</v>
          </cell>
          <cell r="I363">
            <v>6484</v>
          </cell>
          <cell r="J363">
            <v>36884</v>
          </cell>
          <cell r="K363">
            <v>50492</v>
          </cell>
          <cell r="L363"/>
          <cell r="M363">
            <v>126</v>
          </cell>
          <cell r="N363">
            <v>0</v>
          </cell>
          <cell r="O363">
            <v>0</v>
          </cell>
          <cell r="P363">
            <v>126</v>
          </cell>
          <cell r="Q363"/>
          <cell r="R363">
            <v>6787</v>
          </cell>
          <cell r="S363">
            <v>16035</v>
          </cell>
          <cell r="T363">
            <v>22822</v>
          </cell>
        </row>
        <row r="364">
          <cell r="A364">
            <v>93621</v>
          </cell>
          <cell r="B364" t="str">
            <v>CITY OF BELMONT</v>
          </cell>
          <cell r="C364">
            <v>1.0273000000000001E-3</v>
          </cell>
          <cell r="D364">
            <v>9.5719999999999996E-4</v>
          </cell>
          <cell r="E364">
            <v>2437107</v>
          </cell>
          <cell r="F364" t="str">
            <v xml:space="preserve"> </v>
          </cell>
          <cell r="G364">
            <v>375988</v>
          </cell>
          <cell r="H364">
            <v>334542</v>
          </cell>
          <cell r="I364">
            <v>646714</v>
          </cell>
          <cell r="J364">
            <v>51082</v>
          </cell>
          <cell r="K364">
            <v>1408326</v>
          </cell>
          <cell r="L364"/>
          <cell r="M364">
            <v>12616</v>
          </cell>
          <cell r="N364">
            <v>0</v>
          </cell>
          <cell r="O364">
            <v>41250</v>
          </cell>
          <cell r="P364">
            <v>53866</v>
          </cell>
          <cell r="Q364"/>
          <cell r="R364">
            <v>676963</v>
          </cell>
          <cell r="S364">
            <v>-22728</v>
          </cell>
          <cell r="T364">
            <v>654235</v>
          </cell>
        </row>
        <row r="365">
          <cell r="A365">
            <v>93623</v>
          </cell>
          <cell r="B365" t="str">
            <v>BELMONT HOUSING AUTHORITY</v>
          </cell>
          <cell r="C365">
            <v>1.2E-5</v>
          </cell>
          <cell r="D365">
            <v>1.2799999999999999E-5</v>
          </cell>
          <cell r="E365">
            <v>28468</v>
          </cell>
          <cell r="F365" t="str">
            <v xml:space="preserve"> </v>
          </cell>
          <cell r="G365">
            <v>4392</v>
          </cell>
          <cell r="H365">
            <v>3908</v>
          </cell>
          <cell r="I365">
            <v>7554</v>
          </cell>
          <cell r="J365">
            <v>5015</v>
          </cell>
          <cell r="K365">
            <v>20869</v>
          </cell>
          <cell r="L365"/>
          <cell r="M365">
            <v>147</v>
          </cell>
          <cell r="N365">
            <v>0</v>
          </cell>
          <cell r="O365">
            <v>0</v>
          </cell>
          <cell r="P365">
            <v>147</v>
          </cell>
          <cell r="Q365"/>
          <cell r="R365">
            <v>7908</v>
          </cell>
          <cell r="S365">
            <v>2264</v>
          </cell>
          <cell r="T365">
            <v>10172</v>
          </cell>
        </row>
        <row r="366">
          <cell r="A366">
            <v>93631</v>
          </cell>
          <cell r="B366" t="str">
            <v xml:space="preserve"> CRAMERTON</v>
          </cell>
          <cell r="C366">
            <v>2.232E-4</v>
          </cell>
          <cell r="D366">
            <v>2.252E-4</v>
          </cell>
          <cell r="E366">
            <v>529507</v>
          </cell>
          <cell r="F366" t="str">
            <v xml:space="preserve"> </v>
          </cell>
          <cell r="G366">
            <v>81690</v>
          </cell>
          <cell r="H366">
            <v>72685</v>
          </cell>
          <cell r="I366">
            <v>140511</v>
          </cell>
          <cell r="J366">
            <v>0</v>
          </cell>
          <cell r="K366">
            <v>294886</v>
          </cell>
          <cell r="L366"/>
          <cell r="M366">
            <v>2741</v>
          </cell>
          <cell r="N366">
            <v>0</v>
          </cell>
          <cell r="O366">
            <v>17227</v>
          </cell>
          <cell r="P366">
            <v>19968</v>
          </cell>
          <cell r="Q366"/>
          <cell r="R366">
            <v>147083</v>
          </cell>
          <cell r="S366">
            <v>-8056</v>
          </cell>
          <cell r="T366">
            <v>139027</v>
          </cell>
        </row>
        <row r="367">
          <cell r="A367">
            <v>93641</v>
          </cell>
          <cell r="B367" t="str">
            <v>CITY OF CHERRYVILLE</v>
          </cell>
          <cell r="C367">
            <v>3.724E-4</v>
          </cell>
          <cell r="D367">
            <v>4.0450000000000002E-4</v>
          </cell>
          <cell r="E367">
            <v>883460</v>
          </cell>
          <cell r="F367" t="str">
            <v xml:space="preserve"> </v>
          </cell>
          <cell r="G367">
            <v>136297</v>
          </cell>
          <cell r="H367">
            <v>121273</v>
          </cell>
          <cell r="I367">
            <v>234436</v>
          </cell>
          <cell r="J367">
            <v>6510</v>
          </cell>
          <cell r="K367">
            <v>498516</v>
          </cell>
          <cell r="L367"/>
          <cell r="M367">
            <v>4573</v>
          </cell>
          <cell r="N367">
            <v>0</v>
          </cell>
          <cell r="O367">
            <v>10470</v>
          </cell>
          <cell r="P367">
            <v>15043</v>
          </cell>
          <cell r="Q367"/>
          <cell r="R367">
            <v>245402</v>
          </cell>
          <cell r="S367">
            <v>4214</v>
          </cell>
          <cell r="T367">
            <v>249616</v>
          </cell>
        </row>
        <row r="368">
          <cell r="A368">
            <v>93647</v>
          </cell>
          <cell r="B368" t="str">
            <v>CHERRYVILLE ABC BOARD</v>
          </cell>
          <cell r="C368">
            <v>6.1E-6</v>
          </cell>
          <cell r="D368">
            <v>6.0000000000000002E-6</v>
          </cell>
          <cell r="E368">
            <v>14471</v>
          </cell>
          <cell r="F368" t="str">
            <v xml:space="preserve"> </v>
          </cell>
          <cell r="G368">
            <v>2233</v>
          </cell>
          <cell r="H368">
            <v>1987</v>
          </cell>
          <cell r="I368">
            <v>3840</v>
          </cell>
          <cell r="J368">
            <v>12946</v>
          </cell>
          <cell r="K368">
            <v>21006</v>
          </cell>
          <cell r="L368"/>
          <cell r="M368">
            <v>75</v>
          </cell>
          <cell r="N368">
            <v>0</v>
          </cell>
          <cell r="O368">
            <v>0</v>
          </cell>
          <cell r="P368">
            <v>75</v>
          </cell>
          <cell r="Q368"/>
          <cell r="R368">
            <v>4020</v>
          </cell>
          <cell r="S368">
            <v>6024</v>
          </cell>
          <cell r="T368">
            <v>10044</v>
          </cell>
        </row>
        <row r="369">
          <cell r="A369">
            <v>93651</v>
          </cell>
          <cell r="B369" t="str">
            <v xml:space="preserve"> DALLAS</v>
          </cell>
          <cell r="C369">
            <v>4.507E-4</v>
          </cell>
          <cell r="D369">
            <v>4.3800000000000002E-4</v>
          </cell>
          <cell r="E369">
            <v>1069215</v>
          </cell>
          <cell r="F369" t="str">
            <v xml:space="preserve"> </v>
          </cell>
          <cell r="G369">
            <v>164954</v>
          </cell>
          <cell r="H369">
            <v>146771</v>
          </cell>
          <cell r="I369">
            <v>283728</v>
          </cell>
          <cell r="J369">
            <v>2626</v>
          </cell>
          <cell r="K369">
            <v>598079</v>
          </cell>
          <cell r="L369"/>
          <cell r="M369">
            <v>5535</v>
          </cell>
          <cell r="N369">
            <v>0</v>
          </cell>
          <cell r="O369">
            <v>13366</v>
          </cell>
          <cell r="P369">
            <v>18901</v>
          </cell>
          <cell r="Q369"/>
          <cell r="R369">
            <v>296999</v>
          </cell>
          <cell r="S369">
            <v>-2560</v>
          </cell>
          <cell r="T369">
            <v>294439</v>
          </cell>
        </row>
        <row r="370">
          <cell r="A370">
            <v>93661</v>
          </cell>
          <cell r="B370" t="str">
            <v>CITY OF LOWELL</v>
          </cell>
          <cell r="C370">
            <v>1.4449999999999999E-4</v>
          </cell>
          <cell r="D370">
            <v>1.3410000000000001E-4</v>
          </cell>
          <cell r="E370">
            <v>342803</v>
          </cell>
          <cell r="F370" t="str">
            <v xml:space="preserve"> </v>
          </cell>
          <cell r="G370">
            <v>52886</v>
          </cell>
          <cell r="H370">
            <v>47056</v>
          </cell>
          <cell r="I370">
            <v>90967</v>
          </cell>
          <cell r="J370">
            <v>11364</v>
          </cell>
          <cell r="K370">
            <v>202273</v>
          </cell>
          <cell r="L370"/>
          <cell r="M370">
            <v>1775</v>
          </cell>
          <cell r="N370">
            <v>0</v>
          </cell>
          <cell r="O370">
            <v>0</v>
          </cell>
          <cell r="P370">
            <v>1775</v>
          </cell>
          <cell r="Q370"/>
          <cell r="R370">
            <v>95222</v>
          </cell>
          <cell r="S370">
            <v>5935</v>
          </cell>
          <cell r="T370">
            <v>101157</v>
          </cell>
        </row>
        <row r="371">
          <cell r="A371">
            <v>93671</v>
          </cell>
          <cell r="B371" t="str">
            <v>BESSEMER CITY</v>
          </cell>
          <cell r="C371">
            <v>3.3950000000000001E-4</v>
          </cell>
          <cell r="D371">
            <v>3.5530000000000002E-4</v>
          </cell>
          <cell r="E371">
            <v>805410</v>
          </cell>
          <cell r="F371" t="str">
            <v xml:space="preserve"> </v>
          </cell>
          <cell r="G371">
            <v>124256</v>
          </cell>
          <cell r="H371">
            <v>110559</v>
          </cell>
          <cell r="I371">
            <v>213725</v>
          </cell>
          <cell r="J371">
            <v>15579</v>
          </cell>
          <cell r="K371">
            <v>464119</v>
          </cell>
          <cell r="L371"/>
          <cell r="M371">
            <v>4169</v>
          </cell>
          <cell r="N371">
            <v>0</v>
          </cell>
          <cell r="O371">
            <v>2038</v>
          </cell>
          <cell r="P371">
            <v>6207</v>
          </cell>
          <cell r="Q371"/>
          <cell r="R371">
            <v>223721</v>
          </cell>
          <cell r="S371">
            <v>29805</v>
          </cell>
          <cell r="T371">
            <v>253526</v>
          </cell>
        </row>
        <row r="372">
          <cell r="A372">
            <v>93677</v>
          </cell>
          <cell r="B372" t="str">
            <v>BESSEMER CITY A.B.C. BOARD</v>
          </cell>
          <cell r="C372">
            <v>0</v>
          </cell>
          <cell r="D372">
            <v>0</v>
          </cell>
          <cell r="E372">
            <v>0</v>
          </cell>
          <cell r="F372" t="str">
            <v xml:space="preserve"> </v>
          </cell>
          <cell r="G372">
            <v>0</v>
          </cell>
          <cell r="H372">
            <v>0</v>
          </cell>
          <cell r="I372">
            <v>0</v>
          </cell>
          <cell r="J372">
            <v>0</v>
          </cell>
          <cell r="K372">
            <v>0</v>
          </cell>
          <cell r="L372"/>
          <cell r="M372">
            <v>0</v>
          </cell>
          <cell r="N372">
            <v>0</v>
          </cell>
          <cell r="O372">
            <v>0</v>
          </cell>
          <cell r="P372">
            <v>0</v>
          </cell>
          <cell r="Q372"/>
          <cell r="R372">
            <v>0</v>
          </cell>
          <cell r="S372">
            <v>-718</v>
          </cell>
          <cell r="T372">
            <v>-718</v>
          </cell>
        </row>
        <row r="373">
          <cell r="A373">
            <v>93681</v>
          </cell>
          <cell r="B373" t="str">
            <v xml:space="preserve"> RANLO</v>
          </cell>
          <cell r="C373">
            <v>1.211E-4</v>
          </cell>
          <cell r="D373">
            <v>1.1179999999999999E-4</v>
          </cell>
          <cell r="E373">
            <v>287291</v>
          </cell>
          <cell r="F373" t="str">
            <v xml:space="preserve"> </v>
          </cell>
          <cell r="G373">
            <v>44322</v>
          </cell>
          <cell r="H373">
            <v>39436</v>
          </cell>
          <cell r="I373">
            <v>76236</v>
          </cell>
          <cell r="J373">
            <v>6600</v>
          </cell>
          <cell r="K373">
            <v>166594</v>
          </cell>
          <cell r="L373"/>
          <cell r="M373">
            <v>1487</v>
          </cell>
          <cell r="N373">
            <v>0</v>
          </cell>
          <cell r="O373">
            <v>6023</v>
          </cell>
          <cell r="P373">
            <v>7510</v>
          </cell>
          <cell r="Q373"/>
          <cell r="R373">
            <v>79802</v>
          </cell>
          <cell r="S373">
            <v>-4842</v>
          </cell>
          <cell r="T373">
            <v>74960</v>
          </cell>
        </row>
        <row r="374">
          <cell r="A374">
            <v>93691</v>
          </cell>
          <cell r="B374" t="str">
            <v>CITY OF MOUNT HOLLY</v>
          </cell>
          <cell r="C374">
            <v>1.0357999999999999E-3</v>
          </cell>
          <cell r="D374">
            <v>1.0858E-3</v>
          </cell>
          <cell r="E374">
            <v>2457272</v>
          </cell>
          <cell r="F374" t="str">
            <v xml:space="preserve"> </v>
          </cell>
          <cell r="G374">
            <v>379099</v>
          </cell>
          <cell r="H374">
            <v>337310</v>
          </cell>
          <cell r="I374">
            <v>652065</v>
          </cell>
          <cell r="J374">
            <v>0</v>
          </cell>
          <cell r="K374">
            <v>1368474</v>
          </cell>
          <cell r="L374"/>
          <cell r="M374">
            <v>12721</v>
          </cell>
          <cell r="N374">
            <v>0</v>
          </cell>
          <cell r="O374">
            <v>115243</v>
          </cell>
          <cell r="P374">
            <v>127964</v>
          </cell>
          <cell r="Q374"/>
          <cell r="R374">
            <v>682564</v>
          </cell>
          <cell r="S374">
            <v>-52906</v>
          </cell>
          <cell r="T374">
            <v>629658</v>
          </cell>
        </row>
        <row r="375">
          <cell r="A375">
            <v>93701</v>
          </cell>
          <cell r="B375" t="str">
            <v>GATES COUNTY</v>
          </cell>
          <cell r="C375">
            <v>4.6779999999999999E-4</v>
          </cell>
          <cell r="D375">
            <v>4.5800000000000002E-4</v>
          </cell>
          <cell r="E375">
            <v>1109782</v>
          </cell>
          <cell r="F375" t="str">
            <v xml:space="preserve"> </v>
          </cell>
          <cell r="G375">
            <v>171213</v>
          </cell>
          <cell r="H375">
            <v>152340</v>
          </cell>
          <cell r="I375">
            <v>294493</v>
          </cell>
          <cell r="J375">
            <v>2163</v>
          </cell>
          <cell r="K375">
            <v>620209</v>
          </cell>
          <cell r="L375"/>
          <cell r="M375">
            <v>5745</v>
          </cell>
          <cell r="N375">
            <v>0</v>
          </cell>
          <cell r="O375">
            <v>13331</v>
          </cell>
          <cell r="P375">
            <v>19076</v>
          </cell>
          <cell r="Q375"/>
          <cell r="R375">
            <v>308268</v>
          </cell>
          <cell r="S375">
            <v>304</v>
          </cell>
          <cell r="T375">
            <v>308572</v>
          </cell>
        </row>
        <row r="376">
          <cell r="A376">
            <v>93704</v>
          </cell>
          <cell r="B376" t="str">
            <v>GATES COUNTY ABC BOARD</v>
          </cell>
          <cell r="C376">
            <v>2.7E-6</v>
          </cell>
          <cell r="D376">
            <v>3.0000000000000001E-6</v>
          </cell>
          <cell r="E376">
            <v>6405</v>
          </cell>
          <cell r="F376" t="str">
            <v xml:space="preserve"> </v>
          </cell>
          <cell r="G376">
            <v>988</v>
          </cell>
          <cell r="H376">
            <v>879</v>
          </cell>
          <cell r="I376">
            <v>1700</v>
          </cell>
          <cell r="J376">
            <v>747</v>
          </cell>
          <cell r="K376">
            <v>4314</v>
          </cell>
          <cell r="L376"/>
          <cell r="M376">
            <v>33</v>
          </cell>
          <cell r="N376">
            <v>0</v>
          </cell>
          <cell r="O376">
            <v>0</v>
          </cell>
          <cell r="P376">
            <v>33</v>
          </cell>
          <cell r="Q376"/>
          <cell r="R376">
            <v>1779</v>
          </cell>
          <cell r="S376">
            <v>224</v>
          </cell>
          <cell r="T376">
            <v>2003</v>
          </cell>
        </row>
        <row r="377">
          <cell r="A377">
            <v>93801</v>
          </cell>
          <cell r="B377" t="str">
            <v>GRAHAM COUNTY</v>
          </cell>
          <cell r="C377">
            <v>4.3570000000000002E-4</v>
          </cell>
          <cell r="D377">
            <v>4.7889999999999999E-4</v>
          </cell>
          <cell r="E377">
            <v>1033629</v>
          </cell>
          <cell r="F377" t="str">
            <v xml:space="preserve"> </v>
          </cell>
          <cell r="G377">
            <v>159464</v>
          </cell>
          <cell r="H377">
            <v>141886</v>
          </cell>
          <cell r="I377">
            <v>274285</v>
          </cell>
          <cell r="J377">
            <v>70779</v>
          </cell>
          <cell r="K377">
            <v>646414</v>
          </cell>
          <cell r="L377"/>
          <cell r="M377">
            <v>5351</v>
          </cell>
          <cell r="N377">
            <v>0</v>
          </cell>
          <cell r="O377">
            <v>76863</v>
          </cell>
          <cell r="P377">
            <v>82214</v>
          </cell>
          <cell r="Q377"/>
          <cell r="R377">
            <v>287115</v>
          </cell>
          <cell r="S377">
            <v>18841</v>
          </cell>
          <cell r="T377">
            <v>305956</v>
          </cell>
        </row>
        <row r="378">
          <cell r="A378">
            <v>93803</v>
          </cell>
          <cell r="B378" t="str">
            <v>GRAHAM CO HEALTH DEPT</v>
          </cell>
          <cell r="C378">
            <v>1.122E-4</v>
          </cell>
          <cell r="D378">
            <v>1.1900000000000001E-4</v>
          </cell>
          <cell r="E378">
            <v>266177</v>
          </cell>
          <cell r="F378" t="str">
            <v xml:space="preserve"> </v>
          </cell>
          <cell r="G378">
            <v>41065</v>
          </cell>
          <cell r="H378">
            <v>36538</v>
          </cell>
          <cell r="I378">
            <v>70633</v>
          </cell>
          <cell r="J378">
            <v>0</v>
          </cell>
          <cell r="K378">
            <v>148236</v>
          </cell>
          <cell r="L378"/>
          <cell r="M378">
            <v>1378</v>
          </cell>
          <cell r="N378">
            <v>0</v>
          </cell>
          <cell r="O378">
            <v>35149</v>
          </cell>
          <cell r="P378">
            <v>36527</v>
          </cell>
          <cell r="Q378"/>
          <cell r="R378">
            <v>73937</v>
          </cell>
          <cell r="S378">
            <v>-19959</v>
          </cell>
          <cell r="T378">
            <v>53978</v>
          </cell>
        </row>
        <row r="379">
          <cell r="A379">
            <v>93806</v>
          </cell>
          <cell r="B379" t="str">
            <v>GRAHAM COUNTY DEPT OF S S</v>
          </cell>
          <cell r="C379">
            <v>7.6100000000000007E-5</v>
          </cell>
          <cell r="D379">
            <v>9.3900000000000006E-5</v>
          </cell>
          <cell r="E379">
            <v>180535</v>
          </cell>
          <cell r="F379" t="str">
            <v xml:space="preserve"> </v>
          </cell>
          <cell r="G379">
            <v>27852</v>
          </cell>
          <cell r="H379">
            <v>24782</v>
          </cell>
          <cell r="I379">
            <v>47907</v>
          </cell>
          <cell r="J379">
            <v>9616</v>
          </cell>
          <cell r="K379">
            <v>110157</v>
          </cell>
          <cell r="L379"/>
          <cell r="M379">
            <v>935</v>
          </cell>
          <cell r="N379">
            <v>0</v>
          </cell>
          <cell r="O379">
            <v>8835</v>
          </cell>
          <cell r="P379">
            <v>9770</v>
          </cell>
          <cell r="Q379"/>
          <cell r="R379">
            <v>50148</v>
          </cell>
          <cell r="S379">
            <v>-8146</v>
          </cell>
          <cell r="T379">
            <v>42002</v>
          </cell>
        </row>
        <row r="380">
          <cell r="A380">
            <v>93821</v>
          </cell>
          <cell r="B380" t="str">
            <v xml:space="preserve"> ROBBINSVILLE</v>
          </cell>
          <cell r="C380">
            <v>5.6799999999999998E-5</v>
          </cell>
          <cell r="D380">
            <v>2.9899999999999998E-5</v>
          </cell>
          <cell r="E380">
            <v>134749</v>
          </cell>
          <cell r="F380" t="str">
            <v xml:space="preserve"> </v>
          </cell>
          <cell r="G380">
            <v>20789</v>
          </cell>
          <cell r="H380">
            <v>18497</v>
          </cell>
          <cell r="I380">
            <v>35757</v>
          </cell>
          <cell r="J380">
            <v>51463</v>
          </cell>
          <cell r="K380">
            <v>126506</v>
          </cell>
          <cell r="L380"/>
          <cell r="M380">
            <v>698</v>
          </cell>
          <cell r="N380">
            <v>0</v>
          </cell>
          <cell r="O380">
            <v>258</v>
          </cell>
          <cell r="P380">
            <v>956</v>
          </cell>
          <cell r="Q380"/>
          <cell r="R380">
            <v>37430</v>
          </cell>
          <cell r="S380">
            <v>17809</v>
          </cell>
          <cell r="T380">
            <v>55239</v>
          </cell>
        </row>
        <row r="381">
          <cell r="A381">
            <v>93901</v>
          </cell>
          <cell r="B381" t="str">
            <v>GRANVILLE COUNTY</v>
          </cell>
          <cell r="C381">
            <v>1.7718E-3</v>
          </cell>
          <cell r="D381">
            <v>1.7974E-3</v>
          </cell>
          <cell r="E381">
            <v>4203316</v>
          </cell>
          <cell r="F381" t="str">
            <v xml:space="preserve"> </v>
          </cell>
          <cell r="G381">
            <v>648472</v>
          </cell>
          <cell r="H381">
            <v>576990</v>
          </cell>
          <cell r="I381">
            <v>1115398</v>
          </cell>
          <cell r="J381">
            <v>112021</v>
          </cell>
          <cell r="K381">
            <v>2452881</v>
          </cell>
          <cell r="L381"/>
          <cell r="M381">
            <v>21759</v>
          </cell>
          <cell r="N381">
            <v>0</v>
          </cell>
          <cell r="O381">
            <v>0</v>
          </cell>
          <cell r="P381">
            <v>21759</v>
          </cell>
          <cell r="Q381"/>
          <cell r="R381">
            <v>1167568</v>
          </cell>
          <cell r="S381">
            <v>46506</v>
          </cell>
          <cell r="T381">
            <v>1214074</v>
          </cell>
        </row>
        <row r="382">
          <cell r="A382">
            <v>93904</v>
          </cell>
          <cell r="B382" t="str">
            <v>GRANVILLE CO ABC BD</v>
          </cell>
          <cell r="C382">
            <v>3.3099999999999998E-5</v>
          </cell>
          <cell r="D382">
            <v>3.0000000000000001E-5</v>
          </cell>
          <cell r="E382">
            <v>78525</v>
          </cell>
          <cell r="F382" t="str">
            <v xml:space="preserve"> </v>
          </cell>
          <cell r="G382">
            <v>12114</v>
          </cell>
          <cell r="H382">
            <v>10779</v>
          </cell>
          <cell r="I382">
            <v>20837</v>
          </cell>
          <cell r="J382">
            <v>12315</v>
          </cell>
          <cell r="K382">
            <v>56045</v>
          </cell>
          <cell r="L382"/>
          <cell r="M382">
            <v>407</v>
          </cell>
          <cell r="N382">
            <v>0</v>
          </cell>
          <cell r="O382">
            <v>0</v>
          </cell>
          <cell r="P382">
            <v>407</v>
          </cell>
          <cell r="Q382"/>
          <cell r="R382">
            <v>21812</v>
          </cell>
          <cell r="S382">
            <v>4588</v>
          </cell>
          <cell r="T382">
            <v>26400</v>
          </cell>
        </row>
        <row r="383">
          <cell r="A383">
            <v>93906</v>
          </cell>
          <cell r="B383" t="str">
            <v>GRANVILLE COUNTY HOSPITAL</v>
          </cell>
          <cell r="C383">
            <v>3.1683000000000002E-3</v>
          </cell>
          <cell r="D383">
            <v>3.3882000000000001E-3</v>
          </cell>
          <cell r="E383">
            <v>7516291</v>
          </cell>
          <cell r="F383" t="str">
            <v xml:space="preserve"> </v>
          </cell>
          <cell r="G383">
            <v>1159585</v>
          </cell>
          <cell r="H383">
            <v>1031763</v>
          </cell>
          <cell r="I383">
            <v>1994534</v>
          </cell>
          <cell r="J383">
            <v>0</v>
          </cell>
          <cell r="K383">
            <v>4185882</v>
          </cell>
          <cell r="L383"/>
          <cell r="M383">
            <v>38910</v>
          </cell>
          <cell r="N383">
            <v>0</v>
          </cell>
          <cell r="O383">
            <v>309182</v>
          </cell>
          <cell r="P383">
            <v>348092</v>
          </cell>
          <cell r="Q383"/>
          <cell r="R383">
            <v>2087824</v>
          </cell>
          <cell r="S383">
            <v>-113805</v>
          </cell>
          <cell r="T383">
            <v>1974019</v>
          </cell>
        </row>
        <row r="384">
          <cell r="A384">
            <v>93908</v>
          </cell>
          <cell r="B384" t="str">
            <v>GRANVILLE-VANCE PUBLIC HEALTH</v>
          </cell>
          <cell r="C384">
            <v>4.6920000000000002E-4</v>
          </cell>
          <cell r="D384">
            <v>5.1219999999999998E-4</v>
          </cell>
          <cell r="E384">
            <v>1113103</v>
          </cell>
          <cell r="F384" t="str">
            <v xml:space="preserve"> </v>
          </cell>
          <cell r="G384">
            <v>171725</v>
          </cell>
          <cell r="H384">
            <v>152796</v>
          </cell>
          <cell r="I384">
            <v>295375</v>
          </cell>
          <cell r="J384">
            <v>6110</v>
          </cell>
          <cell r="K384">
            <v>626006</v>
          </cell>
          <cell r="L384"/>
          <cell r="M384">
            <v>5762</v>
          </cell>
          <cell r="N384">
            <v>0</v>
          </cell>
          <cell r="O384">
            <v>27396</v>
          </cell>
          <cell r="P384">
            <v>33158</v>
          </cell>
          <cell r="Q384"/>
          <cell r="R384">
            <v>309190</v>
          </cell>
          <cell r="S384">
            <v>-7217</v>
          </cell>
          <cell r="T384">
            <v>301973</v>
          </cell>
        </row>
        <row r="385">
          <cell r="A385">
            <v>93910</v>
          </cell>
          <cell r="B385" t="str">
            <v>SOUTH GRANVILLE WATER AND SEWER AUTHORITY</v>
          </cell>
          <cell r="C385">
            <v>2.5769999999999998E-4</v>
          </cell>
          <cell r="D385">
            <v>2.786E-4</v>
          </cell>
          <cell r="E385">
            <v>611353</v>
          </cell>
          <cell r="F385" t="str">
            <v xml:space="preserve"> </v>
          </cell>
          <cell r="G385">
            <v>94317</v>
          </cell>
          <cell r="H385">
            <v>83921</v>
          </cell>
          <cell r="I385">
            <v>162229</v>
          </cell>
          <cell r="J385">
            <v>0</v>
          </cell>
          <cell r="K385">
            <v>340467</v>
          </cell>
          <cell r="L385"/>
          <cell r="M385">
            <v>3165</v>
          </cell>
          <cell r="N385">
            <v>0</v>
          </cell>
          <cell r="O385">
            <v>35418</v>
          </cell>
          <cell r="P385">
            <v>38583</v>
          </cell>
          <cell r="Q385"/>
          <cell r="R385">
            <v>169817</v>
          </cell>
          <cell r="S385">
            <v>-18432</v>
          </cell>
          <cell r="T385">
            <v>151385</v>
          </cell>
        </row>
        <row r="386">
          <cell r="A386">
            <v>93911</v>
          </cell>
          <cell r="B386" t="str">
            <v>CITY OF OXFORD</v>
          </cell>
          <cell r="C386">
            <v>6.5010000000000003E-4</v>
          </cell>
          <cell r="D386">
            <v>6.3429999999999997E-4</v>
          </cell>
          <cell r="E386">
            <v>1542260</v>
          </cell>
          <cell r="F386" t="str">
            <v xml:space="preserve"> </v>
          </cell>
          <cell r="G386">
            <v>237934</v>
          </cell>
          <cell r="H386">
            <v>211706</v>
          </cell>
          <cell r="I386">
            <v>409256</v>
          </cell>
          <cell r="J386">
            <v>18849</v>
          </cell>
          <cell r="K386">
            <v>877745</v>
          </cell>
          <cell r="L386"/>
          <cell r="M386">
            <v>7984</v>
          </cell>
          <cell r="N386">
            <v>0</v>
          </cell>
          <cell r="O386">
            <v>38804</v>
          </cell>
          <cell r="P386">
            <v>46788</v>
          </cell>
          <cell r="Q386"/>
          <cell r="R386">
            <v>428398</v>
          </cell>
          <cell r="S386">
            <v>-3385</v>
          </cell>
          <cell r="T386">
            <v>425013</v>
          </cell>
        </row>
        <row r="387">
          <cell r="A387">
            <v>93913</v>
          </cell>
          <cell r="B387" t="str">
            <v>OXFORD HOUSING AUTHORITY</v>
          </cell>
          <cell r="C387">
            <v>5.8799999999999999E-5</v>
          </cell>
          <cell r="D387">
            <v>5.8799999999999999E-5</v>
          </cell>
          <cell r="E387">
            <v>139494</v>
          </cell>
          <cell r="F387" t="str">
            <v xml:space="preserve"> </v>
          </cell>
          <cell r="G387">
            <v>21521</v>
          </cell>
          <cell r="H387">
            <v>19148</v>
          </cell>
          <cell r="I387">
            <v>37016</v>
          </cell>
          <cell r="J387">
            <v>4809</v>
          </cell>
          <cell r="K387">
            <v>82494</v>
          </cell>
          <cell r="L387"/>
          <cell r="M387">
            <v>722</v>
          </cell>
          <cell r="N387">
            <v>0</v>
          </cell>
          <cell r="O387">
            <v>526</v>
          </cell>
          <cell r="P387">
            <v>1248</v>
          </cell>
          <cell r="Q387"/>
          <cell r="R387">
            <v>38748</v>
          </cell>
          <cell r="S387">
            <v>1207</v>
          </cell>
          <cell r="T387">
            <v>39955</v>
          </cell>
        </row>
        <row r="388">
          <cell r="A388">
            <v>93914</v>
          </cell>
          <cell r="B388" t="str">
            <v xml:space="preserve"> STOVALL</v>
          </cell>
          <cell r="C388">
            <v>7.1999999999999997E-6</v>
          </cell>
          <cell r="D388">
            <v>8.1000000000000004E-6</v>
          </cell>
          <cell r="E388">
            <v>17081</v>
          </cell>
          <cell r="F388" t="str">
            <v xml:space="preserve"> </v>
          </cell>
          <cell r="G388">
            <v>2635</v>
          </cell>
          <cell r="H388">
            <v>2345</v>
          </cell>
          <cell r="I388">
            <v>4533</v>
          </cell>
          <cell r="J388">
            <v>4000</v>
          </cell>
          <cell r="K388">
            <v>13513</v>
          </cell>
          <cell r="L388"/>
          <cell r="M388">
            <v>88</v>
          </cell>
          <cell r="N388">
            <v>0</v>
          </cell>
          <cell r="O388">
            <v>0</v>
          </cell>
          <cell r="P388">
            <v>88</v>
          </cell>
          <cell r="Q388"/>
          <cell r="R388">
            <v>4745</v>
          </cell>
          <cell r="S388">
            <v>2002</v>
          </cell>
          <cell r="T388">
            <v>6747</v>
          </cell>
        </row>
        <row r="389">
          <cell r="A389">
            <v>93921</v>
          </cell>
          <cell r="B389" t="str">
            <v>CITY OF CREEDMOOR</v>
          </cell>
          <cell r="C389">
            <v>2.8259999999999998E-4</v>
          </cell>
          <cell r="D389">
            <v>2.9020000000000001E-4</v>
          </cell>
          <cell r="E389">
            <v>670424</v>
          </cell>
          <cell r="F389" t="str">
            <v xml:space="preserve"> </v>
          </cell>
          <cell r="G389">
            <v>103430</v>
          </cell>
          <cell r="H389">
            <v>92030</v>
          </cell>
          <cell r="I389">
            <v>177905</v>
          </cell>
          <cell r="J389">
            <v>8166</v>
          </cell>
          <cell r="K389">
            <v>381531</v>
          </cell>
          <cell r="L389"/>
          <cell r="M389">
            <v>3471</v>
          </cell>
          <cell r="N389">
            <v>0</v>
          </cell>
          <cell r="O389">
            <v>9312</v>
          </cell>
          <cell r="P389">
            <v>12783</v>
          </cell>
          <cell r="Q389"/>
          <cell r="R389">
            <v>186226</v>
          </cell>
          <cell r="S389">
            <v>4786</v>
          </cell>
          <cell r="T389">
            <v>191012</v>
          </cell>
        </row>
        <row r="390">
          <cell r="A390">
            <v>93931</v>
          </cell>
          <cell r="B390" t="str">
            <v xml:space="preserve"> BUTNER</v>
          </cell>
          <cell r="C390">
            <v>5.4460000000000001E-4</v>
          </cell>
          <cell r="D390">
            <v>5.0029999999999996E-4</v>
          </cell>
          <cell r="E390">
            <v>1291977</v>
          </cell>
          <cell r="F390" t="str">
            <v xml:space="preserve"> </v>
          </cell>
          <cell r="G390">
            <v>199321</v>
          </cell>
          <cell r="H390">
            <v>177350</v>
          </cell>
          <cell r="I390">
            <v>342841</v>
          </cell>
          <cell r="J390">
            <v>27595</v>
          </cell>
          <cell r="K390">
            <v>747107</v>
          </cell>
          <cell r="L390"/>
          <cell r="M390">
            <v>6688</v>
          </cell>
          <cell r="N390">
            <v>0</v>
          </cell>
          <cell r="O390">
            <v>28225</v>
          </cell>
          <cell r="P390">
            <v>34913</v>
          </cell>
          <cell r="Q390"/>
          <cell r="R390">
            <v>358877</v>
          </cell>
          <cell r="S390">
            <v>80772</v>
          </cell>
          <cell r="T390">
            <v>439649</v>
          </cell>
        </row>
        <row r="391">
          <cell r="A391">
            <v>94001</v>
          </cell>
          <cell r="B391" t="str">
            <v>GREENE COUNTY</v>
          </cell>
          <cell r="C391">
            <v>9.366E-4</v>
          </cell>
          <cell r="D391">
            <v>9.209E-4</v>
          </cell>
          <cell r="E391">
            <v>2221936</v>
          </cell>
          <cell r="F391" t="str">
            <v xml:space="preserve"> </v>
          </cell>
          <cell r="G391">
            <v>342792</v>
          </cell>
          <cell r="H391">
            <v>305006</v>
          </cell>
          <cell r="I391">
            <v>589616</v>
          </cell>
          <cell r="J391">
            <v>45071</v>
          </cell>
          <cell r="K391">
            <v>1282485</v>
          </cell>
          <cell r="L391"/>
          <cell r="M391">
            <v>11502</v>
          </cell>
          <cell r="N391">
            <v>0</v>
          </cell>
          <cell r="O391">
            <v>944</v>
          </cell>
          <cell r="P391">
            <v>12446</v>
          </cell>
          <cell r="Q391"/>
          <cell r="R391">
            <v>617194</v>
          </cell>
          <cell r="S391">
            <v>-8755</v>
          </cell>
          <cell r="T391">
            <v>608439</v>
          </cell>
        </row>
        <row r="392">
          <cell r="A392">
            <v>94002</v>
          </cell>
          <cell r="B392" t="str">
            <v>MAURY SANITARY LAND DISTRICT</v>
          </cell>
          <cell r="C392">
            <v>5.9000000000000003E-6</v>
          </cell>
          <cell r="D392">
            <v>7.0999999999999998E-6</v>
          </cell>
          <cell r="E392">
            <v>13997</v>
          </cell>
          <cell r="F392" t="str">
            <v xml:space="preserve"> </v>
          </cell>
          <cell r="G392">
            <v>2159</v>
          </cell>
          <cell r="H392">
            <v>1921</v>
          </cell>
          <cell r="I392">
            <v>3714</v>
          </cell>
          <cell r="J392">
            <v>1637</v>
          </cell>
          <cell r="K392">
            <v>9431</v>
          </cell>
          <cell r="L392"/>
          <cell r="M392">
            <v>72</v>
          </cell>
          <cell r="N392">
            <v>0</v>
          </cell>
          <cell r="O392">
            <v>0</v>
          </cell>
          <cell r="P392">
            <v>72</v>
          </cell>
          <cell r="Q392"/>
          <cell r="R392">
            <v>3888</v>
          </cell>
          <cell r="S392">
            <v>404</v>
          </cell>
          <cell r="T392">
            <v>4292</v>
          </cell>
        </row>
        <row r="393">
          <cell r="A393">
            <v>94004</v>
          </cell>
          <cell r="B393" t="str">
            <v>GREENE COUNTY ABC BOARD</v>
          </cell>
          <cell r="C393">
            <v>7.3000000000000004E-6</v>
          </cell>
          <cell r="D393">
            <v>7.3000000000000004E-6</v>
          </cell>
          <cell r="E393">
            <v>17318</v>
          </cell>
          <cell r="F393" t="str">
            <v xml:space="preserve"> </v>
          </cell>
          <cell r="G393">
            <v>2672</v>
          </cell>
          <cell r="H393">
            <v>2377</v>
          </cell>
          <cell r="I393">
            <v>4596</v>
          </cell>
          <cell r="J393">
            <v>4289</v>
          </cell>
          <cell r="K393">
            <v>13934</v>
          </cell>
          <cell r="L393"/>
          <cell r="M393">
            <v>90</v>
          </cell>
          <cell r="N393">
            <v>0</v>
          </cell>
          <cell r="O393">
            <v>35</v>
          </cell>
          <cell r="P393">
            <v>125</v>
          </cell>
          <cell r="Q393"/>
          <cell r="R393">
            <v>4811</v>
          </cell>
          <cell r="S393">
            <v>918</v>
          </cell>
          <cell r="T393">
            <v>5729</v>
          </cell>
        </row>
        <row r="394">
          <cell r="A394">
            <v>94005</v>
          </cell>
          <cell r="B394" t="str">
            <v>NEUSE REGIONAL LIBRARY-GREENE COUNTY</v>
          </cell>
          <cell r="C394">
            <v>4.6999999999999999E-6</v>
          </cell>
          <cell r="D394">
            <v>0</v>
          </cell>
          <cell r="E394">
            <v>11150</v>
          </cell>
          <cell r="F394" t="str">
            <v xml:space="preserve"> </v>
          </cell>
          <cell r="G394">
            <v>1720</v>
          </cell>
          <cell r="H394">
            <v>1531</v>
          </cell>
          <cell r="I394">
            <v>2959</v>
          </cell>
          <cell r="J394">
            <v>3483</v>
          </cell>
          <cell r="K394">
            <v>9693</v>
          </cell>
          <cell r="L394"/>
          <cell r="M394">
            <v>58</v>
          </cell>
          <cell r="N394">
            <v>0</v>
          </cell>
          <cell r="O394">
            <v>3881</v>
          </cell>
          <cell r="P394">
            <v>3939</v>
          </cell>
          <cell r="Q394"/>
          <cell r="R394">
            <v>3097</v>
          </cell>
          <cell r="S394">
            <v>-1112</v>
          </cell>
          <cell r="T394">
            <v>1985</v>
          </cell>
        </row>
        <row r="395">
          <cell r="A395">
            <v>94011</v>
          </cell>
          <cell r="B395" t="str">
            <v xml:space="preserve"> HOOKERTON</v>
          </cell>
          <cell r="C395">
            <v>2.8399999999999999E-5</v>
          </cell>
          <cell r="D395">
            <v>2.3600000000000001E-5</v>
          </cell>
          <cell r="E395">
            <v>67375</v>
          </cell>
          <cell r="F395" t="str">
            <v xml:space="preserve"> </v>
          </cell>
          <cell r="G395">
            <v>10394</v>
          </cell>
          <cell r="H395">
            <v>9249</v>
          </cell>
          <cell r="I395">
            <v>17879</v>
          </cell>
          <cell r="J395">
            <v>3892</v>
          </cell>
          <cell r="K395">
            <v>41414</v>
          </cell>
          <cell r="L395"/>
          <cell r="M395">
            <v>349</v>
          </cell>
          <cell r="N395">
            <v>0</v>
          </cell>
          <cell r="O395">
            <v>2020</v>
          </cell>
          <cell r="P395">
            <v>2369</v>
          </cell>
          <cell r="Q395"/>
          <cell r="R395">
            <v>18715</v>
          </cell>
          <cell r="S395">
            <v>438</v>
          </cell>
          <cell r="T395">
            <v>19153</v>
          </cell>
        </row>
        <row r="396">
          <cell r="A396">
            <v>94021</v>
          </cell>
          <cell r="B396" t="str">
            <v xml:space="preserve"> SNOW HILL</v>
          </cell>
          <cell r="C396">
            <v>8.8800000000000004E-5</v>
          </cell>
          <cell r="D396">
            <v>9.3399999999999993E-5</v>
          </cell>
          <cell r="E396">
            <v>210664</v>
          </cell>
          <cell r="F396" t="str">
            <v xml:space="preserve"> </v>
          </cell>
          <cell r="G396">
            <v>32500</v>
          </cell>
          <cell r="H396">
            <v>28917</v>
          </cell>
          <cell r="I396">
            <v>55902</v>
          </cell>
          <cell r="J396">
            <v>11919</v>
          </cell>
          <cell r="K396">
            <v>129238</v>
          </cell>
          <cell r="L396"/>
          <cell r="M396">
            <v>1091</v>
          </cell>
          <cell r="N396">
            <v>0</v>
          </cell>
          <cell r="O396">
            <v>0</v>
          </cell>
          <cell r="P396">
            <v>1091</v>
          </cell>
          <cell r="Q396"/>
          <cell r="R396">
            <v>58517</v>
          </cell>
          <cell r="S396">
            <v>8639</v>
          </cell>
          <cell r="T396">
            <v>67156</v>
          </cell>
        </row>
        <row r="397">
          <cell r="A397">
            <v>94031</v>
          </cell>
          <cell r="B397" t="str">
            <v xml:space="preserve"> WALSTONBURG</v>
          </cell>
          <cell r="C397">
            <v>4.8999999999999997E-6</v>
          </cell>
          <cell r="D397">
            <v>5.4E-6</v>
          </cell>
          <cell r="E397">
            <v>11624</v>
          </cell>
          <cell r="F397" t="str">
            <v xml:space="preserve"> </v>
          </cell>
          <cell r="G397">
            <v>1793</v>
          </cell>
          <cell r="H397">
            <v>1596</v>
          </cell>
          <cell r="I397">
            <v>3085</v>
          </cell>
          <cell r="J397">
            <v>7753</v>
          </cell>
          <cell r="K397">
            <v>14227</v>
          </cell>
          <cell r="L397"/>
          <cell r="M397">
            <v>60</v>
          </cell>
          <cell r="N397">
            <v>0</v>
          </cell>
          <cell r="O397">
            <v>0</v>
          </cell>
          <cell r="P397">
            <v>60</v>
          </cell>
          <cell r="Q397"/>
          <cell r="R397">
            <v>3229</v>
          </cell>
          <cell r="S397">
            <v>3678</v>
          </cell>
          <cell r="T397">
            <v>6907</v>
          </cell>
        </row>
        <row r="398">
          <cell r="A398">
            <v>94101</v>
          </cell>
          <cell r="B398" t="str">
            <v>GUILFORD COUNTY</v>
          </cell>
          <cell r="C398">
            <v>1.8137199999999999E-2</v>
          </cell>
          <cell r="D398">
            <v>1.8321799999999999E-2</v>
          </cell>
          <cell r="E398">
            <v>43027641</v>
          </cell>
          <cell r="F398" t="str">
            <v xml:space="preserve"> </v>
          </cell>
          <cell r="G398">
            <v>6638143</v>
          </cell>
          <cell r="H398">
            <v>5906416</v>
          </cell>
          <cell r="I398">
            <v>11417875</v>
          </cell>
          <cell r="J398">
            <v>156015</v>
          </cell>
          <cell r="K398">
            <v>24118449</v>
          </cell>
          <cell r="L398"/>
          <cell r="M398">
            <v>222743</v>
          </cell>
          <cell r="N398">
            <v>0</v>
          </cell>
          <cell r="O398">
            <v>304690</v>
          </cell>
          <cell r="P398">
            <v>527433</v>
          </cell>
          <cell r="Q398"/>
          <cell r="R398">
            <v>11951925</v>
          </cell>
          <cell r="S398">
            <v>-259645</v>
          </cell>
          <cell r="T398">
            <v>11692280</v>
          </cell>
        </row>
        <row r="399">
          <cell r="A399">
            <v>94102</v>
          </cell>
          <cell r="B399" t="str">
            <v>GUIL-RAND FIRE DEPARTMENT</v>
          </cell>
          <cell r="C399">
            <v>2.8909999999999998E-4</v>
          </cell>
          <cell r="D399">
            <v>2.965E-4</v>
          </cell>
          <cell r="E399">
            <v>685844</v>
          </cell>
          <cell r="F399" t="str">
            <v xml:space="preserve"> </v>
          </cell>
          <cell r="G399">
            <v>105809</v>
          </cell>
          <cell r="H399">
            <v>94146</v>
          </cell>
          <cell r="I399">
            <v>181997</v>
          </cell>
          <cell r="J399">
            <v>0</v>
          </cell>
          <cell r="K399">
            <v>381952</v>
          </cell>
          <cell r="L399"/>
          <cell r="M399">
            <v>3550</v>
          </cell>
          <cell r="N399">
            <v>0</v>
          </cell>
          <cell r="O399">
            <v>53559</v>
          </cell>
          <cell r="P399">
            <v>57109</v>
          </cell>
          <cell r="Q399"/>
          <cell r="R399">
            <v>190509</v>
          </cell>
          <cell r="S399">
            <v>-18988</v>
          </cell>
          <cell r="T399">
            <v>171521</v>
          </cell>
        </row>
        <row r="400">
          <cell r="A400">
            <v>94108</v>
          </cell>
          <cell r="B400" t="str">
            <v>PINECROFT-SEDGEFIELD FIRE DIST INC</v>
          </cell>
          <cell r="C400">
            <v>3.8549999999999999E-4</v>
          </cell>
          <cell r="D400">
            <v>3.1389999999999999E-4</v>
          </cell>
          <cell r="E400">
            <v>914538</v>
          </cell>
          <cell r="F400" t="str">
            <v xml:space="preserve"> </v>
          </cell>
          <cell r="G400">
            <v>141091</v>
          </cell>
          <cell r="H400">
            <v>125539</v>
          </cell>
          <cell r="I400">
            <v>242683</v>
          </cell>
          <cell r="J400">
            <v>13586</v>
          </cell>
          <cell r="K400">
            <v>522899</v>
          </cell>
          <cell r="L400"/>
          <cell r="M400">
            <v>4734</v>
          </cell>
          <cell r="N400">
            <v>0</v>
          </cell>
          <cell r="O400">
            <v>61281</v>
          </cell>
          <cell r="P400">
            <v>66015</v>
          </cell>
          <cell r="Q400"/>
          <cell r="R400">
            <v>254034</v>
          </cell>
          <cell r="S400">
            <v>-43929</v>
          </cell>
          <cell r="T400">
            <v>210105</v>
          </cell>
        </row>
        <row r="401">
          <cell r="A401">
            <v>94109</v>
          </cell>
          <cell r="B401" t="str">
            <v>ALAMANCE COMM FIRE DIST</v>
          </cell>
          <cell r="C401">
            <v>9.8200000000000002E-5</v>
          </cell>
          <cell r="D401">
            <v>9.09E-5</v>
          </cell>
          <cell r="E401">
            <v>232964</v>
          </cell>
          <cell r="F401" t="str">
            <v xml:space="preserve"> </v>
          </cell>
          <cell r="G401">
            <v>35941</v>
          </cell>
          <cell r="H401">
            <v>31979</v>
          </cell>
          <cell r="I401">
            <v>61820</v>
          </cell>
          <cell r="J401">
            <v>0</v>
          </cell>
          <cell r="K401">
            <v>129740</v>
          </cell>
          <cell r="L401"/>
          <cell r="M401">
            <v>1206</v>
          </cell>
          <cell r="N401">
            <v>0</v>
          </cell>
          <cell r="O401">
            <v>33379</v>
          </cell>
          <cell r="P401">
            <v>34585</v>
          </cell>
          <cell r="Q401"/>
          <cell r="R401">
            <v>64711</v>
          </cell>
          <cell r="S401">
            <v>-14342</v>
          </cell>
          <cell r="T401">
            <v>50369</v>
          </cell>
        </row>
        <row r="402">
          <cell r="A402">
            <v>94111</v>
          </cell>
          <cell r="B402" t="str">
            <v>CITY OF GREENSBORO</v>
          </cell>
          <cell r="C402">
            <v>2.4882899999999999E-2</v>
          </cell>
          <cell r="D402">
            <v>2.5682300000000002E-2</v>
          </cell>
          <cell r="E402">
            <v>59030749</v>
          </cell>
          <cell r="F402" t="str">
            <v xml:space="preserve"> </v>
          </cell>
          <cell r="G402">
            <v>9107042</v>
          </cell>
          <cell r="H402">
            <v>8103166</v>
          </cell>
          <cell r="I402">
            <v>15664482</v>
          </cell>
          <cell r="J402">
            <v>0</v>
          </cell>
          <cell r="K402">
            <v>32874690</v>
          </cell>
          <cell r="L402"/>
          <cell r="M402">
            <v>305587</v>
          </cell>
          <cell r="N402">
            <v>0</v>
          </cell>
          <cell r="O402">
            <v>1628449</v>
          </cell>
          <cell r="P402">
            <v>1934036</v>
          </cell>
          <cell r="Q402"/>
          <cell r="R402">
            <v>16397159</v>
          </cell>
          <cell r="S402">
            <v>-691916</v>
          </cell>
          <cell r="T402">
            <v>15705243</v>
          </cell>
        </row>
        <row r="403">
          <cell r="A403">
            <v>94112</v>
          </cell>
          <cell r="B403" t="str">
            <v>PIEDMONT TRIAD REG WATER AUTHORITY</v>
          </cell>
          <cell r="C403">
            <v>1.684E-4</v>
          </cell>
          <cell r="D403">
            <v>1.6699999999999999E-4</v>
          </cell>
          <cell r="E403">
            <v>399502</v>
          </cell>
          <cell r="F403" t="str">
            <v xml:space="preserve"> </v>
          </cell>
          <cell r="G403">
            <v>61634</v>
          </cell>
          <cell r="H403">
            <v>54840</v>
          </cell>
          <cell r="I403">
            <v>106013</v>
          </cell>
          <cell r="J403">
            <v>0</v>
          </cell>
          <cell r="K403">
            <v>222487</v>
          </cell>
          <cell r="L403"/>
          <cell r="M403">
            <v>2068</v>
          </cell>
          <cell r="N403">
            <v>0</v>
          </cell>
          <cell r="O403">
            <v>14012</v>
          </cell>
          <cell r="P403">
            <v>16080</v>
          </cell>
          <cell r="Q403"/>
          <cell r="R403">
            <v>110971</v>
          </cell>
          <cell r="S403">
            <v>-9395</v>
          </cell>
          <cell r="T403">
            <v>101576</v>
          </cell>
        </row>
        <row r="404">
          <cell r="A404">
            <v>94117</v>
          </cell>
          <cell r="B404" t="str">
            <v>GREENSBORO ABC BD</v>
          </cell>
          <cell r="C404">
            <v>3.5429999999999999E-4</v>
          </cell>
          <cell r="D404">
            <v>3.9809999999999997E-4</v>
          </cell>
          <cell r="E404">
            <v>840521</v>
          </cell>
          <cell r="F404" t="str">
            <v xml:space="preserve"> </v>
          </cell>
          <cell r="G404">
            <v>129672</v>
          </cell>
          <cell r="H404">
            <v>115378</v>
          </cell>
          <cell r="I404">
            <v>223042</v>
          </cell>
          <cell r="J404">
            <v>3605</v>
          </cell>
          <cell r="K404">
            <v>471697</v>
          </cell>
          <cell r="L404"/>
          <cell r="M404">
            <v>4351</v>
          </cell>
          <cell r="N404">
            <v>0</v>
          </cell>
          <cell r="O404">
            <v>34793</v>
          </cell>
          <cell r="P404">
            <v>39144</v>
          </cell>
          <cell r="Q404"/>
          <cell r="R404">
            <v>233474</v>
          </cell>
          <cell r="S404">
            <v>-6033</v>
          </cell>
          <cell r="T404">
            <v>227441</v>
          </cell>
        </row>
        <row r="405">
          <cell r="A405">
            <v>94118</v>
          </cell>
          <cell r="B405" t="str">
            <v>GUILFORD FIRE DISTRICT # 13 INC</v>
          </cell>
          <cell r="C405">
            <v>1.6009999999999999E-4</v>
          </cell>
          <cell r="D405">
            <v>1.494E-4</v>
          </cell>
          <cell r="E405">
            <v>379812</v>
          </cell>
          <cell r="F405" t="str">
            <v xml:space="preserve"> </v>
          </cell>
          <cell r="G405">
            <v>58596</v>
          </cell>
          <cell r="H405">
            <v>52137</v>
          </cell>
          <cell r="I405">
            <v>100787</v>
          </cell>
          <cell r="J405">
            <v>0</v>
          </cell>
          <cell r="K405">
            <v>211520</v>
          </cell>
          <cell r="L405"/>
          <cell r="M405">
            <v>1966</v>
          </cell>
          <cell r="N405">
            <v>0</v>
          </cell>
          <cell r="O405">
            <v>35288</v>
          </cell>
          <cell r="P405">
            <v>37254</v>
          </cell>
          <cell r="Q405"/>
          <cell r="R405">
            <v>105502</v>
          </cell>
          <cell r="S405">
            <v>-25547</v>
          </cell>
          <cell r="T405">
            <v>79955</v>
          </cell>
        </row>
        <row r="406">
          <cell r="A406">
            <v>94121</v>
          </cell>
          <cell r="B406" t="str">
            <v>CITY OF HIGH POINT</v>
          </cell>
          <cell r="C406">
            <v>1.1314299999999999E-2</v>
          </cell>
          <cell r="D406">
            <v>1.1246000000000001E-2</v>
          </cell>
          <cell r="E406">
            <v>26841389</v>
          </cell>
          <cell r="F406" t="str">
            <v xml:space="preserve"> </v>
          </cell>
          <cell r="G406">
            <v>4140989</v>
          </cell>
          <cell r="H406">
            <v>3684524</v>
          </cell>
          <cell r="I406">
            <v>7122669</v>
          </cell>
          <cell r="J406">
            <v>178797</v>
          </cell>
          <cell r="K406">
            <v>15126979</v>
          </cell>
          <cell r="L406"/>
          <cell r="M406">
            <v>138951</v>
          </cell>
          <cell r="N406">
            <v>0</v>
          </cell>
          <cell r="O406">
            <v>124923</v>
          </cell>
          <cell r="P406">
            <v>263874</v>
          </cell>
          <cell r="Q406"/>
          <cell r="R406">
            <v>7455818</v>
          </cell>
          <cell r="S406">
            <v>-92749</v>
          </cell>
          <cell r="T406">
            <v>7363069</v>
          </cell>
        </row>
        <row r="407">
          <cell r="A407">
            <v>94127</v>
          </cell>
          <cell r="B407" t="str">
            <v>HIGH POINT ABC BD</v>
          </cell>
          <cell r="C407">
            <v>1.5310000000000001E-4</v>
          </cell>
          <cell r="D407">
            <v>1.7310000000000001E-4</v>
          </cell>
          <cell r="E407">
            <v>363206</v>
          </cell>
          <cell r="F407" t="str">
            <v xml:space="preserve"> </v>
          </cell>
          <cell r="G407">
            <v>56034</v>
          </cell>
          <cell r="H407">
            <v>49857</v>
          </cell>
          <cell r="I407">
            <v>96381</v>
          </cell>
          <cell r="J407">
            <v>5878</v>
          </cell>
          <cell r="K407">
            <v>208150</v>
          </cell>
          <cell r="L407"/>
          <cell r="M407">
            <v>1880</v>
          </cell>
          <cell r="N407">
            <v>0</v>
          </cell>
          <cell r="O407">
            <v>12665</v>
          </cell>
          <cell r="P407">
            <v>14545</v>
          </cell>
          <cell r="Q407"/>
          <cell r="R407">
            <v>100889</v>
          </cell>
          <cell r="S407">
            <v>-521</v>
          </cell>
          <cell r="T407">
            <v>100368</v>
          </cell>
        </row>
        <row r="408">
          <cell r="A408">
            <v>94131</v>
          </cell>
          <cell r="B408" t="str">
            <v xml:space="preserve"> JAMESTOWN</v>
          </cell>
          <cell r="C408">
            <v>2.039E-4</v>
          </cell>
          <cell r="D408">
            <v>1.7479999999999999E-4</v>
          </cell>
          <cell r="E408">
            <v>483721</v>
          </cell>
          <cell r="F408" t="str">
            <v xml:space="preserve"> </v>
          </cell>
          <cell r="G408">
            <v>74627</v>
          </cell>
          <cell r="H408">
            <v>66401</v>
          </cell>
          <cell r="I408">
            <v>128361</v>
          </cell>
          <cell r="J408">
            <v>26135</v>
          </cell>
          <cell r="K408">
            <v>295524</v>
          </cell>
          <cell r="L408"/>
          <cell r="M408">
            <v>2504</v>
          </cell>
          <cell r="N408">
            <v>0</v>
          </cell>
          <cell r="O408">
            <v>6379</v>
          </cell>
          <cell r="P408">
            <v>8883</v>
          </cell>
          <cell r="Q408"/>
          <cell r="R408">
            <v>134365</v>
          </cell>
          <cell r="S408">
            <v>5028</v>
          </cell>
          <cell r="T408">
            <v>139393</v>
          </cell>
        </row>
        <row r="409">
          <cell r="A409">
            <v>94151</v>
          </cell>
          <cell r="B409" t="str">
            <v xml:space="preserve"> GIBSONVILLE</v>
          </cell>
          <cell r="C409">
            <v>4.6470000000000002E-4</v>
          </cell>
          <cell r="D409">
            <v>4.1590000000000003E-4</v>
          </cell>
          <cell r="E409">
            <v>1102427</v>
          </cell>
          <cell r="F409" t="str">
            <v xml:space="preserve"> </v>
          </cell>
          <cell r="G409">
            <v>170078</v>
          </cell>
          <cell r="H409">
            <v>151331</v>
          </cell>
          <cell r="I409">
            <v>292542</v>
          </cell>
          <cell r="J409">
            <v>12138</v>
          </cell>
          <cell r="K409">
            <v>626089</v>
          </cell>
          <cell r="L409"/>
          <cell r="M409">
            <v>5707</v>
          </cell>
          <cell r="N409">
            <v>0</v>
          </cell>
          <cell r="O409">
            <v>23819</v>
          </cell>
          <cell r="P409">
            <v>29526</v>
          </cell>
          <cell r="Q409"/>
          <cell r="R409">
            <v>306225</v>
          </cell>
          <cell r="S409">
            <v>-9818</v>
          </cell>
          <cell r="T409">
            <v>296407</v>
          </cell>
        </row>
        <row r="410">
          <cell r="A410">
            <v>94157</v>
          </cell>
          <cell r="B410" t="str">
            <v>GIBSONVILLE ABC BOARD</v>
          </cell>
          <cell r="C410">
            <v>8.4999999999999999E-6</v>
          </cell>
          <cell r="D410">
            <v>8.8999999999999995E-6</v>
          </cell>
          <cell r="E410">
            <v>20165</v>
          </cell>
          <cell r="F410" t="str">
            <v xml:space="preserve"> </v>
          </cell>
          <cell r="G410">
            <v>3111</v>
          </cell>
          <cell r="H410">
            <v>2768</v>
          </cell>
          <cell r="I410">
            <v>5351</v>
          </cell>
          <cell r="J410">
            <v>2192</v>
          </cell>
          <cell r="K410">
            <v>13422</v>
          </cell>
          <cell r="L410"/>
          <cell r="M410">
            <v>104</v>
          </cell>
          <cell r="N410">
            <v>0</v>
          </cell>
          <cell r="O410">
            <v>0</v>
          </cell>
          <cell r="P410">
            <v>104</v>
          </cell>
          <cell r="Q410"/>
          <cell r="R410">
            <v>5601</v>
          </cell>
          <cell r="S410">
            <v>2203</v>
          </cell>
          <cell r="T410">
            <v>7804</v>
          </cell>
        </row>
        <row r="411">
          <cell r="A411">
            <v>94161</v>
          </cell>
          <cell r="B411" t="str">
            <v xml:space="preserve"> OAK RIDGE</v>
          </cell>
          <cell r="C411">
            <v>3.4999999999999997E-5</v>
          </cell>
          <cell r="D411">
            <v>5.1900000000000001E-5</v>
          </cell>
          <cell r="E411">
            <v>83032</v>
          </cell>
          <cell r="F411" t="str">
            <v xml:space="preserve"> </v>
          </cell>
          <cell r="G411">
            <v>12810</v>
          </cell>
          <cell r="H411">
            <v>11398</v>
          </cell>
          <cell r="I411">
            <v>22033</v>
          </cell>
          <cell r="J411">
            <v>2371</v>
          </cell>
          <cell r="K411">
            <v>48612</v>
          </cell>
          <cell r="L411"/>
          <cell r="M411">
            <v>430</v>
          </cell>
          <cell r="N411">
            <v>0</v>
          </cell>
          <cell r="O411">
            <v>9815</v>
          </cell>
          <cell r="P411">
            <v>10245</v>
          </cell>
          <cell r="Q411"/>
          <cell r="R411">
            <v>23064</v>
          </cell>
          <cell r="S411">
            <v>432</v>
          </cell>
          <cell r="T411">
            <v>23496</v>
          </cell>
        </row>
        <row r="412">
          <cell r="A412">
            <v>94168</v>
          </cell>
          <cell r="B412" t="str">
            <v>COLFAX VOLUNTEER FIRE DEPARTMENT</v>
          </cell>
          <cell r="C412">
            <v>5.0800000000000002E-5</v>
          </cell>
          <cell r="D412">
            <v>2.5899999999999999E-5</v>
          </cell>
          <cell r="E412">
            <v>120515</v>
          </cell>
          <cell r="F412" t="str">
            <v xml:space="preserve"> </v>
          </cell>
          <cell r="G412">
            <v>18593</v>
          </cell>
          <cell r="H412">
            <v>16543</v>
          </cell>
          <cell r="I412">
            <v>31980</v>
          </cell>
          <cell r="J412">
            <v>15950</v>
          </cell>
          <cell r="K412">
            <v>83066</v>
          </cell>
          <cell r="L412"/>
          <cell r="M412">
            <v>624</v>
          </cell>
          <cell r="N412">
            <v>0</v>
          </cell>
          <cell r="O412">
            <v>6240</v>
          </cell>
          <cell r="P412">
            <v>6864</v>
          </cell>
          <cell r="Q412"/>
          <cell r="R412">
            <v>33476</v>
          </cell>
          <cell r="S412">
            <v>-1436</v>
          </cell>
          <cell r="T412">
            <v>32040</v>
          </cell>
        </row>
        <row r="413">
          <cell r="A413">
            <v>94171</v>
          </cell>
          <cell r="B413" t="str">
            <v xml:space="preserve"> SUMMERFIELD</v>
          </cell>
          <cell r="C413">
            <v>7.9800000000000002E-5</v>
          </cell>
          <cell r="D413">
            <v>6.9800000000000003E-5</v>
          </cell>
          <cell r="E413">
            <v>189313</v>
          </cell>
          <cell r="F413" t="str">
            <v xml:space="preserve"> </v>
          </cell>
          <cell r="G413">
            <v>29206</v>
          </cell>
          <cell r="H413">
            <v>25987</v>
          </cell>
          <cell r="I413">
            <v>50236</v>
          </cell>
          <cell r="J413">
            <v>8192</v>
          </cell>
          <cell r="K413">
            <v>113621</v>
          </cell>
          <cell r="L413"/>
          <cell r="M413">
            <v>980</v>
          </cell>
          <cell r="N413">
            <v>0</v>
          </cell>
          <cell r="O413">
            <v>0</v>
          </cell>
          <cell r="P413">
            <v>980</v>
          </cell>
          <cell r="Q413"/>
          <cell r="R413">
            <v>52586</v>
          </cell>
          <cell r="S413">
            <v>3244</v>
          </cell>
          <cell r="T413">
            <v>55830</v>
          </cell>
        </row>
        <row r="414">
          <cell r="A414">
            <v>94172</v>
          </cell>
          <cell r="B414" t="str">
            <v>SUMMERFIELD FIRE DISTRICT</v>
          </cell>
          <cell r="C414">
            <v>2.833E-4</v>
          </cell>
          <cell r="D414">
            <v>2.6289999999999999E-4</v>
          </cell>
          <cell r="E414">
            <v>672084</v>
          </cell>
          <cell r="F414" t="str">
            <v xml:space="preserve"> </v>
          </cell>
          <cell r="G414">
            <v>103687</v>
          </cell>
          <cell r="H414">
            <v>92258</v>
          </cell>
          <cell r="I414">
            <v>178345</v>
          </cell>
          <cell r="J414">
            <v>0</v>
          </cell>
          <cell r="K414">
            <v>374290</v>
          </cell>
          <cell r="L414"/>
          <cell r="M414">
            <v>3479</v>
          </cell>
          <cell r="N414">
            <v>0</v>
          </cell>
          <cell r="O414">
            <v>61943</v>
          </cell>
          <cell r="P414">
            <v>65422</v>
          </cell>
          <cell r="Q414"/>
          <cell r="R414">
            <v>186687</v>
          </cell>
          <cell r="S414">
            <v>-44260</v>
          </cell>
          <cell r="T414">
            <v>142427</v>
          </cell>
        </row>
        <row r="415">
          <cell r="A415">
            <v>94201</v>
          </cell>
          <cell r="B415" t="str">
            <v>HALIFAX COUNTY</v>
          </cell>
          <cell r="C415">
            <v>3.2913999999999999E-3</v>
          </cell>
          <cell r="D415">
            <v>3.3658999999999998E-3</v>
          </cell>
          <cell r="E415">
            <v>7808326</v>
          </cell>
          <cell r="F415" t="str">
            <v xml:space="preserve"> </v>
          </cell>
          <cell r="G415">
            <v>1204639</v>
          </cell>
          <cell r="H415">
            <v>1071851</v>
          </cell>
          <cell r="I415">
            <v>2072028</v>
          </cell>
          <cell r="J415">
            <v>19861</v>
          </cell>
          <cell r="K415">
            <v>4368379</v>
          </cell>
          <cell r="L415"/>
          <cell r="M415">
            <v>40422</v>
          </cell>
          <cell r="N415">
            <v>0</v>
          </cell>
          <cell r="O415">
            <v>84937</v>
          </cell>
          <cell r="P415">
            <v>125359</v>
          </cell>
          <cell r="Q415"/>
          <cell r="R415">
            <v>2168944</v>
          </cell>
          <cell r="S415">
            <v>-9281</v>
          </cell>
          <cell r="T415">
            <v>2159663</v>
          </cell>
        </row>
        <row r="416">
          <cell r="A416">
            <v>94204</v>
          </cell>
          <cell r="B416" t="str">
            <v>HALIFAX COUNTY ABC BOARD</v>
          </cell>
          <cell r="C416">
            <v>2.73E-5</v>
          </cell>
          <cell r="D416">
            <v>2.5899999999999999E-5</v>
          </cell>
          <cell r="E416">
            <v>64765</v>
          </cell>
          <cell r="F416" t="str">
            <v xml:space="preserve"> </v>
          </cell>
          <cell r="G416">
            <v>9992</v>
          </cell>
          <cell r="H416">
            <v>8890</v>
          </cell>
          <cell r="I416">
            <v>17186</v>
          </cell>
          <cell r="J416">
            <v>12296</v>
          </cell>
          <cell r="K416">
            <v>48364</v>
          </cell>
          <cell r="L416"/>
          <cell r="M416">
            <v>335</v>
          </cell>
          <cell r="N416">
            <v>0</v>
          </cell>
          <cell r="O416">
            <v>0</v>
          </cell>
          <cell r="P416">
            <v>335</v>
          </cell>
          <cell r="Q416"/>
          <cell r="R416">
            <v>17990</v>
          </cell>
          <cell r="S416">
            <v>6257</v>
          </cell>
          <cell r="T416">
            <v>24247</v>
          </cell>
        </row>
        <row r="417">
          <cell r="A417">
            <v>94205</v>
          </cell>
          <cell r="B417" t="str">
            <v>HALIFAX COUNTY TOURISM DEVELOPMENT AUTHORITY</v>
          </cell>
          <cell r="C417">
            <v>1.8300000000000001E-5</v>
          </cell>
          <cell r="D417">
            <v>2.0699999999999998E-5</v>
          </cell>
          <cell r="E417">
            <v>43414</v>
          </cell>
          <cell r="F417" t="str">
            <v xml:space="preserve"> </v>
          </cell>
          <cell r="G417">
            <v>6698</v>
          </cell>
          <cell r="H417">
            <v>5959</v>
          </cell>
          <cell r="I417">
            <v>11520</v>
          </cell>
          <cell r="J417">
            <v>1408</v>
          </cell>
          <cell r="K417">
            <v>25585</v>
          </cell>
          <cell r="L417"/>
          <cell r="M417">
            <v>225</v>
          </cell>
          <cell r="N417">
            <v>0</v>
          </cell>
          <cell r="O417">
            <v>1277</v>
          </cell>
          <cell r="P417">
            <v>1502</v>
          </cell>
          <cell r="Q417"/>
          <cell r="R417">
            <v>12059</v>
          </cell>
          <cell r="S417">
            <v>-2857</v>
          </cell>
          <cell r="T417">
            <v>9202</v>
          </cell>
        </row>
        <row r="418">
          <cell r="A418">
            <v>94209</v>
          </cell>
          <cell r="B418" t="str">
            <v>ROANOKE RAPIDS SANITARY DISTRICT</v>
          </cell>
          <cell r="C418">
            <v>3.1700000000000001E-4</v>
          </cell>
          <cell r="D418">
            <v>3.4190000000000002E-4</v>
          </cell>
          <cell r="E418">
            <v>752032</v>
          </cell>
          <cell r="F418" t="str">
            <v xml:space="preserve"> </v>
          </cell>
          <cell r="G418">
            <v>116021</v>
          </cell>
          <cell r="H418">
            <v>103231</v>
          </cell>
          <cell r="I418">
            <v>199560</v>
          </cell>
          <cell r="J418">
            <v>11815</v>
          </cell>
          <cell r="K418">
            <v>430627</v>
          </cell>
          <cell r="L418"/>
          <cell r="M418">
            <v>3893</v>
          </cell>
          <cell r="N418">
            <v>0</v>
          </cell>
          <cell r="O418">
            <v>21749</v>
          </cell>
          <cell r="P418">
            <v>25642</v>
          </cell>
          <cell r="Q418"/>
          <cell r="R418">
            <v>208894</v>
          </cell>
          <cell r="S418">
            <v>4832</v>
          </cell>
          <cell r="T418">
            <v>213726</v>
          </cell>
        </row>
        <row r="419">
          <cell r="A419">
            <v>94211</v>
          </cell>
          <cell r="B419" t="str">
            <v xml:space="preserve"> ENFIELD</v>
          </cell>
          <cell r="C419">
            <v>1.615E-4</v>
          </cell>
          <cell r="D419">
            <v>1.3660000000000001E-4</v>
          </cell>
          <cell r="E419">
            <v>383133</v>
          </cell>
          <cell r="F419" t="str">
            <v xml:space="preserve"> </v>
          </cell>
          <cell r="G419">
            <v>59108</v>
          </cell>
          <cell r="H419">
            <v>52593</v>
          </cell>
          <cell r="I419">
            <v>101669</v>
          </cell>
          <cell r="J419">
            <v>11603</v>
          </cell>
          <cell r="K419">
            <v>224973</v>
          </cell>
          <cell r="L419"/>
          <cell r="M419">
            <v>1983</v>
          </cell>
          <cell r="N419">
            <v>0</v>
          </cell>
          <cell r="O419">
            <v>3873</v>
          </cell>
          <cell r="P419">
            <v>5856</v>
          </cell>
          <cell r="Q419"/>
          <cell r="R419">
            <v>106424</v>
          </cell>
          <cell r="S419">
            <v>-10032</v>
          </cell>
          <cell r="T419">
            <v>96392</v>
          </cell>
        </row>
        <row r="420">
          <cell r="A420">
            <v>94221</v>
          </cell>
          <cell r="B420" t="str">
            <v>CITY OF ROANOKE RAPIDS</v>
          </cell>
          <cell r="C420">
            <v>1.0311999999999999E-3</v>
          </cell>
          <cell r="D420">
            <v>1.0436E-3</v>
          </cell>
          <cell r="E420">
            <v>2446359</v>
          </cell>
          <cell r="F420" t="str">
            <v xml:space="preserve"> </v>
          </cell>
          <cell r="G420">
            <v>377415</v>
          </cell>
          <cell r="H420">
            <v>335812</v>
          </cell>
          <cell r="I420">
            <v>649169</v>
          </cell>
          <cell r="J420">
            <v>28711</v>
          </cell>
          <cell r="K420">
            <v>1391107</v>
          </cell>
          <cell r="L420"/>
          <cell r="M420">
            <v>12664</v>
          </cell>
          <cell r="N420">
            <v>0</v>
          </cell>
          <cell r="O420">
            <v>85091</v>
          </cell>
          <cell r="P420">
            <v>97755</v>
          </cell>
          <cell r="Q420"/>
          <cell r="R420">
            <v>679533</v>
          </cell>
          <cell r="S420">
            <v>-30381</v>
          </cell>
          <cell r="T420">
            <v>649152</v>
          </cell>
        </row>
        <row r="421">
          <cell r="A421">
            <v>94231</v>
          </cell>
          <cell r="B421" t="str">
            <v xml:space="preserve"> WELDON</v>
          </cell>
          <cell r="C421">
            <v>2.009E-4</v>
          </cell>
          <cell r="D421">
            <v>2.2609999999999999E-4</v>
          </cell>
          <cell r="E421">
            <v>476604</v>
          </cell>
          <cell r="F421" t="str">
            <v xml:space="preserve"> </v>
          </cell>
          <cell r="G421">
            <v>73529</v>
          </cell>
          <cell r="H421">
            <v>65423</v>
          </cell>
          <cell r="I421">
            <v>126472</v>
          </cell>
          <cell r="J421">
            <v>6119</v>
          </cell>
          <cell r="K421">
            <v>271543</v>
          </cell>
          <cell r="L421"/>
          <cell r="M421">
            <v>2467</v>
          </cell>
          <cell r="N421">
            <v>0</v>
          </cell>
          <cell r="O421">
            <v>26463</v>
          </cell>
          <cell r="P421">
            <v>28930</v>
          </cell>
          <cell r="Q421"/>
          <cell r="R421">
            <v>132388</v>
          </cell>
          <cell r="S421">
            <v>-8958</v>
          </cell>
          <cell r="T421">
            <v>123430</v>
          </cell>
        </row>
        <row r="422">
          <cell r="A422">
            <v>94241</v>
          </cell>
          <cell r="B422" t="str">
            <v xml:space="preserve"> SCOTLAND NECK</v>
          </cell>
          <cell r="C422">
            <v>1.227E-4</v>
          </cell>
          <cell r="D422">
            <v>1.2669999999999999E-4</v>
          </cell>
          <cell r="E422">
            <v>291086</v>
          </cell>
          <cell r="F422" t="str">
            <v xml:space="preserve"> </v>
          </cell>
          <cell r="G422">
            <v>44908</v>
          </cell>
          <cell r="H422">
            <v>39958</v>
          </cell>
          <cell r="I422">
            <v>77243</v>
          </cell>
          <cell r="J422">
            <v>19412</v>
          </cell>
          <cell r="K422">
            <v>181521</v>
          </cell>
          <cell r="L422"/>
          <cell r="M422">
            <v>1507</v>
          </cell>
          <cell r="N422">
            <v>0</v>
          </cell>
          <cell r="O422">
            <v>7181</v>
          </cell>
          <cell r="P422">
            <v>8688</v>
          </cell>
          <cell r="Q422"/>
          <cell r="R422">
            <v>80856</v>
          </cell>
          <cell r="S422">
            <v>5128</v>
          </cell>
          <cell r="T422">
            <v>85984</v>
          </cell>
        </row>
        <row r="423">
          <cell r="A423">
            <v>94251</v>
          </cell>
          <cell r="B423" t="str">
            <v xml:space="preserve"> HOBGOOD</v>
          </cell>
          <cell r="C423">
            <v>1.59E-5</v>
          </cell>
          <cell r="D423">
            <v>1.95E-5</v>
          </cell>
          <cell r="E423">
            <v>37720</v>
          </cell>
          <cell r="F423" t="str">
            <v xml:space="preserve"> </v>
          </cell>
          <cell r="G423">
            <v>5819</v>
          </cell>
          <cell r="H423">
            <v>5178</v>
          </cell>
          <cell r="I423">
            <v>10009</v>
          </cell>
          <cell r="J423">
            <v>2468</v>
          </cell>
          <cell r="K423">
            <v>23474</v>
          </cell>
          <cell r="L423"/>
          <cell r="M423">
            <v>195</v>
          </cell>
          <cell r="N423">
            <v>0</v>
          </cell>
          <cell r="O423">
            <v>4449</v>
          </cell>
          <cell r="P423">
            <v>4644</v>
          </cell>
          <cell r="Q423"/>
          <cell r="R423">
            <v>10478</v>
          </cell>
          <cell r="S423">
            <v>-2557</v>
          </cell>
          <cell r="T423">
            <v>7921</v>
          </cell>
        </row>
        <row r="424">
          <cell r="A424">
            <v>94261</v>
          </cell>
          <cell r="B424" t="str">
            <v xml:space="preserve"> LITTLETON</v>
          </cell>
          <cell r="C424">
            <v>3.6199999999999999E-5</v>
          </cell>
          <cell r="D424">
            <v>3.9199999999999997E-5</v>
          </cell>
          <cell r="E424">
            <v>85879</v>
          </cell>
          <cell r="F424" t="str">
            <v xml:space="preserve"> </v>
          </cell>
          <cell r="G424">
            <v>13249</v>
          </cell>
          <cell r="H424">
            <v>11789</v>
          </cell>
          <cell r="I424">
            <v>22789</v>
          </cell>
          <cell r="J424">
            <v>10016</v>
          </cell>
          <cell r="K424">
            <v>57843</v>
          </cell>
          <cell r="L424"/>
          <cell r="M424">
            <v>445</v>
          </cell>
          <cell r="N424">
            <v>0</v>
          </cell>
          <cell r="O424">
            <v>790</v>
          </cell>
          <cell r="P424">
            <v>1235</v>
          </cell>
          <cell r="Q424"/>
          <cell r="R424">
            <v>23855</v>
          </cell>
          <cell r="S424">
            <v>5304</v>
          </cell>
          <cell r="T424">
            <v>29159</v>
          </cell>
        </row>
        <row r="425">
          <cell r="A425">
            <v>94301</v>
          </cell>
          <cell r="B425" t="str">
            <v>HARNETT COUNTY</v>
          </cell>
          <cell r="C425">
            <v>6.3552000000000001E-3</v>
          </cell>
          <cell r="D425">
            <v>6.2988999999999996E-3</v>
          </cell>
          <cell r="E425">
            <v>15076708</v>
          </cell>
          <cell r="F425" t="str">
            <v xml:space="preserve"> </v>
          </cell>
          <cell r="G425">
            <v>2325978</v>
          </cell>
          <cell r="H425">
            <v>2069584</v>
          </cell>
          <cell r="I425">
            <v>4000776</v>
          </cell>
          <cell r="J425">
            <v>62202</v>
          </cell>
          <cell r="K425">
            <v>8458540</v>
          </cell>
          <cell r="L425"/>
          <cell r="M425">
            <v>78048</v>
          </cell>
          <cell r="N425">
            <v>0</v>
          </cell>
          <cell r="O425">
            <v>66635</v>
          </cell>
          <cell r="P425">
            <v>144683</v>
          </cell>
          <cell r="Q425"/>
          <cell r="R425">
            <v>4187905</v>
          </cell>
          <cell r="S425">
            <v>-21615</v>
          </cell>
          <cell r="T425">
            <v>4166290</v>
          </cell>
        </row>
        <row r="426">
          <cell r="A426">
            <v>94311</v>
          </cell>
          <cell r="B426" t="str">
            <v>CITY OF DUNN</v>
          </cell>
          <cell r="C426">
            <v>7.4359999999999997E-4</v>
          </cell>
          <cell r="D426">
            <v>7.8540000000000001E-4</v>
          </cell>
          <cell r="E426">
            <v>1764074</v>
          </cell>
          <cell r="F426" t="str">
            <v xml:space="preserve"> </v>
          </cell>
          <cell r="G426">
            <v>272155</v>
          </cell>
          <cell r="H426">
            <v>242155</v>
          </cell>
          <cell r="I426">
            <v>468117</v>
          </cell>
          <cell r="J426">
            <v>17528</v>
          </cell>
          <cell r="K426">
            <v>999955</v>
          </cell>
          <cell r="L426"/>
          <cell r="M426">
            <v>9132</v>
          </cell>
          <cell r="N426">
            <v>0</v>
          </cell>
          <cell r="O426">
            <v>53855</v>
          </cell>
          <cell r="P426">
            <v>62987</v>
          </cell>
          <cell r="Q426"/>
          <cell r="R426">
            <v>490012</v>
          </cell>
          <cell r="S426">
            <v>-19332</v>
          </cell>
          <cell r="T426">
            <v>470680</v>
          </cell>
        </row>
        <row r="427">
          <cell r="A427">
            <v>94313</v>
          </cell>
          <cell r="B427" t="str">
            <v>DUNN HOUSING AUTHORITY</v>
          </cell>
          <cell r="C427">
            <v>2.1699999999999999E-5</v>
          </cell>
          <cell r="D427">
            <v>1.8700000000000001E-5</v>
          </cell>
          <cell r="E427">
            <v>51480</v>
          </cell>
          <cell r="F427" t="str">
            <v xml:space="preserve"> </v>
          </cell>
          <cell r="G427">
            <v>7942</v>
          </cell>
          <cell r="H427">
            <v>7067</v>
          </cell>
          <cell r="I427">
            <v>13661</v>
          </cell>
          <cell r="J427">
            <v>9311</v>
          </cell>
          <cell r="K427">
            <v>37981</v>
          </cell>
          <cell r="L427"/>
          <cell r="M427">
            <v>266</v>
          </cell>
          <cell r="N427">
            <v>0</v>
          </cell>
          <cell r="O427">
            <v>0</v>
          </cell>
          <cell r="P427">
            <v>266</v>
          </cell>
          <cell r="Q427"/>
          <cell r="R427">
            <v>14300</v>
          </cell>
          <cell r="S427">
            <v>4369</v>
          </cell>
          <cell r="T427">
            <v>18669</v>
          </cell>
        </row>
        <row r="428">
          <cell r="A428">
            <v>94317</v>
          </cell>
          <cell r="B428" t="str">
            <v>DUNN ABC BOARD</v>
          </cell>
          <cell r="C428">
            <v>1.15E-5</v>
          </cell>
          <cell r="D428">
            <v>1.2E-5</v>
          </cell>
          <cell r="E428">
            <v>27282</v>
          </cell>
          <cell r="F428" t="str">
            <v xml:space="preserve"> </v>
          </cell>
          <cell r="G428">
            <v>4209</v>
          </cell>
          <cell r="H428">
            <v>3745</v>
          </cell>
          <cell r="I428">
            <v>7240</v>
          </cell>
          <cell r="J428">
            <v>8256</v>
          </cell>
          <cell r="K428">
            <v>23450</v>
          </cell>
          <cell r="L428"/>
          <cell r="M428">
            <v>141</v>
          </cell>
          <cell r="N428">
            <v>0</v>
          </cell>
          <cell r="O428">
            <v>0</v>
          </cell>
          <cell r="P428">
            <v>141</v>
          </cell>
          <cell r="Q428"/>
          <cell r="R428">
            <v>7578</v>
          </cell>
          <cell r="S428">
            <v>4052</v>
          </cell>
          <cell r="T428">
            <v>11630</v>
          </cell>
        </row>
        <row r="429">
          <cell r="A429">
            <v>94321</v>
          </cell>
          <cell r="B429" t="str">
            <v xml:space="preserve"> LILLINGTON</v>
          </cell>
          <cell r="C429">
            <v>2.8160000000000001E-4</v>
          </cell>
          <cell r="D429">
            <v>2.7760000000000003E-4</v>
          </cell>
          <cell r="E429">
            <v>668052</v>
          </cell>
          <cell r="F429" t="str">
            <v xml:space="preserve"> </v>
          </cell>
          <cell r="G429">
            <v>103064</v>
          </cell>
          <cell r="H429">
            <v>91703</v>
          </cell>
          <cell r="I429">
            <v>177275</v>
          </cell>
          <cell r="J429">
            <v>0</v>
          </cell>
          <cell r="K429">
            <v>372042</v>
          </cell>
          <cell r="L429"/>
          <cell r="M429">
            <v>3458</v>
          </cell>
          <cell r="N429">
            <v>0</v>
          </cell>
          <cell r="O429">
            <v>23408</v>
          </cell>
          <cell r="P429">
            <v>26866</v>
          </cell>
          <cell r="Q429"/>
          <cell r="R429">
            <v>185567</v>
          </cell>
          <cell r="S429">
            <v>-8371</v>
          </cell>
          <cell r="T429">
            <v>177196</v>
          </cell>
        </row>
        <row r="430">
          <cell r="A430">
            <v>94331</v>
          </cell>
          <cell r="B430" t="str">
            <v xml:space="preserve"> ERWIN</v>
          </cell>
          <cell r="C430">
            <v>1.6090000000000001E-4</v>
          </cell>
          <cell r="D430">
            <v>1.3569999999999999E-4</v>
          </cell>
          <cell r="E430">
            <v>381710</v>
          </cell>
          <cell r="F430" t="str">
            <v xml:space="preserve"> </v>
          </cell>
          <cell r="G430">
            <v>58889</v>
          </cell>
          <cell r="H430">
            <v>52397</v>
          </cell>
          <cell r="I430">
            <v>101291</v>
          </cell>
          <cell r="J430">
            <v>20048</v>
          </cell>
          <cell r="K430">
            <v>232625</v>
          </cell>
          <cell r="L430"/>
          <cell r="M430">
            <v>1976</v>
          </cell>
          <cell r="N430">
            <v>0</v>
          </cell>
          <cell r="O430">
            <v>7457</v>
          </cell>
          <cell r="P430">
            <v>9433</v>
          </cell>
          <cell r="Q430"/>
          <cell r="R430">
            <v>106029</v>
          </cell>
          <cell r="S430">
            <v>7534</v>
          </cell>
          <cell r="T430">
            <v>113563</v>
          </cell>
        </row>
        <row r="431">
          <cell r="A431">
            <v>94341</v>
          </cell>
          <cell r="B431" t="str">
            <v xml:space="preserve"> COATS</v>
          </cell>
          <cell r="C431">
            <v>8.3300000000000005E-5</v>
          </cell>
          <cell r="D431">
            <v>9.4699999999999998E-5</v>
          </cell>
          <cell r="E431">
            <v>197616</v>
          </cell>
          <cell r="F431" t="str">
            <v xml:space="preserve"> </v>
          </cell>
          <cell r="G431">
            <v>30487</v>
          </cell>
          <cell r="H431">
            <v>27127</v>
          </cell>
          <cell r="I431">
            <v>52440</v>
          </cell>
          <cell r="J431">
            <v>4074</v>
          </cell>
          <cell r="K431">
            <v>114128</v>
          </cell>
          <cell r="L431"/>
          <cell r="M431">
            <v>1023</v>
          </cell>
          <cell r="N431">
            <v>0</v>
          </cell>
          <cell r="O431">
            <v>12325</v>
          </cell>
          <cell r="P431">
            <v>13348</v>
          </cell>
          <cell r="Q431"/>
          <cell r="R431">
            <v>54892</v>
          </cell>
          <cell r="S431">
            <v>-4230</v>
          </cell>
          <cell r="T431">
            <v>50662</v>
          </cell>
        </row>
        <row r="432">
          <cell r="A432">
            <v>94347</v>
          </cell>
          <cell r="B432" t="str">
            <v xml:space="preserve"> ANGIER ABC BOARD</v>
          </cell>
          <cell r="C432">
            <v>7.9999999999999996E-6</v>
          </cell>
          <cell r="D432">
            <v>1.22E-5</v>
          </cell>
          <cell r="E432">
            <v>18979</v>
          </cell>
          <cell r="F432" t="str">
            <v xml:space="preserve"> </v>
          </cell>
          <cell r="G432">
            <v>2928</v>
          </cell>
          <cell r="H432">
            <v>2605</v>
          </cell>
          <cell r="I432">
            <v>5036</v>
          </cell>
          <cell r="J432">
            <v>2389</v>
          </cell>
          <cell r="K432">
            <v>12958</v>
          </cell>
          <cell r="L432"/>
          <cell r="M432">
            <v>98</v>
          </cell>
          <cell r="N432">
            <v>0</v>
          </cell>
          <cell r="O432">
            <v>948</v>
          </cell>
          <cell r="P432">
            <v>1046</v>
          </cell>
          <cell r="Q432"/>
          <cell r="R432">
            <v>5272</v>
          </cell>
          <cell r="S432">
            <v>1646</v>
          </cell>
          <cell r="T432">
            <v>6918</v>
          </cell>
        </row>
        <row r="433">
          <cell r="A433">
            <v>94351</v>
          </cell>
          <cell r="B433" t="str">
            <v xml:space="preserve"> ANGIER</v>
          </cell>
          <cell r="C433">
            <v>2.477E-4</v>
          </cell>
          <cell r="D433">
            <v>2.433E-4</v>
          </cell>
          <cell r="E433">
            <v>587629</v>
          </cell>
          <cell r="F433" t="str">
            <v xml:space="preserve"> </v>
          </cell>
          <cell r="G433">
            <v>90657</v>
          </cell>
          <cell r="H433">
            <v>80664</v>
          </cell>
          <cell r="I433">
            <v>155934</v>
          </cell>
          <cell r="J433">
            <v>716</v>
          </cell>
          <cell r="K433">
            <v>327971</v>
          </cell>
          <cell r="L433"/>
          <cell r="M433">
            <v>3042</v>
          </cell>
          <cell r="N433">
            <v>0</v>
          </cell>
          <cell r="O433">
            <v>6580</v>
          </cell>
          <cell r="P433">
            <v>9622</v>
          </cell>
          <cell r="Q433"/>
          <cell r="R433">
            <v>163228</v>
          </cell>
          <cell r="S433">
            <v>-2766</v>
          </cell>
          <cell r="T433">
            <v>160462</v>
          </cell>
        </row>
        <row r="434">
          <cell r="A434">
            <v>94401</v>
          </cell>
          <cell r="B434" t="str">
            <v>HAYWOOD COUNTY</v>
          </cell>
          <cell r="C434">
            <v>3.2688999999999999E-3</v>
          </cell>
          <cell r="D434">
            <v>3.2718000000000001E-3</v>
          </cell>
          <cell r="E434">
            <v>7754949</v>
          </cell>
          <cell r="F434" t="str">
            <v xml:space="preserve"> </v>
          </cell>
          <cell r="G434">
            <v>1196404</v>
          </cell>
          <cell r="H434">
            <v>1064524</v>
          </cell>
          <cell r="I434">
            <v>2057864</v>
          </cell>
          <cell r="J434">
            <v>19959</v>
          </cell>
          <cell r="K434">
            <v>4338751</v>
          </cell>
          <cell r="L434"/>
          <cell r="M434">
            <v>40145</v>
          </cell>
          <cell r="N434">
            <v>0</v>
          </cell>
          <cell r="O434">
            <v>62594</v>
          </cell>
          <cell r="P434">
            <v>102739</v>
          </cell>
          <cell r="Q434"/>
          <cell r="R434">
            <v>2154117</v>
          </cell>
          <cell r="S434">
            <v>-9013</v>
          </cell>
          <cell r="T434">
            <v>2145104</v>
          </cell>
        </row>
        <row r="435">
          <cell r="A435">
            <v>94402</v>
          </cell>
          <cell r="B435" t="str">
            <v>HAYWOOD MEDICAL CENTER</v>
          </cell>
          <cell r="C435">
            <v>0</v>
          </cell>
          <cell r="D435">
            <v>0</v>
          </cell>
          <cell r="E435">
            <v>0</v>
          </cell>
          <cell r="F435" t="str">
            <v xml:space="preserve"> </v>
          </cell>
          <cell r="G435">
            <v>0</v>
          </cell>
          <cell r="H435">
            <v>0</v>
          </cell>
          <cell r="I435">
            <v>0</v>
          </cell>
          <cell r="J435">
            <v>0</v>
          </cell>
          <cell r="K435">
            <v>0</v>
          </cell>
          <cell r="L435"/>
          <cell r="M435">
            <v>0</v>
          </cell>
          <cell r="N435">
            <v>0</v>
          </cell>
          <cell r="O435">
            <v>767649</v>
          </cell>
          <cell r="P435">
            <v>767649</v>
          </cell>
          <cell r="Q435"/>
          <cell r="R435">
            <v>0</v>
          </cell>
          <cell r="S435">
            <v>-1006718</v>
          </cell>
          <cell r="T435">
            <v>-1006718</v>
          </cell>
        </row>
        <row r="436">
          <cell r="A436">
            <v>94403</v>
          </cell>
          <cell r="B436" t="str">
            <v>HAYWOOD COUNTY TOURISM DEVELOPMENT AUTHORITY</v>
          </cell>
          <cell r="C436">
            <v>3.1900000000000003E-5</v>
          </cell>
          <cell r="D436">
            <v>2.2099999999999998E-5</v>
          </cell>
          <cell r="E436">
            <v>75678</v>
          </cell>
          <cell r="F436" t="str">
            <v xml:space="preserve"> </v>
          </cell>
          <cell r="G436">
            <v>11675</v>
          </cell>
          <cell r="H436">
            <v>10388</v>
          </cell>
          <cell r="I436">
            <v>20082</v>
          </cell>
          <cell r="J436">
            <v>18814</v>
          </cell>
          <cell r="K436">
            <v>60959</v>
          </cell>
          <cell r="L436"/>
          <cell r="M436">
            <v>392</v>
          </cell>
          <cell r="N436">
            <v>0</v>
          </cell>
          <cell r="O436">
            <v>0</v>
          </cell>
          <cell r="P436">
            <v>392</v>
          </cell>
          <cell r="Q436"/>
          <cell r="R436">
            <v>21021</v>
          </cell>
          <cell r="S436">
            <v>5618</v>
          </cell>
          <cell r="T436">
            <v>26639</v>
          </cell>
        </row>
        <row r="437">
          <cell r="A437">
            <v>94408</v>
          </cell>
          <cell r="B437" t="str">
            <v>JUNALUSKA SANITARY DISTRICT</v>
          </cell>
          <cell r="C437">
            <v>4.6E-5</v>
          </cell>
          <cell r="D437">
            <v>4.2400000000000001E-5</v>
          </cell>
          <cell r="E437">
            <v>109128</v>
          </cell>
          <cell r="F437" t="str">
            <v xml:space="preserve"> </v>
          </cell>
          <cell r="G437">
            <v>16836</v>
          </cell>
          <cell r="H437">
            <v>14980</v>
          </cell>
          <cell r="I437">
            <v>28958</v>
          </cell>
          <cell r="J437">
            <v>4785</v>
          </cell>
          <cell r="K437">
            <v>65559</v>
          </cell>
          <cell r="L437"/>
          <cell r="M437">
            <v>565</v>
          </cell>
          <cell r="N437">
            <v>0</v>
          </cell>
          <cell r="O437">
            <v>2759</v>
          </cell>
          <cell r="P437">
            <v>3324</v>
          </cell>
          <cell r="Q437"/>
          <cell r="R437">
            <v>30313</v>
          </cell>
          <cell r="S437">
            <v>129</v>
          </cell>
          <cell r="T437">
            <v>30442</v>
          </cell>
        </row>
        <row r="438">
          <cell r="A438">
            <v>94411</v>
          </cell>
          <cell r="B438" t="str">
            <v xml:space="preserve"> WAYNESVILLE</v>
          </cell>
          <cell r="C438">
            <v>1.2620000000000001E-3</v>
          </cell>
          <cell r="D438">
            <v>1.2672E-3</v>
          </cell>
          <cell r="E438">
            <v>2993896</v>
          </cell>
          <cell r="F438" t="str">
            <v xml:space="preserve"> </v>
          </cell>
          <cell r="G438">
            <v>461887</v>
          </cell>
          <cell r="H438">
            <v>410973</v>
          </cell>
          <cell r="I438">
            <v>794464</v>
          </cell>
          <cell r="J438">
            <v>43913</v>
          </cell>
          <cell r="K438">
            <v>1711237</v>
          </cell>
          <cell r="L438"/>
          <cell r="M438">
            <v>15499</v>
          </cell>
          <cell r="N438">
            <v>0</v>
          </cell>
          <cell r="O438">
            <v>31638</v>
          </cell>
          <cell r="P438">
            <v>47137</v>
          </cell>
          <cell r="Q438"/>
          <cell r="R438">
            <v>831624</v>
          </cell>
          <cell r="S438">
            <v>10868</v>
          </cell>
          <cell r="T438">
            <v>842492</v>
          </cell>
        </row>
        <row r="439">
          <cell r="A439">
            <v>94412</v>
          </cell>
          <cell r="B439" t="str">
            <v>WAYNESVILLE ABC BOARD</v>
          </cell>
          <cell r="C439">
            <v>1.5500000000000001E-5</v>
          </cell>
          <cell r="D439">
            <v>1.5099999999999999E-5</v>
          </cell>
          <cell r="E439">
            <v>36771</v>
          </cell>
          <cell r="F439" t="str">
            <v xml:space="preserve"> </v>
          </cell>
          <cell r="G439">
            <v>5673</v>
          </cell>
          <cell r="H439">
            <v>5047</v>
          </cell>
          <cell r="I439">
            <v>9758</v>
          </cell>
          <cell r="J439">
            <v>12196</v>
          </cell>
          <cell r="K439">
            <v>32674</v>
          </cell>
          <cell r="L439"/>
          <cell r="M439">
            <v>190</v>
          </cell>
          <cell r="N439">
            <v>0</v>
          </cell>
          <cell r="O439">
            <v>0</v>
          </cell>
          <cell r="P439">
            <v>190</v>
          </cell>
          <cell r="Q439"/>
          <cell r="R439">
            <v>10214</v>
          </cell>
          <cell r="S439">
            <v>7254</v>
          </cell>
          <cell r="T439">
            <v>17468</v>
          </cell>
        </row>
        <row r="440">
          <cell r="A440">
            <v>94421</v>
          </cell>
          <cell r="B440" t="str">
            <v xml:space="preserve"> MAGGIE VALLEY</v>
          </cell>
          <cell r="C440">
            <v>1.6080000000000001E-4</v>
          </cell>
          <cell r="D440">
            <v>1.6679999999999999E-4</v>
          </cell>
          <cell r="E440">
            <v>381473</v>
          </cell>
          <cell r="F440" t="str">
            <v xml:space="preserve"> </v>
          </cell>
          <cell r="G440">
            <v>58852</v>
          </cell>
          <cell r="H440">
            <v>52365</v>
          </cell>
          <cell r="I440">
            <v>101228</v>
          </cell>
          <cell r="J440">
            <v>2434</v>
          </cell>
          <cell r="K440">
            <v>214879</v>
          </cell>
          <cell r="L440"/>
          <cell r="M440">
            <v>1975</v>
          </cell>
          <cell r="N440">
            <v>0</v>
          </cell>
          <cell r="O440">
            <v>6283</v>
          </cell>
          <cell r="P440">
            <v>8258</v>
          </cell>
          <cell r="Q440"/>
          <cell r="R440">
            <v>105963</v>
          </cell>
          <cell r="S440">
            <v>-5086</v>
          </cell>
          <cell r="T440">
            <v>100877</v>
          </cell>
        </row>
        <row r="441">
          <cell r="A441">
            <v>94427</v>
          </cell>
          <cell r="B441" t="str">
            <v>MAGGIE VALLEY ABC BOARD</v>
          </cell>
          <cell r="C441">
            <v>1.63E-5</v>
          </cell>
          <cell r="D441">
            <v>1.5699999999999999E-5</v>
          </cell>
          <cell r="E441">
            <v>38669</v>
          </cell>
          <cell r="F441" t="str">
            <v xml:space="preserve"> </v>
          </cell>
          <cell r="G441">
            <v>5966</v>
          </cell>
          <cell r="H441">
            <v>5308</v>
          </cell>
          <cell r="I441">
            <v>10261</v>
          </cell>
          <cell r="J441">
            <v>5569</v>
          </cell>
          <cell r="K441">
            <v>27104</v>
          </cell>
          <cell r="L441"/>
          <cell r="M441">
            <v>200</v>
          </cell>
          <cell r="N441">
            <v>0</v>
          </cell>
          <cell r="O441">
            <v>246</v>
          </cell>
          <cell r="P441">
            <v>446</v>
          </cell>
          <cell r="Q441"/>
          <cell r="R441">
            <v>10741</v>
          </cell>
          <cell r="S441">
            <v>1607</v>
          </cell>
          <cell r="T441">
            <v>12348</v>
          </cell>
        </row>
        <row r="442">
          <cell r="A442">
            <v>94428</v>
          </cell>
          <cell r="B442" t="str">
            <v>MAGGIE VALLEY SANITARY DIST</v>
          </cell>
          <cell r="C442">
            <v>7.2000000000000002E-5</v>
          </cell>
          <cell r="D442">
            <v>6.5199999999999999E-5</v>
          </cell>
          <cell r="E442">
            <v>170809</v>
          </cell>
          <cell r="F442" t="str">
            <v xml:space="preserve"> </v>
          </cell>
          <cell r="G442">
            <v>26352</v>
          </cell>
          <cell r="H442">
            <v>23447</v>
          </cell>
          <cell r="I442">
            <v>45326</v>
          </cell>
          <cell r="J442">
            <v>7270</v>
          </cell>
          <cell r="K442">
            <v>102395</v>
          </cell>
          <cell r="L442"/>
          <cell r="M442">
            <v>884</v>
          </cell>
          <cell r="N442">
            <v>0</v>
          </cell>
          <cell r="O442">
            <v>2510</v>
          </cell>
          <cell r="P442">
            <v>3394</v>
          </cell>
          <cell r="Q442"/>
          <cell r="R442">
            <v>47446</v>
          </cell>
          <cell r="S442">
            <v>1904</v>
          </cell>
          <cell r="T442">
            <v>49350</v>
          </cell>
        </row>
        <row r="443">
          <cell r="A443">
            <v>94431</v>
          </cell>
          <cell r="B443" t="str">
            <v xml:space="preserve"> CANTON</v>
          </cell>
          <cell r="C443">
            <v>3.882E-4</v>
          </cell>
          <cell r="D443">
            <v>4.2440000000000002E-4</v>
          </cell>
          <cell r="E443">
            <v>920943</v>
          </cell>
          <cell r="F443" t="str">
            <v xml:space="preserve"> </v>
          </cell>
          <cell r="G443">
            <v>142080</v>
          </cell>
          <cell r="H443">
            <v>126418</v>
          </cell>
          <cell r="I443">
            <v>244383</v>
          </cell>
          <cell r="J443">
            <v>207234</v>
          </cell>
          <cell r="K443">
            <v>720115</v>
          </cell>
          <cell r="L443"/>
          <cell r="M443">
            <v>4767</v>
          </cell>
          <cell r="N443">
            <v>0</v>
          </cell>
          <cell r="O443">
            <v>0</v>
          </cell>
          <cell r="P443">
            <v>4767</v>
          </cell>
          <cell r="Q443"/>
          <cell r="R443">
            <v>255813</v>
          </cell>
          <cell r="S443">
            <v>84678</v>
          </cell>
          <cell r="T443">
            <v>340491</v>
          </cell>
        </row>
        <row r="444">
          <cell r="A444">
            <v>94437</v>
          </cell>
          <cell r="B444" t="str">
            <v>CANTON ABC BOARD</v>
          </cell>
          <cell r="C444">
            <v>1.63E-5</v>
          </cell>
          <cell r="D444">
            <v>1.5299999999999999E-5</v>
          </cell>
          <cell r="E444">
            <v>38669</v>
          </cell>
          <cell r="F444" t="str">
            <v xml:space="preserve"> </v>
          </cell>
          <cell r="G444">
            <v>5966</v>
          </cell>
          <cell r="H444">
            <v>5308</v>
          </cell>
          <cell r="I444">
            <v>10261</v>
          </cell>
          <cell r="J444">
            <v>13304</v>
          </cell>
          <cell r="K444">
            <v>34839</v>
          </cell>
          <cell r="L444"/>
          <cell r="M444">
            <v>200</v>
          </cell>
          <cell r="N444">
            <v>0</v>
          </cell>
          <cell r="O444">
            <v>0</v>
          </cell>
          <cell r="P444">
            <v>200</v>
          </cell>
          <cell r="Q444"/>
          <cell r="R444">
            <v>10741</v>
          </cell>
          <cell r="S444">
            <v>6892</v>
          </cell>
          <cell r="T444">
            <v>17633</v>
          </cell>
        </row>
        <row r="445">
          <cell r="A445">
            <v>94501</v>
          </cell>
          <cell r="B445" t="str">
            <v>COUNTY OF HENDERSON</v>
          </cell>
          <cell r="C445">
            <v>5.8639E-3</v>
          </cell>
          <cell r="D445">
            <v>5.6991000000000003E-3</v>
          </cell>
          <cell r="E445">
            <v>13911176</v>
          </cell>
          <cell r="F445" t="str">
            <v xml:space="preserve"> </v>
          </cell>
          <cell r="G445">
            <v>2146164</v>
          </cell>
          <cell r="H445">
            <v>1909591</v>
          </cell>
          <cell r="I445">
            <v>3691489</v>
          </cell>
          <cell r="J445">
            <v>148578</v>
          </cell>
          <cell r="K445">
            <v>7895822</v>
          </cell>
          <cell r="L445"/>
          <cell r="M445">
            <v>72015</v>
          </cell>
          <cell r="N445">
            <v>0</v>
          </cell>
          <cell r="O445">
            <v>8676</v>
          </cell>
          <cell r="P445">
            <v>80691</v>
          </cell>
          <cell r="Q445"/>
          <cell r="R445">
            <v>3864152</v>
          </cell>
          <cell r="S445">
            <v>125529</v>
          </cell>
          <cell r="T445">
            <v>3989681</v>
          </cell>
        </row>
        <row r="446">
          <cell r="A446">
            <v>94511</v>
          </cell>
          <cell r="B446" t="str">
            <v>CITY OF HENDERSONVILLE</v>
          </cell>
          <cell r="C446">
            <v>1.9548999999999999E-3</v>
          </cell>
          <cell r="D446">
            <v>1.8538999999999999E-3</v>
          </cell>
          <cell r="E446">
            <v>4637691</v>
          </cell>
          <cell r="F446" t="str">
            <v xml:space="preserve"> </v>
          </cell>
          <cell r="G446">
            <v>715486</v>
          </cell>
          <cell r="H446">
            <v>636617</v>
          </cell>
          <cell r="I446">
            <v>1230664</v>
          </cell>
          <cell r="J446">
            <v>90765</v>
          </cell>
          <cell r="K446">
            <v>2673532</v>
          </cell>
          <cell r="L446"/>
          <cell r="M446">
            <v>24008</v>
          </cell>
          <cell r="N446">
            <v>0</v>
          </cell>
          <cell r="O446">
            <v>20572</v>
          </cell>
          <cell r="P446">
            <v>44580</v>
          </cell>
          <cell r="Q446"/>
          <cell r="R446">
            <v>1288226</v>
          </cell>
          <cell r="S446">
            <v>77659</v>
          </cell>
          <cell r="T446">
            <v>1365885</v>
          </cell>
        </row>
        <row r="447">
          <cell r="A447">
            <v>94512</v>
          </cell>
          <cell r="B447" t="str">
            <v>HENDERSONVILLE WATER COMMISSION</v>
          </cell>
          <cell r="C447">
            <v>0</v>
          </cell>
          <cell r="D447">
            <v>0</v>
          </cell>
          <cell r="E447">
            <v>0</v>
          </cell>
          <cell r="F447" t="str">
            <v xml:space="preserve"> </v>
          </cell>
          <cell r="G447">
            <v>0</v>
          </cell>
          <cell r="H447">
            <v>0</v>
          </cell>
          <cell r="I447">
            <v>0</v>
          </cell>
          <cell r="J447">
            <v>0</v>
          </cell>
          <cell r="K447">
            <v>0</v>
          </cell>
          <cell r="L447"/>
          <cell r="M447">
            <v>0</v>
          </cell>
          <cell r="N447">
            <v>0</v>
          </cell>
          <cell r="O447">
            <v>59923</v>
          </cell>
          <cell r="P447">
            <v>59923</v>
          </cell>
          <cell r="Q447"/>
          <cell r="R447">
            <v>0</v>
          </cell>
          <cell r="S447">
            <v>-78657</v>
          </cell>
          <cell r="T447">
            <v>-78657</v>
          </cell>
        </row>
        <row r="448">
          <cell r="A448">
            <v>94517</v>
          </cell>
          <cell r="B448" t="str">
            <v>HENDERSONVILLE ABC BD</v>
          </cell>
          <cell r="C448">
            <v>3.6199999999999999E-5</v>
          </cell>
          <cell r="D448">
            <v>4.7599999999999998E-5</v>
          </cell>
          <cell r="E448">
            <v>85879</v>
          </cell>
          <cell r="F448" t="str">
            <v xml:space="preserve"> </v>
          </cell>
          <cell r="G448">
            <v>13249</v>
          </cell>
          <cell r="H448">
            <v>11789</v>
          </cell>
          <cell r="I448">
            <v>22789</v>
          </cell>
          <cell r="J448">
            <v>12828</v>
          </cell>
          <cell r="K448">
            <v>60655</v>
          </cell>
          <cell r="L448"/>
          <cell r="M448">
            <v>445</v>
          </cell>
          <cell r="N448">
            <v>0</v>
          </cell>
          <cell r="O448">
            <v>0</v>
          </cell>
          <cell r="P448">
            <v>445</v>
          </cell>
          <cell r="Q448"/>
          <cell r="R448">
            <v>23855</v>
          </cell>
          <cell r="S448">
            <v>9761</v>
          </cell>
          <cell r="T448">
            <v>33616</v>
          </cell>
        </row>
        <row r="449">
          <cell r="A449">
            <v>94521</v>
          </cell>
          <cell r="B449" t="str">
            <v xml:space="preserve"> LAUREL PARK</v>
          </cell>
          <cell r="C449">
            <v>1.5880000000000001E-4</v>
          </cell>
          <cell r="D449">
            <v>1.517E-4</v>
          </cell>
          <cell r="E449">
            <v>376728</v>
          </cell>
          <cell r="F449" t="str">
            <v xml:space="preserve"> </v>
          </cell>
          <cell r="G449">
            <v>58120</v>
          </cell>
          <cell r="H449">
            <v>51714</v>
          </cell>
          <cell r="I449">
            <v>99969</v>
          </cell>
          <cell r="J449">
            <v>10090</v>
          </cell>
          <cell r="K449">
            <v>219893</v>
          </cell>
          <cell r="L449"/>
          <cell r="M449">
            <v>1950</v>
          </cell>
          <cell r="N449">
            <v>0</v>
          </cell>
          <cell r="O449">
            <v>14325</v>
          </cell>
          <cell r="P449">
            <v>16275</v>
          </cell>
          <cell r="Q449"/>
          <cell r="R449">
            <v>104645</v>
          </cell>
          <cell r="S449">
            <v>-908</v>
          </cell>
          <cell r="T449">
            <v>103737</v>
          </cell>
        </row>
        <row r="450">
          <cell r="A450">
            <v>94527</v>
          </cell>
          <cell r="B450" t="str">
            <v>LAUREL PARK ABC BOARD</v>
          </cell>
          <cell r="C450">
            <v>6.6000000000000003E-6</v>
          </cell>
          <cell r="D450">
            <v>5.4E-6</v>
          </cell>
          <cell r="E450">
            <v>15657</v>
          </cell>
          <cell r="F450" t="str">
            <v xml:space="preserve"> </v>
          </cell>
          <cell r="G450">
            <v>2416</v>
          </cell>
          <cell r="H450">
            <v>2149</v>
          </cell>
          <cell r="I450">
            <v>4155</v>
          </cell>
          <cell r="J450">
            <v>803</v>
          </cell>
          <cell r="K450">
            <v>9523</v>
          </cell>
          <cell r="L450"/>
          <cell r="M450">
            <v>81</v>
          </cell>
          <cell r="N450">
            <v>0</v>
          </cell>
          <cell r="O450">
            <v>2247</v>
          </cell>
          <cell r="P450">
            <v>2328</v>
          </cell>
          <cell r="Q450"/>
          <cell r="R450">
            <v>4349</v>
          </cell>
          <cell r="S450">
            <v>-787</v>
          </cell>
          <cell r="T450">
            <v>3562</v>
          </cell>
        </row>
        <row r="451">
          <cell r="A451">
            <v>94531</v>
          </cell>
          <cell r="B451" t="str">
            <v>THE  FLAT ROCK</v>
          </cell>
          <cell r="C451">
            <v>1.4E-5</v>
          </cell>
          <cell r="D451">
            <v>1.5E-5</v>
          </cell>
          <cell r="E451">
            <v>33213</v>
          </cell>
          <cell r="F451" t="str">
            <v xml:space="preserve"> </v>
          </cell>
          <cell r="G451">
            <v>5124</v>
          </cell>
          <cell r="H451">
            <v>4559</v>
          </cell>
          <cell r="I451">
            <v>8813</v>
          </cell>
          <cell r="J451">
            <v>7957</v>
          </cell>
          <cell r="K451">
            <v>26453</v>
          </cell>
          <cell r="L451"/>
          <cell r="M451">
            <v>172</v>
          </cell>
          <cell r="N451">
            <v>0</v>
          </cell>
          <cell r="O451">
            <v>0</v>
          </cell>
          <cell r="P451">
            <v>172</v>
          </cell>
          <cell r="Q451"/>
          <cell r="R451">
            <v>9226</v>
          </cell>
          <cell r="S451">
            <v>3665</v>
          </cell>
          <cell r="T451">
            <v>12891</v>
          </cell>
        </row>
        <row r="452">
          <cell r="A452">
            <v>94532</v>
          </cell>
          <cell r="B452" t="str">
            <v>BLUE RIDGE FIRE DEPARTMENT</v>
          </cell>
          <cell r="C452">
            <v>1.0280000000000001E-4</v>
          </cell>
          <cell r="D452">
            <v>8.7800000000000006E-5</v>
          </cell>
          <cell r="E452">
            <v>243877</v>
          </cell>
          <cell r="F452" t="str">
            <v xml:space="preserve"> </v>
          </cell>
          <cell r="G452">
            <v>37624</v>
          </cell>
          <cell r="H452">
            <v>33477</v>
          </cell>
          <cell r="I452">
            <v>64715</v>
          </cell>
          <cell r="J452">
            <v>9560</v>
          </cell>
          <cell r="K452">
            <v>145376</v>
          </cell>
          <cell r="L452"/>
          <cell r="M452">
            <v>1262</v>
          </cell>
          <cell r="N452">
            <v>0</v>
          </cell>
          <cell r="O452">
            <v>4871</v>
          </cell>
          <cell r="P452">
            <v>6133</v>
          </cell>
          <cell r="Q452"/>
          <cell r="R452">
            <v>67742</v>
          </cell>
          <cell r="S452">
            <v>-3107</v>
          </cell>
          <cell r="T452">
            <v>64635</v>
          </cell>
        </row>
        <row r="453">
          <cell r="A453">
            <v>94541</v>
          </cell>
          <cell r="B453" t="str">
            <v xml:space="preserve"> FLETCHER</v>
          </cell>
          <cell r="C453">
            <v>2.8219999999999997E-4</v>
          </cell>
          <cell r="D453">
            <v>2.9300000000000002E-4</v>
          </cell>
          <cell r="E453">
            <v>669475</v>
          </cell>
          <cell r="F453" t="str">
            <v xml:space="preserve"> </v>
          </cell>
          <cell r="G453">
            <v>103284</v>
          </cell>
          <cell r="H453">
            <v>91899</v>
          </cell>
          <cell r="I453">
            <v>177653</v>
          </cell>
          <cell r="J453">
            <v>0</v>
          </cell>
          <cell r="K453">
            <v>372836</v>
          </cell>
          <cell r="L453"/>
          <cell r="M453">
            <v>3466</v>
          </cell>
          <cell r="N453">
            <v>0</v>
          </cell>
          <cell r="O453">
            <v>31668</v>
          </cell>
          <cell r="P453">
            <v>35134</v>
          </cell>
          <cell r="Q453"/>
          <cell r="R453">
            <v>185962</v>
          </cell>
          <cell r="S453">
            <v>-14289</v>
          </cell>
          <cell r="T453">
            <v>171673</v>
          </cell>
        </row>
        <row r="454">
          <cell r="A454">
            <v>94547</v>
          </cell>
          <cell r="B454" t="str">
            <v>FLETCHER ABC BOARD</v>
          </cell>
          <cell r="C454">
            <v>1.01E-5</v>
          </cell>
          <cell r="D454">
            <v>1.08E-5</v>
          </cell>
          <cell r="E454">
            <v>23961</v>
          </cell>
          <cell r="F454" t="str">
            <v xml:space="preserve"> </v>
          </cell>
          <cell r="G454">
            <v>3697</v>
          </cell>
          <cell r="H454">
            <v>3289</v>
          </cell>
          <cell r="I454">
            <v>6358</v>
          </cell>
          <cell r="J454">
            <v>4672</v>
          </cell>
          <cell r="K454">
            <v>18016</v>
          </cell>
          <cell r="L454"/>
          <cell r="M454">
            <v>124</v>
          </cell>
          <cell r="N454">
            <v>0</v>
          </cell>
          <cell r="O454">
            <v>0</v>
          </cell>
          <cell r="P454">
            <v>124</v>
          </cell>
          <cell r="Q454"/>
          <cell r="R454">
            <v>6656</v>
          </cell>
          <cell r="S454">
            <v>1705</v>
          </cell>
          <cell r="T454">
            <v>8361</v>
          </cell>
        </row>
        <row r="455">
          <cell r="A455">
            <v>94551</v>
          </cell>
          <cell r="B455" t="str">
            <v xml:space="preserve"> MILLS RIVER</v>
          </cell>
          <cell r="C455">
            <v>4.9200000000000003E-5</v>
          </cell>
          <cell r="D455">
            <v>4.1900000000000002E-5</v>
          </cell>
          <cell r="E455">
            <v>116719</v>
          </cell>
          <cell r="F455" t="str">
            <v xml:space="preserve"> </v>
          </cell>
          <cell r="G455">
            <v>18007</v>
          </cell>
          <cell r="H455">
            <v>16022</v>
          </cell>
          <cell r="I455">
            <v>30973</v>
          </cell>
          <cell r="J455">
            <v>13168</v>
          </cell>
          <cell r="K455">
            <v>78170</v>
          </cell>
          <cell r="L455"/>
          <cell r="M455">
            <v>604</v>
          </cell>
          <cell r="N455">
            <v>0</v>
          </cell>
          <cell r="O455">
            <v>710</v>
          </cell>
          <cell r="P455">
            <v>1314</v>
          </cell>
          <cell r="Q455"/>
          <cell r="R455">
            <v>32421</v>
          </cell>
          <cell r="S455">
            <v>5732</v>
          </cell>
          <cell r="T455">
            <v>38153</v>
          </cell>
        </row>
        <row r="456">
          <cell r="A456">
            <v>94601</v>
          </cell>
          <cell r="B456" t="str">
            <v>HERTFORD COUNTY</v>
          </cell>
          <cell r="C456">
            <v>1.0712E-3</v>
          </cell>
          <cell r="D456">
            <v>1.0602999999999999E-3</v>
          </cell>
          <cell r="E456">
            <v>2541253</v>
          </cell>
          <cell r="F456" t="str">
            <v xml:space="preserve"> </v>
          </cell>
          <cell r="G456">
            <v>392055</v>
          </cell>
          <cell r="H456">
            <v>348838</v>
          </cell>
          <cell r="I456">
            <v>674350</v>
          </cell>
          <cell r="J456">
            <v>72678</v>
          </cell>
          <cell r="K456">
            <v>1487921</v>
          </cell>
          <cell r="L456"/>
          <cell r="M456">
            <v>13155</v>
          </cell>
          <cell r="N456">
            <v>0</v>
          </cell>
          <cell r="O456">
            <v>984</v>
          </cell>
          <cell r="P456">
            <v>14139</v>
          </cell>
          <cell r="Q456"/>
          <cell r="R456">
            <v>705892</v>
          </cell>
          <cell r="S456">
            <v>26134</v>
          </cell>
          <cell r="T456">
            <v>732026</v>
          </cell>
        </row>
        <row r="457">
          <cell r="A457">
            <v>94604</v>
          </cell>
          <cell r="B457" t="str">
            <v>HERTFORD COUNTY ABC BOARD</v>
          </cell>
          <cell r="C457">
            <v>2.7699999999999999E-5</v>
          </cell>
          <cell r="D457">
            <v>2.62E-5</v>
          </cell>
          <cell r="E457">
            <v>65714</v>
          </cell>
          <cell r="F457" t="str">
            <v xml:space="preserve"> </v>
          </cell>
          <cell r="G457">
            <v>10138</v>
          </cell>
          <cell r="H457">
            <v>9021</v>
          </cell>
          <cell r="I457">
            <v>17438</v>
          </cell>
          <cell r="J457">
            <v>3578</v>
          </cell>
          <cell r="K457">
            <v>40175</v>
          </cell>
          <cell r="L457"/>
          <cell r="M457">
            <v>340</v>
          </cell>
          <cell r="N457">
            <v>0</v>
          </cell>
          <cell r="O457">
            <v>0</v>
          </cell>
          <cell r="P457">
            <v>340</v>
          </cell>
          <cell r="Q457"/>
          <cell r="R457">
            <v>18254</v>
          </cell>
          <cell r="S457">
            <v>1154</v>
          </cell>
          <cell r="T457">
            <v>19408</v>
          </cell>
        </row>
        <row r="458">
          <cell r="A458">
            <v>94606</v>
          </cell>
          <cell r="B458" t="str">
            <v>HERTFORD COUNTY PUBLIC HEALTH AUTHORITY</v>
          </cell>
          <cell r="C458">
            <v>1.9019999999999999E-4</v>
          </cell>
          <cell r="D458">
            <v>2.3550000000000001E-4</v>
          </cell>
          <cell r="E458">
            <v>451219</v>
          </cell>
          <cell r="F458" t="str">
            <v xml:space="preserve"> </v>
          </cell>
          <cell r="G458">
            <v>69612</v>
          </cell>
          <cell r="H458">
            <v>61939</v>
          </cell>
          <cell r="I458">
            <v>119736</v>
          </cell>
          <cell r="J458">
            <v>0</v>
          </cell>
          <cell r="K458">
            <v>251287</v>
          </cell>
          <cell r="L458"/>
          <cell r="M458">
            <v>2336</v>
          </cell>
          <cell r="N458">
            <v>0</v>
          </cell>
          <cell r="O458">
            <v>52852</v>
          </cell>
          <cell r="P458">
            <v>55188</v>
          </cell>
          <cell r="Q458"/>
          <cell r="R458">
            <v>125337</v>
          </cell>
          <cell r="S458">
            <v>-30387</v>
          </cell>
          <cell r="T458">
            <v>94950</v>
          </cell>
        </row>
        <row r="459">
          <cell r="A459">
            <v>94611</v>
          </cell>
          <cell r="B459" t="str">
            <v xml:space="preserve"> AHOSKIE</v>
          </cell>
          <cell r="C459">
            <v>3.5149999999999998E-4</v>
          </cell>
          <cell r="D459">
            <v>3.6850000000000001E-4</v>
          </cell>
          <cell r="E459">
            <v>833878</v>
          </cell>
          <cell r="F459" t="str">
            <v xml:space="preserve"> </v>
          </cell>
          <cell r="G459">
            <v>128648</v>
          </cell>
          <cell r="H459">
            <v>114467</v>
          </cell>
          <cell r="I459">
            <v>221279</v>
          </cell>
          <cell r="J459">
            <v>1175</v>
          </cell>
          <cell r="K459">
            <v>465569</v>
          </cell>
          <cell r="L459"/>
          <cell r="M459">
            <v>4317</v>
          </cell>
          <cell r="N459">
            <v>0</v>
          </cell>
          <cell r="O459">
            <v>24785</v>
          </cell>
          <cell r="P459">
            <v>29102</v>
          </cell>
          <cell r="Q459"/>
          <cell r="R459">
            <v>231629</v>
          </cell>
          <cell r="S459">
            <v>-9311</v>
          </cell>
          <cell r="T459">
            <v>222318</v>
          </cell>
        </row>
        <row r="460">
          <cell r="A460">
            <v>94621</v>
          </cell>
          <cell r="B460" t="str">
            <v xml:space="preserve"> MURFREESBORO</v>
          </cell>
          <cell r="C460">
            <v>1.0450000000000001E-4</v>
          </cell>
          <cell r="D460">
            <v>9.7600000000000001E-5</v>
          </cell>
          <cell r="E460">
            <v>247910</v>
          </cell>
          <cell r="F460" t="str">
            <v xml:space="preserve"> </v>
          </cell>
          <cell r="G460">
            <v>38247</v>
          </cell>
          <cell r="H460">
            <v>34031</v>
          </cell>
          <cell r="I460">
            <v>65786</v>
          </cell>
          <cell r="J460">
            <v>19728</v>
          </cell>
          <cell r="K460">
            <v>157792</v>
          </cell>
          <cell r="L460"/>
          <cell r="M460">
            <v>1283</v>
          </cell>
          <cell r="N460">
            <v>0</v>
          </cell>
          <cell r="O460">
            <v>10114</v>
          </cell>
          <cell r="P460">
            <v>11397</v>
          </cell>
          <cell r="Q460"/>
          <cell r="R460">
            <v>68863</v>
          </cell>
          <cell r="S460">
            <v>3576</v>
          </cell>
          <cell r="T460">
            <v>72439</v>
          </cell>
        </row>
        <row r="461">
          <cell r="A461">
            <v>94631</v>
          </cell>
          <cell r="B461" t="str">
            <v xml:space="preserve"> WINTON</v>
          </cell>
          <cell r="C461">
            <v>4.4799999999999998E-5</v>
          </cell>
          <cell r="D461">
            <v>3.9100000000000002E-5</v>
          </cell>
          <cell r="E461">
            <v>106281</v>
          </cell>
          <cell r="F461" t="str">
            <v xml:space="preserve"> </v>
          </cell>
          <cell r="G461">
            <v>16397</v>
          </cell>
          <cell r="H461">
            <v>14590</v>
          </cell>
          <cell r="I461">
            <v>28203</v>
          </cell>
          <cell r="J461">
            <v>7035</v>
          </cell>
          <cell r="K461">
            <v>66225</v>
          </cell>
          <cell r="L461"/>
          <cell r="M461">
            <v>550</v>
          </cell>
          <cell r="N461">
            <v>0</v>
          </cell>
          <cell r="O461">
            <v>0</v>
          </cell>
          <cell r="P461">
            <v>550</v>
          </cell>
          <cell r="Q461"/>
          <cell r="R461">
            <v>29522</v>
          </cell>
          <cell r="S461">
            <v>3256</v>
          </cell>
          <cell r="T461">
            <v>32778</v>
          </cell>
        </row>
        <row r="462">
          <cell r="A462">
            <v>94641</v>
          </cell>
          <cell r="B462" t="str">
            <v xml:space="preserve"> COFIELD</v>
          </cell>
          <cell r="C462">
            <v>3.5999999999999998E-6</v>
          </cell>
          <cell r="D462">
            <v>3.8999999999999999E-6</v>
          </cell>
          <cell r="E462">
            <v>8540</v>
          </cell>
          <cell r="F462" t="str">
            <v xml:space="preserve"> </v>
          </cell>
          <cell r="G462">
            <v>1318</v>
          </cell>
          <cell r="H462">
            <v>1173</v>
          </cell>
          <cell r="I462">
            <v>2266</v>
          </cell>
          <cell r="J462">
            <v>5161</v>
          </cell>
          <cell r="K462">
            <v>9918</v>
          </cell>
          <cell r="L462"/>
          <cell r="M462">
            <v>44</v>
          </cell>
          <cell r="N462">
            <v>0</v>
          </cell>
          <cell r="O462">
            <v>0</v>
          </cell>
          <cell r="P462">
            <v>44</v>
          </cell>
          <cell r="Q462"/>
          <cell r="R462">
            <v>2372</v>
          </cell>
          <cell r="S462">
            <v>2728</v>
          </cell>
          <cell r="T462">
            <v>5100</v>
          </cell>
        </row>
        <row r="463">
          <cell r="A463">
            <v>94701</v>
          </cell>
          <cell r="B463" t="str">
            <v>HOKE COUNTY</v>
          </cell>
          <cell r="C463">
            <v>2.3993999999999999E-3</v>
          </cell>
          <cell r="D463">
            <v>2.5446000000000002E-3</v>
          </cell>
          <cell r="E463">
            <v>5692197</v>
          </cell>
          <cell r="F463" t="str">
            <v xml:space="preserve"> </v>
          </cell>
          <cell r="G463">
            <v>878171</v>
          </cell>
          <cell r="H463">
            <v>781370</v>
          </cell>
          <cell r="I463">
            <v>1510489</v>
          </cell>
          <cell r="J463">
            <v>14859</v>
          </cell>
          <cell r="K463">
            <v>3184889</v>
          </cell>
          <cell r="L463"/>
          <cell r="M463">
            <v>29467</v>
          </cell>
          <cell r="N463">
            <v>0</v>
          </cell>
          <cell r="O463">
            <v>188404</v>
          </cell>
          <cell r="P463">
            <v>217871</v>
          </cell>
          <cell r="Q463"/>
          <cell r="R463">
            <v>1581140</v>
          </cell>
          <cell r="S463">
            <v>-32473</v>
          </cell>
          <cell r="T463">
            <v>1548667</v>
          </cell>
        </row>
        <row r="464">
          <cell r="A464">
            <v>94704</v>
          </cell>
          <cell r="B464" t="str">
            <v>HOKE COUNTY ABC BOARD</v>
          </cell>
          <cell r="C464">
            <v>1.63E-5</v>
          </cell>
          <cell r="D464">
            <v>9.5000000000000005E-6</v>
          </cell>
          <cell r="E464">
            <v>38669</v>
          </cell>
          <cell r="F464" t="str">
            <v xml:space="preserve"> </v>
          </cell>
          <cell r="G464">
            <v>5966</v>
          </cell>
          <cell r="H464">
            <v>5308</v>
          </cell>
          <cell r="I464">
            <v>10261</v>
          </cell>
          <cell r="J464">
            <v>4937</v>
          </cell>
          <cell r="K464">
            <v>26472</v>
          </cell>
          <cell r="L464"/>
          <cell r="M464">
            <v>200</v>
          </cell>
          <cell r="N464">
            <v>0</v>
          </cell>
          <cell r="O464">
            <v>69</v>
          </cell>
          <cell r="P464">
            <v>269</v>
          </cell>
          <cell r="Q464"/>
          <cell r="R464">
            <v>10741</v>
          </cell>
          <cell r="S464">
            <v>1269</v>
          </cell>
          <cell r="T464">
            <v>12010</v>
          </cell>
        </row>
        <row r="465">
          <cell r="A465">
            <v>94711</v>
          </cell>
          <cell r="B465" t="str">
            <v xml:space="preserve"> RAEFORD</v>
          </cell>
          <cell r="C465">
            <v>3.3589999999999998E-4</v>
          </cell>
          <cell r="D465">
            <v>3.3599999999999998E-4</v>
          </cell>
          <cell r="E465">
            <v>796870</v>
          </cell>
          <cell r="F465"/>
          <cell r="G465">
            <v>122938</v>
          </cell>
          <cell r="H465">
            <v>109386</v>
          </cell>
          <cell r="I465">
            <v>211458</v>
          </cell>
          <cell r="J465">
            <v>6983</v>
          </cell>
          <cell r="K465">
            <v>450765</v>
          </cell>
          <cell r="L465"/>
          <cell r="M465">
            <v>4125</v>
          </cell>
          <cell r="N465">
            <v>0</v>
          </cell>
          <cell r="O465">
            <v>2875</v>
          </cell>
          <cell r="P465">
            <v>7000</v>
          </cell>
          <cell r="Q465"/>
          <cell r="R465">
            <v>221349</v>
          </cell>
          <cell r="S465">
            <v>1908</v>
          </cell>
          <cell r="T465">
            <v>223257</v>
          </cell>
        </row>
        <row r="466">
          <cell r="A466">
            <v>94801</v>
          </cell>
          <cell r="B466" t="str">
            <v>HYDE COUNTY</v>
          </cell>
          <cell r="C466">
            <v>6.7719999999999998E-4</v>
          </cell>
          <cell r="D466">
            <v>7.2440000000000004E-4</v>
          </cell>
          <cell r="E466">
            <v>1606550</v>
          </cell>
          <cell r="F466"/>
          <cell r="G466">
            <v>247852</v>
          </cell>
          <cell r="H466">
            <v>220532</v>
          </cell>
          <cell r="I466">
            <v>426316</v>
          </cell>
          <cell r="J466">
            <v>17822</v>
          </cell>
          <cell r="K466">
            <v>912522</v>
          </cell>
          <cell r="L466"/>
          <cell r="M466">
            <v>8317</v>
          </cell>
          <cell r="N466">
            <v>0</v>
          </cell>
          <cell r="O466">
            <v>36966</v>
          </cell>
          <cell r="P466">
            <v>45283</v>
          </cell>
          <cell r="Q466"/>
          <cell r="R466">
            <v>446257</v>
          </cell>
          <cell r="S466">
            <v>12092</v>
          </cell>
          <cell r="T466">
            <v>458349</v>
          </cell>
        </row>
        <row r="467">
          <cell r="A467">
            <v>94804</v>
          </cell>
          <cell r="B467" t="str">
            <v>HYDE COUNTY ABC BOARD</v>
          </cell>
          <cell r="C467">
            <v>3.3000000000000002E-6</v>
          </cell>
          <cell r="D467">
            <v>3.8E-6</v>
          </cell>
          <cell r="E467">
            <v>7829</v>
          </cell>
          <cell r="F467"/>
          <cell r="G467">
            <v>1208</v>
          </cell>
          <cell r="H467">
            <v>1075</v>
          </cell>
          <cell r="I467">
            <v>2077</v>
          </cell>
          <cell r="J467">
            <v>1172</v>
          </cell>
          <cell r="K467">
            <v>5532</v>
          </cell>
          <cell r="L467"/>
          <cell r="M467">
            <v>41</v>
          </cell>
          <cell r="N467">
            <v>0</v>
          </cell>
          <cell r="O467">
            <v>142</v>
          </cell>
          <cell r="P467">
            <v>183</v>
          </cell>
          <cell r="Q467"/>
          <cell r="R467">
            <v>2175</v>
          </cell>
          <cell r="S467">
            <v>2000</v>
          </cell>
          <cell r="T467">
            <v>4175</v>
          </cell>
        </row>
        <row r="468">
          <cell r="A468">
            <v>94812</v>
          </cell>
          <cell r="B468" t="str">
            <v>OCRACOKE SANITARY DIST</v>
          </cell>
          <cell r="C468">
            <v>3.2100000000000001E-5</v>
          </cell>
          <cell r="D468">
            <v>3.3000000000000003E-5</v>
          </cell>
          <cell r="E468">
            <v>76152</v>
          </cell>
          <cell r="F468" t="str">
            <v xml:space="preserve"> </v>
          </cell>
          <cell r="G468">
            <v>11748</v>
          </cell>
          <cell r="H468">
            <v>10453</v>
          </cell>
          <cell r="I468">
            <v>20208</v>
          </cell>
          <cell r="J468">
            <v>9807</v>
          </cell>
          <cell r="K468">
            <v>52216</v>
          </cell>
          <cell r="L468"/>
          <cell r="M468">
            <v>394</v>
          </cell>
          <cell r="N468">
            <v>0</v>
          </cell>
          <cell r="O468">
            <v>0</v>
          </cell>
          <cell r="P468">
            <v>394</v>
          </cell>
          <cell r="Q468"/>
          <cell r="R468">
            <v>21153</v>
          </cell>
          <cell r="S468">
            <v>4887</v>
          </cell>
          <cell r="T468">
            <v>26040</v>
          </cell>
        </row>
        <row r="469">
          <cell r="A469">
            <v>94901</v>
          </cell>
          <cell r="B469" t="str">
            <v>IREDELL COUNTY</v>
          </cell>
          <cell r="C469">
            <v>7.1234000000000002E-3</v>
          </cell>
          <cell r="D469">
            <v>6.7841999999999998E-3</v>
          </cell>
          <cell r="E469">
            <v>16899141</v>
          </cell>
          <cell r="F469" t="str">
            <v xml:space="preserve"> </v>
          </cell>
          <cell r="G469">
            <v>2607136</v>
          </cell>
          <cell r="H469">
            <v>2319750</v>
          </cell>
          <cell r="I469">
            <v>4484380</v>
          </cell>
          <cell r="J469">
            <v>225129</v>
          </cell>
          <cell r="K469">
            <v>9636395</v>
          </cell>
          <cell r="L469"/>
          <cell r="M469">
            <v>87482</v>
          </cell>
          <cell r="N469">
            <v>0</v>
          </cell>
          <cell r="O469">
            <v>81221</v>
          </cell>
          <cell r="P469">
            <v>168703</v>
          </cell>
          <cell r="Q469"/>
          <cell r="R469">
            <v>4694128</v>
          </cell>
          <cell r="S469">
            <v>18634</v>
          </cell>
          <cell r="T469">
            <v>4712762</v>
          </cell>
        </row>
        <row r="470">
          <cell r="A470">
            <v>94908</v>
          </cell>
          <cell r="B470" t="str">
            <v>GREATER STATESVILLE DEVELOPMENT CORP</v>
          </cell>
          <cell r="C470">
            <v>6.8000000000000001E-6</v>
          </cell>
          <cell r="D470">
            <v>7.7000000000000008E-6</v>
          </cell>
          <cell r="E470">
            <v>16132</v>
          </cell>
          <cell r="F470" t="str">
            <v xml:space="preserve"> </v>
          </cell>
          <cell r="G470">
            <v>2489</v>
          </cell>
          <cell r="H470">
            <v>2215</v>
          </cell>
          <cell r="I470">
            <v>4281</v>
          </cell>
          <cell r="J470">
            <v>0</v>
          </cell>
          <cell r="K470">
            <v>8985</v>
          </cell>
          <cell r="L470"/>
          <cell r="M470">
            <v>84</v>
          </cell>
          <cell r="N470">
            <v>0</v>
          </cell>
          <cell r="O470">
            <v>15303</v>
          </cell>
          <cell r="P470">
            <v>15387</v>
          </cell>
          <cell r="Q470"/>
          <cell r="R470">
            <v>4481</v>
          </cell>
          <cell r="S470">
            <v>-6873</v>
          </cell>
          <cell r="T470">
            <v>-2392</v>
          </cell>
        </row>
        <row r="471">
          <cell r="A471">
            <v>94911</v>
          </cell>
          <cell r="B471" t="str">
            <v>CITY OF STATESVILLE</v>
          </cell>
          <cell r="C471">
            <v>2.9845000000000002E-3</v>
          </cell>
          <cell r="D471">
            <v>2.8311E-3</v>
          </cell>
          <cell r="E471">
            <v>7080255</v>
          </cell>
          <cell r="F471" t="str">
            <v xml:space="preserve"> </v>
          </cell>
          <cell r="G471">
            <v>1092315</v>
          </cell>
          <cell r="H471">
            <v>971909</v>
          </cell>
          <cell r="I471">
            <v>1878826</v>
          </cell>
          <cell r="J471">
            <v>119500</v>
          </cell>
          <cell r="K471">
            <v>4062550</v>
          </cell>
          <cell r="L471"/>
          <cell r="M471">
            <v>36653</v>
          </cell>
          <cell r="N471">
            <v>0</v>
          </cell>
          <cell r="O471">
            <v>21376</v>
          </cell>
          <cell r="P471">
            <v>58029</v>
          </cell>
          <cell r="Q471"/>
          <cell r="R471">
            <v>1966705</v>
          </cell>
          <cell r="S471">
            <v>15404</v>
          </cell>
          <cell r="T471">
            <v>1982109</v>
          </cell>
        </row>
        <row r="472">
          <cell r="A472">
            <v>94917</v>
          </cell>
          <cell r="B472" t="str">
            <v>STATESVILLE ABC BOARD</v>
          </cell>
          <cell r="C472">
            <v>3.0899999999999999E-5</v>
          </cell>
          <cell r="D472">
            <v>3.5099999999999999E-5</v>
          </cell>
          <cell r="E472">
            <v>73305</v>
          </cell>
          <cell r="F472" t="str">
            <v xml:space="preserve"> </v>
          </cell>
          <cell r="G472">
            <v>11309</v>
          </cell>
          <cell r="H472">
            <v>10063</v>
          </cell>
          <cell r="I472">
            <v>19452</v>
          </cell>
          <cell r="J472">
            <v>16632</v>
          </cell>
          <cell r="K472">
            <v>57456</v>
          </cell>
          <cell r="L472"/>
          <cell r="M472">
            <v>379</v>
          </cell>
          <cell r="N472">
            <v>0</v>
          </cell>
          <cell r="O472">
            <v>0</v>
          </cell>
          <cell r="P472">
            <v>379</v>
          </cell>
          <cell r="Q472"/>
          <cell r="R472">
            <v>20362</v>
          </cell>
          <cell r="S472">
            <v>8881</v>
          </cell>
          <cell r="T472">
            <v>29243</v>
          </cell>
        </row>
        <row r="473">
          <cell r="A473">
            <v>94921</v>
          </cell>
          <cell r="B473" t="str">
            <v>CITY OF MOORESVILLE</v>
          </cell>
          <cell r="C473">
            <v>3.9271000000000002E-3</v>
          </cell>
          <cell r="D473">
            <v>3.9515000000000002E-3</v>
          </cell>
          <cell r="E473">
            <v>9316424</v>
          </cell>
          <cell r="F473" t="str">
            <v xml:space="preserve"> </v>
          </cell>
          <cell r="G473">
            <v>1437303</v>
          </cell>
          <cell r="H473">
            <v>1278868</v>
          </cell>
          <cell r="I473">
            <v>2472219</v>
          </cell>
          <cell r="J473">
            <v>14401</v>
          </cell>
          <cell r="K473">
            <v>5202791</v>
          </cell>
          <cell r="L473"/>
          <cell r="M473">
            <v>48229</v>
          </cell>
          <cell r="N473">
            <v>0</v>
          </cell>
          <cell r="O473">
            <v>338996</v>
          </cell>
          <cell r="P473">
            <v>387225</v>
          </cell>
          <cell r="Q473"/>
          <cell r="R473">
            <v>2587853</v>
          </cell>
          <cell r="S473">
            <v>-186399</v>
          </cell>
          <cell r="T473">
            <v>2401454</v>
          </cell>
        </row>
        <row r="474">
          <cell r="A474">
            <v>94923</v>
          </cell>
          <cell r="B474" t="str">
            <v>MOORESVILLE HOUSING AUTHORITY</v>
          </cell>
          <cell r="C474">
            <v>2.9099999999999999E-5</v>
          </cell>
          <cell r="D474">
            <v>3.0700000000000001E-5</v>
          </cell>
          <cell r="E474">
            <v>69035</v>
          </cell>
          <cell r="F474" t="str">
            <v xml:space="preserve"> </v>
          </cell>
          <cell r="G474">
            <v>10650</v>
          </cell>
          <cell r="H474">
            <v>9477</v>
          </cell>
          <cell r="I474">
            <v>18319</v>
          </cell>
          <cell r="J474">
            <v>4323</v>
          </cell>
          <cell r="K474">
            <v>42769</v>
          </cell>
          <cell r="L474"/>
          <cell r="M474">
            <v>357</v>
          </cell>
          <cell r="N474">
            <v>0</v>
          </cell>
          <cell r="O474">
            <v>0</v>
          </cell>
          <cell r="P474">
            <v>357</v>
          </cell>
          <cell r="Q474"/>
          <cell r="R474">
            <v>19176</v>
          </cell>
          <cell r="S474">
            <v>1615</v>
          </cell>
          <cell r="T474">
            <v>20791</v>
          </cell>
        </row>
        <row r="475">
          <cell r="A475">
            <v>94927</v>
          </cell>
          <cell r="B475" t="str">
            <v>MOORESVILLE ABC BOARD</v>
          </cell>
          <cell r="C475">
            <v>2.76E-5</v>
          </cell>
          <cell r="D475">
            <v>3.0599999999999998E-5</v>
          </cell>
          <cell r="E475">
            <v>65477</v>
          </cell>
          <cell r="F475" t="str">
            <v xml:space="preserve"> </v>
          </cell>
          <cell r="G475">
            <v>10101</v>
          </cell>
          <cell r="H475">
            <v>8988</v>
          </cell>
          <cell r="I475">
            <v>17375</v>
          </cell>
          <cell r="J475">
            <v>4844</v>
          </cell>
          <cell r="K475">
            <v>41308</v>
          </cell>
          <cell r="L475"/>
          <cell r="M475">
            <v>339</v>
          </cell>
          <cell r="N475">
            <v>0</v>
          </cell>
          <cell r="O475">
            <v>0</v>
          </cell>
          <cell r="P475">
            <v>339</v>
          </cell>
          <cell r="Q475"/>
          <cell r="R475">
            <v>18188</v>
          </cell>
          <cell r="S475">
            <v>1685</v>
          </cell>
          <cell r="T475">
            <v>19873</v>
          </cell>
        </row>
        <row r="476">
          <cell r="A476">
            <v>94931</v>
          </cell>
          <cell r="B476" t="str">
            <v xml:space="preserve"> TROUTMAN</v>
          </cell>
          <cell r="C476">
            <v>2.0350000000000001E-4</v>
          </cell>
          <cell r="D476">
            <v>2.163E-4</v>
          </cell>
          <cell r="E476">
            <v>482772</v>
          </cell>
          <cell r="F476" t="str">
            <v xml:space="preserve"> </v>
          </cell>
          <cell r="G476">
            <v>74480</v>
          </cell>
          <cell r="H476">
            <v>66270</v>
          </cell>
          <cell r="I476">
            <v>128109</v>
          </cell>
          <cell r="J476">
            <v>716</v>
          </cell>
          <cell r="K476">
            <v>269575</v>
          </cell>
          <cell r="L476"/>
          <cell r="M476">
            <v>2499</v>
          </cell>
          <cell r="N476">
            <v>0</v>
          </cell>
          <cell r="O476">
            <v>15634</v>
          </cell>
          <cell r="P476">
            <v>18133</v>
          </cell>
          <cell r="Q476"/>
          <cell r="R476">
            <v>134101</v>
          </cell>
          <cell r="S476">
            <v>-9864</v>
          </cell>
          <cell r="T476">
            <v>124237</v>
          </cell>
        </row>
        <row r="477">
          <cell r="A477">
            <v>94937</v>
          </cell>
          <cell r="B477" t="str">
            <v xml:space="preserve"> TROUTMAN ABC BOARD</v>
          </cell>
          <cell r="C477">
            <v>0</v>
          </cell>
          <cell r="D477">
            <v>0</v>
          </cell>
          <cell r="E477">
            <v>0</v>
          </cell>
          <cell r="F477" t="str">
            <v xml:space="preserve"> </v>
          </cell>
          <cell r="G477">
            <v>0</v>
          </cell>
          <cell r="H477">
            <v>0</v>
          </cell>
          <cell r="I477">
            <v>0</v>
          </cell>
          <cell r="J477">
            <v>0</v>
          </cell>
          <cell r="K477"/>
          <cell r="L477"/>
          <cell r="M477">
            <v>0</v>
          </cell>
          <cell r="N477">
            <v>0</v>
          </cell>
          <cell r="O477">
            <v>0</v>
          </cell>
          <cell r="P477"/>
          <cell r="Q477"/>
          <cell r="R477">
            <v>0</v>
          </cell>
          <cell r="S477">
            <v>0</v>
          </cell>
          <cell r="T477">
            <v>0</v>
          </cell>
        </row>
        <row r="478">
          <cell r="A478">
            <v>94941</v>
          </cell>
          <cell r="B478" t="str">
            <v>MI CONNECTION COMMUNICATIONS SYSTEM</v>
          </cell>
          <cell r="C478">
            <v>5.4239999999999996E-4</v>
          </cell>
          <cell r="D478">
            <v>5.7879999999999997E-4</v>
          </cell>
          <cell r="E478">
            <v>1286758</v>
          </cell>
          <cell r="F478" t="str">
            <v xml:space="preserve"> </v>
          </cell>
          <cell r="G478">
            <v>198516</v>
          </cell>
          <cell r="H478">
            <v>176633</v>
          </cell>
          <cell r="I478">
            <v>341456</v>
          </cell>
          <cell r="J478">
            <v>22905</v>
          </cell>
          <cell r="K478">
            <v>739510</v>
          </cell>
          <cell r="L478"/>
          <cell r="M478">
            <v>6661</v>
          </cell>
          <cell r="N478">
            <v>0</v>
          </cell>
          <cell r="O478">
            <v>39327</v>
          </cell>
          <cell r="P478">
            <v>45988</v>
          </cell>
          <cell r="Q478"/>
          <cell r="R478">
            <v>357427</v>
          </cell>
          <cell r="S478">
            <v>36038</v>
          </cell>
          <cell r="T478">
            <v>393465</v>
          </cell>
        </row>
        <row r="479">
          <cell r="A479">
            <v>94947</v>
          </cell>
          <cell r="B479" t="str">
            <v>VALDESE ABC BOARD</v>
          </cell>
          <cell r="C479">
            <v>0</v>
          </cell>
          <cell r="D479">
            <v>0</v>
          </cell>
          <cell r="E479">
            <v>0</v>
          </cell>
          <cell r="F479" t="str">
            <v xml:space="preserve"> </v>
          </cell>
          <cell r="G479">
            <v>0</v>
          </cell>
          <cell r="H479">
            <v>0</v>
          </cell>
          <cell r="I479">
            <v>0</v>
          </cell>
          <cell r="J479">
            <v>0</v>
          </cell>
          <cell r="K479"/>
          <cell r="L479"/>
          <cell r="M479">
            <v>0</v>
          </cell>
          <cell r="N479">
            <v>0</v>
          </cell>
          <cell r="O479">
            <v>0</v>
          </cell>
          <cell r="P479"/>
          <cell r="Q479"/>
          <cell r="R479">
            <v>0</v>
          </cell>
          <cell r="S479">
            <v>0</v>
          </cell>
          <cell r="T479">
            <v>0</v>
          </cell>
        </row>
        <row r="480">
          <cell r="A480">
            <v>95001</v>
          </cell>
          <cell r="B480" t="str">
            <v>JACKSON COUNTY</v>
          </cell>
          <cell r="C480">
            <v>2.3002999999999999E-3</v>
          </cell>
          <cell r="D480">
            <v>2.4867000000000001E-3</v>
          </cell>
          <cell r="E480">
            <v>5457098</v>
          </cell>
          <cell r="F480" t="str">
            <v xml:space="preserve"> </v>
          </cell>
          <cell r="G480">
            <v>841901</v>
          </cell>
          <cell r="H480">
            <v>749098</v>
          </cell>
          <cell r="I480">
            <v>1448103</v>
          </cell>
          <cell r="J480">
            <v>121208</v>
          </cell>
          <cell r="K480">
            <v>3160310</v>
          </cell>
          <cell r="L480"/>
          <cell r="M480">
            <v>28250</v>
          </cell>
          <cell r="N480">
            <v>0</v>
          </cell>
          <cell r="O480">
            <v>49464</v>
          </cell>
          <cell r="P480">
            <v>77714</v>
          </cell>
          <cell r="Q480"/>
          <cell r="R480">
            <v>1515836</v>
          </cell>
          <cell r="S480">
            <v>39325</v>
          </cell>
          <cell r="T480">
            <v>1555161</v>
          </cell>
        </row>
        <row r="481">
          <cell r="A481">
            <v>95002</v>
          </cell>
          <cell r="B481" t="str">
            <v>TUCKASEIGEE WATER AUTHORITY</v>
          </cell>
          <cell r="C481">
            <v>1.8589999999999999E-4</v>
          </cell>
          <cell r="D481">
            <v>1.907E-4</v>
          </cell>
          <cell r="E481">
            <v>441018</v>
          </cell>
          <cell r="F481" t="str">
            <v xml:space="preserve"> </v>
          </cell>
          <cell r="G481">
            <v>68039</v>
          </cell>
          <cell r="H481">
            <v>60538</v>
          </cell>
          <cell r="I481">
            <v>117029</v>
          </cell>
          <cell r="J481">
            <v>18706</v>
          </cell>
          <cell r="K481">
            <v>264312</v>
          </cell>
          <cell r="L481"/>
          <cell r="M481">
            <v>2283</v>
          </cell>
          <cell r="N481">
            <v>0</v>
          </cell>
          <cell r="O481">
            <v>0</v>
          </cell>
          <cell r="P481">
            <v>2283</v>
          </cell>
          <cell r="Q481"/>
          <cell r="R481">
            <v>122503</v>
          </cell>
          <cell r="S481">
            <v>8615</v>
          </cell>
          <cell r="T481">
            <v>131118</v>
          </cell>
        </row>
        <row r="482">
          <cell r="A482">
            <v>95005</v>
          </cell>
          <cell r="B482" t="str">
            <v>FONTANA REGIONAL LIBRARY</v>
          </cell>
          <cell r="C482">
            <v>2.131E-4</v>
          </cell>
          <cell r="D482">
            <v>2.2949999999999999E-4</v>
          </cell>
          <cell r="E482">
            <v>505546</v>
          </cell>
          <cell r="F482" t="str">
            <v xml:space="preserve"> </v>
          </cell>
          <cell r="G482">
            <v>77994</v>
          </cell>
          <cell r="H482">
            <v>69397</v>
          </cell>
          <cell r="I482">
            <v>134152</v>
          </cell>
          <cell r="J482">
            <v>4292</v>
          </cell>
          <cell r="K482">
            <v>285835</v>
          </cell>
          <cell r="L482"/>
          <cell r="M482">
            <v>2617</v>
          </cell>
          <cell r="N482">
            <v>0</v>
          </cell>
          <cell r="O482">
            <v>4029</v>
          </cell>
          <cell r="P482">
            <v>6646</v>
          </cell>
          <cell r="Q482"/>
          <cell r="R482">
            <v>140427</v>
          </cell>
          <cell r="S482">
            <v>8291</v>
          </cell>
          <cell r="T482">
            <v>148718</v>
          </cell>
        </row>
        <row r="483">
          <cell r="A483">
            <v>95008</v>
          </cell>
          <cell r="B483" t="str">
            <v>SOUTHWESTERN NC PLANNING &amp; ECON.DEV.COMMIS.</v>
          </cell>
          <cell r="C483">
            <v>1.188E-4</v>
          </cell>
          <cell r="D483">
            <v>1.1519999999999999E-4</v>
          </cell>
          <cell r="E483">
            <v>281834</v>
          </cell>
          <cell r="F483" t="str">
            <v xml:space="preserve"> </v>
          </cell>
          <cell r="G483">
            <v>43480</v>
          </cell>
          <cell r="H483">
            <v>38688</v>
          </cell>
          <cell r="I483">
            <v>74788</v>
          </cell>
          <cell r="J483">
            <v>18509</v>
          </cell>
          <cell r="K483">
            <v>175465</v>
          </cell>
          <cell r="L483"/>
          <cell r="M483">
            <v>1459</v>
          </cell>
          <cell r="N483">
            <v>0</v>
          </cell>
          <cell r="O483">
            <v>4058</v>
          </cell>
          <cell r="P483">
            <v>5517</v>
          </cell>
          <cell r="Q483"/>
          <cell r="R483">
            <v>78286</v>
          </cell>
          <cell r="S483">
            <v>11671</v>
          </cell>
          <cell r="T483">
            <v>89957</v>
          </cell>
        </row>
        <row r="484">
          <cell r="A484">
            <v>95009</v>
          </cell>
          <cell r="B484" t="str">
            <v>VAYA HEALTH</v>
          </cell>
          <cell r="C484">
            <v>4.0277999999999998E-3</v>
          </cell>
          <cell r="D484">
            <v>4.2208999999999997E-3</v>
          </cell>
          <cell r="E484">
            <v>9555319</v>
          </cell>
          <cell r="F484" t="str">
            <v xml:space="preserve"> </v>
          </cell>
          <cell r="G484">
            <v>1474159</v>
          </cell>
          <cell r="H484">
            <v>1311662</v>
          </cell>
          <cell r="I484">
            <v>2535613</v>
          </cell>
          <cell r="J484">
            <v>318871</v>
          </cell>
          <cell r="K484">
            <v>5640305</v>
          </cell>
          <cell r="L484"/>
          <cell r="M484">
            <v>49465</v>
          </cell>
          <cell r="N484">
            <v>0</v>
          </cell>
          <cell r="O484">
            <v>113116</v>
          </cell>
          <cell r="P484">
            <v>162581</v>
          </cell>
          <cell r="Q484"/>
          <cell r="R484">
            <v>2654211</v>
          </cell>
          <cell r="S484">
            <v>550303</v>
          </cell>
          <cell r="T484">
            <v>3204514</v>
          </cell>
        </row>
        <row r="485">
          <cell r="A485">
            <v>95011</v>
          </cell>
          <cell r="B485" t="str">
            <v xml:space="preserve"> SYLVA</v>
          </cell>
          <cell r="C485">
            <v>1.8760000000000001E-4</v>
          </cell>
          <cell r="D485">
            <v>1.8000000000000001E-4</v>
          </cell>
          <cell r="E485">
            <v>445051</v>
          </cell>
          <cell r="F485" t="str">
            <v xml:space="preserve"> </v>
          </cell>
          <cell r="G485">
            <v>68661</v>
          </cell>
          <cell r="H485">
            <v>61093</v>
          </cell>
          <cell r="I485">
            <v>118099</v>
          </cell>
          <cell r="J485">
            <v>5719</v>
          </cell>
          <cell r="K485">
            <v>253572</v>
          </cell>
          <cell r="L485"/>
          <cell r="M485">
            <v>2304</v>
          </cell>
          <cell r="N485">
            <v>0</v>
          </cell>
          <cell r="O485">
            <v>4270</v>
          </cell>
          <cell r="P485">
            <v>6574</v>
          </cell>
          <cell r="Q485"/>
          <cell r="R485">
            <v>123623</v>
          </cell>
          <cell r="S485">
            <v>-3004</v>
          </cell>
          <cell r="T485">
            <v>120619</v>
          </cell>
        </row>
        <row r="486">
          <cell r="A486">
            <v>95017</v>
          </cell>
          <cell r="B486" t="str">
            <v>JACKSON COUNTY ABC BOARD</v>
          </cell>
          <cell r="C486">
            <v>4.5500000000000001E-5</v>
          </cell>
          <cell r="D486">
            <v>3.8800000000000001E-5</v>
          </cell>
          <cell r="E486">
            <v>107942</v>
          </cell>
          <cell r="F486" t="str">
            <v xml:space="preserve"> </v>
          </cell>
          <cell r="G486">
            <v>16653</v>
          </cell>
          <cell r="H486">
            <v>14818</v>
          </cell>
          <cell r="I486">
            <v>28644</v>
          </cell>
          <cell r="J486">
            <v>6820</v>
          </cell>
          <cell r="K486">
            <v>66935</v>
          </cell>
          <cell r="L486"/>
          <cell r="M486">
            <v>559</v>
          </cell>
          <cell r="N486">
            <v>0</v>
          </cell>
          <cell r="O486">
            <v>0</v>
          </cell>
          <cell r="P486">
            <v>559</v>
          </cell>
          <cell r="Q486"/>
          <cell r="R486">
            <v>29983</v>
          </cell>
          <cell r="S486">
            <v>7890</v>
          </cell>
          <cell r="T486">
            <v>37873</v>
          </cell>
        </row>
        <row r="487">
          <cell r="A487">
            <v>95101</v>
          </cell>
          <cell r="B487" t="str">
            <v>JOHNSTON COUNTY</v>
          </cell>
          <cell r="C487">
            <v>8.5109999999999995E-3</v>
          </cell>
          <cell r="D487">
            <v>8.3750999999999999E-3</v>
          </cell>
          <cell r="E487">
            <v>20191003</v>
          </cell>
          <cell r="F487" t="str">
            <v xml:space="preserve"> </v>
          </cell>
          <cell r="G487">
            <v>3114992</v>
          </cell>
          <cell r="H487">
            <v>2771624</v>
          </cell>
          <cell r="I487">
            <v>5357913</v>
          </cell>
          <cell r="J487">
            <v>2454</v>
          </cell>
          <cell r="K487">
            <v>11246983</v>
          </cell>
          <cell r="L487"/>
          <cell r="M487">
            <v>104524</v>
          </cell>
          <cell r="N487">
            <v>0</v>
          </cell>
          <cell r="O487">
            <v>152878</v>
          </cell>
          <cell r="P487">
            <v>257402</v>
          </cell>
          <cell r="Q487"/>
          <cell r="R487">
            <v>5608519</v>
          </cell>
          <cell r="S487">
            <v>-16926</v>
          </cell>
          <cell r="T487">
            <v>5591593</v>
          </cell>
        </row>
        <row r="488">
          <cell r="A488">
            <v>95103</v>
          </cell>
          <cell r="B488" t="str">
            <v>BENSON HOUSING AUTHORITY</v>
          </cell>
          <cell r="C488">
            <v>4.4400000000000002E-5</v>
          </cell>
          <cell r="D488">
            <v>4.9100000000000001E-5</v>
          </cell>
          <cell r="E488">
            <v>105332</v>
          </cell>
          <cell r="F488" t="str">
            <v xml:space="preserve"> </v>
          </cell>
          <cell r="G488">
            <v>16250</v>
          </cell>
          <cell r="H488">
            <v>14459</v>
          </cell>
          <cell r="I488">
            <v>27951</v>
          </cell>
          <cell r="J488">
            <v>9697</v>
          </cell>
          <cell r="K488">
            <v>68357</v>
          </cell>
          <cell r="L488"/>
          <cell r="M488">
            <v>545</v>
          </cell>
          <cell r="N488">
            <v>0</v>
          </cell>
          <cell r="O488">
            <v>0</v>
          </cell>
          <cell r="P488">
            <v>545</v>
          </cell>
          <cell r="Q488"/>
          <cell r="R488">
            <v>29258</v>
          </cell>
          <cell r="S488">
            <v>18768</v>
          </cell>
          <cell r="T488">
            <v>48026</v>
          </cell>
        </row>
        <row r="489">
          <cell r="A489">
            <v>95104</v>
          </cell>
          <cell r="B489" t="str">
            <v>JOHNSTON COUNTY ABC BOARD</v>
          </cell>
          <cell r="C489">
            <v>9.8300000000000004E-5</v>
          </cell>
          <cell r="D489">
            <v>1.02E-4</v>
          </cell>
          <cell r="E489">
            <v>233201</v>
          </cell>
          <cell r="F489" t="str">
            <v xml:space="preserve"> </v>
          </cell>
          <cell r="G489">
            <v>35977</v>
          </cell>
          <cell r="H489">
            <v>32012</v>
          </cell>
          <cell r="I489">
            <v>61883</v>
          </cell>
          <cell r="J489">
            <v>19229</v>
          </cell>
          <cell r="K489">
            <v>149101</v>
          </cell>
          <cell r="L489"/>
          <cell r="M489">
            <v>1207</v>
          </cell>
          <cell r="N489">
            <v>0</v>
          </cell>
          <cell r="O489">
            <v>0</v>
          </cell>
          <cell r="P489">
            <v>1207</v>
          </cell>
          <cell r="Q489"/>
          <cell r="R489">
            <v>64777</v>
          </cell>
          <cell r="S489">
            <v>10356</v>
          </cell>
          <cell r="T489">
            <v>75133</v>
          </cell>
        </row>
        <row r="490">
          <cell r="A490">
            <v>95105</v>
          </cell>
          <cell r="B490" t="str">
            <v>PUBLIC LIBRARY OF JOHNSTON CO AND SMITHFIELD</v>
          </cell>
          <cell r="C490">
            <v>6.5900000000000003E-5</v>
          </cell>
          <cell r="D490">
            <v>6.1099999999999994E-5</v>
          </cell>
          <cell r="E490">
            <v>156337</v>
          </cell>
          <cell r="F490" t="str">
            <v xml:space="preserve"> </v>
          </cell>
          <cell r="G490">
            <v>24119</v>
          </cell>
          <cell r="H490">
            <v>21460</v>
          </cell>
          <cell r="I490">
            <v>41486</v>
          </cell>
          <cell r="J490">
            <v>10343</v>
          </cell>
          <cell r="K490">
            <v>97408</v>
          </cell>
          <cell r="L490"/>
          <cell r="M490">
            <v>809</v>
          </cell>
          <cell r="N490">
            <v>0</v>
          </cell>
          <cell r="O490">
            <v>0</v>
          </cell>
          <cell r="P490">
            <v>809</v>
          </cell>
          <cell r="Q490"/>
          <cell r="R490">
            <v>43426</v>
          </cell>
          <cell r="S490">
            <v>5557</v>
          </cell>
          <cell r="T490">
            <v>48983</v>
          </cell>
        </row>
        <row r="491">
          <cell r="A491">
            <v>95106</v>
          </cell>
          <cell r="B491" t="str">
            <v xml:space="preserve"> ARCHER LODGE</v>
          </cell>
          <cell r="C491">
            <v>1.3900000000000001E-5</v>
          </cell>
          <cell r="D491">
            <v>1.2099999999999999E-5</v>
          </cell>
          <cell r="E491">
            <v>32976</v>
          </cell>
          <cell r="F491" t="str">
            <v xml:space="preserve"> </v>
          </cell>
          <cell r="G491">
            <v>5087</v>
          </cell>
          <cell r="H491">
            <v>4527</v>
          </cell>
          <cell r="I491">
            <v>8750</v>
          </cell>
          <cell r="J491">
            <v>4636</v>
          </cell>
          <cell r="K491">
            <v>23000</v>
          </cell>
          <cell r="L491"/>
          <cell r="M491">
            <v>171</v>
          </cell>
          <cell r="N491">
            <v>0</v>
          </cell>
          <cell r="O491">
            <v>1076</v>
          </cell>
          <cell r="P491">
            <v>1247</v>
          </cell>
          <cell r="Q491"/>
          <cell r="R491">
            <v>9160</v>
          </cell>
          <cell r="S491">
            <v>2803</v>
          </cell>
          <cell r="T491">
            <v>11963</v>
          </cell>
        </row>
        <row r="492">
          <cell r="A492">
            <v>95110</v>
          </cell>
          <cell r="B492" t="str">
            <v>JOHNSTON HEALTH CENTER</v>
          </cell>
          <cell r="C492">
            <v>3.5975E-3</v>
          </cell>
          <cell r="D492">
            <v>4.2902000000000001E-3</v>
          </cell>
          <cell r="E492">
            <v>8534500</v>
          </cell>
          <cell r="F492" t="str">
            <v xml:space="preserve"> </v>
          </cell>
          <cell r="G492">
            <v>1316671</v>
          </cell>
          <cell r="H492">
            <v>1171533</v>
          </cell>
          <cell r="I492">
            <v>2264727</v>
          </cell>
          <cell r="J492">
            <v>0</v>
          </cell>
          <cell r="K492">
            <v>4752931</v>
          </cell>
          <cell r="L492"/>
          <cell r="M492">
            <v>44181</v>
          </cell>
          <cell r="N492">
            <v>0</v>
          </cell>
          <cell r="O492">
            <v>813395</v>
          </cell>
          <cell r="P492">
            <v>857576</v>
          </cell>
          <cell r="Q492"/>
          <cell r="R492">
            <v>2370655</v>
          </cell>
          <cell r="S492">
            <v>-720222</v>
          </cell>
          <cell r="T492">
            <v>1650433</v>
          </cell>
        </row>
        <row r="493">
          <cell r="A493">
            <v>95111</v>
          </cell>
          <cell r="B493" t="str">
            <v xml:space="preserve"> SMITHFIELD</v>
          </cell>
          <cell r="C493">
            <v>1.1188999999999999E-3</v>
          </cell>
          <cell r="D493">
            <v>1.0778999999999999E-3</v>
          </cell>
          <cell r="E493">
            <v>2654413</v>
          </cell>
          <cell r="F493" t="str">
            <v xml:space="preserve"> </v>
          </cell>
          <cell r="G493">
            <v>409513</v>
          </cell>
          <cell r="H493">
            <v>364372</v>
          </cell>
          <cell r="I493">
            <v>704379</v>
          </cell>
          <cell r="J493">
            <v>0</v>
          </cell>
          <cell r="K493">
            <v>1478264</v>
          </cell>
          <cell r="L493"/>
          <cell r="M493">
            <v>13741</v>
          </cell>
          <cell r="N493">
            <v>0</v>
          </cell>
          <cell r="O493">
            <v>72731</v>
          </cell>
          <cell r="P493">
            <v>86472</v>
          </cell>
          <cell r="Q493"/>
          <cell r="R493">
            <v>737325</v>
          </cell>
          <cell r="S493">
            <v>-62211</v>
          </cell>
          <cell r="T493">
            <v>675114</v>
          </cell>
        </row>
        <row r="494">
          <cell r="A494">
            <v>95113</v>
          </cell>
          <cell r="B494" t="str">
            <v>SMITHFIELD HOUSING AUTHORITY</v>
          </cell>
          <cell r="C494">
            <v>4.49E-5</v>
          </cell>
          <cell r="D494">
            <v>4.6699999999999997E-5</v>
          </cell>
          <cell r="E494">
            <v>106518</v>
          </cell>
          <cell r="F494" t="str">
            <v xml:space="preserve"> </v>
          </cell>
          <cell r="G494">
            <v>16433</v>
          </cell>
          <cell r="H494">
            <v>14621</v>
          </cell>
          <cell r="I494">
            <v>28266</v>
          </cell>
          <cell r="J494">
            <v>91937</v>
          </cell>
          <cell r="K494">
            <v>151257</v>
          </cell>
          <cell r="L494"/>
          <cell r="M494">
            <v>551</v>
          </cell>
          <cell r="N494">
            <v>0</v>
          </cell>
          <cell r="O494">
            <v>0</v>
          </cell>
          <cell r="P494">
            <v>551</v>
          </cell>
          <cell r="Q494"/>
          <cell r="R494">
            <v>29588</v>
          </cell>
          <cell r="S494">
            <v>41492</v>
          </cell>
          <cell r="T494">
            <v>71080</v>
          </cell>
        </row>
        <row r="495">
          <cell r="A495">
            <v>95121</v>
          </cell>
          <cell r="B495" t="str">
            <v xml:space="preserve"> SELMA</v>
          </cell>
          <cell r="C495">
            <v>5.2059999999999997E-4</v>
          </cell>
          <cell r="D495">
            <v>4.9770000000000001E-4</v>
          </cell>
          <cell r="E495">
            <v>1235041</v>
          </cell>
          <cell r="F495" t="str">
            <v xml:space="preserve"> </v>
          </cell>
          <cell r="G495">
            <v>190538</v>
          </cell>
          <cell r="H495">
            <v>169535</v>
          </cell>
          <cell r="I495">
            <v>327732</v>
          </cell>
          <cell r="J495">
            <v>13463</v>
          </cell>
          <cell r="K495">
            <v>701268</v>
          </cell>
          <cell r="L495"/>
          <cell r="M495">
            <v>6393</v>
          </cell>
          <cell r="N495">
            <v>0</v>
          </cell>
          <cell r="O495">
            <v>1285</v>
          </cell>
          <cell r="P495">
            <v>7678</v>
          </cell>
          <cell r="Q495"/>
          <cell r="R495">
            <v>343061</v>
          </cell>
          <cell r="S495">
            <v>-5897</v>
          </cell>
          <cell r="T495">
            <v>337164</v>
          </cell>
        </row>
        <row r="496">
          <cell r="A496">
            <v>95122</v>
          </cell>
          <cell r="B496" t="str">
            <v xml:space="preserve"> MICRO</v>
          </cell>
          <cell r="C496">
            <v>6.6000000000000003E-6</v>
          </cell>
          <cell r="D496">
            <v>6.4999999999999996E-6</v>
          </cell>
          <cell r="E496">
            <v>15657</v>
          </cell>
          <cell r="F496" t="str">
            <v xml:space="preserve"> </v>
          </cell>
          <cell r="G496">
            <v>2416</v>
          </cell>
          <cell r="H496">
            <v>2149</v>
          </cell>
          <cell r="I496">
            <v>4155</v>
          </cell>
          <cell r="J496">
            <v>3737</v>
          </cell>
          <cell r="K496">
            <v>12457</v>
          </cell>
          <cell r="L496"/>
          <cell r="M496">
            <v>81</v>
          </cell>
          <cell r="N496">
            <v>0</v>
          </cell>
          <cell r="O496">
            <v>0</v>
          </cell>
          <cell r="P496">
            <v>81</v>
          </cell>
          <cell r="Q496"/>
          <cell r="R496">
            <v>4349</v>
          </cell>
          <cell r="S496">
            <v>1394</v>
          </cell>
          <cell r="T496">
            <v>5743</v>
          </cell>
        </row>
        <row r="497">
          <cell r="A497">
            <v>95123</v>
          </cell>
          <cell r="B497" t="str">
            <v>SELMA HOUSING AUTHORITY</v>
          </cell>
          <cell r="C497">
            <v>5.41E-5</v>
          </cell>
          <cell r="D497">
            <v>5.7399999999999999E-5</v>
          </cell>
          <cell r="E497">
            <v>128344</v>
          </cell>
          <cell r="F497" t="str">
            <v xml:space="preserve"> </v>
          </cell>
          <cell r="G497">
            <v>19800</v>
          </cell>
          <cell r="H497">
            <v>17617</v>
          </cell>
          <cell r="I497">
            <v>34057</v>
          </cell>
          <cell r="J497">
            <v>5660</v>
          </cell>
          <cell r="K497">
            <v>77134</v>
          </cell>
          <cell r="L497"/>
          <cell r="M497">
            <v>664</v>
          </cell>
          <cell r="N497">
            <v>0</v>
          </cell>
          <cell r="O497">
            <v>0</v>
          </cell>
          <cell r="P497">
            <v>664</v>
          </cell>
          <cell r="Q497"/>
          <cell r="R497">
            <v>35650</v>
          </cell>
          <cell r="S497">
            <v>1881</v>
          </cell>
          <cell r="T497">
            <v>37531</v>
          </cell>
        </row>
        <row r="498">
          <cell r="A498">
            <v>95131</v>
          </cell>
          <cell r="B498" t="str">
            <v xml:space="preserve"> CLAYTON</v>
          </cell>
          <cell r="C498">
            <v>1.7581000000000001E-3</v>
          </cell>
          <cell r="D498">
            <v>1.6682999999999999E-3</v>
          </cell>
          <cell r="E498">
            <v>4170814</v>
          </cell>
          <cell r="F498" t="str">
            <v xml:space="preserve"> </v>
          </cell>
          <cell r="G498">
            <v>643458</v>
          </cell>
          <cell r="H498">
            <v>572529</v>
          </cell>
          <cell r="I498">
            <v>1106773</v>
          </cell>
          <cell r="J498">
            <v>95997</v>
          </cell>
          <cell r="K498">
            <v>2418757</v>
          </cell>
          <cell r="L498"/>
          <cell r="M498">
            <v>21591</v>
          </cell>
          <cell r="N498">
            <v>0</v>
          </cell>
          <cell r="O498">
            <v>0</v>
          </cell>
          <cell r="P498">
            <v>21591</v>
          </cell>
          <cell r="Q498"/>
          <cell r="R498">
            <v>1158540</v>
          </cell>
          <cell r="S498">
            <v>40038</v>
          </cell>
          <cell r="T498">
            <v>1198578</v>
          </cell>
        </row>
        <row r="499">
          <cell r="A499">
            <v>95141</v>
          </cell>
          <cell r="B499" t="str">
            <v xml:space="preserve"> BENSON</v>
          </cell>
          <cell r="C499">
            <v>3.2400000000000001E-4</v>
          </cell>
          <cell r="D499">
            <v>3.2220000000000003E-4</v>
          </cell>
          <cell r="E499">
            <v>768639</v>
          </cell>
          <cell r="F499" t="str">
            <v xml:space="preserve"> </v>
          </cell>
          <cell r="G499">
            <v>118583</v>
          </cell>
          <cell r="H499">
            <v>105512</v>
          </cell>
          <cell r="I499">
            <v>203967</v>
          </cell>
          <cell r="J499">
            <v>0</v>
          </cell>
          <cell r="K499">
            <v>428062</v>
          </cell>
          <cell r="L499"/>
          <cell r="M499">
            <v>3979</v>
          </cell>
          <cell r="N499">
            <v>0</v>
          </cell>
          <cell r="O499">
            <v>23502</v>
          </cell>
          <cell r="P499">
            <v>27481</v>
          </cell>
          <cell r="Q499"/>
          <cell r="R499">
            <v>213507</v>
          </cell>
          <cell r="S499">
            <v>-12963</v>
          </cell>
          <cell r="T499">
            <v>200544</v>
          </cell>
        </row>
        <row r="500">
          <cell r="A500">
            <v>95151</v>
          </cell>
          <cell r="B500" t="str">
            <v xml:space="preserve"> FOUR OAKS</v>
          </cell>
          <cell r="C500">
            <v>1.159E-4</v>
          </cell>
          <cell r="D500">
            <v>1.092E-4</v>
          </cell>
          <cell r="E500">
            <v>274954</v>
          </cell>
          <cell r="F500" t="str">
            <v xml:space="preserve"> </v>
          </cell>
          <cell r="G500">
            <v>42419</v>
          </cell>
          <cell r="H500">
            <v>37743</v>
          </cell>
          <cell r="I500">
            <v>72962</v>
          </cell>
          <cell r="J500">
            <v>249</v>
          </cell>
          <cell r="K500">
            <v>153373</v>
          </cell>
          <cell r="L500"/>
          <cell r="M500">
            <v>1423</v>
          </cell>
          <cell r="N500">
            <v>0</v>
          </cell>
          <cell r="O500">
            <v>7102</v>
          </cell>
          <cell r="P500">
            <v>8525</v>
          </cell>
          <cell r="Q500"/>
          <cell r="R500">
            <v>76375</v>
          </cell>
          <cell r="S500">
            <v>-3275</v>
          </cell>
          <cell r="T500">
            <v>73100</v>
          </cell>
        </row>
        <row r="501">
          <cell r="A501">
            <v>95161</v>
          </cell>
          <cell r="B501" t="str">
            <v xml:space="preserve"> PINE LEVEL</v>
          </cell>
          <cell r="C501">
            <v>6.9200000000000002E-5</v>
          </cell>
          <cell r="D501">
            <v>6.8100000000000002E-5</v>
          </cell>
          <cell r="E501">
            <v>164166</v>
          </cell>
          <cell r="F501" t="str">
            <v xml:space="preserve"> </v>
          </cell>
          <cell r="G501">
            <v>25327</v>
          </cell>
          <cell r="H501">
            <v>22535</v>
          </cell>
          <cell r="I501">
            <v>43563</v>
          </cell>
          <cell r="J501">
            <v>10072</v>
          </cell>
          <cell r="K501">
            <v>101497</v>
          </cell>
          <cell r="L501"/>
          <cell r="M501">
            <v>850</v>
          </cell>
          <cell r="N501">
            <v>0</v>
          </cell>
          <cell r="O501">
            <v>610</v>
          </cell>
          <cell r="P501">
            <v>1460</v>
          </cell>
          <cell r="Q501"/>
          <cell r="R501">
            <v>45601</v>
          </cell>
          <cell r="S501">
            <v>2943</v>
          </cell>
          <cell r="T501">
            <v>48544</v>
          </cell>
        </row>
        <row r="502">
          <cell r="A502">
            <v>95171</v>
          </cell>
          <cell r="B502" t="str">
            <v xml:space="preserve"> KENLY</v>
          </cell>
          <cell r="C502">
            <v>8.8599999999999999E-5</v>
          </cell>
          <cell r="D502">
            <v>1.0459999999999999E-4</v>
          </cell>
          <cell r="E502">
            <v>210190</v>
          </cell>
          <cell r="F502" t="str">
            <v xml:space="preserve"> </v>
          </cell>
          <cell r="G502">
            <v>32427</v>
          </cell>
          <cell r="H502">
            <v>28853</v>
          </cell>
          <cell r="I502">
            <v>55776</v>
          </cell>
          <cell r="J502">
            <v>3021</v>
          </cell>
          <cell r="K502">
            <v>120077</v>
          </cell>
          <cell r="L502"/>
          <cell r="M502">
            <v>1088</v>
          </cell>
          <cell r="N502">
            <v>0</v>
          </cell>
          <cell r="O502">
            <v>15947</v>
          </cell>
          <cell r="P502">
            <v>17035</v>
          </cell>
          <cell r="Q502"/>
          <cell r="R502">
            <v>58385</v>
          </cell>
          <cell r="S502">
            <v>-5663</v>
          </cell>
          <cell r="T502">
            <v>52722</v>
          </cell>
        </row>
        <row r="503">
          <cell r="A503">
            <v>95181</v>
          </cell>
          <cell r="B503" t="str">
            <v xml:space="preserve"> PRINCETON</v>
          </cell>
          <cell r="C503">
            <v>7.7899999999999996E-5</v>
          </cell>
          <cell r="D503">
            <v>7.7100000000000004E-5</v>
          </cell>
          <cell r="E503">
            <v>184805</v>
          </cell>
          <cell r="F503" t="str">
            <v xml:space="preserve"> </v>
          </cell>
          <cell r="G503">
            <v>28511</v>
          </cell>
          <cell r="H503">
            <v>25368</v>
          </cell>
          <cell r="I503">
            <v>49040</v>
          </cell>
          <cell r="J503">
            <v>482</v>
          </cell>
          <cell r="K503">
            <v>103401</v>
          </cell>
          <cell r="L503"/>
          <cell r="M503">
            <v>957</v>
          </cell>
          <cell r="N503">
            <v>0</v>
          </cell>
          <cell r="O503">
            <v>10181</v>
          </cell>
          <cell r="P503">
            <v>11138</v>
          </cell>
          <cell r="Q503"/>
          <cell r="R503">
            <v>51334</v>
          </cell>
          <cell r="S503">
            <v>-3375</v>
          </cell>
          <cell r="T503">
            <v>47959</v>
          </cell>
        </row>
        <row r="504">
          <cell r="A504">
            <v>95191</v>
          </cell>
          <cell r="B504" t="str">
            <v xml:space="preserve"> WILSON'S MILLS</v>
          </cell>
          <cell r="C504">
            <v>4.2599999999999999E-5</v>
          </cell>
          <cell r="D504">
            <v>5.3999999999999998E-5</v>
          </cell>
          <cell r="E504">
            <v>101062</v>
          </cell>
          <cell r="F504" t="str">
            <v xml:space="preserve"> </v>
          </cell>
          <cell r="G504">
            <v>15591</v>
          </cell>
          <cell r="H504">
            <v>13873</v>
          </cell>
          <cell r="I504">
            <v>26818</v>
          </cell>
          <cell r="J504">
            <v>9524</v>
          </cell>
          <cell r="K504">
            <v>65806</v>
          </cell>
          <cell r="L504"/>
          <cell r="M504">
            <v>523</v>
          </cell>
          <cell r="N504">
            <v>0</v>
          </cell>
          <cell r="O504">
            <v>3442</v>
          </cell>
          <cell r="P504">
            <v>3965</v>
          </cell>
          <cell r="Q504"/>
          <cell r="R504">
            <v>28072</v>
          </cell>
          <cell r="S504">
            <v>5235</v>
          </cell>
          <cell r="T504">
            <v>33307</v>
          </cell>
        </row>
        <row r="505">
          <cell r="A505">
            <v>95201</v>
          </cell>
          <cell r="B505" t="str">
            <v>JONES COUNTY</v>
          </cell>
          <cell r="C505">
            <v>7.0259999999999995E-4</v>
          </cell>
          <cell r="D505">
            <v>7.0969999999999996E-4</v>
          </cell>
          <cell r="E505">
            <v>1666807</v>
          </cell>
          <cell r="F505" t="str">
            <v xml:space="preserve"> </v>
          </cell>
          <cell r="G505">
            <v>257149</v>
          </cell>
          <cell r="H505">
            <v>228803</v>
          </cell>
          <cell r="I505">
            <v>442306</v>
          </cell>
          <cell r="J505">
            <v>4233</v>
          </cell>
          <cell r="K505">
            <v>932491</v>
          </cell>
          <cell r="L505"/>
          <cell r="M505">
            <v>8629</v>
          </cell>
          <cell r="N505">
            <v>0</v>
          </cell>
          <cell r="O505">
            <v>29894</v>
          </cell>
          <cell r="P505">
            <v>38523</v>
          </cell>
          <cell r="Q505"/>
          <cell r="R505">
            <v>462994</v>
          </cell>
          <cell r="S505">
            <v>-14817</v>
          </cell>
          <cell r="T505">
            <v>448177</v>
          </cell>
        </row>
        <row r="506">
          <cell r="A506">
            <v>95204</v>
          </cell>
          <cell r="B506" t="str">
            <v>JONES COUNTY ABC BOARD</v>
          </cell>
          <cell r="C506">
            <v>1.06E-5</v>
          </cell>
          <cell r="D506">
            <v>1.26E-5</v>
          </cell>
          <cell r="E506">
            <v>25147</v>
          </cell>
          <cell r="F506" t="str">
            <v xml:space="preserve"> </v>
          </cell>
          <cell r="G506">
            <v>3880</v>
          </cell>
          <cell r="H506">
            <v>3452</v>
          </cell>
          <cell r="I506">
            <v>6673</v>
          </cell>
          <cell r="J506">
            <v>1368</v>
          </cell>
          <cell r="K506">
            <v>15373</v>
          </cell>
          <cell r="L506"/>
          <cell r="M506">
            <v>130</v>
          </cell>
          <cell r="N506">
            <v>0</v>
          </cell>
          <cell r="O506">
            <v>775</v>
          </cell>
          <cell r="P506">
            <v>905</v>
          </cell>
          <cell r="Q506"/>
          <cell r="R506">
            <v>6985</v>
          </cell>
          <cell r="S506">
            <v>-261</v>
          </cell>
          <cell r="T506">
            <v>6724</v>
          </cell>
        </row>
        <row r="507">
          <cell r="A507">
            <v>95205</v>
          </cell>
          <cell r="B507" t="str">
            <v>NEUSE REGIONAL LIBRARY-JONES COUNTY</v>
          </cell>
          <cell r="C507">
            <v>1.7E-6</v>
          </cell>
          <cell r="D507">
            <v>4.5000000000000001E-6</v>
          </cell>
          <cell r="E507">
            <v>4033</v>
          </cell>
          <cell r="F507" t="str">
            <v xml:space="preserve"> </v>
          </cell>
          <cell r="G507">
            <v>622</v>
          </cell>
          <cell r="H507">
            <v>553</v>
          </cell>
          <cell r="I507">
            <v>1070</v>
          </cell>
          <cell r="J507">
            <v>294</v>
          </cell>
          <cell r="K507">
            <v>2539</v>
          </cell>
          <cell r="L507"/>
          <cell r="M507">
            <v>21</v>
          </cell>
          <cell r="N507">
            <v>0</v>
          </cell>
          <cell r="O507">
            <v>949</v>
          </cell>
          <cell r="P507">
            <v>970</v>
          </cell>
          <cell r="Q507"/>
          <cell r="R507">
            <v>1120</v>
          </cell>
          <cell r="S507">
            <v>74</v>
          </cell>
          <cell r="T507">
            <v>1194</v>
          </cell>
        </row>
        <row r="508">
          <cell r="A508">
            <v>95211</v>
          </cell>
          <cell r="B508" t="str">
            <v xml:space="preserve"> POLLOCKSVILLE</v>
          </cell>
          <cell r="C508">
            <v>5.4999999999999999E-6</v>
          </cell>
          <cell r="D508">
            <v>8.3999999999999992E-6</v>
          </cell>
          <cell r="E508">
            <v>13048</v>
          </cell>
          <cell r="F508" t="str">
            <v xml:space="preserve"> </v>
          </cell>
          <cell r="G508">
            <v>2013</v>
          </cell>
          <cell r="H508">
            <v>1791</v>
          </cell>
          <cell r="I508">
            <v>3462</v>
          </cell>
          <cell r="J508">
            <v>946</v>
          </cell>
          <cell r="K508">
            <v>8212</v>
          </cell>
          <cell r="L508"/>
          <cell r="M508">
            <v>68</v>
          </cell>
          <cell r="N508">
            <v>0</v>
          </cell>
          <cell r="O508">
            <v>1758</v>
          </cell>
          <cell r="P508">
            <v>1826</v>
          </cell>
          <cell r="Q508"/>
          <cell r="R508">
            <v>3624</v>
          </cell>
          <cell r="S508">
            <v>-902</v>
          </cell>
          <cell r="T508">
            <v>2722</v>
          </cell>
        </row>
        <row r="509">
          <cell r="A509">
            <v>95221</v>
          </cell>
          <cell r="B509" t="str">
            <v xml:space="preserve"> MAYSVILLE</v>
          </cell>
          <cell r="C509">
            <v>5.7000000000000003E-5</v>
          </cell>
          <cell r="D509">
            <v>4.4100000000000001E-5</v>
          </cell>
          <cell r="E509">
            <v>135223</v>
          </cell>
          <cell r="F509" t="str">
            <v xml:space="preserve"> </v>
          </cell>
          <cell r="G509">
            <v>20862</v>
          </cell>
          <cell r="H509">
            <v>18562</v>
          </cell>
          <cell r="I509">
            <v>35883</v>
          </cell>
          <cell r="J509">
            <v>20204</v>
          </cell>
          <cell r="K509">
            <v>95511</v>
          </cell>
          <cell r="L509"/>
          <cell r="M509">
            <v>700</v>
          </cell>
          <cell r="N509">
            <v>0</v>
          </cell>
          <cell r="O509">
            <v>6516</v>
          </cell>
          <cell r="P509">
            <v>7216</v>
          </cell>
          <cell r="Q509"/>
          <cell r="R509">
            <v>37561</v>
          </cell>
          <cell r="S509">
            <v>4121</v>
          </cell>
          <cell r="T509">
            <v>41682</v>
          </cell>
        </row>
        <row r="510">
          <cell r="A510">
            <v>95301</v>
          </cell>
          <cell r="B510" t="str">
            <v>LEE COUNTY</v>
          </cell>
          <cell r="C510">
            <v>2.3362000000000001E-3</v>
          </cell>
          <cell r="D510">
            <v>2.3917999999999999E-3</v>
          </cell>
          <cell r="E510">
            <v>5542265</v>
          </cell>
          <cell r="F510" t="str">
            <v xml:space="preserve"> </v>
          </cell>
          <cell r="G510">
            <v>855040</v>
          </cell>
          <cell r="H510">
            <v>760788</v>
          </cell>
          <cell r="I510">
            <v>1470703</v>
          </cell>
          <cell r="J510">
            <v>42774</v>
          </cell>
          <cell r="K510">
            <v>3129305</v>
          </cell>
          <cell r="L510"/>
          <cell r="M510">
            <v>28691</v>
          </cell>
          <cell r="N510">
            <v>0</v>
          </cell>
          <cell r="O510">
            <v>25264</v>
          </cell>
          <cell r="P510">
            <v>53955</v>
          </cell>
          <cell r="Q510"/>
          <cell r="R510">
            <v>1539493</v>
          </cell>
          <cell r="S510">
            <v>13159</v>
          </cell>
          <cell r="T510">
            <v>1552652</v>
          </cell>
        </row>
        <row r="511">
          <cell r="A511">
            <v>95311</v>
          </cell>
          <cell r="B511" t="str">
            <v>CITY OF SANFORD</v>
          </cell>
          <cell r="C511">
            <v>2.6302999999999999E-3</v>
          </cell>
          <cell r="D511">
            <v>2.6873999999999999E-3</v>
          </cell>
          <cell r="E511">
            <v>6239971</v>
          </cell>
          <cell r="F511" t="str">
            <v xml:space="preserve"> </v>
          </cell>
          <cell r="G511">
            <v>962679</v>
          </cell>
          <cell r="H511">
            <v>856562</v>
          </cell>
          <cell r="I511">
            <v>1655847</v>
          </cell>
          <cell r="J511">
            <v>41494</v>
          </cell>
          <cell r="K511">
            <v>3516582</v>
          </cell>
          <cell r="L511"/>
          <cell r="M511">
            <v>32303</v>
          </cell>
          <cell r="N511">
            <v>0</v>
          </cell>
          <cell r="O511">
            <v>58842</v>
          </cell>
          <cell r="P511">
            <v>91145</v>
          </cell>
          <cell r="Q511"/>
          <cell r="R511">
            <v>1733297</v>
          </cell>
          <cell r="S511">
            <v>-43357</v>
          </cell>
          <cell r="T511">
            <v>1689940</v>
          </cell>
        </row>
        <row r="512">
          <cell r="A512">
            <v>95317</v>
          </cell>
          <cell r="B512" t="str">
            <v>SANFORD ABC BOARD</v>
          </cell>
          <cell r="C512">
            <v>4.32E-5</v>
          </cell>
          <cell r="D512">
            <v>4.8900000000000003E-5</v>
          </cell>
          <cell r="E512">
            <v>102485</v>
          </cell>
          <cell r="F512" t="str">
            <v xml:space="preserve"> </v>
          </cell>
          <cell r="G512">
            <v>15811</v>
          </cell>
          <cell r="H512">
            <v>14068</v>
          </cell>
          <cell r="I512">
            <v>27196</v>
          </cell>
          <cell r="J512">
            <v>4826</v>
          </cell>
          <cell r="K512">
            <v>61901</v>
          </cell>
          <cell r="L512"/>
          <cell r="M512">
            <v>531</v>
          </cell>
          <cell r="N512">
            <v>0</v>
          </cell>
          <cell r="O512">
            <v>0</v>
          </cell>
          <cell r="P512">
            <v>531</v>
          </cell>
          <cell r="Q512"/>
          <cell r="R512">
            <v>28468</v>
          </cell>
          <cell r="S512">
            <v>2726</v>
          </cell>
          <cell r="T512">
            <v>31194</v>
          </cell>
        </row>
        <row r="513">
          <cell r="A513">
            <v>95321</v>
          </cell>
          <cell r="B513" t="str">
            <v xml:space="preserve"> BROADWAY</v>
          </cell>
          <cell r="C513">
            <v>5.1999999999999997E-5</v>
          </cell>
          <cell r="D513">
            <v>4.71E-5</v>
          </cell>
          <cell r="E513">
            <v>123362</v>
          </cell>
          <cell r="F513" t="str">
            <v xml:space="preserve"> </v>
          </cell>
          <cell r="G513">
            <v>19032</v>
          </cell>
          <cell r="H513">
            <v>16934</v>
          </cell>
          <cell r="I513">
            <v>32735</v>
          </cell>
          <cell r="J513">
            <v>6589</v>
          </cell>
          <cell r="K513">
            <v>75290</v>
          </cell>
          <cell r="L513"/>
          <cell r="M513">
            <v>639</v>
          </cell>
          <cell r="N513">
            <v>0</v>
          </cell>
          <cell r="O513">
            <v>1618</v>
          </cell>
          <cell r="P513">
            <v>2257</v>
          </cell>
          <cell r="Q513"/>
          <cell r="R513">
            <v>34267</v>
          </cell>
          <cell r="S513">
            <v>2368</v>
          </cell>
          <cell r="T513">
            <v>36635</v>
          </cell>
        </row>
        <row r="514">
          <cell r="A514">
            <v>95401</v>
          </cell>
          <cell r="B514" t="str">
            <v>LENOIR COUNTY</v>
          </cell>
          <cell r="C514">
            <v>2.8792000000000002E-3</v>
          </cell>
          <cell r="D514">
            <v>2.9992E-3</v>
          </cell>
          <cell r="E514">
            <v>6830447</v>
          </cell>
          <cell r="F514" t="str">
            <v xml:space="preserve"> </v>
          </cell>
          <cell r="G514">
            <v>1053776</v>
          </cell>
          <cell r="H514">
            <v>937617</v>
          </cell>
          <cell r="I514">
            <v>1812537</v>
          </cell>
          <cell r="J514">
            <v>12696</v>
          </cell>
          <cell r="K514">
            <v>3816626</v>
          </cell>
          <cell r="L514"/>
          <cell r="M514">
            <v>35359</v>
          </cell>
          <cell r="N514">
            <v>0</v>
          </cell>
          <cell r="O514">
            <v>132713</v>
          </cell>
          <cell r="P514">
            <v>168072</v>
          </cell>
          <cell r="Q514"/>
          <cell r="R514">
            <v>1897315</v>
          </cell>
          <cell r="S514">
            <v>-19424</v>
          </cell>
          <cell r="T514">
            <v>1877891</v>
          </cell>
        </row>
        <row r="515">
          <cell r="A515">
            <v>95404</v>
          </cell>
          <cell r="B515" t="str">
            <v>LENOIR COUNTY ABC BOARD</v>
          </cell>
          <cell r="C515">
            <v>5.0000000000000002E-5</v>
          </cell>
          <cell r="D515">
            <v>5.3100000000000003E-5</v>
          </cell>
          <cell r="E515">
            <v>118617</v>
          </cell>
          <cell r="F515" t="str">
            <v xml:space="preserve"> </v>
          </cell>
          <cell r="G515">
            <v>18300</v>
          </cell>
          <cell r="H515">
            <v>16283</v>
          </cell>
          <cell r="I515">
            <v>31476</v>
          </cell>
          <cell r="J515">
            <v>3211</v>
          </cell>
          <cell r="K515">
            <v>69270</v>
          </cell>
          <cell r="L515"/>
          <cell r="M515">
            <v>614</v>
          </cell>
          <cell r="N515">
            <v>0</v>
          </cell>
          <cell r="O515">
            <v>3328</v>
          </cell>
          <cell r="P515">
            <v>3942</v>
          </cell>
          <cell r="Q515"/>
          <cell r="R515">
            <v>32949</v>
          </cell>
          <cell r="S515">
            <v>1115</v>
          </cell>
          <cell r="T515">
            <v>34064</v>
          </cell>
        </row>
        <row r="516">
          <cell r="A516">
            <v>95405</v>
          </cell>
          <cell r="B516" t="str">
            <v>NEUSE REGIONAL LIBRARY</v>
          </cell>
          <cell r="C516">
            <v>1.7600000000000001E-5</v>
          </cell>
          <cell r="D516">
            <v>1.84E-5</v>
          </cell>
          <cell r="E516">
            <v>41753</v>
          </cell>
          <cell r="F516" t="str">
            <v xml:space="preserve"> </v>
          </cell>
          <cell r="G516">
            <v>6442</v>
          </cell>
          <cell r="H516">
            <v>5731</v>
          </cell>
          <cell r="I516">
            <v>11080</v>
          </cell>
          <cell r="J516">
            <v>18233</v>
          </cell>
          <cell r="K516">
            <v>41486</v>
          </cell>
          <cell r="L516"/>
          <cell r="M516">
            <v>216</v>
          </cell>
          <cell r="N516">
            <v>0</v>
          </cell>
          <cell r="O516">
            <v>0</v>
          </cell>
          <cell r="P516">
            <v>216</v>
          </cell>
          <cell r="Q516"/>
          <cell r="R516">
            <v>11598</v>
          </cell>
          <cell r="S516">
            <v>7516</v>
          </cell>
          <cell r="T516">
            <v>19114</v>
          </cell>
        </row>
        <row r="517">
          <cell r="A517">
            <v>95411</v>
          </cell>
          <cell r="B517" t="str">
            <v>CITY OF KINSTON</v>
          </cell>
          <cell r="C517">
            <v>2.1646E-3</v>
          </cell>
          <cell r="D517">
            <v>2.2173000000000002E-3</v>
          </cell>
          <cell r="E517">
            <v>5135171</v>
          </cell>
          <cell r="F517" t="str">
            <v xml:space="preserve"> </v>
          </cell>
          <cell r="G517">
            <v>792235</v>
          </cell>
          <cell r="H517">
            <v>704906</v>
          </cell>
          <cell r="I517">
            <v>1362676</v>
          </cell>
          <cell r="J517">
            <v>8705</v>
          </cell>
          <cell r="K517">
            <v>2868522</v>
          </cell>
          <cell r="L517"/>
          <cell r="M517">
            <v>26583</v>
          </cell>
          <cell r="N517">
            <v>0</v>
          </cell>
          <cell r="O517">
            <v>37742</v>
          </cell>
          <cell r="P517">
            <v>64325</v>
          </cell>
          <cell r="Q517"/>
          <cell r="R517">
            <v>1426413</v>
          </cell>
          <cell r="S517">
            <v>-25353</v>
          </cell>
          <cell r="T517">
            <v>1401060</v>
          </cell>
        </row>
        <row r="518">
          <cell r="A518">
            <v>95412</v>
          </cell>
          <cell r="B518" t="str">
            <v>GLOBAL TRANSPARK DEVELOPMENT COMM</v>
          </cell>
          <cell r="C518">
            <v>0</v>
          </cell>
          <cell r="D518">
            <v>0</v>
          </cell>
          <cell r="E518">
            <v>0</v>
          </cell>
          <cell r="F518" t="str">
            <v xml:space="preserve"> </v>
          </cell>
          <cell r="G518">
            <v>0</v>
          </cell>
          <cell r="H518">
            <v>0</v>
          </cell>
          <cell r="I518">
            <v>0</v>
          </cell>
          <cell r="J518">
            <v>0</v>
          </cell>
          <cell r="K518">
            <v>0</v>
          </cell>
          <cell r="L518"/>
          <cell r="M518">
            <v>0</v>
          </cell>
          <cell r="N518">
            <v>0</v>
          </cell>
          <cell r="O518">
            <v>9383</v>
          </cell>
          <cell r="P518">
            <v>9383</v>
          </cell>
          <cell r="Q518"/>
          <cell r="R518">
            <v>0</v>
          </cell>
          <cell r="S518">
            <v>-18447</v>
          </cell>
          <cell r="T518">
            <v>-18447</v>
          </cell>
        </row>
        <row r="519">
          <cell r="A519">
            <v>95413</v>
          </cell>
          <cell r="B519" t="str">
            <v>HOUSING AUTHORITY FOR THE CTY OF KINSTON</v>
          </cell>
          <cell r="C519">
            <v>2.6879999999999997E-4</v>
          </cell>
          <cell r="D519">
            <v>2.5809999999999999E-4</v>
          </cell>
          <cell r="E519">
            <v>637686</v>
          </cell>
          <cell r="F519" t="str">
            <v xml:space="preserve"> </v>
          </cell>
          <cell r="G519">
            <v>98380</v>
          </cell>
          <cell r="H519">
            <v>87535</v>
          </cell>
          <cell r="I519">
            <v>169217</v>
          </cell>
          <cell r="J519">
            <v>167873</v>
          </cell>
          <cell r="K519">
            <v>523005</v>
          </cell>
          <cell r="L519"/>
          <cell r="M519">
            <v>3301</v>
          </cell>
          <cell r="N519">
            <v>0</v>
          </cell>
          <cell r="O519">
            <v>0</v>
          </cell>
          <cell r="P519">
            <v>3301</v>
          </cell>
          <cell r="Q519"/>
          <cell r="R519">
            <v>177132</v>
          </cell>
          <cell r="S519">
            <v>79192</v>
          </cell>
          <cell r="T519">
            <v>256324</v>
          </cell>
        </row>
        <row r="520">
          <cell r="A520">
            <v>95415</v>
          </cell>
          <cell r="B520" t="str">
            <v>KINSTON-LENOIR CO PUB LIBRARY</v>
          </cell>
          <cell r="C520">
            <v>7.1099999999999994E-5</v>
          </cell>
          <cell r="D520">
            <v>6.2899999999999997E-5</v>
          </cell>
          <cell r="E520">
            <v>168674</v>
          </cell>
          <cell r="F520" t="str">
            <v xml:space="preserve"> </v>
          </cell>
          <cell r="G520">
            <v>26022</v>
          </cell>
          <cell r="H520">
            <v>23154</v>
          </cell>
          <cell r="I520">
            <v>44759</v>
          </cell>
          <cell r="J520">
            <v>3142</v>
          </cell>
          <cell r="K520">
            <v>97077</v>
          </cell>
          <cell r="L520"/>
          <cell r="M520">
            <v>873</v>
          </cell>
          <cell r="N520">
            <v>0</v>
          </cell>
          <cell r="O520">
            <v>11354</v>
          </cell>
          <cell r="P520">
            <v>12227</v>
          </cell>
          <cell r="Q520"/>
          <cell r="R520">
            <v>46853</v>
          </cell>
          <cell r="S520">
            <v>567</v>
          </cell>
          <cell r="T520">
            <v>47420</v>
          </cell>
        </row>
        <row r="521">
          <cell r="A521">
            <v>95421</v>
          </cell>
          <cell r="B521" t="str">
            <v xml:space="preserve"> PINK HILL</v>
          </cell>
          <cell r="C521">
            <v>3.8300000000000003E-5</v>
          </cell>
          <cell r="D521">
            <v>3.8699999999999999E-5</v>
          </cell>
          <cell r="E521">
            <v>90861</v>
          </cell>
          <cell r="F521" t="str">
            <v xml:space="preserve"> </v>
          </cell>
          <cell r="G521">
            <v>14018</v>
          </cell>
          <cell r="H521">
            <v>12473</v>
          </cell>
          <cell r="I521">
            <v>24111</v>
          </cell>
          <cell r="J521">
            <v>560</v>
          </cell>
          <cell r="K521">
            <v>51162</v>
          </cell>
          <cell r="L521"/>
          <cell r="M521">
            <v>470</v>
          </cell>
          <cell r="N521">
            <v>0</v>
          </cell>
          <cell r="O521">
            <v>4403</v>
          </cell>
          <cell r="P521">
            <v>4873</v>
          </cell>
          <cell r="Q521"/>
          <cell r="R521">
            <v>25239</v>
          </cell>
          <cell r="S521">
            <v>-4796</v>
          </cell>
          <cell r="T521">
            <v>20443</v>
          </cell>
        </row>
        <row r="522">
          <cell r="A522">
            <v>95431</v>
          </cell>
          <cell r="B522" t="str">
            <v xml:space="preserve"> LAGRANGE</v>
          </cell>
          <cell r="C522">
            <v>1.4630000000000001E-4</v>
          </cell>
          <cell r="D522">
            <v>1.5300000000000001E-4</v>
          </cell>
          <cell r="E522">
            <v>347074</v>
          </cell>
          <cell r="F522" t="str">
            <v xml:space="preserve"> </v>
          </cell>
          <cell r="G522">
            <v>53545</v>
          </cell>
          <cell r="H522">
            <v>47643</v>
          </cell>
          <cell r="I522">
            <v>92100</v>
          </cell>
          <cell r="J522">
            <v>0</v>
          </cell>
          <cell r="K522">
            <v>193288</v>
          </cell>
          <cell r="L522"/>
          <cell r="M522">
            <v>1797</v>
          </cell>
          <cell r="N522">
            <v>0</v>
          </cell>
          <cell r="O522">
            <v>33027</v>
          </cell>
          <cell r="P522">
            <v>34824</v>
          </cell>
          <cell r="Q522"/>
          <cell r="R522">
            <v>96408</v>
          </cell>
          <cell r="S522">
            <v>-12213</v>
          </cell>
          <cell r="T522">
            <v>84195</v>
          </cell>
        </row>
        <row r="523">
          <cell r="A523">
            <v>95501</v>
          </cell>
          <cell r="B523" t="str">
            <v>LINCOLN COUNTY</v>
          </cell>
          <cell r="C523">
            <v>4.8900999999999997E-3</v>
          </cell>
          <cell r="D523">
            <v>4.8764999999999998E-3</v>
          </cell>
          <cell r="E523">
            <v>11600990</v>
          </cell>
          <cell r="F523" t="str">
            <v xml:space="preserve"> </v>
          </cell>
          <cell r="G523">
            <v>1789757</v>
          </cell>
          <cell r="H523">
            <v>1592471</v>
          </cell>
          <cell r="I523">
            <v>3078455</v>
          </cell>
          <cell r="J523">
            <v>0</v>
          </cell>
          <cell r="K523">
            <v>6460683</v>
          </cell>
          <cell r="L523"/>
          <cell r="M523">
            <v>60055</v>
          </cell>
          <cell r="N523">
            <v>0</v>
          </cell>
          <cell r="O523">
            <v>141278</v>
          </cell>
          <cell r="P523">
            <v>201333</v>
          </cell>
          <cell r="Q523"/>
          <cell r="R523">
            <v>3222444</v>
          </cell>
          <cell r="S523">
            <v>-23300</v>
          </cell>
          <cell r="T523">
            <v>3199144</v>
          </cell>
        </row>
        <row r="524">
          <cell r="A524">
            <v>95504</v>
          </cell>
          <cell r="B524" t="str">
            <v>LINCOLN COUNTY ABC BOARD</v>
          </cell>
          <cell r="C524">
            <v>8.8000000000000004E-6</v>
          </cell>
          <cell r="D524">
            <v>9.3999999999999998E-6</v>
          </cell>
          <cell r="E524">
            <v>20877</v>
          </cell>
          <cell r="F524" t="str">
            <v xml:space="preserve"> </v>
          </cell>
          <cell r="G524">
            <v>3221</v>
          </cell>
          <cell r="H524">
            <v>2866</v>
          </cell>
          <cell r="I524">
            <v>5540</v>
          </cell>
          <cell r="J524">
            <v>9317</v>
          </cell>
          <cell r="K524">
            <v>20944</v>
          </cell>
          <cell r="L524"/>
          <cell r="M524">
            <v>108</v>
          </cell>
          <cell r="N524">
            <v>0</v>
          </cell>
          <cell r="O524">
            <v>0</v>
          </cell>
          <cell r="P524">
            <v>108</v>
          </cell>
          <cell r="Q524"/>
          <cell r="R524">
            <v>5799</v>
          </cell>
          <cell r="S524">
            <v>4040</v>
          </cell>
          <cell r="T524">
            <v>9839</v>
          </cell>
        </row>
        <row r="525">
          <cell r="A525">
            <v>95511</v>
          </cell>
          <cell r="B525" t="str">
            <v>CITY OF LINCOLNTON</v>
          </cell>
          <cell r="C525">
            <v>9.5339999999999997E-4</v>
          </cell>
          <cell r="D525">
            <v>9.7460000000000005E-4</v>
          </cell>
          <cell r="E525">
            <v>2261791</v>
          </cell>
          <cell r="F525" t="str">
            <v xml:space="preserve"> </v>
          </cell>
          <cell r="G525">
            <v>348941</v>
          </cell>
          <cell r="H525">
            <v>310477</v>
          </cell>
          <cell r="I525">
            <v>600192</v>
          </cell>
          <cell r="J525">
            <v>48211</v>
          </cell>
          <cell r="K525">
            <v>1307821</v>
          </cell>
          <cell r="L525"/>
          <cell r="M525">
            <v>11709</v>
          </cell>
          <cell r="N525">
            <v>0</v>
          </cell>
          <cell r="O525">
            <v>32399</v>
          </cell>
          <cell r="P525">
            <v>44108</v>
          </cell>
          <cell r="Q525"/>
          <cell r="R525">
            <v>628265</v>
          </cell>
          <cell r="S525">
            <v>103</v>
          </cell>
          <cell r="T525">
            <v>628368</v>
          </cell>
        </row>
        <row r="526">
          <cell r="A526">
            <v>95513</v>
          </cell>
          <cell r="B526" t="str">
            <v>LINCOLNTON HOUSING AUTHORITY</v>
          </cell>
          <cell r="C526">
            <v>4.5399999999999999E-5</v>
          </cell>
          <cell r="D526">
            <v>4.6699999999999997E-5</v>
          </cell>
          <cell r="E526">
            <v>107704</v>
          </cell>
          <cell r="F526" t="str">
            <v xml:space="preserve"> </v>
          </cell>
          <cell r="G526">
            <v>16616</v>
          </cell>
          <cell r="H526">
            <v>14785</v>
          </cell>
          <cell r="I526">
            <v>28581</v>
          </cell>
          <cell r="J526">
            <v>21477</v>
          </cell>
          <cell r="K526">
            <v>81459</v>
          </cell>
          <cell r="L526"/>
          <cell r="M526">
            <v>558</v>
          </cell>
          <cell r="N526">
            <v>0</v>
          </cell>
          <cell r="O526">
            <v>0</v>
          </cell>
          <cell r="P526">
            <v>558</v>
          </cell>
          <cell r="Q526"/>
          <cell r="R526">
            <v>29917</v>
          </cell>
          <cell r="S526">
            <v>11276</v>
          </cell>
          <cell r="T526">
            <v>41193</v>
          </cell>
        </row>
        <row r="527">
          <cell r="A527">
            <v>95517</v>
          </cell>
          <cell r="B527" t="str">
            <v xml:space="preserve"> LINCOLNTON ABC BOARD</v>
          </cell>
          <cell r="C527">
            <v>1.88E-5</v>
          </cell>
          <cell r="D527">
            <v>2.4499999999999999E-5</v>
          </cell>
          <cell r="E527">
            <v>44600</v>
          </cell>
          <cell r="F527" t="str">
            <v xml:space="preserve"> </v>
          </cell>
          <cell r="G527">
            <v>6881</v>
          </cell>
          <cell r="H527">
            <v>6122</v>
          </cell>
          <cell r="I527">
            <v>11835</v>
          </cell>
          <cell r="J527">
            <v>11454</v>
          </cell>
          <cell r="K527">
            <v>36292</v>
          </cell>
          <cell r="L527"/>
          <cell r="M527">
            <v>231</v>
          </cell>
          <cell r="N527">
            <v>0</v>
          </cell>
          <cell r="O527">
            <v>2556</v>
          </cell>
          <cell r="P527">
            <v>2787</v>
          </cell>
          <cell r="Q527"/>
          <cell r="R527">
            <v>12389</v>
          </cell>
          <cell r="S527">
            <v>5895</v>
          </cell>
          <cell r="T527">
            <v>18284</v>
          </cell>
        </row>
        <row r="528">
          <cell r="A528">
            <v>95601</v>
          </cell>
          <cell r="B528" t="str">
            <v>MACON COUNTY</v>
          </cell>
          <cell r="C528">
            <v>2.6251999999999998E-3</v>
          </cell>
          <cell r="D528">
            <v>2.6280000000000001E-3</v>
          </cell>
          <cell r="E528">
            <v>6227872</v>
          </cell>
          <cell r="F528" t="str">
            <v xml:space="preserve"> </v>
          </cell>
          <cell r="G528">
            <v>960813</v>
          </cell>
          <cell r="H528">
            <v>854902</v>
          </cell>
          <cell r="I528">
            <v>1652637</v>
          </cell>
          <cell r="J528">
            <v>33391</v>
          </cell>
          <cell r="K528">
            <v>3501743</v>
          </cell>
          <cell r="L528"/>
          <cell r="M528">
            <v>32240</v>
          </cell>
          <cell r="N528">
            <v>0</v>
          </cell>
          <cell r="O528">
            <v>33658</v>
          </cell>
          <cell r="P528">
            <v>65898</v>
          </cell>
          <cell r="Q528"/>
          <cell r="R528">
            <v>1729936</v>
          </cell>
          <cell r="S528">
            <v>42593</v>
          </cell>
          <cell r="T528">
            <v>1772529</v>
          </cell>
        </row>
        <row r="529">
          <cell r="A529">
            <v>95611</v>
          </cell>
          <cell r="B529" t="str">
            <v xml:space="preserve"> FRANKLIN</v>
          </cell>
          <cell r="C529">
            <v>3.8440000000000002E-4</v>
          </cell>
          <cell r="D529">
            <v>4.0660000000000002E-4</v>
          </cell>
          <cell r="E529">
            <v>911928</v>
          </cell>
          <cell r="F529" t="str">
            <v xml:space="preserve"> </v>
          </cell>
          <cell r="G529">
            <v>140689</v>
          </cell>
          <cell r="H529">
            <v>125180</v>
          </cell>
          <cell r="I529">
            <v>241991</v>
          </cell>
          <cell r="J529">
            <v>5465</v>
          </cell>
          <cell r="K529">
            <v>513325</v>
          </cell>
          <cell r="L529"/>
          <cell r="M529">
            <v>4721</v>
          </cell>
          <cell r="N529">
            <v>0</v>
          </cell>
          <cell r="O529">
            <v>4327</v>
          </cell>
          <cell r="P529">
            <v>9048</v>
          </cell>
          <cell r="Q529"/>
          <cell r="R529">
            <v>253309</v>
          </cell>
          <cell r="S529">
            <v>529</v>
          </cell>
          <cell r="T529">
            <v>253838</v>
          </cell>
        </row>
        <row r="530">
          <cell r="A530">
            <v>95617</v>
          </cell>
          <cell r="B530" t="str">
            <v>HIGHLANDS ABC BOARD</v>
          </cell>
          <cell r="C530">
            <v>1.59E-5</v>
          </cell>
          <cell r="D530">
            <v>1.6399999999999999E-5</v>
          </cell>
          <cell r="E530">
            <v>37720</v>
          </cell>
          <cell r="F530" t="str">
            <v xml:space="preserve"> </v>
          </cell>
          <cell r="G530">
            <v>5819</v>
          </cell>
          <cell r="H530">
            <v>5178</v>
          </cell>
          <cell r="I530">
            <v>10009</v>
          </cell>
          <cell r="J530">
            <v>916</v>
          </cell>
          <cell r="K530">
            <v>21922</v>
          </cell>
          <cell r="L530"/>
          <cell r="M530">
            <v>195</v>
          </cell>
          <cell r="N530">
            <v>0</v>
          </cell>
          <cell r="O530">
            <v>417</v>
          </cell>
          <cell r="P530">
            <v>612</v>
          </cell>
          <cell r="Q530"/>
          <cell r="R530">
            <v>10478</v>
          </cell>
          <cell r="S530">
            <v>-554</v>
          </cell>
          <cell r="T530">
            <v>9924</v>
          </cell>
        </row>
        <row r="531">
          <cell r="A531">
            <v>95621</v>
          </cell>
          <cell r="B531" t="str">
            <v xml:space="preserve"> HIGHLANDS</v>
          </cell>
          <cell r="C531">
            <v>4.9019999999999999E-4</v>
          </cell>
          <cell r="D531">
            <v>4.5360000000000002E-4</v>
          </cell>
          <cell r="E531">
            <v>1162922</v>
          </cell>
          <cell r="F531" t="str">
            <v xml:space="preserve"> </v>
          </cell>
          <cell r="G531">
            <v>179411</v>
          </cell>
          <cell r="H531">
            <v>159635</v>
          </cell>
          <cell r="I531">
            <v>308595</v>
          </cell>
          <cell r="J531">
            <v>42371</v>
          </cell>
          <cell r="K531">
            <v>690012</v>
          </cell>
          <cell r="L531"/>
          <cell r="M531">
            <v>6020</v>
          </cell>
          <cell r="N531">
            <v>0</v>
          </cell>
          <cell r="O531">
            <v>2706</v>
          </cell>
          <cell r="P531">
            <v>8726</v>
          </cell>
          <cell r="Q531"/>
          <cell r="R531">
            <v>323029</v>
          </cell>
          <cell r="S531">
            <v>12042</v>
          </cell>
          <cell r="T531">
            <v>335071</v>
          </cell>
        </row>
        <row r="532">
          <cell r="A532">
            <v>95701</v>
          </cell>
          <cell r="B532" t="str">
            <v>MADISON COUNTY</v>
          </cell>
          <cell r="C532">
            <v>1.3044E-3</v>
          </cell>
          <cell r="D532">
            <v>1.3747E-3</v>
          </cell>
          <cell r="E532">
            <v>3094483</v>
          </cell>
          <cell r="F532" t="str">
            <v xml:space="preserve"> </v>
          </cell>
          <cell r="G532">
            <v>477405</v>
          </cell>
          <cell r="H532">
            <v>424780</v>
          </cell>
          <cell r="I532">
            <v>821156</v>
          </cell>
          <cell r="J532">
            <v>34377</v>
          </cell>
          <cell r="K532">
            <v>1757718</v>
          </cell>
          <cell r="L532"/>
          <cell r="M532">
            <v>16019</v>
          </cell>
          <cell r="N532">
            <v>0</v>
          </cell>
          <cell r="O532">
            <v>77258</v>
          </cell>
          <cell r="P532">
            <v>93277</v>
          </cell>
          <cell r="Q532"/>
          <cell r="R532">
            <v>859564</v>
          </cell>
          <cell r="S532">
            <v>9205</v>
          </cell>
          <cell r="T532">
            <v>868769</v>
          </cell>
        </row>
        <row r="533">
          <cell r="A533">
            <v>95711</v>
          </cell>
          <cell r="B533" t="str">
            <v xml:space="preserve"> MARS HILL</v>
          </cell>
          <cell r="C533">
            <v>1.4349999999999999E-4</v>
          </cell>
          <cell r="D533">
            <v>1.394E-4</v>
          </cell>
          <cell r="E533">
            <v>340431</v>
          </cell>
          <cell r="F533" t="str">
            <v xml:space="preserve"> </v>
          </cell>
          <cell r="G533">
            <v>52520</v>
          </cell>
          <cell r="H533">
            <v>46731</v>
          </cell>
          <cell r="I533">
            <v>90337</v>
          </cell>
          <cell r="J533">
            <v>2879</v>
          </cell>
          <cell r="K533">
            <v>192467</v>
          </cell>
          <cell r="L533"/>
          <cell r="M533">
            <v>1762</v>
          </cell>
          <cell r="N533">
            <v>0</v>
          </cell>
          <cell r="O533">
            <v>9110</v>
          </cell>
          <cell r="P533">
            <v>10872</v>
          </cell>
          <cell r="Q533"/>
          <cell r="R533">
            <v>94563</v>
          </cell>
          <cell r="S533">
            <v>468</v>
          </cell>
          <cell r="T533">
            <v>95031</v>
          </cell>
        </row>
        <row r="534">
          <cell r="A534">
            <v>95721</v>
          </cell>
          <cell r="B534" t="str">
            <v xml:space="preserve"> MARSHALL</v>
          </cell>
          <cell r="C534">
            <v>6.7799999999999995E-5</v>
          </cell>
          <cell r="D534">
            <v>6.7600000000000003E-5</v>
          </cell>
          <cell r="E534">
            <v>160845</v>
          </cell>
          <cell r="F534" t="str">
            <v xml:space="preserve"> </v>
          </cell>
          <cell r="G534">
            <v>24815</v>
          </cell>
          <cell r="H534">
            <v>22080</v>
          </cell>
          <cell r="I534">
            <v>42682</v>
          </cell>
          <cell r="J534">
            <v>0</v>
          </cell>
          <cell r="K534">
            <v>89577</v>
          </cell>
          <cell r="L534"/>
          <cell r="M534">
            <v>833</v>
          </cell>
          <cell r="N534">
            <v>0</v>
          </cell>
          <cell r="O534">
            <v>6588</v>
          </cell>
          <cell r="P534">
            <v>7421</v>
          </cell>
          <cell r="Q534"/>
          <cell r="R534">
            <v>44678</v>
          </cell>
          <cell r="S534">
            <v>-4986</v>
          </cell>
          <cell r="T534">
            <v>39692</v>
          </cell>
        </row>
        <row r="535">
          <cell r="A535">
            <v>95733</v>
          </cell>
          <cell r="B535" t="str">
            <v>HOT SPRINGS HOUSING AUTHORITY</v>
          </cell>
          <cell r="C535">
            <v>1.5500000000000001E-5</v>
          </cell>
          <cell r="D535">
            <v>1.5400000000000002E-5</v>
          </cell>
          <cell r="E535">
            <v>36771</v>
          </cell>
          <cell r="F535" t="str">
            <v xml:space="preserve"> </v>
          </cell>
          <cell r="G535">
            <v>5673</v>
          </cell>
          <cell r="H535">
            <v>5047</v>
          </cell>
          <cell r="I535">
            <v>9758</v>
          </cell>
          <cell r="J535">
            <v>293</v>
          </cell>
          <cell r="K535">
            <v>20771</v>
          </cell>
          <cell r="L535"/>
          <cell r="M535">
            <v>190</v>
          </cell>
          <cell r="N535">
            <v>0</v>
          </cell>
          <cell r="O535">
            <v>329</v>
          </cell>
          <cell r="P535">
            <v>519</v>
          </cell>
          <cell r="Q535"/>
          <cell r="R535">
            <v>10214</v>
          </cell>
          <cell r="S535">
            <v>222</v>
          </cell>
          <cell r="T535">
            <v>10436</v>
          </cell>
        </row>
        <row r="536">
          <cell r="A536">
            <v>95801</v>
          </cell>
          <cell r="B536" t="str">
            <v>MARTIN COUNTY</v>
          </cell>
          <cell r="C536">
            <v>9.7999999999999997E-4</v>
          </cell>
          <cell r="D536">
            <v>9.6310000000000005E-4</v>
          </cell>
          <cell r="E536">
            <v>2324895</v>
          </cell>
          <cell r="F536" t="str">
            <v xml:space="preserve"> </v>
          </cell>
          <cell r="G536">
            <v>358676</v>
          </cell>
          <cell r="H536">
            <v>319139</v>
          </cell>
          <cell r="I536">
            <v>616937</v>
          </cell>
          <cell r="J536">
            <v>66360</v>
          </cell>
          <cell r="K536">
            <v>1361112</v>
          </cell>
          <cell r="L536"/>
          <cell r="M536">
            <v>12035</v>
          </cell>
          <cell r="N536">
            <v>0</v>
          </cell>
          <cell r="O536">
            <v>165</v>
          </cell>
          <cell r="P536">
            <v>12200</v>
          </cell>
          <cell r="Q536"/>
          <cell r="R536">
            <v>645794</v>
          </cell>
          <cell r="S536">
            <v>20070</v>
          </cell>
          <cell r="T536">
            <v>665864</v>
          </cell>
        </row>
        <row r="537">
          <cell r="A537">
            <v>95802</v>
          </cell>
          <cell r="B537" t="str">
            <v>MARTIN CO TRAVEL &amp; TOURISM AUTHORITY</v>
          </cell>
          <cell r="C537">
            <v>5.4E-6</v>
          </cell>
          <cell r="D537">
            <v>6.1E-6</v>
          </cell>
          <cell r="E537">
            <v>12811</v>
          </cell>
          <cell r="F537" t="str">
            <v xml:space="preserve"> </v>
          </cell>
          <cell r="G537">
            <v>1976</v>
          </cell>
          <cell r="H537">
            <v>1759</v>
          </cell>
          <cell r="I537">
            <v>3399</v>
          </cell>
          <cell r="J537">
            <v>4124</v>
          </cell>
          <cell r="K537">
            <v>11258</v>
          </cell>
          <cell r="L537"/>
          <cell r="M537">
            <v>66</v>
          </cell>
          <cell r="N537">
            <v>0</v>
          </cell>
          <cell r="O537">
            <v>0</v>
          </cell>
          <cell r="P537">
            <v>66</v>
          </cell>
          <cell r="Q537"/>
          <cell r="R537">
            <v>3558</v>
          </cell>
          <cell r="S537">
            <v>434</v>
          </cell>
          <cell r="T537">
            <v>3992</v>
          </cell>
        </row>
        <row r="538">
          <cell r="A538">
            <v>95804</v>
          </cell>
          <cell r="B538" t="str">
            <v>MARTIN COUNTY ABC BOARD</v>
          </cell>
          <cell r="C538">
            <v>2.1699999999999999E-5</v>
          </cell>
          <cell r="D538">
            <v>2.19E-5</v>
          </cell>
          <cell r="E538">
            <v>51480</v>
          </cell>
          <cell r="F538" t="str">
            <v xml:space="preserve"> </v>
          </cell>
          <cell r="G538">
            <v>7942</v>
          </cell>
          <cell r="H538">
            <v>7067</v>
          </cell>
          <cell r="I538">
            <v>13661</v>
          </cell>
          <cell r="J538">
            <v>2008</v>
          </cell>
          <cell r="K538">
            <v>30678</v>
          </cell>
          <cell r="L538"/>
          <cell r="M538">
            <v>266</v>
          </cell>
          <cell r="N538">
            <v>0</v>
          </cell>
          <cell r="O538">
            <v>2353</v>
          </cell>
          <cell r="P538">
            <v>2619</v>
          </cell>
          <cell r="Q538"/>
          <cell r="R538">
            <v>14300</v>
          </cell>
          <cell r="S538">
            <v>1035</v>
          </cell>
          <cell r="T538">
            <v>15335</v>
          </cell>
        </row>
        <row r="539">
          <cell r="A539">
            <v>95811</v>
          </cell>
          <cell r="B539" t="str">
            <v xml:space="preserve"> WILLIAMSTON</v>
          </cell>
          <cell r="C539">
            <v>5.2729999999999997E-4</v>
          </cell>
          <cell r="D539">
            <v>5.3129999999999996E-4</v>
          </cell>
          <cell r="E539">
            <v>1250936</v>
          </cell>
          <cell r="F539" t="str">
            <v xml:space="preserve"> </v>
          </cell>
          <cell r="G539">
            <v>192990</v>
          </cell>
          <cell r="H539">
            <v>171716</v>
          </cell>
          <cell r="I539">
            <v>331950</v>
          </cell>
          <cell r="J539">
            <v>1612</v>
          </cell>
          <cell r="K539">
            <v>698268</v>
          </cell>
          <cell r="L539"/>
          <cell r="M539">
            <v>6476</v>
          </cell>
          <cell r="N539">
            <v>0</v>
          </cell>
          <cell r="O539">
            <v>2962</v>
          </cell>
          <cell r="P539">
            <v>9438</v>
          </cell>
          <cell r="Q539"/>
          <cell r="R539">
            <v>347476</v>
          </cell>
          <cell r="S539">
            <v>-1308</v>
          </cell>
          <cell r="T539">
            <v>346168</v>
          </cell>
        </row>
        <row r="540">
          <cell r="A540">
            <v>95813</v>
          </cell>
          <cell r="B540" t="str">
            <v>WILLIAMSTON HOUSING AUTHORITY</v>
          </cell>
          <cell r="C540">
            <v>5.0699999999999999E-5</v>
          </cell>
          <cell r="D540">
            <v>4.88E-5</v>
          </cell>
          <cell r="E540">
            <v>120278</v>
          </cell>
          <cell r="F540" t="str">
            <v xml:space="preserve"> </v>
          </cell>
          <cell r="G540">
            <v>18556</v>
          </cell>
          <cell r="H540">
            <v>16511</v>
          </cell>
          <cell r="I540">
            <v>31917</v>
          </cell>
          <cell r="J540">
            <v>86198</v>
          </cell>
          <cell r="K540">
            <v>153182</v>
          </cell>
          <cell r="L540"/>
          <cell r="M540">
            <v>623</v>
          </cell>
          <cell r="N540">
            <v>0</v>
          </cell>
          <cell r="O540">
            <v>0</v>
          </cell>
          <cell r="P540">
            <v>623</v>
          </cell>
          <cell r="Q540"/>
          <cell r="R540">
            <v>33410</v>
          </cell>
          <cell r="S540">
            <v>34117</v>
          </cell>
          <cell r="T540">
            <v>67527</v>
          </cell>
        </row>
        <row r="541">
          <cell r="A541">
            <v>95821</v>
          </cell>
          <cell r="B541" t="str">
            <v xml:space="preserve"> OAK CITY</v>
          </cell>
          <cell r="C541">
            <v>0</v>
          </cell>
          <cell r="D541">
            <v>0</v>
          </cell>
          <cell r="E541">
            <v>0</v>
          </cell>
          <cell r="F541" t="str">
            <v xml:space="preserve"> </v>
          </cell>
          <cell r="G541">
            <v>0</v>
          </cell>
          <cell r="H541">
            <v>0</v>
          </cell>
          <cell r="I541">
            <v>0</v>
          </cell>
          <cell r="J541">
            <v>2281</v>
          </cell>
          <cell r="K541">
            <v>2281</v>
          </cell>
          <cell r="L541"/>
          <cell r="M541">
            <v>0</v>
          </cell>
          <cell r="N541">
            <v>0</v>
          </cell>
          <cell r="O541">
            <v>489</v>
          </cell>
          <cell r="P541">
            <v>489</v>
          </cell>
          <cell r="Q541"/>
          <cell r="R541">
            <v>0</v>
          </cell>
          <cell r="S541">
            <v>861</v>
          </cell>
          <cell r="T541">
            <v>861</v>
          </cell>
        </row>
        <row r="542">
          <cell r="A542">
            <v>95831</v>
          </cell>
          <cell r="B542" t="str">
            <v xml:space="preserve"> HAMILTON</v>
          </cell>
          <cell r="C542">
            <v>1.8E-5</v>
          </cell>
          <cell r="D542">
            <v>1.6799999999999998E-5</v>
          </cell>
          <cell r="E542">
            <v>42702</v>
          </cell>
          <cell r="F542" t="str">
            <v xml:space="preserve"> </v>
          </cell>
          <cell r="G542">
            <v>6588</v>
          </cell>
          <cell r="H542">
            <v>5862</v>
          </cell>
          <cell r="I542">
            <v>11332</v>
          </cell>
          <cell r="J542">
            <v>26223</v>
          </cell>
          <cell r="K542">
            <v>50005</v>
          </cell>
          <cell r="L542"/>
          <cell r="M542">
            <v>221</v>
          </cell>
          <cell r="N542">
            <v>0</v>
          </cell>
          <cell r="O542">
            <v>0</v>
          </cell>
          <cell r="P542">
            <v>221</v>
          </cell>
          <cell r="Q542"/>
          <cell r="R542">
            <v>11862</v>
          </cell>
          <cell r="S542">
            <v>10648</v>
          </cell>
          <cell r="T542">
            <v>22510</v>
          </cell>
        </row>
        <row r="543">
          <cell r="A543">
            <v>95841</v>
          </cell>
          <cell r="B543" t="str">
            <v xml:space="preserve"> JAMESVILLE</v>
          </cell>
          <cell r="C543">
            <v>2.0000000000000002E-5</v>
          </cell>
          <cell r="D543">
            <v>2.0999999999999999E-5</v>
          </cell>
          <cell r="E543">
            <v>47447</v>
          </cell>
          <cell r="F543" t="str">
            <v xml:space="preserve"> </v>
          </cell>
          <cell r="G543">
            <v>7320</v>
          </cell>
          <cell r="H543">
            <v>6513</v>
          </cell>
          <cell r="I543">
            <v>12591</v>
          </cell>
          <cell r="J543">
            <v>3014</v>
          </cell>
          <cell r="K543">
            <v>29438</v>
          </cell>
          <cell r="L543"/>
          <cell r="M543">
            <v>246</v>
          </cell>
          <cell r="N543">
            <v>0</v>
          </cell>
          <cell r="O543">
            <v>0</v>
          </cell>
          <cell r="P543">
            <v>246</v>
          </cell>
          <cell r="Q543"/>
          <cell r="R543">
            <v>13179</v>
          </cell>
          <cell r="S543">
            <v>1248</v>
          </cell>
          <cell r="T543">
            <v>14427</v>
          </cell>
        </row>
        <row r="544">
          <cell r="A544">
            <v>95851</v>
          </cell>
          <cell r="B544" t="str">
            <v xml:space="preserve"> ROBERSONVILLE</v>
          </cell>
          <cell r="C544">
            <v>1.403E-4</v>
          </cell>
          <cell r="D544">
            <v>1.327E-4</v>
          </cell>
          <cell r="E544">
            <v>332840</v>
          </cell>
          <cell r="F544" t="str">
            <v xml:space="preserve"> </v>
          </cell>
          <cell r="G544">
            <v>51349</v>
          </cell>
          <cell r="H544">
            <v>45689</v>
          </cell>
          <cell r="I544">
            <v>88323</v>
          </cell>
          <cell r="J544">
            <v>151488</v>
          </cell>
          <cell r="K544">
            <v>336849</v>
          </cell>
          <cell r="L544"/>
          <cell r="M544">
            <v>1723</v>
          </cell>
          <cell r="N544">
            <v>0</v>
          </cell>
          <cell r="O544">
            <v>0</v>
          </cell>
          <cell r="P544">
            <v>1723</v>
          </cell>
          <cell r="Q544"/>
          <cell r="R544">
            <v>92454</v>
          </cell>
          <cell r="S544">
            <v>56099</v>
          </cell>
          <cell r="T544">
            <v>148553</v>
          </cell>
        </row>
        <row r="545">
          <cell r="A545">
            <v>95853</v>
          </cell>
          <cell r="B545" t="str">
            <v>ROBERSONVILLE HOUSING AUTHORITY</v>
          </cell>
          <cell r="C545">
            <v>3.1300000000000002E-5</v>
          </cell>
          <cell r="D545">
            <v>2.69E-5</v>
          </cell>
          <cell r="E545">
            <v>74254</v>
          </cell>
          <cell r="F545" t="str">
            <v xml:space="preserve"> </v>
          </cell>
          <cell r="G545">
            <v>11456</v>
          </cell>
          <cell r="H545">
            <v>10193</v>
          </cell>
          <cell r="I545">
            <v>19704</v>
          </cell>
          <cell r="J545">
            <v>8786</v>
          </cell>
          <cell r="K545">
            <v>50139</v>
          </cell>
          <cell r="L545"/>
          <cell r="M545">
            <v>384</v>
          </cell>
          <cell r="N545">
            <v>0</v>
          </cell>
          <cell r="O545">
            <v>0</v>
          </cell>
          <cell r="P545">
            <v>384</v>
          </cell>
          <cell r="Q545"/>
          <cell r="R545">
            <v>20626</v>
          </cell>
          <cell r="S545">
            <v>4580</v>
          </cell>
          <cell r="T545">
            <v>25206</v>
          </cell>
        </row>
        <row r="546">
          <cell r="A546">
            <v>95901</v>
          </cell>
          <cell r="B546" t="str">
            <v>MCDOWELL COUNTY</v>
          </cell>
          <cell r="C546">
            <v>1.9158000000000001E-3</v>
          </cell>
          <cell r="D546">
            <v>1.8714999999999999E-3</v>
          </cell>
          <cell r="E546">
            <v>4544933</v>
          </cell>
          <cell r="F546" t="str">
            <v xml:space="preserve"> </v>
          </cell>
          <cell r="G546">
            <v>701175</v>
          </cell>
          <cell r="H546">
            <v>623884</v>
          </cell>
          <cell r="I546">
            <v>1206050</v>
          </cell>
          <cell r="J546">
            <v>4319</v>
          </cell>
          <cell r="K546">
            <v>2535428</v>
          </cell>
          <cell r="L546"/>
          <cell r="M546">
            <v>23528</v>
          </cell>
          <cell r="N546">
            <v>0</v>
          </cell>
          <cell r="O546">
            <v>11578</v>
          </cell>
          <cell r="P546">
            <v>35106</v>
          </cell>
          <cell r="Q546"/>
          <cell r="R546">
            <v>1262460</v>
          </cell>
          <cell r="S546">
            <v>27562</v>
          </cell>
          <cell r="T546">
            <v>1290022</v>
          </cell>
        </row>
        <row r="547">
          <cell r="A547">
            <v>95908</v>
          </cell>
          <cell r="B547" t="str">
            <v>PLEASANT GARDEN FIRE DEPT</v>
          </cell>
          <cell r="C547">
            <v>6.1099999999999994E-5</v>
          </cell>
          <cell r="D547">
            <v>7.2200000000000007E-5</v>
          </cell>
          <cell r="E547">
            <v>144950</v>
          </cell>
          <cell r="F547" t="str">
            <v xml:space="preserve"> </v>
          </cell>
          <cell r="G547">
            <v>22362</v>
          </cell>
          <cell r="H547">
            <v>19898</v>
          </cell>
          <cell r="I547">
            <v>38464</v>
          </cell>
          <cell r="J547">
            <v>0</v>
          </cell>
          <cell r="K547">
            <v>80724</v>
          </cell>
          <cell r="L547"/>
          <cell r="M547">
            <v>750</v>
          </cell>
          <cell r="N547">
            <v>0</v>
          </cell>
          <cell r="O547">
            <v>21950</v>
          </cell>
          <cell r="P547">
            <v>22700</v>
          </cell>
          <cell r="Q547"/>
          <cell r="R547">
            <v>40263</v>
          </cell>
          <cell r="S547">
            <v>-13336</v>
          </cell>
          <cell r="T547">
            <v>26927</v>
          </cell>
        </row>
        <row r="548">
          <cell r="A548">
            <v>95911</v>
          </cell>
          <cell r="B548" t="str">
            <v xml:space="preserve"> MARION</v>
          </cell>
          <cell r="C548">
            <v>5.576E-4</v>
          </cell>
          <cell r="D548">
            <v>5.7450000000000003E-4</v>
          </cell>
          <cell r="E548">
            <v>1322818</v>
          </cell>
          <cell r="F548" t="str">
            <v xml:space="preserve"> </v>
          </cell>
          <cell r="G548">
            <v>204079</v>
          </cell>
          <cell r="H548">
            <v>181583</v>
          </cell>
          <cell r="I548">
            <v>351025</v>
          </cell>
          <cell r="J548">
            <v>1306</v>
          </cell>
          <cell r="K548">
            <v>737993</v>
          </cell>
          <cell r="L548"/>
          <cell r="M548">
            <v>6848</v>
          </cell>
          <cell r="N548">
            <v>0</v>
          </cell>
          <cell r="O548">
            <v>50349</v>
          </cell>
          <cell r="P548">
            <v>57197</v>
          </cell>
          <cell r="Q548"/>
          <cell r="R548">
            <v>367443</v>
          </cell>
          <cell r="S548">
            <v>-20293</v>
          </cell>
          <cell r="T548">
            <v>347150</v>
          </cell>
        </row>
        <row r="549">
          <cell r="A549">
            <v>95917</v>
          </cell>
          <cell r="B549" t="str">
            <v>MARION ABC BOARD</v>
          </cell>
          <cell r="C549">
            <v>2.05E-5</v>
          </cell>
          <cell r="D549">
            <v>2.6699999999999998E-5</v>
          </cell>
          <cell r="E549">
            <v>48633</v>
          </cell>
          <cell r="F549" t="str">
            <v xml:space="preserve"> </v>
          </cell>
          <cell r="G549">
            <v>7503</v>
          </cell>
          <cell r="H549">
            <v>6676</v>
          </cell>
          <cell r="I549">
            <v>12905</v>
          </cell>
          <cell r="J549">
            <v>1999</v>
          </cell>
          <cell r="K549">
            <v>29083</v>
          </cell>
          <cell r="L549"/>
          <cell r="M549">
            <v>252</v>
          </cell>
          <cell r="N549">
            <v>0</v>
          </cell>
          <cell r="O549">
            <v>3512</v>
          </cell>
          <cell r="P549">
            <v>3764</v>
          </cell>
          <cell r="Q549"/>
          <cell r="R549">
            <v>13509</v>
          </cell>
          <cell r="S549">
            <v>1407</v>
          </cell>
          <cell r="T549">
            <v>14916</v>
          </cell>
        </row>
        <row r="550">
          <cell r="A550">
            <v>95921</v>
          </cell>
          <cell r="B550" t="str">
            <v xml:space="preserve"> OLD FORT</v>
          </cell>
          <cell r="C550">
            <v>4.9799999999999998E-5</v>
          </cell>
          <cell r="D550">
            <v>4.7500000000000003E-5</v>
          </cell>
          <cell r="E550">
            <v>118143</v>
          </cell>
          <cell r="F550" t="str">
            <v xml:space="preserve"> </v>
          </cell>
          <cell r="G550">
            <v>18227</v>
          </cell>
          <cell r="H550">
            <v>16217</v>
          </cell>
          <cell r="I550">
            <v>31350</v>
          </cell>
          <cell r="J550">
            <v>4597</v>
          </cell>
          <cell r="K550">
            <v>70391</v>
          </cell>
          <cell r="L550"/>
          <cell r="M550">
            <v>612</v>
          </cell>
          <cell r="N550">
            <v>0</v>
          </cell>
          <cell r="O550">
            <v>0</v>
          </cell>
          <cell r="P550">
            <v>612</v>
          </cell>
          <cell r="Q550"/>
          <cell r="R550">
            <v>32817</v>
          </cell>
          <cell r="S550">
            <v>1077</v>
          </cell>
          <cell r="T550">
            <v>33894</v>
          </cell>
        </row>
        <row r="551">
          <cell r="A551">
            <v>96001</v>
          </cell>
          <cell r="B551" t="str">
            <v>MECKLENBURG COUNTY</v>
          </cell>
          <cell r="C551">
            <v>4.3840400000000002E-2</v>
          </cell>
          <cell r="D551">
            <v>4.4386399999999999E-2</v>
          </cell>
          <cell r="E551">
            <v>104004422</v>
          </cell>
          <cell r="F551" t="str">
            <v xml:space="preserve"> </v>
          </cell>
          <cell r="G551">
            <v>16045411</v>
          </cell>
          <cell r="H551">
            <v>14276714</v>
          </cell>
          <cell r="I551">
            <v>27598759</v>
          </cell>
          <cell r="J551">
            <v>120257</v>
          </cell>
          <cell r="K551">
            <v>58041141</v>
          </cell>
          <cell r="L551"/>
          <cell r="M551">
            <v>538404</v>
          </cell>
          <cell r="N551">
            <v>0</v>
          </cell>
          <cell r="O551">
            <v>696147</v>
          </cell>
          <cell r="P551">
            <v>1234551</v>
          </cell>
          <cell r="Q551"/>
          <cell r="R551">
            <v>28889640</v>
          </cell>
          <cell r="S551">
            <v>1107085</v>
          </cell>
          <cell r="T551">
            <v>29996725</v>
          </cell>
        </row>
        <row r="552">
          <cell r="A552">
            <v>96003</v>
          </cell>
          <cell r="B552" t="str">
            <v>CHARLOTTE HOUSING AUTHORITY</v>
          </cell>
          <cell r="C552">
            <v>1.6191999999999999E-3</v>
          </cell>
          <cell r="D552">
            <v>1.6523E-3</v>
          </cell>
          <cell r="E552">
            <v>3841296</v>
          </cell>
          <cell r="F552" t="str">
            <v xml:space="preserve"> </v>
          </cell>
          <cell r="G552">
            <v>592621</v>
          </cell>
          <cell r="H552">
            <v>527296</v>
          </cell>
          <cell r="I552">
            <v>1019332</v>
          </cell>
          <cell r="J552">
            <v>1392</v>
          </cell>
          <cell r="K552">
            <v>2140641</v>
          </cell>
          <cell r="L552"/>
          <cell r="M552">
            <v>19885</v>
          </cell>
          <cell r="N552">
            <v>0</v>
          </cell>
          <cell r="O552">
            <v>162038</v>
          </cell>
          <cell r="P552">
            <v>181923</v>
          </cell>
          <cell r="Q552"/>
          <cell r="R552">
            <v>1067009</v>
          </cell>
          <cell r="S552">
            <v>-76658</v>
          </cell>
          <cell r="T552">
            <v>990351</v>
          </cell>
        </row>
        <row r="553">
          <cell r="A553">
            <v>96004</v>
          </cell>
          <cell r="B553" t="str">
            <v>MECKLENBURG COUNTY ABC BOARD</v>
          </cell>
          <cell r="C553">
            <v>9.0419999999999997E-4</v>
          </cell>
          <cell r="D553">
            <v>8.9439999999999995E-4</v>
          </cell>
          <cell r="E553">
            <v>2145072</v>
          </cell>
          <cell r="F553" t="str">
            <v xml:space="preserve"> </v>
          </cell>
          <cell r="G553">
            <v>330934</v>
          </cell>
          <cell r="H553">
            <v>294454</v>
          </cell>
          <cell r="I553">
            <v>569219</v>
          </cell>
          <cell r="J553">
            <v>137510</v>
          </cell>
          <cell r="K553">
            <v>1332117</v>
          </cell>
          <cell r="L553"/>
          <cell r="M553">
            <v>11104</v>
          </cell>
          <cell r="N553">
            <v>0</v>
          </cell>
          <cell r="O553">
            <v>0</v>
          </cell>
          <cell r="P553">
            <v>11104</v>
          </cell>
          <cell r="Q553"/>
          <cell r="R553">
            <v>595843</v>
          </cell>
          <cell r="S553">
            <v>78642</v>
          </cell>
          <cell r="T553">
            <v>674485</v>
          </cell>
        </row>
        <row r="554">
          <cell r="A554">
            <v>96005</v>
          </cell>
          <cell r="B554" t="str">
            <v>CHARLOTTE MECKLENBURG PUBLIC LIBRARY</v>
          </cell>
          <cell r="C554">
            <v>2.6172999999999999E-3</v>
          </cell>
          <cell r="D554">
            <v>2.6733999999999998E-3</v>
          </cell>
          <cell r="E554">
            <v>6209131</v>
          </cell>
          <cell r="F554" t="str">
            <v xml:space="preserve"> </v>
          </cell>
          <cell r="G554">
            <v>957921</v>
          </cell>
          <cell r="H554">
            <v>852329</v>
          </cell>
          <cell r="I554">
            <v>1647664</v>
          </cell>
          <cell r="J554">
            <v>64243</v>
          </cell>
          <cell r="K554">
            <v>3522157</v>
          </cell>
          <cell r="L554"/>
          <cell r="M554">
            <v>32143</v>
          </cell>
          <cell r="N554">
            <v>0</v>
          </cell>
          <cell r="O554">
            <v>8878</v>
          </cell>
          <cell r="P554">
            <v>41021</v>
          </cell>
          <cell r="Q554"/>
          <cell r="R554">
            <v>1724730</v>
          </cell>
          <cell r="S554">
            <v>155823</v>
          </cell>
          <cell r="T554">
            <v>1880553</v>
          </cell>
        </row>
        <row r="555">
          <cell r="A555">
            <v>96008</v>
          </cell>
          <cell r="B555" t="str">
            <v>MECKLENBURG EMER MED SVCS AGCY</v>
          </cell>
          <cell r="C555">
            <v>6.1884000000000002E-3</v>
          </cell>
          <cell r="D555">
            <v>5.9955E-3</v>
          </cell>
          <cell r="E555">
            <v>14681001</v>
          </cell>
          <cell r="F555" t="str">
            <v xml:space="preserve"> </v>
          </cell>
          <cell r="G555">
            <v>2264930</v>
          </cell>
          <cell r="H555">
            <v>2015265</v>
          </cell>
          <cell r="I555">
            <v>3895771</v>
          </cell>
          <cell r="J555">
            <v>0</v>
          </cell>
          <cell r="K555">
            <v>8175966</v>
          </cell>
          <cell r="L555"/>
          <cell r="M555">
            <v>76000</v>
          </cell>
          <cell r="N555">
            <v>0</v>
          </cell>
          <cell r="O555">
            <v>922165</v>
          </cell>
          <cell r="P555">
            <v>998165</v>
          </cell>
          <cell r="Q555"/>
          <cell r="R555">
            <v>4077989</v>
          </cell>
          <cell r="S555">
            <v>-381090</v>
          </cell>
          <cell r="T555">
            <v>3696899</v>
          </cell>
        </row>
        <row r="556">
          <cell r="A556">
            <v>96009</v>
          </cell>
          <cell r="B556" t="str">
            <v>CENTRALINA COUNCIL OF GOVERNMENTS</v>
          </cell>
          <cell r="C556">
            <v>3.8460000000000002E-4</v>
          </cell>
          <cell r="D556">
            <v>3.7609999999999998E-4</v>
          </cell>
          <cell r="E556">
            <v>912403</v>
          </cell>
          <cell r="F556" t="str">
            <v xml:space="preserve"> </v>
          </cell>
          <cell r="G556">
            <v>140762</v>
          </cell>
          <cell r="H556">
            <v>125246</v>
          </cell>
          <cell r="I556">
            <v>242116</v>
          </cell>
          <cell r="J556">
            <v>46887</v>
          </cell>
          <cell r="K556">
            <v>555011</v>
          </cell>
          <cell r="L556"/>
          <cell r="M556">
            <v>4723</v>
          </cell>
          <cell r="N556">
            <v>0</v>
          </cell>
          <cell r="O556">
            <v>1687</v>
          </cell>
          <cell r="P556">
            <v>6410</v>
          </cell>
          <cell r="Q556"/>
          <cell r="R556">
            <v>253441</v>
          </cell>
          <cell r="S556">
            <v>17980</v>
          </cell>
          <cell r="T556">
            <v>271421</v>
          </cell>
        </row>
        <row r="557">
          <cell r="A557">
            <v>96011</v>
          </cell>
          <cell r="B557" t="str">
            <v>CITY OF CHARLOTTE</v>
          </cell>
          <cell r="C557">
            <v>6.2526600000000002E-2</v>
          </cell>
          <cell r="D557">
            <v>6.1150400000000001E-2</v>
          </cell>
          <cell r="E557">
            <v>148334479</v>
          </cell>
          <cell r="F557" t="str">
            <v xml:space="preserve"> </v>
          </cell>
          <cell r="G557">
            <v>22884485</v>
          </cell>
          <cell r="H557">
            <v>20361912</v>
          </cell>
          <cell r="I557">
            <v>39362245</v>
          </cell>
          <cell r="J557">
            <v>1462569</v>
          </cell>
          <cell r="K557">
            <v>84071211</v>
          </cell>
          <cell r="L557"/>
          <cell r="M557">
            <v>767889</v>
          </cell>
          <cell r="N557">
            <v>0</v>
          </cell>
          <cell r="O557">
            <v>32612</v>
          </cell>
          <cell r="P557">
            <v>800501</v>
          </cell>
          <cell r="Q557"/>
          <cell r="R557">
            <v>41203341</v>
          </cell>
          <cell r="S557">
            <v>436963</v>
          </cell>
          <cell r="T557">
            <v>41640304</v>
          </cell>
        </row>
        <row r="558">
          <cell r="A558">
            <v>96012</v>
          </cell>
          <cell r="B558" t="str">
            <v>CHARLOTTE REGIONAL VISITORS AUTHORITY</v>
          </cell>
          <cell r="C558">
            <v>2.5303000000000001E-3</v>
          </cell>
          <cell r="D558">
            <v>2.4417000000000002E-3</v>
          </cell>
          <cell r="E558">
            <v>6002737</v>
          </cell>
          <cell r="F558" t="str">
            <v xml:space="preserve"> </v>
          </cell>
          <cell r="G558">
            <v>926080</v>
          </cell>
          <cell r="H558">
            <v>823997</v>
          </cell>
          <cell r="I558">
            <v>1592895</v>
          </cell>
          <cell r="J558">
            <v>95917</v>
          </cell>
          <cell r="K558">
            <v>3438889</v>
          </cell>
          <cell r="L558"/>
          <cell r="M558">
            <v>31075</v>
          </cell>
          <cell r="N558">
            <v>0</v>
          </cell>
          <cell r="O558">
            <v>703</v>
          </cell>
          <cell r="P558">
            <v>31778</v>
          </cell>
          <cell r="Q558"/>
          <cell r="R558">
            <v>1667399</v>
          </cell>
          <cell r="S558">
            <v>49156</v>
          </cell>
          <cell r="T558">
            <v>1716555</v>
          </cell>
        </row>
        <row r="559">
          <cell r="A559">
            <v>96018</v>
          </cell>
          <cell r="B559" t="str">
            <v>CHARLOTTE FIREMEN'S RET SYS</v>
          </cell>
          <cell r="C559">
            <v>4.5000000000000003E-5</v>
          </cell>
          <cell r="D559">
            <v>4.3600000000000003E-5</v>
          </cell>
          <cell r="E559">
            <v>106755</v>
          </cell>
          <cell r="F559" t="str">
            <v xml:space="preserve"> </v>
          </cell>
          <cell r="G559">
            <v>16470</v>
          </cell>
          <cell r="H559">
            <v>14654</v>
          </cell>
          <cell r="I559">
            <v>28329</v>
          </cell>
          <cell r="J559">
            <v>3865</v>
          </cell>
          <cell r="K559">
            <v>63318</v>
          </cell>
          <cell r="L559"/>
          <cell r="M559">
            <v>553</v>
          </cell>
          <cell r="N559">
            <v>0</v>
          </cell>
          <cell r="O559">
            <v>0</v>
          </cell>
          <cell r="P559">
            <v>553</v>
          </cell>
          <cell r="Q559"/>
          <cell r="R559">
            <v>29654</v>
          </cell>
          <cell r="S559">
            <v>5885</v>
          </cell>
          <cell r="T559">
            <v>35539</v>
          </cell>
        </row>
        <row r="560">
          <cell r="A560">
            <v>96021</v>
          </cell>
          <cell r="B560" t="str">
            <v xml:space="preserve"> PINEVILLE</v>
          </cell>
          <cell r="C560">
            <v>7.3760000000000004E-4</v>
          </cell>
          <cell r="D560">
            <v>7.2090000000000001E-4</v>
          </cell>
          <cell r="E560">
            <v>1749839</v>
          </cell>
          <cell r="F560" t="str">
            <v xml:space="preserve"> </v>
          </cell>
          <cell r="G560">
            <v>269959</v>
          </cell>
          <cell r="H560">
            <v>240200</v>
          </cell>
          <cell r="I560">
            <v>464340</v>
          </cell>
          <cell r="J560">
            <v>15203</v>
          </cell>
          <cell r="K560">
            <v>989702</v>
          </cell>
          <cell r="L560"/>
          <cell r="M560">
            <v>9058</v>
          </cell>
          <cell r="N560">
            <v>0</v>
          </cell>
          <cell r="O560">
            <v>87034</v>
          </cell>
          <cell r="P560">
            <v>96092</v>
          </cell>
          <cell r="Q560"/>
          <cell r="R560">
            <v>486058</v>
          </cell>
          <cell r="S560">
            <v>-13480</v>
          </cell>
          <cell r="T560">
            <v>472578</v>
          </cell>
        </row>
        <row r="561">
          <cell r="A561">
            <v>96031</v>
          </cell>
          <cell r="B561" t="str">
            <v xml:space="preserve"> MINT HILL</v>
          </cell>
          <cell r="C561">
            <v>8.5170000000000005E-4</v>
          </cell>
          <cell r="D561">
            <v>8.2580000000000001E-4</v>
          </cell>
          <cell r="E561">
            <v>2020524</v>
          </cell>
          <cell r="F561" t="str">
            <v xml:space="preserve"> </v>
          </cell>
          <cell r="G561">
            <v>311719</v>
          </cell>
          <cell r="H561">
            <v>277358</v>
          </cell>
          <cell r="I561">
            <v>536169</v>
          </cell>
          <cell r="J561">
            <v>0</v>
          </cell>
          <cell r="K561">
            <v>1125246</v>
          </cell>
          <cell r="L561"/>
          <cell r="M561">
            <v>10460</v>
          </cell>
          <cell r="N561">
            <v>0</v>
          </cell>
          <cell r="O561">
            <v>145457</v>
          </cell>
          <cell r="P561">
            <v>155917</v>
          </cell>
          <cell r="Q561"/>
          <cell r="R561">
            <v>561247</v>
          </cell>
          <cell r="S561">
            <v>-84382</v>
          </cell>
          <cell r="T561">
            <v>476865</v>
          </cell>
        </row>
        <row r="562">
          <cell r="A562">
            <v>96041</v>
          </cell>
          <cell r="B562" t="str">
            <v xml:space="preserve"> HUNTERSVILLE</v>
          </cell>
          <cell r="C562">
            <v>1.7003999999999999E-3</v>
          </cell>
          <cell r="D562">
            <v>1.7361E-3</v>
          </cell>
          <cell r="E562">
            <v>4033930</v>
          </cell>
          <cell r="F562" t="str">
            <v xml:space="preserve"> </v>
          </cell>
          <cell r="G562">
            <v>622340</v>
          </cell>
          <cell r="H562">
            <v>553738</v>
          </cell>
          <cell r="I562">
            <v>1070449</v>
          </cell>
          <cell r="J562">
            <v>0</v>
          </cell>
          <cell r="K562">
            <v>2246527</v>
          </cell>
          <cell r="L562"/>
          <cell r="M562">
            <v>20883</v>
          </cell>
          <cell r="N562">
            <v>0</v>
          </cell>
          <cell r="O562">
            <v>162463</v>
          </cell>
          <cell r="P562">
            <v>183346</v>
          </cell>
          <cell r="Q562"/>
          <cell r="R562">
            <v>1120518</v>
          </cell>
          <cell r="S562">
            <v>-80644</v>
          </cell>
          <cell r="T562">
            <v>1039874</v>
          </cell>
        </row>
        <row r="563">
          <cell r="A563">
            <v>96051</v>
          </cell>
          <cell r="B563" t="str">
            <v xml:space="preserve"> CORNELIUS</v>
          </cell>
          <cell r="C563">
            <v>1.042E-3</v>
          </cell>
          <cell r="D563">
            <v>1.0062000000000001E-3</v>
          </cell>
          <cell r="E563">
            <v>2471980</v>
          </cell>
          <cell r="F563" t="str">
            <v xml:space="preserve"> </v>
          </cell>
          <cell r="G563">
            <v>381368</v>
          </cell>
          <cell r="H563">
            <v>339329</v>
          </cell>
          <cell r="I563">
            <v>655968</v>
          </cell>
          <cell r="J563">
            <v>0</v>
          </cell>
          <cell r="K563">
            <v>1376665</v>
          </cell>
          <cell r="L563"/>
          <cell r="M563">
            <v>12797</v>
          </cell>
          <cell r="N563">
            <v>0</v>
          </cell>
          <cell r="O563">
            <v>89308</v>
          </cell>
          <cell r="P563">
            <v>102105</v>
          </cell>
          <cell r="Q563"/>
          <cell r="R563">
            <v>686650</v>
          </cell>
          <cell r="S563">
            <v>-50724</v>
          </cell>
          <cell r="T563">
            <v>635926</v>
          </cell>
        </row>
        <row r="564">
          <cell r="A564">
            <v>96061</v>
          </cell>
          <cell r="B564" t="str">
            <v xml:space="preserve"> STALLINGS</v>
          </cell>
          <cell r="C564">
            <v>3.1559999999999997E-4</v>
          </cell>
          <cell r="D564">
            <v>3.3950000000000001E-4</v>
          </cell>
          <cell r="E564">
            <v>748711</v>
          </cell>
          <cell r="F564" t="str">
            <v xml:space="preserve"> </v>
          </cell>
          <cell r="G564">
            <v>115508</v>
          </cell>
          <cell r="H564">
            <v>102775</v>
          </cell>
          <cell r="I564">
            <v>198679</v>
          </cell>
          <cell r="J564">
            <v>15967</v>
          </cell>
          <cell r="K564">
            <v>432929</v>
          </cell>
          <cell r="L564"/>
          <cell r="M564">
            <v>3876</v>
          </cell>
          <cell r="N564">
            <v>0</v>
          </cell>
          <cell r="O564">
            <v>13815</v>
          </cell>
          <cell r="P564">
            <v>17691</v>
          </cell>
          <cell r="Q564"/>
          <cell r="R564">
            <v>207972</v>
          </cell>
          <cell r="S564">
            <v>-246</v>
          </cell>
          <cell r="T564">
            <v>207726</v>
          </cell>
        </row>
        <row r="565">
          <cell r="A565">
            <v>96071</v>
          </cell>
          <cell r="B565" t="str">
            <v xml:space="preserve"> MATTHEWS</v>
          </cell>
          <cell r="C565">
            <v>1.1751000000000001E-3</v>
          </cell>
          <cell r="D565">
            <v>1.1367E-3</v>
          </cell>
          <cell r="E565">
            <v>2787739</v>
          </cell>
          <cell r="F565" t="str">
            <v xml:space="preserve"> </v>
          </cell>
          <cell r="G565">
            <v>430082</v>
          </cell>
          <cell r="H565">
            <v>382674</v>
          </cell>
          <cell r="I565">
            <v>739758</v>
          </cell>
          <cell r="J565">
            <v>90687</v>
          </cell>
          <cell r="K565">
            <v>1643201</v>
          </cell>
          <cell r="L565"/>
          <cell r="M565">
            <v>14431</v>
          </cell>
          <cell r="N565">
            <v>0</v>
          </cell>
          <cell r="O565">
            <v>39863</v>
          </cell>
          <cell r="P565">
            <v>54294</v>
          </cell>
          <cell r="Q565"/>
          <cell r="R565">
            <v>774359</v>
          </cell>
          <cell r="S565">
            <v>10914</v>
          </cell>
          <cell r="T565">
            <v>785273</v>
          </cell>
        </row>
        <row r="566">
          <cell r="A566">
            <v>96081</v>
          </cell>
          <cell r="B566" t="str">
            <v xml:space="preserve"> DAVIDSON</v>
          </cell>
          <cell r="C566">
            <v>5.4920000000000001E-4</v>
          </cell>
          <cell r="D566">
            <v>5.0900000000000001E-4</v>
          </cell>
          <cell r="E566">
            <v>1302890</v>
          </cell>
          <cell r="F566" t="str">
            <v xml:space="preserve"> </v>
          </cell>
          <cell r="G566">
            <v>201005</v>
          </cell>
          <cell r="H566">
            <v>178848</v>
          </cell>
          <cell r="I566">
            <v>345737</v>
          </cell>
          <cell r="J566">
            <v>10068</v>
          </cell>
          <cell r="K566">
            <v>735658</v>
          </cell>
          <cell r="L566"/>
          <cell r="M566">
            <v>6745</v>
          </cell>
          <cell r="N566">
            <v>0</v>
          </cell>
          <cell r="O566">
            <v>1853</v>
          </cell>
          <cell r="P566">
            <v>8598</v>
          </cell>
          <cell r="Q566"/>
          <cell r="R566">
            <v>361908</v>
          </cell>
          <cell r="S566">
            <v>6768</v>
          </cell>
          <cell r="T566">
            <v>368676</v>
          </cell>
        </row>
        <row r="567">
          <cell r="A567">
            <v>96101</v>
          </cell>
          <cell r="B567" t="str">
            <v>MITCHELL COUNTY</v>
          </cell>
          <cell r="C567">
            <v>7.9739999999999998E-4</v>
          </cell>
          <cell r="D567">
            <v>7.6749999999999995E-4</v>
          </cell>
          <cell r="E567">
            <v>1891706</v>
          </cell>
          <cell r="F567" t="str">
            <v xml:space="preserve"> </v>
          </cell>
          <cell r="G567">
            <v>291845</v>
          </cell>
          <cell r="H567">
            <v>259675</v>
          </cell>
          <cell r="I567">
            <v>501986</v>
          </cell>
          <cell r="J567">
            <v>54889</v>
          </cell>
          <cell r="K567">
            <v>1108395</v>
          </cell>
          <cell r="L567"/>
          <cell r="M567">
            <v>9793</v>
          </cell>
          <cell r="N567">
            <v>0</v>
          </cell>
          <cell r="O567">
            <v>2275</v>
          </cell>
          <cell r="P567">
            <v>12068</v>
          </cell>
          <cell r="Q567"/>
          <cell r="R567">
            <v>525465</v>
          </cell>
          <cell r="S567">
            <v>25672</v>
          </cell>
          <cell r="T567">
            <v>551137</v>
          </cell>
        </row>
        <row r="568">
          <cell r="A568">
            <v>96102</v>
          </cell>
          <cell r="B568" t="str">
            <v>MITCHELL SOIL &amp; WATER CONSERVATION DIST</v>
          </cell>
          <cell r="C568">
            <v>1.2999999999999999E-5</v>
          </cell>
          <cell r="D568">
            <v>1.36E-5</v>
          </cell>
          <cell r="E568">
            <v>30840</v>
          </cell>
          <cell r="F568" t="str">
            <v xml:space="preserve"> </v>
          </cell>
          <cell r="G568">
            <v>4758</v>
          </cell>
          <cell r="H568">
            <v>4233</v>
          </cell>
          <cell r="I568">
            <v>8184</v>
          </cell>
          <cell r="J568">
            <v>0</v>
          </cell>
          <cell r="K568">
            <v>17175</v>
          </cell>
          <cell r="L568"/>
          <cell r="M568">
            <v>160</v>
          </cell>
          <cell r="N568">
            <v>0</v>
          </cell>
          <cell r="O568">
            <v>3870</v>
          </cell>
          <cell r="P568">
            <v>4030</v>
          </cell>
          <cell r="Q568"/>
          <cell r="R568">
            <v>8567</v>
          </cell>
          <cell r="S568">
            <v>-1972</v>
          </cell>
          <cell r="T568">
            <v>6595</v>
          </cell>
        </row>
        <row r="569">
          <cell r="A569">
            <v>96111</v>
          </cell>
          <cell r="B569" t="str">
            <v xml:space="preserve"> SPRUCE PINE</v>
          </cell>
          <cell r="C569">
            <v>1.47E-4</v>
          </cell>
          <cell r="D569">
            <v>1.5349999999999999E-4</v>
          </cell>
          <cell r="E569">
            <v>348734</v>
          </cell>
          <cell r="F569" t="str">
            <v xml:space="preserve"> </v>
          </cell>
          <cell r="G569">
            <v>53801</v>
          </cell>
          <cell r="H569">
            <v>47871</v>
          </cell>
          <cell r="I569">
            <v>92541</v>
          </cell>
          <cell r="J569">
            <v>11049</v>
          </cell>
          <cell r="K569">
            <v>205262</v>
          </cell>
          <cell r="L569"/>
          <cell r="M569">
            <v>1805</v>
          </cell>
          <cell r="N569">
            <v>0</v>
          </cell>
          <cell r="O569">
            <v>1261</v>
          </cell>
          <cell r="P569">
            <v>3066</v>
          </cell>
          <cell r="Q569"/>
          <cell r="R569">
            <v>96869</v>
          </cell>
          <cell r="S569">
            <v>8891</v>
          </cell>
          <cell r="T569">
            <v>105760</v>
          </cell>
        </row>
        <row r="570">
          <cell r="A570">
            <v>96121</v>
          </cell>
          <cell r="B570" t="str">
            <v xml:space="preserve"> BAKERSVILLE</v>
          </cell>
          <cell r="C570">
            <v>2.1699999999999999E-5</v>
          </cell>
          <cell r="D570">
            <v>2.2500000000000001E-5</v>
          </cell>
          <cell r="E570">
            <v>51480</v>
          </cell>
          <cell r="F570" t="str">
            <v xml:space="preserve"> </v>
          </cell>
          <cell r="G570">
            <v>7942</v>
          </cell>
          <cell r="H570">
            <v>7067</v>
          </cell>
          <cell r="I570">
            <v>13661</v>
          </cell>
          <cell r="J570">
            <v>258</v>
          </cell>
          <cell r="K570">
            <v>28928</v>
          </cell>
          <cell r="L570"/>
          <cell r="M570">
            <v>266</v>
          </cell>
          <cell r="N570">
            <v>0</v>
          </cell>
          <cell r="O570">
            <v>2114</v>
          </cell>
          <cell r="P570">
            <v>2380</v>
          </cell>
          <cell r="Q570"/>
          <cell r="R570">
            <v>14300</v>
          </cell>
          <cell r="S570">
            <v>-1295</v>
          </cell>
          <cell r="T570">
            <v>13005</v>
          </cell>
        </row>
        <row r="571">
          <cell r="A571">
            <v>96201</v>
          </cell>
          <cell r="B571" t="str">
            <v>MONTGOMERY COUNTY</v>
          </cell>
          <cell r="C571">
            <v>1.1052E-3</v>
          </cell>
          <cell r="D571">
            <v>1.1788E-3</v>
          </cell>
          <cell r="E571">
            <v>2621912</v>
          </cell>
          <cell r="F571" t="str">
            <v xml:space="preserve"> </v>
          </cell>
          <cell r="G571">
            <v>404499</v>
          </cell>
          <cell r="H571">
            <v>359910</v>
          </cell>
          <cell r="I571">
            <v>695754</v>
          </cell>
          <cell r="J571">
            <v>0</v>
          </cell>
          <cell r="K571">
            <v>1460163</v>
          </cell>
          <cell r="L571"/>
          <cell r="M571">
            <v>13573</v>
          </cell>
          <cell r="N571">
            <v>0</v>
          </cell>
          <cell r="O571">
            <v>100519</v>
          </cell>
          <cell r="P571">
            <v>114092</v>
          </cell>
          <cell r="Q571"/>
          <cell r="R571">
            <v>728297</v>
          </cell>
          <cell r="S571">
            <v>-35895</v>
          </cell>
          <cell r="T571">
            <v>692402</v>
          </cell>
        </row>
        <row r="572">
          <cell r="A572">
            <v>96204</v>
          </cell>
          <cell r="B572" t="str">
            <v>MONTGOMERY-MUNICIPAL ABC BOARD</v>
          </cell>
          <cell r="C572">
            <v>1.42E-5</v>
          </cell>
          <cell r="D572">
            <v>1.5099999999999999E-5</v>
          </cell>
          <cell r="E572">
            <v>33687</v>
          </cell>
          <cell r="F572" t="str">
            <v xml:space="preserve"> </v>
          </cell>
          <cell r="G572">
            <v>5197</v>
          </cell>
          <cell r="H572">
            <v>4624</v>
          </cell>
          <cell r="I572">
            <v>8939</v>
          </cell>
          <cell r="J572">
            <v>3075</v>
          </cell>
          <cell r="K572">
            <v>21835</v>
          </cell>
          <cell r="L572"/>
          <cell r="M572">
            <v>174</v>
          </cell>
          <cell r="N572">
            <v>0</v>
          </cell>
          <cell r="O572">
            <v>0</v>
          </cell>
          <cell r="P572">
            <v>174</v>
          </cell>
          <cell r="Q572"/>
          <cell r="R572">
            <v>9357</v>
          </cell>
          <cell r="S572">
            <v>1951</v>
          </cell>
          <cell r="T572">
            <v>11308</v>
          </cell>
        </row>
        <row r="573">
          <cell r="A573">
            <v>96211</v>
          </cell>
          <cell r="B573" t="str">
            <v xml:space="preserve"> STAR</v>
          </cell>
          <cell r="C573">
            <v>2.8099999999999999E-5</v>
          </cell>
          <cell r="D573">
            <v>2.62E-5</v>
          </cell>
          <cell r="E573">
            <v>66663</v>
          </cell>
          <cell r="F573" t="str">
            <v xml:space="preserve"> </v>
          </cell>
          <cell r="G573">
            <v>10284</v>
          </cell>
          <cell r="H573">
            <v>9151</v>
          </cell>
          <cell r="I573">
            <v>17690</v>
          </cell>
          <cell r="J573">
            <v>7064</v>
          </cell>
          <cell r="K573">
            <v>44189</v>
          </cell>
          <cell r="L573"/>
          <cell r="M573">
            <v>345</v>
          </cell>
          <cell r="N573">
            <v>0</v>
          </cell>
          <cell r="O573">
            <v>0</v>
          </cell>
          <cell r="P573">
            <v>345</v>
          </cell>
          <cell r="Q573"/>
          <cell r="R573">
            <v>18517</v>
          </cell>
          <cell r="S573">
            <v>-1535</v>
          </cell>
          <cell r="T573">
            <v>16982</v>
          </cell>
        </row>
        <row r="574">
          <cell r="A574">
            <v>96221</v>
          </cell>
          <cell r="B574" t="str">
            <v xml:space="preserve"> TROY</v>
          </cell>
          <cell r="C574">
            <v>2.2809999999999999E-4</v>
          </cell>
          <cell r="D574">
            <v>2.3350000000000001E-4</v>
          </cell>
          <cell r="E574">
            <v>541131</v>
          </cell>
          <cell r="F574" t="str">
            <v xml:space="preserve"> </v>
          </cell>
          <cell r="G574">
            <v>83484</v>
          </cell>
          <cell r="H574">
            <v>74281</v>
          </cell>
          <cell r="I574">
            <v>143595</v>
          </cell>
          <cell r="J574">
            <v>0</v>
          </cell>
          <cell r="K574">
            <v>301360</v>
          </cell>
          <cell r="L574"/>
          <cell r="M574">
            <v>2801</v>
          </cell>
          <cell r="N574">
            <v>0</v>
          </cell>
          <cell r="O574">
            <v>17587</v>
          </cell>
          <cell r="P574">
            <v>20388</v>
          </cell>
          <cell r="Q574"/>
          <cell r="R574">
            <v>150312</v>
          </cell>
          <cell r="S574">
            <v>-5474</v>
          </cell>
          <cell r="T574">
            <v>144838</v>
          </cell>
        </row>
        <row r="575">
          <cell r="A575">
            <v>96231</v>
          </cell>
          <cell r="B575" t="str">
            <v xml:space="preserve"> BISCOE</v>
          </cell>
          <cell r="C575">
            <v>1.2540000000000001E-4</v>
          </cell>
          <cell r="D575">
            <v>1.3339999999999999E-4</v>
          </cell>
          <cell r="E575">
            <v>297492</v>
          </cell>
          <cell r="F575" t="str">
            <v xml:space="preserve"> </v>
          </cell>
          <cell r="G575">
            <v>45896</v>
          </cell>
          <cell r="H575">
            <v>40837</v>
          </cell>
          <cell r="I575">
            <v>78943</v>
          </cell>
          <cell r="J575">
            <v>1915</v>
          </cell>
          <cell r="K575">
            <v>167591</v>
          </cell>
          <cell r="L575"/>
          <cell r="M575">
            <v>1540</v>
          </cell>
          <cell r="N575">
            <v>0</v>
          </cell>
          <cell r="O575">
            <v>22322</v>
          </cell>
          <cell r="P575">
            <v>23862</v>
          </cell>
          <cell r="Q575"/>
          <cell r="R575">
            <v>82635</v>
          </cell>
          <cell r="S575">
            <v>-10839</v>
          </cell>
          <cell r="T575">
            <v>71796</v>
          </cell>
        </row>
        <row r="576">
          <cell r="A576">
            <v>96241</v>
          </cell>
          <cell r="B576" t="str">
            <v xml:space="preserve"> CANDOR</v>
          </cell>
          <cell r="C576">
            <v>5.4299999999999998E-5</v>
          </cell>
          <cell r="D576">
            <v>4.4700000000000002E-5</v>
          </cell>
          <cell r="E576">
            <v>128818</v>
          </cell>
          <cell r="F576" t="str">
            <v xml:space="preserve"> </v>
          </cell>
          <cell r="G576">
            <v>19874</v>
          </cell>
          <cell r="H576">
            <v>17683</v>
          </cell>
          <cell r="I576">
            <v>34183</v>
          </cell>
          <cell r="J576">
            <v>5386</v>
          </cell>
          <cell r="K576">
            <v>77126</v>
          </cell>
          <cell r="L576"/>
          <cell r="M576">
            <v>667</v>
          </cell>
          <cell r="N576">
            <v>0</v>
          </cell>
          <cell r="O576">
            <v>2843</v>
          </cell>
          <cell r="P576">
            <v>3510</v>
          </cell>
          <cell r="Q576"/>
          <cell r="R576">
            <v>35782</v>
          </cell>
          <cell r="S576">
            <v>3441</v>
          </cell>
          <cell r="T576">
            <v>39223</v>
          </cell>
        </row>
        <row r="577">
          <cell r="A577">
            <v>96251</v>
          </cell>
          <cell r="B577" t="str">
            <v xml:space="preserve"> MOUNT GILEAD</v>
          </cell>
          <cell r="C577">
            <v>1.011E-4</v>
          </cell>
          <cell r="D577">
            <v>9.3999999999999994E-5</v>
          </cell>
          <cell r="E577">
            <v>239844</v>
          </cell>
          <cell r="F577" t="str">
            <v xml:space="preserve"> </v>
          </cell>
          <cell r="G577">
            <v>37002</v>
          </cell>
          <cell r="H577">
            <v>32924</v>
          </cell>
          <cell r="I577">
            <v>63645</v>
          </cell>
          <cell r="J577">
            <v>4649</v>
          </cell>
          <cell r="K577">
            <v>138220</v>
          </cell>
          <cell r="L577"/>
          <cell r="M577">
            <v>1242</v>
          </cell>
          <cell r="N577">
            <v>0</v>
          </cell>
          <cell r="O577">
            <v>10419</v>
          </cell>
          <cell r="P577">
            <v>11661</v>
          </cell>
          <cell r="Q577"/>
          <cell r="R577">
            <v>66622</v>
          </cell>
          <cell r="S577">
            <v>-7630</v>
          </cell>
          <cell r="T577">
            <v>58992</v>
          </cell>
        </row>
        <row r="578">
          <cell r="A578">
            <v>96301</v>
          </cell>
          <cell r="B578" t="str">
            <v>MOORE COUNTY</v>
          </cell>
          <cell r="C578">
            <v>4.4197999999999998E-3</v>
          </cell>
          <cell r="D578">
            <v>4.3712999999999998E-3</v>
          </cell>
          <cell r="E578">
            <v>10485277</v>
          </cell>
          <cell r="F578" t="str">
            <v xml:space="preserve"> </v>
          </cell>
          <cell r="G578">
            <v>1617629</v>
          </cell>
          <cell r="H578">
            <v>1439316</v>
          </cell>
          <cell r="I578">
            <v>2782388</v>
          </cell>
          <cell r="J578">
            <v>27387</v>
          </cell>
          <cell r="K578">
            <v>5866720</v>
          </cell>
          <cell r="L578"/>
          <cell r="M578">
            <v>54280</v>
          </cell>
          <cell r="N578">
            <v>0</v>
          </cell>
          <cell r="O578">
            <v>127331</v>
          </cell>
          <cell r="P578">
            <v>181611</v>
          </cell>
          <cell r="Q578"/>
          <cell r="R578">
            <v>2912529</v>
          </cell>
          <cell r="S578">
            <v>-34571</v>
          </cell>
          <cell r="T578">
            <v>2877958</v>
          </cell>
        </row>
        <row r="579">
          <cell r="A579">
            <v>96302</v>
          </cell>
          <cell r="B579" t="str">
            <v xml:space="preserve"> TAYLORTOWN</v>
          </cell>
          <cell r="C579">
            <v>2.3499999999999999E-5</v>
          </cell>
          <cell r="D579">
            <v>2.5199999999999999E-5</v>
          </cell>
          <cell r="E579">
            <v>55750</v>
          </cell>
          <cell r="F579" t="str">
            <v xml:space="preserve"> </v>
          </cell>
          <cell r="G579">
            <v>8601</v>
          </cell>
          <cell r="H579">
            <v>7653</v>
          </cell>
          <cell r="I579">
            <v>14794</v>
          </cell>
          <cell r="J579">
            <v>4772</v>
          </cell>
          <cell r="K579">
            <v>35820</v>
          </cell>
          <cell r="L579"/>
          <cell r="M579">
            <v>289</v>
          </cell>
          <cell r="N579">
            <v>0</v>
          </cell>
          <cell r="O579">
            <v>746</v>
          </cell>
          <cell r="P579">
            <v>1035</v>
          </cell>
          <cell r="Q579"/>
          <cell r="R579">
            <v>15486</v>
          </cell>
          <cell r="S579">
            <v>2441</v>
          </cell>
          <cell r="T579">
            <v>17927</v>
          </cell>
        </row>
        <row r="580">
          <cell r="A580">
            <v>96304</v>
          </cell>
          <cell r="B580" t="str">
            <v>MOORE COUNTY ABC BOARD</v>
          </cell>
          <cell r="C580">
            <v>4.7500000000000003E-5</v>
          </cell>
          <cell r="D580">
            <v>4.5500000000000001E-5</v>
          </cell>
          <cell r="E580">
            <v>112686</v>
          </cell>
          <cell r="F580" t="str">
            <v xml:space="preserve"> </v>
          </cell>
          <cell r="G580">
            <v>17385</v>
          </cell>
          <cell r="H580">
            <v>15469</v>
          </cell>
          <cell r="I580">
            <v>29903</v>
          </cell>
          <cell r="J580">
            <v>9034</v>
          </cell>
          <cell r="K580">
            <v>71791</v>
          </cell>
          <cell r="L580"/>
          <cell r="M580">
            <v>583</v>
          </cell>
          <cell r="N580">
            <v>0</v>
          </cell>
          <cell r="O580">
            <v>733</v>
          </cell>
          <cell r="P580">
            <v>1316</v>
          </cell>
          <cell r="Q580"/>
          <cell r="R580">
            <v>31301</v>
          </cell>
          <cell r="S580">
            <v>3589</v>
          </cell>
          <cell r="T580">
            <v>34890</v>
          </cell>
        </row>
        <row r="581">
          <cell r="A581">
            <v>96305</v>
          </cell>
          <cell r="B581" t="str">
            <v>MOORE COUNTY TOURISM DEVELOPMENT AUTHORITY</v>
          </cell>
          <cell r="C581">
            <v>4.1100000000000003E-5</v>
          </cell>
          <cell r="D581">
            <v>4.5500000000000001E-5</v>
          </cell>
          <cell r="E581">
            <v>97503</v>
          </cell>
          <cell r="F581" t="str">
            <v xml:space="preserve"> </v>
          </cell>
          <cell r="G581">
            <v>15042</v>
          </cell>
          <cell r="H581">
            <v>13384</v>
          </cell>
          <cell r="I581">
            <v>25874</v>
          </cell>
          <cell r="J581">
            <v>16290</v>
          </cell>
          <cell r="K581">
            <v>70590</v>
          </cell>
          <cell r="L581"/>
          <cell r="M581">
            <v>505</v>
          </cell>
          <cell r="N581">
            <v>0</v>
          </cell>
          <cell r="O581">
            <v>0</v>
          </cell>
          <cell r="P581">
            <v>505</v>
          </cell>
          <cell r="Q581"/>
          <cell r="R581">
            <v>27084</v>
          </cell>
          <cell r="S581">
            <v>6681</v>
          </cell>
          <cell r="T581">
            <v>33765</v>
          </cell>
        </row>
        <row r="582">
          <cell r="A582">
            <v>96310</v>
          </cell>
          <cell r="B582" t="str">
            <v>MOORE COUNTY AIRPORT AUTHORITY</v>
          </cell>
          <cell r="C582">
            <v>5.02E-5</v>
          </cell>
          <cell r="D582">
            <v>6.1099999999999994E-5</v>
          </cell>
          <cell r="E582">
            <v>119092</v>
          </cell>
          <cell r="F582" t="str">
            <v xml:space="preserve"> </v>
          </cell>
          <cell r="G582">
            <v>18373</v>
          </cell>
          <cell r="H582">
            <v>16347</v>
          </cell>
          <cell r="I582">
            <v>31602</v>
          </cell>
          <cell r="J582">
            <v>5953</v>
          </cell>
          <cell r="K582">
            <v>72275</v>
          </cell>
          <cell r="L582"/>
          <cell r="M582">
            <v>617</v>
          </cell>
          <cell r="N582">
            <v>0</v>
          </cell>
          <cell r="O582">
            <v>5950</v>
          </cell>
          <cell r="P582">
            <v>6567</v>
          </cell>
          <cell r="Q582"/>
          <cell r="R582">
            <v>33080</v>
          </cell>
          <cell r="S582">
            <v>2495</v>
          </cell>
          <cell r="T582">
            <v>35575</v>
          </cell>
        </row>
        <row r="583">
          <cell r="A583">
            <v>96311</v>
          </cell>
          <cell r="B583" t="str">
            <v xml:space="preserve"> SOUTHERN PINES</v>
          </cell>
          <cell r="C583">
            <v>1.3328000000000001E-3</v>
          </cell>
          <cell r="D583">
            <v>1.3113000000000001E-3</v>
          </cell>
          <cell r="E583">
            <v>3161857</v>
          </cell>
          <cell r="F583" t="str">
            <v xml:space="preserve"> </v>
          </cell>
          <cell r="G583">
            <v>487799</v>
          </cell>
          <cell r="H583">
            <v>434029</v>
          </cell>
          <cell r="I583">
            <v>839035</v>
          </cell>
          <cell r="J583">
            <v>0</v>
          </cell>
          <cell r="K583">
            <v>1760863</v>
          </cell>
          <cell r="L583"/>
          <cell r="M583">
            <v>16368</v>
          </cell>
          <cell r="N583">
            <v>0</v>
          </cell>
          <cell r="O583">
            <v>112780</v>
          </cell>
          <cell r="P583">
            <v>129148</v>
          </cell>
          <cell r="Q583"/>
          <cell r="R583">
            <v>878279</v>
          </cell>
          <cell r="S583">
            <v>-38768</v>
          </cell>
          <cell r="T583">
            <v>839511</v>
          </cell>
        </row>
        <row r="584">
          <cell r="A584">
            <v>96312</v>
          </cell>
          <cell r="B584" t="str">
            <v xml:space="preserve"> CAMERON</v>
          </cell>
          <cell r="C584">
            <v>6.1E-6</v>
          </cell>
          <cell r="D584">
            <v>1.5999999999999999E-5</v>
          </cell>
          <cell r="E584">
            <v>14471</v>
          </cell>
          <cell r="F584" t="str">
            <v xml:space="preserve"> </v>
          </cell>
          <cell r="G584">
            <v>2233</v>
          </cell>
          <cell r="H584">
            <v>1987</v>
          </cell>
          <cell r="I584">
            <v>3840</v>
          </cell>
          <cell r="J584">
            <v>5741</v>
          </cell>
          <cell r="K584">
            <v>13801</v>
          </cell>
          <cell r="L584"/>
          <cell r="M584">
            <v>75</v>
          </cell>
          <cell r="N584">
            <v>0</v>
          </cell>
          <cell r="O584">
            <v>7008</v>
          </cell>
          <cell r="P584">
            <v>7083</v>
          </cell>
          <cell r="Q584"/>
          <cell r="R584">
            <v>4020</v>
          </cell>
          <cell r="S584">
            <v>-1283</v>
          </cell>
          <cell r="T584">
            <v>2737</v>
          </cell>
        </row>
        <row r="585">
          <cell r="A585">
            <v>96318</v>
          </cell>
          <cell r="B585" t="str">
            <v>SANDHILLS CENTER</v>
          </cell>
          <cell r="C585">
            <v>2.2098999999999999E-3</v>
          </cell>
          <cell r="D585">
            <v>2.1684999999999999E-3</v>
          </cell>
          <cell r="E585">
            <v>5242639</v>
          </cell>
          <cell r="F585" t="str">
            <v xml:space="preserve"> </v>
          </cell>
          <cell r="G585">
            <v>808815</v>
          </cell>
          <cell r="H585">
            <v>719659</v>
          </cell>
          <cell r="I585">
            <v>1391194</v>
          </cell>
          <cell r="J585">
            <v>5150573</v>
          </cell>
          <cell r="K585">
            <v>8070241</v>
          </cell>
          <cell r="L585"/>
          <cell r="M585">
            <v>27140</v>
          </cell>
          <cell r="N585">
            <v>0</v>
          </cell>
          <cell r="O585">
            <v>0</v>
          </cell>
          <cell r="P585">
            <v>27140</v>
          </cell>
          <cell r="Q585"/>
          <cell r="R585">
            <v>1456264</v>
          </cell>
          <cell r="S585">
            <v>2691083</v>
          </cell>
          <cell r="T585">
            <v>4147347</v>
          </cell>
        </row>
        <row r="586">
          <cell r="A586">
            <v>96321</v>
          </cell>
          <cell r="B586" t="str">
            <v xml:space="preserve"> VASS</v>
          </cell>
          <cell r="C586">
            <v>3.7299999999999999E-5</v>
          </cell>
          <cell r="D586">
            <v>3.6900000000000002E-5</v>
          </cell>
          <cell r="E586">
            <v>88488</v>
          </cell>
          <cell r="F586" t="str">
            <v xml:space="preserve"> </v>
          </cell>
          <cell r="G586">
            <v>13652</v>
          </cell>
          <cell r="H586">
            <v>12147</v>
          </cell>
          <cell r="I586">
            <v>23481</v>
          </cell>
          <cell r="J586">
            <v>2037</v>
          </cell>
          <cell r="K586">
            <v>51317</v>
          </cell>
          <cell r="L586"/>
          <cell r="M586">
            <v>458</v>
          </cell>
          <cell r="N586">
            <v>0</v>
          </cell>
          <cell r="O586">
            <v>1391</v>
          </cell>
          <cell r="P586">
            <v>1849</v>
          </cell>
          <cell r="Q586"/>
          <cell r="R586">
            <v>24580</v>
          </cell>
          <cell r="S586">
            <v>-243</v>
          </cell>
          <cell r="T586">
            <v>24337</v>
          </cell>
        </row>
        <row r="587">
          <cell r="A587">
            <v>96331</v>
          </cell>
          <cell r="B587" t="str">
            <v xml:space="preserve"> ABERDEEN</v>
          </cell>
          <cell r="C587">
            <v>7.0220000000000005E-4</v>
          </cell>
          <cell r="D587">
            <v>7.0850000000000004E-4</v>
          </cell>
          <cell r="E587">
            <v>1665859</v>
          </cell>
          <cell r="F587" t="str">
            <v xml:space="preserve"> </v>
          </cell>
          <cell r="G587">
            <v>257002</v>
          </cell>
          <cell r="H587">
            <v>228672</v>
          </cell>
          <cell r="I587">
            <v>442055</v>
          </cell>
          <cell r="J587">
            <v>1400</v>
          </cell>
          <cell r="K587">
            <v>929129</v>
          </cell>
          <cell r="L587"/>
          <cell r="M587">
            <v>8624</v>
          </cell>
          <cell r="N587">
            <v>0</v>
          </cell>
          <cell r="O587">
            <v>67389</v>
          </cell>
          <cell r="P587">
            <v>76013</v>
          </cell>
          <cell r="Q587"/>
          <cell r="R587">
            <v>462731</v>
          </cell>
          <cell r="S587">
            <v>-31677</v>
          </cell>
          <cell r="T587">
            <v>431054</v>
          </cell>
        </row>
        <row r="588">
          <cell r="A588">
            <v>96341</v>
          </cell>
          <cell r="B588" t="str">
            <v xml:space="preserve"> ROBBINS</v>
          </cell>
          <cell r="C588">
            <v>9.1399999999999999E-5</v>
          </cell>
          <cell r="D588">
            <v>8.3800000000000004E-5</v>
          </cell>
          <cell r="E588">
            <v>216832</v>
          </cell>
          <cell r="F588" t="str">
            <v xml:space="preserve"> </v>
          </cell>
          <cell r="G588">
            <v>33452</v>
          </cell>
          <cell r="H588">
            <v>29765</v>
          </cell>
          <cell r="I588">
            <v>57539</v>
          </cell>
          <cell r="J588">
            <v>7342</v>
          </cell>
          <cell r="K588">
            <v>128098</v>
          </cell>
          <cell r="L588"/>
          <cell r="M588">
            <v>1122</v>
          </cell>
          <cell r="N588">
            <v>0</v>
          </cell>
          <cell r="O588">
            <v>5984</v>
          </cell>
          <cell r="P588">
            <v>7106</v>
          </cell>
          <cell r="Q588"/>
          <cell r="R588">
            <v>60230</v>
          </cell>
          <cell r="S588">
            <v>-2239</v>
          </cell>
          <cell r="T588">
            <v>57991</v>
          </cell>
        </row>
        <row r="589">
          <cell r="A589">
            <v>96351</v>
          </cell>
          <cell r="B589" t="str">
            <v xml:space="preserve"> PINEHURST</v>
          </cell>
          <cell r="C589">
            <v>1.0456E-3</v>
          </cell>
          <cell r="D589">
            <v>1.0616E-3</v>
          </cell>
          <cell r="E589">
            <v>2480521</v>
          </cell>
          <cell r="F589" t="str">
            <v xml:space="preserve"> </v>
          </cell>
          <cell r="G589">
            <v>382685</v>
          </cell>
          <cell r="H589">
            <v>340501</v>
          </cell>
          <cell r="I589">
            <v>658234</v>
          </cell>
          <cell r="J589">
            <v>1398</v>
          </cell>
          <cell r="K589">
            <v>1382818</v>
          </cell>
          <cell r="L589"/>
          <cell r="M589">
            <v>12841</v>
          </cell>
          <cell r="N589">
            <v>0</v>
          </cell>
          <cell r="O589">
            <v>35067</v>
          </cell>
          <cell r="P589">
            <v>47908</v>
          </cell>
          <cell r="Q589"/>
          <cell r="R589">
            <v>689022</v>
          </cell>
          <cell r="S589">
            <v>-9188</v>
          </cell>
          <cell r="T589">
            <v>679834</v>
          </cell>
        </row>
        <row r="590">
          <cell r="A590">
            <v>96361</v>
          </cell>
          <cell r="B590" t="str">
            <v xml:space="preserve"> PINEBLUFF</v>
          </cell>
          <cell r="C590">
            <v>4.9400000000000001E-5</v>
          </cell>
          <cell r="D590">
            <v>5.5699999999999999E-5</v>
          </cell>
          <cell r="E590">
            <v>117194</v>
          </cell>
          <cell r="F590" t="str">
            <v xml:space="preserve"> </v>
          </cell>
          <cell r="G590">
            <v>18080</v>
          </cell>
          <cell r="H590">
            <v>16088</v>
          </cell>
          <cell r="I590">
            <v>31099</v>
          </cell>
          <cell r="J590">
            <v>1546</v>
          </cell>
          <cell r="K590">
            <v>66813</v>
          </cell>
          <cell r="L590"/>
          <cell r="M590">
            <v>607</v>
          </cell>
          <cell r="N590">
            <v>0</v>
          </cell>
          <cell r="O590">
            <v>5439</v>
          </cell>
          <cell r="P590">
            <v>6046</v>
          </cell>
          <cell r="Q590"/>
          <cell r="R590">
            <v>32553</v>
          </cell>
          <cell r="S590">
            <v>190</v>
          </cell>
          <cell r="T590">
            <v>32743</v>
          </cell>
        </row>
        <row r="591">
          <cell r="A591">
            <v>96371</v>
          </cell>
          <cell r="B591" t="str">
            <v xml:space="preserve"> WHISPERING PINES</v>
          </cell>
          <cell r="C591">
            <v>1.4200000000000001E-4</v>
          </cell>
          <cell r="D591">
            <v>1.5249999999999999E-4</v>
          </cell>
          <cell r="E591">
            <v>336873</v>
          </cell>
          <cell r="F591" t="str">
            <v xml:space="preserve"> </v>
          </cell>
          <cell r="G591">
            <v>51971</v>
          </cell>
          <cell r="H591">
            <v>46242</v>
          </cell>
          <cell r="I591">
            <v>89393</v>
          </cell>
          <cell r="J591">
            <v>0</v>
          </cell>
          <cell r="K591">
            <v>187606</v>
          </cell>
          <cell r="L591"/>
          <cell r="M591">
            <v>1744</v>
          </cell>
          <cell r="N591">
            <v>0</v>
          </cell>
          <cell r="O591">
            <v>16072</v>
          </cell>
          <cell r="P591">
            <v>17816</v>
          </cell>
          <cell r="Q591"/>
          <cell r="R591">
            <v>93574</v>
          </cell>
          <cell r="S591">
            <v>-4573</v>
          </cell>
          <cell r="T591">
            <v>89001</v>
          </cell>
        </row>
        <row r="592">
          <cell r="A592">
            <v>96381</v>
          </cell>
          <cell r="B592" t="str">
            <v>FOXFIRE VILLAGE</v>
          </cell>
          <cell r="C592">
            <v>3.5200000000000002E-5</v>
          </cell>
          <cell r="D592">
            <v>3.2100000000000001E-5</v>
          </cell>
          <cell r="E592">
            <v>83506</v>
          </cell>
          <cell r="F592" t="str">
            <v xml:space="preserve"> </v>
          </cell>
          <cell r="G592">
            <v>12883</v>
          </cell>
          <cell r="H592">
            <v>11463</v>
          </cell>
          <cell r="I592">
            <v>22159</v>
          </cell>
          <cell r="J592">
            <v>1710</v>
          </cell>
          <cell r="K592">
            <v>48215</v>
          </cell>
          <cell r="L592"/>
          <cell r="M592">
            <v>432</v>
          </cell>
          <cell r="N592">
            <v>0</v>
          </cell>
          <cell r="O592">
            <v>634</v>
          </cell>
          <cell r="P592">
            <v>1066</v>
          </cell>
          <cell r="Q592"/>
          <cell r="R592">
            <v>23196</v>
          </cell>
          <cell r="S592">
            <v>-775</v>
          </cell>
          <cell r="T592">
            <v>22421</v>
          </cell>
        </row>
        <row r="593">
          <cell r="A593">
            <v>96391</v>
          </cell>
          <cell r="B593" t="str">
            <v xml:space="preserve"> CARTHAGE</v>
          </cell>
          <cell r="C593">
            <v>2.1350000000000001E-4</v>
          </cell>
          <cell r="D593">
            <v>2.029E-4</v>
          </cell>
          <cell r="E593">
            <v>506495</v>
          </cell>
          <cell r="F593" t="str">
            <v xml:space="preserve"> </v>
          </cell>
          <cell r="G593">
            <v>78140</v>
          </cell>
          <cell r="H593">
            <v>69527</v>
          </cell>
          <cell r="I593">
            <v>134404</v>
          </cell>
          <cell r="J593">
            <v>0</v>
          </cell>
          <cell r="K593">
            <v>282071</v>
          </cell>
          <cell r="L593"/>
          <cell r="M593">
            <v>2622</v>
          </cell>
          <cell r="N593">
            <v>0</v>
          </cell>
          <cell r="O593">
            <v>20575</v>
          </cell>
          <cell r="P593">
            <v>23197</v>
          </cell>
          <cell r="Q593"/>
          <cell r="R593">
            <v>140691</v>
          </cell>
          <cell r="S593">
            <v>-665</v>
          </cell>
          <cell r="T593">
            <v>140026</v>
          </cell>
        </row>
        <row r="594">
          <cell r="A594">
            <v>96401</v>
          </cell>
          <cell r="B594" t="str">
            <v>NASH COUNTY</v>
          </cell>
          <cell r="C594">
            <v>4.4764999999999996E-3</v>
          </cell>
          <cell r="D594">
            <v>4.5672000000000004E-3</v>
          </cell>
          <cell r="E594">
            <v>10619789</v>
          </cell>
          <cell r="F594" t="str">
            <v xml:space="preserve"> </v>
          </cell>
          <cell r="G594">
            <v>1638381</v>
          </cell>
          <cell r="H594">
            <v>1457781</v>
          </cell>
          <cell r="I594">
            <v>2818082</v>
          </cell>
          <cell r="J594">
            <v>0</v>
          </cell>
          <cell r="K594">
            <v>5914244</v>
          </cell>
          <cell r="L594"/>
          <cell r="M594">
            <v>54976</v>
          </cell>
          <cell r="N594">
            <v>0</v>
          </cell>
          <cell r="O594">
            <v>163892</v>
          </cell>
          <cell r="P594">
            <v>218868</v>
          </cell>
          <cell r="Q594"/>
          <cell r="R594">
            <v>2949893</v>
          </cell>
          <cell r="S594">
            <v>-37128</v>
          </cell>
          <cell r="T594">
            <v>2912765</v>
          </cell>
        </row>
        <row r="595">
          <cell r="A595">
            <v>96404</v>
          </cell>
          <cell r="B595" t="str">
            <v>NASH COUNTY ABC BOARD</v>
          </cell>
          <cell r="C595">
            <v>9.98E-5</v>
          </cell>
          <cell r="D595">
            <v>1.026E-4</v>
          </cell>
          <cell r="E595">
            <v>236760</v>
          </cell>
          <cell r="F595" t="str">
            <v xml:space="preserve"> </v>
          </cell>
          <cell r="G595">
            <v>36526</v>
          </cell>
          <cell r="H595">
            <v>32500</v>
          </cell>
          <cell r="I595">
            <v>62827</v>
          </cell>
          <cell r="J595">
            <v>25677</v>
          </cell>
          <cell r="K595">
            <v>157530</v>
          </cell>
          <cell r="L595"/>
          <cell r="M595">
            <v>1226</v>
          </cell>
          <cell r="N595">
            <v>0</v>
          </cell>
          <cell r="O595">
            <v>0</v>
          </cell>
          <cell r="P595">
            <v>1226</v>
          </cell>
          <cell r="Q595"/>
          <cell r="R595">
            <v>65766</v>
          </cell>
          <cell r="S595">
            <v>12826</v>
          </cell>
          <cell r="T595">
            <v>78592</v>
          </cell>
        </row>
        <row r="596">
          <cell r="A596">
            <v>96405</v>
          </cell>
          <cell r="B596" t="str">
            <v>BRASWELL MEMORIAL LIBRARY</v>
          </cell>
          <cell r="C596">
            <v>1.3219999999999999E-4</v>
          </cell>
          <cell r="D596">
            <v>1.6139999999999999E-4</v>
          </cell>
          <cell r="E596">
            <v>313624</v>
          </cell>
          <cell r="F596" t="str">
            <v xml:space="preserve"> </v>
          </cell>
          <cell r="G596">
            <v>48385</v>
          </cell>
          <cell r="H596">
            <v>43051</v>
          </cell>
          <cell r="I596">
            <v>83224</v>
          </cell>
          <cell r="J596">
            <v>4606</v>
          </cell>
          <cell r="K596">
            <v>179266</v>
          </cell>
          <cell r="L596"/>
          <cell r="M596">
            <v>1624</v>
          </cell>
          <cell r="N596">
            <v>0</v>
          </cell>
          <cell r="O596">
            <v>1578</v>
          </cell>
          <cell r="P596">
            <v>3202</v>
          </cell>
          <cell r="Q596"/>
          <cell r="R596">
            <v>87116</v>
          </cell>
          <cell r="S596">
            <v>4206</v>
          </cell>
          <cell r="T596">
            <v>91322</v>
          </cell>
        </row>
        <row r="597">
          <cell r="A597">
            <v>96411</v>
          </cell>
          <cell r="B597" t="str">
            <v xml:space="preserve"> SPRING HOPE</v>
          </cell>
          <cell r="C597">
            <v>7.1899999999999999E-5</v>
          </cell>
          <cell r="D597">
            <v>7.2299999999999996E-5</v>
          </cell>
          <cell r="E597">
            <v>170571</v>
          </cell>
          <cell r="F597" t="str">
            <v xml:space="preserve"> </v>
          </cell>
          <cell r="G597">
            <v>26315</v>
          </cell>
          <cell r="H597">
            <v>23414</v>
          </cell>
          <cell r="I597">
            <v>45263</v>
          </cell>
          <cell r="J597">
            <v>7628</v>
          </cell>
          <cell r="K597">
            <v>102620</v>
          </cell>
          <cell r="L597"/>
          <cell r="M597">
            <v>883</v>
          </cell>
          <cell r="N597">
            <v>0</v>
          </cell>
          <cell r="O597">
            <v>5714</v>
          </cell>
          <cell r="P597">
            <v>6597</v>
          </cell>
          <cell r="Q597"/>
          <cell r="R597">
            <v>47380</v>
          </cell>
          <cell r="S597">
            <v>1584</v>
          </cell>
          <cell r="T597">
            <v>48964</v>
          </cell>
        </row>
        <row r="598">
          <cell r="A598">
            <v>96421</v>
          </cell>
          <cell r="B598" t="str">
            <v xml:space="preserve"> NASHVILLE</v>
          </cell>
          <cell r="C598">
            <v>4.2880000000000001E-4</v>
          </cell>
          <cell r="D598">
            <v>4.2529999999999998E-4</v>
          </cell>
          <cell r="E598">
            <v>1017260</v>
          </cell>
          <cell r="F598" t="str">
            <v xml:space="preserve"> </v>
          </cell>
          <cell r="G598">
            <v>156939</v>
          </cell>
          <cell r="H598">
            <v>139640</v>
          </cell>
          <cell r="I598">
            <v>269942</v>
          </cell>
          <cell r="J598">
            <v>0</v>
          </cell>
          <cell r="K598">
            <v>566521</v>
          </cell>
          <cell r="L598"/>
          <cell r="M598">
            <v>5266</v>
          </cell>
          <cell r="N598">
            <v>0</v>
          </cell>
          <cell r="O598">
            <v>60679</v>
          </cell>
          <cell r="P598">
            <v>65945</v>
          </cell>
          <cell r="Q598"/>
          <cell r="R598">
            <v>282568</v>
          </cell>
          <cell r="S598">
            <v>-39301</v>
          </cell>
          <cell r="T598">
            <v>243267</v>
          </cell>
        </row>
        <row r="599">
          <cell r="A599">
            <v>96431</v>
          </cell>
          <cell r="B599" t="str">
            <v xml:space="preserve"> MIDDLESEX</v>
          </cell>
          <cell r="C599">
            <v>3.0599999999999998E-5</v>
          </cell>
          <cell r="D599">
            <v>4.2799999999999997E-5</v>
          </cell>
          <cell r="E599">
            <v>72594</v>
          </cell>
          <cell r="F599" t="str">
            <v xml:space="preserve"> </v>
          </cell>
          <cell r="G599">
            <v>11199</v>
          </cell>
          <cell r="H599">
            <v>9965</v>
          </cell>
          <cell r="I599">
            <v>19264</v>
          </cell>
          <cell r="J599">
            <v>4082</v>
          </cell>
          <cell r="K599">
            <v>44510</v>
          </cell>
          <cell r="L599"/>
          <cell r="M599">
            <v>376</v>
          </cell>
          <cell r="N599">
            <v>0</v>
          </cell>
          <cell r="O599">
            <v>9581</v>
          </cell>
          <cell r="P599">
            <v>9957</v>
          </cell>
          <cell r="Q599"/>
          <cell r="R599">
            <v>20165</v>
          </cell>
          <cell r="S599">
            <v>-2392</v>
          </cell>
          <cell r="T599">
            <v>17773</v>
          </cell>
        </row>
        <row r="600">
          <cell r="A600">
            <v>96441</v>
          </cell>
          <cell r="B600" t="str">
            <v xml:space="preserve"> WHITAKERS</v>
          </cell>
          <cell r="C600">
            <v>2.8E-5</v>
          </cell>
          <cell r="D600">
            <v>2.97E-5</v>
          </cell>
          <cell r="E600">
            <v>66426</v>
          </cell>
          <cell r="F600" t="str">
            <v xml:space="preserve"> </v>
          </cell>
          <cell r="G600">
            <v>10248</v>
          </cell>
          <cell r="H600">
            <v>9118</v>
          </cell>
          <cell r="I600">
            <v>17627</v>
          </cell>
          <cell r="J600">
            <v>4392</v>
          </cell>
          <cell r="K600">
            <v>41385</v>
          </cell>
          <cell r="L600"/>
          <cell r="M600">
            <v>344</v>
          </cell>
          <cell r="N600">
            <v>0</v>
          </cell>
          <cell r="O600">
            <v>57</v>
          </cell>
          <cell r="P600">
            <v>401</v>
          </cell>
          <cell r="Q600"/>
          <cell r="R600">
            <v>18451</v>
          </cell>
          <cell r="S600">
            <v>2845</v>
          </cell>
          <cell r="T600">
            <v>21296</v>
          </cell>
        </row>
        <row r="601">
          <cell r="A601">
            <v>96451</v>
          </cell>
          <cell r="B601" t="str">
            <v xml:space="preserve"> BAILEY</v>
          </cell>
          <cell r="C601">
            <v>1.8700000000000001E-5</v>
          </cell>
          <cell r="D601">
            <v>2.0299999999999999E-5</v>
          </cell>
          <cell r="E601">
            <v>44363</v>
          </cell>
          <cell r="F601" t="str">
            <v xml:space="preserve"> </v>
          </cell>
          <cell r="G601">
            <v>6844</v>
          </cell>
          <cell r="H601">
            <v>6089</v>
          </cell>
          <cell r="I601">
            <v>11772</v>
          </cell>
          <cell r="J601">
            <v>4558</v>
          </cell>
          <cell r="K601">
            <v>29263</v>
          </cell>
          <cell r="L601"/>
          <cell r="M601">
            <v>230</v>
          </cell>
          <cell r="N601">
            <v>0</v>
          </cell>
          <cell r="O601">
            <v>2079</v>
          </cell>
          <cell r="P601">
            <v>2309</v>
          </cell>
          <cell r="Q601"/>
          <cell r="R601">
            <v>12323</v>
          </cell>
          <cell r="S601">
            <v>588</v>
          </cell>
          <cell r="T601">
            <v>12911</v>
          </cell>
        </row>
        <row r="602">
          <cell r="A602">
            <v>96461</v>
          </cell>
          <cell r="B602" t="str">
            <v xml:space="preserve"> SHARPSBURG</v>
          </cell>
          <cell r="C602">
            <v>1.538E-4</v>
          </cell>
          <cell r="D602">
            <v>1.361E-4</v>
          </cell>
          <cell r="E602">
            <v>364866</v>
          </cell>
          <cell r="F602" t="str">
            <v xml:space="preserve"> </v>
          </cell>
          <cell r="G602">
            <v>56290</v>
          </cell>
          <cell r="H602">
            <v>50085</v>
          </cell>
          <cell r="I602">
            <v>96821</v>
          </cell>
          <cell r="J602">
            <v>11947</v>
          </cell>
          <cell r="K602">
            <v>215143</v>
          </cell>
          <cell r="L602"/>
          <cell r="M602">
            <v>1889</v>
          </cell>
          <cell r="N602">
            <v>0</v>
          </cell>
          <cell r="O602">
            <v>9861</v>
          </cell>
          <cell r="P602">
            <v>11750</v>
          </cell>
          <cell r="Q602"/>
          <cell r="R602">
            <v>101350</v>
          </cell>
          <cell r="S602">
            <v>-1446</v>
          </cell>
          <cell r="T602">
            <v>99904</v>
          </cell>
        </row>
        <row r="603">
          <cell r="A603">
            <v>96501</v>
          </cell>
          <cell r="B603" t="str">
            <v>NEW HANOVER COUNTY</v>
          </cell>
          <cell r="C603">
            <v>1.453E-2</v>
          </cell>
          <cell r="D603">
            <v>1.44739E-2</v>
          </cell>
          <cell r="E603">
            <v>34470129</v>
          </cell>
          <cell r="F603" t="str">
            <v xml:space="preserve"> </v>
          </cell>
          <cell r="G603">
            <v>5317922</v>
          </cell>
          <cell r="H603">
            <v>4731723</v>
          </cell>
          <cell r="I603">
            <v>9147042</v>
          </cell>
          <cell r="J603">
            <v>113402</v>
          </cell>
          <cell r="K603">
            <v>19310089</v>
          </cell>
          <cell r="L603"/>
          <cell r="M603">
            <v>178443</v>
          </cell>
          <cell r="N603">
            <v>0</v>
          </cell>
          <cell r="O603">
            <v>280861</v>
          </cell>
          <cell r="P603">
            <v>459304</v>
          </cell>
          <cell r="Q603"/>
          <cell r="R603">
            <v>9574878</v>
          </cell>
          <cell r="S603">
            <v>126655</v>
          </cell>
          <cell r="T603">
            <v>9701533</v>
          </cell>
        </row>
        <row r="604">
          <cell r="A604">
            <v>96502</v>
          </cell>
          <cell r="B604" t="str">
            <v>NEW HANOVER AIRPORT AUTHORITY</v>
          </cell>
          <cell r="C604">
            <v>4.059E-4</v>
          </cell>
          <cell r="D604">
            <v>4.2440000000000002E-4</v>
          </cell>
          <cell r="E604">
            <v>962934</v>
          </cell>
          <cell r="F604" t="str">
            <v xml:space="preserve"> </v>
          </cell>
          <cell r="G604">
            <v>148558</v>
          </cell>
          <cell r="H604">
            <v>132183</v>
          </cell>
          <cell r="I604">
            <v>255525</v>
          </cell>
          <cell r="J604">
            <v>16491</v>
          </cell>
          <cell r="K604">
            <v>552757</v>
          </cell>
          <cell r="L604"/>
          <cell r="M604">
            <v>4985</v>
          </cell>
          <cell r="N604">
            <v>0</v>
          </cell>
          <cell r="O604">
            <v>0</v>
          </cell>
          <cell r="P604">
            <v>4985</v>
          </cell>
          <cell r="Q604"/>
          <cell r="R604">
            <v>267477</v>
          </cell>
          <cell r="S604">
            <v>23122</v>
          </cell>
          <cell r="T604">
            <v>290599</v>
          </cell>
        </row>
        <row r="605">
          <cell r="A605">
            <v>96503</v>
          </cell>
          <cell r="B605" t="str">
            <v>WILMINGTON HOUSING AUTHORITY</v>
          </cell>
          <cell r="C605">
            <v>2.856E-4</v>
          </cell>
          <cell r="D605">
            <v>3.0039999999999998E-4</v>
          </cell>
          <cell r="E605">
            <v>677541</v>
          </cell>
          <cell r="F605" t="str">
            <v xml:space="preserve"> </v>
          </cell>
          <cell r="G605">
            <v>104528</v>
          </cell>
          <cell r="H605">
            <v>93006</v>
          </cell>
          <cell r="I605">
            <v>179793</v>
          </cell>
          <cell r="J605">
            <v>287738</v>
          </cell>
          <cell r="K605">
            <v>665065</v>
          </cell>
          <cell r="L605"/>
          <cell r="M605">
            <v>3507</v>
          </cell>
          <cell r="N605">
            <v>0</v>
          </cell>
          <cell r="O605">
            <v>0</v>
          </cell>
          <cell r="P605">
            <v>3507</v>
          </cell>
          <cell r="Q605"/>
          <cell r="R605">
            <v>188203</v>
          </cell>
          <cell r="S605">
            <v>104796</v>
          </cell>
          <cell r="T605">
            <v>292999</v>
          </cell>
        </row>
        <row r="606">
          <cell r="A606">
            <v>96504</v>
          </cell>
          <cell r="B606" t="str">
            <v>NEW HANOVER COUNTY ABC BOARD</v>
          </cell>
          <cell r="C606">
            <v>4.0900000000000002E-4</v>
          </cell>
          <cell r="D606">
            <v>4.1760000000000001E-4</v>
          </cell>
          <cell r="E606">
            <v>970288</v>
          </cell>
          <cell r="F606" t="str">
            <v xml:space="preserve"> </v>
          </cell>
          <cell r="G606">
            <v>149692</v>
          </cell>
          <cell r="H606">
            <v>133192</v>
          </cell>
          <cell r="I606">
            <v>257477</v>
          </cell>
          <cell r="J606">
            <v>30948</v>
          </cell>
          <cell r="K606">
            <v>571309</v>
          </cell>
          <cell r="L606"/>
          <cell r="M606">
            <v>5023</v>
          </cell>
          <cell r="N606">
            <v>0</v>
          </cell>
          <cell r="O606">
            <v>3438</v>
          </cell>
          <cell r="P606">
            <v>8461</v>
          </cell>
          <cell r="Q606"/>
          <cell r="R606">
            <v>269520</v>
          </cell>
          <cell r="S606">
            <v>11348</v>
          </cell>
          <cell r="T606">
            <v>280868</v>
          </cell>
        </row>
        <row r="607">
          <cell r="A607">
            <v>96507</v>
          </cell>
          <cell r="B607" t="str">
            <v>CAPE FEAR PUBLIC UTILITY AUTHORITY</v>
          </cell>
          <cell r="C607">
            <v>2.2176000000000001E-3</v>
          </cell>
          <cell r="D607">
            <v>2.2147E-3</v>
          </cell>
          <cell r="E607">
            <v>5260906</v>
          </cell>
          <cell r="F607" t="str">
            <v xml:space="preserve"> </v>
          </cell>
          <cell r="G607">
            <v>811633</v>
          </cell>
          <cell r="H607">
            <v>722166</v>
          </cell>
          <cell r="I607">
            <v>1396041</v>
          </cell>
          <cell r="J607">
            <v>85460</v>
          </cell>
          <cell r="K607">
            <v>3015300</v>
          </cell>
          <cell r="L607"/>
          <cell r="M607">
            <v>27234</v>
          </cell>
          <cell r="N607">
            <v>0</v>
          </cell>
          <cell r="O607">
            <v>17095</v>
          </cell>
          <cell r="P607">
            <v>44329</v>
          </cell>
          <cell r="Q607"/>
          <cell r="R607">
            <v>1461339</v>
          </cell>
          <cell r="S607">
            <v>67118</v>
          </cell>
          <cell r="T607">
            <v>1528457</v>
          </cell>
        </row>
        <row r="608">
          <cell r="A608">
            <v>96508</v>
          </cell>
          <cell r="B608" t="str">
            <v>LOWER CAPE FEAR WATER &amp; SEWER AUTHORITY</v>
          </cell>
          <cell r="C608">
            <v>7.4000000000000003E-6</v>
          </cell>
          <cell r="D608">
            <v>8.6000000000000007E-6</v>
          </cell>
          <cell r="E608">
            <v>17555</v>
          </cell>
          <cell r="F608" t="str">
            <v xml:space="preserve"> </v>
          </cell>
          <cell r="G608">
            <v>2708</v>
          </cell>
          <cell r="H608">
            <v>2410</v>
          </cell>
          <cell r="I608">
            <v>4659</v>
          </cell>
          <cell r="J608">
            <v>12344</v>
          </cell>
          <cell r="K608">
            <v>22121</v>
          </cell>
          <cell r="L608"/>
          <cell r="M608">
            <v>91</v>
          </cell>
          <cell r="N608">
            <v>0</v>
          </cell>
          <cell r="O608">
            <v>0</v>
          </cell>
          <cell r="P608">
            <v>91</v>
          </cell>
          <cell r="Q608"/>
          <cell r="R608">
            <v>4876</v>
          </cell>
          <cell r="S608">
            <v>5799</v>
          </cell>
          <cell r="T608">
            <v>10675</v>
          </cell>
        </row>
        <row r="609">
          <cell r="A609">
            <v>96511</v>
          </cell>
          <cell r="B609" t="str">
            <v xml:space="preserve"> WRIGHTSVILLE BEACH</v>
          </cell>
          <cell r="C609">
            <v>6.1580000000000001E-4</v>
          </cell>
          <cell r="D609">
            <v>6.2069999999999996E-4</v>
          </cell>
          <cell r="E609">
            <v>1460888</v>
          </cell>
          <cell r="F609" t="str">
            <v xml:space="preserve"> </v>
          </cell>
          <cell r="G609">
            <v>225380</v>
          </cell>
          <cell r="H609">
            <v>200536</v>
          </cell>
          <cell r="I609">
            <v>387663</v>
          </cell>
          <cell r="J609">
            <v>0</v>
          </cell>
          <cell r="K609">
            <v>813579</v>
          </cell>
          <cell r="L609"/>
          <cell r="M609">
            <v>7563</v>
          </cell>
          <cell r="N609">
            <v>0</v>
          </cell>
          <cell r="O609">
            <v>55836</v>
          </cell>
          <cell r="P609">
            <v>63399</v>
          </cell>
          <cell r="Q609"/>
          <cell r="R609">
            <v>405796</v>
          </cell>
          <cell r="S609">
            <v>-51447</v>
          </cell>
          <cell r="T609">
            <v>354349</v>
          </cell>
        </row>
        <row r="610">
          <cell r="A610">
            <v>96512</v>
          </cell>
          <cell r="B610" t="str">
            <v>CAPE FEAR PUBLIC TRANSPORTATION AUTHORITY</v>
          </cell>
          <cell r="C610">
            <v>1.5899999999999999E-4</v>
          </cell>
          <cell r="D610">
            <v>1.5119999999999999E-4</v>
          </cell>
          <cell r="E610">
            <v>377202</v>
          </cell>
          <cell r="F610" t="str">
            <v xml:space="preserve"> </v>
          </cell>
          <cell r="G610">
            <v>58193</v>
          </cell>
          <cell r="H610">
            <v>51778</v>
          </cell>
          <cell r="I610">
            <v>100095</v>
          </cell>
          <cell r="J610">
            <v>10002</v>
          </cell>
          <cell r="K610">
            <v>220068</v>
          </cell>
          <cell r="L610"/>
          <cell r="M610">
            <v>1953</v>
          </cell>
          <cell r="N610">
            <v>0</v>
          </cell>
          <cell r="O610">
            <v>7472</v>
          </cell>
          <cell r="P610">
            <v>9425</v>
          </cell>
          <cell r="Q610"/>
          <cell r="R610">
            <v>104777</v>
          </cell>
          <cell r="S610">
            <v>1973</v>
          </cell>
          <cell r="T610">
            <v>106750</v>
          </cell>
        </row>
        <row r="612">
          <cell r="A612">
            <v>96521</v>
          </cell>
          <cell r="B612" t="str">
            <v xml:space="preserve"> CAROLINA BEACH</v>
          </cell>
          <cell r="C612">
            <v>9.6719999999999998E-4</v>
          </cell>
          <cell r="D612">
            <v>9.881E-4</v>
          </cell>
          <cell r="E612">
            <v>2294529</v>
          </cell>
          <cell r="F612" t="str">
            <v xml:space="preserve"> </v>
          </cell>
          <cell r="G612">
            <v>353991</v>
          </cell>
          <cell r="H612">
            <v>314971</v>
          </cell>
          <cell r="I612">
            <v>608879</v>
          </cell>
          <cell r="J612">
            <v>13526</v>
          </cell>
          <cell r="K612">
            <v>1291367</v>
          </cell>
          <cell r="L612"/>
          <cell r="M612">
            <v>11878</v>
          </cell>
          <cell r="N612">
            <v>0</v>
          </cell>
          <cell r="O612">
            <v>66754</v>
          </cell>
          <cell r="P612">
            <v>78632</v>
          </cell>
          <cell r="Q612"/>
          <cell r="R612">
            <v>637359</v>
          </cell>
          <cell r="S612">
            <v>-6086</v>
          </cell>
          <cell r="T612">
            <v>631273</v>
          </cell>
        </row>
        <row r="613">
          <cell r="A613">
            <v>96531</v>
          </cell>
          <cell r="B613" t="str">
            <v>CITY OF WILMINGTON</v>
          </cell>
          <cell r="C613">
            <v>8.7183999999999994E-3</v>
          </cell>
          <cell r="D613">
            <v>8.5845000000000001E-3</v>
          </cell>
          <cell r="E613">
            <v>20683026</v>
          </cell>
          <cell r="F613" t="str">
            <v xml:space="preserve"> </v>
          </cell>
          <cell r="G613">
            <v>3190900</v>
          </cell>
          <cell r="H613">
            <v>2839165</v>
          </cell>
          <cell r="I613">
            <v>5488477</v>
          </cell>
          <cell r="J613">
            <v>21971</v>
          </cell>
          <cell r="K613">
            <v>11540513</v>
          </cell>
          <cell r="L613"/>
          <cell r="M613">
            <v>107071</v>
          </cell>
          <cell r="N613">
            <v>0</v>
          </cell>
          <cell r="O613">
            <v>363715</v>
          </cell>
          <cell r="P613">
            <v>470786</v>
          </cell>
          <cell r="Q613"/>
          <cell r="R613">
            <v>5745190</v>
          </cell>
          <cell r="S613">
            <v>-139676</v>
          </cell>
          <cell r="T613">
            <v>5605514</v>
          </cell>
        </row>
        <row r="614">
          <cell r="A614">
            <v>96541</v>
          </cell>
          <cell r="B614" t="str">
            <v xml:space="preserve"> KURE BEACH</v>
          </cell>
          <cell r="C614">
            <v>3.5780000000000002E-4</v>
          </cell>
          <cell r="D614">
            <v>3.5950000000000001E-4</v>
          </cell>
          <cell r="E614">
            <v>848824</v>
          </cell>
          <cell r="F614" t="str">
            <v xml:space="preserve"> </v>
          </cell>
          <cell r="G614">
            <v>130953</v>
          </cell>
          <cell r="H614">
            <v>116518</v>
          </cell>
          <cell r="I614">
            <v>225245</v>
          </cell>
          <cell r="J614">
            <v>11846</v>
          </cell>
          <cell r="K614">
            <v>484562</v>
          </cell>
          <cell r="L614"/>
          <cell r="M614">
            <v>4394</v>
          </cell>
          <cell r="N614">
            <v>0</v>
          </cell>
          <cell r="O614">
            <v>5150</v>
          </cell>
          <cell r="P614">
            <v>9544</v>
          </cell>
          <cell r="Q614"/>
          <cell r="R614">
            <v>235781</v>
          </cell>
          <cell r="S614">
            <v>11668</v>
          </cell>
          <cell r="T614">
            <v>247449</v>
          </cell>
        </row>
        <row r="615">
          <cell r="A615">
            <v>96601</v>
          </cell>
          <cell r="B615" t="str">
            <v>NORTHAMPTON COUNTY</v>
          </cell>
          <cell r="C615">
            <v>1.7382999999999999E-3</v>
          </cell>
          <cell r="D615">
            <v>1.8169E-3</v>
          </cell>
          <cell r="E615">
            <v>4123842</v>
          </cell>
          <cell r="F615" t="str">
            <v xml:space="preserve"> </v>
          </cell>
          <cell r="G615">
            <v>636211</v>
          </cell>
          <cell r="H615">
            <v>566081</v>
          </cell>
          <cell r="I615">
            <v>1094309</v>
          </cell>
          <cell r="J615">
            <v>18007</v>
          </cell>
          <cell r="K615">
            <v>2314608</v>
          </cell>
          <cell r="L615"/>
          <cell r="M615">
            <v>21348</v>
          </cell>
          <cell r="N615">
            <v>0</v>
          </cell>
          <cell r="O615">
            <v>78122</v>
          </cell>
          <cell r="P615">
            <v>99470</v>
          </cell>
          <cell r="Q615"/>
          <cell r="R615">
            <v>1145493</v>
          </cell>
          <cell r="S615">
            <v>10810</v>
          </cell>
          <cell r="T615">
            <v>1156303</v>
          </cell>
        </row>
        <row r="616">
          <cell r="A616">
            <v>96604</v>
          </cell>
          <cell r="B616" t="str">
            <v>NORTHAMPTON COUNTY ABC BOARD</v>
          </cell>
          <cell r="C616">
            <v>5.5999999999999997E-6</v>
          </cell>
          <cell r="D616">
            <v>7.6000000000000001E-6</v>
          </cell>
          <cell r="E616">
            <v>13285</v>
          </cell>
          <cell r="F616" t="str">
            <v xml:space="preserve"> </v>
          </cell>
          <cell r="G616">
            <v>2050</v>
          </cell>
          <cell r="H616">
            <v>1823</v>
          </cell>
          <cell r="I616">
            <v>3525</v>
          </cell>
          <cell r="J616">
            <v>1487</v>
          </cell>
          <cell r="K616">
            <v>8885</v>
          </cell>
          <cell r="L616"/>
          <cell r="M616">
            <v>69</v>
          </cell>
          <cell r="N616">
            <v>0</v>
          </cell>
          <cell r="O616">
            <v>31</v>
          </cell>
          <cell r="P616">
            <v>100</v>
          </cell>
          <cell r="Q616"/>
          <cell r="R616">
            <v>3690</v>
          </cell>
          <cell r="S616">
            <v>870</v>
          </cell>
          <cell r="T616">
            <v>4560</v>
          </cell>
        </row>
        <row r="617">
          <cell r="A617">
            <v>96611</v>
          </cell>
          <cell r="B617" t="str">
            <v xml:space="preserve"> RICH SQUARE</v>
          </cell>
          <cell r="C617">
            <v>2.41E-5</v>
          </cell>
          <cell r="D617">
            <v>2.83E-5</v>
          </cell>
          <cell r="E617">
            <v>57173</v>
          </cell>
          <cell r="F617" t="str">
            <v xml:space="preserve"> </v>
          </cell>
          <cell r="G617">
            <v>8821</v>
          </cell>
          <cell r="H617">
            <v>7848</v>
          </cell>
          <cell r="I617">
            <v>15172</v>
          </cell>
          <cell r="J617">
            <v>263</v>
          </cell>
          <cell r="K617">
            <v>32104</v>
          </cell>
          <cell r="L617"/>
          <cell r="M617">
            <v>296</v>
          </cell>
          <cell r="N617">
            <v>0</v>
          </cell>
          <cell r="O617">
            <v>5198</v>
          </cell>
          <cell r="P617">
            <v>5494</v>
          </cell>
          <cell r="Q617"/>
          <cell r="R617">
            <v>15881</v>
          </cell>
          <cell r="S617">
            <v>-426</v>
          </cell>
          <cell r="T617">
            <v>15455</v>
          </cell>
        </row>
        <row r="618">
          <cell r="A618">
            <v>96612</v>
          </cell>
          <cell r="B618" t="str">
            <v>CHOANOKE PUBLIC TRANSPORTATION AUTHORITY</v>
          </cell>
          <cell r="C618">
            <v>5.4500000000000003E-5</v>
          </cell>
          <cell r="D618">
            <v>6.3299999999999994E-5</v>
          </cell>
          <cell r="E618">
            <v>129293</v>
          </cell>
          <cell r="F618" t="str">
            <v xml:space="preserve"> </v>
          </cell>
          <cell r="G618">
            <v>19947</v>
          </cell>
          <cell r="H618">
            <v>17748</v>
          </cell>
          <cell r="I618">
            <v>34309</v>
          </cell>
          <cell r="J618">
            <v>4765</v>
          </cell>
          <cell r="K618">
            <v>76769</v>
          </cell>
          <cell r="L618"/>
          <cell r="M618">
            <v>669</v>
          </cell>
          <cell r="N618">
            <v>0</v>
          </cell>
          <cell r="O618">
            <v>2264</v>
          </cell>
          <cell r="P618">
            <v>2933</v>
          </cell>
          <cell r="Q618"/>
          <cell r="R618">
            <v>35914</v>
          </cell>
          <cell r="S618">
            <v>1711</v>
          </cell>
          <cell r="T618">
            <v>37625</v>
          </cell>
        </row>
        <row r="619">
          <cell r="A619">
            <v>96621</v>
          </cell>
          <cell r="B619" t="str">
            <v xml:space="preserve"> WOODLAND</v>
          </cell>
          <cell r="C619">
            <v>1.9199999999999999E-5</v>
          </cell>
          <cell r="D619">
            <v>2.5999999999999998E-5</v>
          </cell>
          <cell r="E619">
            <v>45549</v>
          </cell>
          <cell r="F619" t="str">
            <v xml:space="preserve"> </v>
          </cell>
          <cell r="G619">
            <v>7027</v>
          </cell>
          <cell r="H619">
            <v>6253</v>
          </cell>
          <cell r="I619">
            <v>12087</v>
          </cell>
          <cell r="J619">
            <v>856</v>
          </cell>
          <cell r="K619">
            <v>26223</v>
          </cell>
          <cell r="L619"/>
          <cell r="M619">
            <v>236</v>
          </cell>
          <cell r="N619">
            <v>0</v>
          </cell>
          <cell r="O619">
            <v>4283</v>
          </cell>
          <cell r="P619">
            <v>4519</v>
          </cell>
          <cell r="Q619"/>
          <cell r="R619">
            <v>12652</v>
          </cell>
          <cell r="S619">
            <v>-2837</v>
          </cell>
          <cell r="T619">
            <v>9815</v>
          </cell>
        </row>
        <row r="620">
          <cell r="A620">
            <v>96631</v>
          </cell>
          <cell r="B620" t="str">
            <v xml:space="preserve"> GARYSBURG</v>
          </cell>
          <cell r="C620">
            <v>2.3600000000000001E-5</v>
          </cell>
          <cell r="D620">
            <v>2.51E-5</v>
          </cell>
          <cell r="E620">
            <v>55987</v>
          </cell>
          <cell r="F620" t="str">
            <v xml:space="preserve"> </v>
          </cell>
          <cell r="G620">
            <v>8638</v>
          </cell>
          <cell r="H620">
            <v>7685</v>
          </cell>
          <cell r="I620">
            <v>14857</v>
          </cell>
          <cell r="J620">
            <v>1094</v>
          </cell>
          <cell r="K620">
            <v>32274</v>
          </cell>
          <cell r="L620"/>
          <cell r="M620">
            <v>290</v>
          </cell>
          <cell r="N620">
            <v>0</v>
          </cell>
          <cell r="O620">
            <v>531</v>
          </cell>
          <cell r="P620">
            <v>821</v>
          </cell>
          <cell r="Q620"/>
          <cell r="R620">
            <v>15552</v>
          </cell>
          <cell r="S620">
            <v>2111</v>
          </cell>
          <cell r="T620">
            <v>17663</v>
          </cell>
        </row>
        <row r="621">
          <cell r="A621">
            <v>96641</v>
          </cell>
          <cell r="B621" t="str">
            <v xml:space="preserve"> CONWAY</v>
          </cell>
          <cell r="C621">
            <v>3.2100000000000001E-5</v>
          </cell>
          <cell r="D621">
            <v>3.2199999999999997E-5</v>
          </cell>
          <cell r="E621">
            <v>76152</v>
          </cell>
          <cell r="F621" t="str">
            <v xml:space="preserve"> </v>
          </cell>
          <cell r="G621">
            <v>11748</v>
          </cell>
          <cell r="H621">
            <v>10453</v>
          </cell>
          <cell r="I621">
            <v>20208</v>
          </cell>
          <cell r="J621">
            <v>14432</v>
          </cell>
          <cell r="K621">
            <v>56841</v>
          </cell>
          <cell r="L621"/>
          <cell r="M621">
            <v>394</v>
          </cell>
          <cell r="N621">
            <v>0</v>
          </cell>
          <cell r="O621">
            <v>0</v>
          </cell>
          <cell r="P621">
            <v>394</v>
          </cell>
          <cell r="Q621"/>
          <cell r="R621">
            <v>21153</v>
          </cell>
          <cell r="S621">
            <v>7161</v>
          </cell>
          <cell r="T621">
            <v>28314</v>
          </cell>
        </row>
        <row r="622">
          <cell r="A622">
            <v>96651</v>
          </cell>
          <cell r="B622" t="str">
            <v xml:space="preserve"> GASTON</v>
          </cell>
          <cell r="C622">
            <v>1.9400000000000001E-5</v>
          </cell>
          <cell r="D622">
            <v>1.7399999999999999E-5</v>
          </cell>
          <cell r="E622">
            <v>46023</v>
          </cell>
          <cell r="F622" t="str">
            <v xml:space="preserve"> </v>
          </cell>
          <cell r="G622">
            <v>7100</v>
          </cell>
          <cell r="H622">
            <v>6317</v>
          </cell>
          <cell r="I622">
            <v>12213</v>
          </cell>
          <cell r="J622">
            <v>2918</v>
          </cell>
          <cell r="K622">
            <v>28548</v>
          </cell>
          <cell r="L622"/>
          <cell r="M622">
            <v>238</v>
          </cell>
          <cell r="N622">
            <v>0</v>
          </cell>
          <cell r="O622">
            <v>392</v>
          </cell>
          <cell r="P622">
            <v>630</v>
          </cell>
          <cell r="Q622"/>
          <cell r="R622">
            <v>12784</v>
          </cell>
          <cell r="S622">
            <v>12</v>
          </cell>
          <cell r="T622">
            <v>12796</v>
          </cell>
        </row>
        <row r="623">
          <cell r="A623">
            <v>96661</v>
          </cell>
          <cell r="B623" t="str">
            <v xml:space="preserve"> JACKSON</v>
          </cell>
          <cell r="C623">
            <v>1.9000000000000001E-5</v>
          </cell>
          <cell r="D623">
            <v>1.9700000000000001E-5</v>
          </cell>
          <cell r="E623">
            <v>45074</v>
          </cell>
          <cell r="F623" t="str">
            <v xml:space="preserve"> </v>
          </cell>
          <cell r="G623">
            <v>6954</v>
          </cell>
          <cell r="H623">
            <v>6187</v>
          </cell>
          <cell r="I623">
            <v>11961</v>
          </cell>
          <cell r="J623">
            <v>3696</v>
          </cell>
          <cell r="K623">
            <v>28798</v>
          </cell>
          <cell r="L623"/>
          <cell r="M623">
            <v>233</v>
          </cell>
          <cell r="N623">
            <v>0</v>
          </cell>
          <cell r="O623">
            <v>0</v>
          </cell>
          <cell r="P623">
            <v>233</v>
          </cell>
          <cell r="Q623"/>
          <cell r="R623">
            <v>12520</v>
          </cell>
          <cell r="S623">
            <v>2708</v>
          </cell>
          <cell r="T623">
            <v>15228</v>
          </cell>
        </row>
        <row r="624">
          <cell r="A624">
            <v>96671</v>
          </cell>
          <cell r="B624" t="str">
            <v xml:space="preserve"> SEVERN</v>
          </cell>
          <cell r="C624">
            <v>1.3900000000000001E-5</v>
          </cell>
          <cell r="D624">
            <v>1.49E-5</v>
          </cell>
          <cell r="E624">
            <v>32976</v>
          </cell>
          <cell r="F624" t="str">
            <v xml:space="preserve"> </v>
          </cell>
          <cell r="G624">
            <v>5087</v>
          </cell>
          <cell r="H624">
            <v>4527</v>
          </cell>
          <cell r="I624">
            <v>8750</v>
          </cell>
          <cell r="J624">
            <v>5736</v>
          </cell>
          <cell r="K624">
            <v>24100</v>
          </cell>
          <cell r="L624"/>
          <cell r="M624">
            <v>171</v>
          </cell>
          <cell r="N624">
            <v>0</v>
          </cell>
          <cell r="O624">
            <v>0</v>
          </cell>
          <cell r="P624">
            <v>171</v>
          </cell>
          <cell r="Q624"/>
          <cell r="R624">
            <v>9160</v>
          </cell>
          <cell r="S624">
            <v>3860</v>
          </cell>
          <cell r="T624">
            <v>13020</v>
          </cell>
        </row>
        <row r="625">
          <cell r="A625">
            <v>96681</v>
          </cell>
          <cell r="B625" t="str">
            <v xml:space="preserve"> SEABOARD</v>
          </cell>
          <cell r="C625">
            <v>2.0599999999999999E-5</v>
          </cell>
          <cell r="D625">
            <v>1.7499999999999998E-5</v>
          </cell>
          <cell r="E625">
            <v>48870</v>
          </cell>
          <cell r="F625" t="str">
            <v xml:space="preserve"> </v>
          </cell>
          <cell r="G625">
            <v>7540</v>
          </cell>
          <cell r="H625">
            <v>6709</v>
          </cell>
          <cell r="I625">
            <v>12968</v>
          </cell>
          <cell r="J625">
            <v>13276</v>
          </cell>
          <cell r="K625">
            <v>40493</v>
          </cell>
          <cell r="L625"/>
          <cell r="M625">
            <v>253</v>
          </cell>
          <cell r="N625">
            <v>0</v>
          </cell>
          <cell r="O625">
            <v>6212</v>
          </cell>
          <cell r="P625">
            <v>6465</v>
          </cell>
          <cell r="Q625"/>
          <cell r="R625">
            <v>13575</v>
          </cell>
          <cell r="S625">
            <v>4774</v>
          </cell>
          <cell r="T625">
            <v>18349</v>
          </cell>
        </row>
        <row r="626">
          <cell r="A626">
            <v>96701</v>
          </cell>
          <cell r="B626" t="str">
            <v>ONSLOW COUNTY</v>
          </cell>
          <cell r="C626">
            <v>8.5999000000000006E-3</v>
          </cell>
          <cell r="D626">
            <v>8.4206000000000003E-3</v>
          </cell>
          <cell r="E626">
            <v>20401904</v>
          </cell>
          <cell r="F626" t="str">
            <v xml:space="preserve"> </v>
          </cell>
          <cell r="G626">
            <v>3147529</v>
          </cell>
          <cell r="H626">
            <v>2800575</v>
          </cell>
          <cell r="I626">
            <v>5413878</v>
          </cell>
          <cell r="J626">
            <v>278573</v>
          </cell>
          <cell r="K626">
            <v>11640555</v>
          </cell>
          <cell r="L626"/>
          <cell r="M626">
            <v>105615</v>
          </cell>
          <cell r="N626">
            <v>0</v>
          </cell>
          <cell r="O626">
            <v>118719</v>
          </cell>
          <cell r="P626">
            <v>224334</v>
          </cell>
          <cell r="Q626"/>
          <cell r="R626">
            <v>5667102</v>
          </cell>
          <cell r="S626">
            <v>115986</v>
          </cell>
          <cell r="T626">
            <v>5783088</v>
          </cell>
        </row>
        <row r="627">
          <cell r="A627">
            <v>96704</v>
          </cell>
          <cell r="B627" t="str">
            <v>ONSLOW COUNTY ABC BOARD</v>
          </cell>
          <cell r="C627">
            <v>1.7550000000000001E-4</v>
          </cell>
          <cell r="D627">
            <v>1.7259999999999999E-4</v>
          </cell>
          <cell r="E627">
            <v>416346</v>
          </cell>
          <cell r="F627" t="str">
            <v xml:space="preserve"> </v>
          </cell>
          <cell r="G627">
            <v>64232</v>
          </cell>
          <cell r="H627">
            <v>57152</v>
          </cell>
          <cell r="I627">
            <v>110482</v>
          </cell>
          <cell r="J627">
            <v>38151</v>
          </cell>
          <cell r="K627">
            <v>270017</v>
          </cell>
          <cell r="L627"/>
          <cell r="M627">
            <v>2155</v>
          </cell>
          <cell r="N627">
            <v>0</v>
          </cell>
          <cell r="O627">
            <v>0</v>
          </cell>
          <cell r="P627">
            <v>2155</v>
          </cell>
          <cell r="Q627"/>
          <cell r="R627">
            <v>115650</v>
          </cell>
          <cell r="S627">
            <v>14330</v>
          </cell>
          <cell r="T627">
            <v>129980</v>
          </cell>
        </row>
        <row r="628">
          <cell r="A628">
            <v>96708</v>
          </cell>
          <cell r="B628" t="str">
            <v>ONSLOW WATER &amp; SEWER AUTHORITY</v>
          </cell>
          <cell r="C628">
            <v>8.8579999999999996E-4</v>
          </cell>
          <cell r="D628">
            <v>9.031E-4</v>
          </cell>
          <cell r="E628">
            <v>2101421</v>
          </cell>
          <cell r="F628" t="str">
            <v xml:space="preserve"> </v>
          </cell>
          <cell r="G628">
            <v>324199</v>
          </cell>
          <cell r="H628">
            <v>288462</v>
          </cell>
          <cell r="I628">
            <v>557636</v>
          </cell>
          <cell r="J628">
            <v>83209</v>
          </cell>
          <cell r="K628">
            <v>1253506</v>
          </cell>
          <cell r="L628"/>
          <cell r="M628">
            <v>10879</v>
          </cell>
          <cell r="N628">
            <v>0</v>
          </cell>
          <cell r="O628">
            <v>12940</v>
          </cell>
          <cell r="P628">
            <v>23819</v>
          </cell>
          <cell r="Q628"/>
          <cell r="R628">
            <v>583718</v>
          </cell>
          <cell r="S628">
            <v>35387</v>
          </cell>
          <cell r="T628">
            <v>619105</v>
          </cell>
        </row>
        <row r="629">
          <cell r="A629">
            <v>96711</v>
          </cell>
          <cell r="B629" t="str">
            <v>CITY OF JACKSONVILLE</v>
          </cell>
          <cell r="C629">
            <v>3.9007999999999998E-3</v>
          </cell>
          <cell r="D629">
            <v>4.0464000000000003E-3</v>
          </cell>
          <cell r="E629">
            <v>9254032</v>
          </cell>
          <cell r="F629" t="str">
            <v xml:space="preserve"> </v>
          </cell>
          <cell r="G629">
            <v>1427677</v>
          </cell>
          <cell r="H629">
            <v>1270303</v>
          </cell>
          <cell r="I629">
            <v>2455663</v>
          </cell>
          <cell r="J629">
            <v>0</v>
          </cell>
          <cell r="K629">
            <v>5153643</v>
          </cell>
          <cell r="L629"/>
          <cell r="M629">
            <v>47906</v>
          </cell>
          <cell r="N629">
            <v>0</v>
          </cell>
          <cell r="O629">
            <v>409014</v>
          </cell>
          <cell r="P629">
            <v>456920</v>
          </cell>
          <cell r="Q629"/>
          <cell r="R629">
            <v>2570522</v>
          </cell>
          <cell r="S629">
            <v>-194188</v>
          </cell>
          <cell r="T629">
            <v>2376334</v>
          </cell>
        </row>
        <row r="630">
          <cell r="A630">
            <v>96721</v>
          </cell>
          <cell r="B630" t="str">
            <v xml:space="preserve"> SWANSBORO</v>
          </cell>
          <cell r="C630">
            <v>2.1790000000000001E-4</v>
          </cell>
          <cell r="D630">
            <v>2.1379999999999999E-4</v>
          </cell>
          <cell r="E630">
            <v>516933</v>
          </cell>
          <cell r="F630" t="str">
            <v xml:space="preserve"> </v>
          </cell>
          <cell r="G630">
            <v>79751</v>
          </cell>
          <cell r="H630">
            <v>70959</v>
          </cell>
          <cell r="I630">
            <v>137174</v>
          </cell>
          <cell r="J630">
            <v>8328</v>
          </cell>
          <cell r="K630">
            <v>296212</v>
          </cell>
          <cell r="L630"/>
          <cell r="M630">
            <v>2676</v>
          </cell>
          <cell r="N630">
            <v>0</v>
          </cell>
          <cell r="O630">
            <v>16609</v>
          </cell>
          <cell r="P630">
            <v>19285</v>
          </cell>
          <cell r="Q630"/>
          <cell r="R630">
            <v>143590</v>
          </cell>
          <cell r="S630">
            <v>-991</v>
          </cell>
          <cell r="T630">
            <v>142599</v>
          </cell>
        </row>
        <row r="631">
          <cell r="A631">
            <v>96731</v>
          </cell>
          <cell r="B631" t="str">
            <v xml:space="preserve"> HOLLY RIDGE</v>
          </cell>
          <cell r="C631">
            <v>1.7019999999999999E-4</v>
          </cell>
          <cell r="D631">
            <v>1.697E-4</v>
          </cell>
          <cell r="E631">
            <v>403773</v>
          </cell>
          <cell r="F631" t="str">
            <v xml:space="preserve"> </v>
          </cell>
          <cell r="G631">
            <v>62293</v>
          </cell>
          <cell r="H631">
            <v>55426</v>
          </cell>
          <cell r="I631">
            <v>107146</v>
          </cell>
          <cell r="J631">
            <v>13647</v>
          </cell>
          <cell r="K631">
            <v>238512</v>
          </cell>
          <cell r="L631"/>
          <cell r="M631">
            <v>2090</v>
          </cell>
          <cell r="N631">
            <v>0</v>
          </cell>
          <cell r="O631">
            <v>1770</v>
          </cell>
          <cell r="P631">
            <v>3860</v>
          </cell>
          <cell r="Q631"/>
          <cell r="R631">
            <v>112157</v>
          </cell>
          <cell r="S631">
            <v>6857</v>
          </cell>
          <cell r="T631">
            <v>119014</v>
          </cell>
        </row>
        <row r="632">
          <cell r="A632">
            <v>96733</v>
          </cell>
          <cell r="B632" t="str">
            <v>HOLLY RIDGE HOUSING AUTHORITY</v>
          </cell>
          <cell r="C632">
            <v>1.1800000000000001E-5</v>
          </cell>
          <cell r="D632">
            <v>7.3000000000000004E-6</v>
          </cell>
          <cell r="E632">
            <v>27994</v>
          </cell>
          <cell r="F632" t="str">
            <v xml:space="preserve"> </v>
          </cell>
          <cell r="G632">
            <v>4319</v>
          </cell>
          <cell r="H632">
            <v>3843</v>
          </cell>
          <cell r="I632">
            <v>7428</v>
          </cell>
          <cell r="J632">
            <v>4117</v>
          </cell>
          <cell r="K632">
            <v>19707</v>
          </cell>
          <cell r="L632"/>
          <cell r="M632">
            <v>145</v>
          </cell>
          <cell r="N632">
            <v>0</v>
          </cell>
          <cell r="O632">
            <v>705</v>
          </cell>
          <cell r="P632">
            <v>850</v>
          </cell>
          <cell r="Q632"/>
          <cell r="R632">
            <v>7776</v>
          </cell>
          <cell r="S632">
            <v>2113</v>
          </cell>
          <cell r="T632">
            <v>9889</v>
          </cell>
        </row>
        <row r="633">
          <cell r="A633">
            <v>96741</v>
          </cell>
          <cell r="B633" t="str">
            <v xml:space="preserve"> RICHLANDS</v>
          </cell>
          <cell r="C633">
            <v>9.8900000000000005E-5</v>
          </cell>
          <cell r="D633">
            <v>9.0799999999999998E-5</v>
          </cell>
          <cell r="E633">
            <v>234625</v>
          </cell>
          <cell r="F633" t="str">
            <v xml:space="preserve"> </v>
          </cell>
          <cell r="G633">
            <v>36197</v>
          </cell>
          <cell r="H633">
            <v>32207</v>
          </cell>
          <cell r="I633">
            <v>62260</v>
          </cell>
          <cell r="J633">
            <v>4092</v>
          </cell>
          <cell r="K633">
            <v>134756</v>
          </cell>
          <cell r="L633"/>
          <cell r="M633">
            <v>1215</v>
          </cell>
          <cell r="N633">
            <v>0</v>
          </cell>
          <cell r="O633">
            <v>1693</v>
          </cell>
          <cell r="P633">
            <v>2908</v>
          </cell>
          <cell r="Q633"/>
          <cell r="R633">
            <v>65172</v>
          </cell>
          <cell r="S633">
            <v>2903</v>
          </cell>
          <cell r="T633">
            <v>68075</v>
          </cell>
        </row>
        <row r="634">
          <cell r="A634">
            <v>96751</v>
          </cell>
          <cell r="B634" t="str">
            <v xml:space="preserve"> N TOPSAIL BEACH</v>
          </cell>
          <cell r="C634">
            <v>2.7920000000000001E-4</v>
          </cell>
          <cell r="D634">
            <v>2.5809999999999999E-4</v>
          </cell>
          <cell r="E634">
            <v>662358</v>
          </cell>
          <cell r="F634" t="str">
            <v xml:space="preserve"> </v>
          </cell>
          <cell r="G634">
            <v>102186</v>
          </cell>
          <cell r="H634">
            <v>90922</v>
          </cell>
          <cell r="I634">
            <v>175764</v>
          </cell>
          <cell r="J634">
            <v>1710</v>
          </cell>
          <cell r="K634">
            <v>370582</v>
          </cell>
          <cell r="L634"/>
          <cell r="M634">
            <v>3429</v>
          </cell>
          <cell r="N634">
            <v>0</v>
          </cell>
          <cell r="O634">
            <v>19725</v>
          </cell>
          <cell r="P634">
            <v>23154</v>
          </cell>
          <cell r="Q634"/>
          <cell r="R634">
            <v>183985</v>
          </cell>
          <cell r="S634">
            <v>-418</v>
          </cell>
          <cell r="T634">
            <v>183567</v>
          </cell>
        </row>
        <row r="635">
          <cell r="A635">
            <v>96801</v>
          </cell>
          <cell r="B635" t="str">
            <v>ORANGE COUNTY</v>
          </cell>
          <cell r="C635">
            <v>7.6252999999999998E-3</v>
          </cell>
          <cell r="D635">
            <v>7.5814000000000003E-3</v>
          </cell>
          <cell r="E635">
            <v>18089819</v>
          </cell>
          <cell r="F635" t="str">
            <v xml:space="preserve"> </v>
          </cell>
          <cell r="G635">
            <v>2790829</v>
          </cell>
          <cell r="H635">
            <v>2483194</v>
          </cell>
          <cell r="I635">
            <v>4800340</v>
          </cell>
          <cell r="J635">
            <v>244257</v>
          </cell>
          <cell r="K635">
            <v>10318620</v>
          </cell>
          <cell r="L635"/>
          <cell r="M635">
            <v>93646</v>
          </cell>
          <cell r="N635">
            <v>0</v>
          </cell>
          <cell r="O635">
            <v>54881</v>
          </cell>
          <cell r="P635">
            <v>148527</v>
          </cell>
          <cell r="Q635"/>
          <cell r="R635">
            <v>5024867</v>
          </cell>
          <cell r="S635">
            <v>234375</v>
          </cell>
          <cell r="T635">
            <v>5259242</v>
          </cell>
        </row>
        <row r="636">
          <cell r="A636">
            <v>96804</v>
          </cell>
          <cell r="B636" t="str">
            <v>ORANGE COUNTY ABC BOARD</v>
          </cell>
          <cell r="C636">
            <v>2.5539999999999997E-4</v>
          </cell>
          <cell r="D636">
            <v>2.654E-4</v>
          </cell>
          <cell r="E636">
            <v>605896</v>
          </cell>
          <cell r="F636" t="str">
            <v xml:space="preserve"> </v>
          </cell>
          <cell r="G636">
            <v>93475</v>
          </cell>
          <cell r="H636">
            <v>83171</v>
          </cell>
          <cell r="I636">
            <v>160781</v>
          </cell>
          <cell r="J636">
            <v>4075</v>
          </cell>
          <cell r="K636">
            <v>341502</v>
          </cell>
          <cell r="L636"/>
          <cell r="M636">
            <v>3137</v>
          </cell>
          <cell r="N636">
            <v>0</v>
          </cell>
          <cell r="O636">
            <v>20354</v>
          </cell>
          <cell r="P636">
            <v>23491</v>
          </cell>
          <cell r="Q636"/>
          <cell r="R636">
            <v>168302</v>
          </cell>
          <cell r="S636">
            <v>-2456</v>
          </cell>
          <cell r="T636">
            <v>165846</v>
          </cell>
        </row>
        <row r="637">
          <cell r="A637">
            <v>96808</v>
          </cell>
          <cell r="B637" t="str">
            <v>ORANGE WATER AND SEWER AUTHORITY</v>
          </cell>
          <cell r="C637">
            <v>1.2572E-3</v>
          </cell>
          <cell r="D637">
            <v>1.2711000000000001E-3</v>
          </cell>
          <cell r="E637">
            <v>2982508</v>
          </cell>
          <cell r="F637" t="str">
            <v xml:space="preserve"> </v>
          </cell>
          <cell r="G637">
            <v>460130</v>
          </cell>
          <cell r="H637">
            <v>409410</v>
          </cell>
          <cell r="I637">
            <v>791443</v>
          </cell>
          <cell r="J637">
            <v>18089</v>
          </cell>
          <cell r="K637">
            <v>1679072</v>
          </cell>
          <cell r="L637"/>
          <cell r="M637">
            <v>15440</v>
          </cell>
          <cell r="N637">
            <v>0</v>
          </cell>
          <cell r="O637">
            <v>15050</v>
          </cell>
          <cell r="P637">
            <v>30490</v>
          </cell>
          <cell r="Q637"/>
          <cell r="R637">
            <v>828461</v>
          </cell>
          <cell r="S637">
            <v>20446</v>
          </cell>
          <cell r="T637">
            <v>848907</v>
          </cell>
        </row>
        <row r="638">
          <cell r="A638">
            <v>96811</v>
          </cell>
          <cell r="B638" t="str">
            <v xml:space="preserve"> CHAPEL HILL</v>
          </cell>
          <cell r="C638">
            <v>6.1249E-3</v>
          </cell>
          <cell r="D638">
            <v>6.0096999999999998E-3</v>
          </cell>
          <cell r="E638">
            <v>14530358</v>
          </cell>
          <cell r="F638" t="str">
            <v xml:space="preserve"> </v>
          </cell>
          <cell r="G638">
            <v>2241689</v>
          </cell>
          <cell r="H638">
            <v>1994586</v>
          </cell>
          <cell r="I638">
            <v>3855796</v>
          </cell>
          <cell r="J638">
            <v>28059</v>
          </cell>
          <cell r="K638">
            <v>8120130</v>
          </cell>
          <cell r="L638"/>
          <cell r="M638">
            <v>75220</v>
          </cell>
          <cell r="N638">
            <v>0</v>
          </cell>
          <cell r="O638">
            <v>73994</v>
          </cell>
          <cell r="P638">
            <v>149214</v>
          </cell>
          <cell r="Q638"/>
          <cell r="R638">
            <v>4036144</v>
          </cell>
          <cell r="S638">
            <v>-36406</v>
          </cell>
          <cell r="T638">
            <v>3999738</v>
          </cell>
        </row>
        <row r="639">
          <cell r="A639">
            <v>96821</v>
          </cell>
          <cell r="B639" t="str">
            <v xml:space="preserve"> CARRBORO</v>
          </cell>
          <cell r="C639">
            <v>1.1529999999999999E-3</v>
          </cell>
          <cell r="D639">
            <v>1.3247000000000001E-3</v>
          </cell>
          <cell r="E639">
            <v>2735310</v>
          </cell>
          <cell r="F639" t="str">
            <v xml:space="preserve"> </v>
          </cell>
          <cell r="G639">
            <v>421993</v>
          </cell>
          <cell r="H639">
            <v>375477</v>
          </cell>
          <cell r="I639">
            <v>725846</v>
          </cell>
          <cell r="J639">
            <v>0</v>
          </cell>
          <cell r="K639">
            <v>1523316</v>
          </cell>
          <cell r="L639"/>
          <cell r="M639">
            <v>14160</v>
          </cell>
          <cell r="N639">
            <v>0</v>
          </cell>
          <cell r="O639">
            <v>169149</v>
          </cell>
          <cell r="P639">
            <v>183309</v>
          </cell>
          <cell r="Q639"/>
          <cell r="R639">
            <v>759796</v>
          </cell>
          <cell r="S639">
            <v>-77119</v>
          </cell>
          <cell r="T639">
            <v>682677</v>
          </cell>
        </row>
        <row r="640">
          <cell r="A640">
            <v>96831</v>
          </cell>
          <cell r="B640" t="str">
            <v xml:space="preserve"> HILLSBOROUGH</v>
          </cell>
          <cell r="C640">
            <v>9.3130000000000003E-4</v>
          </cell>
          <cell r="D640">
            <v>9.1929999999999996E-4</v>
          </cell>
          <cell r="E640">
            <v>2209362</v>
          </cell>
          <cell r="F640" t="str">
            <v xml:space="preserve"> </v>
          </cell>
          <cell r="G640">
            <v>340852</v>
          </cell>
          <cell r="H640">
            <v>303280</v>
          </cell>
          <cell r="I640">
            <v>586279</v>
          </cell>
          <cell r="J640">
            <v>18400</v>
          </cell>
          <cell r="K640">
            <v>1248811</v>
          </cell>
          <cell r="L640"/>
          <cell r="M640">
            <v>11437</v>
          </cell>
          <cell r="N640">
            <v>0</v>
          </cell>
          <cell r="O640">
            <v>5806</v>
          </cell>
          <cell r="P640">
            <v>17243</v>
          </cell>
          <cell r="Q640"/>
          <cell r="R640">
            <v>613702</v>
          </cell>
          <cell r="S640">
            <v>17873</v>
          </cell>
          <cell r="T640">
            <v>631575</v>
          </cell>
        </row>
        <row r="641">
          <cell r="A641">
            <v>96901</v>
          </cell>
          <cell r="B641" t="str">
            <v>PAMLICO COUNTY</v>
          </cell>
          <cell r="C641">
            <v>9.1089999999999997E-4</v>
          </cell>
          <cell r="D641">
            <v>8.9820000000000004E-4</v>
          </cell>
          <cell r="E641">
            <v>2160966</v>
          </cell>
          <cell r="F641" t="str">
            <v xml:space="preserve"> </v>
          </cell>
          <cell r="G641">
            <v>333386</v>
          </cell>
          <cell r="H641">
            <v>296636</v>
          </cell>
          <cell r="I641">
            <v>573437</v>
          </cell>
          <cell r="J641">
            <v>68835</v>
          </cell>
          <cell r="K641">
            <v>1272294</v>
          </cell>
          <cell r="L641"/>
          <cell r="M641">
            <v>11187</v>
          </cell>
          <cell r="N641">
            <v>0</v>
          </cell>
          <cell r="O641">
            <v>0</v>
          </cell>
          <cell r="P641">
            <v>11187</v>
          </cell>
          <cell r="Q641"/>
          <cell r="R641">
            <v>600259</v>
          </cell>
          <cell r="S641">
            <v>31901</v>
          </cell>
          <cell r="T641">
            <v>632160</v>
          </cell>
        </row>
        <row r="642">
          <cell r="A642">
            <v>96911</v>
          </cell>
          <cell r="B642" t="str">
            <v xml:space="preserve"> BAYBORO</v>
          </cell>
          <cell r="C642">
            <v>2.3E-6</v>
          </cell>
          <cell r="D642">
            <v>2.3999999999999999E-6</v>
          </cell>
          <cell r="E642">
            <v>5456</v>
          </cell>
          <cell r="F642" t="str">
            <v xml:space="preserve"> </v>
          </cell>
          <cell r="G642">
            <v>842</v>
          </cell>
          <cell r="H642">
            <v>749</v>
          </cell>
          <cell r="I642">
            <v>1448</v>
          </cell>
          <cell r="J642">
            <v>1923</v>
          </cell>
          <cell r="K642">
            <v>4962</v>
          </cell>
          <cell r="L642"/>
          <cell r="M642">
            <v>28</v>
          </cell>
          <cell r="N642">
            <v>0</v>
          </cell>
          <cell r="O642">
            <v>1941</v>
          </cell>
          <cell r="P642">
            <v>1969</v>
          </cell>
          <cell r="Q642"/>
          <cell r="R642">
            <v>1516</v>
          </cell>
          <cell r="S642">
            <v>764</v>
          </cell>
          <cell r="T642">
            <v>2280</v>
          </cell>
        </row>
        <row r="643">
          <cell r="A643">
            <v>96912</v>
          </cell>
          <cell r="B643" t="str">
            <v xml:space="preserve"> ORIENTAL</v>
          </cell>
          <cell r="C643">
            <v>6.8100000000000002E-5</v>
          </cell>
          <cell r="D643">
            <v>6.0099999999999997E-5</v>
          </cell>
          <cell r="E643">
            <v>161556</v>
          </cell>
          <cell r="F643" t="str">
            <v xml:space="preserve"> </v>
          </cell>
          <cell r="G643">
            <v>24924</v>
          </cell>
          <cell r="H643">
            <v>22177</v>
          </cell>
          <cell r="I643">
            <v>42871</v>
          </cell>
          <cell r="J643">
            <v>1472</v>
          </cell>
          <cell r="K643">
            <v>91444</v>
          </cell>
          <cell r="L643"/>
          <cell r="M643">
            <v>836</v>
          </cell>
          <cell r="N643">
            <v>0</v>
          </cell>
          <cell r="O643">
            <v>2729</v>
          </cell>
          <cell r="P643">
            <v>3565</v>
          </cell>
          <cell r="Q643"/>
          <cell r="R643">
            <v>44876</v>
          </cell>
          <cell r="S643">
            <v>2396</v>
          </cell>
          <cell r="T643">
            <v>47272</v>
          </cell>
        </row>
        <row r="644">
          <cell r="A644">
            <v>96918</v>
          </cell>
          <cell r="B644" t="str">
            <v>BAY RIVER METRO SEWERAGE DISTRICT</v>
          </cell>
          <cell r="C644">
            <v>3.2299999999999999E-5</v>
          </cell>
          <cell r="D644">
            <v>3.8000000000000002E-5</v>
          </cell>
          <cell r="E644">
            <v>76627</v>
          </cell>
          <cell r="F644" t="str">
            <v xml:space="preserve"> </v>
          </cell>
          <cell r="G644">
            <v>11822</v>
          </cell>
          <cell r="H644">
            <v>10519</v>
          </cell>
          <cell r="I644">
            <v>20334</v>
          </cell>
          <cell r="J644">
            <v>1798</v>
          </cell>
          <cell r="K644">
            <v>44473</v>
          </cell>
          <cell r="L644"/>
          <cell r="M644">
            <v>397</v>
          </cell>
          <cell r="N644">
            <v>0</v>
          </cell>
          <cell r="O644">
            <v>3897</v>
          </cell>
          <cell r="P644">
            <v>4294</v>
          </cell>
          <cell r="Q644"/>
          <cell r="R644">
            <v>21285</v>
          </cell>
          <cell r="S644">
            <v>4776</v>
          </cell>
          <cell r="T644">
            <v>26061</v>
          </cell>
        </row>
        <row r="645">
          <cell r="A645">
            <v>97001</v>
          </cell>
          <cell r="B645" t="str">
            <v>PASQUOTANK COUNTY</v>
          </cell>
          <cell r="C645">
            <v>1.3370999999999999E-3</v>
          </cell>
          <cell r="D645">
            <v>1.3778E-3</v>
          </cell>
          <cell r="E645">
            <v>3172058</v>
          </cell>
          <cell r="F645" t="str">
            <v xml:space="preserve"> </v>
          </cell>
          <cell r="G645">
            <v>489373</v>
          </cell>
          <cell r="H645">
            <v>435430</v>
          </cell>
          <cell r="I645">
            <v>841742</v>
          </cell>
          <cell r="J645">
            <v>142216</v>
          </cell>
          <cell r="K645">
            <v>1908761</v>
          </cell>
          <cell r="L645"/>
          <cell r="M645">
            <v>16421</v>
          </cell>
          <cell r="N645">
            <v>0</v>
          </cell>
          <cell r="O645">
            <v>0</v>
          </cell>
          <cell r="P645">
            <v>16421</v>
          </cell>
          <cell r="Q645"/>
          <cell r="R645">
            <v>881113</v>
          </cell>
          <cell r="S645">
            <v>46843</v>
          </cell>
          <cell r="T645">
            <v>927956</v>
          </cell>
        </row>
        <row r="646">
          <cell r="A646">
            <v>97002</v>
          </cell>
          <cell r="B646" t="str">
            <v>PASQUOTANK-CAMDEN AMBULANCE SERVICE</v>
          </cell>
          <cell r="C646">
            <v>4.8569999999999999E-4</v>
          </cell>
          <cell r="D646">
            <v>5.2610000000000005E-4</v>
          </cell>
          <cell r="E646">
            <v>1152247</v>
          </cell>
          <cell r="F646" t="str">
            <v xml:space="preserve"> </v>
          </cell>
          <cell r="G646">
            <v>177764</v>
          </cell>
          <cell r="H646">
            <v>158169</v>
          </cell>
          <cell r="I646">
            <v>305762</v>
          </cell>
          <cell r="J646">
            <v>5136</v>
          </cell>
          <cell r="K646">
            <v>646831</v>
          </cell>
          <cell r="L646"/>
          <cell r="M646">
            <v>5965</v>
          </cell>
          <cell r="N646">
            <v>0</v>
          </cell>
          <cell r="O646">
            <v>75548</v>
          </cell>
          <cell r="P646">
            <v>81513</v>
          </cell>
          <cell r="Q646"/>
          <cell r="R646">
            <v>320063</v>
          </cell>
          <cell r="S646">
            <v>-7630</v>
          </cell>
          <cell r="T646">
            <v>312433</v>
          </cell>
        </row>
        <row r="647">
          <cell r="A647">
            <v>97004</v>
          </cell>
          <cell r="B647" t="str">
            <v>PASQUOTANK CO ABC BOARD</v>
          </cell>
          <cell r="C647">
            <v>8.4999999999999999E-6</v>
          </cell>
          <cell r="D647">
            <v>9.7999999999999993E-6</v>
          </cell>
          <cell r="E647">
            <v>20165</v>
          </cell>
          <cell r="F647" t="str">
            <v xml:space="preserve"> </v>
          </cell>
          <cell r="G647">
            <v>3111</v>
          </cell>
          <cell r="H647">
            <v>2768</v>
          </cell>
          <cell r="I647">
            <v>5351</v>
          </cell>
          <cell r="J647">
            <v>5157</v>
          </cell>
          <cell r="K647">
            <v>16387</v>
          </cell>
          <cell r="L647"/>
          <cell r="M647">
            <v>104</v>
          </cell>
          <cell r="N647">
            <v>0</v>
          </cell>
          <cell r="O647">
            <v>0</v>
          </cell>
          <cell r="P647">
            <v>104</v>
          </cell>
          <cell r="Q647"/>
          <cell r="R647">
            <v>5601</v>
          </cell>
          <cell r="S647">
            <v>2552</v>
          </cell>
          <cell r="T647">
            <v>8153</v>
          </cell>
        </row>
        <row r="648">
          <cell r="A648">
            <v>97005</v>
          </cell>
          <cell r="B648" t="str">
            <v>EAST ALBEMARLE REGIONAL LIBRARY</v>
          </cell>
          <cell r="C648">
            <v>2.7500000000000001E-5</v>
          </cell>
          <cell r="D648">
            <v>2.83E-5</v>
          </cell>
          <cell r="E648">
            <v>65239</v>
          </cell>
          <cell r="F648" t="str">
            <v xml:space="preserve"> </v>
          </cell>
          <cell r="G648">
            <v>10065</v>
          </cell>
          <cell r="H648">
            <v>8955</v>
          </cell>
          <cell r="I648">
            <v>17312</v>
          </cell>
          <cell r="J648">
            <v>9886</v>
          </cell>
          <cell r="K648">
            <v>46218</v>
          </cell>
          <cell r="L648"/>
          <cell r="M648">
            <v>338</v>
          </cell>
          <cell r="N648">
            <v>0</v>
          </cell>
          <cell r="O648">
            <v>702</v>
          </cell>
          <cell r="P648">
            <v>1040</v>
          </cell>
          <cell r="Q648"/>
          <cell r="R648">
            <v>18122</v>
          </cell>
          <cell r="S648">
            <v>3372</v>
          </cell>
          <cell r="T648">
            <v>21494</v>
          </cell>
        </row>
        <row r="649">
          <cell r="A649">
            <v>97008</v>
          </cell>
          <cell r="B649" t="str">
            <v>ALBEMARLE DISTRICT JAIL COMMISSION</v>
          </cell>
          <cell r="C649">
            <v>2.766E-4</v>
          </cell>
          <cell r="D649">
            <v>2.8659999999999997E-4</v>
          </cell>
          <cell r="E649">
            <v>656190</v>
          </cell>
          <cell r="F649" t="str">
            <v xml:space="preserve"> </v>
          </cell>
          <cell r="G649">
            <v>101234</v>
          </cell>
          <cell r="H649">
            <v>90075</v>
          </cell>
          <cell r="I649">
            <v>174127</v>
          </cell>
          <cell r="J649">
            <v>3810</v>
          </cell>
          <cell r="K649">
            <v>369246</v>
          </cell>
          <cell r="L649"/>
          <cell r="M649">
            <v>3397</v>
          </cell>
          <cell r="N649">
            <v>0</v>
          </cell>
          <cell r="O649">
            <v>5294</v>
          </cell>
          <cell r="P649">
            <v>8691</v>
          </cell>
          <cell r="Q649"/>
          <cell r="R649">
            <v>182272</v>
          </cell>
          <cell r="S649">
            <v>6191</v>
          </cell>
          <cell r="T649">
            <v>188463</v>
          </cell>
        </row>
        <row r="650">
          <cell r="A650">
            <v>97010</v>
          </cell>
          <cell r="B650" t="str">
            <v>ALBEMARLE HOSPITAL AUTHORITY</v>
          </cell>
          <cell r="C650">
            <v>0</v>
          </cell>
          <cell r="D650">
            <v>0</v>
          </cell>
          <cell r="E650">
            <v>0</v>
          </cell>
          <cell r="F650" t="str">
            <v xml:space="preserve"> </v>
          </cell>
          <cell r="G650">
            <v>0</v>
          </cell>
          <cell r="H650">
            <v>0</v>
          </cell>
          <cell r="I650">
            <v>0</v>
          </cell>
          <cell r="J650">
            <v>0</v>
          </cell>
          <cell r="K650">
            <v>0</v>
          </cell>
          <cell r="L650"/>
          <cell r="M650">
            <v>0</v>
          </cell>
          <cell r="N650">
            <v>0</v>
          </cell>
          <cell r="O650">
            <v>777787</v>
          </cell>
          <cell r="P650">
            <v>777787</v>
          </cell>
          <cell r="Q650"/>
          <cell r="R650">
            <v>0</v>
          </cell>
          <cell r="S650">
            <v>-1279115</v>
          </cell>
          <cell r="T650">
            <v>-1279115</v>
          </cell>
        </row>
        <row r="651">
          <cell r="A651">
            <v>97011</v>
          </cell>
          <cell r="B651" t="str">
            <v>ELIZABETH CITY</v>
          </cell>
          <cell r="C651">
            <v>1.9426999999999999E-3</v>
          </cell>
          <cell r="D651">
            <v>1.9166999999999999E-3</v>
          </cell>
          <cell r="E651">
            <v>4608749</v>
          </cell>
          <cell r="F651" t="str">
            <v xml:space="preserve"> </v>
          </cell>
          <cell r="G651">
            <v>711020</v>
          </cell>
          <cell r="H651">
            <v>632644</v>
          </cell>
          <cell r="I651">
            <v>1222984</v>
          </cell>
          <cell r="J651">
            <v>0</v>
          </cell>
          <cell r="K651">
            <v>2566648</v>
          </cell>
          <cell r="L651"/>
          <cell r="M651">
            <v>23858</v>
          </cell>
          <cell r="N651">
            <v>0</v>
          </cell>
          <cell r="O651">
            <v>61009</v>
          </cell>
          <cell r="P651">
            <v>84867</v>
          </cell>
          <cell r="Q651"/>
          <cell r="R651">
            <v>1280187</v>
          </cell>
          <cell r="S651">
            <v>-40429</v>
          </cell>
          <cell r="T651">
            <v>1239758</v>
          </cell>
        </row>
        <row r="652">
          <cell r="A652">
            <v>97012</v>
          </cell>
          <cell r="B652" t="str">
            <v>ELIZABETH CITY-PASQUOTANK CO AIRPORT AUTHORITY</v>
          </cell>
          <cell r="C652">
            <v>3.0700000000000001E-5</v>
          </cell>
          <cell r="D652">
            <v>2.9499999999999999E-5</v>
          </cell>
          <cell r="E652">
            <v>72831</v>
          </cell>
          <cell r="F652" t="str">
            <v xml:space="preserve"> </v>
          </cell>
          <cell r="G652">
            <v>11236</v>
          </cell>
          <cell r="H652">
            <v>9997</v>
          </cell>
          <cell r="I652">
            <v>19327</v>
          </cell>
          <cell r="J652">
            <v>6719</v>
          </cell>
          <cell r="K652">
            <v>47279</v>
          </cell>
          <cell r="L652"/>
          <cell r="M652">
            <v>377</v>
          </cell>
          <cell r="N652">
            <v>0</v>
          </cell>
          <cell r="O652">
            <v>415</v>
          </cell>
          <cell r="P652">
            <v>792</v>
          </cell>
          <cell r="Q652"/>
          <cell r="R652">
            <v>20230</v>
          </cell>
          <cell r="S652">
            <v>1569</v>
          </cell>
          <cell r="T652">
            <v>21799</v>
          </cell>
        </row>
        <row r="653">
          <cell r="A653">
            <v>97013</v>
          </cell>
          <cell r="B653" t="str">
            <v>ELIZABETH CITY PASQUOTANK COUNTY TDA</v>
          </cell>
          <cell r="C653">
            <v>2.19E-5</v>
          </cell>
          <cell r="D653">
            <v>1.8199999999999999E-5</v>
          </cell>
          <cell r="E653">
            <v>51954</v>
          </cell>
          <cell r="F653" t="str">
            <v xml:space="preserve"> </v>
          </cell>
          <cell r="G653">
            <v>8015</v>
          </cell>
          <cell r="H653">
            <v>7132</v>
          </cell>
          <cell r="I653">
            <v>13787</v>
          </cell>
          <cell r="J653">
            <v>7375</v>
          </cell>
          <cell r="K653">
            <v>36309</v>
          </cell>
          <cell r="L653"/>
          <cell r="M653">
            <v>269</v>
          </cell>
          <cell r="N653">
            <v>0</v>
          </cell>
          <cell r="O653">
            <v>0</v>
          </cell>
          <cell r="P653">
            <v>269</v>
          </cell>
          <cell r="Q653"/>
          <cell r="R653">
            <v>14432</v>
          </cell>
          <cell r="S653">
            <v>2956</v>
          </cell>
          <cell r="T653">
            <v>17388</v>
          </cell>
        </row>
        <row r="654">
          <cell r="A654">
            <v>97015</v>
          </cell>
          <cell r="B654" t="str">
            <v>PASQUOTANK-CAMDEN LIBRARY</v>
          </cell>
          <cell r="C654">
            <v>5.1700000000000003E-5</v>
          </cell>
          <cell r="D654">
            <v>4.1499999999999999E-5</v>
          </cell>
          <cell r="E654">
            <v>122650</v>
          </cell>
          <cell r="F654" t="str">
            <v xml:space="preserve"> </v>
          </cell>
          <cell r="G654">
            <v>18922</v>
          </cell>
          <cell r="H654">
            <v>16836</v>
          </cell>
          <cell r="I654">
            <v>32547</v>
          </cell>
          <cell r="J654">
            <v>9840</v>
          </cell>
          <cell r="K654">
            <v>78145</v>
          </cell>
          <cell r="L654"/>
          <cell r="M654">
            <v>635</v>
          </cell>
          <cell r="N654">
            <v>0</v>
          </cell>
          <cell r="O654">
            <v>3745</v>
          </cell>
          <cell r="P654">
            <v>4380</v>
          </cell>
          <cell r="Q654"/>
          <cell r="R654">
            <v>34069</v>
          </cell>
          <cell r="S654">
            <v>1860</v>
          </cell>
          <cell r="T654">
            <v>35929</v>
          </cell>
        </row>
        <row r="655">
          <cell r="A655">
            <v>97018</v>
          </cell>
          <cell r="B655" t="str">
            <v>ELIZABETH CTY-PASQUOTANK CO INDUSTRL DEVELOPMENT C</v>
          </cell>
          <cell r="C655">
            <v>7.4000000000000003E-6</v>
          </cell>
          <cell r="D655">
            <v>8.6000000000000007E-6</v>
          </cell>
          <cell r="E655">
            <v>17555</v>
          </cell>
          <cell r="F655" t="str">
            <v xml:space="preserve"> </v>
          </cell>
          <cell r="G655">
            <v>2708</v>
          </cell>
          <cell r="H655">
            <v>2410</v>
          </cell>
          <cell r="I655">
            <v>4659</v>
          </cell>
          <cell r="J655">
            <v>7148</v>
          </cell>
          <cell r="K655">
            <v>16925</v>
          </cell>
          <cell r="L655"/>
          <cell r="M655">
            <v>91</v>
          </cell>
          <cell r="N655">
            <v>0</v>
          </cell>
          <cell r="O655">
            <v>0</v>
          </cell>
          <cell r="P655">
            <v>91</v>
          </cell>
          <cell r="Q655"/>
          <cell r="R655">
            <v>4876</v>
          </cell>
          <cell r="S655">
            <v>3577</v>
          </cell>
          <cell r="T655">
            <v>8453</v>
          </cell>
        </row>
        <row r="656">
          <cell r="A656">
            <v>97101</v>
          </cell>
          <cell r="B656" t="str">
            <v>PENDER COUNTY</v>
          </cell>
          <cell r="C656">
            <v>2.4805000000000001E-3</v>
          </cell>
          <cell r="D656">
            <v>2.5790000000000001E-3</v>
          </cell>
          <cell r="E656">
            <v>5884594</v>
          </cell>
          <cell r="F656" t="str">
            <v xml:space="preserve"> </v>
          </cell>
          <cell r="G656">
            <v>907853</v>
          </cell>
          <cell r="H656">
            <v>807780</v>
          </cell>
          <cell r="I656">
            <v>1561544</v>
          </cell>
          <cell r="J656">
            <v>35145</v>
          </cell>
          <cell r="K656">
            <v>3312322</v>
          </cell>
          <cell r="L656"/>
          <cell r="M656">
            <v>30463</v>
          </cell>
          <cell r="N656">
            <v>0</v>
          </cell>
          <cell r="O656">
            <v>0</v>
          </cell>
          <cell r="P656">
            <v>30463</v>
          </cell>
          <cell r="Q656"/>
          <cell r="R656">
            <v>1634583</v>
          </cell>
          <cell r="S656">
            <v>9399</v>
          </cell>
          <cell r="T656">
            <v>1643982</v>
          </cell>
        </row>
        <row r="657">
          <cell r="A657">
            <v>97104</v>
          </cell>
          <cell r="B657" t="str">
            <v>PENDER COUNTY ABC BOARD</v>
          </cell>
          <cell r="C657">
            <v>5.6100000000000002E-5</v>
          </cell>
          <cell r="D657">
            <v>5.4299999999999998E-5</v>
          </cell>
          <cell r="E657">
            <v>133088</v>
          </cell>
          <cell r="F657" t="str">
            <v xml:space="preserve"> </v>
          </cell>
          <cell r="G657">
            <v>20532</v>
          </cell>
          <cell r="H657">
            <v>18269</v>
          </cell>
          <cell r="I657">
            <v>35317</v>
          </cell>
          <cell r="J657">
            <v>11210</v>
          </cell>
          <cell r="K657">
            <v>85328</v>
          </cell>
          <cell r="L657"/>
          <cell r="M657">
            <v>689</v>
          </cell>
          <cell r="N657">
            <v>0</v>
          </cell>
          <cell r="O657">
            <v>0</v>
          </cell>
          <cell r="P657">
            <v>689</v>
          </cell>
          <cell r="Q657"/>
          <cell r="R657">
            <v>36968</v>
          </cell>
          <cell r="S657">
            <v>7518</v>
          </cell>
          <cell r="T657">
            <v>44486</v>
          </cell>
        </row>
        <row r="658">
          <cell r="A658">
            <v>97111</v>
          </cell>
          <cell r="B658" t="str">
            <v xml:space="preserve"> BURGAW</v>
          </cell>
          <cell r="C658">
            <v>2.7779999999999998E-4</v>
          </cell>
          <cell r="D658">
            <v>2.8200000000000002E-4</v>
          </cell>
          <cell r="E658">
            <v>659037</v>
          </cell>
          <cell r="F658" t="str">
            <v xml:space="preserve"> </v>
          </cell>
          <cell r="G658">
            <v>101674</v>
          </cell>
          <cell r="H658">
            <v>90466</v>
          </cell>
          <cell r="I658">
            <v>174883</v>
          </cell>
          <cell r="J658">
            <v>656</v>
          </cell>
          <cell r="K658">
            <v>367679</v>
          </cell>
          <cell r="L658"/>
          <cell r="M658">
            <v>3412</v>
          </cell>
          <cell r="N658">
            <v>0</v>
          </cell>
          <cell r="O658">
            <v>19675</v>
          </cell>
          <cell r="P658">
            <v>23087</v>
          </cell>
          <cell r="Q658"/>
          <cell r="R658">
            <v>183063</v>
          </cell>
          <cell r="S658">
            <v>-3431</v>
          </cell>
          <cell r="T658">
            <v>179632</v>
          </cell>
        </row>
        <row r="659">
          <cell r="A659">
            <v>97121</v>
          </cell>
          <cell r="B659" t="str">
            <v xml:space="preserve"> TOPSAIL BEACH</v>
          </cell>
          <cell r="C659">
            <v>1.2980000000000001E-4</v>
          </cell>
          <cell r="D659">
            <v>1.3640000000000001E-4</v>
          </cell>
          <cell r="E659">
            <v>307930</v>
          </cell>
          <cell r="F659" t="str">
            <v xml:space="preserve"> </v>
          </cell>
          <cell r="G659">
            <v>47506</v>
          </cell>
          <cell r="H659">
            <v>42270</v>
          </cell>
          <cell r="I659">
            <v>81713</v>
          </cell>
          <cell r="J659">
            <v>15643</v>
          </cell>
          <cell r="K659">
            <v>187132</v>
          </cell>
          <cell r="L659"/>
          <cell r="M659">
            <v>1594</v>
          </cell>
          <cell r="N659">
            <v>0</v>
          </cell>
          <cell r="O659">
            <v>5525</v>
          </cell>
          <cell r="P659">
            <v>7119</v>
          </cell>
          <cell r="Q659"/>
          <cell r="R659">
            <v>85535</v>
          </cell>
          <cell r="S659">
            <v>263</v>
          </cell>
          <cell r="T659">
            <v>85798</v>
          </cell>
        </row>
        <row r="660">
          <cell r="A660">
            <v>97131</v>
          </cell>
          <cell r="B660" t="str">
            <v xml:space="preserve"> SURF CITY</v>
          </cell>
          <cell r="C660">
            <v>6.0749999999999997E-4</v>
          </cell>
          <cell r="D660">
            <v>7.358E-4</v>
          </cell>
          <cell r="E660">
            <v>1441198</v>
          </cell>
          <cell r="F660" t="str">
            <v xml:space="preserve"> </v>
          </cell>
          <cell r="G660">
            <v>222343</v>
          </cell>
          <cell r="H660">
            <v>197834</v>
          </cell>
          <cell r="I660">
            <v>382438</v>
          </cell>
          <cell r="J660">
            <v>20955</v>
          </cell>
          <cell r="K660">
            <v>823570</v>
          </cell>
          <cell r="L660"/>
          <cell r="M660">
            <v>7461</v>
          </cell>
          <cell r="N660">
            <v>0</v>
          </cell>
          <cell r="O660">
            <v>118742</v>
          </cell>
          <cell r="P660">
            <v>126203</v>
          </cell>
          <cell r="Q660"/>
          <cell r="R660">
            <v>400326</v>
          </cell>
          <cell r="S660">
            <v>-21454</v>
          </cell>
          <cell r="T660">
            <v>378872</v>
          </cell>
        </row>
        <row r="661">
          <cell r="A661">
            <v>97201</v>
          </cell>
          <cell r="B661" t="str">
            <v>PERQUIMANS COUNTY</v>
          </cell>
          <cell r="C661">
            <v>5.1219999999999998E-4</v>
          </cell>
          <cell r="D661">
            <v>5.2689999999999996E-4</v>
          </cell>
          <cell r="E661">
            <v>1215114</v>
          </cell>
          <cell r="F661" t="str">
            <v xml:space="preserve"> </v>
          </cell>
          <cell r="G661">
            <v>187463</v>
          </cell>
          <cell r="H661">
            <v>166799</v>
          </cell>
          <cell r="I661">
            <v>322444</v>
          </cell>
          <cell r="J661">
            <v>30683</v>
          </cell>
          <cell r="K661">
            <v>707389</v>
          </cell>
          <cell r="L661"/>
          <cell r="M661">
            <v>6290</v>
          </cell>
          <cell r="N661">
            <v>0</v>
          </cell>
          <cell r="O661">
            <v>1246</v>
          </cell>
          <cell r="P661">
            <v>7536</v>
          </cell>
          <cell r="Q661"/>
          <cell r="R661">
            <v>337526</v>
          </cell>
          <cell r="S661">
            <v>10658</v>
          </cell>
          <cell r="T661">
            <v>348184</v>
          </cell>
        </row>
        <row r="662">
          <cell r="A662">
            <v>97211</v>
          </cell>
          <cell r="B662" t="str">
            <v xml:space="preserve"> HERTFORD</v>
          </cell>
          <cell r="C662">
            <v>1.4569999999999999E-4</v>
          </cell>
          <cell r="D662">
            <v>1.5980000000000001E-4</v>
          </cell>
          <cell r="E662">
            <v>345650</v>
          </cell>
          <cell r="F662" t="str">
            <v xml:space="preserve"> </v>
          </cell>
          <cell r="G662">
            <v>53326</v>
          </cell>
          <cell r="H662">
            <v>47448</v>
          </cell>
          <cell r="I662">
            <v>91722</v>
          </cell>
          <cell r="J662">
            <v>11315</v>
          </cell>
          <cell r="K662">
            <v>203811</v>
          </cell>
          <cell r="L662"/>
          <cell r="M662">
            <v>1789</v>
          </cell>
          <cell r="N662">
            <v>0</v>
          </cell>
          <cell r="O662">
            <v>12606</v>
          </cell>
          <cell r="P662">
            <v>14395</v>
          </cell>
          <cell r="Q662"/>
          <cell r="R662">
            <v>96012</v>
          </cell>
          <cell r="S662">
            <v>-859</v>
          </cell>
          <cell r="T662">
            <v>95153</v>
          </cell>
        </row>
        <row r="663">
          <cell r="A663">
            <v>97213</v>
          </cell>
          <cell r="B663" t="str">
            <v>HERTFORD HOUSING AUTHORITY</v>
          </cell>
          <cell r="C663">
            <v>4.5599999999999997E-5</v>
          </cell>
          <cell r="D663">
            <v>3.9100000000000002E-5</v>
          </cell>
          <cell r="E663">
            <v>108179</v>
          </cell>
          <cell r="F663" t="str">
            <v xml:space="preserve"> </v>
          </cell>
          <cell r="G663">
            <v>16689</v>
          </cell>
          <cell r="H663">
            <v>14849</v>
          </cell>
          <cell r="I663">
            <v>28706</v>
          </cell>
          <cell r="J663">
            <v>8617</v>
          </cell>
          <cell r="K663">
            <v>68861</v>
          </cell>
          <cell r="L663"/>
          <cell r="M663">
            <v>560</v>
          </cell>
          <cell r="N663">
            <v>0</v>
          </cell>
          <cell r="O663">
            <v>322</v>
          </cell>
          <cell r="P663">
            <v>882</v>
          </cell>
          <cell r="Q663"/>
          <cell r="R663">
            <v>30049</v>
          </cell>
          <cell r="S663">
            <v>3081</v>
          </cell>
          <cell r="T663">
            <v>33130</v>
          </cell>
        </row>
        <row r="664">
          <cell r="A664">
            <v>97217</v>
          </cell>
          <cell r="B664" t="str">
            <v xml:space="preserve"> HERTFORD ABC BOARD</v>
          </cell>
          <cell r="C664">
            <v>4.8999999999999997E-6</v>
          </cell>
          <cell r="D664">
            <v>4.6E-6</v>
          </cell>
          <cell r="E664">
            <v>11624</v>
          </cell>
          <cell r="F664" t="str">
            <v xml:space="preserve"> </v>
          </cell>
          <cell r="G664">
            <v>1793</v>
          </cell>
          <cell r="H664">
            <v>1596</v>
          </cell>
          <cell r="I664">
            <v>3085</v>
          </cell>
          <cell r="J664">
            <v>8394</v>
          </cell>
          <cell r="K664">
            <v>14868</v>
          </cell>
          <cell r="L664"/>
          <cell r="M664">
            <v>60</v>
          </cell>
          <cell r="N664">
            <v>0</v>
          </cell>
          <cell r="O664">
            <v>0</v>
          </cell>
          <cell r="P664">
            <v>60</v>
          </cell>
          <cell r="Q664"/>
          <cell r="R664">
            <v>3229</v>
          </cell>
          <cell r="S664">
            <v>4143</v>
          </cell>
          <cell r="T664">
            <v>7372</v>
          </cell>
        </row>
        <row r="665">
          <cell r="A665">
            <v>97221</v>
          </cell>
          <cell r="B665" t="str">
            <v xml:space="preserve"> WINFALL</v>
          </cell>
          <cell r="C665">
            <v>3.9999999999999998E-6</v>
          </cell>
          <cell r="D665">
            <v>7.1999999999999997E-6</v>
          </cell>
          <cell r="E665">
            <v>9489</v>
          </cell>
          <cell r="F665" t="str">
            <v xml:space="preserve"> </v>
          </cell>
          <cell r="G665">
            <v>1464</v>
          </cell>
          <cell r="H665">
            <v>1303</v>
          </cell>
          <cell r="I665">
            <v>2518</v>
          </cell>
          <cell r="J665">
            <v>6077</v>
          </cell>
          <cell r="K665">
            <v>11362</v>
          </cell>
          <cell r="L665"/>
          <cell r="M665">
            <v>49</v>
          </cell>
          <cell r="N665">
            <v>0</v>
          </cell>
          <cell r="O665">
            <v>0</v>
          </cell>
          <cell r="P665">
            <v>49</v>
          </cell>
          <cell r="Q665"/>
          <cell r="R665">
            <v>2636</v>
          </cell>
          <cell r="S665">
            <v>3385</v>
          </cell>
          <cell r="T665">
            <v>6021</v>
          </cell>
        </row>
        <row r="666">
          <cell r="A666">
            <v>97301</v>
          </cell>
          <cell r="B666" t="str">
            <v>PERSON COUNTY</v>
          </cell>
          <cell r="C666">
            <v>2.4616E-3</v>
          </cell>
          <cell r="D666">
            <v>2.5135999999999999E-3</v>
          </cell>
          <cell r="E666">
            <v>5839757</v>
          </cell>
          <cell r="F666" t="str">
            <v xml:space="preserve"> </v>
          </cell>
          <cell r="G666">
            <v>900936</v>
          </cell>
          <cell r="H666">
            <v>801625</v>
          </cell>
          <cell r="I666">
            <v>1549646</v>
          </cell>
          <cell r="J666">
            <v>10684</v>
          </cell>
          <cell r="K666">
            <v>3262891</v>
          </cell>
          <cell r="L666"/>
          <cell r="M666">
            <v>30231</v>
          </cell>
          <cell r="N666">
            <v>0</v>
          </cell>
          <cell r="O666">
            <v>48917</v>
          </cell>
          <cell r="P666">
            <v>79148</v>
          </cell>
          <cell r="Q666"/>
          <cell r="R666">
            <v>1622128</v>
          </cell>
          <cell r="S666">
            <v>-14603</v>
          </cell>
          <cell r="T666">
            <v>1607525</v>
          </cell>
        </row>
        <row r="667">
          <cell r="A667">
            <v>97304</v>
          </cell>
          <cell r="B667" t="str">
            <v>PERSON CO ABC BD</v>
          </cell>
          <cell r="C667">
            <v>1.5299999999999999E-5</v>
          </cell>
          <cell r="D667">
            <v>1.6799999999999998E-5</v>
          </cell>
          <cell r="E667">
            <v>36297</v>
          </cell>
          <cell r="F667" t="str">
            <v xml:space="preserve"> </v>
          </cell>
          <cell r="G667">
            <v>5600</v>
          </cell>
          <cell r="H667">
            <v>4983</v>
          </cell>
          <cell r="I667">
            <v>9632</v>
          </cell>
          <cell r="J667">
            <v>9181</v>
          </cell>
          <cell r="K667">
            <v>29396</v>
          </cell>
          <cell r="L667"/>
          <cell r="M667">
            <v>188</v>
          </cell>
          <cell r="N667">
            <v>0</v>
          </cell>
          <cell r="O667">
            <v>0</v>
          </cell>
          <cell r="P667">
            <v>188</v>
          </cell>
          <cell r="Q667"/>
          <cell r="R667">
            <v>10082</v>
          </cell>
          <cell r="S667">
            <v>4481</v>
          </cell>
          <cell r="T667">
            <v>14563</v>
          </cell>
        </row>
        <row r="668">
          <cell r="A668">
            <v>97311</v>
          </cell>
          <cell r="B668" t="str">
            <v>CITY OF ROXBORO</v>
          </cell>
          <cell r="C668">
            <v>8.8420000000000002E-4</v>
          </cell>
          <cell r="D668">
            <v>9.1799999999999998E-4</v>
          </cell>
          <cell r="E668">
            <v>2097625</v>
          </cell>
          <cell r="F668" t="str">
            <v xml:space="preserve"> </v>
          </cell>
          <cell r="G668">
            <v>323614</v>
          </cell>
          <cell r="H668">
            <v>287942</v>
          </cell>
          <cell r="I668">
            <v>556629</v>
          </cell>
          <cell r="J668">
            <v>0</v>
          </cell>
          <cell r="K668">
            <v>1168185</v>
          </cell>
          <cell r="L668"/>
          <cell r="M668">
            <v>10859</v>
          </cell>
          <cell r="N668">
            <v>0</v>
          </cell>
          <cell r="O668">
            <v>82924</v>
          </cell>
          <cell r="P668">
            <v>93783</v>
          </cell>
          <cell r="Q668"/>
          <cell r="R668">
            <v>582664</v>
          </cell>
          <cell r="S668">
            <v>-48862</v>
          </cell>
          <cell r="T668">
            <v>533802</v>
          </cell>
        </row>
        <row r="669">
          <cell r="A669">
            <v>97401</v>
          </cell>
          <cell r="B669" t="str">
            <v>PITT COUNTY</v>
          </cell>
          <cell r="C669">
            <v>7.1440000000000002E-3</v>
          </cell>
          <cell r="D669">
            <v>7.1303E-3</v>
          </cell>
          <cell r="E669">
            <v>16948011</v>
          </cell>
          <cell r="F669" t="str">
            <v xml:space="preserve"> </v>
          </cell>
          <cell r="G669">
            <v>2614675</v>
          </cell>
          <cell r="H669">
            <v>2326458</v>
          </cell>
          <cell r="I669">
            <v>4497348</v>
          </cell>
          <cell r="J669">
            <v>194684</v>
          </cell>
          <cell r="K669">
            <v>9633165</v>
          </cell>
          <cell r="L669"/>
          <cell r="M669">
            <v>87735</v>
          </cell>
          <cell r="N669">
            <v>0</v>
          </cell>
          <cell r="O669">
            <v>24107</v>
          </cell>
          <cell r="P669">
            <v>111842</v>
          </cell>
          <cell r="Q669"/>
          <cell r="R669">
            <v>4707703</v>
          </cell>
          <cell r="S669">
            <v>-954</v>
          </cell>
          <cell r="T669">
            <v>4706749</v>
          </cell>
        </row>
        <row r="670">
          <cell r="A670">
            <v>97402</v>
          </cell>
          <cell r="B670" t="str">
            <v>PITT-GREENVILLE CONV &amp; VISTORS</v>
          </cell>
          <cell r="C670">
            <v>4.8399999999999997E-5</v>
          </cell>
          <cell r="D670">
            <v>4.8000000000000001E-5</v>
          </cell>
          <cell r="E670">
            <v>114821</v>
          </cell>
          <cell r="F670" t="str">
            <v xml:space="preserve"> </v>
          </cell>
          <cell r="G670">
            <v>17714</v>
          </cell>
          <cell r="H670">
            <v>15761</v>
          </cell>
          <cell r="I670">
            <v>30469</v>
          </cell>
          <cell r="J670">
            <v>12911</v>
          </cell>
          <cell r="K670">
            <v>76855</v>
          </cell>
          <cell r="L670"/>
          <cell r="M670">
            <v>594</v>
          </cell>
          <cell r="N670">
            <v>0</v>
          </cell>
          <cell r="O670">
            <v>0</v>
          </cell>
          <cell r="P670">
            <v>594</v>
          </cell>
          <cell r="Q670"/>
          <cell r="R670">
            <v>31894</v>
          </cell>
          <cell r="S670">
            <v>5903</v>
          </cell>
          <cell r="T670">
            <v>37797</v>
          </cell>
        </row>
        <row r="671">
          <cell r="A671">
            <v>97404</v>
          </cell>
          <cell r="B671" t="str">
            <v>PITT COUNTY ABC BOARD</v>
          </cell>
          <cell r="C671">
            <v>2.0320000000000001E-4</v>
          </cell>
          <cell r="D671">
            <v>2.1010000000000001E-4</v>
          </cell>
          <cell r="E671">
            <v>482060</v>
          </cell>
          <cell r="F671" t="str">
            <v xml:space="preserve"> </v>
          </cell>
          <cell r="G671">
            <v>74370</v>
          </cell>
          <cell r="H671">
            <v>66173</v>
          </cell>
          <cell r="I671">
            <v>127920</v>
          </cell>
          <cell r="J671">
            <v>0</v>
          </cell>
          <cell r="K671">
            <v>268463</v>
          </cell>
          <cell r="L671"/>
          <cell r="M671">
            <v>2495</v>
          </cell>
          <cell r="N671">
            <v>0</v>
          </cell>
          <cell r="O671">
            <v>26048</v>
          </cell>
          <cell r="P671">
            <v>28543</v>
          </cell>
          <cell r="Q671"/>
          <cell r="R671">
            <v>133903</v>
          </cell>
          <cell r="S671">
            <v>-9082</v>
          </cell>
          <cell r="T671">
            <v>124821</v>
          </cell>
        </row>
        <row r="672">
          <cell r="A672">
            <v>97405</v>
          </cell>
          <cell r="B672" t="str">
            <v>SHEPPARD MEMORIAL LIBRARY</v>
          </cell>
          <cell r="C672">
            <v>1.156E-4</v>
          </cell>
          <cell r="D672">
            <v>1.091E-4</v>
          </cell>
          <cell r="E672">
            <v>274243</v>
          </cell>
          <cell r="F672" t="str">
            <v xml:space="preserve"> </v>
          </cell>
          <cell r="G672">
            <v>42309</v>
          </cell>
          <cell r="H672">
            <v>37646</v>
          </cell>
          <cell r="I672">
            <v>72773</v>
          </cell>
          <cell r="J672">
            <v>33588</v>
          </cell>
          <cell r="K672">
            <v>186316</v>
          </cell>
          <cell r="L672"/>
          <cell r="M672">
            <v>1420</v>
          </cell>
          <cell r="N672">
            <v>0</v>
          </cell>
          <cell r="O672">
            <v>0</v>
          </cell>
          <cell r="P672">
            <v>1420</v>
          </cell>
          <cell r="Q672"/>
          <cell r="R672">
            <v>76177</v>
          </cell>
          <cell r="S672">
            <v>8872</v>
          </cell>
          <cell r="T672">
            <v>85049</v>
          </cell>
        </row>
        <row r="673">
          <cell r="A673">
            <v>97408</v>
          </cell>
          <cell r="B673" t="str">
            <v>CONTENNEA METROPOLITAN SEWERAGE DIST</v>
          </cell>
          <cell r="C673">
            <v>4.3000000000000002E-5</v>
          </cell>
          <cell r="D673">
            <v>4.4499999999999997E-5</v>
          </cell>
          <cell r="E673">
            <v>102011</v>
          </cell>
          <cell r="F673" t="str">
            <v xml:space="preserve"> </v>
          </cell>
          <cell r="G673">
            <v>15738</v>
          </cell>
          <cell r="H673">
            <v>14003</v>
          </cell>
          <cell r="I673">
            <v>27070</v>
          </cell>
          <cell r="J673">
            <v>6868</v>
          </cell>
          <cell r="K673">
            <v>63679</v>
          </cell>
          <cell r="L673"/>
          <cell r="M673">
            <v>528</v>
          </cell>
          <cell r="N673">
            <v>0</v>
          </cell>
          <cell r="O673">
            <v>0</v>
          </cell>
          <cell r="P673">
            <v>528</v>
          </cell>
          <cell r="Q673"/>
          <cell r="R673">
            <v>28336</v>
          </cell>
          <cell r="S673">
            <v>3527</v>
          </cell>
          <cell r="T673">
            <v>31863</v>
          </cell>
        </row>
        <row r="674">
          <cell r="A674">
            <v>97411</v>
          </cell>
          <cell r="B674" t="str">
            <v>CITY OF GREENVILLE</v>
          </cell>
          <cell r="C674">
            <v>6.2385000000000001E-3</v>
          </cell>
          <cell r="D674">
            <v>6.6379000000000004E-3</v>
          </cell>
          <cell r="E674">
            <v>14799856</v>
          </cell>
          <cell r="F674" t="str">
            <v xml:space="preserve"> </v>
          </cell>
          <cell r="G674">
            <v>2283266</v>
          </cell>
          <cell r="H674">
            <v>2031580</v>
          </cell>
          <cell r="I674">
            <v>3927310</v>
          </cell>
          <cell r="J674">
            <v>0</v>
          </cell>
          <cell r="K674">
            <v>8242156</v>
          </cell>
          <cell r="L674"/>
          <cell r="M674">
            <v>76615</v>
          </cell>
          <cell r="N674">
            <v>0</v>
          </cell>
          <cell r="O674">
            <v>667530</v>
          </cell>
          <cell r="P674">
            <v>744145</v>
          </cell>
          <cell r="Q674"/>
          <cell r="R674">
            <v>4111003</v>
          </cell>
          <cell r="S674">
            <v>-393360</v>
          </cell>
          <cell r="T674">
            <v>3717643</v>
          </cell>
        </row>
        <row r="675">
          <cell r="A675">
            <v>97412</v>
          </cell>
          <cell r="B675" t="str">
            <v>GREENVILLE UTILITIES COMMISSION</v>
          </cell>
          <cell r="C675">
            <v>4.6245000000000001E-3</v>
          </cell>
          <cell r="D675">
            <v>4.5082000000000004E-3</v>
          </cell>
          <cell r="E675">
            <v>10970896</v>
          </cell>
          <cell r="F675" t="str">
            <v xml:space="preserve"> </v>
          </cell>
          <cell r="G675">
            <v>1692549</v>
          </cell>
          <cell r="H675">
            <v>1505978</v>
          </cell>
          <cell r="I675">
            <v>2911252</v>
          </cell>
          <cell r="J675">
            <v>233378</v>
          </cell>
          <cell r="K675">
            <v>6343157</v>
          </cell>
          <cell r="L675"/>
          <cell r="M675">
            <v>56793</v>
          </cell>
          <cell r="N675">
            <v>0</v>
          </cell>
          <cell r="O675">
            <v>0</v>
          </cell>
          <cell r="P675">
            <v>56793</v>
          </cell>
          <cell r="Q675"/>
          <cell r="R675">
            <v>3047421</v>
          </cell>
          <cell r="S675">
            <v>107578</v>
          </cell>
          <cell r="T675">
            <v>3154999</v>
          </cell>
        </row>
        <row r="676">
          <cell r="A676">
            <v>97413</v>
          </cell>
          <cell r="B676" t="str">
            <v>GREENVILLE HOUSING AUTHORITY</v>
          </cell>
          <cell r="C676">
            <v>2.7E-4</v>
          </cell>
          <cell r="D676">
            <v>2.6570000000000001E-4</v>
          </cell>
          <cell r="E676">
            <v>640532</v>
          </cell>
          <cell r="F676" t="str">
            <v xml:space="preserve"> </v>
          </cell>
          <cell r="G676">
            <v>98819</v>
          </cell>
          <cell r="H676">
            <v>87926</v>
          </cell>
          <cell r="I676">
            <v>169973</v>
          </cell>
          <cell r="J676">
            <v>21390</v>
          </cell>
          <cell r="K676">
            <v>378108</v>
          </cell>
          <cell r="L676"/>
          <cell r="M676">
            <v>3316</v>
          </cell>
          <cell r="N676">
            <v>0</v>
          </cell>
          <cell r="O676">
            <v>439</v>
          </cell>
          <cell r="P676">
            <v>3755</v>
          </cell>
          <cell r="Q676"/>
          <cell r="R676">
            <v>177923</v>
          </cell>
          <cell r="S676">
            <v>1118</v>
          </cell>
          <cell r="T676">
            <v>179041</v>
          </cell>
        </row>
        <row r="677">
          <cell r="A677">
            <v>97421</v>
          </cell>
          <cell r="B677" t="str">
            <v xml:space="preserve"> FARMVILLE</v>
          </cell>
          <cell r="C677">
            <v>4.4739999999999998E-4</v>
          </cell>
          <cell r="D677">
            <v>4.2890000000000002E-4</v>
          </cell>
          <cell r="E677">
            <v>1061386</v>
          </cell>
          <cell r="F677" t="str">
            <v xml:space="preserve"> </v>
          </cell>
          <cell r="G677">
            <v>163747</v>
          </cell>
          <cell r="H677">
            <v>145696</v>
          </cell>
          <cell r="I677">
            <v>281651</v>
          </cell>
          <cell r="J677">
            <v>12678</v>
          </cell>
          <cell r="K677">
            <v>603772</v>
          </cell>
          <cell r="L677"/>
          <cell r="M677">
            <v>5495</v>
          </cell>
          <cell r="N677">
            <v>0</v>
          </cell>
          <cell r="O677">
            <v>8104</v>
          </cell>
          <cell r="P677">
            <v>13599</v>
          </cell>
          <cell r="Q677"/>
          <cell r="R677">
            <v>294825</v>
          </cell>
          <cell r="S677">
            <v>-12344</v>
          </cell>
          <cell r="T677">
            <v>282481</v>
          </cell>
        </row>
        <row r="678">
          <cell r="A678">
            <v>97423</v>
          </cell>
          <cell r="B678" t="str">
            <v>FARMVILLE HOUSING AUTHORITY</v>
          </cell>
          <cell r="C678">
            <v>3.93E-5</v>
          </cell>
          <cell r="D678">
            <v>4.3600000000000003E-5</v>
          </cell>
          <cell r="E678">
            <v>93233</v>
          </cell>
          <cell r="F678" t="str">
            <v xml:space="preserve"> </v>
          </cell>
          <cell r="G678">
            <v>14384</v>
          </cell>
          <cell r="H678">
            <v>12798</v>
          </cell>
          <cell r="I678">
            <v>24740</v>
          </cell>
          <cell r="J678">
            <v>37150</v>
          </cell>
          <cell r="K678">
            <v>89072</v>
          </cell>
          <cell r="L678"/>
          <cell r="M678">
            <v>483</v>
          </cell>
          <cell r="N678">
            <v>0</v>
          </cell>
          <cell r="O678">
            <v>0</v>
          </cell>
          <cell r="P678">
            <v>483</v>
          </cell>
          <cell r="Q678"/>
          <cell r="R678">
            <v>25898</v>
          </cell>
          <cell r="S678">
            <v>15711</v>
          </cell>
          <cell r="T678">
            <v>41609</v>
          </cell>
        </row>
        <row r="679">
          <cell r="A679">
            <v>97431</v>
          </cell>
          <cell r="B679" t="str">
            <v xml:space="preserve"> GRIFTON</v>
          </cell>
          <cell r="C679">
            <v>1.0349999999999999E-4</v>
          </cell>
          <cell r="D679">
            <v>8.5599999999999994E-5</v>
          </cell>
          <cell r="E679">
            <v>245537</v>
          </cell>
          <cell r="F679" t="str">
            <v xml:space="preserve"> </v>
          </cell>
          <cell r="G679">
            <v>37881</v>
          </cell>
          <cell r="H679">
            <v>33705</v>
          </cell>
          <cell r="I679">
            <v>65156</v>
          </cell>
          <cell r="J679">
            <v>17263</v>
          </cell>
          <cell r="K679">
            <v>154005</v>
          </cell>
          <cell r="L679"/>
          <cell r="M679">
            <v>1271</v>
          </cell>
          <cell r="N679">
            <v>0</v>
          </cell>
          <cell r="O679">
            <v>0</v>
          </cell>
          <cell r="P679">
            <v>1271</v>
          </cell>
          <cell r="Q679"/>
          <cell r="R679">
            <v>68204</v>
          </cell>
          <cell r="S679">
            <v>5239</v>
          </cell>
          <cell r="T679">
            <v>73443</v>
          </cell>
        </row>
        <row r="680">
          <cell r="A680">
            <v>97441</v>
          </cell>
          <cell r="B680" t="str">
            <v xml:space="preserve"> BETHEL</v>
          </cell>
          <cell r="C680">
            <v>5.2899999999999998E-5</v>
          </cell>
          <cell r="D680">
            <v>7.5799999999999999E-5</v>
          </cell>
          <cell r="E680">
            <v>125497</v>
          </cell>
          <cell r="F680" t="str">
            <v xml:space="preserve"> </v>
          </cell>
          <cell r="G680">
            <v>19361</v>
          </cell>
          <cell r="H680">
            <v>17227</v>
          </cell>
          <cell r="I680">
            <v>33302</v>
          </cell>
          <cell r="J680">
            <v>0</v>
          </cell>
          <cell r="K680">
            <v>69890</v>
          </cell>
          <cell r="L680"/>
          <cell r="M680">
            <v>650</v>
          </cell>
          <cell r="N680">
            <v>0</v>
          </cell>
          <cell r="O680">
            <v>25076</v>
          </cell>
          <cell r="P680">
            <v>25726</v>
          </cell>
          <cell r="Q680"/>
          <cell r="R680">
            <v>34860</v>
          </cell>
          <cell r="S680">
            <v>-7198</v>
          </cell>
          <cell r="T680">
            <v>27662</v>
          </cell>
        </row>
        <row r="681">
          <cell r="A681">
            <v>97451</v>
          </cell>
          <cell r="B681" t="str">
            <v xml:space="preserve"> WINTERVILLE</v>
          </cell>
          <cell r="C681">
            <v>6.3380000000000001E-4</v>
          </cell>
          <cell r="D681">
            <v>5.5820000000000002E-4</v>
          </cell>
          <cell r="E681">
            <v>1503590</v>
          </cell>
          <cell r="F681" t="str">
            <v xml:space="preserve"> </v>
          </cell>
          <cell r="G681">
            <v>231968</v>
          </cell>
          <cell r="H681">
            <v>206398</v>
          </cell>
          <cell r="I681">
            <v>398995</v>
          </cell>
          <cell r="J681">
            <v>21165</v>
          </cell>
          <cell r="K681">
            <v>858526</v>
          </cell>
          <cell r="L681"/>
          <cell r="M681">
            <v>7784</v>
          </cell>
          <cell r="N681">
            <v>0</v>
          </cell>
          <cell r="O681">
            <v>34586</v>
          </cell>
          <cell r="P681">
            <v>42370</v>
          </cell>
          <cell r="Q681"/>
          <cell r="R681">
            <v>417657</v>
          </cell>
          <cell r="S681">
            <v>81</v>
          </cell>
          <cell r="T681">
            <v>417738</v>
          </cell>
        </row>
        <row r="682">
          <cell r="A682" t="str">
            <v>97461M</v>
          </cell>
          <cell r="B682" t="str">
            <v xml:space="preserve"> AYDEN</v>
          </cell>
          <cell r="C682">
            <v>5.3019999999999999E-4</v>
          </cell>
          <cell r="D682">
            <v>5.5650000000000003E-4</v>
          </cell>
          <cell r="E682">
            <v>1257816</v>
          </cell>
          <cell r="F682" t="str">
            <v xml:space="preserve"> </v>
          </cell>
          <cell r="G682">
            <v>194051</v>
          </cell>
          <cell r="H682">
            <v>172661</v>
          </cell>
          <cell r="I682">
            <v>333776</v>
          </cell>
          <cell r="J682">
            <v>2730</v>
          </cell>
          <cell r="K682">
            <v>703218</v>
          </cell>
          <cell r="L682"/>
          <cell r="M682">
            <v>6511</v>
          </cell>
          <cell r="N682">
            <v>0</v>
          </cell>
          <cell r="O682">
            <v>55903</v>
          </cell>
          <cell r="P682">
            <v>62414</v>
          </cell>
          <cell r="Q682"/>
          <cell r="R682">
            <v>349387</v>
          </cell>
          <cell r="S682">
            <v>-21034</v>
          </cell>
          <cell r="T682">
            <v>328353</v>
          </cell>
        </row>
        <row r="683">
          <cell r="A683" t="str">
            <v>97463M</v>
          </cell>
          <cell r="B683" t="str">
            <v>AYDEN HOUSING AUTHORITY</v>
          </cell>
          <cell r="C683">
            <v>0</v>
          </cell>
          <cell r="D683">
            <v>4.1100000000000003E-5</v>
          </cell>
          <cell r="E683">
            <v>0</v>
          </cell>
          <cell r="F683" t="str">
            <v xml:space="preserve"> </v>
          </cell>
          <cell r="G683">
            <v>0</v>
          </cell>
          <cell r="H683">
            <v>0</v>
          </cell>
          <cell r="I683">
            <v>0</v>
          </cell>
          <cell r="J683">
            <v>310</v>
          </cell>
          <cell r="K683">
            <v>310</v>
          </cell>
          <cell r="L683"/>
          <cell r="M683">
            <v>0</v>
          </cell>
          <cell r="N683">
            <v>0</v>
          </cell>
          <cell r="O683">
            <v>31362</v>
          </cell>
          <cell r="P683">
            <v>31362</v>
          </cell>
          <cell r="Q683"/>
          <cell r="R683">
            <v>0</v>
          </cell>
          <cell r="S683">
            <v>-8061</v>
          </cell>
          <cell r="T683">
            <v>-8061</v>
          </cell>
        </row>
        <row r="684">
          <cell r="A684">
            <v>97461</v>
          </cell>
          <cell r="B684" t="str">
            <v xml:space="preserve"> AYDEN</v>
          </cell>
          <cell r="C684">
            <v>5.3019999999999999E-4</v>
          </cell>
          <cell r="D684">
            <v>5.976E-4</v>
          </cell>
          <cell r="E684">
            <v>1257816</v>
          </cell>
          <cell r="F684"/>
          <cell r="G684">
            <v>194051</v>
          </cell>
          <cell r="H684">
            <v>172661</v>
          </cell>
          <cell r="I684">
            <v>333776</v>
          </cell>
          <cell r="J684">
            <v>3040</v>
          </cell>
          <cell r="K684">
            <v>703528</v>
          </cell>
          <cell r="L684"/>
          <cell r="M684">
            <v>6511</v>
          </cell>
          <cell r="N684">
            <v>0</v>
          </cell>
          <cell r="O684">
            <v>87265</v>
          </cell>
          <cell r="P684">
            <v>93776</v>
          </cell>
          <cell r="Q684"/>
          <cell r="R684">
            <v>349387</v>
          </cell>
          <cell r="S684">
            <v>-29095</v>
          </cell>
          <cell r="T684">
            <v>320292</v>
          </cell>
        </row>
        <row r="685">
          <cell r="A685">
            <v>97471</v>
          </cell>
          <cell r="B685" t="str">
            <v xml:space="preserve"> GRIMESLAND</v>
          </cell>
          <cell r="C685">
            <v>1.66E-5</v>
          </cell>
          <cell r="D685">
            <v>1.22E-5</v>
          </cell>
          <cell r="E685">
            <v>39381</v>
          </cell>
          <cell r="F685" t="str">
            <v xml:space="preserve"> </v>
          </cell>
          <cell r="G685">
            <v>6076</v>
          </cell>
          <cell r="H685">
            <v>5406</v>
          </cell>
          <cell r="I685">
            <v>10450</v>
          </cell>
          <cell r="J685">
            <v>10650</v>
          </cell>
          <cell r="K685">
            <v>32582</v>
          </cell>
          <cell r="L685"/>
          <cell r="M685">
            <v>204</v>
          </cell>
          <cell r="N685">
            <v>0</v>
          </cell>
          <cell r="O685">
            <v>0</v>
          </cell>
          <cell r="P685">
            <v>204</v>
          </cell>
          <cell r="Q685"/>
          <cell r="R685">
            <v>10939</v>
          </cell>
          <cell r="S685">
            <v>4239</v>
          </cell>
          <cell r="T685">
            <v>15178</v>
          </cell>
        </row>
        <row r="686">
          <cell r="A686">
            <v>97481</v>
          </cell>
          <cell r="B686" t="str">
            <v xml:space="preserve"> SIMPSON</v>
          </cell>
          <cell r="C686">
            <v>1.26E-5</v>
          </cell>
          <cell r="D686">
            <v>9.9000000000000001E-6</v>
          </cell>
          <cell r="E686">
            <v>29892</v>
          </cell>
          <cell r="F686" t="str">
            <v xml:space="preserve"> </v>
          </cell>
          <cell r="G686">
            <v>4612</v>
          </cell>
          <cell r="H686">
            <v>4103</v>
          </cell>
          <cell r="I686">
            <v>7932</v>
          </cell>
          <cell r="J686">
            <v>1760</v>
          </cell>
          <cell r="K686">
            <v>18407</v>
          </cell>
          <cell r="L686"/>
          <cell r="M686">
            <v>155</v>
          </cell>
          <cell r="N686">
            <v>0</v>
          </cell>
          <cell r="O686">
            <v>2336</v>
          </cell>
          <cell r="P686">
            <v>2491</v>
          </cell>
          <cell r="Q686"/>
          <cell r="R686">
            <v>8303</v>
          </cell>
          <cell r="S686">
            <v>1709</v>
          </cell>
          <cell r="T686">
            <v>10012</v>
          </cell>
        </row>
        <row r="687">
          <cell r="A687">
            <v>97491</v>
          </cell>
          <cell r="B687" t="str">
            <v xml:space="preserve">FOUNTAIN, </v>
          </cell>
          <cell r="C687">
            <v>0</v>
          </cell>
          <cell r="D687">
            <v>0</v>
          </cell>
          <cell r="E687">
            <v>0</v>
          </cell>
          <cell r="F687" t="str">
            <v xml:space="preserve"> </v>
          </cell>
          <cell r="G687">
            <v>0</v>
          </cell>
          <cell r="H687">
            <v>0</v>
          </cell>
          <cell r="I687">
            <v>0</v>
          </cell>
          <cell r="J687">
            <v>0</v>
          </cell>
          <cell r="K687">
            <v>0</v>
          </cell>
          <cell r="L687"/>
          <cell r="M687">
            <v>0</v>
          </cell>
          <cell r="N687">
            <v>0</v>
          </cell>
          <cell r="O687">
            <v>2921</v>
          </cell>
          <cell r="P687">
            <v>2921</v>
          </cell>
          <cell r="Q687"/>
          <cell r="R687">
            <v>0</v>
          </cell>
          <cell r="S687">
            <v>-4927</v>
          </cell>
          <cell r="T687">
            <v>-4927</v>
          </cell>
        </row>
        <row r="688">
          <cell r="A688">
            <v>97501</v>
          </cell>
          <cell r="B688" t="str">
            <v>POLK COUNTY</v>
          </cell>
          <cell r="C688">
            <v>1.0767999999999999E-3</v>
          </cell>
          <cell r="D688">
            <v>1.1000999999999999E-3</v>
          </cell>
          <cell r="E688">
            <v>2554538</v>
          </cell>
          <cell r="F688" t="str">
            <v xml:space="preserve"> </v>
          </cell>
          <cell r="G688">
            <v>394104</v>
          </cell>
          <cell r="H688">
            <v>350662</v>
          </cell>
          <cell r="I688">
            <v>677876</v>
          </cell>
          <cell r="J688">
            <v>80569</v>
          </cell>
          <cell r="K688">
            <v>1503211</v>
          </cell>
          <cell r="L688"/>
          <cell r="M688">
            <v>13224</v>
          </cell>
          <cell r="N688">
            <v>0</v>
          </cell>
          <cell r="O688">
            <v>3282</v>
          </cell>
          <cell r="P688">
            <v>16506</v>
          </cell>
          <cell r="Q688"/>
          <cell r="R688">
            <v>709582</v>
          </cell>
          <cell r="S688">
            <v>43661</v>
          </cell>
          <cell r="T688">
            <v>753243</v>
          </cell>
        </row>
        <row r="689">
          <cell r="A689">
            <v>97511</v>
          </cell>
          <cell r="B689" t="str">
            <v xml:space="preserve"> TRYON</v>
          </cell>
          <cell r="C689">
            <v>1.8090000000000001E-4</v>
          </cell>
          <cell r="D689">
            <v>2.3450000000000001E-4</v>
          </cell>
          <cell r="E689">
            <v>429157</v>
          </cell>
          <cell r="F689" t="str">
            <v xml:space="preserve"> </v>
          </cell>
          <cell r="G689">
            <v>66209</v>
          </cell>
          <cell r="H689">
            <v>58911</v>
          </cell>
          <cell r="I689">
            <v>113882</v>
          </cell>
          <cell r="J689">
            <v>8581</v>
          </cell>
          <cell r="K689">
            <v>247583</v>
          </cell>
          <cell r="L689"/>
          <cell r="M689">
            <v>2222</v>
          </cell>
          <cell r="N689">
            <v>0</v>
          </cell>
          <cell r="O689">
            <v>27881</v>
          </cell>
          <cell r="P689">
            <v>30103</v>
          </cell>
          <cell r="Q689"/>
          <cell r="R689">
            <v>119208</v>
          </cell>
          <cell r="S689">
            <v>-3085</v>
          </cell>
          <cell r="T689">
            <v>116123</v>
          </cell>
        </row>
        <row r="690">
          <cell r="A690">
            <v>97521</v>
          </cell>
          <cell r="B690" t="str">
            <v xml:space="preserve"> COLUMBUS</v>
          </cell>
          <cell r="C690">
            <v>1.2640000000000001E-4</v>
          </cell>
          <cell r="D690">
            <v>1.2870000000000001E-4</v>
          </cell>
          <cell r="E690">
            <v>299864</v>
          </cell>
          <cell r="F690" t="str">
            <v xml:space="preserve"> </v>
          </cell>
          <cell r="G690">
            <v>46262</v>
          </cell>
          <cell r="H690">
            <v>41162</v>
          </cell>
          <cell r="I690">
            <v>79572</v>
          </cell>
          <cell r="J690">
            <v>0</v>
          </cell>
          <cell r="K690">
            <v>166996</v>
          </cell>
          <cell r="L690"/>
          <cell r="M690">
            <v>1552</v>
          </cell>
          <cell r="N690">
            <v>0</v>
          </cell>
          <cell r="O690">
            <v>13218</v>
          </cell>
          <cell r="P690">
            <v>14770</v>
          </cell>
          <cell r="Q690"/>
          <cell r="R690">
            <v>83294</v>
          </cell>
          <cell r="S690">
            <v>-4767</v>
          </cell>
          <cell r="T690">
            <v>78527</v>
          </cell>
        </row>
        <row r="691">
          <cell r="A691">
            <v>97527</v>
          </cell>
          <cell r="B691" t="str">
            <v>COLUMBUS ABC BOARD</v>
          </cell>
          <cell r="C691">
            <v>1.3999999999999999E-6</v>
          </cell>
          <cell r="D691">
            <v>0</v>
          </cell>
          <cell r="E691">
            <v>3321</v>
          </cell>
          <cell r="F691" t="str">
            <v xml:space="preserve"> </v>
          </cell>
          <cell r="G691">
            <v>512</v>
          </cell>
          <cell r="H691">
            <v>456</v>
          </cell>
          <cell r="I691">
            <v>881</v>
          </cell>
          <cell r="J691">
            <v>3462</v>
          </cell>
          <cell r="K691">
            <v>5311</v>
          </cell>
          <cell r="L691"/>
          <cell r="M691">
            <v>17</v>
          </cell>
          <cell r="N691">
            <v>0</v>
          </cell>
          <cell r="O691">
            <v>0</v>
          </cell>
          <cell r="P691">
            <v>17</v>
          </cell>
          <cell r="Q691"/>
          <cell r="R691">
            <v>923</v>
          </cell>
          <cell r="S691">
            <v>866</v>
          </cell>
          <cell r="T691">
            <v>1789</v>
          </cell>
        </row>
        <row r="692">
          <cell r="A692">
            <v>97531</v>
          </cell>
          <cell r="B692" t="str">
            <v>CITY OF SALUDA</v>
          </cell>
          <cell r="C692">
            <v>5.2800000000000003E-5</v>
          </cell>
          <cell r="D692">
            <v>4.32E-5</v>
          </cell>
          <cell r="E692">
            <v>125260</v>
          </cell>
          <cell r="F692" t="str">
            <v xml:space="preserve"> </v>
          </cell>
          <cell r="G692">
            <v>19325</v>
          </cell>
          <cell r="H692">
            <v>17194</v>
          </cell>
          <cell r="I692">
            <v>33239</v>
          </cell>
          <cell r="J692">
            <v>18303</v>
          </cell>
          <cell r="K692">
            <v>88061</v>
          </cell>
          <cell r="L692"/>
          <cell r="M692">
            <v>648</v>
          </cell>
          <cell r="N692">
            <v>0</v>
          </cell>
          <cell r="O692">
            <v>3521</v>
          </cell>
          <cell r="P692">
            <v>4169</v>
          </cell>
          <cell r="Q692"/>
          <cell r="R692">
            <v>34794</v>
          </cell>
          <cell r="S692">
            <v>42</v>
          </cell>
          <cell r="T692">
            <v>34836</v>
          </cell>
        </row>
        <row r="693">
          <cell r="A693">
            <v>97601</v>
          </cell>
          <cell r="B693" t="str">
            <v>RANDOLPH COUNTY</v>
          </cell>
          <cell r="C693">
            <v>5.2467E-3</v>
          </cell>
          <cell r="D693">
            <v>5.1672000000000003E-3</v>
          </cell>
          <cell r="E693">
            <v>12446967</v>
          </cell>
          <cell r="F693" t="str">
            <v xml:space="preserve"> </v>
          </cell>
          <cell r="G693">
            <v>1920271</v>
          </cell>
          <cell r="H693">
            <v>1708599</v>
          </cell>
          <cell r="I693">
            <v>3302945</v>
          </cell>
          <cell r="J693">
            <v>143195</v>
          </cell>
          <cell r="K693">
            <v>7075010</v>
          </cell>
          <cell r="L693"/>
          <cell r="M693">
            <v>64435</v>
          </cell>
          <cell r="N693">
            <v>0</v>
          </cell>
          <cell r="O693">
            <v>56258</v>
          </cell>
          <cell r="P693">
            <v>120693</v>
          </cell>
          <cell r="Q693"/>
          <cell r="R693">
            <v>3457434</v>
          </cell>
          <cell r="S693">
            <v>-900</v>
          </cell>
          <cell r="T693">
            <v>3456534</v>
          </cell>
        </row>
        <row r="694">
          <cell r="A694">
            <v>97607</v>
          </cell>
          <cell r="B694" t="str">
            <v>ASHEBORO ABC BOARD</v>
          </cell>
          <cell r="C694">
            <v>2.23E-5</v>
          </cell>
          <cell r="D694">
            <v>2.3200000000000001E-5</v>
          </cell>
          <cell r="E694">
            <v>52903</v>
          </cell>
          <cell r="F694" t="str">
            <v xml:space="preserve"> </v>
          </cell>
          <cell r="G694">
            <v>8162</v>
          </cell>
          <cell r="H694">
            <v>7262</v>
          </cell>
          <cell r="I694">
            <v>14038</v>
          </cell>
          <cell r="J694">
            <v>13674</v>
          </cell>
          <cell r="K694">
            <v>43136</v>
          </cell>
          <cell r="L694"/>
          <cell r="M694">
            <v>274</v>
          </cell>
          <cell r="N694">
            <v>0</v>
          </cell>
          <cell r="O694">
            <v>0</v>
          </cell>
          <cell r="P694">
            <v>274</v>
          </cell>
          <cell r="Q694"/>
          <cell r="R694">
            <v>14695</v>
          </cell>
          <cell r="S694">
            <v>6841</v>
          </cell>
          <cell r="T694">
            <v>21536</v>
          </cell>
        </row>
        <row r="695">
          <cell r="A695">
            <v>97611</v>
          </cell>
          <cell r="B695" t="str">
            <v>CITY OF ASHEBORO</v>
          </cell>
          <cell r="C695">
            <v>2.3620999999999998E-3</v>
          </cell>
          <cell r="D695">
            <v>2.4767999999999999E-3</v>
          </cell>
          <cell r="E695">
            <v>5603709</v>
          </cell>
          <cell r="F695" t="str">
            <v xml:space="preserve"> </v>
          </cell>
          <cell r="G695">
            <v>864519</v>
          </cell>
          <cell r="H695">
            <v>769222</v>
          </cell>
          <cell r="I695">
            <v>1487008</v>
          </cell>
          <cell r="J695">
            <v>0</v>
          </cell>
          <cell r="K695">
            <v>3120749</v>
          </cell>
          <cell r="L695"/>
          <cell r="M695">
            <v>29009</v>
          </cell>
          <cell r="N695">
            <v>0</v>
          </cell>
          <cell r="O695">
            <v>262473</v>
          </cell>
          <cell r="P695">
            <v>291482</v>
          </cell>
          <cell r="Q695"/>
          <cell r="R695">
            <v>1556560</v>
          </cell>
          <cell r="S695">
            <v>-141266</v>
          </cell>
          <cell r="T695">
            <v>1415294</v>
          </cell>
        </row>
        <row r="696">
          <cell r="A696">
            <v>97613</v>
          </cell>
          <cell r="B696" t="str">
            <v>ASHEBORO HOUSING AUTHORITY</v>
          </cell>
          <cell r="C696">
            <v>1.155E-4</v>
          </cell>
          <cell r="D696">
            <v>1.1629999999999999E-4</v>
          </cell>
          <cell r="E696">
            <v>274006</v>
          </cell>
          <cell r="F696" t="str">
            <v xml:space="preserve"> </v>
          </cell>
          <cell r="G696">
            <v>42273</v>
          </cell>
          <cell r="H696">
            <v>37613</v>
          </cell>
          <cell r="I696">
            <v>72710</v>
          </cell>
          <cell r="J696">
            <v>7279</v>
          </cell>
          <cell r="K696">
            <v>159875</v>
          </cell>
          <cell r="L696"/>
          <cell r="M696">
            <v>1418</v>
          </cell>
          <cell r="N696">
            <v>0</v>
          </cell>
          <cell r="O696">
            <v>1649</v>
          </cell>
          <cell r="P696">
            <v>3067</v>
          </cell>
          <cell r="Q696"/>
          <cell r="R696">
            <v>76111</v>
          </cell>
          <cell r="S696">
            <v>633</v>
          </cell>
          <cell r="T696">
            <v>76744</v>
          </cell>
        </row>
        <row r="697">
          <cell r="A697">
            <v>97621</v>
          </cell>
          <cell r="B697" t="str">
            <v>CITY OF RANDLEMAN</v>
          </cell>
          <cell r="C697">
            <v>4.4650000000000001E-4</v>
          </cell>
          <cell r="D697">
            <v>4.5179999999999998E-4</v>
          </cell>
          <cell r="E697">
            <v>1059251</v>
          </cell>
          <cell r="F697" t="str">
            <v xml:space="preserve"> </v>
          </cell>
          <cell r="G697">
            <v>163417</v>
          </cell>
          <cell r="H697">
            <v>145404</v>
          </cell>
          <cell r="I697">
            <v>281084</v>
          </cell>
          <cell r="J697">
            <v>7112</v>
          </cell>
          <cell r="K697">
            <v>597017</v>
          </cell>
          <cell r="L697"/>
          <cell r="M697">
            <v>5483</v>
          </cell>
          <cell r="N697">
            <v>0</v>
          </cell>
          <cell r="O697">
            <v>77672</v>
          </cell>
          <cell r="P697">
            <v>83155</v>
          </cell>
          <cell r="Q697"/>
          <cell r="R697">
            <v>294231</v>
          </cell>
          <cell r="S697">
            <v>-19086</v>
          </cell>
          <cell r="T697">
            <v>275145</v>
          </cell>
        </row>
        <row r="698">
          <cell r="A698">
            <v>97623</v>
          </cell>
          <cell r="B698" t="str">
            <v>CITY OF RANDLEMAN HOUSING AUTHORITY</v>
          </cell>
          <cell r="C698">
            <v>2.4000000000000001E-5</v>
          </cell>
          <cell r="D698">
            <v>2.9499999999999999E-5</v>
          </cell>
          <cell r="E698">
            <v>56936</v>
          </cell>
          <cell r="F698" t="str">
            <v xml:space="preserve"> </v>
          </cell>
          <cell r="G698">
            <v>8784</v>
          </cell>
          <cell r="H698">
            <v>7815</v>
          </cell>
          <cell r="I698">
            <v>15109</v>
          </cell>
          <cell r="J698">
            <v>2822</v>
          </cell>
          <cell r="K698">
            <v>34530</v>
          </cell>
          <cell r="L698"/>
          <cell r="M698">
            <v>295</v>
          </cell>
          <cell r="N698">
            <v>0</v>
          </cell>
          <cell r="O698">
            <v>5509</v>
          </cell>
          <cell r="P698">
            <v>5804</v>
          </cell>
          <cell r="Q698"/>
          <cell r="R698">
            <v>15815</v>
          </cell>
          <cell r="S698">
            <v>2196</v>
          </cell>
          <cell r="T698">
            <v>18011</v>
          </cell>
        </row>
        <row r="699">
          <cell r="A699">
            <v>97627</v>
          </cell>
          <cell r="B699" t="str">
            <v>CITY OF RANDLEMAN ABC BOARD</v>
          </cell>
          <cell r="C699">
            <v>9.5000000000000005E-6</v>
          </cell>
          <cell r="D699">
            <v>9.7000000000000003E-6</v>
          </cell>
          <cell r="E699">
            <v>22537</v>
          </cell>
          <cell r="F699" t="str">
            <v xml:space="preserve"> </v>
          </cell>
          <cell r="G699">
            <v>3477</v>
          </cell>
          <cell r="H699">
            <v>3094</v>
          </cell>
          <cell r="I699">
            <v>5981</v>
          </cell>
          <cell r="J699">
            <v>860</v>
          </cell>
          <cell r="K699">
            <v>13412</v>
          </cell>
          <cell r="L699"/>
          <cell r="M699">
            <v>117</v>
          </cell>
          <cell r="N699">
            <v>0</v>
          </cell>
          <cell r="O699">
            <v>455</v>
          </cell>
          <cell r="P699">
            <v>572</v>
          </cell>
          <cell r="Q699"/>
          <cell r="R699">
            <v>6260</v>
          </cell>
          <cell r="S699">
            <v>-64</v>
          </cell>
          <cell r="T699">
            <v>6196</v>
          </cell>
        </row>
        <row r="700">
          <cell r="A700">
            <v>97631</v>
          </cell>
          <cell r="B700" t="str">
            <v xml:space="preserve"> LIBERTY</v>
          </cell>
          <cell r="C700">
            <v>2.0909999999999999E-4</v>
          </cell>
          <cell r="D700">
            <v>2.051E-4</v>
          </cell>
          <cell r="E700">
            <v>496057</v>
          </cell>
          <cell r="F700" t="str">
            <v xml:space="preserve"> </v>
          </cell>
          <cell r="G700">
            <v>76530</v>
          </cell>
          <cell r="H700">
            <v>68094</v>
          </cell>
          <cell r="I700">
            <v>131634</v>
          </cell>
          <cell r="J700">
            <v>3847</v>
          </cell>
          <cell r="K700">
            <v>280105</v>
          </cell>
          <cell r="L700"/>
          <cell r="M700">
            <v>2568</v>
          </cell>
          <cell r="N700">
            <v>0</v>
          </cell>
          <cell r="O700">
            <v>7878</v>
          </cell>
          <cell r="P700">
            <v>10446</v>
          </cell>
          <cell r="Q700"/>
          <cell r="R700">
            <v>137791</v>
          </cell>
          <cell r="S700">
            <v>3264</v>
          </cell>
          <cell r="T700">
            <v>141055</v>
          </cell>
        </row>
        <row r="701">
          <cell r="A701">
            <v>97637</v>
          </cell>
          <cell r="B701" t="str">
            <v>LIBERTY ABC BOARD</v>
          </cell>
          <cell r="C701">
            <v>3.7000000000000002E-6</v>
          </cell>
          <cell r="D701">
            <v>4.3000000000000003E-6</v>
          </cell>
          <cell r="E701">
            <v>8778</v>
          </cell>
          <cell r="F701" t="str">
            <v xml:space="preserve"> </v>
          </cell>
          <cell r="G701">
            <v>1354</v>
          </cell>
          <cell r="H701">
            <v>1205</v>
          </cell>
          <cell r="I701">
            <v>2329</v>
          </cell>
          <cell r="J701">
            <v>1324</v>
          </cell>
          <cell r="K701">
            <v>6212</v>
          </cell>
          <cell r="L701"/>
          <cell r="M701">
            <v>45</v>
          </cell>
          <cell r="N701">
            <v>0</v>
          </cell>
          <cell r="O701">
            <v>20</v>
          </cell>
          <cell r="P701">
            <v>65</v>
          </cell>
          <cell r="Q701"/>
          <cell r="R701">
            <v>2438</v>
          </cell>
          <cell r="S701">
            <v>571</v>
          </cell>
          <cell r="T701">
            <v>3009</v>
          </cell>
        </row>
        <row r="702">
          <cell r="A702">
            <v>97641</v>
          </cell>
          <cell r="B702" t="str">
            <v xml:space="preserve"> RAMSEUR</v>
          </cell>
          <cell r="C702">
            <v>5.1400000000000003E-5</v>
          </cell>
          <cell r="D702">
            <v>6.8899999999999994E-5</v>
          </cell>
          <cell r="E702">
            <v>121938</v>
          </cell>
          <cell r="F702" t="str">
            <v xml:space="preserve"> </v>
          </cell>
          <cell r="G702">
            <v>18812</v>
          </cell>
          <cell r="H702">
            <v>16739</v>
          </cell>
          <cell r="I702">
            <v>32358</v>
          </cell>
          <cell r="J702">
            <v>8101</v>
          </cell>
          <cell r="K702">
            <v>76010</v>
          </cell>
          <cell r="L702"/>
          <cell r="M702">
            <v>631</v>
          </cell>
          <cell r="N702">
            <v>0</v>
          </cell>
          <cell r="O702">
            <v>8286</v>
          </cell>
          <cell r="P702">
            <v>8917</v>
          </cell>
          <cell r="Q702"/>
          <cell r="R702">
            <v>33871</v>
          </cell>
          <cell r="S702">
            <v>0</v>
          </cell>
          <cell r="T702">
            <v>33871</v>
          </cell>
        </row>
        <row r="703">
          <cell r="A703">
            <v>97651</v>
          </cell>
          <cell r="B703" t="str">
            <v>CITY OF ARCHDALE</v>
          </cell>
          <cell r="C703">
            <v>5.1929999999999999E-4</v>
          </cell>
          <cell r="D703">
            <v>5.1979999999999995E-4</v>
          </cell>
          <cell r="E703">
            <v>1231957</v>
          </cell>
          <cell r="F703" t="str">
            <v xml:space="preserve"> </v>
          </cell>
          <cell r="G703">
            <v>190062</v>
          </cell>
          <cell r="H703">
            <v>169112</v>
          </cell>
          <cell r="I703">
            <v>326914</v>
          </cell>
          <cell r="J703">
            <v>1180</v>
          </cell>
          <cell r="K703">
            <v>687268</v>
          </cell>
          <cell r="L703"/>
          <cell r="M703">
            <v>6378</v>
          </cell>
          <cell r="N703">
            <v>0</v>
          </cell>
          <cell r="O703">
            <v>40115</v>
          </cell>
          <cell r="P703">
            <v>46493</v>
          </cell>
          <cell r="Q703"/>
          <cell r="R703">
            <v>342205</v>
          </cell>
          <cell r="S703">
            <v>-23900</v>
          </cell>
          <cell r="T703">
            <v>318305</v>
          </cell>
        </row>
        <row r="704">
          <cell r="A704">
            <v>97661</v>
          </cell>
          <cell r="B704" t="str">
            <v>CITY OF TRINITY</v>
          </cell>
          <cell r="C704">
            <v>4.3999999999999999E-5</v>
          </cell>
          <cell r="D704">
            <v>5.1600000000000001E-5</v>
          </cell>
          <cell r="E704">
            <v>104383</v>
          </cell>
          <cell r="F704" t="str">
            <v xml:space="preserve"> </v>
          </cell>
          <cell r="G704">
            <v>16104</v>
          </cell>
          <cell r="H704">
            <v>14329</v>
          </cell>
          <cell r="I704">
            <v>27699</v>
          </cell>
          <cell r="J704">
            <v>7695</v>
          </cell>
          <cell r="K704">
            <v>65827</v>
          </cell>
          <cell r="L704"/>
          <cell r="M704">
            <v>540</v>
          </cell>
          <cell r="N704">
            <v>0</v>
          </cell>
          <cell r="O704">
            <v>2802</v>
          </cell>
          <cell r="P704">
            <v>3342</v>
          </cell>
          <cell r="Q704"/>
          <cell r="R704">
            <v>28995</v>
          </cell>
          <cell r="S704">
            <v>4350</v>
          </cell>
          <cell r="T704">
            <v>33345</v>
          </cell>
        </row>
        <row r="705">
          <cell r="A705">
            <v>97701</v>
          </cell>
          <cell r="B705" t="str">
            <v>RICHMOND COUNTY</v>
          </cell>
          <cell r="C705">
            <v>2.5590000000000001E-3</v>
          </cell>
          <cell r="D705">
            <v>2.4975000000000002E-3</v>
          </cell>
          <cell r="E705">
            <v>6070823</v>
          </cell>
          <cell r="F705" t="str">
            <v xml:space="preserve"> </v>
          </cell>
          <cell r="G705">
            <v>936584</v>
          </cell>
          <cell r="H705">
            <v>833344</v>
          </cell>
          <cell r="I705">
            <v>1610962</v>
          </cell>
          <cell r="J705">
            <v>51260</v>
          </cell>
          <cell r="K705">
            <v>3432150</v>
          </cell>
          <cell r="L705"/>
          <cell r="M705">
            <v>31427</v>
          </cell>
          <cell r="N705">
            <v>0</v>
          </cell>
          <cell r="O705">
            <v>0</v>
          </cell>
          <cell r="P705">
            <v>31427</v>
          </cell>
          <cell r="Q705"/>
          <cell r="R705">
            <v>1686312</v>
          </cell>
          <cell r="S705">
            <v>10250</v>
          </cell>
          <cell r="T705">
            <v>1696562</v>
          </cell>
        </row>
        <row r="706">
          <cell r="A706">
            <v>97705</v>
          </cell>
          <cell r="B706" t="str">
            <v>SANDHILL REGIONAL LIBRARY</v>
          </cell>
          <cell r="C706">
            <v>4.5500000000000001E-5</v>
          </cell>
          <cell r="D706">
            <v>4.7700000000000001E-5</v>
          </cell>
          <cell r="E706">
            <v>107942</v>
          </cell>
          <cell r="F706" t="str">
            <v xml:space="preserve"> </v>
          </cell>
          <cell r="G706">
            <v>16653</v>
          </cell>
          <cell r="H706">
            <v>14818</v>
          </cell>
          <cell r="I706">
            <v>28644</v>
          </cell>
          <cell r="J706">
            <v>1548</v>
          </cell>
          <cell r="K706">
            <v>61663</v>
          </cell>
          <cell r="L706"/>
          <cell r="M706">
            <v>559</v>
          </cell>
          <cell r="N706">
            <v>0</v>
          </cell>
          <cell r="O706">
            <v>9592</v>
          </cell>
          <cell r="P706">
            <v>10151</v>
          </cell>
          <cell r="Q706"/>
          <cell r="R706">
            <v>29983</v>
          </cell>
          <cell r="S706">
            <v>-54</v>
          </cell>
          <cell r="T706">
            <v>29929</v>
          </cell>
        </row>
        <row r="707">
          <cell r="A707">
            <v>97711</v>
          </cell>
          <cell r="B707" t="str">
            <v>CITY OF ROCKINGHAM</v>
          </cell>
          <cell r="C707">
            <v>9.1239999999999995E-4</v>
          </cell>
          <cell r="D707">
            <v>9.0879999999999997E-4</v>
          </cell>
          <cell r="E707">
            <v>2164525</v>
          </cell>
          <cell r="F707" t="str">
            <v xml:space="preserve"> </v>
          </cell>
          <cell r="G707">
            <v>333935</v>
          </cell>
          <cell r="H707">
            <v>297125</v>
          </cell>
          <cell r="I707">
            <v>574381</v>
          </cell>
          <cell r="J707">
            <v>12495</v>
          </cell>
          <cell r="K707">
            <v>1217936</v>
          </cell>
          <cell r="L707"/>
          <cell r="M707">
            <v>11205</v>
          </cell>
          <cell r="N707">
            <v>0</v>
          </cell>
          <cell r="O707">
            <v>22125</v>
          </cell>
          <cell r="P707">
            <v>33330</v>
          </cell>
          <cell r="Q707"/>
          <cell r="R707">
            <v>601247</v>
          </cell>
          <cell r="S707">
            <v>1420</v>
          </cell>
          <cell r="T707">
            <v>602667</v>
          </cell>
        </row>
        <row r="708">
          <cell r="A708">
            <v>97713</v>
          </cell>
          <cell r="B708" t="str">
            <v>ROCKINGHAM HOUSING AUTHORITY</v>
          </cell>
          <cell r="C708">
            <v>5.0500000000000001E-5</v>
          </cell>
          <cell r="D708">
            <v>4.1199999999999999E-5</v>
          </cell>
          <cell r="E708">
            <v>119803</v>
          </cell>
          <cell r="F708" t="str">
            <v xml:space="preserve"> </v>
          </cell>
          <cell r="G708">
            <v>18483</v>
          </cell>
          <cell r="H708">
            <v>16445</v>
          </cell>
          <cell r="I708">
            <v>31791</v>
          </cell>
          <cell r="J708">
            <v>4434</v>
          </cell>
          <cell r="K708">
            <v>71153</v>
          </cell>
          <cell r="L708"/>
          <cell r="M708">
            <v>620</v>
          </cell>
          <cell r="N708">
            <v>0</v>
          </cell>
          <cell r="O708">
            <v>11193</v>
          </cell>
          <cell r="P708">
            <v>11813</v>
          </cell>
          <cell r="Q708"/>
          <cell r="R708">
            <v>33278</v>
          </cell>
          <cell r="S708">
            <v>-3702</v>
          </cell>
          <cell r="T708">
            <v>29576</v>
          </cell>
        </row>
        <row r="709">
          <cell r="A709">
            <v>97717</v>
          </cell>
          <cell r="B709" t="str">
            <v>HAMLET ABC BOARD</v>
          </cell>
          <cell r="C709">
            <v>5.3000000000000001E-6</v>
          </cell>
          <cell r="D709">
            <v>4.6999999999999999E-6</v>
          </cell>
          <cell r="E709">
            <v>12573</v>
          </cell>
          <cell r="F709" t="str">
            <v xml:space="preserve"> </v>
          </cell>
          <cell r="G709">
            <v>1940</v>
          </cell>
          <cell r="H709">
            <v>1726</v>
          </cell>
          <cell r="I709">
            <v>3336</v>
          </cell>
          <cell r="J709">
            <v>1033</v>
          </cell>
          <cell r="K709">
            <v>8035</v>
          </cell>
          <cell r="L709"/>
          <cell r="M709">
            <v>65</v>
          </cell>
          <cell r="N709">
            <v>0</v>
          </cell>
          <cell r="O709">
            <v>1481</v>
          </cell>
          <cell r="P709">
            <v>1546</v>
          </cell>
          <cell r="Q709"/>
          <cell r="R709">
            <v>3493</v>
          </cell>
          <cell r="S709">
            <v>-1455</v>
          </cell>
          <cell r="T709">
            <v>2038</v>
          </cell>
        </row>
        <row r="710">
          <cell r="A710">
            <v>97721</v>
          </cell>
          <cell r="B710" t="str">
            <v>CITY OF HAMLET</v>
          </cell>
          <cell r="C710">
            <v>5.9069999999999999E-4</v>
          </cell>
          <cell r="D710">
            <v>5.6599999999999999E-4</v>
          </cell>
          <cell r="E710">
            <v>1401342</v>
          </cell>
          <cell r="F710" t="str">
            <v xml:space="preserve"> </v>
          </cell>
          <cell r="G710">
            <v>216194</v>
          </cell>
          <cell r="H710">
            <v>192363</v>
          </cell>
          <cell r="I710">
            <v>371862</v>
          </cell>
          <cell r="J710">
            <v>11194</v>
          </cell>
          <cell r="K710">
            <v>791613</v>
          </cell>
          <cell r="L710"/>
          <cell r="M710">
            <v>7254</v>
          </cell>
          <cell r="N710">
            <v>0</v>
          </cell>
          <cell r="O710">
            <v>16380</v>
          </cell>
          <cell r="P710">
            <v>23634</v>
          </cell>
          <cell r="Q710"/>
          <cell r="R710">
            <v>389255</v>
          </cell>
          <cell r="S710">
            <v>-8177</v>
          </cell>
          <cell r="T710">
            <v>381078</v>
          </cell>
        </row>
        <row r="711">
          <cell r="A711">
            <v>97727</v>
          </cell>
          <cell r="B711" t="str">
            <v>CITY OF ROCKINGHAM ABC BOARD</v>
          </cell>
          <cell r="C711">
            <v>2.0599999999999999E-5</v>
          </cell>
          <cell r="D711">
            <v>2.27E-5</v>
          </cell>
          <cell r="E711">
            <v>48870</v>
          </cell>
          <cell r="F711" t="str">
            <v xml:space="preserve"> </v>
          </cell>
          <cell r="G711">
            <v>7540</v>
          </cell>
          <cell r="H711">
            <v>6709</v>
          </cell>
          <cell r="I711">
            <v>12968</v>
          </cell>
          <cell r="J711">
            <v>0</v>
          </cell>
          <cell r="K711">
            <v>27217</v>
          </cell>
          <cell r="L711"/>
          <cell r="M711">
            <v>253</v>
          </cell>
          <cell r="N711">
            <v>0</v>
          </cell>
          <cell r="O711">
            <v>1628</v>
          </cell>
          <cell r="P711">
            <v>1881</v>
          </cell>
          <cell r="Q711"/>
          <cell r="R711">
            <v>13575</v>
          </cell>
          <cell r="S711">
            <v>-1410</v>
          </cell>
          <cell r="T711">
            <v>12165</v>
          </cell>
        </row>
        <row r="712">
          <cell r="A712">
            <v>97731</v>
          </cell>
          <cell r="B712" t="str">
            <v xml:space="preserve"> ELLERBE</v>
          </cell>
          <cell r="C712">
            <v>3.3200000000000001E-5</v>
          </cell>
          <cell r="D712">
            <v>3.5500000000000002E-5</v>
          </cell>
          <cell r="E712">
            <v>78762</v>
          </cell>
          <cell r="F712" t="str">
            <v xml:space="preserve"> </v>
          </cell>
          <cell r="G712">
            <v>12151</v>
          </cell>
          <cell r="H712">
            <v>10811</v>
          </cell>
          <cell r="I712">
            <v>20900</v>
          </cell>
          <cell r="J712">
            <v>4695</v>
          </cell>
          <cell r="K712">
            <v>48557</v>
          </cell>
          <cell r="L712"/>
          <cell r="M712">
            <v>408</v>
          </cell>
          <cell r="N712">
            <v>0</v>
          </cell>
          <cell r="O712">
            <v>0</v>
          </cell>
          <cell r="P712">
            <v>408</v>
          </cell>
          <cell r="Q712"/>
          <cell r="R712">
            <v>21878</v>
          </cell>
          <cell r="S712">
            <v>3280</v>
          </cell>
          <cell r="T712">
            <v>25158</v>
          </cell>
        </row>
        <row r="713">
          <cell r="A713">
            <v>97801</v>
          </cell>
          <cell r="B713" t="str">
            <v>ROBESON COUNTY</v>
          </cell>
          <cell r="C713">
            <v>6.5702E-3</v>
          </cell>
          <cell r="D713">
            <v>6.9303000000000003E-3</v>
          </cell>
          <cell r="E713">
            <v>15586761</v>
          </cell>
          <cell r="F713" t="str">
            <v xml:space="preserve"> </v>
          </cell>
          <cell r="G713">
            <v>2404667</v>
          </cell>
          <cell r="H713">
            <v>2139599</v>
          </cell>
          <cell r="I713">
            <v>4136125</v>
          </cell>
          <cell r="J713">
            <v>0</v>
          </cell>
          <cell r="K713">
            <v>8680391</v>
          </cell>
          <cell r="L713"/>
          <cell r="M713">
            <v>80689</v>
          </cell>
          <cell r="N713">
            <v>0</v>
          </cell>
          <cell r="O713">
            <v>508951</v>
          </cell>
          <cell r="P713">
            <v>589640</v>
          </cell>
          <cell r="Q713"/>
          <cell r="R713">
            <v>4329584</v>
          </cell>
          <cell r="S713">
            <v>-154797</v>
          </cell>
          <cell r="T713">
            <v>4174787</v>
          </cell>
        </row>
        <row r="714">
          <cell r="A714">
            <v>97802</v>
          </cell>
          <cell r="B714" t="str">
            <v>LUMBER RIVER COUNCIL OF GOVERNMENTS</v>
          </cell>
          <cell r="C714">
            <v>1.684E-4</v>
          </cell>
          <cell r="D714">
            <v>1.5300000000000001E-4</v>
          </cell>
          <cell r="E714">
            <v>399502</v>
          </cell>
          <cell r="F714" t="str">
            <v xml:space="preserve"> </v>
          </cell>
          <cell r="G714">
            <v>61634</v>
          </cell>
          <cell r="H714">
            <v>54840</v>
          </cell>
          <cell r="I714">
            <v>106013</v>
          </cell>
          <cell r="J714">
            <v>12750</v>
          </cell>
          <cell r="K714">
            <v>235237</v>
          </cell>
          <cell r="L714"/>
          <cell r="M714">
            <v>2068</v>
          </cell>
          <cell r="N714">
            <v>0</v>
          </cell>
          <cell r="O714">
            <v>17264</v>
          </cell>
          <cell r="P714">
            <v>19332</v>
          </cell>
          <cell r="Q714"/>
          <cell r="R714">
            <v>110971</v>
          </cell>
          <cell r="S714">
            <v>1914</v>
          </cell>
          <cell r="T714">
            <v>112885</v>
          </cell>
        </row>
        <row r="715">
          <cell r="A715">
            <v>97803</v>
          </cell>
          <cell r="B715" t="str">
            <v>ROBESON COUNTY HOUSING AUTHORITY</v>
          </cell>
          <cell r="C715">
            <v>8.1699999999999994E-5</v>
          </cell>
          <cell r="D715">
            <v>7.5300000000000001E-5</v>
          </cell>
          <cell r="E715">
            <v>193820</v>
          </cell>
          <cell r="F715" t="str">
            <v xml:space="preserve"> </v>
          </cell>
          <cell r="G715">
            <v>29902</v>
          </cell>
          <cell r="H715">
            <v>26605</v>
          </cell>
          <cell r="I715">
            <v>51432</v>
          </cell>
          <cell r="J715">
            <v>5367</v>
          </cell>
          <cell r="K715">
            <v>113306</v>
          </cell>
          <cell r="L715"/>
          <cell r="M715">
            <v>1003</v>
          </cell>
          <cell r="N715">
            <v>0</v>
          </cell>
          <cell r="O715">
            <v>685</v>
          </cell>
          <cell r="P715">
            <v>1688</v>
          </cell>
          <cell r="Q715"/>
          <cell r="R715">
            <v>53838</v>
          </cell>
          <cell r="S715">
            <v>4391</v>
          </cell>
          <cell r="T715">
            <v>58229</v>
          </cell>
        </row>
        <row r="716">
          <cell r="A716">
            <v>97805</v>
          </cell>
          <cell r="B716" t="str">
            <v>ROBESON COUNTY PUBLIC LIBRARY</v>
          </cell>
          <cell r="C716">
            <v>8.2700000000000004E-5</v>
          </cell>
          <cell r="D716">
            <v>7.9400000000000006E-5</v>
          </cell>
          <cell r="E716">
            <v>196193</v>
          </cell>
          <cell r="F716" t="str">
            <v xml:space="preserve"> </v>
          </cell>
          <cell r="G716">
            <v>30268</v>
          </cell>
          <cell r="H716">
            <v>26932</v>
          </cell>
          <cell r="I716">
            <v>52062</v>
          </cell>
          <cell r="J716">
            <v>9379</v>
          </cell>
          <cell r="K716">
            <v>118641</v>
          </cell>
          <cell r="L716"/>
          <cell r="M716">
            <v>1016</v>
          </cell>
          <cell r="N716">
            <v>0</v>
          </cell>
          <cell r="O716">
            <v>0</v>
          </cell>
          <cell r="P716">
            <v>1016</v>
          </cell>
          <cell r="Q716"/>
          <cell r="R716">
            <v>54497</v>
          </cell>
          <cell r="S716">
            <v>4756</v>
          </cell>
          <cell r="T716">
            <v>59253</v>
          </cell>
        </row>
        <row r="717">
          <cell r="A717">
            <v>97811</v>
          </cell>
          <cell r="B717" t="str">
            <v>CITY OF LUMBERTON</v>
          </cell>
          <cell r="C717">
            <v>2.4342999999999999E-3</v>
          </cell>
          <cell r="D717">
            <v>2.4172E-3</v>
          </cell>
          <cell r="E717">
            <v>5774992</v>
          </cell>
          <cell r="F717" t="str">
            <v xml:space="preserve"> </v>
          </cell>
          <cell r="G717">
            <v>890944</v>
          </cell>
          <cell r="H717">
            <v>792734</v>
          </cell>
          <cell r="I717">
            <v>1532460</v>
          </cell>
          <cell r="J717">
            <v>0</v>
          </cell>
          <cell r="K717">
            <v>3216138</v>
          </cell>
          <cell r="L717"/>
          <cell r="M717">
            <v>29896</v>
          </cell>
          <cell r="N717">
            <v>0</v>
          </cell>
          <cell r="O717">
            <v>95364</v>
          </cell>
          <cell r="P717">
            <v>125260</v>
          </cell>
          <cell r="Q717"/>
          <cell r="R717">
            <v>1604138</v>
          </cell>
          <cell r="S717">
            <v>-74364</v>
          </cell>
          <cell r="T717">
            <v>1529774</v>
          </cell>
        </row>
        <row r="718">
          <cell r="A718">
            <v>97817</v>
          </cell>
          <cell r="B718" t="str">
            <v>LUMBERTON ABC BOARD</v>
          </cell>
          <cell r="C718">
            <v>1.8199999999999999E-5</v>
          </cell>
          <cell r="D718">
            <v>2.2200000000000001E-5</v>
          </cell>
          <cell r="E718">
            <v>43177</v>
          </cell>
          <cell r="F718" t="str">
            <v xml:space="preserve"> </v>
          </cell>
          <cell r="G718">
            <v>6661</v>
          </cell>
          <cell r="H718">
            <v>5927</v>
          </cell>
          <cell r="I718">
            <v>11457</v>
          </cell>
          <cell r="J718">
            <v>13908</v>
          </cell>
          <cell r="K718">
            <v>37953</v>
          </cell>
          <cell r="L718"/>
          <cell r="M718">
            <v>224</v>
          </cell>
          <cell r="N718">
            <v>0</v>
          </cell>
          <cell r="O718">
            <v>1088</v>
          </cell>
          <cell r="P718">
            <v>1312</v>
          </cell>
          <cell r="Q718"/>
          <cell r="R718">
            <v>11993</v>
          </cell>
          <cell r="S718">
            <v>4171</v>
          </cell>
          <cell r="T718">
            <v>16164</v>
          </cell>
        </row>
        <row r="719">
          <cell r="A719">
            <v>97818</v>
          </cell>
          <cell r="B719" t="str">
            <v>LUMBERTON AIRPORT COMM</v>
          </cell>
          <cell r="C719">
            <v>2.0299999999999999E-5</v>
          </cell>
          <cell r="D719">
            <v>2.1999999999999999E-5</v>
          </cell>
          <cell r="E719">
            <v>48159</v>
          </cell>
          <cell r="F719" t="str">
            <v xml:space="preserve"> </v>
          </cell>
          <cell r="G719">
            <v>7430</v>
          </cell>
          <cell r="H719">
            <v>6611</v>
          </cell>
          <cell r="I719">
            <v>12779</v>
          </cell>
          <cell r="J719">
            <v>3906</v>
          </cell>
          <cell r="K719">
            <v>30726</v>
          </cell>
          <cell r="L719"/>
          <cell r="M719">
            <v>249</v>
          </cell>
          <cell r="N719">
            <v>0</v>
          </cell>
          <cell r="O719">
            <v>983</v>
          </cell>
          <cell r="P719">
            <v>1232</v>
          </cell>
          <cell r="Q719"/>
          <cell r="R719">
            <v>13377</v>
          </cell>
          <cell r="S719">
            <v>-89</v>
          </cell>
          <cell r="T719">
            <v>13288</v>
          </cell>
        </row>
        <row r="720">
          <cell r="A720">
            <v>97821</v>
          </cell>
          <cell r="B720" t="str">
            <v xml:space="preserve"> FAIRMONT</v>
          </cell>
          <cell r="C720">
            <v>1.071E-4</v>
          </cell>
          <cell r="D720">
            <v>1.126E-4</v>
          </cell>
          <cell r="E720">
            <v>254078</v>
          </cell>
          <cell r="F720" t="str">
            <v xml:space="preserve"> </v>
          </cell>
          <cell r="G720">
            <v>39198</v>
          </cell>
          <cell r="H720">
            <v>34878</v>
          </cell>
          <cell r="I720">
            <v>67422</v>
          </cell>
          <cell r="J720">
            <v>12602</v>
          </cell>
          <cell r="K720">
            <v>154100</v>
          </cell>
          <cell r="L720"/>
          <cell r="M720">
            <v>1315</v>
          </cell>
          <cell r="N720">
            <v>0</v>
          </cell>
          <cell r="O720">
            <v>5606</v>
          </cell>
          <cell r="P720">
            <v>6921</v>
          </cell>
          <cell r="Q720"/>
          <cell r="R720">
            <v>70576</v>
          </cell>
          <cell r="S720">
            <v>-7137</v>
          </cell>
          <cell r="T720">
            <v>63439</v>
          </cell>
        </row>
        <row r="721">
          <cell r="A721">
            <v>97823</v>
          </cell>
          <cell r="B721" t="str">
            <v>FAIRMONT HOUSING AUTHORITY</v>
          </cell>
          <cell r="C721">
            <v>1.7200000000000001E-5</v>
          </cell>
          <cell r="D721">
            <v>2.3300000000000001E-5</v>
          </cell>
          <cell r="E721">
            <v>40804</v>
          </cell>
          <cell r="F721" t="str">
            <v xml:space="preserve"> </v>
          </cell>
          <cell r="G721">
            <v>6295</v>
          </cell>
          <cell r="H721">
            <v>5601</v>
          </cell>
          <cell r="I721">
            <v>10828</v>
          </cell>
          <cell r="J721">
            <v>1190</v>
          </cell>
          <cell r="K721">
            <v>23914</v>
          </cell>
          <cell r="L721"/>
          <cell r="M721">
            <v>211</v>
          </cell>
          <cell r="N721">
            <v>0</v>
          </cell>
          <cell r="O721">
            <v>2106</v>
          </cell>
          <cell r="P721">
            <v>2317</v>
          </cell>
          <cell r="Q721"/>
          <cell r="R721">
            <v>11334</v>
          </cell>
          <cell r="S721">
            <v>-598</v>
          </cell>
          <cell r="T721">
            <v>10736</v>
          </cell>
        </row>
        <row r="722">
          <cell r="A722">
            <v>97831</v>
          </cell>
          <cell r="B722" t="str">
            <v xml:space="preserve"> ST PAULS</v>
          </cell>
          <cell r="C722">
            <v>1.5200000000000001E-4</v>
          </cell>
          <cell r="D722">
            <v>1.7009999999999999E-4</v>
          </cell>
          <cell r="E722">
            <v>360596</v>
          </cell>
          <cell r="F722" t="str">
            <v xml:space="preserve"> </v>
          </cell>
          <cell r="G722">
            <v>55631</v>
          </cell>
          <cell r="H722">
            <v>49499</v>
          </cell>
          <cell r="I722">
            <v>95688</v>
          </cell>
          <cell r="J722">
            <v>11447</v>
          </cell>
          <cell r="K722">
            <v>212265</v>
          </cell>
          <cell r="L722"/>
          <cell r="M722">
            <v>1867</v>
          </cell>
          <cell r="N722">
            <v>0</v>
          </cell>
          <cell r="O722">
            <v>5865</v>
          </cell>
          <cell r="P722">
            <v>7732</v>
          </cell>
          <cell r="Q722"/>
          <cell r="R722">
            <v>100164</v>
          </cell>
          <cell r="S722">
            <v>-2869</v>
          </cell>
          <cell r="T722">
            <v>97295</v>
          </cell>
        </row>
        <row r="723">
          <cell r="A723">
            <v>97837</v>
          </cell>
          <cell r="B723" t="str">
            <v>ST PAUL'S BRD OF ALCOHOLIC CTL</v>
          </cell>
          <cell r="C723">
            <v>9.3000000000000007E-6</v>
          </cell>
          <cell r="D723">
            <v>1.0200000000000001E-5</v>
          </cell>
          <cell r="E723">
            <v>22063</v>
          </cell>
          <cell r="F723" t="str">
            <v xml:space="preserve"> </v>
          </cell>
          <cell r="G723">
            <v>3404</v>
          </cell>
          <cell r="H723">
            <v>3029</v>
          </cell>
          <cell r="I723">
            <v>5855</v>
          </cell>
          <cell r="J723">
            <v>3379</v>
          </cell>
          <cell r="K723">
            <v>15667</v>
          </cell>
          <cell r="L723"/>
          <cell r="M723">
            <v>114</v>
          </cell>
          <cell r="N723">
            <v>0</v>
          </cell>
          <cell r="O723">
            <v>139</v>
          </cell>
          <cell r="P723">
            <v>253</v>
          </cell>
          <cell r="Q723"/>
          <cell r="R723">
            <v>6128</v>
          </cell>
          <cell r="S723">
            <v>1610</v>
          </cell>
          <cell r="T723">
            <v>7738</v>
          </cell>
        </row>
        <row r="724">
          <cell r="A724">
            <v>97840</v>
          </cell>
          <cell r="B724" t="str">
            <v xml:space="preserve"> MAXTON</v>
          </cell>
          <cell r="C724">
            <v>1.36E-4</v>
          </cell>
          <cell r="D724">
            <v>1.3190000000000001E-4</v>
          </cell>
          <cell r="E724">
            <v>322639</v>
          </cell>
          <cell r="F724" t="str">
            <v xml:space="preserve"> </v>
          </cell>
          <cell r="G724">
            <v>49775</v>
          </cell>
          <cell r="H724">
            <v>44288</v>
          </cell>
          <cell r="I724">
            <v>85616</v>
          </cell>
          <cell r="J724">
            <v>90526</v>
          </cell>
          <cell r="K724">
            <v>270205</v>
          </cell>
          <cell r="L724"/>
          <cell r="M724">
            <v>1670</v>
          </cell>
          <cell r="N724">
            <v>0</v>
          </cell>
          <cell r="O724">
            <v>0</v>
          </cell>
          <cell r="P724">
            <v>1670</v>
          </cell>
          <cell r="Q724"/>
          <cell r="R724">
            <v>89620</v>
          </cell>
          <cell r="S724">
            <v>37670</v>
          </cell>
          <cell r="T724">
            <v>127290</v>
          </cell>
        </row>
        <row r="725">
          <cell r="A725">
            <v>97841</v>
          </cell>
          <cell r="B725" t="str">
            <v xml:space="preserve"> PARKTON</v>
          </cell>
          <cell r="C725">
            <v>1.2E-5</v>
          </cell>
          <cell r="D725">
            <v>1.31E-5</v>
          </cell>
          <cell r="E725">
            <v>28468</v>
          </cell>
          <cell r="F725" t="str">
            <v xml:space="preserve"> </v>
          </cell>
          <cell r="G725">
            <v>4392</v>
          </cell>
          <cell r="H725">
            <v>3908</v>
          </cell>
          <cell r="I725">
            <v>7554</v>
          </cell>
          <cell r="J725">
            <v>186</v>
          </cell>
          <cell r="K725">
            <v>16040</v>
          </cell>
          <cell r="L725"/>
          <cell r="M725">
            <v>147</v>
          </cell>
          <cell r="N725">
            <v>0</v>
          </cell>
          <cell r="O725">
            <v>783</v>
          </cell>
          <cell r="P725">
            <v>930</v>
          </cell>
          <cell r="Q725"/>
          <cell r="R725">
            <v>7908</v>
          </cell>
          <cell r="S725">
            <v>-3836</v>
          </cell>
          <cell r="T725">
            <v>4072</v>
          </cell>
        </row>
        <row r="726">
          <cell r="A726">
            <v>97847</v>
          </cell>
          <cell r="B726" t="str">
            <v>MAXTON ABC BOARD</v>
          </cell>
          <cell r="C726">
            <v>1.9999999999999999E-6</v>
          </cell>
          <cell r="D726">
            <v>2.0999999999999998E-6</v>
          </cell>
          <cell r="E726">
            <v>4745</v>
          </cell>
          <cell r="F726" t="str">
            <v xml:space="preserve"> </v>
          </cell>
          <cell r="G726">
            <v>732</v>
          </cell>
          <cell r="H726">
            <v>651</v>
          </cell>
          <cell r="I726">
            <v>1259</v>
          </cell>
          <cell r="J726">
            <v>2019</v>
          </cell>
          <cell r="K726">
            <v>4661</v>
          </cell>
          <cell r="L726"/>
          <cell r="M726">
            <v>25</v>
          </cell>
          <cell r="N726">
            <v>0</v>
          </cell>
          <cell r="O726">
            <v>0</v>
          </cell>
          <cell r="P726">
            <v>25</v>
          </cell>
          <cell r="Q726"/>
          <cell r="R726">
            <v>1318</v>
          </cell>
          <cell r="S726">
            <v>610</v>
          </cell>
          <cell r="T726">
            <v>1928</v>
          </cell>
        </row>
        <row r="727">
          <cell r="A727">
            <v>97851</v>
          </cell>
          <cell r="B727" t="str">
            <v xml:space="preserve"> PEMBROKE</v>
          </cell>
          <cell r="C727">
            <v>2.7750000000000002E-4</v>
          </cell>
          <cell r="D727">
            <v>2.7799999999999998E-4</v>
          </cell>
          <cell r="E727">
            <v>658325</v>
          </cell>
          <cell r="F727" t="str">
            <v xml:space="preserve"> </v>
          </cell>
          <cell r="G727">
            <v>101564</v>
          </cell>
          <cell r="H727">
            <v>90369</v>
          </cell>
          <cell r="I727">
            <v>174694</v>
          </cell>
          <cell r="J727">
            <v>0</v>
          </cell>
          <cell r="K727">
            <v>366627</v>
          </cell>
          <cell r="L727"/>
          <cell r="M727">
            <v>3408</v>
          </cell>
          <cell r="N727">
            <v>0</v>
          </cell>
          <cell r="O727">
            <v>25332</v>
          </cell>
          <cell r="P727">
            <v>28740</v>
          </cell>
          <cell r="Q727"/>
          <cell r="R727">
            <v>182865</v>
          </cell>
          <cell r="S727">
            <v>-6676</v>
          </cell>
          <cell r="T727">
            <v>176189</v>
          </cell>
        </row>
        <row r="728">
          <cell r="A728">
            <v>97853</v>
          </cell>
          <cell r="B728" t="str">
            <v>PEMBROKE HOUSING AUTHORITY</v>
          </cell>
          <cell r="C728">
            <v>9.09E-5</v>
          </cell>
          <cell r="D728">
            <v>1.0289999999999999E-4</v>
          </cell>
          <cell r="E728">
            <v>215646</v>
          </cell>
          <cell r="F728" t="str">
            <v xml:space="preserve"> </v>
          </cell>
          <cell r="G728">
            <v>33269</v>
          </cell>
          <cell r="H728">
            <v>29601</v>
          </cell>
          <cell r="I728">
            <v>57224</v>
          </cell>
          <cell r="J728">
            <v>4930</v>
          </cell>
          <cell r="K728">
            <v>125024</v>
          </cell>
          <cell r="L728"/>
          <cell r="M728">
            <v>1116</v>
          </cell>
          <cell r="N728">
            <v>0</v>
          </cell>
          <cell r="O728">
            <v>18002</v>
          </cell>
          <cell r="P728">
            <v>19118</v>
          </cell>
          <cell r="Q728"/>
          <cell r="R728">
            <v>59901</v>
          </cell>
          <cell r="S728">
            <v>-2497</v>
          </cell>
          <cell r="T728">
            <v>57404</v>
          </cell>
        </row>
        <row r="729">
          <cell r="A729">
            <v>97861</v>
          </cell>
          <cell r="B729" t="str">
            <v xml:space="preserve"> ROWLAND</v>
          </cell>
          <cell r="C729">
            <v>4.3000000000000002E-5</v>
          </cell>
          <cell r="D729">
            <v>6.7000000000000002E-5</v>
          </cell>
          <cell r="E729">
            <v>102011</v>
          </cell>
          <cell r="F729" t="str">
            <v xml:space="preserve"> </v>
          </cell>
          <cell r="G729">
            <v>15738</v>
          </cell>
          <cell r="H729">
            <v>14003</v>
          </cell>
          <cell r="I729">
            <v>27070</v>
          </cell>
          <cell r="J729">
            <v>799</v>
          </cell>
          <cell r="K729">
            <v>57610</v>
          </cell>
          <cell r="L729"/>
          <cell r="M729">
            <v>528</v>
          </cell>
          <cell r="N729">
            <v>0</v>
          </cell>
          <cell r="O729">
            <v>15816</v>
          </cell>
          <cell r="P729">
            <v>16344</v>
          </cell>
          <cell r="Q729"/>
          <cell r="R729">
            <v>28336</v>
          </cell>
          <cell r="S729">
            <v>-6822</v>
          </cell>
          <cell r="T729">
            <v>21514</v>
          </cell>
        </row>
        <row r="730">
          <cell r="A730">
            <v>97871</v>
          </cell>
          <cell r="B730" t="str">
            <v xml:space="preserve"> RED SPRINGS</v>
          </cell>
          <cell r="C730">
            <v>3.1080000000000002E-4</v>
          </cell>
          <cell r="D730">
            <v>2.9930000000000001E-4</v>
          </cell>
          <cell r="E730">
            <v>737324</v>
          </cell>
          <cell r="F730" t="str">
            <v xml:space="preserve"> </v>
          </cell>
          <cell r="G730">
            <v>113752</v>
          </cell>
          <cell r="H730">
            <v>101213</v>
          </cell>
          <cell r="I730">
            <v>195657</v>
          </cell>
          <cell r="J730">
            <v>260432</v>
          </cell>
          <cell r="K730">
            <v>671054</v>
          </cell>
          <cell r="L730"/>
          <cell r="M730">
            <v>3817</v>
          </cell>
          <cell r="N730">
            <v>0</v>
          </cell>
          <cell r="O730">
            <v>0</v>
          </cell>
          <cell r="P730">
            <v>3817</v>
          </cell>
          <cell r="Q730"/>
          <cell r="R730">
            <v>204809</v>
          </cell>
          <cell r="S730">
            <v>109999</v>
          </cell>
          <cell r="T730">
            <v>314808</v>
          </cell>
        </row>
        <row r="731">
          <cell r="A731">
            <v>97877</v>
          </cell>
          <cell r="B731" t="str">
            <v>RED SPRINGS ABC BOARD</v>
          </cell>
          <cell r="C731">
            <v>1.7999999999999999E-6</v>
          </cell>
          <cell r="D731">
            <v>1.9E-6</v>
          </cell>
          <cell r="E731">
            <v>4270</v>
          </cell>
          <cell r="F731" t="str">
            <v xml:space="preserve"> </v>
          </cell>
          <cell r="G731">
            <v>659</v>
          </cell>
          <cell r="H731">
            <v>586</v>
          </cell>
          <cell r="I731">
            <v>1133</v>
          </cell>
          <cell r="J731">
            <v>2439</v>
          </cell>
          <cell r="K731">
            <v>4817</v>
          </cell>
          <cell r="L731"/>
          <cell r="M731">
            <v>22</v>
          </cell>
          <cell r="N731">
            <v>0</v>
          </cell>
          <cell r="O731">
            <v>0</v>
          </cell>
          <cell r="P731">
            <v>22</v>
          </cell>
          <cell r="Q731"/>
          <cell r="R731">
            <v>1186</v>
          </cell>
          <cell r="S731">
            <v>1008</v>
          </cell>
          <cell r="T731">
            <v>2194</v>
          </cell>
        </row>
        <row r="732">
          <cell r="A732">
            <v>97901</v>
          </cell>
          <cell r="B732" t="str">
            <v>ROCKINGHAM COUNTY</v>
          </cell>
          <cell r="C732">
            <v>4.2154000000000002E-3</v>
          </cell>
          <cell r="D732">
            <v>4.2658000000000001E-3</v>
          </cell>
          <cell r="E732">
            <v>10000370</v>
          </cell>
          <cell r="F732" t="str">
            <v xml:space="preserve"> </v>
          </cell>
          <cell r="G732">
            <v>1542820</v>
          </cell>
          <cell r="H732">
            <v>1372753</v>
          </cell>
          <cell r="I732">
            <v>2653712</v>
          </cell>
          <cell r="J732">
            <v>48144</v>
          </cell>
          <cell r="K732">
            <v>5617429</v>
          </cell>
          <cell r="L732"/>
          <cell r="M732">
            <v>51769</v>
          </cell>
          <cell r="N732">
            <v>0</v>
          </cell>
          <cell r="O732">
            <v>28304</v>
          </cell>
          <cell r="P732">
            <v>80073</v>
          </cell>
          <cell r="Q732"/>
          <cell r="R732">
            <v>2777835</v>
          </cell>
          <cell r="S732">
            <v>30359</v>
          </cell>
          <cell r="T732">
            <v>2808194</v>
          </cell>
        </row>
        <row r="733">
          <cell r="A733">
            <v>97911</v>
          </cell>
          <cell r="B733" t="str">
            <v>CITY OF REIDSVILLE</v>
          </cell>
          <cell r="C733">
            <v>1.2834000000000001E-3</v>
          </cell>
          <cell r="D733">
            <v>1.3005E-3</v>
          </cell>
          <cell r="E733">
            <v>3044664</v>
          </cell>
          <cell r="F733" t="str">
            <v xml:space="preserve"> </v>
          </cell>
          <cell r="G733">
            <v>469719</v>
          </cell>
          <cell r="H733">
            <v>417942</v>
          </cell>
          <cell r="I733">
            <v>807936</v>
          </cell>
          <cell r="J733">
            <v>11320</v>
          </cell>
          <cell r="K733">
            <v>1706917</v>
          </cell>
          <cell r="L733"/>
          <cell r="M733">
            <v>15761</v>
          </cell>
          <cell r="N733">
            <v>0</v>
          </cell>
          <cell r="O733">
            <v>18493</v>
          </cell>
          <cell r="P733">
            <v>34254</v>
          </cell>
          <cell r="Q733"/>
          <cell r="R733">
            <v>845726</v>
          </cell>
          <cell r="S733">
            <v>10611</v>
          </cell>
          <cell r="T733">
            <v>856337</v>
          </cell>
        </row>
        <row r="734">
          <cell r="A734">
            <v>97913</v>
          </cell>
          <cell r="B734" t="str">
            <v>THE NEW REIDSVILLE HOUSING AUTHORITY</v>
          </cell>
          <cell r="C734">
            <v>3.3899999999999997E-5</v>
          </cell>
          <cell r="D734">
            <v>3.5899999999999998E-5</v>
          </cell>
          <cell r="E734">
            <v>80422</v>
          </cell>
          <cell r="F734" t="str">
            <v xml:space="preserve"> </v>
          </cell>
          <cell r="G734">
            <v>12407</v>
          </cell>
          <cell r="H734">
            <v>11039</v>
          </cell>
          <cell r="I734">
            <v>21341</v>
          </cell>
          <cell r="J734">
            <v>17313</v>
          </cell>
          <cell r="K734">
            <v>62100</v>
          </cell>
          <cell r="L734"/>
          <cell r="M734">
            <v>416</v>
          </cell>
          <cell r="N734">
            <v>0</v>
          </cell>
          <cell r="O734">
            <v>0</v>
          </cell>
          <cell r="P734">
            <v>416</v>
          </cell>
          <cell r="Q734"/>
          <cell r="R734">
            <v>22339</v>
          </cell>
          <cell r="S734">
            <v>7130</v>
          </cell>
          <cell r="T734">
            <v>29469</v>
          </cell>
        </row>
        <row r="735">
          <cell r="A735">
            <v>97917</v>
          </cell>
          <cell r="B735" t="str">
            <v>REIDSVILLE ABC BOARD</v>
          </cell>
          <cell r="C735">
            <v>1.9700000000000001E-5</v>
          </cell>
          <cell r="D735">
            <v>2.0999999999999999E-5</v>
          </cell>
          <cell r="E735">
            <v>46735</v>
          </cell>
          <cell r="F735" t="str">
            <v xml:space="preserve"> </v>
          </cell>
          <cell r="G735">
            <v>7210</v>
          </cell>
          <cell r="H735">
            <v>6415</v>
          </cell>
          <cell r="I735">
            <v>12402</v>
          </cell>
          <cell r="J735">
            <v>7021</v>
          </cell>
          <cell r="K735">
            <v>33048</v>
          </cell>
          <cell r="L735"/>
          <cell r="M735">
            <v>242</v>
          </cell>
          <cell r="N735">
            <v>0</v>
          </cell>
          <cell r="O735">
            <v>0</v>
          </cell>
          <cell r="P735">
            <v>242</v>
          </cell>
          <cell r="Q735"/>
          <cell r="R735">
            <v>12982</v>
          </cell>
          <cell r="S735">
            <v>3750</v>
          </cell>
          <cell r="T735">
            <v>16732</v>
          </cell>
        </row>
        <row r="736">
          <cell r="A736">
            <v>97921</v>
          </cell>
          <cell r="B736" t="str">
            <v xml:space="preserve"> MAYODAN</v>
          </cell>
          <cell r="C736">
            <v>2.2699999999999999E-4</v>
          </cell>
          <cell r="D736">
            <v>2.1699999999999999E-4</v>
          </cell>
          <cell r="E736">
            <v>538522</v>
          </cell>
          <cell r="F736" t="str">
            <v xml:space="preserve"> </v>
          </cell>
          <cell r="G736">
            <v>83081</v>
          </cell>
          <cell r="H736">
            <v>73923</v>
          </cell>
          <cell r="I736">
            <v>142903</v>
          </cell>
          <cell r="J736">
            <v>12802</v>
          </cell>
          <cell r="K736">
            <v>312709</v>
          </cell>
          <cell r="L736"/>
          <cell r="M736">
            <v>2788</v>
          </cell>
          <cell r="N736">
            <v>0</v>
          </cell>
          <cell r="O736">
            <v>2898</v>
          </cell>
          <cell r="P736">
            <v>5686</v>
          </cell>
          <cell r="Q736"/>
          <cell r="R736">
            <v>149587</v>
          </cell>
          <cell r="S736">
            <v>5157</v>
          </cell>
          <cell r="T736">
            <v>154744</v>
          </cell>
        </row>
        <row r="737">
          <cell r="A737">
            <v>97931</v>
          </cell>
          <cell r="B737" t="str">
            <v xml:space="preserve"> STONEVILLE</v>
          </cell>
          <cell r="C737">
            <v>6.7600000000000003E-5</v>
          </cell>
          <cell r="D737">
            <v>7.0199999999999999E-5</v>
          </cell>
          <cell r="E737">
            <v>160370</v>
          </cell>
          <cell r="F737" t="str">
            <v xml:space="preserve"> </v>
          </cell>
          <cell r="G737">
            <v>24741</v>
          </cell>
          <cell r="H737">
            <v>22014</v>
          </cell>
          <cell r="I737">
            <v>42556</v>
          </cell>
          <cell r="J737">
            <v>9841</v>
          </cell>
          <cell r="K737">
            <v>99152</v>
          </cell>
          <cell r="L737"/>
          <cell r="M737">
            <v>830</v>
          </cell>
          <cell r="N737">
            <v>0</v>
          </cell>
          <cell r="O737">
            <v>3109</v>
          </cell>
          <cell r="P737">
            <v>3939</v>
          </cell>
          <cell r="Q737"/>
          <cell r="R737">
            <v>44547</v>
          </cell>
          <cell r="S737">
            <v>1729</v>
          </cell>
          <cell r="T737">
            <v>46276</v>
          </cell>
        </row>
        <row r="738">
          <cell r="A738">
            <v>97941</v>
          </cell>
          <cell r="B738" t="str">
            <v xml:space="preserve"> MADISON</v>
          </cell>
          <cell r="C738">
            <v>2.0159999999999999E-4</v>
          </cell>
          <cell r="D738">
            <v>2.0479999999999999E-4</v>
          </cell>
          <cell r="E738">
            <v>478264</v>
          </cell>
          <cell r="F738" t="str">
            <v xml:space="preserve"> </v>
          </cell>
          <cell r="G738">
            <v>73785</v>
          </cell>
          <cell r="H738">
            <v>65651</v>
          </cell>
          <cell r="I738">
            <v>126913</v>
          </cell>
          <cell r="J738">
            <v>19522</v>
          </cell>
          <cell r="K738">
            <v>285871</v>
          </cell>
          <cell r="L738"/>
          <cell r="M738">
            <v>2476</v>
          </cell>
          <cell r="N738">
            <v>0</v>
          </cell>
          <cell r="O738">
            <v>6561</v>
          </cell>
          <cell r="P738">
            <v>9037</v>
          </cell>
          <cell r="Q738"/>
          <cell r="R738">
            <v>132849</v>
          </cell>
          <cell r="S738">
            <v>9717</v>
          </cell>
          <cell r="T738">
            <v>142566</v>
          </cell>
        </row>
        <row r="739">
          <cell r="A739">
            <v>97947</v>
          </cell>
          <cell r="B739" t="str">
            <v>MADISON ABC BOARD</v>
          </cell>
          <cell r="C739">
            <v>1.47E-5</v>
          </cell>
          <cell r="D739">
            <v>1.3900000000000001E-5</v>
          </cell>
          <cell r="E739">
            <v>34873</v>
          </cell>
          <cell r="F739" t="str">
            <v xml:space="preserve"> </v>
          </cell>
          <cell r="G739">
            <v>5380</v>
          </cell>
          <cell r="H739">
            <v>4788</v>
          </cell>
          <cell r="I739">
            <v>9254</v>
          </cell>
          <cell r="J739">
            <v>11430</v>
          </cell>
          <cell r="K739">
            <v>30852</v>
          </cell>
          <cell r="L739"/>
          <cell r="M739">
            <v>181</v>
          </cell>
          <cell r="N739">
            <v>0</v>
          </cell>
          <cell r="O739">
            <v>0</v>
          </cell>
          <cell r="P739">
            <v>181</v>
          </cell>
          <cell r="Q739"/>
          <cell r="R739">
            <v>9687</v>
          </cell>
          <cell r="S739">
            <v>4453</v>
          </cell>
          <cell r="T739">
            <v>14140</v>
          </cell>
        </row>
        <row r="740">
          <cell r="A740">
            <v>97948</v>
          </cell>
          <cell r="B740" t="str">
            <v>MADISON-MAYODAN RECREATION COMM</v>
          </cell>
          <cell r="C740">
            <v>2.1299999999999999E-5</v>
          </cell>
          <cell r="D740">
            <v>2.2099999999999998E-5</v>
          </cell>
          <cell r="E740">
            <v>50531</v>
          </cell>
          <cell r="F740" t="str">
            <v xml:space="preserve"> </v>
          </cell>
          <cell r="G740">
            <v>7796</v>
          </cell>
          <cell r="H740">
            <v>6936</v>
          </cell>
          <cell r="I740">
            <v>13409</v>
          </cell>
          <cell r="J740">
            <v>1178</v>
          </cell>
          <cell r="K740">
            <v>29319</v>
          </cell>
          <cell r="L740"/>
          <cell r="M740">
            <v>262</v>
          </cell>
          <cell r="N740">
            <v>0</v>
          </cell>
          <cell r="O740">
            <v>6237</v>
          </cell>
          <cell r="P740">
            <v>6499</v>
          </cell>
          <cell r="Q740"/>
          <cell r="R740">
            <v>14036</v>
          </cell>
          <cell r="S740">
            <v>-878</v>
          </cell>
          <cell r="T740">
            <v>13158</v>
          </cell>
        </row>
        <row r="741">
          <cell r="A741">
            <v>97951</v>
          </cell>
          <cell r="B741" t="str">
            <v>CITY OF EDEN</v>
          </cell>
          <cell r="C741">
            <v>1.1826E-3</v>
          </cell>
          <cell r="D741">
            <v>1.2440999999999999E-3</v>
          </cell>
          <cell r="E741">
            <v>2805532</v>
          </cell>
          <cell r="F741" t="str">
            <v xml:space="preserve"> </v>
          </cell>
          <cell r="G741">
            <v>432827</v>
          </cell>
          <cell r="H741">
            <v>385116</v>
          </cell>
          <cell r="I741">
            <v>744480</v>
          </cell>
          <cell r="J741">
            <v>20429</v>
          </cell>
          <cell r="K741">
            <v>1582852</v>
          </cell>
          <cell r="L741"/>
          <cell r="M741">
            <v>14524</v>
          </cell>
          <cell r="N741">
            <v>0</v>
          </cell>
          <cell r="O741">
            <v>100</v>
          </cell>
          <cell r="P741">
            <v>14624</v>
          </cell>
          <cell r="Q741"/>
          <cell r="R741">
            <v>779301</v>
          </cell>
          <cell r="S741">
            <v>4342</v>
          </cell>
          <cell r="T741">
            <v>783643</v>
          </cell>
        </row>
        <row r="742">
          <cell r="A742">
            <v>97957</v>
          </cell>
          <cell r="B742" t="str">
            <v>EDEN ABC BOARD</v>
          </cell>
          <cell r="C742">
            <v>1.7200000000000001E-5</v>
          </cell>
          <cell r="D742">
            <v>1.8700000000000001E-5</v>
          </cell>
          <cell r="E742">
            <v>40804</v>
          </cell>
          <cell r="F742" t="str">
            <v xml:space="preserve"> </v>
          </cell>
          <cell r="G742">
            <v>6295</v>
          </cell>
          <cell r="H742">
            <v>5601</v>
          </cell>
          <cell r="I742">
            <v>10828</v>
          </cell>
          <cell r="J742">
            <v>5813</v>
          </cell>
          <cell r="K742">
            <v>28537</v>
          </cell>
          <cell r="L742"/>
          <cell r="M742">
            <v>211</v>
          </cell>
          <cell r="N742">
            <v>0</v>
          </cell>
          <cell r="O742">
            <v>466</v>
          </cell>
          <cell r="P742">
            <v>677</v>
          </cell>
          <cell r="Q742"/>
          <cell r="R742">
            <v>11334</v>
          </cell>
          <cell r="S742">
            <v>1280</v>
          </cell>
          <cell r="T742">
            <v>12614</v>
          </cell>
        </row>
        <row r="743">
          <cell r="A743">
            <v>98001</v>
          </cell>
          <cell r="B743" t="str">
            <v>ROWAN COUNTY</v>
          </cell>
          <cell r="C743">
            <v>5.3728999999999999E-3</v>
          </cell>
          <cell r="D743">
            <v>5.1148000000000001E-3</v>
          </cell>
          <cell r="E743">
            <v>12746356</v>
          </cell>
          <cell r="F743" t="str">
            <v xml:space="preserve"> </v>
          </cell>
          <cell r="G743">
            <v>1966460</v>
          </cell>
          <cell r="H743">
            <v>1749696</v>
          </cell>
          <cell r="I743">
            <v>3382391</v>
          </cell>
          <cell r="J743">
            <v>275498</v>
          </cell>
          <cell r="K743">
            <v>7374045</v>
          </cell>
          <cell r="L743"/>
          <cell r="M743">
            <v>65985</v>
          </cell>
          <cell r="N743">
            <v>0</v>
          </cell>
          <cell r="O743">
            <v>0</v>
          </cell>
          <cell r="P743">
            <v>65985</v>
          </cell>
          <cell r="Q743"/>
          <cell r="R743">
            <v>3540596</v>
          </cell>
          <cell r="S743">
            <v>124587</v>
          </cell>
          <cell r="T743">
            <v>3665183</v>
          </cell>
        </row>
        <row r="744">
          <cell r="A744">
            <v>98002</v>
          </cell>
          <cell r="B744" t="str">
            <v>ROWAN CONVENTION &amp; VISTORS BUREAU</v>
          </cell>
          <cell r="C744">
            <v>6.4999999999999996E-6</v>
          </cell>
          <cell r="D744">
            <v>6.7000000000000002E-6</v>
          </cell>
          <cell r="E744">
            <v>15420</v>
          </cell>
          <cell r="F744" t="str">
            <v xml:space="preserve"> </v>
          </cell>
          <cell r="G744">
            <v>2379</v>
          </cell>
          <cell r="H744">
            <v>2117</v>
          </cell>
          <cell r="I744">
            <v>4092</v>
          </cell>
          <cell r="J744">
            <v>1772</v>
          </cell>
          <cell r="K744">
            <v>10360</v>
          </cell>
          <cell r="L744"/>
          <cell r="M744">
            <v>80</v>
          </cell>
          <cell r="N744">
            <v>0</v>
          </cell>
          <cell r="O744">
            <v>0</v>
          </cell>
          <cell r="P744">
            <v>80</v>
          </cell>
          <cell r="Q744"/>
          <cell r="R744">
            <v>4283</v>
          </cell>
          <cell r="S744">
            <v>-5879</v>
          </cell>
          <cell r="T744">
            <v>-1596</v>
          </cell>
        </row>
        <row r="745">
          <cell r="A745">
            <v>98003</v>
          </cell>
          <cell r="B745" t="str">
            <v>ROWAN CO HOUSING AUTHORITY</v>
          </cell>
          <cell r="C745">
            <v>7.7000000000000001E-5</v>
          </cell>
          <cell r="D745">
            <v>7.9599999999999997E-5</v>
          </cell>
          <cell r="E745">
            <v>182670</v>
          </cell>
          <cell r="F745" t="str">
            <v xml:space="preserve"> </v>
          </cell>
          <cell r="G745">
            <v>28182</v>
          </cell>
          <cell r="H745">
            <v>25075</v>
          </cell>
          <cell r="I745">
            <v>48474</v>
          </cell>
          <cell r="J745">
            <v>62655</v>
          </cell>
          <cell r="K745">
            <v>164386</v>
          </cell>
          <cell r="L745"/>
          <cell r="M745">
            <v>946</v>
          </cell>
          <cell r="N745">
            <v>0</v>
          </cell>
          <cell r="O745">
            <v>0</v>
          </cell>
          <cell r="P745">
            <v>946</v>
          </cell>
          <cell r="Q745"/>
          <cell r="R745">
            <v>50741</v>
          </cell>
          <cell r="S745">
            <v>25199</v>
          </cell>
          <cell r="T745">
            <v>75940</v>
          </cell>
        </row>
        <row r="746">
          <cell r="A746">
            <v>98004</v>
          </cell>
          <cell r="B746" t="str">
            <v>ROWAN COUNTY ABC BOARD</v>
          </cell>
          <cell r="C746">
            <v>1.189E-4</v>
          </cell>
          <cell r="D746">
            <v>1.182E-4</v>
          </cell>
          <cell r="E746">
            <v>282071</v>
          </cell>
          <cell r="F746" t="str">
            <v xml:space="preserve"> </v>
          </cell>
          <cell r="G746">
            <v>43517</v>
          </cell>
          <cell r="H746">
            <v>38720</v>
          </cell>
          <cell r="I746">
            <v>74851</v>
          </cell>
          <cell r="J746">
            <v>41871</v>
          </cell>
          <cell r="K746">
            <v>198959</v>
          </cell>
          <cell r="L746"/>
          <cell r="M746">
            <v>1460</v>
          </cell>
          <cell r="N746">
            <v>0</v>
          </cell>
          <cell r="O746">
            <v>0</v>
          </cell>
          <cell r="P746">
            <v>1460</v>
          </cell>
          <cell r="Q746"/>
          <cell r="R746">
            <v>78352</v>
          </cell>
          <cell r="S746">
            <v>19024</v>
          </cell>
          <cell r="T746">
            <v>97376</v>
          </cell>
        </row>
        <row r="747">
          <cell r="A747">
            <v>98008</v>
          </cell>
          <cell r="B747" t="str">
            <v>ROWAN CO SOIL &amp; WATER CONV DIST</v>
          </cell>
          <cell r="C747">
            <v>7.7000000000000008E-6</v>
          </cell>
          <cell r="D747">
            <v>7.9999999999999996E-6</v>
          </cell>
          <cell r="E747">
            <v>18267</v>
          </cell>
          <cell r="F747" t="str">
            <v xml:space="preserve"> </v>
          </cell>
          <cell r="G747">
            <v>2818</v>
          </cell>
          <cell r="H747">
            <v>2507</v>
          </cell>
          <cell r="I747">
            <v>4847</v>
          </cell>
          <cell r="J747">
            <v>20</v>
          </cell>
          <cell r="K747">
            <v>10192</v>
          </cell>
          <cell r="L747"/>
          <cell r="M747">
            <v>95</v>
          </cell>
          <cell r="N747">
            <v>0</v>
          </cell>
          <cell r="O747">
            <v>556</v>
          </cell>
          <cell r="P747">
            <v>651</v>
          </cell>
          <cell r="Q747"/>
          <cell r="R747">
            <v>5074</v>
          </cell>
          <cell r="S747">
            <v>-548</v>
          </cell>
          <cell r="T747">
            <v>4526</v>
          </cell>
        </row>
        <row r="748">
          <cell r="A748">
            <v>98011</v>
          </cell>
          <cell r="B748" t="str">
            <v>CITY OF SALISBURY</v>
          </cell>
          <cell r="C748">
            <v>3.2946999999999998E-3</v>
          </cell>
          <cell r="D748">
            <v>3.1578999999999999E-3</v>
          </cell>
          <cell r="E748">
            <v>7816155</v>
          </cell>
          <cell r="F748" t="str">
            <v xml:space="preserve"> </v>
          </cell>
          <cell r="G748">
            <v>1205847</v>
          </cell>
          <cell r="H748">
            <v>1072925</v>
          </cell>
          <cell r="I748">
            <v>2074106</v>
          </cell>
          <cell r="J748">
            <v>81290</v>
          </cell>
          <cell r="K748">
            <v>4434168</v>
          </cell>
          <cell r="L748"/>
          <cell r="M748">
            <v>40462</v>
          </cell>
          <cell r="N748">
            <v>0</v>
          </cell>
          <cell r="O748">
            <v>168657</v>
          </cell>
          <cell r="P748">
            <v>209119</v>
          </cell>
          <cell r="Q748"/>
          <cell r="R748">
            <v>2171118</v>
          </cell>
          <cell r="S748">
            <v>-126045</v>
          </cell>
          <cell r="T748">
            <v>2045073</v>
          </cell>
        </row>
        <row r="749">
          <cell r="A749">
            <v>98013</v>
          </cell>
          <cell r="B749" t="str">
            <v>HOUSING AUTHORITY OF THE CTY OF SALISBURY</v>
          </cell>
          <cell r="C749">
            <v>1.3439999999999999E-4</v>
          </cell>
          <cell r="D749">
            <v>1.415E-4</v>
          </cell>
          <cell r="E749">
            <v>318843</v>
          </cell>
          <cell r="F749"/>
          <cell r="G749">
            <v>49190</v>
          </cell>
          <cell r="H749">
            <v>43768</v>
          </cell>
          <cell r="I749">
            <v>84609</v>
          </cell>
          <cell r="J749">
            <v>137928</v>
          </cell>
          <cell r="K749">
            <v>315495</v>
          </cell>
          <cell r="L749"/>
          <cell r="M749">
            <v>1651</v>
          </cell>
          <cell r="N749">
            <v>0</v>
          </cell>
          <cell r="O749">
            <v>0</v>
          </cell>
          <cell r="P749">
            <v>1651</v>
          </cell>
          <cell r="Q749"/>
          <cell r="R749">
            <v>88566</v>
          </cell>
          <cell r="S749">
            <v>55732</v>
          </cell>
          <cell r="T749">
            <v>144298</v>
          </cell>
        </row>
        <row r="750">
          <cell r="A750">
            <v>98021</v>
          </cell>
          <cell r="B750" t="str">
            <v xml:space="preserve"> EAST SPENCER</v>
          </cell>
          <cell r="C750">
            <v>3.6100000000000003E-5</v>
          </cell>
          <cell r="D750">
            <v>8.6199999999999995E-5</v>
          </cell>
          <cell r="E750">
            <v>85642</v>
          </cell>
          <cell r="F750"/>
          <cell r="G750">
            <v>13212</v>
          </cell>
          <cell r="H750">
            <v>11756</v>
          </cell>
          <cell r="I750">
            <v>22726</v>
          </cell>
          <cell r="J750">
            <v>6068</v>
          </cell>
          <cell r="K750">
            <v>53762</v>
          </cell>
          <cell r="L750"/>
          <cell r="M750">
            <v>443</v>
          </cell>
          <cell r="N750">
            <v>0</v>
          </cell>
          <cell r="O750">
            <v>29951</v>
          </cell>
          <cell r="P750">
            <v>30394</v>
          </cell>
          <cell r="Q750"/>
          <cell r="R750">
            <v>23789</v>
          </cell>
          <cell r="S750">
            <v>-559</v>
          </cell>
          <cell r="T750">
            <v>23230</v>
          </cell>
        </row>
        <row r="751">
          <cell r="A751">
            <v>98023</v>
          </cell>
          <cell r="B751" t="str">
            <v>EAST SPENCER HOUSING AUTHORITY</v>
          </cell>
          <cell r="C751">
            <v>1.88E-5</v>
          </cell>
          <cell r="D751">
            <v>1.43E-5</v>
          </cell>
          <cell r="E751">
            <v>44600</v>
          </cell>
          <cell r="F751"/>
          <cell r="G751">
            <v>6881</v>
          </cell>
          <cell r="H751">
            <v>6122</v>
          </cell>
          <cell r="I751">
            <v>11835</v>
          </cell>
          <cell r="J751">
            <v>1700</v>
          </cell>
          <cell r="K751">
            <v>26538</v>
          </cell>
          <cell r="L751"/>
          <cell r="M751">
            <v>231</v>
          </cell>
          <cell r="N751">
            <v>0</v>
          </cell>
          <cell r="O751">
            <v>2588</v>
          </cell>
          <cell r="P751">
            <v>2819</v>
          </cell>
          <cell r="Q751"/>
          <cell r="R751">
            <v>12389</v>
          </cell>
          <cell r="S751">
            <v>-2200</v>
          </cell>
          <cell r="T751">
            <v>10189</v>
          </cell>
        </row>
        <row r="752">
          <cell r="A752">
            <v>98031</v>
          </cell>
          <cell r="B752" t="str">
            <v xml:space="preserve"> SPENCER</v>
          </cell>
          <cell r="C752">
            <v>1.717E-4</v>
          </cell>
          <cell r="D752">
            <v>1.537E-4</v>
          </cell>
          <cell r="E752">
            <v>407331</v>
          </cell>
          <cell r="F752"/>
          <cell r="G752">
            <v>62842</v>
          </cell>
          <cell r="H752">
            <v>55914</v>
          </cell>
          <cell r="I752">
            <v>108090</v>
          </cell>
          <cell r="J752">
            <v>7268</v>
          </cell>
          <cell r="K752">
            <v>234114</v>
          </cell>
          <cell r="L752"/>
          <cell r="M752">
            <v>2109</v>
          </cell>
          <cell r="N752">
            <v>0</v>
          </cell>
          <cell r="O752">
            <v>5245</v>
          </cell>
          <cell r="P752">
            <v>7354</v>
          </cell>
          <cell r="Q752"/>
          <cell r="R752">
            <v>113146</v>
          </cell>
          <cell r="S752">
            <v>-92</v>
          </cell>
          <cell r="T752">
            <v>113054</v>
          </cell>
        </row>
        <row r="753">
          <cell r="A753">
            <v>98041</v>
          </cell>
          <cell r="B753" t="str">
            <v xml:space="preserve"> CHINA GROVE</v>
          </cell>
          <cell r="C753">
            <v>2.242E-4</v>
          </cell>
          <cell r="D753">
            <v>1.9230000000000001E-4</v>
          </cell>
          <cell r="E753">
            <v>531879</v>
          </cell>
          <cell r="F753"/>
          <cell r="G753">
            <v>82056</v>
          </cell>
          <cell r="H753">
            <v>73011</v>
          </cell>
          <cell r="I753">
            <v>141140</v>
          </cell>
          <cell r="J753">
            <v>23837</v>
          </cell>
          <cell r="K753">
            <v>320044</v>
          </cell>
          <cell r="L753"/>
          <cell r="M753">
            <v>2753</v>
          </cell>
          <cell r="N753">
            <v>0</v>
          </cell>
          <cell r="O753">
            <v>1903</v>
          </cell>
          <cell r="P753">
            <v>4656</v>
          </cell>
          <cell r="Q753"/>
          <cell r="R753">
            <v>147742</v>
          </cell>
          <cell r="S753">
            <v>3840</v>
          </cell>
          <cell r="T753">
            <v>151582</v>
          </cell>
        </row>
        <row r="754">
          <cell r="A754">
            <v>98051</v>
          </cell>
          <cell r="B754" t="str">
            <v xml:space="preserve"> LANDIS</v>
          </cell>
          <cell r="C754">
            <v>2.699E-4</v>
          </cell>
          <cell r="D754">
            <v>2.8019999999999998E-4</v>
          </cell>
          <cell r="E754">
            <v>640295</v>
          </cell>
          <cell r="F754"/>
          <cell r="G754">
            <v>98782</v>
          </cell>
          <cell r="H754">
            <v>87893</v>
          </cell>
          <cell r="I754">
            <v>169910</v>
          </cell>
          <cell r="J754">
            <v>12423</v>
          </cell>
          <cell r="K754">
            <v>369008</v>
          </cell>
          <cell r="L754"/>
          <cell r="M754">
            <v>3315</v>
          </cell>
          <cell r="N754">
            <v>0</v>
          </cell>
          <cell r="O754">
            <v>5552</v>
          </cell>
          <cell r="P754">
            <v>8867</v>
          </cell>
          <cell r="Q754"/>
          <cell r="R754">
            <v>177857</v>
          </cell>
          <cell r="S754">
            <v>7633</v>
          </cell>
          <cell r="T754">
            <v>185490</v>
          </cell>
        </row>
        <row r="755">
          <cell r="A755">
            <v>98061</v>
          </cell>
          <cell r="B755" t="str">
            <v xml:space="preserve"> GRANITE QUARRY</v>
          </cell>
          <cell r="C755">
            <v>1.3420000000000001E-4</v>
          </cell>
          <cell r="D755">
            <v>1.0670000000000001E-4</v>
          </cell>
          <cell r="E755">
            <v>318368</v>
          </cell>
          <cell r="F755"/>
          <cell r="G755">
            <v>49117</v>
          </cell>
          <cell r="H755">
            <v>43702</v>
          </cell>
          <cell r="I755">
            <v>84483</v>
          </cell>
          <cell r="J755">
            <v>14234</v>
          </cell>
          <cell r="K755">
            <v>191536</v>
          </cell>
          <cell r="L755"/>
          <cell r="M755">
            <v>1648</v>
          </cell>
          <cell r="N755">
            <v>0</v>
          </cell>
          <cell r="O755">
            <v>10224</v>
          </cell>
          <cell r="P755">
            <v>11872</v>
          </cell>
          <cell r="Q755"/>
          <cell r="R755">
            <v>88434</v>
          </cell>
          <cell r="S755">
            <v>-3412</v>
          </cell>
          <cell r="T755">
            <v>85022</v>
          </cell>
        </row>
        <row r="756">
          <cell r="A756">
            <v>98071</v>
          </cell>
          <cell r="B756" t="str">
            <v xml:space="preserve"> ROCKWELL</v>
          </cell>
          <cell r="C756">
            <v>3.5800000000000003E-5</v>
          </cell>
          <cell r="D756">
            <v>4.0099999999999999E-5</v>
          </cell>
          <cell r="E756">
            <v>84930</v>
          </cell>
          <cell r="F756"/>
          <cell r="G756">
            <v>13103</v>
          </cell>
          <cell r="H756">
            <v>11658</v>
          </cell>
          <cell r="I756">
            <v>22537</v>
          </cell>
          <cell r="J756">
            <v>20473</v>
          </cell>
          <cell r="K756">
            <v>67771</v>
          </cell>
          <cell r="L756"/>
          <cell r="M756">
            <v>440</v>
          </cell>
          <cell r="N756">
            <v>0</v>
          </cell>
          <cell r="O756">
            <v>541</v>
          </cell>
          <cell r="P756">
            <v>981</v>
          </cell>
          <cell r="Q756"/>
          <cell r="R756">
            <v>23591</v>
          </cell>
          <cell r="S756">
            <v>6474</v>
          </cell>
          <cell r="T756">
            <v>30065</v>
          </cell>
        </row>
        <row r="757">
          <cell r="A757">
            <v>98081</v>
          </cell>
          <cell r="B757" t="str">
            <v xml:space="preserve"> FAITH</v>
          </cell>
          <cell r="C757">
            <v>1.7200000000000001E-5</v>
          </cell>
          <cell r="D757">
            <v>1.8300000000000001E-5</v>
          </cell>
          <cell r="E757">
            <v>40804</v>
          </cell>
          <cell r="F757"/>
          <cell r="G757">
            <v>6295</v>
          </cell>
          <cell r="H757">
            <v>5601</v>
          </cell>
          <cell r="I757">
            <v>10828</v>
          </cell>
          <cell r="J757">
            <v>0</v>
          </cell>
          <cell r="K757">
            <v>22724</v>
          </cell>
          <cell r="L757"/>
          <cell r="M757">
            <v>211</v>
          </cell>
          <cell r="N757">
            <v>0</v>
          </cell>
          <cell r="O757">
            <v>3428</v>
          </cell>
          <cell r="P757">
            <v>3639</v>
          </cell>
          <cell r="Q757"/>
          <cell r="R757">
            <v>11334</v>
          </cell>
          <cell r="S757">
            <v>-2166</v>
          </cell>
          <cell r="T757">
            <v>9168</v>
          </cell>
        </row>
        <row r="758">
          <cell r="A758">
            <v>98091</v>
          </cell>
          <cell r="B758" t="str">
            <v xml:space="preserve"> CLEVELAND</v>
          </cell>
          <cell r="C758">
            <v>5.1600000000000001E-5</v>
          </cell>
          <cell r="D758">
            <v>4.7500000000000003E-5</v>
          </cell>
          <cell r="E758">
            <v>122413</v>
          </cell>
          <cell r="F758"/>
          <cell r="G758">
            <v>18885</v>
          </cell>
          <cell r="H758">
            <v>16803</v>
          </cell>
          <cell r="I758">
            <v>32484</v>
          </cell>
          <cell r="J758">
            <v>5795</v>
          </cell>
          <cell r="K758">
            <v>73967</v>
          </cell>
          <cell r="L758"/>
          <cell r="M758">
            <v>634</v>
          </cell>
          <cell r="N758">
            <v>0</v>
          </cell>
          <cell r="O758">
            <v>0</v>
          </cell>
          <cell r="P758">
            <v>634</v>
          </cell>
          <cell r="Q758"/>
          <cell r="R758">
            <v>34003</v>
          </cell>
          <cell r="S758">
            <v>976</v>
          </cell>
          <cell r="T758">
            <v>34979</v>
          </cell>
        </row>
        <row r="759">
          <cell r="A759">
            <v>98101</v>
          </cell>
          <cell r="B759" t="str">
            <v>RUTHERFORD COUNTY</v>
          </cell>
          <cell r="C759">
            <v>2.6497999999999999E-3</v>
          </cell>
          <cell r="D759">
            <v>2.8706999999999999E-3</v>
          </cell>
          <cell r="E759">
            <v>6286232</v>
          </cell>
          <cell r="F759"/>
          <cell r="G759">
            <v>969816</v>
          </cell>
          <cell r="H759">
            <v>862912</v>
          </cell>
          <cell r="I759">
            <v>1668123</v>
          </cell>
          <cell r="J759">
            <v>13234</v>
          </cell>
          <cell r="K759">
            <v>3514085</v>
          </cell>
          <cell r="L759"/>
          <cell r="M759">
            <v>32542</v>
          </cell>
          <cell r="N759">
            <v>0</v>
          </cell>
          <cell r="O759">
            <v>206313</v>
          </cell>
          <cell r="P759">
            <v>238855</v>
          </cell>
          <cell r="Q759"/>
          <cell r="R759">
            <v>1746147</v>
          </cell>
          <cell r="S759">
            <v>-31729</v>
          </cell>
          <cell r="T759">
            <v>1714418</v>
          </cell>
        </row>
        <row r="760">
          <cell r="A760">
            <v>98102</v>
          </cell>
          <cell r="B760" t="str">
            <v>BROAD RIVER WATER AUTHORITY</v>
          </cell>
          <cell r="C760">
            <v>1.496E-4</v>
          </cell>
          <cell r="D760">
            <v>1.5809999999999999E-4</v>
          </cell>
          <cell r="E760">
            <v>354902</v>
          </cell>
          <cell r="F760"/>
          <cell r="G760">
            <v>54753</v>
          </cell>
          <cell r="H760">
            <v>48718</v>
          </cell>
          <cell r="I760">
            <v>94177</v>
          </cell>
          <cell r="J760">
            <v>0</v>
          </cell>
          <cell r="K760">
            <v>197648</v>
          </cell>
          <cell r="L760"/>
          <cell r="M760">
            <v>1837</v>
          </cell>
          <cell r="N760">
            <v>0</v>
          </cell>
          <cell r="O760">
            <v>13146</v>
          </cell>
          <cell r="P760">
            <v>14983</v>
          </cell>
          <cell r="Q760"/>
          <cell r="R760">
            <v>98582</v>
          </cell>
          <cell r="S760">
            <v>-6674</v>
          </cell>
          <cell r="T760">
            <v>91908</v>
          </cell>
        </row>
        <row r="761">
          <cell r="A761">
            <v>98103</v>
          </cell>
          <cell r="B761" t="str">
            <v>RUTHERFORD POLK MCDOWELL DIST BRD OF HEALTH</v>
          </cell>
          <cell r="C761">
            <v>4.8450000000000001E-4</v>
          </cell>
          <cell r="D761">
            <v>5.4410000000000005E-4</v>
          </cell>
          <cell r="E761">
            <v>1149400</v>
          </cell>
          <cell r="F761"/>
          <cell r="G761">
            <v>177325</v>
          </cell>
          <cell r="H761">
            <v>157779</v>
          </cell>
          <cell r="I761">
            <v>305006</v>
          </cell>
          <cell r="J761">
            <v>7298</v>
          </cell>
          <cell r="K761">
            <v>647408</v>
          </cell>
          <cell r="L761"/>
          <cell r="M761">
            <v>5950</v>
          </cell>
          <cell r="N761">
            <v>0</v>
          </cell>
          <cell r="O761">
            <v>39675</v>
          </cell>
          <cell r="P761">
            <v>45625</v>
          </cell>
          <cell r="Q761"/>
          <cell r="R761">
            <v>319272</v>
          </cell>
          <cell r="S761">
            <v>-24913</v>
          </cell>
          <cell r="T761">
            <v>294359</v>
          </cell>
        </row>
        <row r="762">
          <cell r="A762">
            <v>98107</v>
          </cell>
          <cell r="B762" t="str">
            <v>FOREST CITY ABC BOARD 168</v>
          </cell>
          <cell r="C762">
            <v>1.01E-5</v>
          </cell>
          <cell r="D762">
            <v>1.08E-5</v>
          </cell>
          <cell r="E762">
            <v>23961</v>
          </cell>
          <cell r="F762"/>
          <cell r="G762">
            <v>3697</v>
          </cell>
          <cell r="H762">
            <v>3289</v>
          </cell>
          <cell r="I762">
            <v>6358</v>
          </cell>
          <cell r="J762">
            <v>7863</v>
          </cell>
          <cell r="K762">
            <v>21207</v>
          </cell>
          <cell r="L762"/>
          <cell r="M762">
            <v>124</v>
          </cell>
          <cell r="N762">
            <v>0</v>
          </cell>
          <cell r="O762">
            <v>0</v>
          </cell>
          <cell r="P762">
            <v>124</v>
          </cell>
          <cell r="Q762"/>
          <cell r="R762">
            <v>6656</v>
          </cell>
          <cell r="S762">
            <v>4229</v>
          </cell>
          <cell r="T762">
            <v>10885</v>
          </cell>
        </row>
        <row r="763">
          <cell r="A763">
            <v>98109</v>
          </cell>
          <cell r="B763" t="str">
            <v>ISOTHERMAL PLANNING AND DEV COMM</v>
          </cell>
          <cell r="C763">
            <v>1.4310000000000001E-4</v>
          </cell>
          <cell r="D763">
            <v>1.573E-4</v>
          </cell>
          <cell r="E763">
            <v>339482</v>
          </cell>
          <cell r="F763"/>
          <cell r="G763">
            <v>52374</v>
          </cell>
          <cell r="H763">
            <v>46601</v>
          </cell>
          <cell r="I763">
            <v>90085</v>
          </cell>
          <cell r="J763">
            <v>8985</v>
          </cell>
          <cell r="K763">
            <v>198045</v>
          </cell>
          <cell r="L763"/>
          <cell r="M763">
            <v>1757</v>
          </cell>
          <cell r="N763">
            <v>0</v>
          </cell>
          <cell r="O763">
            <v>13377</v>
          </cell>
          <cell r="P763">
            <v>15134</v>
          </cell>
          <cell r="Q763"/>
          <cell r="R763">
            <v>94299</v>
          </cell>
          <cell r="S763">
            <v>-7438</v>
          </cell>
          <cell r="T763">
            <v>86861</v>
          </cell>
        </row>
        <row r="764">
          <cell r="A764">
            <v>98111</v>
          </cell>
          <cell r="B764" t="str">
            <v xml:space="preserve"> FOREST CITY</v>
          </cell>
          <cell r="C764">
            <v>1.0207E-3</v>
          </cell>
          <cell r="D764">
            <v>1.0143000000000001E-3</v>
          </cell>
          <cell r="E764">
            <v>2421449</v>
          </cell>
          <cell r="F764"/>
          <cell r="G764">
            <v>373572</v>
          </cell>
          <cell r="H764">
            <v>332393</v>
          </cell>
          <cell r="I764">
            <v>642559</v>
          </cell>
          <cell r="J764">
            <v>0</v>
          </cell>
          <cell r="K764">
            <v>1348524</v>
          </cell>
          <cell r="L764"/>
          <cell r="M764">
            <v>12535</v>
          </cell>
          <cell r="N764">
            <v>0</v>
          </cell>
          <cell r="O764">
            <v>76213</v>
          </cell>
          <cell r="P764">
            <v>88748</v>
          </cell>
          <cell r="Q764"/>
          <cell r="R764">
            <v>672614</v>
          </cell>
          <cell r="S764">
            <v>-29272</v>
          </cell>
          <cell r="T764">
            <v>643342</v>
          </cell>
        </row>
        <row r="765">
          <cell r="A765">
            <v>98113</v>
          </cell>
          <cell r="B765" t="str">
            <v>FOREST CITY HOUSING AUTHORITY</v>
          </cell>
          <cell r="C765">
            <v>3.8999999999999999E-5</v>
          </cell>
          <cell r="D765">
            <v>4.6199999999999998E-5</v>
          </cell>
          <cell r="E765">
            <v>92521</v>
          </cell>
          <cell r="F765"/>
          <cell r="G765">
            <v>14274</v>
          </cell>
          <cell r="H765">
            <v>12700</v>
          </cell>
          <cell r="I765">
            <v>24552</v>
          </cell>
          <cell r="J765">
            <v>7102</v>
          </cell>
          <cell r="K765">
            <v>58628</v>
          </cell>
          <cell r="L765"/>
          <cell r="M765">
            <v>479</v>
          </cell>
          <cell r="N765">
            <v>0</v>
          </cell>
          <cell r="O765">
            <v>416</v>
          </cell>
          <cell r="P765">
            <v>895</v>
          </cell>
          <cell r="Q765"/>
          <cell r="R765">
            <v>25700</v>
          </cell>
          <cell r="S765">
            <v>4533</v>
          </cell>
          <cell r="T765">
            <v>30233</v>
          </cell>
        </row>
        <row r="766">
          <cell r="A766">
            <v>98121</v>
          </cell>
          <cell r="B766" t="str">
            <v xml:space="preserve"> SPINDALE</v>
          </cell>
          <cell r="C766">
            <v>2.241E-4</v>
          </cell>
          <cell r="D766">
            <v>2.0100000000000001E-4</v>
          </cell>
          <cell r="E766">
            <v>531642</v>
          </cell>
          <cell r="F766"/>
          <cell r="G766">
            <v>82020</v>
          </cell>
          <cell r="H766">
            <v>72979</v>
          </cell>
          <cell r="I766">
            <v>141077</v>
          </cell>
          <cell r="J766">
            <v>5555</v>
          </cell>
          <cell r="K766">
            <v>301631</v>
          </cell>
          <cell r="L766"/>
          <cell r="M766">
            <v>2752</v>
          </cell>
          <cell r="N766">
            <v>0</v>
          </cell>
          <cell r="O766">
            <v>17709</v>
          </cell>
          <cell r="P766">
            <v>20461</v>
          </cell>
          <cell r="Q766"/>
          <cell r="R766">
            <v>147676</v>
          </cell>
          <cell r="S766">
            <v>-4423</v>
          </cell>
          <cell r="T766">
            <v>143253</v>
          </cell>
        </row>
        <row r="767">
          <cell r="A767">
            <v>98131</v>
          </cell>
          <cell r="B767" t="str">
            <v xml:space="preserve"> LAKE LURE</v>
          </cell>
          <cell r="C767">
            <v>2.297E-4</v>
          </cell>
          <cell r="D767">
            <v>2.5230000000000001E-4</v>
          </cell>
          <cell r="E767">
            <v>544927</v>
          </cell>
          <cell r="F767"/>
          <cell r="G767">
            <v>84069</v>
          </cell>
          <cell r="H767">
            <v>74802</v>
          </cell>
          <cell r="I767">
            <v>144603</v>
          </cell>
          <cell r="J767">
            <v>0</v>
          </cell>
          <cell r="K767">
            <v>303474</v>
          </cell>
          <cell r="L767"/>
          <cell r="M767">
            <v>2821</v>
          </cell>
          <cell r="N767">
            <v>0</v>
          </cell>
          <cell r="O767">
            <v>41009</v>
          </cell>
          <cell r="P767">
            <v>43830</v>
          </cell>
          <cell r="Q767"/>
          <cell r="R767">
            <v>151366</v>
          </cell>
          <cell r="S767">
            <v>-26275</v>
          </cell>
          <cell r="T767">
            <v>125091</v>
          </cell>
        </row>
        <row r="768">
          <cell r="A768">
            <v>98141</v>
          </cell>
          <cell r="B768" t="str">
            <v xml:space="preserve"> RUTHERFORDTON</v>
          </cell>
          <cell r="C768">
            <v>3.0160000000000001E-4</v>
          </cell>
          <cell r="D768">
            <v>3.0360000000000001E-4</v>
          </cell>
          <cell r="E768">
            <v>715498</v>
          </cell>
          <cell r="F768"/>
          <cell r="G768">
            <v>110384</v>
          </cell>
          <cell r="H768">
            <v>98217</v>
          </cell>
          <cell r="I768">
            <v>189866</v>
          </cell>
          <cell r="J768">
            <v>3632</v>
          </cell>
          <cell r="K768">
            <v>402099</v>
          </cell>
          <cell r="L768"/>
          <cell r="M768">
            <v>3704</v>
          </cell>
          <cell r="N768">
            <v>0</v>
          </cell>
          <cell r="O768">
            <v>20500</v>
          </cell>
          <cell r="P768">
            <v>24204</v>
          </cell>
          <cell r="Q768"/>
          <cell r="R768">
            <v>198746</v>
          </cell>
          <cell r="S768">
            <v>-14365</v>
          </cell>
          <cell r="T768">
            <v>184381</v>
          </cell>
        </row>
        <row r="769">
          <cell r="A769">
            <v>98147</v>
          </cell>
          <cell r="B769" t="str">
            <v xml:space="preserve"> RUTHERFORDTON ABC BRD</v>
          </cell>
          <cell r="C769">
            <v>1.15E-5</v>
          </cell>
          <cell r="D769">
            <v>1.29E-5</v>
          </cell>
          <cell r="E769">
            <v>27282</v>
          </cell>
          <cell r="F769"/>
          <cell r="G769">
            <v>4209</v>
          </cell>
          <cell r="H769">
            <v>3745</v>
          </cell>
          <cell r="I769">
            <v>7240</v>
          </cell>
          <cell r="J769">
            <v>7998</v>
          </cell>
          <cell r="K769">
            <v>23192</v>
          </cell>
          <cell r="L769"/>
          <cell r="M769">
            <v>141</v>
          </cell>
          <cell r="N769">
            <v>0</v>
          </cell>
          <cell r="O769">
            <v>0</v>
          </cell>
          <cell r="P769">
            <v>141</v>
          </cell>
          <cell r="Q769"/>
          <cell r="R769">
            <v>7578</v>
          </cell>
          <cell r="S769">
            <v>4051</v>
          </cell>
          <cell r="T769">
            <v>11629</v>
          </cell>
        </row>
        <row r="770">
          <cell r="A770">
            <v>98161</v>
          </cell>
          <cell r="B770" t="str">
            <v xml:space="preserve"> ELLENBORO</v>
          </cell>
          <cell r="C770">
            <v>6.7000000000000002E-6</v>
          </cell>
          <cell r="D770">
            <v>7.3000000000000004E-6</v>
          </cell>
          <cell r="E770">
            <v>15895</v>
          </cell>
          <cell r="F770"/>
          <cell r="G770">
            <v>2452</v>
          </cell>
          <cell r="H770">
            <v>2182</v>
          </cell>
          <cell r="I770">
            <v>4218</v>
          </cell>
          <cell r="J770">
            <v>2865</v>
          </cell>
          <cell r="K770">
            <v>11717</v>
          </cell>
          <cell r="L770"/>
          <cell r="M770">
            <v>82</v>
          </cell>
          <cell r="N770">
            <v>0</v>
          </cell>
          <cell r="O770">
            <v>0</v>
          </cell>
          <cell r="P770">
            <v>82</v>
          </cell>
          <cell r="Q770"/>
          <cell r="R770">
            <v>4415</v>
          </cell>
          <cell r="S770">
            <v>1383</v>
          </cell>
          <cell r="T770">
            <v>5798</v>
          </cell>
        </row>
        <row r="771">
          <cell r="A771">
            <v>98201</v>
          </cell>
          <cell r="B771" t="str">
            <v>SAMPSON COUNTY</v>
          </cell>
          <cell r="C771">
            <v>3.1725E-3</v>
          </cell>
          <cell r="D771">
            <v>3.1664000000000002E-3</v>
          </cell>
          <cell r="E771">
            <v>7526255</v>
          </cell>
          <cell r="F771"/>
          <cell r="G771">
            <v>1161122</v>
          </cell>
          <cell r="H771">
            <v>1033131</v>
          </cell>
          <cell r="I771">
            <v>1997178</v>
          </cell>
          <cell r="J771">
            <v>47695</v>
          </cell>
          <cell r="K771">
            <v>4239126</v>
          </cell>
          <cell r="L771"/>
          <cell r="M771">
            <v>38961</v>
          </cell>
          <cell r="N771">
            <v>0</v>
          </cell>
          <cell r="O771">
            <v>50438</v>
          </cell>
          <cell r="P771">
            <v>89399</v>
          </cell>
          <cell r="Q771"/>
          <cell r="R771">
            <v>2090592</v>
          </cell>
          <cell r="S771">
            <v>-13335</v>
          </cell>
          <cell r="T771">
            <v>2077257</v>
          </cell>
        </row>
        <row r="772">
          <cell r="A772">
            <v>98205</v>
          </cell>
          <cell r="B772" t="str">
            <v>J C HOLIDAY MEM LIBRARY</v>
          </cell>
          <cell r="C772">
            <v>3.6100000000000003E-5</v>
          </cell>
          <cell r="D772">
            <v>4.6799999999999999E-5</v>
          </cell>
          <cell r="E772">
            <v>85642</v>
          </cell>
          <cell r="F772"/>
          <cell r="G772">
            <v>13212</v>
          </cell>
          <cell r="H772">
            <v>11756</v>
          </cell>
          <cell r="I772">
            <v>22726</v>
          </cell>
          <cell r="J772">
            <v>1169</v>
          </cell>
          <cell r="K772">
            <v>48863</v>
          </cell>
          <cell r="L772"/>
          <cell r="M772">
            <v>443</v>
          </cell>
          <cell r="N772">
            <v>0</v>
          </cell>
          <cell r="O772">
            <v>6010</v>
          </cell>
          <cell r="P772">
            <v>6453</v>
          </cell>
          <cell r="Q772"/>
          <cell r="R772">
            <v>23789</v>
          </cell>
          <cell r="S772">
            <v>-1258</v>
          </cell>
          <cell r="T772">
            <v>22531</v>
          </cell>
        </row>
        <row r="773">
          <cell r="A773">
            <v>98211</v>
          </cell>
          <cell r="B773" t="str">
            <v>CITY OF CLINTON</v>
          </cell>
          <cell r="C773">
            <v>8.5470000000000001E-4</v>
          </cell>
          <cell r="D773">
            <v>8.6689999999999998E-4</v>
          </cell>
          <cell r="E773">
            <v>2027641</v>
          </cell>
          <cell r="F773"/>
          <cell r="G773">
            <v>312817</v>
          </cell>
          <cell r="H773">
            <v>278335</v>
          </cell>
          <cell r="I773">
            <v>538058</v>
          </cell>
          <cell r="J773">
            <v>0</v>
          </cell>
          <cell r="K773">
            <v>1129210</v>
          </cell>
          <cell r="L773"/>
          <cell r="M773">
            <v>10497</v>
          </cell>
          <cell r="N773">
            <v>0</v>
          </cell>
          <cell r="O773">
            <v>112320</v>
          </cell>
          <cell r="P773">
            <v>122817</v>
          </cell>
          <cell r="Q773"/>
          <cell r="R773">
            <v>563224</v>
          </cell>
          <cell r="S773">
            <v>-56480</v>
          </cell>
          <cell r="T773">
            <v>506744</v>
          </cell>
        </row>
        <row r="774">
          <cell r="A774">
            <v>98218</v>
          </cell>
          <cell r="B774" t="str">
            <v>CLINTON ABC BOARD</v>
          </cell>
          <cell r="C774">
            <v>1.5500000000000001E-5</v>
          </cell>
          <cell r="D774">
            <v>1.3200000000000001E-5</v>
          </cell>
          <cell r="E774">
            <v>36771</v>
          </cell>
          <cell r="F774"/>
          <cell r="G774">
            <v>5673</v>
          </cell>
          <cell r="H774">
            <v>5047</v>
          </cell>
          <cell r="I774">
            <v>9758</v>
          </cell>
          <cell r="J774">
            <v>3767</v>
          </cell>
          <cell r="K774">
            <v>24245</v>
          </cell>
          <cell r="L774"/>
          <cell r="M774">
            <v>190</v>
          </cell>
          <cell r="N774">
            <v>0</v>
          </cell>
          <cell r="O774">
            <v>285</v>
          </cell>
          <cell r="P774">
            <v>475</v>
          </cell>
          <cell r="Q774"/>
          <cell r="R774">
            <v>10214</v>
          </cell>
          <cell r="S774">
            <v>269</v>
          </cell>
          <cell r="T774">
            <v>10483</v>
          </cell>
        </row>
        <row r="775">
          <cell r="A775">
            <v>98221</v>
          </cell>
          <cell r="B775" t="str">
            <v xml:space="preserve"> SALEMBURG</v>
          </cell>
          <cell r="C775">
            <v>1.8499999999999999E-5</v>
          </cell>
          <cell r="D775">
            <v>1.8899999999999999E-5</v>
          </cell>
          <cell r="E775">
            <v>43888</v>
          </cell>
          <cell r="F775"/>
          <cell r="G775">
            <v>6771</v>
          </cell>
          <cell r="H775">
            <v>6025</v>
          </cell>
          <cell r="I775">
            <v>11646</v>
          </cell>
          <cell r="J775">
            <v>4486</v>
          </cell>
          <cell r="K775">
            <v>28928</v>
          </cell>
          <cell r="L775"/>
          <cell r="M775">
            <v>227</v>
          </cell>
          <cell r="N775">
            <v>0</v>
          </cell>
          <cell r="O775">
            <v>0</v>
          </cell>
          <cell r="P775">
            <v>227</v>
          </cell>
          <cell r="Q775"/>
          <cell r="R775">
            <v>12191</v>
          </cell>
          <cell r="S775">
            <v>1809</v>
          </cell>
          <cell r="T775">
            <v>14000</v>
          </cell>
        </row>
        <row r="776">
          <cell r="A776">
            <v>98231</v>
          </cell>
          <cell r="B776" t="str">
            <v xml:space="preserve"> NEWTON GROVE</v>
          </cell>
          <cell r="C776">
            <v>3.1000000000000001E-5</v>
          </cell>
          <cell r="D776">
            <v>2.2799999999999999E-5</v>
          </cell>
          <cell r="E776">
            <v>73543</v>
          </cell>
          <cell r="F776"/>
          <cell r="G776">
            <v>11346</v>
          </cell>
          <cell r="H776">
            <v>10096</v>
          </cell>
          <cell r="I776">
            <v>19515</v>
          </cell>
          <cell r="J776">
            <v>7747</v>
          </cell>
          <cell r="K776">
            <v>48704</v>
          </cell>
          <cell r="L776"/>
          <cell r="M776">
            <v>381</v>
          </cell>
          <cell r="N776">
            <v>0</v>
          </cell>
          <cell r="O776">
            <v>5129</v>
          </cell>
          <cell r="P776">
            <v>5510</v>
          </cell>
          <cell r="Q776"/>
          <cell r="R776">
            <v>20428</v>
          </cell>
          <cell r="S776">
            <v>-1821</v>
          </cell>
          <cell r="T776">
            <v>18607</v>
          </cell>
        </row>
        <row r="777">
          <cell r="A777">
            <v>98237</v>
          </cell>
          <cell r="B777" t="str">
            <v>ROSEBORO ABC BOARD</v>
          </cell>
          <cell r="C777">
            <v>5.5999999999999997E-6</v>
          </cell>
          <cell r="D777">
            <v>5.9000000000000003E-6</v>
          </cell>
          <cell r="E777">
            <v>13285</v>
          </cell>
          <cell r="F777"/>
          <cell r="G777">
            <v>2050</v>
          </cell>
          <cell r="H777">
            <v>1823</v>
          </cell>
          <cell r="I777">
            <v>3525</v>
          </cell>
          <cell r="J777">
            <v>4018</v>
          </cell>
          <cell r="K777">
            <v>11416</v>
          </cell>
          <cell r="L777"/>
          <cell r="M777">
            <v>69</v>
          </cell>
          <cell r="N777">
            <v>0</v>
          </cell>
          <cell r="O777">
            <v>0</v>
          </cell>
          <cell r="P777">
            <v>69</v>
          </cell>
          <cell r="Q777"/>
          <cell r="R777">
            <v>3690</v>
          </cell>
          <cell r="S777">
            <v>1826</v>
          </cell>
          <cell r="T777">
            <v>5516</v>
          </cell>
        </row>
        <row r="778">
          <cell r="A778">
            <v>98241</v>
          </cell>
          <cell r="B778" t="str">
            <v xml:space="preserve"> GARLAND</v>
          </cell>
          <cell r="C778">
            <v>1.22E-5</v>
          </cell>
          <cell r="D778">
            <v>1.5099999999999999E-5</v>
          </cell>
          <cell r="E778">
            <v>28943</v>
          </cell>
          <cell r="F778"/>
          <cell r="G778">
            <v>4465</v>
          </cell>
          <cell r="H778">
            <v>3973</v>
          </cell>
          <cell r="I778">
            <v>7680</v>
          </cell>
          <cell r="J778">
            <v>2352</v>
          </cell>
          <cell r="K778">
            <v>18470</v>
          </cell>
          <cell r="L778"/>
          <cell r="M778">
            <v>150</v>
          </cell>
          <cell r="N778">
            <v>0</v>
          </cell>
          <cell r="O778">
            <v>2460</v>
          </cell>
          <cell r="P778">
            <v>2610</v>
          </cell>
          <cell r="Q778"/>
          <cell r="R778">
            <v>8039</v>
          </cell>
          <cell r="S778">
            <v>2327</v>
          </cell>
          <cell r="T778">
            <v>10366</v>
          </cell>
        </row>
        <row r="779">
          <cell r="A779">
            <v>98251</v>
          </cell>
          <cell r="B779" t="str">
            <v xml:space="preserve"> TURKEY</v>
          </cell>
          <cell r="C779">
            <v>2.7E-6</v>
          </cell>
          <cell r="D779">
            <v>3.0000000000000001E-6</v>
          </cell>
          <cell r="E779">
            <v>6405</v>
          </cell>
          <cell r="F779"/>
          <cell r="G779">
            <v>988</v>
          </cell>
          <cell r="H779">
            <v>879</v>
          </cell>
          <cell r="I779">
            <v>1700</v>
          </cell>
          <cell r="J779">
            <v>1458</v>
          </cell>
          <cell r="K779">
            <v>5025</v>
          </cell>
          <cell r="L779"/>
          <cell r="M779">
            <v>33</v>
          </cell>
          <cell r="N779">
            <v>0</v>
          </cell>
          <cell r="O779">
            <v>0</v>
          </cell>
          <cell r="P779">
            <v>33</v>
          </cell>
          <cell r="Q779"/>
          <cell r="R779">
            <v>1779</v>
          </cell>
          <cell r="S779">
            <v>722</v>
          </cell>
          <cell r="T779">
            <v>2501</v>
          </cell>
        </row>
        <row r="780">
          <cell r="A780">
            <v>98261</v>
          </cell>
          <cell r="B780" t="str">
            <v xml:space="preserve"> ROSEBORO</v>
          </cell>
          <cell r="C780">
            <v>3.3099999999999998E-5</v>
          </cell>
          <cell r="D780">
            <v>3.3200000000000001E-5</v>
          </cell>
          <cell r="E780">
            <v>78525</v>
          </cell>
          <cell r="F780"/>
          <cell r="G780">
            <v>12114</v>
          </cell>
          <cell r="H780">
            <v>10779</v>
          </cell>
          <cell r="I780">
            <v>20837</v>
          </cell>
          <cell r="J780">
            <v>6529</v>
          </cell>
          <cell r="K780">
            <v>50259</v>
          </cell>
          <cell r="L780"/>
          <cell r="M780">
            <v>407</v>
          </cell>
          <cell r="N780">
            <v>0</v>
          </cell>
          <cell r="O780">
            <v>3201</v>
          </cell>
          <cell r="P780">
            <v>3608</v>
          </cell>
          <cell r="Q780"/>
          <cell r="R780">
            <v>21812</v>
          </cell>
          <cell r="S780">
            <v>1417</v>
          </cell>
          <cell r="T780">
            <v>23229</v>
          </cell>
        </row>
        <row r="781">
          <cell r="A781">
            <v>98271</v>
          </cell>
          <cell r="B781" t="str">
            <v xml:space="preserve"> AUTRYVILLE</v>
          </cell>
          <cell r="C781">
            <v>5.3000000000000001E-6</v>
          </cell>
          <cell r="D781">
            <v>5.1000000000000003E-6</v>
          </cell>
          <cell r="E781">
            <v>12573</v>
          </cell>
          <cell r="F781"/>
          <cell r="G781">
            <v>1940</v>
          </cell>
          <cell r="H781">
            <v>1726</v>
          </cell>
          <cell r="I781">
            <v>3336</v>
          </cell>
          <cell r="J781">
            <v>2879</v>
          </cell>
          <cell r="K781">
            <v>9881</v>
          </cell>
          <cell r="L781"/>
          <cell r="M781">
            <v>65</v>
          </cell>
          <cell r="N781">
            <v>0</v>
          </cell>
          <cell r="O781">
            <v>0</v>
          </cell>
          <cell r="P781">
            <v>65</v>
          </cell>
          <cell r="Q781"/>
          <cell r="R781">
            <v>3493</v>
          </cell>
          <cell r="S781">
            <v>1857</v>
          </cell>
          <cell r="T781">
            <v>5350</v>
          </cell>
        </row>
        <row r="782">
          <cell r="A782">
            <v>98301</v>
          </cell>
          <cell r="B782" t="str">
            <v>SCOTLAND COUNTY</v>
          </cell>
          <cell r="C782">
            <v>1.7489999999999999E-3</v>
          </cell>
          <cell r="D782">
            <v>1.7542E-3</v>
          </cell>
          <cell r="E782">
            <v>4149226</v>
          </cell>
          <cell r="F782"/>
          <cell r="G782">
            <v>640127</v>
          </cell>
          <cell r="H782">
            <v>569565</v>
          </cell>
          <cell r="I782">
            <v>1101044</v>
          </cell>
          <cell r="J782">
            <v>56900</v>
          </cell>
          <cell r="K782">
            <v>2367636</v>
          </cell>
          <cell r="L782"/>
          <cell r="M782">
            <v>21479</v>
          </cell>
          <cell r="N782">
            <v>0</v>
          </cell>
          <cell r="O782">
            <v>0</v>
          </cell>
          <cell r="P782">
            <v>21479</v>
          </cell>
          <cell r="Q782"/>
          <cell r="R782">
            <v>1152544</v>
          </cell>
          <cell r="S782">
            <v>25032</v>
          </cell>
          <cell r="T782">
            <v>1177576</v>
          </cell>
        </row>
        <row r="783">
          <cell r="A783">
            <v>98304</v>
          </cell>
          <cell r="B783" t="str">
            <v>SCOTLAND COUNTY ABC BOARD</v>
          </cell>
          <cell r="C783">
            <v>1.9300000000000002E-5</v>
          </cell>
          <cell r="D783">
            <v>2.0999999999999999E-5</v>
          </cell>
          <cell r="E783">
            <v>45786</v>
          </cell>
          <cell r="F783"/>
          <cell r="G783">
            <v>7064</v>
          </cell>
          <cell r="H783">
            <v>6286</v>
          </cell>
          <cell r="I783">
            <v>12150</v>
          </cell>
          <cell r="J783">
            <v>3861</v>
          </cell>
          <cell r="K783">
            <v>29361</v>
          </cell>
          <cell r="L783"/>
          <cell r="M783">
            <v>237</v>
          </cell>
          <cell r="N783">
            <v>0</v>
          </cell>
          <cell r="O783">
            <v>0</v>
          </cell>
          <cell r="P783">
            <v>237</v>
          </cell>
          <cell r="Q783"/>
          <cell r="R783">
            <v>12718</v>
          </cell>
          <cell r="S783">
            <v>1416</v>
          </cell>
          <cell r="T783">
            <v>14134</v>
          </cell>
        </row>
        <row r="784">
          <cell r="A784">
            <v>98308</v>
          </cell>
          <cell r="B784" t="str">
            <v>LAURINBURG-MAXTON AIRPORT COMMISSION</v>
          </cell>
          <cell r="C784">
            <v>2.2399999999999999E-5</v>
          </cell>
          <cell r="D784">
            <v>2.37E-5</v>
          </cell>
          <cell r="E784">
            <v>53140</v>
          </cell>
          <cell r="F784" t="str">
            <v xml:space="preserve"> </v>
          </cell>
          <cell r="G784">
            <v>8198</v>
          </cell>
          <cell r="H784">
            <v>7295</v>
          </cell>
          <cell r="I784">
            <v>14101</v>
          </cell>
          <cell r="J784">
            <v>7416</v>
          </cell>
          <cell r="K784">
            <v>37010</v>
          </cell>
          <cell r="L784"/>
          <cell r="M784">
            <v>275</v>
          </cell>
          <cell r="N784">
            <v>0</v>
          </cell>
          <cell r="O784">
            <v>0</v>
          </cell>
          <cell r="P784">
            <v>275</v>
          </cell>
          <cell r="Q784"/>
          <cell r="R784">
            <v>14761</v>
          </cell>
          <cell r="S784">
            <v>4258</v>
          </cell>
          <cell r="T784">
            <v>19019</v>
          </cell>
        </row>
        <row r="785">
          <cell r="A785">
            <v>98311</v>
          </cell>
          <cell r="B785" t="str">
            <v>CITY OF LAURINBURG</v>
          </cell>
          <cell r="C785">
            <v>1.0931999999999999E-3</v>
          </cell>
          <cell r="D785">
            <v>1.1536000000000001E-3</v>
          </cell>
          <cell r="E785">
            <v>2593444</v>
          </cell>
          <cell r="F785" t="str">
            <v xml:space="preserve"> </v>
          </cell>
          <cell r="G785">
            <v>400107</v>
          </cell>
          <cell r="H785">
            <v>356003</v>
          </cell>
          <cell r="I785">
            <v>688200</v>
          </cell>
          <cell r="J785">
            <v>0</v>
          </cell>
          <cell r="K785">
            <v>1444310</v>
          </cell>
          <cell r="L785"/>
          <cell r="M785">
            <v>13426</v>
          </cell>
          <cell r="N785">
            <v>0</v>
          </cell>
          <cell r="O785">
            <v>152880</v>
          </cell>
          <cell r="P785">
            <v>166306</v>
          </cell>
          <cell r="Q785"/>
          <cell r="R785">
            <v>720389</v>
          </cell>
          <cell r="S785">
            <v>-39908</v>
          </cell>
          <cell r="T785">
            <v>680481</v>
          </cell>
        </row>
        <row r="786">
          <cell r="A786">
            <v>98313</v>
          </cell>
          <cell r="B786" t="str">
            <v>LAURINBURG HOUSING AUTHORITY</v>
          </cell>
          <cell r="C786">
            <v>2.4240000000000001E-4</v>
          </cell>
          <cell r="D786">
            <v>2.3560000000000001E-4</v>
          </cell>
          <cell r="E786">
            <v>575056</v>
          </cell>
          <cell r="F786" t="str">
            <v xml:space="preserve"> </v>
          </cell>
          <cell r="G786">
            <v>88717</v>
          </cell>
          <cell r="H786">
            <v>78938</v>
          </cell>
          <cell r="I786">
            <v>152598</v>
          </cell>
          <cell r="J786">
            <v>283623</v>
          </cell>
          <cell r="K786">
            <v>603876</v>
          </cell>
          <cell r="L786"/>
          <cell r="M786">
            <v>2977</v>
          </cell>
          <cell r="N786">
            <v>0</v>
          </cell>
          <cell r="O786">
            <v>0</v>
          </cell>
          <cell r="P786">
            <v>2977</v>
          </cell>
          <cell r="Q786"/>
          <cell r="R786">
            <v>159735</v>
          </cell>
          <cell r="S786">
            <v>109986</v>
          </cell>
          <cell r="T786">
            <v>269721</v>
          </cell>
        </row>
        <row r="787">
          <cell r="A787">
            <v>98321</v>
          </cell>
          <cell r="B787" t="str">
            <v xml:space="preserve"> WAGRAM</v>
          </cell>
          <cell r="C787">
            <v>1.9199999999999999E-5</v>
          </cell>
          <cell r="D787">
            <v>2.05E-5</v>
          </cell>
          <cell r="E787">
            <v>45549</v>
          </cell>
          <cell r="F787" t="str">
            <v xml:space="preserve"> </v>
          </cell>
          <cell r="G787">
            <v>7027</v>
          </cell>
          <cell r="H787">
            <v>6253</v>
          </cell>
          <cell r="I787">
            <v>12087</v>
          </cell>
          <cell r="J787">
            <v>63</v>
          </cell>
          <cell r="K787">
            <v>25430</v>
          </cell>
          <cell r="L787"/>
          <cell r="M787">
            <v>236</v>
          </cell>
          <cell r="N787">
            <v>0</v>
          </cell>
          <cell r="O787">
            <v>1957</v>
          </cell>
          <cell r="P787">
            <v>2193</v>
          </cell>
          <cell r="Q787"/>
          <cell r="R787">
            <v>12652</v>
          </cell>
          <cell r="S787">
            <v>453</v>
          </cell>
          <cell r="T787">
            <v>13105</v>
          </cell>
        </row>
        <row r="788">
          <cell r="A788">
            <v>98331</v>
          </cell>
          <cell r="B788" t="str">
            <v xml:space="preserve"> GIBSON</v>
          </cell>
          <cell r="C788">
            <v>9.3000000000000007E-6</v>
          </cell>
          <cell r="D788">
            <v>9.7999999999999993E-6</v>
          </cell>
          <cell r="E788">
            <v>22063</v>
          </cell>
          <cell r="F788" t="str">
            <v xml:space="preserve"> </v>
          </cell>
          <cell r="G788">
            <v>3404</v>
          </cell>
          <cell r="H788">
            <v>3029</v>
          </cell>
          <cell r="I788">
            <v>5855</v>
          </cell>
          <cell r="J788">
            <v>3274</v>
          </cell>
          <cell r="K788">
            <v>15562</v>
          </cell>
          <cell r="L788"/>
          <cell r="M788">
            <v>114</v>
          </cell>
          <cell r="N788">
            <v>0</v>
          </cell>
          <cell r="O788">
            <v>0</v>
          </cell>
          <cell r="P788">
            <v>114</v>
          </cell>
          <cell r="Q788"/>
          <cell r="R788">
            <v>6128</v>
          </cell>
          <cell r="S788">
            <v>1309</v>
          </cell>
          <cell r="T788">
            <v>7437</v>
          </cell>
        </row>
        <row r="789">
          <cell r="A789">
            <v>98401</v>
          </cell>
          <cell r="B789" t="str">
            <v>STANLY COUNTY</v>
          </cell>
          <cell r="C789">
            <v>2.7358E-3</v>
          </cell>
          <cell r="D789">
            <v>2.7655000000000002E-3</v>
          </cell>
          <cell r="E789">
            <v>6490253</v>
          </cell>
          <cell r="F789" t="str">
            <v xml:space="preserve"> </v>
          </cell>
          <cell r="G789">
            <v>1001292</v>
          </cell>
          <cell r="H789">
            <v>890919</v>
          </cell>
          <cell r="I789">
            <v>1722263</v>
          </cell>
          <cell r="J789">
            <v>198418</v>
          </cell>
          <cell r="K789">
            <v>3812892</v>
          </cell>
          <cell r="L789"/>
          <cell r="M789">
            <v>33598</v>
          </cell>
          <cell r="N789">
            <v>0</v>
          </cell>
          <cell r="O789">
            <v>4093</v>
          </cell>
          <cell r="P789">
            <v>37691</v>
          </cell>
          <cell r="Q789"/>
          <cell r="R789">
            <v>1802818</v>
          </cell>
          <cell r="S789">
            <v>81533</v>
          </cell>
          <cell r="T789">
            <v>1884351</v>
          </cell>
        </row>
        <row r="790">
          <cell r="A790">
            <v>98404</v>
          </cell>
          <cell r="B790" t="str">
            <v>LOCUST ABC BOARD</v>
          </cell>
          <cell r="C790">
            <v>1.5099999999999999E-5</v>
          </cell>
          <cell r="D790">
            <v>1.52E-5</v>
          </cell>
          <cell r="E790">
            <v>35822</v>
          </cell>
          <cell r="F790" t="str">
            <v xml:space="preserve"> </v>
          </cell>
          <cell r="G790">
            <v>5527</v>
          </cell>
          <cell r="H790">
            <v>4917</v>
          </cell>
          <cell r="I790">
            <v>9506</v>
          </cell>
          <cell r="J790">
            <v>7686</v>
          </cell>
          <cell r="K790">
            <v>27636</v>
          </cell>
          <cell r="L790"/>
          <cell r="M790">
            <v>185</v>
          </cell>
          <cell r="N790">
            <v>0</v>
          </cell>
          <cell r="O790">
            <v>0</v>
          </cell>
          <cell r="P790">
            <v>185</v>
          </cell>
          <cell r="Q790"/>
          <cell r="R790">
            <v>9950</v>
          </cell>
          <cell r="S790">
            <v>2503</v>
          </cell>
          <cell r="T790">
            <v>12453</v>
          </cell>
        </row>
        <row r="791">
          <cell r="A791">
            <v>98411</v>
          </cell>
          <cell r="B791" t="str">
            <v>CITY OF ALBEMARLE</v>
          </cell>
          <cell r="C791">
            <v>1.9327000000000001E-3</v>
          </cell>
          <cell r="D791">
            <v>1.9816E-3</v>
          </cell>
          <cell r="E791">
            <v>4585025</v>
          </cell>
          <cell r="F791" t="str">
            <v xml:space="preserve"> </v>
          </cell>
          <cell r="G791">
            <v>707360</v>
          </cell>
          <cell r="H791">
            <v>629388</v>
          </cell>
          <cell r="I791">
            <v>1216689</v>
          </cell>
          <cell r="J791">
            <v>0</v>
          </cell>
          <cell r="K791">
            <v>2553437</v>
          </cell>
          <cell r="L791"/>
          <cell r="M791">
            <v>23735</v>
          </cell>
          <cell r="N791">
            <v>0</v>
          </cell>
          <cell r="O791">
            <v>116454</v>
          </cell>
          <cell r="P791">
            <v>140189</v>
          </cell>
          <cell r="Q791"/>
          <cell r="R791">
            <v>1273597</v>
          </cell>
          <cell r="S791">
            <v>-35630</v>
          </cell>
          <cell r="T791">
            <v>1237967</v>
          </cell>
        </row>
        <row r="792">
          <cell r="A792" t="str">
            <v>98414M</v>
          </cell>
          <cell r="B792" t="str">
            <v xml:space="preserve"> MISENHEIMER</v>
          </cell>
          <cell r="C792">
            <v>4.1600000000000002E-5</v>
          </cell>
          <cell r="D792">
            <v>2.83E-5</v>
          </cell>
          <cell r="E792">
            <v>98689</v>
          </cell>
          <cell r="F792" t="str">
            <v xml:space="preserve"> </v>
          </cell>
          <cell r="G792">
            <v>15225</v>
          </cell>
          <cell r="H792">
            <v>13548</v>
          </cell>
          <cell r="I792">
            <v>26188</v>
          </cell>
          <cell r="J792">
            <v>18529</v>
          </cell>
          <cell r="K792">
            <v>73490</v>
          </cell>
          <cell r="L792"/>
          <cell r="M792">
            <v>511</v>
          </cell>
          <cell r="N792">
            <v>0</v>
          </cell>
          <cell r="O792">
            <v>0</v>
          </cell>
          <cell r="P792">
            <v>511</v>
          </cell>
          <cell r="Q792"/>
          <cell r="R792">
            <v>27413</v>
          </cell>
          <cell r="S792">
            <v>5537</v>
          </cell>
          <cell r="T792">
            <v>32950</v>
          </cell>
        </row>
        <row r="793">
          <cell r="A793" t="str">
            <v>71786M</v>
          </cell>
          <cell r="B793" t="str">
            <v xml:space="preserve"> MISENHEIMER</v>
          </cell>
          <cell r="C793">
            <v>0</v>
          </cell>
          <cell r="D793">
            <v>1.0200000000000001E-5</v>
          </cell>
          <cell r="E793">
            <v>0</v>
          </cell>
          <cell r="F793" t="str">
            <v xml:space="preserve"> </v>
          </cell>
          <cell r="G793">
            <v>0</v>
          </cell>
          <cell r="H793">
            <v>0</v>
          </cell>
          <cell r="I793">
            <v>0</v>
          </cell>
          <cell r="J793">
            <v>0</v>
          </cell>
          <cell r="K793">
            <v>0</v>
          </cell>
          <cell r="L793"/>
          <cell r="M793">
            <v>0</v>
          </cell>
          <cell r="N793">
            <v>0</v>
          </cell>
          <cell r="O793">
            <v>24349</v>
          </cell>
          <cell r="P793">
            <v>24349</v>
          </cell>
          <cell r="R793">
            <v>0</v>
          </cell>
          <cell r="S793">
            <v>-9271</v>
          </cell>
          <cell r="T793">
            <v>-9271</v>
          </cell>
        </row>
        <row r="794">
          <cell r="A794">
            <v>98414</v>
          </cell>
          <cell r="B794" t="str">
            <v xml:space="preserve"> MISENHEIMER</v>
          </cell>
          <cell r="C794">
            <v>4.1600000000000002E-5</v>
          </cell>
          <cell r="D794">
            <v>3.8500000000000001E-5</v>
          </cell>
          <cell r="E794">
            <v>98689</v>
          </cell>
          <cell r="F794"/>
          <cell r="G794">
            <v>15225</v>
          </cell>
          <cell r="H794">
            <v>13548</v>
          </cell>
          <cell r="I794">
            <v>26188</v>
          </cell>
          <cell r="J794">
            <v>18529</v>
          </cell>
          <cell r="K794">
            <v>73490</v>
          </cell>
          <cell r="L794"/>
          <cell r="M794">
            <v>511</v>
          </cell>
          <cell r="N794">
            <v>0</v>
          </cell>
          <cell r="O794">
            <v>24349</v>
          </cell>
          <cell r="P794">
            <v>24860</v>
          </cell>
          <cell r="R794">
            <v>27413</v>
          </cell>
          <cell r="S794">
            <v>-3734</v>
          </cell>
          <cell r="T794">
            <v>23679</v>
          </cell>
        </row>
        <row r="795">
          <cell r="A795">
            <v>98417</v>
          </cell>
          <cell r="B795" t="str">
            <v>ALBEMARLE ABC BOARD</v>
          </cell>
          <cell r="C795">
            <v>2.1500000000000001E-5</v>
          </cell>
          <cell r="D795">
            <v>2.2900000000000001E-5</v>
          </cell>
          <cell r="E795">
            <v>51005</v>
          </cell>
          <cell r="F795" t="str">
            <v xml:space="preserve"> </v>
          </cell>
          <cell r="G795">
            <v>7869</v>
          </cell>
          <cell r="H795">
            <v>7001</v>
          </cell>
          <cell r="I795">
            <v>13535</v>
          </cell>
          <cell r="J795">
            <v>4701</v>
          </cell>
          <cell r="K795">
            <v>33106</v>
          </cell>
          <cell r="L795"/>
          <cell r="M795">
            <v>264</v>
          </cell>
          <cell r="N795">
            <v>0</v>
          </cell>
          <cell r="O795">
            <v>0</v>
          </cell>
          <cell r="P795">
            <v>264</v>
          </cell>
          <cell r="Q795"/>
          <cell r="R795">
            <v>14168</v>
          </cell>
          <cell r="S795">
            <v>1052</v>
          </cell>
          <cell r="T795">
            <v>15220</v>
          </cell>
        </row>
        <row r="796">
          <cell r="A796">
            <v>98421</v>
          </cell>
          <cell r="B796" t="str">
            <v xml:space="preserve"> NORWOOD</v>
          </cell>
          <cell r="C796">
            <v>1.06E-4</v>
          </cell>
          <cell r="D796">
            <v>8.2700000000000004E-5</v>
          </cell>
          <cell r="E796">
            <v>251468</v>
          </cell>
          <cell r="F796" t="str">
            <v xml:space="preserve"> </v>
          </cell>
          <cell r="G796">
            <v>38796</v>
          </cell>
          <cell r="H796">
            <v>34519</v>
          </cell>
          <cell r="I796">
            <v>66730</v>
          </cell>
          <cell r="J796">
            <v>17902</v>
          </cell>
          <cell r="K796">
            <v>157947</v>
          </cell>
          <cell r="L796"/>
          <cell r="M796">
            <v>1302</v>
          </cell>
          <cell r="N796">
            <v>0</v>
          </cell>
          <cell r="O796">
            <v>9065</v>
          </cell>
          <cell r="P796">
            <v>10367</v>
          </cell>
          <cell r="Q796"/>
          <cell r="R796">
            <v>69851</v>
          </cell>
          <cell r="S796">
            <v>2976</v>
          </cell>
          <cell r="T796">
            <v>72827</v>
          </cell>
        </row>
        <row r="797">
          <cell r="A797">
            <v>98427</v>
          </cell>
          <cell r="B797" t="str">
            <v>NORWOOD ABC BD</v>
          </cell>
          <cell r="C797">
            <v>3.4000000000000001E-6</v>
          </cell>
          <cell r="D797">
            <v>3.9999999999999998E-6</v>
          </cell>
          <cell r="E797">
            <v>8066</v>
          </cell>
          <cell r="F797" t="str">
            <v xml:space="preserve"> </v>
          </cell>
          <cell r="G797">
            <v>1244</v>
          </cell>
          <cell r="H797">
            <v>1107</v>
          </cell>
          <cell r="I797">
            <v>2140</v>
          </cell>
          <cell r="J797">
            <v>1747</v>
          </cell>
          <cell r="K797">
            <v>6238</v>
          </cell>
          <cell r="L797"/>
          <cell r="M797">
            <v>42</v>
          </cell>
          <cell r="N797">
            <v>0</v>
          </cell>
          <cell r="O797">
            <v>0</v>
          </cell>
          <cell r="P797">
            <v>42</v>
          </cell>
          <cell r="Q797"/>
          <cell r="R797">
            <v>2241</v>
          </cell>
          <cell r="S797">
            <v>707</v>
          </cell>
          <cell r="T797">
            <v>2948</v>
          </cell>
        </row>
        <row r="798">
          <cell r="A798">
            <v>98431</v>
          </cell>
          <cell r="B798" t="str">
            <v>CITY OF LOCUST</v>
          </cell>
          <cell r="C798">
            <v>1.961E-4</v>
          </cell>
          <cell r="D798">
            <v>2.0589999999999999E-4</v>
          </cell>
          <cell r="E798">
            <v>465216</v>
          </cell>
          <cell r="F798" t="str">
            <v xml:space="preserve"> </v>
          </cell>
          <cell r="G798">
            <v>71772</v>
          </cell>
          <cell r="H798">
            <v>63861</v>
          </cell>
          <cell r="I798">
            <v>123450</v>
          </cell>
          <cell r="J798">
            <v>0</v>
          </cell>
          <cell r="K798">
            <v>259083</v>
          </cell>
          <cell r="L798"/>
          <cell r="M798">
            <v>2408</v>
          </cell>
          <cell r="N798">
            <v>0</v>
          </cell>
          <cell r="O798">
            <v>33499</v>
          </cell>
          <cell r="P798">
            <v>35907</v>
          </cell>
          <cell r="Q798"/>
          <cell r="R798">
            <v>129225</v>
          </cell>
          <cell r="S798">
            <v>-12036</v>
          </cell>
          <cell r="T798">
            <v>117189</v>
          </cell>
        </row>
        <row r="799">
          <cell r="A799">
            <v>98441</v>
          </cell>
          <cell r="B799" t="str">
            <v xml:space="preserve"> OAKBORO</v>
          </cell>
          <cell r="C799">
            <v>1.0900000000000001E-4</v>
          </cell>
          <cell r="D799">
            <v>8.2700000000000004E-5</v>
          </cell>
          <cell r="E799">
            <v>258585</v>
          </cell>
          <cell r="F799" t="str">
            <v xml:space="preserve"> </v>
          </cell>
          <cell r="G799">
            <v>39894</v>
          </cell>
          <cell r="H799">
            <v>35496</v>
          </cell>
          <cell r="I799">
            <v>68619</v>
          </cell>
          <cell r="J799">
            <v>12072</v>
          </cell>
          <cell r="K799">
            <v>156081</v>
          </cell>
          <cell r="L799"/>
          <cell r="M799">
            <v>1339</v>
          </cell>
          <cell r="N799">
            <v>0</v>
          </cell>
          <cell r="O799">
            <v>13805</v>
          </cell>
          <cell r="P799">
            <v>15144</v>
          </cell>
          <cell r="Q799"/>
          <cell r="R799">
            <v>71828</v>
          </cell>
          <cell r="S799">
            <v>-5014</v>
          </cell>
          <cell r="T799">
            <v>66814</v>
          </cell>
        </row>
        <row r="800">
          <cell r="A800">
            <v>98451</v>
          </cell>
          <cell r="B800" t="str">
            <v xml:space="preserve"> BADIN</v>
          </cell>
          <cell r="C800">
            <v>4.88E-5</v>
          </cell>
          <cell r="D800">
            <v>5.7000000000000003E-5</v>
          </cell>
          <cell r="E800">
            <v>115770</v>
          </cell>
          <cell r="F800" t="str">
            <v xml:space="preserve"> </v>
          </cell>
          <cell r="G800">
            <v>17861</v>
          </cell>
          <cell r="H800">
            <v>15892</v>
          </cell>
          <cell r="I800">
            <v>30721</v>
          </cell>
          <cell r="J800">
            <v>380</v>
          </cell>
          <cell r="K800">
            <v>64854</v>
          </cell>
          <cell r="L800"/>
          <cell r="M800">
            <v>599</v>
          </cell>
          <cell r="N800">
            <v>0</v>
          </cell>
          <cell r="O800">
            <v>4433</v>
          </cell>
          <cell r="P800">
            <v>5032</v>
          </cell>
          <cell r="Q800"/>
          <cell r="R800">
            <v>32158</v>
          </cell>
          <cell r="S800">
            <v>-1432</v>
          </cell>
          <cell r="T800">
            <v>30726</v>
          </cell>
        </row>
        <row r="801">
          <cell r="A801">
            <v>98471</v>
          </cell>
          <cell r="B801" t="str">
            <v xml:space="preserve"> NEW LONDON</v>
          </cell>
          <cell r="C801">
            <v>6.1E-6</v>
          </cell>
          <cell r="D801">
            <v>0</v>
          </cell>
          <cell r="E801">
            <v>14471</v>
          </cell>
          <cell r="F801" t="str">
            <v xml:space="preserve"> </v>
          </cell>
          <cell r="G801">
            <v>2233</v>
          </cell>
          <cell r="H801">
            <v>1987</v>
          </cell>
          <cell r="I801">
            <v>3840</v>
          </cell>
          <cell r="J801">
            <v>5121</v>
          </cell>
          <cell r="K801">
            <v>13181</v>
          </cell>
          <cell r="L801"/>
          <cell r="M801">
            <v>75</v>
          </cell>
          <cell r="N801">
            <v>0</v>
          </cell>
          <cell r="O801">
            <v>0</v>
          </cell>
          <cell r="P801">
            <v>75</v>
          </cell>
          <cell r="Q801"/>
          <cell r="R801">
            <v>4020</v>
          </cell>
          <cell r="S801">
            <v>1280</v>
          </cell>
          <cell r="T801">
            <v>5300</v>
          </cell>
        </row>
        <row r="802">
          <cell r="A802">
            <v>98481</v>
          </cell>
          <cell r="B802" t="str">
            <v xml:space="preserve"> STANFIELD</v>
          </cell>
          <cell r="C802">
            <v>7.2000000000000002E-5</v>
          </cell>
          <cell r="D802">
            <v>6.3899999999999995E-5</v>
          </cell>
          <cell r="E802">
            <v>170809</v>
          </cell>
          <cell r="F802" t="str">
            <v xml:space="preserve"> </v>
          </cell>
          <cell r="G802">
            <v>26352</v>
          </cell>
          <cell r="H802">
            <v>23447</v>
          </cell>
          <cell r="I802">
            <v>45326</v>
          </cell>
          <cell r="J802">
            <v>2185</v>
          </cell>
          <cell r="K802">
            <v>97310</v>
          </cell>
          <cell r="L802"/>
          <cell r="M802">
            <v>884</v>
          </cell>
          <cell r="N802">
            <v>0</v>
          </cell>
          <cell r="O802">
            <v>4175</v>
          </cell>
          <cell r="P802">
            <v>5059</v>
          </cell>
          <cell r="Q802"/>
          <cell r="R802">
            <v>47446</v>
          </cell>
          <cell r="S802">
            <v>495</v>
          </cell>
          <cell r="T802">
            <v>47941</v>
          </cell>
        </row>
        <row r="803">
          <cell r="A803">
            <v>98501</v>
          </cell>
          <cell r="B803" t="str">
            <v>STOKES COUNTY</v>
          </cell>
          <cell r="C803">
            <v>1.6239E-3</v>
          </cell>
          <cell r="D803">
            <v>1.6022E-3</v>
          </cell>
          <cell r="E803">
            <v>3852446</v>
          </cell>
          <cell r="F803" t="str">
            <v xml:space="preserve"> </v>
          </cell>
          <cell r="G803">
            <v>594341</v>
          </cell>
          <cell r="H803">
            <v>528826</v>
          </cell>
          <cell r="I803">
            <v>1022291</v>
          </cell>
          <cell r="J803">
            <v>103062</v>
          </cell>
          <cell r="K803">
            <v>2248520</v>
          </cell>
          <cell r="L803"/>
          <cell r="M803">
            <v>19943</v>
          </cell>
          <cell r="N803">
            <v>0</v>
          </cell>
          <cell r="O803">
            <v>0</v>
          </cell>
          <cell r="P803">
            <v>19943</v>
          </cell>
          <cell r="Q803"/>
          <cell r="R803">
            <v>1070106</v>
          </cell>
          <cell r="S803">
            <v>31738</v>
          </cell>
          <cell r="T803">
            <v>1101844</v>
          </cell>
        </row>
        <row r="804">
          <cell r="A804">
            <v>98511</v>
          </cell>
          <cell r="B804" t="str">
            <v xml:space="preserve"> WALNUT COVE</v>
          </cell>
          <cell r="C804">
            <v>4.0000000000000003E-5</v>
          </cell>
          <cell r="D804">
            <v>4.8000000000000001E-5</v>
          </cell>
          <cell r="E804">
            <v>94894</v>
          </cell>
          <cell r="F804" t="str">
            <v xml:space="preserve"> </v>
          </cell>
          <cell r="G804">
            <v>14640</v>
          </cell>
          <cell r="H804">
            <v>13026</v>
          </cell>
          <cell r="I804">
            <v>25181</v>
          </cell>
          <cell r="J804">
            <v>4106</v>
          </cell>
          <cell r="K804">
            <v>56953</v>
          </cell>
          <cell r="L804"/>
          <cell r="M804">
            <v>491</v>
          </cell>
          <cell r="N804">
            <v>0</v>
          </cell>
          <cell r="O804">
            <v>3548</v>
          </cell>
          <cell r="P804">
            <v>4039</v>
          </cell>
          <cell r="Q804"/>
          <cell r="R804">
            <v>26359</v>
          </cell>
          <cell r="S804">
            <v>-9955</v>
          </cell>
          <cell r="T804">
            <v>16404</v>
          </cell>
        </row>
        <row r="805">
          <cell r="A805">
            <v>98517</v>
          </cell>
          <cell r="B805" t="str">
            <v>WALNUT COVE ABC BOARD</v>
          </cell>
          <cell r="C805">
            <v>2.3E-6</v>
          </cell>
          <cell r="D805">
            <v>2.3E-6</v>
          </cell>
          <cell r="E805">
            <v>5456</v>
          </cell>
          <cell r="F805" t="str">
            <v xml:space="preserve"> </v>
          </cell>
          <cell r="G805">
            <v>842</v>
          </cell>
          <cell r="H805">
            <v>749</v>
          </cell>
          <cell r="I805">
            <v>1448</v>
          </cell>
          <cell r="J805">
            <v>2754</v>
          </cell>
          <cell r="K805">
            <v>5793</v>
          </cell>
          <cell r="L805"/>
          <cell r="M805">
            <v>28</v>
          </cell>
          <cell r="N805">
            <v>0</v>
          </cell>
          <cell r="O805">
            <v>0</v>
          </cell>
          <cell r="P805">
            <v>28</v>
          </cell>
          <cell r="Q805"/>
          <cell r="R805">
            <v>1516</v>
          </cell>
          <cell r="S805">
            <v>1018</v>
          </cell>
          <cell r="T805">
            <v>2534</v>
          </cell>
        </row>
        <row r="806">
          <cell r="A806">
            <v>98521</v>
          </cell>
          <cell r="B806" t="str">
            <v>CITY OF KING</v>
          </cell>
          <cell r="C806">
            <v>6.4780000000000003E-4</v>
          </cell>
          <cell r="D806">
            <v>6.6180000000000004E-4</v>
          </cell>
          <cell r="E806">
            <v>1536803</v>
          </cell>
          <cell r="F806" t="str">
            <v xml:space="preserve"> </v>
          </cell>
          <cell r="G806">
            <v>237092</v>
          </cell>
          <cell r="H806">
            <v>210957</v>
          </cell>
          <cell r="I806">
            <v>407808</v>
          </cell>
          <cell r="J806">
            <v>26095</v>
          </cell>
          <cell r="K806">
            <v>881952</v>
          </cell>
          <cell r="L806"/>
          <cell r="M806">
            <v>7956</v>
          </cell>
          <cell r="N806">
            <v>0</v>
          </cell>
          <cell r="O806">
            <v>52330</v>
          </cell>
          <cell r="P806">
            <v>60286</v>
          </cell>
          <cell r="Q806"/>
          <cell r="R806">
            <v>426883</v>
          </cell>
          <cell r="S806">
            <v>-16971</v>
          </cell>
          <cell r="T806">
            <v>409912</v>
          </cell>
        </row>
        <row r="807">
          <cell r="A807">
            <v>98601</v>
          </cell>
          <cell r="B807" t="str">
            <v>SURRY COUNTY</v>
          </cell>
          <cell r="C807">
            <v>3.4765999999999998E-3</v>
          </cell>
          <cell r="D807">
            <v>3.4148E-3</v>
          </cell>
          <cell r="E807">
            <v>8247684</v>
          </cell>
          <cell r="F807" t="str">
            <v xml:space="preserve"> </v>
          </cell>
          <cell r="G807">
            <v>1272422</v>
          </cell>
          <cell r="H807">
            <v>1132162</v>
          </cell>
          <cell r="I807">
            <v>2188617</v>
          </cell>
          <cell r="J807">
            <v>0</v>
          </cell>
          <cell r="K807">
            <v>4593201</v>
          </cell>
          <cell r="L807"/>
          <cell r="M807">
            <v>42696</v>
          </cell>
          <cell r="N807">
            <v>0</v>
          </cell>
          <cell r="O807">
            <v>132455</v>
          </cell>
          <cell r="P807">
            <v>175151</v>
          </cell>
          <cell r="Q807"/>
          <cell r="R807">
            <v>2290986</v>
          </cell>
          <cell r="S807">
            <v>-95496</v>
          </cell>
          <cell r="T807">
            <v>2195490</v>
          </cell>
        </row>
        <row r="808">
          <cell r="A808" t="str">
            <v>98604M</v>
          </cell>
          <cell r="B808" t="str">
            <v>YADKIN VALLEY ABC BOARD</v>
          </cell>
          <cell r="C808">
            <v>1.29E-5</v>
          </cell>
          <cell r="D808">
            <v>1.34E-5</v>
          </cell>
          <cell r="E808">
            <v>30603</v>
          </cell>
          <cell r="F808" t="str">
            <v xml:space="preserve"> </v>
          </cell>
          <cell r="G808">
            <v>4721</v>
          </cell>
          <cell r="H808">
            <v>4201</v>
          </cell>
          <cell r="I808">
            <v>8121</v>
          </cell>
          <cell r="J808">
            <v>4763</v>
          </cell>
          <cell r="K808">
            <v>21806</v>
          </cell>
          <cell r="L808"/>
          <cell r="M808">
            <v>158</v>
          </cell>
          <cell r="N808">
            <v>0</v>
          </cell>
          <cell r="O808">
            <v>395</v>
          </cell>
          <cell r="P808">
            <v>553</v>
          </cell>
          <cell r="Q808"/>
          <cell r="R808">
            <v>8501</v>
          </cell>
          <cell r="S808">
            <v>2178</v>
          </cell>
          <cell r="T808">
            <v>10679</v>
          </cell>
        </row>
        <row r="809">
          <cell r="A809" t="str">
            <v>98647M</v>
          </cell>
          <cell r="B809" t="str">
            <v>ELKIN ABC BOARD</v>
          </cell>
          <cell r="C809">
            <v>0</v>
          </cell>
          <cell r="D809">
            <v>0</v>
          </cell>
          <cell r="E809">
            <v>0</v>
          </cell>
          <cell r="F809" t="str">
            <v xml:space="preserve"> </v>
          </cell>
          <cell r="G809">
            <v>0</v>
          </cell>
          <cell r="H809">
            <v>0</v>
          </cell>
          <cell r="I809">
            <v>0</v>
          </cell>
          <cell r="J809">
            <v>1056</v>
          </cell>
          <cell r="K809">
            <v>1056</v>
          </cell>
          <cell r="L809"/>
          <cell r="M809">
            <v>0</v>
          </cell>
          <cell r="N809">
            <v>0</v>
          </cell>
          <cell r="O809">
            <v>3238</v>
          </cell>
          <cell r="P809">
            <v>3238</v>
          </cell>
          <cell r="Q809"/>
          <cell r="R809">
            <v>0</v>
          </cell>
          <cell r="S809">
            <v>171</v>
          </cell>
          <cell r="T809">
            <v>171</v>
          </cell>
        </row>
        <row r="810">
          <cell r="A810">
            <v>98604</v>
          </cell>
          <cell r="B810" t="str">
            <v>YADKIN VALLEY ABC BOARD</v>
          </cell>
          <cell r="C810">
            <v>1.29E-5</v>
          </cell>
          <cell r="D810">
            <v>1.34E-5</v>
          </cell>
          <cell r="E810">
            <v>30603</v>
          </cell>
          <cell r="F810"/>
          <cell r="G810">
            <v>4721</v>
          </cell>
          <cell r="H810">
            <v>4201</v>
          </cell>
          <cell r="I810">
            <v>8121</v>
          </cell>
          <cell r="J810">
            <v>5819</v>
          </cell>
          <cell r="K810">
            <v>22862</v>
          </cell>
          <cell r="L810"/>
          <cell r="M810">
            <v>158</v>
          </cell>
          <cell r="N810">
            <v>0</v>
          </cell>
          <cell r="O810">
            <v>3633</v>
          </cell>
          <cell r="P810">
            <v>3791</v>
          </cell>
          <cell r="Q810"/>
          <cell r="R810">
            <v>8501</v>
          </cell>
          <cell r="S810">
            <v>2349</v>
          </cell>
          <cell r="T810">
            <v>10850</v>
          </cell>
        </row>
        <row r="811">
          <cell r="A811">
            <v>98607</v>
          </cell>
          <cell r="B811" t="str">
            <v>PILOT MOUNTAIN ABC BOARD</v>
          </cell>
          <cell r="C811">
            <v>6.9E-6</v>
          </cell>
          <cell r="D811">
            <v>5.9000000000000003E-6</v>
          </cell>
          <cell r="E811">
            <v>16369</v>
          </cell>
          <cell r="F811" t="str">
            <v xml:space="preserve"> </v>
          </cell>
          <cell r="G811">
            <v>2525</v>
          </cell>
          <cell r="H811">
            <v>2247</v>
          </cell>
          <cell r="I811">
            <v>4344</v>
          </cell>
          <cell r="J811">
            <v>1428</v>
          </cell>
          <cell r="K811">
            <v>10544</v>
          </cell>
          <cell r="L811"/>
          <cell r="M811">
            <v>85</v>
          </cell>
          <cell r="N811">
            <v>0</v>
          </cell>
          <cell r="O811">
            <v>602</v>
          </cell>
          <cell r="P811">
            <v>687</v>
          </cell>
          <cell r="Q811"/>
          <cell r="R811">
            <v>4547</v>
          </cell>
          <cell r="S811">
            <v>-512</v>
          </cell>
          <cell r="T811">
            <v>4035</v>
          </cell>
        </row>
        <row r="812">
          <cell r="A812">
            <v>98608</v>
          </cell>
          <cell r="B812" t="str">
            <v>YADKIN VALLEY SEWER AUTHORITY</v>
          </cell>
          <cell r="C812">
            <v>4.3099999999999997E-5</v>
          </cell>
          <cell r="D812">
            <v>4.9200000000000003E-5</v>
          </cell>
          <cell r="E812">
            <v>102248</v>
          </cell>
          <cell r="F812" t="str">
            <v xml:space="preserve"> </v>
          </cell>
          <cell r="G812">
            <v>15774</v>
          </cell>
          <cell r="H812">
            <v>14035</v>
          </cell>
          <cell r="I812">
            <v>27133</v>
          </cell>
          <cell r="J812">
            <v>3440</v>
          </cell>
          <cell r="K812">
            <v>60382</v>
          </cell>
          <cell r="L812"/>
          <cell r="M812">
            <v>529</v>
          </cell>
          <cell r="N812">
            <v>0</v>
          </cell>
          <cell r="O812">
            <v>4498</v>
          </cell>
          <cell r="P812">
            <v>5027</v>
          </cell>
          <cell r="Q812"/>
          <cell r="R812">
            <v>28402</v>
          </cell>
          <cell r="S812">
            <v>961</v>
          </cell>
          <cell r="T812">
            <v>29363</v>
          </cell>
        </row>
        <row r="813">
          <cell r="A813">
            <v>98611</v>
          </cell>
          <cell r="B813" t="str">
            <v xml:space="preserve"> PILOT MOUNTAIN</v>
          </cell>
          <cell r="C813">
            <v>1.143E-4</v>
          </cell>
          <cell r="D813">
            <v>8.6899999999999998E-5</v>
          </cell>
          <cell r="E813">
            <v>271159</v>
          </cell>
          <cell r="F813" t="str">
            <v xml:space="preserve"> </v>
          </cell>
          <cell r="G813">
            <v>41833</v>
          </cell>
          <cell r="H813">
            <v>37222</v>
          </cell>
          <cell r="I813">
            <v>71955</v>
          </cell>
          <cell r="J813">
            <v>27552</v>
          </cell>
          <cell r="K813">
            <v>178562</v>
          </cell>
          <cell r="L813"/>
          <cell r="M813">
            <v>1404</v>
          </cell>
          <cell r="N813">
            <v>0</v>
          </cell>
          <cell r="O813">
            <v>6191</v>
          </cell>
          <cell r="P813">
            <v>7595</v>
          </cell>
          <cell r="Q813"/>
          <cell r="R813">
            <v>75321</v>
          </cell>
          <cell r="S813">
            <v>6163</v>
          </cell>
          <cell r="T813">
            <v>81484</v>
          </cell>
        </row>
        <row r="814">
          <cell r="A814">
            <v>98621</v>
          </cell>
          <cell r="B814" t="str">
            <v xml:space="preserve"> DOBSON</v>
          </cell>
          <cell r="C814">
            <v>1.371E-4</v>
          </cell>
          <cell r="D814">
            <v>1.314E-4</v>
          </cell>
          <cell r="E814">
            <v>325248</v>
          </cell>
          <cell r="F814" t="str">
            <v xml:space="preserve"> </v>
          </cell>
          <cell r="G814">
            <v>50178</v>
          </cell>
          <cell r="H814">
            <v>44647</v>
          </cell>
          <cell r="I814">
            <v>86308</v>
          </cell>
          <cell r="J814">
            <v>229</v>
          </cell>
          <cell r="K814">
            <v>181362</v>
          </cell>
          <cell r="L814"/>
          <cell r="M814">
            <v>1684</v>
          </cell>
          <cell r="N814">
            <v>0</v>
          </cell>
          <cell r="O814">
            <v>6715</v>
          </cell>
          <cell r="P814">
            <v>8399</v>
          </cell>
          <cell r="Q814"/>
          <cell r="R814">
            <v>90345</v>
          </cell>
          <cell r="S814">
            <v>-3483</v>
          </cell>
          <cell r="T814">
            <v>86862</v>
          </cell>
        </row>
        <row r="815">
          <cell r="A815">
            <v>98627</v>
          </cell>
          <cell r="B815" t="str">
            <v>DOBSON ABC BD</v>
          </cell>
          <cell r="C815">
            <v>8.3000000000000002E-6</v>
          </cell>
          <cell r="D815">
            <v>8.6999999999999997E-6</v>
          </cell>
          <cell r="E815">
            <v>19690</v>
          </cell>
          <cell r="F815" t="str">
            <v xml:space="preserve"> </v>
          </cell>
          <cell r="G815">
            <v>3038</v>
          </cell>
          <cell r="H815">
            <v>2703</v>
          </cell>
          <cell r="I815">
            <v>5225</v>
          </cell>
          <cell r="J815">
            <v>206</v>
          </cell>
          <cell r="K815">
            <v>11172</v>
          </cell>
          <cell r="L815"/>
          <cell r="M815">
            <v>102</v>
          </cell>
          <cell r="N815">
            <v>0</v>
          </cell>
          <cell r="O815">
            <v>1443</v>
          </cell>
          <cell r="P815">
            <v>1545</v>
          </cell>
          <cell r="Q815"/>
          <cell r="R815">
            <v>5469</v>
          </cell>
          <cell r="S815">
            <v>-389</v>
          </cell>
          <cell r="T815">
            <v>5080</v>
          </cell>
        </row>
        <row r="816">
          <cell r="A816">
            <v>98631</v>
          </cell>
          <cell r="B816" t="str">
            <v>CITY OF MOUNT AIRY</v>
          </cell>
          <cell r="C816">
            <v>1.0238000000000001E-3</v>
          </cell>
          <cell r="D816">
            <v>1.0051999999999999E-3</v>
          </cell>
          <cell r="E816">
            <v>2428804</v>
          </cell>
          <cell r="F816" t="str">
            <v xml:space="preserve"> </v>
          </cell>
          <cell r="G816">
            <v>374707</v>
          </cell>
          <cell r="H816">
            <v>333403</v>
          </cell>
          <cell r="I816">
            <v>644511</v>
          </cell>
          <cell r="J816">
            <v>18991</v>
          </cell>
          <cell r="K816">
            <v>1371612</v>
          </cell>
          <cell r="L816"/>
          <cell r="M816">
            <v>12573</v>
          </cell>
          <cell r="N816">
            <v>0</v>
          </cell>
          <cell r="O816">
            <v>60399</v>
          </cell>
          <cell r="P816">
            <v>72972</v>
          </cell>
          <cell r="Q816"/>
          <cell r="R816">
            <v>674657</v>
          </cell>
          <cell r="S816">
            <v>-36968</v>
          </cell>
          <cell r="T816">
            <v>637689</v>
          </cell>
        </row>
        <row r="817">
          <cell r="A817">
            <v>98637</v>
          </cell>
          <cell r="B817" t="str">
            <v>MOUNT AIRY ALCOHOLIC BOARD OF CONTROL</v>
          </cell>
          <cell r="C817">
            <v>1.9000000000000001E-5</v>
          </cell>
          <cell r="D817">
            <v>2.0800000000000001E-5</v>
          </cell>
          <cell r="E817">
            <v>45074</v>
          </cell>
          <cell r="F817" t="str">
            <v xml:space="preserve"> </v>
          </cell>
          <cell r="G817">
            <v>6954</v>
          </cell>
          <cell r="H817">
            <v>6187</v>
          </cell>
          <cell r="I817">
            <v>11961</v>
          </cell>
          <cell r="J817">
            <v>9802</v>
          </cell>
          <cell r="K817">
            <v>34904</v>
          </cell>
          <cell r="L817"/>
          <cell r="M817">
            <v>233</v>
          </cell>
          <cell r="N817">
            <v>0</v>
          </cell>
          <cell r="O817">
            <v>0</v>
          </cell>
          <cell r="P817">
            <v>233</v>
          </cell>
          <cell r="Q817"/>
          <cell r="R817">
            <v>12520</v>
          </cell>
          <cell r="S817">
            <v>4352</v>
          </cell>
          <cell r="T817">
            <v>16872</v>
          </cell>
        </row>
        <row r="818">
          <cell r="A818">
            <v>98641</v>
          </cell>
          <cell r="B818" t="str">
            <v xml:space="preserve"> ELKIN</v>
          </cell>
          <cell r="C818">
            <v>2.9080000000000002E-4</v>
          </cell>
          <cell r="D818">
            <v>2.965E-4</v>
          </cell>
          <cell r="E818">
            <v>689877</v>
          </cell>
          <cell r="F818" t="str">
            <v xml:space="preserve"> </v>
          </cell>
          <cell r="G818">
            <v>106432</v>
          </cell>
          <cell r="H818">
            <v>94699</v>
          </cell>
          <cell r="I818">
            <v>183067</v>
          </cell>
          <cell r="J818">
            <v>1967</v>
          </cell>
          <cell r="K818">
            <v>386165</v>
          </cell>
          <cell r="L818"/>
          <cell r="M818">
            <v>3571</v>
          </cell>
          <cell r="N818">
            <v>0</v>
          </cell>
          <cell r="O818">
            <v>5099</v>
          </cell>
          <cell r="P818">
            <v>8670</v>
          </cell>
          <cell r="Q818"/>
          <cell r="R818">
            <v>191629</v>
          </cell>
          <cell r="S818">
            <v>68</v>
          </cell>
          <cell r="T818">
            <v>191697</v>
          </cell>
        </row>
        <row r="820">
          <cell r="A820">
            <v>98701</v>
          </cell>
          <cell r="B820" t="str">
            <v>SWAIN COUNTY</v>
          </cell>
          <cell r="C820">
            <v>1.0870000000000001E-3</v>
          </cell>
          <cell r="D820">
            <v>1.1333999999999999E-3</v>
          </cell>
          <cell r="E820">
            <v>2578736</v>
          </cell>
          <cell r="F820" t="str">
            <v xml:space="preserve"> </v>
          </cell>
          <cell r="G820">
            <v>397838</v>
          </cell>
          <cell r="H820">
            <v>353983</v>
          </cell>
          <cell r="I820">
            <v>684297</v>
          </cell>
          <cell r="J820">
            <v>2231</v>
          </cell>
          <cell r="K820">
            <v>1438349</v>
          </cell>
          <cell r="L820"/>
          <cell r="M820">
            <v>13349</v>
          </cell>
          <cell r="N820">
            <v>0</v>
          </cell>
          <cell r="O820">
            <v>78824</v>
          </cell>
          <cell r="P820">
            <v>92173</v>
          </cell>
          <cell r="Q820"/>
          <cell r="R820">
            <v>716304</v>
          </cell>
          <cell r="S820">
            <v>-35842</v>
          </cell>
          <cell r="T820">
            <v>680462</v>
          </cell>
        </row>
        <row r="821">
          <cell r="A821">
            <v>98711</v>
          </cell>
          <cell r="B821" t="str">
            <v xml:space="preserve"> BRYSON CITY</v>
          </cell>
          <cell r="C821">
            <v>1.6679999999999999E-4</v>
          </cell>
          <cell r="D821">
            <v>1.8369999999999999E-4</v>
          </cell>
          <cell r="E821">
            <v>395707</v>
          </cell>
          <cell r="F821" t="str">
            <v xml:space="preserve"> </v>
          </cell>
          <cell r="G821">
            <v>61048</v>
          </cell>
          <cell r="H821">
            <v>54318</v>
          </cell>
          <cell r="I821">
            <v>105005</v>
          </cell>
          <cell r="J821">
            <v>0</v>
          </cell>
          <cell r="K821">
            <v>220371</v>
          </cell>
          <cell r="L821"/>
          <cell r="M821">
            <v>2048</v>
          </cell>
          <cell r="N821">
            <v>0</v>
          </cell>
          <cell r="O821">
            <v>31195</v>
          </cell>
          <cell r="P821">
            <v>33243</v>
          </cell>
          <cell r="Q821"/>
          <cell r="R821">
            <v>109917</v>
          </cell>
          <cell r="S821">
            <v>-9096</v>
          </cell>
          <cell r="T821">
            <v>100821</v>
          </cell>
        </row>
        <row r="822">
          <cell r="A822">
            <v>98717</v>
          </cell>
          <cell r="B822" t="str">
            <v>BRYSON CITY ABC BOARD</v>
          </cell>
          <cell r="C822">
            <v>1.9599999999999999E-5</v>
          </cell>
          <cell r="D822">
            <v>2.1100000000000001E-5</v>
          </cell>
          <cell r="E822">
            <v>46498</v>
          </cell>
          <cell r="F822" t="str">
            <v xml:space="preserve"> </v>
          </cell>
          <cell r="G822">
            <v>7174</v>
          </cell>
          <cell r="H822">
            <v>6383</v>
          </cell>
          <cell r="I822">
            <v>12339</v>
          </cell>
          <cell r="J822">
            <v>928</v>
          </cell>
          <cell r="K822">
            <v>26824</v>
          </cell>
          <cell r="L822"/>
          <cell r="M822">
            <v>241</v>
          </cell>
          <cell r="N822">
            <v>0</v>
          </cell>
          <cell r="O822">
            <v>2000</v>
          </cell>
          <cell r="P822">
            <v>2241</v>
          </cell>
          <cell r="Q822"/>
          <cell r="R822">
            <v>12916</v>
          </cell>
          <cell r="S822">
            <v>-184</v>
          </cell>
          <cell r="T822">
            <v>12732</v>
          </cell>
        </row>
        <row r="823">
          <cell r="A823">
            <v>98801</v>
          </cell>
          <cell r="B823" t="str">
            <v>TRANSYLVANIA COUNTY</v>
          </cell>
          <cell r="C823">
            <v>2.1394999999999999E-3</v>
          </cell>
          <cell r="D823">
            <v>2.2859E-3</v>
          </cell>
          <cell r="E823">
            <v>5075626</v>
          </cell>
          <cell r="F823" t="str">
            <v xml:space="preserve"> </v>
          </cell>
          <cell r="G823">
            <v>783048</v>
          </cell>
          <cell r="H823">
            <v>696732</v>
          </cell>
          <cell r="I823">
            <v>1346875</v>
          </cell>
          <cell r="J823">
            <v>90601</v>
          </cell>
          <cell r="K823">
            <v>2917256</v>
          </cell>
          <cell r="L823"/>
          <cell r="M823">
            <v>26275</v>
          </cell>
          <cell r="N823">
            <v>0</v>
          </cell>
          <cell r="O823">
            <v>76084</v>
          </cell>
          <cell r="P823">
            <v>102359</v>
          </cell>
          <cell r="Q823"/>
          <cell r="R823">
            <v>1409873</v>
          </cell>
          <cell r="S823">
            <v>36447</v>
          </cell>
          <cell r="T823">
            <v>1446320</v>
          </cell>
        </row>
        <row r="824">
          <cell r="A824">
            <v>98811</v>
          </cell>
          <cell r="B824" t="str">
            <v>CITY OF BREVARD</v>
          </cell>
          <cell r="C824">
            <v>6.332E-4</v>
          </cell>
          <cell r="D824">
            <v>6.5160000000000001E-4</v>
          </cell>
          <cell r="E824">
            <v>1502167</v>
          </cell>
          <cell r="F824" t="str">
            <v xml:space="preserve"> </v>
          </cell>
          <cell r="G824">
            <v>231749</v>
          </cell>
          <cell r="H824">
            <v>206203</v>
          </cell>
          <cell r="I824">
            <v>398617</v>
          </cell>
          <cell r="J824">
            <v>10392</v>
          </cell>
          <cell r="K824">
            <v>846961</v>
          </cell>
          <cell r="L824"/>
          <cell r="M824">
            <v>7776</v>
          </cell>
          <cell r="N824">
            <v>0</v>
          </cell>
          <cell r="O824">
            <v>32558</v>
          </cell>
          <cell r="P824">
            <v>40334</v>
          </cell>
          <cell r="Q824"/>
          <cell r="R824">
            <v>417262</v>
          </cell>
          <cell r="S824">
            <v>1421</v>
          </cell>
          <cell r="T824">
            <v>418683</v>
          </cell>
        </row>
        <row r="825">
          <cell r="A825">
            <v>98817</v>
          </cell>
          <cell r="B825" t="str">
            <v>BREVARD ABC BOARD</v>
          </cell>
          <cell r="C825">
            <v>2.4000000000000001E-5</v>
          </cell>
          <cell r="D825">
            <v>2.5199999999999999E-5</v>
          </cell>
          <cell r="E825">
            <v>56936</v>
          </cell>
          <cell r="F825" t="str">
            <v xml:space="preserve"> </v>
          </cell>
          <cell r="G825">
            <v>8784</v>
          </cell>
          <cell r="H825">
            <v>7815</v>
          </cell>
          <cell r="I825">
            <v>15109</v>
          </cell>
          <cell r="J825">
            <v>3830</v>
          </cell>
          <cell r="K825">
            <v>35538</v>
          </cell>
          <cell r="L825"/>
          <cell r="M825">
            <v>295</v>
          </cell>
          <cell r="N825">
            <v>0</v>
          </cell>
          <cell r="O825">
            <v>0</v>
          </cell>
          <cell r="P825">
            <v>295</v>
          </cell>
          <cell r="Q825"/>
          <cell r="R825">
            <v>15815</v>
          </cell>
          <cell r="S825">
            <v>-955</v>
          </cell>
          <cell r="T825">
            <v>14860</v>
          </cell>
        </row>
        <row r="826">
          <cell r="A826">
            <v>98901</v>
          </cell>
          <cell r="B826" t="str">
            <v>TYRRELL COUNTY</v>
          </cell>
          <cell r="C826">
            <v>3.0289999999999999E-4</v>
          </cell>
          <cell r="D826">
            <v>3.5050000000000001E-4</v>
          </cell>
          <cell r="E826">
            <v>718582</v>
          </cell>
          <cell r="F826" t="str">
            <v xml:space="preserve"> </v>
          </cell>
          <cell r="G826">
            <v>110860</v>
          </cell>
          <cell r="H826">
            <v>98640</v>
          </cell>
          <cell r="I826">
            <v>190684</v>
          </cell>
          <cell r="J826">
            <v>5223</v>
          </cell>
          <cell r="K826">
            <v>405407</v>
          </cell>
          <cell r="L826"/>
          <cell r="M826">
            <v>3720</v>
          </cell>
          <cell r="N826">
            <v>0</v>
          </cell>
          <cell r="O826">
            <v>23281</v>
          </cell>
          <cell r="P826">
            <v>27001</v>
          </cell>
          <cell r="Q826"/>
          <cell r="R826">
            <v>199603</v>
          </cell>
          <cell r="S826">
            <v>-4531</v>
          </cell>
          <cell r="T826">
            <v>195072</v>
          </cell>
        </row>
        <row r="827">
          <cell r="A827">
            <v>98904</v>
          </cell>
          <cell r="B827" t="str">
            <v>TYRRELL CO ABC BOARD</v>
          </cell>
          <cell r="C827">
            <v>3.9999999999999998E-6</v>
          </cell>
          <cell r="D827">
            <v>2.7999999999999999E-6</v>
          </cell>
          <cell r="E827">
            <v>9489</v>
          </cell>
          <cell r="F827" t="str">
            <v xml:space="preserve"> </v>
          </cell>
          <cell r="G827">
            <v>1464</v>
          </cell>
          <cell r="H827">
            <v>1303</v>
          </cell>
          <cell r="I827">
            <v>2518</v>
          </cell>
          <cell r="J827">
            <v>762</v>
          </cell>
          <cell r="K827">
            <v>6047</v>
          </cell>
          <cell r="L827"/>
          <cell r="M827">
            <v>49</v>
          </cell>
          <cell r="N827">
            <v>0</v>
          </cell>
          <cell r="O827">
            <v>1361</v>
          </cell>
          <cell r="P827">
            <v>1410</v>
          </cell>
          <cell r="Q827"/>
          <cell r="R827">
            <v>2636</v>
          </cell>
          <cell r="S827">
            <v>-163</v>
          </cell>
          <cell r="T827">
            <v>2473</v>
          </cell>
        </row>
        <row r="828">
          <cell r="A828">
            <v>98911</v>
          </cell>
          <cell r="B828" t="str">
            <v xml:space="preserve"> COLUMBIA</v>
          </cell>
          <cell r="C828">
            <v>2.8900000000000001E-5</v>
          </cell>
          <cell r="D828">
            <v>2.7900000000000001E-5</v>
          </cell>
          <cell r="E828">
            <v>68561</v>
          </cell>
          <cell r="F828" t="str">
            <v xml:space="preserve"> </v>
          </cell>
          <cell r="G828">
            <v>10577</v>
          </cell>
          <cell r="H828">
            <v>9411</v>
          </cell>
          <cell r="I828">
            <v>18193</v>
          </cell>
          <cell r="J828">
            <v>12643</v>
          </cell>
          <cell r="K828">
            <v>50824</v>
          </cell>
          <cell r="L828"/>
          <cell r="M828">
            <v>355</v>
          </cell>
          <cell r="N828">
            <v>0</v>
          </cell>
          <cell r="O828">
            <v>0</v>
          </cell>
          <cell r="P828">
            <v>355</v>
          </cell>
          <cell r="Q828"/>
          <cell r="R828">
            <v>19044</v>
          </cell>
          <cell r="S828">
            <v>6908</v>
          </cell>
          <cell r="T828">
            <v>25952</v>
          </cell>
        </row>
        <row r="829">
          <cell r="A829">
            <v>99001</v>
          </cell>
          <cell r="B829" t="str">
            <v>UNION COUNTY</v>
          </cell>
          <cell r="C829">
            <v>8.2226E-3</v>
          </cell>
          <cell r="D829">
            <v>8.0949000000000004E-3</v>
          </cell>
          <cell r="E829">
            <v>19506819</v>
          </cell>
          <cell r="F829" t="str">
            <v xml:space="preserve"> </v>
          </cell>
          <cell r="G829">
            <v>3009439</v>
          </cell>
          <cell r="H829">
            <v>2677706</v>
          </cell>
          <cell r="I829">
            <v>5176357</v>
          </cell>
          <cell r="J829">
            <v>209363</v>
          </cell>
          <cell r="K829">
            <v>11072865</v>
          </cell>
          <cell r="L829"/>
          <cell r="M829">
            <v>100982</v>
          </cell>
          <cell r="N829">
            <v>0</v>
          </cell>
          <cell r="O829">
            <v>0</v>
          </cell>
          <cell r="P829">
            <v>100982</v>
          </cell>
          <cell r="Q829"/>
          <cell r="R829">
            <v>5418471</v>
          </cell>
          <cell r="S829">
            <v>195187</v>
          </cell>
          <cell r="T829">
            <v>5613658</v>
          </cell>
        </row>
        <row r="830">
          <cell r="A830">
            <v>99011</v>
          </cell>
          <cell r="B830" t="str">
            <v>CITY OF MONROE</v>
          </cell>
          <cell r="C830">
            <v>3.8665000000000001E-3</v>
          </cell>
          <cell r="D830">
            <v>3.8736999999999999E-3</v>
          </cell>
          <cell r="E830">
            <v>9172660</v>
          </cell>
          <cell r="F830" t="str">
            <v xml:space="preserve"> </v>
          </cell>
          <cell r="G830">
            <v>1415124</v>
          </cell>
          <cell r="H830">
            <v>1259134</v>
          </cell>
          <cell r="I830">
            <v>2434070</v>
          </cell>
          <cell r="J830">
            <v>838</v>
          </cell>
          <cell r="K830">
            <v>5109166</v>
          </cell>
          <cell r="L830"/>
          <cell r="M830">
            <v>47484</v>
          </cell>
          <cell r="N830">
            <v>0</v>
          </cell>
          <cell r="O830">
            <v>184222</v>
          </cell>
          <cell r="P830">
            <v>231706</v>
          </cell>
          <cell r="Q830"/>
          <cell r="R830">
            <v>2547919</v>
          </cell>
          <cell r="S830">
            <v>-211857</v>
          </cell>
          <cell r="T830">
            <v>2336062</v>
          </cell>
        </row>
        <row r="831">
          <cell r="A831">
            <v>99013</v>
          </cell>
          <cell r="B831" t="str">
            <v>CITY OF MONROE HOUSING AUTHORITY</v>
          </cell>
          <cell r="C831">
            <v>4.8900000000000003E-5</v>
          </cell>
          <cell r="D831">
            <v>5.5999999999999999E-5</v>
          </cell>
          <cell r="E831">
            <v>116008</v>
          </cell>
          <cell r="F831" t="str">
            <v xml:space="preserve"> </v>
          </cell>
          <cell r="G831">
            <v>17897</v>
          </cell>
          <cell r="H831">
            <v>15924</v>
          </cell>
          <cell r="I831">
            <v>30784</v>
          </cell>
          <cell r="J831">
            <v>0</v>
          </cell>
          <cell r="K831">
            <v>64605</v>
          </cell>
          <cell r="L831"/>
          <cell r="M831">
            <v>601</v>
          </cell>
          <cell r="N831">
            <v>0</v>
          </cell>
          <cell r="O831">
            <v>6685</v>
          </cell>
          <cell r="P831">
            <v>7286</v>
          </cell>
          <cell r="Q831"/>
          <cell r="R831">
            <v>32224</v>
          </cell>
          <cell r="S831">
            <v>-3150</v>
          </cell>
          <cell r="T831">
            <v>29074</v>
          </cell>
        </row>
        <row r="832">
          <cell r="A832">
            <v>99014</v>
          </cell>
          <cell r="B832" t="str">
            <v>INDIAN TRAIL ABC BOARD</v>
          </cell>
          <cell r="C832">
            <v>1.45E-5</v>
          </cell>
          <cell r="D832">
            <v>2.0100000000000001E-5</v>
          </cell>
          <cell r="E832">
            <v>34399</v>
          </cell>
          <cell r="F832" t="str">
            <v xml:space="preserve"> </v>
          </cell>
          <cell r="G832">
            <v>5307</v>
          </cell>
          <cell r="H832">
            <v>4722</v>
          </cell>
          <cell r="I832">
            <v>9128</v>
          </cell>
          <cell r="J832">
            <v>8368</v>
          </cell>
          <cell r="K832">
            <v>27525</v>
          </cell>
          <cell r="L832"/>
          <cell r="M832">
            <v>178</v>
          </cell>
          <cell r="N832">
            <v>0</v>
          </cell>
          <cell r="O832">
            <v>225</v>
          </cell>
          <cell r="P832">
            <v>403</v>
          </cell>
          <cell r="Q832"/>
          <cell r="R832">
            <v>9555</v>
          </cell>
          <cell r="S832">
            <v>4279</v>
          </cell>
          <cell r="T832">
            <v>13834</v>
          </cell>
        </row>
        <row r="833">
          <cell r="A833">
            <v>99017</v>
          </cell>
          <cell r="B833" t="str">
            <v>MONROE ABC BOARD</v>
          </cell>
          <cell r="C833">
            <v>4.5599999999999997E-5</v>
          </cell>
          <cell r="D833">
            <v>5.13E-5</v>
          </cell>
          <cell r="E833">
            <v>108179</v>
          </cell>
          <cell r="F833" t="str">
            <v xml:space="preserve"> </v>
          </cell>
          <cell r="G833">
            <v>16689</v>
          </cell>
          <cell r="H833">
            <v>14849</v>
          </cell>
          <cell r="I833">
            <v>28706</v>
          </cell>
          <cell r="J833">
            <v>5362</v>
          </cell>
          <cell r="K833">
            <v>65606</v>
          </cell>
          <cell r="L833"/>
          <cell r="M833">
            <v>560</v>
          </cell>
          <cell r="N833">
            <v>0</v>
          </cell>
          <cell r="O833">
            <v>3293</v>
          </cell>
          <cell r="P833">
            <v>3853</v>
          </cell>
          <cell r="Q833"/>
          <cell r="R833">
            <v>30049</v>
          </cell>
          <cell r="S833">
            <v>-1419</v>
          </cell>
          <cell r="T833">
            <v>28630</v>
          </cell>
        </row>
        <row r="834">
          <cell r="A834">
            <v>99021</v>
          </cell>
          <cell r="B834" t="str">
            <v xml:space="preserve"> MARSHVILLE</v>
          </cell>
          <cell r="C834">
            <v>1.3200000000000001E-4</v>
          </cell>
          <cell r="D834">
            <v>1.5249999999999999E-4</v>
          </cell>
          <cell r="E834">
            <v>313149</v>
          </cell>
          <cell r="F834" t="str">
            <v xml:space="preserve"> </v>
          </cell>
          <cell r="G834">
            <v>48311</v>
          </cell>
          <cell r="H834">
            <v>42986</v>
          </cell>
          <cell r="I834">
            <v>83098</v>
          </cell>
          <cell r="J834">
            <v>7338</v>
          </cell>
          <cell r="K834">
            <v>181733</v>
          </cell>
          <cell r="L834"/>
          <cell r="M834">
            <v>1621</v>
          </cell>
          <cell r="N834">
            <v>0</v>
          </cell>
          <cell r="O834">
            <v>13687</v>
          </cell>
          <cell r="P834">
            <v>15308</v>
          </cell>
          <cell r="Q834"/>
          <cell r="R834">
            <v>86984</v>
          </cell>
          <cell r="S834">
            <v>669</v>
          </cell>
          <cell r="T834">
            <v>87653</v>
          </cell>
        </row>
        <row r="835">
          <cell r="A835">
            <v>99022</v>
          </cell>
          <cell r="B835" t="str">
            <v xml:space="preserve"> MINERAL SPRINGS</v>
          </cell>
          <cell r="C835">
            <v>9.9000000000000001E-6</v>
          </cell>
          <cell r="D835">
            <v>1.08E-5</v>
          </cell>
          <cell r="E835">
            <v>23486</v>
          </cell>
          <cell r="F835" t="str">
            <v xml:space="preserve"> </v>
          </cell>
          <cell r="G835">
            <v>3623</v>
          </cell>
          <cell r="H835">
            <v>3224</v>
          </cell>
          <cell r="I835">
            <v>6232</v>
          </cell>
          <cell r="J835">
            <v>10975</v>
          </cell>
          <cell r="K835">
            <v>24054</v>
          </cell>
          <cell r="L835"/>
          <cell r="M835">
            <v>122</v>
          </cell>
          <cell r="N835">
            <v>0</v>
          </cell>
          <cell r="O835">
            <v>0</v>
          </cell>
          <cell r="P835">
            <v>122</v>
          </cell>
          <cell r="Q835"/>
          <cell r="R835">
            <v>6524</v>
          </cell>
          <cell r="S835">
            <v>4162</v>
          </cell>
          <cell r="T835">
            <v>10686</v>
          </cell>
        </row>
        <row r="836">
          <cell r="A836">
            <v>99031</v>
          </cell>
          <cell r="B836" t="str">
            <v xml:space="preserve"> WINGATE</v>
          </cell>
          <cell r="C836">
            <v>1.3669999999999999E-4</v>
          </cell>
          <cell r="D836">
            <v>1.518E-4</v>
          </cell>
          <cell r="E836">
            <v>324299</v>
          </cell>
          <cell r="F836" t="str">
            <v xml:space="preserve"> </v>
          </cell>
          <cell r="G836">
            <v>50032</v>
          </cell>
          <cell r="H836">
            <v>44516</v>
          </cell>
          <cell r="I836">
            <v>86056</v>
          </cell>
          <cell r="J836">
            <v>1850</v>
          </cell>
          <cell r="K836">
            <v>182454</v>
          </cell>
          <cell r="L836"/>
          <cell r="M836">
            <v>1679</v>
          </cell>
          <cell r="N836">
            <v>0</v>
          </cell>
          <cell r="O836">
            <v>27900</v>
          </cell>
          <cell r="P836">
            <v>29579</v>
          </cell>
          <cell r="Q836"/>
          <cell r="R836">
            <v>90082</v>
          </cell>
          <cell r="S836">
            <v>-15810</v>
          </cell>
          <cell r="T836">
            <v>74272</v>
          </cell>
        </row>
        <row r="837">
          <cell r="A837">
            <v>99041</v>
          </cell>
          <cell r="B837" t="str">
            <v xml:space="preserve"> WAXHAW</v>
          </cell>
          <cell r="C837">
            <v>6.6399999999999999E-4</v>
          </cell>
          <cell r="D837">
            <v>6.3500000000000004E-4</v>
          </cell>
          <cell r="E837">
            <v>1575235</v>
          </cell>
          <cell r="F837" t="str">
            <v xml:space="preserve"> </v>
          </cell>
          <cell r="G837">
            <v>243021</v>
          </cell>
          <cell r="H837">
            <v>216233</v>
          </cell>
          <cell r="I837">
            <v>418007</v>
          </cell>
          <cell r="J837">
            <v>24066</v>
          </cell>
          <cell r="K837">
            <v>901327</v>
          </cell>
          <cell r="L837"/>
          <cell r="M837">
            <v>8155</v>
          </cell>
          <cell r="N837">
            <v>0</v>
          </cell>
          <cell r="O837">
            <v>13122</v>
          </cell>
          <cell r="P837">
            <v>21277</v>
          </cell>
          <cell r="Q837"/>
          <cell r="R837">
            <v>437558</v>
          </cell>
          <cell r="S837">
            <v>25573</v>
          </cell>
          <cell r="T837">
            <v>463131</v>
          </cell>
        </row>
        <row r="838">
          <cell r="A838">
            <v>99047</v>
          </cell>
          <cell r="B838" t="str">
            <v>WAXHAW ABC BOARD</v>
          </cell>
          <cell r="C838">
            <v>1.56E-5</v>
          </cell>
          <cell r="D838">
            <v>1.42E-5</v>
          </cell>
          <cell r="E838">
            <v>37009</v>
          </cell>
          <cell r="F838" t="str">
            <v xml:space="preserve"> </v>
          </cell>
          <cell r="G838">
            <v>5710</v>
          </cell>
          <cell r="H838">
            <v>5080</v>
          </cell>
          <cell r="I838">
            <v>9821</v>
          </cell>
          <cell r="J838">
            <v>6776</v>
          </cell>
          <cell r="K838">
            <v>27387</v>
          </cell>
          <cell r="L838"/>
          <cell r="M838">
            <v>192</v>
          </cell>
          <cell r="N838">
            <v>0</v>
          </cell>
          <cell r="O838">
            <v>0</v>
          </cell>
          <cell r="P838">
            <v>192</v>
          </cell>
          <cell r="Q838"/>
          <cell r="R838">
            <v>10280</v>
          </cell>
          <cell r="S838">
            <v>3015</v>
          </cell>
          <cell r="T838">
            <v>13295</v>
          </cell>
        </row>
        <row r="839">
          <cell r="A839">
            <v>99051</v>
          </cell>
          <cell r="B839" t="str">
            <v xml:space="preserve"> INDIAN TRAIL</v>
          </cell>
          <cell r="C839">
            <v>3.5330000000000002E-4</v>
          </cell>
          <cell r="D839">
            <v>3.5359999999999998E-4</v>
          </cell>
          <cell r="E839">
            <v>838148</v>
          </cell>
          <cell r="F839" t="str">
            <v xml:space="preserve"> </v>
          </cell>
          <cell r="G839">
            <v>129306</v>
          </cell>
          <cell r="H839">
            <v>115053</v>
          </cell>
          <cell r="I839">
            <v>222412</v>
          </cell>
          <cell r="J839">
            <v>6035</v>
          </cell>
          <cell r="K839">
            <v>472806</v>
          </cell>
          <cell r="L839"/>
          <cell r="M839">
            <v>4339</v>
          </cell>
          <cell r="N839">
            <v>0</v>
          </cell>
          <cell r="O839">
            <v>13404</v>
          </cell>
          <cell r="P839">
            <v>17743</v>
          </cell>
          <cell r="Q839"/>
          <cell r="R839">
            <v>232815</v>
          </cell>
          <cell r="S839">
            <v>1887</v>
          </cell>
          <cell r="T839">
            <v>234702</v>
          </cell>
        </row>
        <row r="840">
          <cell r="A840">
            <v>99061</v>
          </cell>
          <cell r="B840" t="str">
            <v xml:space="preserve"> UNIONVILLE</v>
          </cell>
          <cell r="C840">
            <v>7.5000000000000002E-6</v>
          </cell>
          <cell r="D840">
            <v>8.1000000000000004E-6</v>
          </cell>
          <cell r="E840">
            <v>17793</v>
          </cell>
          <cell r="F840" t="str">
            <v xml:space="preserve"> </v>
          </cell>
          <cell r="G840">
            <v>2745</v>
          </cell>
          <cell r="H840">
            <v>2443</v>
          </cell>
          <cell r="I840">
            <v>4721</v>
          </cell>
          <cell r="J840">
            <v>7969</v>
          </cell>
          <cell r="K840">
            <v>17878</v>
          </cell>
          <cell r="L840"/>
          <cell r="M840">
            <v>92</v>
          </cell>
          <cell r="N840">
            <v>0</v>
          </cell>
          <cell r="O840">
            <v>0</v>
          </cell>
          <cell r="P840">
            <v>92</v>
          </cell>
          <cell r="Q840"/>
          <cell r="R840">
            <v>4942</v>
          </cell>
          <cell r="S840">
            <v>3513</v>
          </cell>
          <cell r="T840">
            <v>8455</v>
          </cell>
        </row>
        <row r="841">
          <cell r="A841">
            <v>99071</v>
          </cell>
          <cell r="B841" t="str">
            <v xml:space="preserve"> WEDDINGTON</v>
          </cell>
          <cell r="C841">
            <v>2.2799999999999999E-5</v>
          </cell>
          <cell r="D841">
            <v>3.04E-5</v>
          </cell>
          <cell r="E841">
            <v>54089</v>
          </cell>
          <cell r="F841" t="str">
            <v xml:space="preserve"> </v>
          </cell>
          <cell r="G841">
            <v>8345</v>
          </cell>
          <cell r="H841">
            <v>7425</v>
          </cell>
          <cell r="I841">
            <v>14353</v>
          </cell>
          <cell r="J841">
            <v>614</v>
          </cell>
          <cell r="K841">
            <v>30737</v>
          </cell>
          <cell r="L841"/>
          <cell r="M841">
            <v>280</v>
          </cell>
          <cell r="N841">
            <v>0</v>
          </cell>
          <cell r="O841">
            <v>4179</v>
          </cell>
          <cell r="P841">
            <v>4459</v>
          </cell>
          <cell r="Q841"/>
          <cell r="R841">
            <v>15025</v>
          </cell>
          <cell r="S841">
            <v>-1950</v>
          </cell>
          <cell r="T841">
            <v>13075</v>
          </cell>
        </row>
        <row r="842">
          <cell r="A842">
            <v>99081</v>
          </cell>
          <cell r="B842" t="str">
            <v xml:space="preserve"> MARVIN</v>
          </cell>
          <cell r="C842">
            <v>1.4600000000000001E-5</v>
          </cell>
          <cell r="D842">
            <v>1.1E-5</v>
          </cell>
          <cell r="E842">
            <v>34636</v>
          </cell>
          <cell r="F842" t="str">
            <v xml:space="preserve"> </v>
          </cell>
          <cell r="G842">
            <v>5344</v>
          </cell>
          <cell r="H842">
            <v>4755</v>
          </cell>
          <cell r="I842">
            <v>9191</v>
          </cell>
          <cell r="J842">
            <v>5866</v>
          </cell>
          <cell r="K842">
            <v>25156</v>
          </cell>
          <cell r="L842"/>
          <cell r="M842">
            <v>179</v>
          </cell>
          <cell r="N842">
            <v>0</v>
          </cell>
          <cell r="O842">
            <v>8362</v>
          </cell>
          <cell r="P842">
            <v>8541</v>
          </cell>
          <cell r="Q842"/>
          <cell r="R842">
            <v>9621</v>
          </cell>
          <cell r="S842">
            <v>-1818</v>
          </cell>
          <cell r="T842">
            <v>7803</v>
          </cell>
        </row>
        <row r="843">
          <cell r="A843">
            <v>99091</v>
          </cell>
          <cell r="B843" t="str">
            <v xml:space="preserve"> WESLEY CHAPEL</v>
          </cell>
          <cell r="C843">
            <v>3.4999999999999999E-6</v>
          </cell>
          <cell r="D843">
            <v>3.9999999999999998E-6</v>
          </cell>
          <cell r="E843">
            <v>8303</v>
          </cell>
          <cell r="F843" t="str">
            <v xml:space="preserve"> </v>
          </cell>
          <cell r="G843">
            <v>1281</v>
          </cell>
          <cell r="H843">
            <v>1140</v>
          </cell>
          <cell r="I843">
            <v>2203</v>
          </cell>
          <cell r="J843">
            <v>5036</v>
          </cell>
          <cell r="K843">
            <v>9660</v>
          </cell>
          <cell r="L843"/>
          <cell r="M843">
            <v>43</v>
          </cell>
          <cell r="N843">
            <v>0</v>
          </cell>
          <cell r="O843">
            <v>0</v>
          </cell>
          <cell r="P843">
            <v>43</v>
          </cell>
          <cell r="Q843"/>
          <cell r="R843">
            <v>2306</v>
          </cell>
          <cell r="S843">
            <v>-1327</v>
          </cell>
          <cell r="T843">
            <v>979</v>
          </cell>
        </row>
        <row r="844">
          <cell r="A844">
            <v>99101</v>
          </cell>
          <cell r="B844" t="str">
            <v>VANCE COUNTY</v>
          </cell>
          <cell r="C844">
            <v>2.1986000000000002E-3</v>
          </cell>
          <cell r="D844">
            <v>2.1724000000000001E-3</v>
          </cell>
          <cell r="E844">
            <v>5215831</v>
          </cell>
          <cell r="F844" t="str">
            <v xml:space="preserve"> </v>
          </cell>
          <cell r="G844">
            <v>804679</v>
          </cell>
          <cell r="H844">
            <v>715979</v>
          </cell>
          <cell r="I844">
            <v>1384080</v>
          </cell>
          <cell r="J844">
            <v>34730</v>
          </cell>
          <cell r="K844">
            <v>2939468</v>
          </cell>
          <cell r="L844"/>
          <cell r="M844">
            <v>27001</v>
          </cell>
          <cell r="N844">
            <v>0</v>
          </cell>
          <cell r="O844">
            <v>54085</v>
          </cell>
          <cell r="P844">
            <v>81086</v>
          </cell>
          <cell r="Q844"/>
          <cell r="R844">
            <v>1448818</v>
          </cell>
          <cell r="S844">
            <v>-23157</v>
          </cell>
          <cell r="T844">
            <v>1425661</v>
          </cell>
        </row>
        <row r="845">
          <cell r="A845">
            <v>99104</v>
          </cell>
          <cell r="B845" t="str">
            <v>VANCE COUNTY ABC BD</v>
          </cell>
          <cell r="C845">
            <v>3.4E-5</v>
          </cell>
          <cell r="D845">
            <v>3.3500000000000001E-5</v>
          </cell>
          <cell r="E845">
            <v>80660</v>
          </cell>
          <cell r="F845" t="str">
            <v xml:space="preserve"> </v>
          </cell>
          <cell r="G845">
            <v>12444</v>
          </cell>
          <cell r="H845">
            <v>11072</v>
          </cell>
          <cell r="I845">
            <v>21404</v>
          </cell>
          <cell r="J845">
            <v>16545</v>
          </cell>
          <cell r="K845">
            <v>61465</v>
          </cell>
          <cell r="L845"/>
          <cell r="M845">
            <v>418</v>
          </cell>
          <cell r="N845">
            <v>0</v>
          </cell>
          <cell r="O845">
            <v>0</v>
          </cell>
          <cell r="P845">
            <v>418</v>
          </cell>
          <cell r="Q845"/>
          <cell r="R845">
            <v>22405</v>
          </cell>
          <cell r="S845">
            <v>8025</v>
          </cell>
          <cell r="T845">
            <v>30430</v>
          </cell>
        </row>
        <row r="846">
          <cell r="A846">
            <v>99109</v>
          </cell>
          <cell r="B846" t="str">
            <v>KERR-TAR REGIONAL COUNCIL OF GOVTS</v>
          </cell>
          <cell r="C846">
            <v>1.194E-4</v>
          </cell>
          <cell r="D846">
            <v>1.2339999999999999E-4</v>
          </cell>
          <cell r="E846">
            <v>283258</v>
          </cell>
          <cell r="F846" t="str">
            <v xml:space="preserve"> </v>
          </cell>
          <cell r="G846">
            <v>43700</v>
          </cell>
          <cell r="H846">
            <v>38883</v>
          </cell>
          <cell r="I846">
            <v>75166</v>
          </cell>
          <cell r="J846">
            <v>3815</v>
          </cell>
          <cell r="K846">
            <v>161564</v>
          </cell>
          <cell r="L846"/>
          <cell r="M846">
            <v>1466</v>
          </cell>
          <cell r="N846">
            <v>0</v>
          </cell>
          <cell r="O846">
            <v>8952</v>
          </cell>
          <cell r="P846">
            <v>10418</v>
          </cell>
          <cell r="Q846"/>
          <cell r="R846">
            <v>78681</v>
          </cell>
          <cell r="S846">
            <v>-6025</v>
          </cell>
          <cell r="T846">
            <v>72656</v>
          </cell>
        </row>
        <row r="847">
          <cell r="A847">
            <v>99110</v>
          </cell>
          <cell r="B847" t="str">
            <v>KERR AREA TRANSPORTATION AUTHORITY</v>
          </cell>
          <cell r="C847">
            <v>1.75E-4</v>
          </cell>
          <cell r="D847">
            <v>1.7670000000000001E-4</v>
          </cell>
          <cell r="E847">
            <v>415160</v>
          </cell>
          <cell r="F847" t="str">
            <v xml:space="preserve"> </v>
          </cell>
          <cell r="G847">
            <v>64049</v>
          </cell>
          <cell r="H847">
            <v>56989</v>
          </cell>
          <cell r="I847">
            <v>110167</v>
          </cell>
          <cell r="J847">
            <v>70943</v>
          </cell>
          <cell r="K847">
            <v>302148</v>
          </cell>
          <cell r="L847"/>
          <cell r="M847">
            <v>2149</v>
          </cell>
          <cell r="N847">
            <v>0</v>
          </cell>
          <cell r="O847">
            <v>0</v>
          </cell>
          <cell r="P847">
            <v>2149</v>
          </cell>
          <cell r="Q847"/>
          <cell r="R847">
            <v>115320</v>
          </cell>
          <cell r="S847">
            <v>34935</v>
          </cell>
          <cell r="T847">
            <v>150255</v>
          </cell>
        </row>
        <row r="848">
          <cell r="A848">
            <v>99111</v>
          </cell>
          <cell r="B848" t="str">
            <v>CITY OF HENDERSON</v>
          </cell>
          <cell r="C848">
            <v>1.3067E-3</v>
          </cell>
          <cell r="D848">
            <v>1.2618E-3</v>
          </cell>
          <cell r="E848">
            <v>3099939</v>
          </cell>
          <cell r="F848" t="str">
            <v xml:space="preserve"> </v>
          </cell>
          <cell r="G848">
            <v>478247</v>
          </cell>
          <cell r="H848">
            <v>425529</v>
          </cell>
          <cell r="I848">
            <v>822604</v>
          </cell>
          <cell r="J848">
            <v>0</v>
          </cell>
          <cell r="K848">
            <v>1726380</v>
          </cell>
          <cell r="L848"/>
          <cell r="M848">
            <v>16048</v>
          </cell>
          <cell r="N848">
            <v>0</v>
          </cell>
          <cell r="O848">
            <v>85364</v>
          </cell>
          <cell r="P848">
            <v>101412</v>
          </cell>
          <cell r="Q848"/>
          <cell r="R848">
            <v>861080</v>
          </cell>
          <cell r="S848">
            <v>-70799</v>
          </cell>
          <cell r="T848">
            <v>790281</v>
          </cell>
        </row>
        <row r="849">
          <cell r="A849">
            <v>99201</v>
          </cell>
          <cell r="B849" t="str">
            <v>WAKE COUNTY</v>
          </cell>
          <cell r="C849">
            <v>3.4217999999999998E-2</v>
          </cell>
          <cell r="D849">
            <v>3.3297199999999999E-2</v>
          </cell>
          <cell r="E849">
            <v>81176799</v>
          </cell>
          <cell r="F849" t="str">
            <v xml:space="preserve"> </v>
          </cell>
          <cell r="G849">
            <v>12523651</v>
          </cell>
          <cell r="H849">
            <v>11143160</v>
          </cell>
          <cell r="I849">
            <v>21541189</v>
          </cell>
          <cell r="J849">
            <v>1400637</v>
          </cell>
          <cell r="K849">
            <v>46608637</v>
          </cell>
          <cell r="L849"/>
          <cell r="M849">
            <v>420231</v>
          </cell>
          <cell r="N849">
            <v>0</v>
          </cell>
          <cell r="O849">
            <v>0</v>
          </cell>
          <cell r="P849">
            <v>420231</v>
          </cell>
          <cell r="Q849"/>
          <cell r="R849">
            <v>22548738</v>
          </cell>
          <cell r="S849">
            <v>386921</v>
          </cell>
          <cell r="T849">
            <v>22935659</v>
          </cell>
        </row>
        <row r="850">
          <cell r="A850">
            <v>99202</v>
          </cell>
          <cell r="B850" t="str">
            <v xml:space="preserve"> HOLLY SPRINGS</v>
          </cell>
          <cell r="C850">
            <v>2.7011000000000001E-3</v>
          </cell>
          <cell r="D850">
            <v>2.5855000000000001E-3</v>
          </cell>
          <cell r="E850">
            <v>6407933</v>
          </cell>
          <cell r="F850" t="str">
            <v xml:space="preserve"> </v>
          </cell>
          <cell r="G850">
            <v>988592</v>
          </cell>
          <cell r="H850">
            <v>879618</v>
          </cell>
          <cell r="I850">
            <v>1700418</v>
          </cell>
          <cell r="J850">
            <v>0</v>
          </cell>
          <cell r="K850">
            <v>3568628</v>
          </cell>
          <cell r="L850"/>
          <cell r="M850">
            <v>33172</v>
          </cell>
          <cell r="N850">
            <v>0</v>
          </cell>
          <cell r="O850">
            <v>120022</v>
          </cell>
          <cell r="P850">
            <v>153194</v>
          </cell>
          <cell r="Q850"/>
          <cell r="R850">
            <v>1779952</v>
          </cell>
          <cell r="S850">
            <v>-75166</v>
          </cell>
          <cell r="T850">
            <v>1704786</v>
          </cell>
        </row>
        <row r="851">
          <cell r="A851">
            <v>99203</v>
          </cell>
          <cell r="B851" t="str">
            <v xml:space="preserve"> ROLESVILLE</v>
          </cell>
          <cell r="C851">
            <v>2.9760000000000002E-4</v>
          </cell>
          <cell r="D851">
            <v>3.0410000000000002E-4</v>
          </cell>
          <cell r="E851">
            <v>706009</v>
          </cell>
          <cell r="F851" t="str">
            <v xml:space="preserve"> </v>
          </cell>
          <cell r="G851">
            <v>108920</v>
          </cell>
          <cell r="H851">
            <v>96914</v>
          </cell>
          <cell r="I851">
            <v>187348</v>
          </cell>
          <cell r="J851">
            <v>8157</v>
          </cell>
          <cell r="K851">
            <v>401339</v>
          </cell>
          <cell r="L851"/>
          <cell r="M851">
            <v>3655</v>
          </cell>
          <cell r="N851">
            <v>0</v>
          </cell>
          <cell r="O851">
            <v>26201</v>
          </cell>
          <cell r="P851">
            <v>29856</v>
          </cell>
          <cell r="Q851"/>
          <cell r="R851">
            <v>196110</v>
          </cell>
          <cell r="S851">
            <v>8430</v>
          </cell>
          <cell r="T851">
            <v>204540</v>
          </cell>
        </row>
        <row r="852">
          <cell r="A852">
            <v>99204</v>
          </cell>
          <cell r="B852" t="str">
            <v>WAKE COUNTY ABC BOARD</v>
          </cell>
          <cell r="C852">
            <v>9.2520000000000005E-4</v>
          </cell>
          <cell r="D852">
            <v>8.3549999999999998E-4</v>
          </cell>
          <cell r="E852">
            <v>2194891</v>
          </cell>
          <cell r="F852" t="str">
            <v xml:space="preserve"> </v>
          </cell>
          <cell r="G852">
            <v>338619</v>
          </cell>
          <cell r="H852">
            <v>301293</v>
          </cell>
          <cell r="I852">
            <v>582439</v>
          </cell>
          <cell r="J852">
            <v>126160</v>
          </cell>
          <cell r="K852">
            <v>1348511</v>
          </cell>
          <cell r="L852"/>
          <cell r="M852">
            <v>11362</v>
          </cell>
          <cell r="N852">
            <v>0</v>
          </cell>
          <cell r="O852">
            <v>0</v>
          </cell>
          <cell r="P852">
            <v>11362</v>
          </cell>
          <cell r="Q852"/>
          <cell r="R852">
            <v>609682</v>
          </cell>
          <cell r="S852">
            <v>51409</v>
          </cell>
          <cell r="T852">
            <v>661091</v>
          </cell>
        </row>
        <row r="853">
          <cell r="A853">
            <v>99206</v>
          </cell>
          <cell r="B853" t="str">
            <v xml:space="preserve"> MORRISVILLE</v>
          </cell>
          <cell r="C853">
            <v>1.7377E-3</v>
          </cell>
          <cell r="D853">
            <v>1.6957999999999999E-3</v>
          </cell>
          <cell r="E853">
            <v>4122419</v>
          </cell>
          <cell r="F853" t="str">
            <v xml:space="preserve"> </v>
          </cell>
          <cell r="G853">
            <v>635991</v>
          </cell>
          <cell r="H853">
            <v>565885</v>
          </cell>
          <cell r="I853">
            <v>1093931</v>
          </cell>
          <cell r="J853">
            <v>840347</v>
          </cell>
          <cell r="K853">
            <v>3136154</v>
          </cell>
          <cell r="L853"/>
          <cell r="M853">
            <v>21341</v>
          </cell>
          <cell r="N853">
            <v>0</v>
          </cell>
          <cell r="O853">
            <v>0</v>
          </cell>
          <cell r="P853">
            <v>21341</v>
          </cell>
          <cell r="Q853"/>
          <cell r="R853">
            <v>1145097</v>
          </cell>
          <cell r="S853">
            <v>312871</v>
          </cell>
          <cell r="T853">
            <v>1457968</v>
          </cell>
        </row>
        <row r="854">
          <cell r="A854">
            <v>99207</v>
          </cell>
          <cell r="B854" t="str">
            <v>WAKE COUNTY HOUSING AUTHORITY</v>
          </cell>
          <cell r="C854">
            <v>1.3990000000000001E-4</v>
          </cell>
          <cell r="D854">
            <v>1.3329999999999999E-4</v>
          </cell>
          <cell r="E854">
            <v>331891</v>
          </cell>
          <cell r="F854" t="str">
            <v xml:space="preserve"> </v>
          </cell>
          <cell r="G854">
            <v>51203</v>
          </cell>
          <cell r="H854">
            <v>45559</v>
          </cell>
          <cell r="I854">
            <v>88071</v>
          </cell>
          <cell r="J854">
            <v>190835</v>
          </cell>
          <cell r="K854">
            <v>375668</v>
          </cell>
          <cell r="L854"/>
          <cell r="M854">
            <v>1718</v>
          </cell>
          <cell r="N854">
            <v>0</v>
          </cell>
          <cell r="O854">
            <v>0</v>
          </cell>
          <cell r="P854">
            <v>1718</v>
          </cell>
          <cell r="Q854"/>
          <cell r="R854">
            <v>92190</v>
          </cell>
          <cell r="S854">
            <v>69872</v>
          </cell>
          <cell r="T854">
            <v>162062</v>
          </cell>
        </row>
        <row r="855">
          <cell r="A855">
            <v>99208</v>
          </cell>
          <cell r="B855" t="str">
            <v>BAYLEAF FIRE DEPARTMENT</v>
          </cell>
          <cell r="C855">
            <v>2.3560000000000001E-4</v>
          </cell>
          <cell r="D855">
            <v>1.4569999999999999E-4</v>
          </cell>
          <cell r="E855">
            <v>558924</v>
          </cell>
          <cell r="F855" t="str">
            <v xml:space="preserve"> </v>
          </cell>
          <cell r="G855">
            <v>86229</v>
          </cell>
          <cell r="H855">
            <v>76723</v>
          </cell>
          <cell r="I855">
            <v>148317</v>
          </cell>
          <cell r="J855">
            <v>50056</v>
          </cell>
          <cell r="K855">
            <v>361325</v>
          </cell>
          <cell r="L855"/>
          <cell r="M855">
            <v>2893</v>
          </cell>
          <cell r="N855">
            <v>0</v>
          </cell>
          <cell r="O855">
            <v>18070</v>
          </cell>
          <cell r="P855">
            <v>20963</v>
          </cell>
          <cell r="Q855"/>
          <cell r="R855">
            <v>155254</v>
          </cell>
          <cell r="S855">
            <v>-7938</v>
          </cell>
          <cell r="T855">
            <v>147316</v>
          </cell>
        </row>
        <row r="856">
          <cell r="A856">
            <v>99210</v>
          </cell>
          <cell r="B856" t="str">
            <v>ELECTRICITIES OF NC</v>
          </cell>
          <cell r="C856">
            <v>1.6613000000000001E-3</v>
          </cell>
          <cell r="D856">
            <v>1.5943999999999999E-3</v>
          </cell>
          <cell r="E856">
            <v>3941172</v>
          </cell>
          <cell r="F856" t="str">
            <v xml:space="preserve"> </v>
          </cell>
          <cell r="G856">
            <v>608029</v>
          </cell>
          <cell r="H856">
            <v>541006</v>
          </cell>
          <cell r="I856">
            <v>1045835</v>
          </cell>
          <cell r="J856">
            <v>151956</v>
          </cell>
          <cell r="K856">
            <v>2346826</v>
          </cell>
          <cell r="L856"/>
          <cell r="M856">
            <v>20402</v>
          </cell>
          <cell r="N856">
            <v>0</v>
          </cell>
          <cell r="O856">
            <v>0</v>
          </cell>
          <cell r="P856">
            <v>20402</v>
          </cell>
          <cell r="Q856"/>
          <cell r="R856">
            <v>1094752</v>
          </cell>
          <cell r="S856">
            <v>62014</v>
          </cell>
          <cell r="T856">
            <v>1156766</v>
          </cell>
        </row>
        <row r="857">
          <cell r="A857">
            <v>99211</v>
          </cell>
          <cell r="B857" t="str">
            <v>CITY OF RALEIGH</v>
          </cell>
          <cell r="C857">
            <v>3.8652899999999997E-2</v>
          </cell>
          <cell r="D857">
            <v>3.7100599999999997E-2</v>
          </cell>
          <cell r="E857">
            <v>91697898</v>
          </cell>
          <cell r="F857" t="str">
            <v xml:space="preserve"> </v>
          </cell>
          <cell r="G857">
            <v>14146807</v>
          </cell>
          <cell r="H857">
            <v>12587395</v>
          </cell>
          <cell r="I857">
            <v>24333083</v>
          </cell>
          <cell r="J857">
            <v>650029</v>
          </cell>
          <cell r="K857">
            <v>51717314</v>
          </cell>
          <cell r="L857"/>
          <cell r="M857">
            <v>474696</v>
          </cell>
          <cell r="N857">
            <v>0</v>
          </cell>
          <cell r="O857">
            <v>1116278</v>
          </cell>
          <cell r="P857">
            <v>1590974</v>
          </cell>
          <cell r="Q857"/>
          <cell r="R857">
            <v>25471217</v>
          </cell>
          <cell r="S857">
            <v>-560159</v>
          </cell>
          <cell r="T857">
            <v>24911058</v>
          </cell>
        </row>
        <row r="858">
          <cell r="A858">
            <v>99212</v>
          </cell>
          <cell r="B858" t="str">
            <v>DURHAM HWY FIRE PROTECTION ASSOC</v>
          </cell>
          <cell r="C858">
            <v>7.2200000000000007E-5</v>
          </cell>
          <cell r="D858">
            <v>8.14E-5</v>
          </cell>
          <cell r="E858">
            <v>171283</v>
          </cell>
          <cell r="F858" t="str">
            <v xml:space="preserve"> </v>
          </cell>
          <cell r="G858">
            <v>26425</v>
          </cell>
          <cell r="H858">
            <v>23512</v>
          </cell>
          <cell r="I858">
            <v>45452</v>
          </cell>
          <cell r="J858">
            <v>181</v>
          </cell>
          <cell r="K858">
            <v>95570</v>
          </cell>
          <cell r="L858"/>
          <cell r="M858">
            <v>887</v>
          </cell>
          <cell r="N858">
            <v>0</v>
          </cell>
          <cell r="O858">
            <v>27961</v>
          </cell>
          <cell r="P858">
            <v>28848</v>
          </cell>
          <cell r="Q858"/>
          <cell r="R858">
            <v>47578</v>
          </cell>
          <cell r="S858">
            <v>-17534</v>
          </cell>
          <cell r="T858">
            <v>30044</v>
          </cell>
        </row>
        <row r="859">
          <cell r="A859">
            <v>99213</v>
          </cell>
          <cell r="B859" t="str">
            <v>CITY OF RALEIGH HOUSING AUTHORITY</v>
          </cell>
          <cell r="C859">
            <v>7.6519999999999995E-4</v>
          </cell>
          <cell r="D859">
            <v>7.5159999999999995E-4</v>
          </cell>
          <cell r="E859">
            <v>1815316</v>
          </cell>
          <cell r="F859" t="str">
            <v xml:space="preserve"> </v>
          </cell>
          <cell r="G859">
            <v>280060</v>
          </cell>
          <cell r="H859">
            <v>249189</v>
          </cell>
          <cell r="I859">
            <v>481715</v>
          </cell>
          <cell r="J859">
            <v>17354</v>
          </cell>
          <cell r="K859">
            <v>1028318</v>
          </cell>
          <cell r="L859"/>
          <cell r="M859">
            <v>9397</v>
          </cell>
          <cell r="N859">
            <v>0</v>
          </cell>
          <cell r="O859">
            <v>31841</v>
          </cell>
          <cell r="P859">
            <v>41238</v>
          </cell>
          <cell r="Q859"/>
          <cell r="R859">
            <v>504246</v>
          </cell>
          <cell r="S859">
            <v>-6642</v>
          </cell>
          <cell r="T859">
            <v>497604</v>
          </cell>
        </row>
        <row r="860">
          <cell r="A860">
            <v>99218</v>
          </cell>
          <cell r="B860" t="str">
            <v>RALEIGH-DURHAM AIRPORT AUTHORITY</v>
          </cell>
          <cell r="C860">
            <v>3.3276999999999998E-3</v>
          </cell>
          <cell r="D860">
            <v>3.1162E-3</v>
          </cell>
          <cell r="E860">
            <v>7894442</v>
          </cell>
          <cell r="F860" t="str">
            <v xml:space="preserve"> </v>
          </cell>
          <cell r="G860">
            <v>1217925</v>
          </cell>
          <cell r="H860">
            <v>1083672</v>
          </cell>
          <cell r="I860">
            <v>2094880</v>
          </cell>
          <cell r="J860">
            <v>301160</v>
          </cell>
          <cell r="K860">
            <v>4697637</v>
          </cell>
          <cell r="L860"/>
          <cell r="M860">
            <v>40867</v>
          </cell>
          <cell r="N860">
            <v>0</v>
          </cell>
          <cell r="O860">
            <v>0</v>
          </cell>
          <cell r="P860">
            <v>40867</v>
          </cell>
          <cell r="Q860"/>
          <cell r="R860">
            <v>2192864</v>
          </cell>
          <cell r="S860">
            <v>113866</v>
          </cell>
          <cell r="T860">
            <v>2306730</v>
          </cell>
        </row>
        <row r="861">
          <cell r="A861">
            <v>99221</v>
          </cell>
          <cell r="B861" t="str">
            <v xml:space="preserve"> CARY</v>
          </cell>
          <cell r="C861">
            <v>1.26885E-2</v>
          </cell>
          <cell r="D861">
            <v>1.27709E-2</v>
          </cell>
          <cell r="E861">
            <v>30101461</v>
          </cell>
          <cell r="F861" t="str">
            <v xml:space="preserve"> </v>
          </cell>
          <cell r="G861">
            <v>4643940</v>
          </cell>
          <cell r="H861">
            <v>4132035</v>
          </cell>
          <cell r="I861">
            <v>7987766</v>
          </cell>
          <cell r="J861">
            <v>0</v>
          </cell>
          <cell r="K861">
            <v>16763741</v>
          </cell>
          <cell r="L861"/>
          <cell r="M861">
            <v>155827</v>
          </cell>
          <cell r="N861">
            <v>0</v>
          </cell>
          <cell r="O861">
            <v>578576</v>
          </cell>
          <cell r="P861">
            <v>734403</v>
          </cell>
          <cell r="Q861"/>
          <cell r="R861">
            <v>8361379</v>
          </cell>
          <cell r="S861">
            <v>-311894</v>
          </cell>
          <cell r="T861">
            <v>8049485</v>
          </cell>
        </row>
        <row r="862">
          <cell r="A862">
            <v>99222</v>
          </cell>
          <cell r="B862" t="str">
            <v>CENTENNIAL AUTHORITY</v>
          </cell>
          <cell r="C862">
            <v>3.7200000000000003E-5</v>
          </cell>
          <cell r="D862">
            <v>3.9100000000000002E-5</v>
          </cell>
          <cell r="E862">
            <v>88251</v>
          </cell>
          <cell r="F862" t="str">
            <v xml:space="preserve"> </v>
          </cell>
          <cell r="G862">
            <v>13615</v>
          </cell>
          <cell r="H862">
            <v>12114</v>
          </cell>
          <cell r="I862">
            <v>23418</v>
          </cell>
          <cell r="J862">
            <v>1038</v>
          </cell>
          <cell r="K862">
            <v>50185</v>
          </cell>
          <cell r="L862"/>
          <cell r="M862">
            <v>457</v>
          </cell>
          <cell r="N862">
            <v>0</v>
          </cell>
          <cell r="O862">
            <v>5264</v>
          </cell>
          <cell r="P862">
            <v>5721</v>
          </cell>
          <cell r="Q862"/>
          <cell r="R862">
            <v>24514</v>
          </cell>
          <cell r="S862">
            <v>-385</v>
          </cell>
          <cell r="T862">
            <v>24129</v>
          </cell>
        </row>
        <row r="863">
          <cell r="A863">
            <v>99231</v>
          </cell>
          <cell r="B863" t="str">
            <v xml:space="preserve"> WENDELL</v>
          </cell>
          <cell r="C863">
            <v>3.6329999999999999E-4</v>
          </cell>
          <cell r="D863">
            <v>3.7179999999999998E-4</v>
          </cell>
          <cell r="E863">
            <v>861872</v>
          </cell>
          <cell r="F863" t="str">
            <v xml:space="preserve"> </v>
          </cell>
          <cell r="G863">
            <v>132966</v>
          </cell>
          <cell r="H863">
            <v>118310</v>
          </cell>
          <cell r="I863">
            <v>228708</v>
          </cell>
          <cell r="J863">
            <v>0</v>
          </cell>
          <cell r="K863">
            <v>479984</v>
          </cell>
          <cell r="L863"/>
          <cell r="M863">
            <v>4462</v>
          </cell>
          <cell r="N863">
            <v>0</v>
          </cell>
          <cell r="O863">
            <v>28617</v>
          </cell>
          <cell r="P863">
            <v>33079</v>
          </cell>
          <cell r="Q863"/>
          <cell r="R863">
            <v>239405</v>
          </cell>
          <cell r="S863">
            <v>-17866</v>
          </cell>
          <cell r="T863">
            <v>221539</v>
          </cell>
        </row>
        <row r="864">
          <cell r="A864">
            <v>99241</v>
          </cell>
          <cell r="B864" t="str">
            <v xml:space="preserve"> ZEBULON</v>
          </cell>
          <cell r="C864">
            <v>5.488E-4</v>
          </cell>
          <cell r="D864">
            <v>5.5329999999999995E-4</v>
          </cell>
          <cell r="E864">
            <v>1301941</v>
          </cell>
          <cell r="F864" t="str">
            <v xml:space="preserve"> </v>
          </cell>
          <cell r="G864">
            <v>200859</v>
          </cell>
          <cell r="H864">
            <v>178718</v>
          </cell>
          <cell r="I864">
            <v>345485</v>
          </cell>
          <cell r="J864">
            <v>0</v>
          </cell>
          <cell r="K864">
            <v>725062</v>
          </cell>
          <cell r="L864"/>
          <cell r="M864">
            <v>6740</v>
          </cell>
          <cell r="N864">
            <v>0</v>
          </cell>
          <cell r="O864">
            <v>64351</v>
          </cell>
          <cell r="P864">
            <v>71091</v>
          </cell>
          <cell r="Q864"/>
          <cell r="R864">
            <v>361644</v>
          </cell>
          <cell r="S864">
            <v>-55208</v>
          </cell>
          <cell r="T864">
            <v>306436</v>
          </cell>
        </row>
        <row r="865">
          <cell r="A865">
            <v>99251</v>
          </cell>
          <cell r="B865" t="str">
            <v xml:space="preserve"> GARNER</v>
          </cell>
          <cell r="C865">
            <v>1.5935000000000001E-3</v>
          </cell>
          <cell r="D865">
            <v>1.6069000000000001E-3</v>
          </cell>
          <cell r="E865">
            <v>3780327</v>
          </cell>
          <cell r="F865" t="str">
            <v xml:space="preserve"> </v>
          </cell>
          <cell r="G865">
            <v>583215</v>
          </cell>
          <cell r="H865">
            <v>518926</v>
          </cell>
          <cell r="I865">
            <v>1003153</v>
          </cell>
          <cell r="J865">
            <v>1524</v>
          </cell>
          <cell r="K865">
            <v>2106818</v>
          </cell>
          <cell r="L865"/>
          <cell r="M865">
            <v>19570</v>
          </cell>
          <cell r="N865">
            <v>0</v>
          </cell>
          <cell r="O865">
            <v>33789</v>
          </cell>
          <cell r="P865">
            <v>53359</v>
          </cell>
          <cell r="Q865"/>
          <cell r="R865">
            <v>1050073</v>
          </cell>
          <cell r="S865">
            <v>-15782</v>
          </cell>
          <cell r="T865">
            <v>1034291</v>
          </cell>
        </row>
        <row r="866">
          <cell r="A866">
            <v>99252</v>
          </cell>
          <cell r="B866" t="str">
            <v>GARNER FIRE DEPT</v>
          </cell>
          <cell r="C866">
            <v>6.7239999999999997E-4</v>
          </cell>
          <cell r="D866">
            <v>6.1269999999999999E-4</v>
          </cell>
          <cell r="E866">
            <v>1595163</v>
          </cell>
          <cell r="F866" t="str">
            <v xml:space="preserve"> </v>
          </cell>
          <cell r="G866">
            <v>246096</v>
          </cell>
          <cell r="H866">
            <v>218968</v>
          </cell>
          <cell r="I866">
            <v>423295</v>
          </cell>
          <cell r="J866">
            <v>0</v>
          </cell>
          <cell r="K866">
            <v>888359</v>
          </cell>
          <cell r="L866"/>
          <cell r="M866">
            <v>8258</v>
          </cell>
          <cell r="N866">
            <v>0</v>
          </cell>
          <cell r="O866">
            <v>146683</v>
          </cell>
          <cell r="P866">
            <v>154941</v>
          </cell>
          <cell r="Q866"/>
          <cell r="R866">
            <v>443093</v>
          </cell>
          <cell r="S866">
            <v>-93460</v>
          </cell>
          <cell r="T866">
            <v>349633</v>
          </cell>
        </row>
        <row r="867">
          <cell r="A867">
            <v>99261</v>
          </cell>
          <cell r="B867" t="str">
            <v xml:space="preserve"> FUQUAY-VARINA</v>
          </cell>
          <cell r="C867">
            <v>2.0975999999999998E-3</v>
          </cell>
          <cell r="D867">
            <v>1.9938E-3</v>
          </cell>
          <cell r="E867">
            <v>4976225</v>
          </cell>
          <cell r="F867" t="str">
            <v xml:space="preserve"> </v>
          </cell>
          <cell r="G867">
            <v>767713</v>
          </cell>
          <cell r="H867">
            <v>683088</v>
          </cell>
          <cell r="I867">
            <v>1320498</v>
          </cell>
          <cell r="J867">
            <v>0</v>
          </cell>
          <cell r="K867">
            <v>2771299</v>
          </cell>
          <cell r="L867"/>
          <cell r="M867">
            <v>25761</v>
          </cell>
          <cell r="N867">
            <v>0</v>
          </cell>
          <cell r="O867">
            <v>102016</v>
          </cell>
          <cell r="P867">
            <v>127777</v>
          </cell>
          <cell r="Q867"/>
          <cell r="R867">
            <v>1382262</v>
          </cell>
          <cell r="S867">
            <v>-74815</v>
          </cell>
          <cell r="T867">
            <v>1307447</v>
          </cell>
        </row>
        <row r="868">
          <cell r="A868">
            <v>99271</v>
          </cell>
          <cell r="B868" t="str">
            <v xml:space="preserve"> APEX</v>
          </cell>
          <cell r="C868">
            <v>4.2411999999999997E-3</v>
          </cell>
          <cell r="D868">
            <v>4.0137000000000003E-3</v>
          </cell>
          <cell r="E868">
            <v>10061577</v>
          </cell>
          <cell r="F868" t="str">
            <v xml:space="preserve"> </v>
          </cell>
          <cell r="G868">
            <v>1552262</v>
          </cell>
          <cell r="H868">
            <v>1381155</v>
          </cell>
          <cell r="I868">
            <v>2669954</v>
          </cell>
          <cell r="J868">
            <v>74425</v>
          </cell>
          <cell r="K868">
            <v>5677796</v>
          </cell>
          <cell r="L868"/>
          <cell r="M868">
            <v>52086</v>
          </cell>
          <cell r="N868">
            <v>0</v>
          </cell>
          <cell r="O868">
            <v>77503</v>
          </cell>
          <cell r="P868">
            <v>129589</v>
          </cell>
          <cell r="Q868"/>
          <cell r="R868">
            <v>2794836</v>
          </cell>
          <cell r="S868">
            <v>-26683</v>
          </cell>
          <cell r="T868">
            <v>2768153</v>
          </cell>
        </row>
        <row r="869">
          <cell r="A869">
            <v>99281</v>
          </cell>
          <cell r="B869" t="str">
            <v xml:space="preserve"> WAKE FOREST</v>
          </cell>
          <cell r="C869">
            <v>2.3770000000000002E-3</v>
          </cell>
          <cell r="D869">
            <v>2.2918999999999999E-3</v>
          </cell>
          <cell r="E869">
            <v>5639057</v>
          </cell>
          <cell r="F869" t="str">
            <v xml:space="preserve"> </v>
          </cell>
          <cell r="G869">
            <v>869972</v>
          </cell>
          <cell r="H869">
            <v>774075</v>
          </cell>
          <cell r="I869">
            <v>1496388</v>
          </cell>
          <cell r="J869">
            <v>19048</v>
          </cell>
          <cell r="K869">
            <v>3159483</v>
          </cell>
          <cell r="L869"/>
          <cell r="M869">
            <v>29192</v>
          </cell>
          <cell r="N869">
            <v>0</v>
          </cell>
          <cell r="O869">
            <v>84495</v>
          </cell>
          <cell r="P869">
            <v>113687</v>
          </cell>
          <cell r="Q869"/>
          <cell r="R869">
            <v>1566379</v>
          </cell>
          <cell r="S869">
            <v>-32585</v>
          </cell>
          <cell r="T869">
            <v>1533794</v>
          </cell>
        </row>
        <row r="870">
          <cell r="A870">
            <v>99291</v>
          </cell>
          <cell r="B870" t="str">
            <v xml:space="preserve"> KNIGHTDALE</v>
          </cell>
          <cell r="C870">
            <v>8.2370000000000002E-4</v>
          </cell>
          <cell r="D870">
            <v>7.3499999999999998E-4</v>
          </cell>
          <cell r="E870">
            <v>1954098</v>
          </cell>
          <cell r="F870" t="str">
            <v xml:space="preserve"> </v>
          </cell>
          <cell r="G870">
            <v>301471</v>
          </cell>
          <cell r="H870">
            <v>268240</v>
          </cell>
          <cell r="I870">
            <v>518542</v>
          </cell>
          <cell r="J870">
            <v>12562</v>
          </cell>
          <cell r="K870">
            <v>1100815</v>
          </cell>
          <cell r="L870"/>
          <cell r="M870">
            <v>10116</v>
          </cell>
          <cell r="N870">
            <v>0</v>
          </cell>
          <cell r="O870">
            <v>82354</v>
          </cell>
          <cell r="P870">
            <v>92470</v>
          </cell>
          <cell r="Q870"/>
          <cell r="R870">
            <v>542796</v>
          </cell>
          <cell r="S870">
            <v>-52321</v>
          </cell>
          <cell r="T870">
            <v>490475</v>
          </cell>
        </row>
        <row r="871">
          <cell r="A871">
            <v>99301</v>
          </cell>
          <cell r="B871" t="str">
            <v>WARREN COUNTY</v>
          </cell>
          <cell r="C871">
            <v>1.7239E-3</v>
          </cell>
          <cell r="D871">
            <v>1.7879E-3</v>
          </cell>
          <cell r="E871">
            <v>4089680</v>
          </cell>
          <cell r="F871" t="str">
            <v xml:space="preserve"> </v>
          </cell>
          <cell r="G871">
            <v>630941</v>
          </cell>
          <cell r="H871">
            <v>561391</v>
          </cell>
          <cell r="I871">
            <v>1085243</v>
          </cell>
          <cell r="J871">
            <v>12780</v>
          </cell>
          <cell r="K871">
            <v>2290355</v>
          </cell>
          <cell r="L871"/>
          <cell r="M871">
            <v>21171</v>
          </cell>
          <cell r="N871">
            <v>0</v>
          </cell>
          <cell r="O871">
            <v>110271</v>
          </cell>
          <cell r="P871">
            <v>131442</v>
          </cell>
          <cell r="Q871"/>
          <cell r="R871">
            <v>1136004</v>
          </cell>
          <cell r="S871">
            <v>22906</v>
          </cell>
          <cell r="T871">
            <v>1158910</v>
          </cell>
        </row>
        <row r="872">
          <cell r="A872">
            <v>99304</v>
          </cell>
          <cell r="B872" t="str">
            <v>WARREN COUNTY ABC BOARD</v>
          </cell>
          <cell r="C872">
            <v>8.4999999999999999E-6</v>
          </cell>
          <cell r="D872">
            <v>9.2E-6</v>
          </cell>
          <cell r="E872">
            <v>20165</v>
          </cell>
          <cell r="F872" t="str">
            <v xml:space="preserve"> </v>
          </cell>
          <cell r="G872">
            <v>3111</v>
          </cell>
          <cell r="H872">
            <v>2768</v>
          </cell>
          <cell r="I872">
            <v>5351</v>
          </cell>
          <cell r="J872">
            <v>5796</v>
          </cell>
          <cell r="K872">
            <v>17026</v>
          </cell>
          <cell r="L872"/>
          <cell r="M872">
            <v>104</v>
          </cell>
          <cell r="N872">
            <v>0</v>
          </cell>
          <cell r="O872">
            <v>0</v>
          </cell>
          <cell r="P872">
            <v>104</v>
          </cell>
          <cell r="Q872"/>
          <cell r="R872">
            <v>5601</v>
          </cell>
          <cell r="S872">
            <v>2064</v>
          </cell>
          <cell r="T872">
            <v>7665</v>
          </cell>
        </row>
        <row r="873">
          <cell r="A873">
            <v>99311</v>
          </cell>
          <cell r="B873" t="str">
            <v xml:space="preserve"> NORLINA</v>
          </cell>
          <cell r="C873">
            <v>6.0699999999999998E-5</v>
          </cell>
          <cell r="D873">
            <v>5.4299999999999998E-5</v>
          </cell>
          <cell r="E873">
            <v>144001</v>
          </cell>
          <cell r="F873" t="str">
            <v xml:space="preserve"> </v>
          </cell>
          <cell r="G873">
            <v>22216</v>
          </cell>
          <cell r="H873">
            <v>19767</v>
          </cell>
          <cell r="I873">
            <v>38212</v>
          </cell>
          <cell r="J873">
            <v>4078</v>
          </cell>
          <cell r="K873">
            <v>84273</v>
          </cell>
          <cell r="L873"/>
          <cell r="M873">
            <v>745</v>
          </cell>
          <cell r="N873">
            <v>0</v>
          </cell>
          <cell r="O873">
            <v>3557</v>
          </cell>
          <cell r="P873">
            <v>4302</v>
          </cell>
          <cell r="Q873"/>
          <cell r="R873">
            <v>40000</v>
          </cell>
          <cell r="S873">
            <v>-2182</v>
          </cell>
          <cell r="T873">
            <v>37818</v>
          </cell>
        </row>
        <row r="874">
          <cell r="A874">
            <v>99321</v>
          </cell>
          <cell r="B874" t="str">
            <v xml:space="preserve"> WARRENTON</v>
          </cell>
          <cell r="C874">
            <v>8.7000000000000001E-5</v>
          </cell>
          <cell r="D874">
            <v>1.1E-4</v>
          </cell>
          <cell r="E874">
            <v>206394</v>
          </cell>
          <cell r="F874" t="str">
            <v xml:space="preserve"> </v>
          </cell>
          <cell r="G874">
            <v>31842</v>
          </cell>
          <cell r="H874">
            <v>28331</v>
          </cell>
          <cell r="I874">
            <v>54769</v>
          </cell>
          <cell r="J874">
            <v>80354</v>
          </cell>
          <cell r="K874">
            <v>195296</v>
          </cell>
          <cell r="L874"/>
          <cell r="M874">
            <v>1068</v>
          </cell>
          <cell r="N874">
            <v>0</v>
          </cell>
          <cell r="O874">
            <v>0</v>
          </cell>
          <cell r="P874">
            <v>1068</v>
          </cell>
          <cell r="Q874"/>
          <cell r="R874">
            <v>57331</v>
          </cell>
          <cell r="S874">
            <v>48383</v>
          </cell>
          <cell r="T874">
            <v>105714</v>
          </cell>
        </row>
        <row r="875">
          <cell r="A875">
            <v>99401</v>
          </cell>
          <cell r="B875" t="str">
            <v>WASHINGTON COUNTY</v>
          </cell>
          <cell r="C875">
            <v>8.3949999999999997E-4</v>
          </cell>
          <cell r="D875">
            <v>9.2389999999999996E-4</v>
          </cell>
          <cell r="E875">
            <v>1991581</v>
          </cell>
          <cell r="F875" t="str">
            <v xml:space="preserve"> </v>
          </cell>
          <cell r="G875">
            <v>307254</v>
          </cell>
          <cell r="H875">
            <v>273385</v>
          </cell>
          <cell r="I875">
            <v>528489</v>
          </cell>
          <cell r="J875">
            <v>7764</v>
          </cell>
          <cell r="K875">
            <v>1116892</v>
          </cell>
          <cell r="L875"/>
          <cell r="M875">
            <v>10310</v>
          </cell>
          <cell r="N875">
            <v>0</v>
          </cell>
          <cell r="O875">
            <v>71466</v>
          </cell>
          <cell r="P875">
            <v>81776</v>
          </cell>
          <cell r="Q875"/>
          <cell r="R875">
            <v>553208</v>
          </cell>
          <cell r="S875">
            <v>7509</v>
          </cell>
          <cell r="T875">
            <v>560717</v>
          </cell>
        </row>
        <row r="876">
          <cell r="A876">
            <v>99404</v>
          </cell>
          <cell r="B876" t="str">
            <v>WASHINGTON COUNTY ABC BOARD</v>
          </cell>
          <cell r="C876">
            <v>9.0999999999999993E-6</v>
          </cell>
          <cell r="D876">
            <v>9.3999999999999998E-6</v>
          </cell>
          <cell r="E876">
            <v>21588</v>
          </cell>
          <cell r="F876" t="str">
            <v xml:space="preserve"> </v>
          </cell>
          <cell r="G876">
            <v>3331</v>
          </cell>
          <cell r="H876">
            <v>2963</v>
          </cell>
          <cell r="I876">
            <v>5729</v>
          </cell>
          <cell r="J876">
            <v>1629</v>
          </cell>
          <cell r="K876">
            <v>13652</v>
          </cell>
          <cell r="L876"/>
          <cell r="M876">
            <v>112</v>
          </cell>
          <cell r="N876">
            <v>0</v>
          </cell>
          <cell r="O876">
            <v>0</v>
          </cell>
          <cell r="P876">
            <v>112</v>
          </cell>
          <cell r="Q876"/>
          <cell r="R876">
            <v>5997</v>
          </cell>
          <cell r="S876">
            <v>655</v>
          </cell>
          <cell r="T876">
            <v>6652</v>
          </cell>
        </row>
        <row r="877">
          <cell r="A877">
            <v>99405</v>
          </cell>
          <cell r="B877" t="str">
            <v>PETTIGREW REGIONAL LIBRARY</v>
          </cell>
          <cell r="C877">
            <v>5.2200000000000002E-5</v>
          </cell>
          <cell r="D877">
            <v>6.2700000000000006E-5</v>
          </cell>
          <cell r="E877">
            <v>123836</v>
          </cell>
          <cell r="F877" t="str">
            <v xml:space="preserve"> </v>
          </cell>
          <cell r="G877">
            <v>19105</v>
          </cell>
          <cell r="H877">
            <v>16999</v>
          </cell>
          <cell r="I877">
            <v>32861</v>
          </cell>
          <cell r="J877">
            <v>14217</v>
          </cell>
          <cell r="K877">
            <v>83182</v>
          </cell>
          <cell r="L877"/>
          <cell r="M877">
            <v>641</v>
          </cell>
          <cell r="N877">
            <v>0</v>
          </cell>
          <cell r="O877">
            <v>0</v>
          </cell>
          <cell r="P877">
            <v>641</v>
          </cell>
          <cell r="Q877"/>
          <cell r="R877">
            <v>34398</v>
          </cell>
          <cell r="S877">
            <v>6652</v>
          </cell>
          <cell r="T877">
            <v>41050</v>
          </cell>
        </row>
        <row r="878">
          <cell r="A878">
            <v>99411</v>
          </cell>
          <cell r="B878" t="str">
            <v xml:space="preserve"> PLYMOUTH</v>
          </cell>
          <cell r="C878">
            <v>1.7239999999999999E-4</v>
          </cell>
          <cell r="D878">
            <v>1.583E-4</v>
          </cell>
          <cell r="E878">
            <v>408992</v>
          </cell>
          <cell r="F878" t="str">
            <v xml:space="preserve"> </v>
          </cell>
          <cell r="G878">
            <v>63098</v>
          </cell>
          <cell r="H878">
            <v>56142</v>
          </cell>
          <cell r="I878">
            <v>108531</v>
          </cell>
          <cell r="J878">
            <v>41315</v>
          </cell>
          <cell r="K878">
            <v>269086</v>
          </cell>
          <cell r="L878"/>
          <cell r="M878">
            <v>2117</v>
          </cell>
          <cell r="N878">
            <v>0</v>
          </cell>
          <cell r="O878">
            <v>0</v>
          </cell>
          <cell r="P878">
            <v>2117</v>
          </cell>
          <cell r="Q878"/>
          <cell r="R878">
            <v>113607</v>
          </cell>
          <cell r="S878">
            <v>11785</v>
          </cell>
          <cell r="T878">
            <v>125392</v>
          </cell>
        </row>
        <row r="879">
          <cell r="A879">
            <v>99413</v>
          </cell>
          <cell r="B879" t="str">
            <v>PLYMOUTH HOUSING AUTHORITY</v>
          </cell>
          <cell r="C879">
            <v>1.98E-5</v>
          </cell>
          <cell r="D879">
            <v>3.1099999999999997E-5</v>
          </cell>
          <cell r="E879">
            <v>46972</v>
          </cell>
          <cell r="F879" t="str">
            <v xml:space="preserve"> </v>
          </cell>
          <cell r="G879">
            <v>7247</v>
          </cell>
          <cell r="H879">
            <v>6448</v>
          </cell>
          <cell r="I879">
            <v>12465</v>
          </cell>
          <cell r="J879">
            <v>4311</v>
          </cell>
          <cell r="K879">
            <v>30471</v>
          </cell>
          <cell r="L879"/>
          <cell r="M879">
            <v>243</v>
          </cell>
          <cell r="N879">
            <v>0</v>
          </cell>
          <cell r="O879">
            <v>5202</v>
          </cell>
          <cell r="P879">
            <v>5445</v>
          </cell>
          <cell r="Q879"/>
          <cell r="R879">
            <v>13048</v>
          </cell>
          <cell r="S879">
            <v>-653</v>
          </cell>
          <cell r="T879">
            <v>12395</v>
          </cell>
        </row>
        <row r="880">
          <cell r="A880">
            <v>99421</v>
          </cell>
          <cell r="B880" t="str">
            <v xml:space="preserve"> ROPER</v>
          </cell>
          <cell r="C880">
            <v>1.24E-5</v>
          </cell>
          <cell r="D880">
            <v>1.04E-5</v>
          </cell>
          <cell r="E880">
            <v>29417</v>
          </cell>
          <cell r="F880" t="str">
            <v xml:space="preserve"> </v>
          </cell>
          <cell r="G880">
            <v>4538</v>
          </cell>
          <cell r="H880">
            <v>4038</v>
          </cell>
          <cell r="I880">
            <v>7806</v>
          </cell>
          <cell r="J880">
            <v>917</v>
          </cell>
          <cell r="K880">
            <v>17299</v>
          </cell>
          <cell r="L880"/>
          <cell r="M880">
            <v>152</v>
          </cell>
          <cell r="N880">
            <v>0</v>
          </cell>
          <cell r="O880">
            <v>3553</v>
          </cell>
          <cell r="P880">
            <v>3705</v>
          </cell>
          <cell r="Q880"/>
          <cell r="R880">
            <v>8171</v>
          </cell>
          <cell r="S880">
            <v>-895</v>
          </cell>
          <cell r="T880">
            <v>7276</v>
          </cell>
        </row>
        <row r="881">
          <cell r="A881">
            <v>99431</v>
          </cell>
          <cell r="B881" t="str">
            <v xml:space="preserve"> CRESWELL</v>
          </cell>
          <cell r="C881">
            <v>2.1999999999999999E-5</v>
          </cell>
          <cell r="D881">
            <v>2.2200000000000001E-5</v>
          </cell>
          <cell r="E881">
            <v>52192</v>
          </cell>
          <cell r="F881" t="str">
            <v xml:space="preserve"> </v>
          </cell>
          <cell r="G881">
            <v>8052</v>
          </cell>
          <cell r="H881">
            <v>7164</v>
          </cell>
          <cell r="I881">
            <v>13850</v>
          </cell>
          <cell r="J881">
            <v>0</v>
          </cell>
          <cell r="K881">
            <v>29066</v>
          </cell>
          <cell r="L881"/>
          <cell r="M881">
            <v>270</v>
          </cell>
          <cell r="N881">
            <v>0</v>
          </cell>
          <cell r="O881">
            <v>4208</v>
          </cell>
          <cell r="P881">
            <v>4478</v>
          </cell>
          <cell r="Q881"/>
          <cell r="R881">
            <v>14497</v>
          </cell>
          <cell r="S881">
            <v>-434</v>
          </cell>
          <cell r="T881">
            <v>14063</v>
          </cell>
        </row>
        <row r="882">
          <cell r="A882">
            <v>99501</v>
          </cell>
          <cell r="B882" t="str">
            <v>WATAUGA COUNTY</v>
          </cell>
          <cell r="C882">
            <v>1.6559000000000001E-3</v>
          </cell>
          <cell r="D882">
            <v>1.6785000000000001E-3</v>
          </cell>
          <cell r="E882">
            <v>3928361</v>
          </cell>
          <cell r="F882" t="str">
            <v xml:space="preserve"> </v>
          </cell>
          <cell r="G882">
            <v>606053</v>
          </cell>
          <cell r="H882">
            <v>539247</v>
          </cell>
          <cell r="I882">
            <v>1042435</v>
          </cell>
          <cell r="J882">
            <v>26120</v>
          </cell>
          <cell r="K882">
            <v>2213855</v>
          </cell>
          <cell r="L882"/>
          <cell r="M882">
            <v>20336</v>
          </cell>
          <cell r="N882">
            <v>0</v>
          </cell>
          <cell r="O882">
            <v>16129</v>
          </cell>
          <cell r="P882">
            <v>36465</v>
          </cell>
          <cell r="Q882"/>
          <cell r="R882">
            <v>1091193</v>
          </cell>
          <cell r="S882">
            <v>2662</v>
          </cell>
          <cell r="T882">
            <v>1093855</v>
          </cell>
        </row>
        <row r="883">
          <cell r="A883">
            <v>99502</v>
          </cell>
          <cell r="B883" t="str">
            <v>REGION D COUNCIL OF GOVERNMENTS</v>
          </cell>
          <cell r="C883">
            <v>1.5699999999999999E-4</v>
          </cell>
          <cell r="D883">
            <v>1.373E-4</v>
          </cell>
          <cell r="E883">
            <v>372458</v>
          </cell>
          <cell r="F883" t="str">
            <v xml:space="preserve"> </v>
          </cell>
          <cell r="G883">
            <v>57461</v>
          </cell>
          <cell r="H883">
            <v>51127</v>
          </cell>
          <cell r="I883">
            <v>98836</v>
          </cell>
          <cell r="J883">
            <v>20987</v>
          </cell>
          <cell r="K883">
            <v>228411</v>
          </cell>
          <cell r="L883"/>
          <cell r="M883">
            <v>1928</v>
          </cell>
          <cell r="N883">
            <v>0</v>
          </cell>
          <cell r="O883">
            <v>0</v>
          </cell>
          <cell r="P883">
            <v>1928</v>
          </cell>
          <cell r="Q883"/>
          <cell r="R883">
            <v>103459</v>
          </cell>
          <cell r="S883">
            <v>11737</v>
          </cell>
          <cell r="T883">
            <v>115196</v>
          </cell>
        </row>
        <row r="884">
          <cell r="A884">
            <v>99508</v>
          </cell>
          <cell r="B884" t="str">
            <v>BLOWING ROCK TOURISM DEVELOPMENT AUTHORITY</v>
          </cell>
          <cell r="C884">
            <v>2.1699999999999999E-5</v>
          </cell>
          <cell r="D884">
            <v>2.2099999999999998E-5</v>
          </cell>
          <cell r="E884">
            <v>51480</v>
          </cell>
          <cell r="F884" t="str">
            <v xml:space="preserve"> </v>
          </cell>
          <cell r="G884">
            <v>7942</v>
          </cell>
          <cell r="H884">
            <v>7067</v>
          </cell>
          <cell r="I884">
            <v>13661</v>
          </cell>
          <cell r="J884">
            <v>28</v>
          </cell>
          <cell r="K884">
            <v>28698</v>
          </cell>
          <cell r="L884"/>
          <cell r="M884">
            <v>266</v>
          </cell>
          <cell r="N884">
            <v>0</v>
          </cell>
          <cell r="O884">
            <v>834</v>
          </cell>
          <cell r="P884">
            <v>1100</v>
          </cell>
          <cell r="Q884"/>
          <cell r="R884">
            <v>14300</v>
          </cell>
          <cell r="S884">
            <v>-1042</v>
          </cell>
          <cell r="T884">
            <v>13258</v>
          </cell>
        </row>
        <row r="885">
          <cell r="A885">
            <v>99509</v>
          </cell>
          <cell r="B885" t="str">
            <v>WATAUGA COUNTY DISTRICT U TDA</v>
          </cell>
          <cell r="C885">
            <v>2.62E-5</v>
          </cell>
          <cell r="D885">
            <v>2.76E-5</v>
          </cell>
          <cell r="E885">
            <v>62155</v>
          </cell>
          <cell r="F885" t="str">
            <v xml:space="preserve"> </v>
          </cell>
          <cell r="G885">
            <v>9589</v>
          </cell>
          <cell r="H885">
            <v>8532</v>
          </cell>
          <cell r="I885">
            <v>16494</v>
          </cell>
          <cell r="J885">
            <v>0</v>
          </cell>
          <cell r="K885">
            <v>34615</v>
          </cell>
          <cell r="L885"/>
          <cell r="M885">
            <v>322</v>
          </cell>
          <cell r="N885">
            <v>0</v>
          </cell>
          <cell r="O885">
            <v>3733</v>
          </cell>
          <cell r="P885">
            <v>4055</v>
          </cell>
          <cell r="Q885"/>
          <cell r="R885">
            <v>17265</v>
          </cell>
          <cell r="S885">
            <v>-4641</v>
          </cell>
          <cell r="T885">
            <v>12624</v>
          </cell>
        </row>
        <row r="886">
          <cell r="A886">
            <v>99511</v>
          </cell>
          <cell r="B886" t="str">
            <v xml:space="preserve"> BOONE</v>
          </cell>
          <cell r="C886">
            <v>1.3468E-3</v>
          </cell>
          <cell r="D886">
            <v>1.4048999999999999E-3</v>
          </cell>
          <cell r="E886">
            <v>3195070</v>
          </cell>
          <cell r="F886" t="str">
            <v xml:space="preserve"> </v>
          </cell>
          <cell r="G886">
            <v>492923</v>
          </cell>
          <cell r="H886">
            <v>438588</v>
          </cell>
          <cell r="I886">
            <v>847848</v>
          </cell>
          <cell r="J886">
            <v>2027</v>
          </cell>
          <cell r="K886">
            <v>1781386</v>
          </cell>
          <cell r="L886"/>
          <cell r="M886">
            <v>16540</v>
          </cell>
          <cell r="N886">
            <v>0</v>
          </cell>
          <cell r="O886">
            <v>134401</v>
          </cell>
          <cell r="P886">
            <v>150941</v>
          </cell>
          <cell r="Q886"/>
          <cell r="R886">
            <v>887505</v>
          </cell>
          <cell r="S886">
            <v>-51080</v>
          </cell>
          <cell r="T886">
            <v>836425</v>
          </cell>
        </row>
        <row r="887">
          <cell r="A887">
            <v>99521</v>
          </cell>
          <cell r="B887" t="str">
            <v xml:space="preserve"> BLOWING ROCK</v>
          </cell>
          <cell r="C887">
            <v>4.9669999999999998E-4</v>
          </cell>
          <cell r="D887">
            <v>4.2700000000000002E-4</v>
          </cell>
          <cell r="E887">
            <v>1178342</v>
          </cell>
          <cell r="F887" t="str">
            <v xml:space="preserve"> </v>
          </cell>
          <cell r="G887">
            <v>181790</v>
          </cell>
          <cell r="H887">
            <v>161751</v>
          </cell>
          <cell r="I887">
            <v>312687</v>
          </cell>
          <cell r="J887">
            <v>22179</v>
          </cell>
          <cell r="K887">
            <v>678407</v>
          </cell>
          <cell r="L887"/>
          <cell r="M887">
            <v>6100</v>
          </cell>
          <cell r="N887">
            <v>0</v>
          </cell>
          <cell r="O887">
            <v>9436</v>
          </cell>
          <cell r="P887">
            <v>15536</v>
          </cell>
          <cell r="Q887"/>
          <cell r="R887">
            <v>327312</v>
          </cell>
          <cell r="S887">
            <v>211</v>
          </cell>
          <cell r="T887">
            <v>327523</v>
          </cell>
        </row>
        <row r="888">
          <cell r="A888">
            <v>99527</v>
          </cell>
          <cell r="B888" t="str">
            <v>BLOWING ROCK ABC BD</v>
          </cell>
          <cell r="C888">
            <v>1.15E-5</v>
          </cell>
          <cell r="D888">
            <v>1.19E-5</v>
          </cell>
          <cell r="E888">
            <v>27282</v>
          </cell>
          <cell r="F888" t="str">
            <v xml:space="preserve"> </v>
          </cell>
          <cell r="G888">
            <v>4209</v>
          </cell>
          <cell r="H888">
            <v>3745</v>
          </cell>
          <cell r="I888">
            <v>7240</v>
          </cell>
          <cell r="J888">
            <v>1078</v>
          </cell>
          <cell r="K888">
            <v>16272</v>
          </cell>
          <cell r="L888"/>
          <cell r="M888">
            <v>141</v>
          </cell>
          <cell r="N888">
            <v>0</v>
          </cell>
          <cell r="O888">
            <v>0</v>
          </cell>
          <cell r="P888">
            <v>141</v>
          </cell>
          <cell r="Q888"/>
          <cell r="R888">
            <v>7578</v>
          </cell>
          <cell r="S888">
            <v>724</v>
          </cell>
          <cell r="T888">
            <v>8302</v>
          </cell>
        </row>
        <row r="889">
          <cell r="A889">
            <v>99531</v>
          </cell>
          <cell r="B889" t="str">
            <v xml:space="preserve"> SEVEN DEVILS</v>
          </cell>
          <cell r="C889">
            <v>8.8800000000000004E-5</v>
          </cell>
          <cell r="D889">
            <v>9.3499999999999996E-5</v>
          </cell>
          <cell r="E889">
            <v>210664</v>
          </cell>
          <cell r="F889" t="str">
            <v xml:space="preserve"> </v>
          </cell>
          <cell r="G889">
            <v>32500</v>
          </cell>
          <cell r="H889">
            <v>28917</v>
          </cell>
          <cell r="I889">
            <v>55902</v>
          </cell>
          <cell r="J889">
            <v>59872</v>
          </cell>
          <cell r="K889">
            <v>177191</v>
          </cell>
          <cell r="L889"/>
          <cell r="M889">
            <v>1091</v>
          </cell>
          <cell r="N889">
            <v>0</v>
          </cell>
          <cell r="O889">
            <v>0</v>
          </cell>
          <cell r="P889">
            <v>1091</v>
          </cell>
          <cell r="Q889"/>
          <cell r="R889">
            <v>58517</v>
          </cell>
          <cell r="S889">
            <v>24500</v>
          </cell>
          <cell r="T889">
            <v>83017</v>
          </cell>
        </row>
        <row r="890">
          <cell r="A890">
            <v>99601</v>
          </cell>
          <cell r="B890" t="str">
            <v>WAYNE COUNTY</v>
          </cell>
          <cell r="C890">
            <v>5.9616000000000001E-3</v>
          </cell>
          <cell r="D890">
            <v>5.7812000000000002E-3</v>
          </cell>
          <cell r="E890">
            <v>14142954</v>
          </cell>
          <cell r="F890" t="str">
            <v xml:space="preserve"> </v>
          </cell>
          <cell r="G890">
            <v>2181922</v>
          </cell>
          <cell r="H890">
            <v>1941407</v>
          </cell>
          <cell r="I890">
            <v>3752994</v>
          </cell>
          <cell r="J890">
            <v>210675</v>
          </cell>
          <cell r="K890">
            <v>8086998</v>
          </cell>
          <cell r="L890"/>
          <cell r="M890">
            <v>73214</v>
          </cell>
          <cell r="N890">
            <v>0</v>
          </cell>
          <cell r="O890">
            <v>44248</v>
          </cell>
          <cell r="P890">
            <v>117462</v>
          </cell>
          <cell r="Q890"/>
          <cell r="R890">
            <v>3928533</v>
          </cell>
          <cell r="S890">
            <v>56562</v>
          </cell>
          <cell r="T890">
            <v>3985095</v>
          </cell>
        </row>
        <row r="891">
          <cell r="A891">
            <v>99602</v>
          </cell>
          <cell r="B891" t="str">
            <v>FORK TOWNSHIP SANITARY DIST</v>
          </cell>
          <cell r="C891">
            <v>6.0800000000000001E-5</v>
          </cell>
          <cell r="D891">
            <v>6.19E-5</v>
          </cell>
          <cell r="E891">
            <v>144238</v>
          </cell>
          <cell r="F891" t="str">
            <v xml:space="preserve"> </v>
          </cell>
          <cell r="G891">
            <v>22253</v>
          </cell>
          <cell r="H891">
            <v>19799</v>
          </cell>
          <cell r="I891">
            <v>38275</v>
          </cell>
          <cell r="J891">
            <v>6923</v>
          </cell>
          <cell r="K891">
            <v>87250</v>
          </cell>
          <cell r="L891"/>
          <cell r="M891">
            <v>747</v>
          </cell>
          <cell r="N891">
            <v>0</v>
          </cell>
          <cell r="O891">
            <v>422</v>
          </cell>
          <cell r="P891">
            <v>1169</v>
          </cell>
          <cell r="Q891"/>
          <cell r="R891">
            <v>40066</v>
          </cell>
          <cell r="S891">
            <v>1213</v>
          </cell>
          <cell r="T891">
            <v>41279</v>
          </cell>
        </row>
        <row r="892">
          <cell r="A892">
            <v>99603</v>
          </cell>
          <cell r="B892" t="str">
            <v>EASTERN CAROLINA REG'L HOUSING AUTHORITY</v>
          </cell>
          <cell r="C892">
            <v>1.7550000000000001E-4</v>
          </cell>
          <cell r="D892">
            <v>1.615E-4</v>
          </cell>
          <cell r="E892">
            <v>416346</v>
          </cell>
          <cell r="F892" t="str">
            <v xml:space="preserve"> </v>
          </cell>
          <cell r="G892">
            <v>64232</v>
          </cell>
          <cell r="H892">
            <v>57152</v>
          </cell>
          <cell r="I892">
            <v>110482</v>
          </cell>
          <cell r="J892">
            <v>75872</v>
          </cell>
          <cell r="K892">
            <v>307738</v>
          </cell>
          <cell r="L892"/>
          <cell r="M892">
            <v>2155</v>
          </cell>
          <cell r="N892">
            <v>0</v>
          </cell>
          <cell r="O892">
            <v>0</v>
          </cell>
          <cell r="P892">
            <v>2155</v>
          </cell>
          <cell r="Q892"/>
          <cell r="R892">
            <v>115650</v>
          </cell>
          <cell r="S892">
            <v>41812</v>
          </cell>
          <cell r="T892">
            <v>157462</v>
          </cell>
        </row>
        <row r="893">
          <cell r="A893">
            <v>99604</v>
          </cell>
          <cell r="B893" t="str">
            <v>WAYNE COUNTY ABC BOARD</v>
          </cell>
          <cell r="C893">
            <v>1.02E-4</v>
          </cell>
          <cell r="D893">
            <v>1.009E-4</v>
          </cell>
          <cell r="E893">
            <v>241979</v>
          </cell>
          <cell r="F893"/>
          <cell r="G893">
            <v>37332</v>
          </cell>
          <cell r="H893">
            <v>33216</v>
          </cell>
          <cell r="I893">
            <v>64212</v>
          </cell>
          <cell r="J893">
            <v>20727</v>
          </cell>
          <cell r="K893">
            <v>155487</v>
          </cell>
          <cell r="L893"/>
          <cell r="M893">
            <v>1253</v>
          </cell>
          <cell r="N893">
            <v>0</v>
          </cell>
          <cell r="O893">
            <v>0</v>
          </cell>
          <cell r="P893">
            <v>1253</v>
          </cell>
          <cell r="Q893"/>
          <cell r="R893">
            <v>67215</v>
          </cell>
          <cell r="S893">
            <v>11859</v>
          </cell>
          <cell r="T893">
            <v>79074</v>
          </cell>
        </row>
        <row r="894">
          <cell r="A894">
            <v>99609</v>
          </cell>
          <cell r="B894" t="str">
            <v>SOUTHERN WAYNE SANITARY DISTRICT</v>
          </cell>
          <cell r="C894">
            <v>2.0100000000000001E-5</v>
          </cell>
          <cell r="D894">
            <v>1.52E-5</v>
          </cell>
          <cell r="E894">
            <v>47684</v>
          </cell>
          <cell r="F894"/>
          <cell r="G894">
            <v>7357</v>
          </cell>
          <cell r="H894">
            <v>6545</v>
          </cell>
          <cell r="I894">
            <v>12654</v>
          </cell>
          <cell r="J894">
            <v>5627</v>
          </cell>
          <cell r="K894">
            <v>32183</v>
          </cell>
          <cell r="L894"/>
          <cell r="M894">
            <v>247</v>
          </cell>
          <cell r="N894">
            <v>0</v>
          </cell>
          <cell r="O894">
            <v>1142</v>
          </cell>
          <cell r="P894">
            <v>1389</v>
          </cell>
          <cell r="Q894"/>
          <cell r="R894">
            <v>13245</v>
          </cell>
          <cell r="S894">
            <v>2717</v>
          </cell>
          <cell r="T894">
            <v>15962</v>
          </cell>
        </row>
        <row r="895">
          <cell r="A895">
            <v>99610</v>
          </cell>
          <cell r="B895" t="str">
            <v>EASTERN WAYNE SANITARY DIST</v>
          </cell>
          <cell r="C895">
            <v>1.872E-4</v>
          </cell>
          <cell r="D895">
            <v>1.9440000000000001E-4</v>
          </cell>
          <cell r="E895">
            <v>444102</v>
          </cell>
          <cell r="F895"/>
          <cell r="G895">
            <v>68514</v>
          </cell>
          <cell r="H895">
            <v>60962</v>
          </cell>
          <cell r="I895">
            <v>117848</v>
          </cell>
          <cell r="J895">
            <v>855</v>
          </cell>
          <cell r="K895">
            <v>248179</v>
          </cell>
          <cell r="L895"/>
          <cell r="M895">
            <v>2299</v>
          </cell>
          <cell r="N895">
            <v>0</v>
          </cell>
          <cell r="O895">
            <v>8068</v>
          </cell>
          <cell r="P895">
            <v>10367</v>
          </cell>
          <cell r="Q895"/>
          <cell r="R895">
            <v>123360</v>
          </cell>
          <cell r="S895">
            <v>-738</v>
          </cell>
          <cell r="T895">
            <v>122622</v>
          </cell>
        </row>
        <row r="896">
          <cell r="A896">
            <v>99611</v>
          </cell>
          <cell r="B896" t="str">
            <v>CITY OF GOLDSBORO</v>
          </cell>
          <cell r="C896">
            <v>3.2894E-3</v>
          </cell>
          <cell r="D896">
            <v>3.1959000000000002E-3</v>
          </cell>
          <cell r="E896">
            <v>7803582</v>
          </cell>
          <cell r="F896"/>
          <cell r="G896">
            <v>1203907</v>
          </cell>
          <cell r="H896">
            <v>1071199</v>
          </cell>
          <cell r="I896">
            <v>2070769</v>
          </cell>
          <cell r="J896">
            <v>61818</v>
          </cell>
          <cell r="K896">
            <v>4407693</v>
          </cell>
          <cell r="L896"/>
          <cell r="M896">
            <v>40397</v>
          </cell>
          <cell r="N896">
            <v>0</v>
          </cell>
          <cell r="O896">
            <v>100389</v>
          </cell>
          <cell r="P896">
            <v>140786</v>
          </cell>
          <cell r="Q896"/>
          <cell r="R896">
            <v>2167626</v>
          </cell>
          <cell r="S896">
            <v>-79577</v>
          </cell>
          <cell r="T896">
            <v>2088049</v>
          </cell>
        </row>
        <row r="897">
          <cell r="A897">
            <v>99613</v>
          </cell>
          <cell r="B897" t="str">
            <v>HOUSING AUTHORITY OF GOLDSBORO</v>
          </cell>
          <cell r="C897">
            <v>3.57E-4</v>
          </cell>
          <cell r="D897">
            <v>3.2909999999999998E-4</v>
          </cell>
          <cell r="E897">
            <v>846926</v>
          </cell>
          <cell r="F897"/>
          <cell r="G897">
            <v>130661</v>
          </cell>
          <cell r="H897">
            <v>116258</v>
          </cell>
          <cell r="I897">
            <v>224741</v>
          </cell>
          <cell r="J897">
            <v>342685</v>
          </cell>
          <cell r="K897">
            <v>814345</v>
          </cell>
          <cell r="L897"/>
          <cell r="M897">
            <v>4384</v>
          </cell>
          <cell r="N897">
            <v>0</v>
          </cell>
          <cell r="O897">
            <v>0</v>
          </cell>
          <cell r="P897">
            <v>4384</v>
          </cell>
          <cell r="Q897"/>
          <cell r="R897">
            <v>235253</v>
          </cell>
          <cell r="S897">
            <v>135388</v>
          </cell>
          <cell r="T897">
            <v>370641</v>
          </cell>
        </row>
        <row r="898">
          <cell r="A898">
            <v>99621</v>
          </cell>
          <cell r="B898" t="str">
            <v xml:space="preserve"> MOUNT OLIVE</v>
          </cell>
          <cell r="C898">
            <v>3.7399999999999998E-4</v>
          </cell>
          <cell r="D898">
            <v>3.7060000000000001E-4</v>
          </cell>
          <cell r="E898">
            <v>887256</v>
          </cell>
          <cell r="F898"/>
          <cell r="G898">
            <v>136883</v>
          </cell>
          <cell r="H898">
            <v>121794</v>
          </cell>
          <cell r="I898">
            <v>235443</v>
          </cell>
          <cell r="J898">
            <v>26836</v>
          </cell>
          <cell r="K898">
            <v>520956</v>
          </cell>
          <cell r="L898"/>
          <cell r="M898">
            <v>4593</v>
          </cell>
          <cell r="N898">
            <v>0</v>
          </cell>
          <cell r="O898">
            <v>3834</v>
          </cell>
          <cell r="P898">
            <v>8427</v>
          </cell>
          <cell r="Q898"/>
          <cell r="R898">
            <v>246456</v>
          </cell>
          <cell r="S898">
            <v>12349</v>
          </cell>
          <cell r="T898">
            <v>258805</v>
          </cell>
        </row>
        <row r="899">
          <cell r="A899">
            <v>99623</v>
          </cell>
          <cell r="B899" t="str">
            <v>MOUNT OLIVE HOUSING AUTHORITY</v>
          </cell>
          <cell r="C899">
            <v>3.4799999999999999E-5</v>
          </cell>
          <cell r="D899">
            <v>2.6400000000000001E-5</v>
          </cell>
          <cell r="E899">
            <v>82558</v>
          </cell>
          <cell r="F899"/>
          <cell r="G899">
            <v>12737</v>
          </cell>
          <cell r="H899">
            <v>11333</v>
          </cell>
          <cell r="I899">
            <v>21908</v>
          </cell>
          <cell r="J899">
            <v>1303</v>
          </cell>
          <cell r="K899">
            <v>47281</v>
          </cell>
          <cell r="L899"/>
          <cell r="M899">
            <v>427</v>
          </cell>
          <cell r="N899">
            <v>0</v>
          </cell>
          <cell r="O899">
            <v>2046</v>
          </cell>
          <cell r="P899">
            <v>2473</v>
          </cell>
          <cell r="Q899"/>
          <cell r="R899">
            <v>22932</v>
          </cell>
          <cell r="S899">
            <v>311</v>
          </cell>
          <cell r="T899">
            <v>23243</v>
          </cell>
        </row>
        <row r="900">
          <cell r="A900">
            <v>99631</v>
          </cell>
          <cell r="B900" t="str">
            <v xml:space="preserve"> FREMONT</v>
          </cell>
          <cell r="C900">
            <v>1.11E-4</v>
          </cell>
          <cell r="D900">
            <v>1.102E-4</v>
          </cell>
          <cell r="E900">
            <v>263330</v>
          </cell>
          <cell r="F900"/>
          <cell r="G900">
            <v>40626</v>
          </cell>
          <cell r="H900">
            <v>36148</v>
          </cell>
          <cell r="I900">
            <v>69878</v>
          </cell>
          <cell r="J900">
            <v>803</v>
          </cell>
          <cell r="K900">
            <v>147455</v>
          </cell>
          <cell r="L900"/>
          <cell r="M900">
            <v>1363</v>
          </cell>
          <cell r="N900">
            <v>0</v>
          </cell>
          <cell r="O900">
            <v>2497</v>
          </cell>
          <cell r="P900">
            <v>3860</v>
          </cell>
          <cell r="Q900"/>
          <cell r="R900">
            <v>73146</v>
          </cell>
          <cell r="S900">
            <v>-4302</v>
          </cell>
          <cell r="T900">
            <v>68844</v>
          </cell>
        </row>
        <row r="901">
          <cell r="A901">
            <v>99651</v>
          </cell>
          <cell r="B901" t="str">
            <v xml:space="preserve"> PIKEVILLE</v>
          </cell>
          <cell r="C901">
            <v>5.7000000000000003E-5</v>
          </cell>
          <cell r="D901">
            <v>6.7199999999999994E-5</v>
          </cell>
          <cell r="E901">
            <v>135223</v>
          </cell>
          <cell r="F901"/>
          <cell r="G901">
            <v>20862</v>
          </cell>
          <cell r="H901">
            <v>18562</v>
          </cell>
          <cell r="I901">
            <v>35883</v>
          </cell>
          <cell r="J901">
            <v>3097</v>
          </cell>
          <cell r="K901">
            <v>78404</v>
          </cell>
          <cell r="L901"/>
          <cell r="M901">
            <v>700</v>
          </cell>
          <cell r="N901">
            <v>0</v>
          </cell>
          <cell r="O901">
            <v>6539</v>
          </cell>
          <cell r="P901">
            <v>7239</v>
          </cell>
          <cell r="Q901"/>
          <cell r="R901">
            <v>37561</v>
          </cell>
          <cell r="S901">
            <v>-227</v>
          </cell>
          <cell r="T901">
            <v>37334</v>
          </cell>
        </row>
        <row r="902">
          <cell r="A902">
            <v>99661</v>
          </cell>
          <cell r="B902" t="str">
            <v xml:space="preserve"> WALNUT CREEK</v>
          </cell>
          <cell r="C902">
            <v>2.5999999999999998E-5</v>
          </cell>
          <cell r="D902">
            <v>3.26E-5</v>
          </cell>
          <cell r="E902">
            <v>61681</v>
          </cell>
          <cell r="F902"/>
          <cell r="G902">
            <v>9516</v>
          </cell>
          <cell r="H902">
            <v>8467</v>
          </cell>
          <cell r="I902">
            <v>16368</v>
          </cell>
          <cell r="J902">
            <v>41516</v>
          </cell>
          <cell r="K902">
            <v>75867</v>
          </cell>
          <cell r="L902"/>
          <cell r="M902">
            <v>319</v>
          </cell>
          <cell r="N902">
            <v>0</v>
          </cell>
          <cell r="O902">
            <v>0</v>
          </cell>
          <cell r="P902">
            <v>319</v>
          </cell>
          <cell r="Q902"/>
          <cell r="R902">
            <v>17133</v>
          </cell>
          <cell r="S902">
            <v>17737</v>
          </cell>
          <cell r="T902">
            <v>34870</v>
          </cell>
        </row>
        <row r="903">
          <cell r="A903">
            <v>99701</v>
          </cell>
          <cell r="B903" t="str">
            <v>WILKES COUNTY</v>
          </cell>
          <cell r="C903">
            <v>2.9659E-3</v>
          </cell>
          <cell r="D903">
            <v>2.9190000000000002E-3</v>
          </cell>
          <cell r="E903">
            <v>7036129</v>
          </cell>
          <cell r="F903"/>
          <cell r="G903">
            <v>1085508</v>
          </cell>
          <cell r="H903">
            <v>965851</v>
          </cell>
          <cell r="I903">
            <v>1867117</v>
          </cell>
          <cell r="J903">
            <v>11285</v>
          </cell>
          <cell r="K903">
            <v>3929761</v>
          </cell>
          <cell r="L903"/>
          <cell r="M903">
            <v>36424</v>
          </cell>
          <cell r="N903">
            <v>0</v>
          </cell>
          <cell r="O903">
            <v>20475</v>
          </cell>
          <cell r="P903">
            <v>56899</v>
          </cell>
          <cell r="Q903"/>
          <cell r="R903">
            <v>1954448</v>
          </cell>
          <cell r="S903">
            <v>-5521</v>
          </cell>
          <cell r="T903">
            <v>1948927</v>
          </cell>
        </row>
        <row r="904">
          <cell r="A904">
            <v>99705</v>
          </cell>
          <cell r="B904" t="str">
            <v>APPALACHIAN REGIONAL LIBRARY</v>
          </cell>
          <cell r="C904">
            <v>1.6349999999999999E-4</v>
          </cell>
          <cell r="D904">
            <v>1.7229999999999999E-4</v>
          </cell>
          <cell r="E904">
            <v>387878</v>
          </cell>
          <cell r="F904"/>
          <cell r="G904">
            <v>59840</v>
          </cell>
          <cell r="H904">
            <v>53244</v>
          </cell>
          <cell r="I904">
            <v>102928</v>
          </cell>
          <cell r="J904">
            <v>9123</v>
          </cell>
          <cell r="K904">
            <v>225135</v>
          </cell>
          <cell r="L904"/>
          <cell r="M904">
            <v>2008</v>
          </cell>
          <cell r="N904">
            <v>0</v>
          </cell>
          <cell r="O904">
            <v>244</v>
          </cell>
          <cell r="P904">
            <v>2252</v>
          </cell>
          <cell r="Q904"/>
          <cell r="R904">
            <v>107742</v>
          </cell>
          <cell r="S904">
            <v>6947</v>
          </cell>
          <cell r="T904">
            <v>114689</v>
          </cell>
        </row>
        <row r="905">
          <cell r="A905">
            <v>99711</v>
          </cell>
          <cell r="B905" t="str">
            <v xml:space="preserve"> N WILKESBORO</v>
          </cell>
          <cell r="C905">
            <v>4.462E-4</v>
          </cell>
          <cell r="D905">
            <v>4.5459999999999999E-4</v>
          </cell>
          <cell r="E905">
            <v>1058539</v>
          </cell>
          <cell r="F905"/>
          <cell r="G905">
            <v>163307</v>
          </cell>
          <cell r="H905">
            <v>145306</v>
          </cell>
          <cell r="I905">
            <v>280895</v>
          </cell>
          <cell r="J905">
            <v>10132</v>
          </cell>
          <cell r="K905">
            <v>599640</v>
          </cell>
          <cell r="L905"/>
          <cell r="M905">
            <v>5480</v>
          </cell>
          <cell r="N905">
            <v>0</v>
          </cell>
          <cell r="O905">
            <v>5402</v>
          </cell>
          <cell r="P905">
            <v>10882</v>
          </cell>
          <cell r="Q905"/>
          <cell r="R905">
            <v>294034</v>
          </cell>
          <cell r="S905">
            <v>-1088</v>
          </cell>
          <cell r="T905">
            <v>292946</v>
          </cell>
        </row>
        <row r="906">
          <cell r="A906">
            <v>99717</v>
          </cell>
          <cell r="B906" t="str">
            <v xml:space="preserve"> N WILKESBORO ABC BOARD</v>
          </cell>
          <cell r="C906">
            <v>2.1800000000000001E-5</v>
          </cell>
          <cell r="D906">
            <v>2.19E-5</v>
          </cell>
          <cell r="E906">
            <v>51717</v>
          </cell>
          <cell r="F906"/>
          <cell r="G906">
            <v>7979</v>
          </cell>
          <cell r="H906">
            <v>7099</v>
          </cell>
          <cell r="I906">
            <v>13724</v>
          </cell>
          <cell r="J906">
            <v>0</v>
          </cell>
          <cell r="K906">
            <v>28802</v>
          </cell>
          <cell r="L906"/>
          <cell r="M906">
            <v>268</v>
          </cell>
          <cell r="N906">
            <v>0</v>
          </cell>
          <cell r="O906">
            <v>4093</v>
          </cell>
          <cell r="P906">
            <v>4361</v>
          </cell>
          <cell r="Q906"/>
          <cell r="R906">
            <v>14366</v>
          </cell>
          <cell r="S906">
            <v>-1627</v>
          </cell>
          <cell r="T906">
            <v>12739</v>
          </cell>
        </row>
        <row r="907">
          <cell r="A907">
            <v>99721</v>
          </cell>
          <cell r="B907" t="str">
            <v xml:space="preserve"> WILKESBORO</v>
          </cell>
          <cell r="C907">
            <v>5.886E-4</v>
          </cell>
          <cell r="D907">
            <v>5.7779999999999995E-4</v>
          </cell>
          <cell r="E907">
            <v>1396361</v>
          </cell>
          <cell r="F907"/>
          <cell r="G907">
            <v>215425</v>
          </cell>
          <cell r="H907">
            <v>191679</v>
          </cell>
          <cell r="I907">
            <v>370540</v>
          </cell>
          <cell r="J907">
            <v>0</v>
          </cell>
          <cell r="K907">
            <v>777644</v>
          </cell>
          <cell r="L907"/>
          <cell r="M907">
            <v>7229</v>
          </cell>
          <cell r="N907">
            <v>0</v>
          </cell>
          <cell r="O907">
            <v>40498</v>
          </cell>
          <cell r="P907">
            <v>47727</v>
          </cell>
          <cell r="Q907"/>
          <cell r="R907">
            <v>387872</v>
          </cell>
          <cell r="S907">
            <v>-15685</v>
          </cell>
          <cell r="T907">
            <v>372187</v>
          </cell>
        </row>
        <row r="908">
          <cell r="A908">
            <v>99727</v>
          </cell>
          <cell r="B908" t="str">
            <v>WILKESBORO ABC BOARD</v>
          </cell>
          <cell r="C908">
            <v>2.2099999999999998E-5</v>
          </cell>
          <cell r="D908">
            <v>2.3900000000000002E-5</v>
          </cell>
          <cell r="E908">
            <v>52429</v>
          </cell>
          <cell r="F908"/>
          <cell r="G908">
            <v>8089</v>
          </cell>
          <cell r="H908">
            <v>7197</v>
          </cell>
          <cell r="I908">
            <v>13913</v>
          </cell>
          <cell r="J908">
            <v>68017</v>
          </cell>
          <cell r="K908">
            <v>97216</v>
          </cell>
          <cell r="L908"/>
          <cell r="M908">
            <v>271</v>
          </cell>
          <cell r="N908">
            <v>0</v>
          </cell>
          <cell r="O908">
            <v>0</v>
          </cell>
          <cell r="P908">
            <v>271</v>
          </cell>
          <cell r="Q908"/>
          <cell r="R908">
            <v>14563</v>
          </cell>
          <cell r="S908">
            <v>28353</v>
          </cell>
          <cell r="T908">
            <v>42916</v>
          </cell>
        </row>
        <row r="909">
          <cell r="A909">
            <v>99801</v>
          </cell>
          <cell r="B909" t="str">
            <v>WILSON COUNTY</v>
          </cell>
          <cell r="C909">
            <v>4.9709000000000003E-3</v>
          </cell>
          <cell r="D909">
            <v>5.1866000000000004E-3</v>
          </cell>
          <cell r="E909">
            <v>11792675</v>
          </cell>
          <cell r="F909"/>
          <cell r="G909">
            <v>1819330</v>
          </cell>
          <cell r="H909">
            <v>1618783</v>
          </cell>
          <cell r="I909">
            <v>3129321</v>
          </cell>
          <cell r="J909">
            <v>0</v>
          </cell>
          <cell r="K909">
            <v>6567434</v>
          </cell>
          <cell r="L909"/>
          <cell r="M909">
            <v>61048</v>
          </cell>
          <cell r="N909">
            <v>0</v>
          </cell>
          <cell r="O909">
            <v>343453</v>
          </cell>
          <cell r="P909">
            <v>404501</v>
          </cell>
          <cell r="Q909"/>
          <cell r="R909">
            <v>3275689</v>
          </cell>
          <cell r="S909">
            <v>-89773</v>
          </cell>
          <cell r="T909">
            <v>3185916</v>
          </cell>
        </row>
        <row r="910">
          <cell r="A910">
            <v>99802</v>
          </cell>
          <cell r="B910" t="str">
            <v>WILSON COUNTY TOURISM DEVELOPMENT AUTHORITY</v>
          </cell>
          <cell r="C910">
            <v>1.19E-5</v>
          </cell>
          <cell r="D910">
            <v>6.0000000000000002E-6</v>
          </cell>
          <cell r="E910">
            <v>28231</v>
          </cell>
          <cell r="F910"/>
          <cell r="G910">
            <v>4355</v>
          </cell>
          <cell r="H910">
            <v>3875</v>
          </cell>
          <cell r="I910">
            <v>7491</v>
          </cell>
          <cell r="J910">
            <v>5957</v>
          </cell>
          <cell r="K910">
            <v>21678</v>
          </cell>
          <cell r="L910"/>
          <cell r="M910">
            <v>146</v>
          </cell>
          <cell r="N910">
            <v>0</v>
          </cell>
          <cell r="O910">
            <v>0</v>
          </cell>
          <cell r="P910">
            <v>146</v>
          </cell>
          <cell r="Q910"/>
          <cell r="R910">
            <v>7842</v>
          </cell>
          <cell r="S910">
            <v>1575</v>
          </cell>
          <cell r="T910">
            <v>9417</v>
          </cell>
        </row>
        <row r="911">
          <cell r="A911">
            <v>99804</v>
          </cell>
          <cell r="B911" t="str">
            <v>WILSON COUNTY ABC BOARD</v>
          </cell>
          <cell r="C911">
            <v>8.1000000000000004E-5</v>
          </cell>
          <cell r="D911">
            <v>9.0500000000000004E-5</v>
          </cell>
          <cell r="E911">
            <v>192160</v>
          </cell>
          <cell r="F911"/>
          <cell r="G911">
            <v>29646</v>
          </cell>
          <cell r="H911">
            <v>26377</v>
          </cell>
          <cell r="I911">
            <v>50992</v>
          </cell>
          <cell r="J911">
            <v>8772</v>
          </cell>
          <cell r="K911">
            <v>115787</v>
          </cell>
          <cell r="L911"/>
          <cell r="M911">
            <v>995</v>
          </cell>
          <cell r="N911">
            <v>0</v>
          </cell>
          <cell r="O911">
            <v>129</v>
          </cell>
          <cell r="P911">
            <v>1124</v>
          </cell>
          <cell r="Q911"/>
          <cell r="R911">
            <v>53377</v>
          </cell>
          <cell r="S911">
            <v>4885</v>
          </cell>
          <cell r="T911">
            <v>58262</v>
          </cell>
        </row>
        <row r="912">
          <cell r="A912">
            <v>99811</v>
          </cell>
          <cell r="B912" t="str">
            <v>WILSON</v>
          </cell>
          <cell r="C912">
            <v>6.4733000000000004E-3</v>
          </cell>
          <cell r="D912">
            <v>6.7026999999999998E-3</v>
          </cell>
          <cell r="E912">
            <v>15356881</v>
          </cell>
          <cell r="F912"/>
          <cell r="G912">
            <v>2369202</v>
          </cell>
          <cell r="H912">
            <v>2108043</v>
          </cell>
          <cell r="I912">
            <v>4075124</v>
          </cell>
          <cell r="J912">
            <v>0</v>
          </cell>
          <cell r="K912">
            <v>8552369</v>
          </cell>
          <cell r="L912"/>
          <cell r="M912">
            <v>79499</v>
          </cell>
          <cell r="N912">
            <v>0</v>
          </cell>
          <cell r="O912">
            <v>605474</v>
          </cell>
          <cell r="P912">
            <v>684973</v>
          </cell>
          <cell r="Q912"/>
          <cell r="R912">
            <v>4265730</v>
          </cell>
          <cell r="S912">
            <v>-297315</v>
          </cell>
          <cell r="T912">
            <v>3968415</v>
          </cell>
        </row>
        <row r="913">
          <cell r="A913">
            <v>99812</v>
          </cell>
          <cell r="B913" t="str">
            <v>WILSON ECONOMIC DEV COUNCIL</v>
          </cell>
          <cell r="C913">
            <v>1.9700000000000001E-5</v>
          </cell>
          <cell r="D913">
            <v>2.2099999999999998E-5</v>
          </cell>
          <cell r="E913">
            <v>46735</v>
          </cell>
          <cell r="F913"/>
          <cell r="G913">
            <v>7210</v>
          </cell>
          <cell r="H913">
            <v>6415</v>
          </cell>
          <cell r="I913">
            <v>12402</v>
          </cell>
          <cell r="J913">
            <v>15128</v>
          </cell>
          <cell r="K913">
            <v>41155</v>
          </cell>
          <cell r="L913"/>
          <cell r="M913">
            <v>242</v>
          </cell>
          <cell r="N913">
            <v>0</v>
          </cell>
          <cell r="O913">
            <v>0</v>
          </cell>
          <cell r="P913">
            <v>242</v>
          </cell>
          <cell r="Q913"/>
          <cell r="R913">
            <v>12982</v>
          </cell>
          <cell r="S913">
            <v>6159</v>
          </cell>
          <cell r="T913">
            <v>19141</v>
          </cell>
        </row>
        <row r="914">
          <cell r="A914">
            <v>99818</v>
          </cell>
          <cell r="B914" t="str">
            <v>WILSON CEMETERY COMMISSION</v>
          </cell>
          <cell r="C914">
            <v>3.3399999999999999E-5</v>
          </cell>
          <cell r="D914">
            <v>3.1600000000000002E-5</v>
          </cell>
          <cell r="E914">
            <v>79236</v>
          </cell>
          <cell r="F914"/>
          <cell r="G914">
            <v>12224</v>
          </cell>
          <cell r="H914">
            <v>10877</v>
          </cell>
          <cell r="I914">
            <v>21026</v>
          </cell>
          <cell r="J914">
            <v>554</v>
          </cell>
          <cell r="K914">
            <v>44681</v>
          </cell>
          <cell r="L914"/>
          <cell r="M914">
            <v>410</v>
          </cell>
          <cell r="N914">
            <v>0</v>
          </cell>
          <cell r="O914">
            <v>5622</v>
          </cell>
          <cell r="P914">
            <v>6032</v>
          </cell>
          <cell r="Q914"/>
          <cell r="R914">
            <v>22010</v>
          </cell>
          <cell r="S914">
            <v>419</v>
          </cell>
          <cell r="T914">
            <v>22429</v>
          </cell>
        </row>
        <row r="915">
          <cell r="A915">
            <v>99821</v>
          </cell>
          <cell r="B915" t="str">
            <v xml:space="preserve"> STANTONSBURG</v>
          </cell>
          <cell r="C915">
            <v>9.2899999999999995E-5</v>
          </cell>
          <cell r="D915">
            <v>9.1100000000000005E-5</v>
          </cell>
          <cell r="E915">
            <v>220391</v>
          </cell>
          <cell r="F915"/>
          <cell r="G915">
            <v>34001</v>
          </cell>
          <cell r="H915">
            <v>30253</v>
          </cell>
          <cell r="I915">
            <v>58483</v>
          </cell>
          <cell r="J915">
            <v>16591</v>
          </cell>
          <cell r="K915">
            <v>139328</v>
          </cell>
          <cell r="L915"/>
          <cell r="M915">
            <v>1141</v>
          </cell>
          <cell r="N915">
            <v>0</v>
          </cell>
          <cell r="O915">
            <v>250</v>
          </cell>
          <cell r="P915">
            <v>1391</v>
          </cell>
          <cell r="Q915"/>
          <cell r="R915">
            <v>61219</v>
          </cell>
          <cell r="S915">
            <v>11230</v>
          </cell>
          <cell r="T915">
            <v>72449</v>
          </cell>
        </row>
        <row r="916">
          <cell r="A916">
            <v>99831</v>
          </cell>
          <cell r="B916" t="str">
            <v xml:space="preserve"> BLACK CREEK</v>
          </cell>
          <cell r="C916">
            <v>4.9700000000000002E-5</v>
          </cell>
          <cell r="D916">
            <v>6.3299999999999994E-5</v>
          </cell>
          <cell r="E916">
            <v>117905</v>
          </cell>
          <cell r="F916"/>
          <cell r="G916">
            <v>18190</v>
          </cell>
          <cell r="H916">
            <v>16185</v>
          </cell>
          <cell r="I916">
            <v>31288</v>
          </cell>
          <cell r="J916">
            <v>4819</v>
          </cell>
          <cell r="K916">
            <v>70482</v>
          </cell>
          <cell r="L916"/>
          <cell r="M916">
            <v>610</v>
          </cell>
          <cell r="N916">
            <v>0</v>
          </cell>
          <cell r="O916">
            <v>7455</v>
          </cell>
          <cell r="P916">
            <v>8065</v>
          </cell>
          <cell r="Q916"/>
          <cell r="R916">
            <v>32751</v>
          </cell>
          <cell r="S916">
            <v>103</v>
          </cell>
          <cell r="T916">
            <v>32854</v>
          </cell>
        </row>
        <row r="917">
          <cell r="A917">
            <v>99841</v>
          </cell>
          <cell r="B917" t="str">
            <v xml:space="preserve"> LUCAMA</v>
          </cell>
          <cell r="C917">
            <v>3.2199999999999997E-5</v>
          </cell>
          <cell r="D917">
            <v>4.3399999999999998E-5</v>
          </cell>
          <cell r="E917">
            <v>76389</v>
          </cell>
          <cell r="F917"/>
          <cell r="G917">
            <v>11785</v>
          </cell>
          <cell r="H917">
            <v>10486</v>
          </cell>
          <cell r="I917">
            <v>20271</v>
          </cell>
          <cell r="J917">
            <v>574</v>
          </cell>
          <cell r="K917">
            <v>43116</v>
          </cell>
          <cell r="L917"/>
          <cell r="M917">
            <v>395</v>
          </cell>
          <cell r="N917">
            <v>0</v>
          </cell>
          <cell r="O917">
            <v>8879</v>
          </cell>
          <cell r="P917">
            <v>9274</v>
          </cell>
          <cell r="Q917"/>
          <cell r="R917">
            <v>21219</v>
          </cell>
          <cell r="S917">
            <v>-2883</v>
          </cell>
          <cell r="T917">
            <v>18336</v>
          </cell>
        </row>
        <row r="918">
          <cell r="A918">
            <v>99851</v>
          </cell>
          <cell r="B918" t="str">
            <v xml:space="preserve"> ELM CITY</v>
          </cell>
          <cell r="C918">
            <v>2.34E-5</v>
          </cell>
          <cell r="D918">
            <v>2.23E-5</v>
          </cell>
          <cell r="E918">
            <v>55513</v>
          </cell>
          <cell r="F918"/>
          <cell r="G918">
            <v>8564</v>
          </cell>
          <cell r="H918">
            <v>7620</v>
          </cell>
          <cell r="I918">
            <v>14731</v>
          </cell>
          <cell r="J918">
            <v>65</v>
          </cell>
          <cell r="K918">
            <v>30980</v>
          </cell>
          <cell r="L918"/>
          <cell r="M918">
            <v>287</v>
          </cell>
          <cell r="N918">
            <v>0</v>
          </cell>
          <cell r="O918">
            <v>4221</v>
          </cell>
          <cell r="P918">
            <v>4508</v>
          </cell>
          <cell r="Q918"/>
          <cell r="R918">
            <v>15420</v>
          </cell>
          <cell r="S918">
            <v>-1336</v>
          </cell>
          <cell r="T918">
            <v>14084</v>
          </cell>
        </row>
        <row r="919">
          <cell r="A919">
            <v>99901</v>
          </cell>
          <cell r="B919" t="str">
            <v>YADKIN COUNTY</v>
          </cell>
          <cell r="C919">
            <v>1.5693E-3</v>
          </cell>
          <cell r="D919">
            <v>1.6707E-3</v>
          </cell>
          <cell r="E919">
            <v>3722916</v>
          </cell>
          <cell r="F919"/>
          <cell r="G919">
            <v>574358</v>
          </cell>
          <cell r="H919">
            <v>511045</v>
          </cell>
          <cell r="I919">
            <v>987918</v>
          </cell>
          <cell r="J919">
            <v>38150</v>
          </cell>
          <cell r="K919">
            <v>2111471</v>
          </cell>
          <cell r="L919"/>
          <cell r="M919">
            <v>19273</v>
          </cell>
          <cell r="N919">
            <v>0</v>
          </cell>
          <cell r="O919">
            <v>80037</v>
          </cell>
          <cell r="P919">
            <v>99310</v>
          </cell>
          <cell r="Q919"/>
          <cell r="R919">
            <v>1034126</v>
          </cell>
          <cell r="S919">
            <v>-6774</v>
          </cell>
          <cell r="T919">
            <v>1027352</v>
          </cell>
        </row>
        <row r="920">
          <cell r="A920">
            <v>99911</v>
          </cell>
          <cell r="B920" t="str">
            <v xml:space="preserve"> YADKINVILLE</v>
          </cell>
          <cell r="C920">
            <v>2.3900000000000001E-4</v>
          </cell>
          <cell r="D920">
            <v>2.5980000000000003E-4</v>
          </cell>
          <cell r="E920">
            <v>566990</v>
          </cell>
          <cell r="F920"/>
          <cell r="G920">
            <v>87473</v>
          </cell>
          <cell r="H920">
            <v>77831</v>
          </cell>
          <cell r="I920">
            <v>150457</v>
          </cell>
          <cell r="J920">
            <v>4825</v>
          </cell>
          <cell r="K920">
            <v>320586</v>
          </cell>
          <cell r="L920"/>
          <cell r="M920">
            <v>2935</v>
          </cell>
          <cell r="N920">
            <v>0</v>
          </cell>
          <cell r="O920">
            <v>11799</v>
          </cell>
          <cell r="P920">
            <v>14734</v>
          </cell>
          <cell r="Q920"/>
          <cell r="R920">
            <v>157495</v>
          </cell>
          <cell r="S920">
            <v>-7207</v>
          </cell>
          <cell r="T920">
            <v>150288</v>
          </cell>
        </row>
        <row r="921">
          <cell r="A921">
            <v>99921</v>
          </cell>
          <cell r="B921" t="str">
            <v xml:space="preserve"> JONESVILLE</v>
          </cell>
          <cell r="C921">
            <v>1.3119999999999999E-4</v>
          </cell>
          <cell r="D921">
            <v>1.506E-4</v>
          </cell>
          <cell r="E921">
            <v>311251</v>
          </cell>
          <cell r="F921"/>
          <cell r="G921">
            <v>48019</v>
          </cell>
          <cell r="H921">
            <v>42726</v>
          </cell>
          <cell r="I921">
            <v>82594</v>
          </cell>
          <cell r="J921">
            <v>1708</v>
          </cell>
          <cell r="K921">
            <v>175047</v>
          </cell>
          <cell r="L921"/>
          <cell r="M921">
            <v>1611</v>
          </cell>
          <cell r="N921">
            <v>0</v>
          </cell>
          <cell r="O921">
            <v>19558</v>
          </cell>
          <cell r="P921">
            <v>21169</v>
          </cell>
          <cell r="Q921"/>
          <cell r="R921">
            <v>86457</v>
          </cell>
          <cell r="S921">
            <v>-7225</v>
          </cell>
          <cell r="T921">
            <v>79232</v>
          </cell>
        </row>
        <row r="922">
          <cell r="A922">
            <v>99931</v>
          </cell>
          <cell r="B922" t="str">
            <v xml:space="preserve"> EAST BEND</v>
          </cell>
          <cell r="C922">
            <v>1.52E-5</v>
          </cell>
          <cell r="D922">
            <v>1.5800000000000001E-5</v>
          </cell>
          <cell r="E922">
            <v>36060</v>
          </cell>
          <cell r="F922"/>
          <cell r="G922">
            <v>5563</v>
          </cell>
          <cell r="H922">
            <v>4950</v>
          </cell>
          <cell r="I922">
            <v>9569</v>
          </cell>
          <cell r="J922">
            <v>1614</v>
          </cell>
          <cell r="K922">
            <v>21696</v>
          </cell>
          <cell r="L922"/>
          <cell r="M922">
            <v>187</v>
          </cell>
          <cell r="N922">
            <v>0</v>
          </cell>
          <cell r="O922">
            <v>5213</v>
          </cell>
          <cell r="P922">
            <v>5400</v>
          </cell>
          <cell r="Q922"/>
          <cell r="R922">
            <v>10016</v>
          </cell>
          <cell r="S922">
            <v>-2861</v>
          </cell>
          <cell r="T922">
            <v>7155</v>
          </cell>
        </row>
        <row r="923">
          <cell r="A923">
            <v>99941</v>
          </cell>
          <cell r="B923" t="str">
            <v xml:space="preserve"> BOONVILLE</v>
          </cell>
          <cell r="C923">
            <v>7.4200000000000001E-5</v>
          </cell>
          <cell r="D923">
            <v>7.5400000000000003E-5</v>
          </cell>
          <cell r="E923">
            <v>176028</v>
          </cell>
          <cell r="F923"/>
          <cell r="G923">
            <v>27157</v>
          </cell>
          <cell r="H923">
            <v>24164</v>
          </cell>
          <cell r="I923">
            <v>46711</v>
          </cell>
          <cell r="J923">
            <v>0</v>
          </cell>
          <cell r="K923">
            <v>98032</v>
          </cell>
          <cell r="L923"/>
          <cell r="M923">
            <v>911</v>
          </cell>
          <cell r="N923">
            <v>0</v>
          </cell>
          <cell r="O923">
            <v>9131</v>
          </cell>
          <cell r="P923">
            <v>10042</v>
          </cell>
          <cell r="Q923"/>
          <cell r="R923">
            <v>48896</v>
          </cell>
          <cell r="S923">
            <v>-5026</v>
          </cell>
          <cell r="T923">
            <v>43870</v>
          </cell>
        </row>
        <row r="924">
          <cell r="A924">
            <v>99991</v>
          </cell>
          <cell r="B924" t="str">
            <v>N C ASSOC OF CO COMMISSIONERS</v>
          </cell>
          <cell r="C924">
            <v>5.2700000000000002E-4</v>
          </cell>
          <cell r="D924">
            <v>5.3450000000000004E-4</v>
          </cell>
          <cell r="E924">
            <v>1250224</v>
          </cell>
          <cell r="F924"/>
          <cell r="G924">
            <v>192880</v>
          </cell>
          <cell r="H924">
            <v>171619</v>
          </cell>
          <cell r="I924">
            <v>331761</v>
          </cell>
          <cell r="J924">
            <v>9601</v>
          </cell>
          <cell r="K924">
            <v>705861</v>
          </cell>
          <cell r="L924"/>
          <cell r="M924">
            <v>6472</v>
          </cell>
          <cell r="N924">
            <v>0</v>
          </cell>
          <cell r="O924">
            <v>27621</v>
          </cell>
          <cell r="P924">
            <v>34093</v>
          </cell>
          <cell r="Q924"/>
          <cell r="R924">
            <v>347279</v>
          </cell>
          <cell r="S924">
            <v>10622</v>
          </cell>
          <cell r="T924">
            <v>357901</v>
          </cell>
        </row>
        <row r="925">
          <cell r="A925">
            <v>99999</v>
          </cell>
          <cell r="B925" t="str">
            <v>N C LEAGUE OF MUNICIPALITIES</v>
          </cell>
          <cell r="C925">
            <v>9.2020000000000003E-4</v>
          </cell>
          <cell r="D925">
            <v>8.7509999999999997E-4</v>
          </cell>
          <cell r="E925">
            <v>2183029</v>
          </cell>
          <cell r="F925"/>
          <cell r="G925">
            <v>336790</v>
          </cell>
          <cell r="H925">
            <v>299665</v>
          </cell>
          <cell r="I925">
            <v>579292</v>
          </cell>
          <cell r="J925">
            <v>139284</v>
          </cell>
          <cell r="K925">
            <v>1355031</v>
          </cell>
          <cell r="L925"/>
          <cell r="M925">
            <v>11301</v>
          </cell>
          <cell r="N925">
            <v>0</v>
          </cell>
          <cell r="O925">
            <v>3425</v>
          </cell>
          <cell r="P925">
            <v>14726</v>
          </cell>
          <cell r="Q925"/>
          <cell r="R925">
            <v>606387</v>
          </cell>
          <cell r="S925">
            <v>34690</v>
          </cell>
          <cell r="T925">
            <v>641077</v>
          </cell>
        </row>
        <row r="926">
          <cell r="A926" t="str">
            <v>9XXXY</v>
          </cell>
          <cell r="B926" t="str">
            <v>CAROLINA COUNTY</v>
          </cell>
          <cell r="C926">
            <v>2.6327999999999998E-3</v>
          </cell>
          <cell r="D926">
            <v>2.6581E-3</v>
          </cell>
          <cell r="E926">
            <v>6245902</v>
          </cell>
          <cell r="F926" t="str">
            <v xml:space="preserve">   </v>
          </cell>
          <cell r="G926">
            <v>963594</v>
          </cell>
          <cell r="H926">
            <v>857376</v>
          </cell>
          <cell r="I926">
            <v>1657421</v>
          </cell>
          <cell r="J926">
            <v>84751</v>
          </cell>
          <cell r="K926">
            <v>3563142</v>
          </cell>
          <cell r="L926"/>
          <cell r="M926">
            <v>32333</v>
          </cell>
          <cell r="N926">
            <v>0</v>
          </cell>
          <cell r="O926">
            <v>109908</v>
          </cell>
          <cell r="P926">
            <v>142241</v>
          </cell>
          <cell r="Q926"/>
          <cell r="R926">
            <v>1734944</v>
          </cell>
          <cell r="S926">
            <v>11083</v>
          </cell>
          <cell r="T926">
            <v>1746027</v>
          </cell>
        </row>
        <row r="927">
          <cell r="A927"/>
          <cell r="B927"/>
          <cell r="C927"/>
          <cell r="D927"/>
        </row>
        <row r="928">
          <cell r="A928"/>
          <cell r="B928" t="str">
            <v>Total</v>
          </cell>
          <cell r="C928">
            <v>1</v>
          </cell>
          <cell r="D928">
            <v>1</v>
          </cell>
          <cell r="E928">
            <v>2372341991</v>
          </cell>
          <cell r="F928"/>
          <cell r="G928">
            <v>365996013</v>
          </cell>
          <cell r="H928">
            <v>325651977</v>
          </cell>
          <cell r="I928">
            <v>629527990</v>
          </cell>
          <cell r="J928">
            <v>39321171</v>
          </cell>
          <cell r="K928">
            <v>1360497151</v>
          </cell>
          <cell r="L928"/>
          <cell r="M928">
            <v>12280987</v>
          </cell>
          <cell r="N928">
            <v>0</v>
          </cell>
          <cell r="O928">
            <v>39321083</v>
          </cell>
          <cell r="P928">
            <v>51602070</v>
          </cell>
          <cell r="Q928"/>
          <cell r="R928">
            <v>658973009</v>
          </cell>
          <cell r="S928">
            <v>6</v>
          </cell>
          <cell r="T928">
            <v>658973015</v>
          </cell>
        </row>
        <row r="929">
          <cell r="A929"/>
          <cell r="B929" t="str">
            <v>Check total</v>
          </cell>
          <cell r="C929">
            <v>1</v>
          </cell>
          <cell r="D929">
            <v>1</v>
          </cell>
          <cell r="E929">
            <v>2372341991</v>
          </cell>
          <cell r="F929"/>
          <cell r="G929">
            <v>365996013</v>
          </cell>
          <cell r="H929">
            <v>325651977</v>
          </cell>
          <cell r="I929">
            <v>629527990</v>
          </cell>
          <cell r="J929">
            <v>39321171</v>
          </cell>
          <cell r="K929">
            <v>1360497151</v>
          </cell>
          <cell r="L929"/>
          <cell r="M929">
            <v>12280987</v>
          </cell>
          <cell r="N929">
            <v>0</v>
          </cell>
          <cell r="O929">
            <v>39321083</v>
          </cell>
          <cell r="P929">
            <v>51602070</v>
          </cell>
          <cell r="Q929"/>
          <cell r="R929">
            <v>658973009</v>
          </cell>
          <cell r="S929">
            <v>6</v>
          </cell>
          <cell r="T929">
            <v>658973015</v>
          </cell>
        </row>
        <row r="930">
          <cell r="A930"/>
          <cell r="B930"/>
          <cell r="C930"/>
          <cell r="D930"/>
          <cell r="E930"/>
          <cell r="F930"/>
          <cell r="G930"/>
          <cell r="H930"/>
          <cell r="I930"/>
          <cell r="J930"/>
          <cell r="K930"/>
          <cell r="L930"/>
          <cell r="M930"/>
          <cell r="N930"/>
          <cell r="O930"/>
          <cell r="P930"/>
          <cell r="Q930"/>
          <cell r="R930"/>
          <cell r="S930"/>
          <cell r="T930"/>
        </row>
        <row r="931">
          <cell r="B931" t="str">
            <v>No additional agency chosen</v>
          </cell>
          <cell r="C931" t="str">
            <v>N/A</v>
          </cell>
        </row>
        <row r="932">
          <cell r="A932"/>
          <cell r="B932" t="str">
            <v>ABERDEEN</v>
          </cell>
          <cell r="C932">
            <v>96331</v>
          </cell>
          <cell r="H932"/>
          <cell r="K932"/>
          <cell r="P932"/>
        </row>
        <row r="933">
          <cell r="A933"/>
          <cell r="B933" t="str">
            <v>AHOSKIE</v>
          </cell>
          <cell r="C933">
            <v>94611</v>
          </cell>
          <cell r="H933"/>
          <cell r="K933"/>
          <cell r="P933"/>
        </row>
        <row r="934">
          <cell r="A934"/>
          <cell r="B934" t="str">
            <v>AIRPORT COMMISSION OF FORSYTH COUNTY</v>
          </cell>
          <cell r="C934">
            <v>93402</v>
          </cell>
          <cell r="H934"/>
          <cell r="K934"/>
          <cell r="P934"/>
        </row>
        <row r="935">
          <cell r="A935"/>
          <cell r="B935" t="str">
            <v>ALAMANCE</v>
          </cell>
          <cell r="C935">
            <v>90151</v>
          </cell>
          <cell r="H935"/>
          <cell r="K935"/>
          <cell r="P935"/>
        </row>
        <row r="936">
          <cell r="A936"/>
          <cell r="B936" t="str">
            <v>ALAMANCE COMM FIRE DIST</v>
          </cell>
          <cell r="C936">
            <v>94109</v>
          </cell>
          <cell r="H936"/>
          <cell r="K936"/>
          <cell r="P936"/>
        </row>
        <row r="937">
          <cell r="A937"/>
          <cell r="B937" t="str">
            <v>ALAMANCE COUNTY</v>
          </cell>
          <cell r="C937">
            <v>90101</v>
          </cell>
          <cell r="H937"/>
          <cell r="K937"/>
          <cell r="P937"/>
        </row>
        <row r="938">
          <cell r="A938"/>
          <cell r="B938" t="str">
            <v>ALAMANCE MUNICIPAL ABC BOARD</v>
          </cell>
          <cell r="C938">
            <v>90117</v>
          </cell>
          <cell r="H938"/>
          <cell r="K938"/>
          <cell r="P938"/>
        </row>
        <row r="939">
          <cell r="A939"/>
          <cell r="B939" t="str">
            <v>ALBEMARLE</v>
          </cell>
          <cell r="C939">
            <v>98411</v>
          </cell>
          <cell r="H939"/>
          <cell r="K939"/>
          <cell r="P939"/>
        </row>
        <row r="940">
          <cell r="A940"/>
          <cell r="B940" t="str">
            <v>ALBEMARLE ABC BOARD</v>
          </cell>
          <cell r="C940">
            <v>98417</v>
          </cell>
          <cell r="H940"/>
          <cell r="K940"/>
          <cell r="P940"/>
        </row>
        <row r="941">
          <cell r="A941"/>
          <cell r="B941" t="str">
            <v>ALBEMARLE DISTRICT JAIL COMMISSION</v>
          </cell>
          <cell r="C941">
            <v>97008</v>
          </cell>
          <cell r="H941"/>
          <cell r="K941"/>
          <cell r="P941"/>
        </row>
        <row r="942">
          <cell r="A942"/>
          <cell r="B942" t="str">
            <v>ALBEMARLE HOSPITAL AUTHORITY</v>
          </cell>
          <cell r="C942">
            <v>97010</v>
          </cell>
          <cell r="H942"/>
          <cell r="K942"/>
          <cell r="P942"/>
        </row>
        <row r="943">
          <cell r="A943"/>
          <cell r="B943" t="str">
            <v>ALBEMARLE REGIONAL HEALTH SERVICES</v>
          </cell>
          <cell r="C943">
            <v>90096</v>
          </cell>
          <cell r="H943"/>
          <cell r="K943"/>
          <cell r="P943"/>
        </row>
        <row r="944">
          <cell r="A944"/>
          <cell r="B944" t="str">
            <v>ALBEMARLE REGIONAL LIBRARY</v>
          </cell>
          <cell r="C944">
            <v>90805</v>
          </cell>
          <cell r="H944"/>
          <cell r="K944"/>
          <cell r="P944"/>
        </row>
        <row r="945">
          <cell r="A945"/>
          <cell r="B945" t="str">
            <v>ALBEMARLE REGNL PLANNING &amp; DEVELOPMENT COMM</v>
          </cell>
          <cell r="C945">
            <v>92109</v>
          </cell>
          <cell r="H945"/>
          <cell r="K945"/>
          <cell r="P945"/>
        </row>
        <row r="946">
          <cell r="A946"/>
          <cell r="B946" t="str">
            <v>ALEXANDER COUNTY</v>
          </cell>
          <cell r="C946">
            <v>90201</v>
          </cell>
          <cell r="H946"/>
          <cell r="K946"/>
          <cell r="P946"/>
        </row>
        <row r="947">
          <cell r="A947"/>
          <cell r="B947" t="str">
            <v>ALEXANDER COUNTY DEPT OF S S</v>
          </cell>
          <cell r="C947">
            <v>90206</v>
          </cell>
          <cell r="H947"/>
          <cell r="K947"/>
          <cell r="P947"/>
        </row>
        <row r="948">
          <cell r="A948"/>
          <cell r="B948" t="str">
            <v>ALEXANDER COUNTY HEALTH DEPT</v>
          </cell>
          <cell r="C948">
            <v>90203</v>
          </cell>
          <cell r="H948"/>
          <cell r="K948"/>
          <cell r="P948"/>
        </row>
        <row r="949">
          <cell r="A949"/>
          <cell r="B949" t="str">
            <v>ALEXANDER COUNTY PUBLIC LIBRARY</v>
          </cell>
          <cell r="C949">
            <v>90205</v>
          </cell>
          <cell r="H949"/>
          <cell r="K949"/>
          <cell r="P949"/>
        </row>
        <row r="950">
          <cell r="A950"/>
          <cell r="B950" t="str">
            <v>ALLEGHANY COUNTY</v>
          </cell>
          <cell r="C950">
            <v>90301</v>
          </cell>
          <cell r="H950"/>
          <cell r="K950"/>
          <cell r="P950"/>
        </row>
        <row r="951">
          <cell r="A951"/>
          <cell r="B951" t="str">
            <v>ALLIANCE BEHAVIORAL HEALTHCRE</v>
          </cell>
          <cell r="C951">
            <v>93209</v>
          </cell>
          <cell r="H951"/>
          <cell r="K951"/>
          <cell r="P951"/>
        </row>
        <row r="952">
          <cell r="A952"/>
          <cell r="B952" t="str">
            <v>ANDREWS</v>
          </cell>
          <cell r="C952">
            <v>92021</v>
          </cell>
          <cell r="H952"/>
          <cell r="K952"/>
          <cell r="P952"/>
        </row>
        <row r="953">
          <cell r="A953"/>
          <cell r="B953" t="str">
            <v>ANGIER</v>
          </cell>
          <cell r="C953">
            <v>94351</v>
          </cell>
          <cell r="H953"/>
          <cell r="K953"/>
          <cell r="P953"/>
        </row>
        <row r="954">
          <cell r="A954"/>
          <cell r="B954" t="str">
            <v>ANGIER ABC BOARD</v>
          </cell>
          <cell r="C954">
            <v>94347</v>
          </cell>
          <cell r="H954"/>
          <cell r="K954"/>
          <cell r="P954"/>
        </row>
        <row r="955">
          <cell r="A955"/>
          <cell r="B955" t="str">
            <v>ANSON COUNTY</v>
          </cell>
          <cell r="C955">
            <v>90401</v>
          </cell>
          <cell r="H955"/>
          <cell r="K955"/>
          <cell r="P955"/>
        </row>
        <row r="956">
          <cell r="A956"/>
          <cell r="B956" t="str">
            <v>ANSONVILLE</v>
          </cell>
          <cell r="C956">
            <v>90451</v>
          </cell>
          <cell r="H956"/>
          <cell r="K956"/>
          <cell r="P956"/>
        </row>
        <row r="957">
          <cell r="A957"/>
          <cell r="B957" t="str">
            <v>APEX</v>
          </cell>
          <cell r="C957">
            <v>99271</v>
          </cell>
          <cell r="H957"/>
          <cell r="K957"/>
          <cell r="P957"/>
        </row>
        <row r="958">
          <cell r="A958"/>
          <cell r="B958" t="str">
            <v>APPALACHIAN DISTRICT HEALTH DEPT</v>
          </cell>
          <cell r="C958">
            <v>90099</v>
          </cell>
          <cell r="H958"/>
          <cell r="K958"/>
          <cell r="P958"/>
        </row>
        <row r="959">
          <cell r="A959"/>
          <cell r="B959" t="str">
            <v>APPALACHIAN REGIONAL LIBRARY</v>
          </cell>
          <cell r="C959">
            <v>99705</v>
          </cell>
          <cell r="H959"/>
          <cell r="K959"/>
          <cell r="P959"/>
        </row>
        <row r="960">
          <cell r="A960"/>
          <cell r="B960" t="str">
            <v>ARCHDALE</v>
          </cell>
          <cell r="C960">
            <v>97651</v>
          </cell>
          <cell r="H960"/>
          <cell r="K960"/>
          <cell r="P960"/>
        </row>
        <row r="961">
          <cell r="A961"/>
          <cell r="B961" t="str">
            <v>ARCHER LODGE</v>
          </cell>
          <cell r="C961">
            <v>95106</v>
          </cell>
          <cell r="H961"/>
          <cell r="K961"/>
          <cell r="P961"/>
        </row>
        <row r="962">
          <cell r="A962"/>
          <cell r="B962" t="str">
            <v>ASHE COUNTY</v>
          </cell>
          <cell r="C962">
            <v>90501</v>
          </cell>
          <cell r="H962"/>
          <cell r="K962"/>
          <cell r="P962"/>
        </row>
        <row r="963">
          <cell r="A963"/>
          <cell r="B963" t="str">
            <v>ASHEBORO</v>
          </cell>
          <cell r="C963">
            <v>97611</v>
          </cell>
          <cell r="H963"/>
          <cell r="K963"/>
          <cell r="P963"/>
        </row>
        <row r="964">
          <cell r="A964"/>
          <cell r="B964" t="str">
            <v>ASHEBORO ABC BOARD</v>
          </cell>
          <cell r="C964">
            <v>97607</v>
          </cell>
          <cell r="H964"/>
          <cell r="K964"/>
          <cell r="P964"/>
        </row>
        <row r="965">
          <cell r="A965"/>
          <cell r="B965" t="str">
            <v>ASHEBORO HOUSING AUTHORITY</v>
          </cell>
          <cell r="C965">
            <v>97613</v>
          </cell>
          <cell r="H965"/>
          <cell r="K965"/>
          <cell r="P965"/>
        </row>
        <row r="966">
          <cell r="A966"/>
          <cell r="B966" t="str">
            <v>ASHEVILLE</v>
          </cell>
          <cell r="C966">
            <v>91121</v>
          </cell>
          <cell r="H966"/>
          <cell r="K966"/>
          <cell r="P966"/>
        </row>
        <row r="967">
          <cell r="A967"/>
          <cell r="B967" t="str">
            <v>ASHEVILLE ABC BOARD</v>
          </cell>
          <cell r="C967">
            <v>91127</v>
          </cell>
          <cell r="H967"/>
          <cell r="K967"/>
          <cell r="P967"/>
        </row>
        <row r="968">
          <cell r="A968"/>
          <cell r="B968" t="str">
            <v>ASHEVILLE REGIONAL AIRPORT AUTHORITY</v>
          </cell>
          <cell r="C968">
            <v>91128</v>
          </cell>
          <cell r="H968"/>
          <cell r="K968"/>
          <cell r="P968"/>
        </row>
        <row r="969">
          <cell r="A969"/>
          <cell r="B969" t="str">
            <v>ATLANTIC BEACH</v>
          </cell>
          <cell r="C969">
            <v>91681</v>
          </cell>
          <cell r="H969"/>
          <cell r="K969"/>
          <cell r="P969"/>
        </row>
        <row r="970">
          <cell r="A970"/>
          <cell r="B970" t="str">
            <v>AULANDER</v>
          </cell>
          <cell r="C970">
            <v>90811</v>
          </cell>
          <cell r="H970"/>
          <cell r="K970"/>
          <cell r="P970"/>
        </row>
        <row r="971">
          <cell r="A971"/>
          <cell r="B971" t="str">
            <v>AURORA</v>
          </cell>
          <cell r="C971">
            <v>90721</v>
          </cell>
          <cell r="H971"/>
          <cell r="K971"/>
          <cell r="P971"/>
        </row>
        <row r="972">
          <cell r="A972"/>
          <cell r="B972" t="str">
            <v>AUTRYVILLE</v>
          </cell>
          <cell r="C972">
            <v>98271</v>
          </cell>
          <cell r="H972"/>
          <cell r="K972"/>
          <cell r="P972"/>
        </row>
        <row r="973">
          <cell r="A973"/>
          <cell r="B973" t="str">
            <v>AVERY COUNTY</v>
          </cell>
          <cell r="C973">
            <v>90601</v>
          </cell>
          <cell r="H973"/>
          <cell r="K973"/>
          <cell r="P973"/>
        </row>
        <row r="974">
          <cell r="A974"/>
          <cell r="B974" t="str">
            <v>AVERY COUNTY FIRE COMMISSION</v>
          </cell>
          <cell r="C974">
            <v>90602</v>
          </cell>
          <cell r="H974"/>
          <cell r="K974"/>
          <cell r="P974"/>
        </row>
        <row r="975">
          <cell r="A975"/>
          <cell r="B975" t="str">
            <v>AVERY-MITCHELL-YANCEY REG LIBRARY</v>
          </cell>
          <cell r="C975">
            <v>90605</v>
          </cell>
          <cell r="H975"/>
          <cell r="K975"/>
          <cell r="P975"/>
        </row>
        <row r="976">
          <cell r="A976"/>
          <cell r="B976" t="str">
            <v>AYDEN</v>
          </cell>
          <cell r="C976">
            <v>97461</v>
          </cell>
          <cell r="H976"/>
          <cell r="K976"/>
          <cell r="P976"/>
        </row>
        <row r="977">
          <cell r="A977"/>
          <cell r="B977" t="str">
            <v>AYDEN HOUSING AUTHORITY</v>
          </cell>
          <cell r="C977">
            <v>97463</v>
          </cell>
          <cell r="H977"/>
          <cell r="K977"/>
          <cell r="P977"/>
        </row>
        <row r="978">
          <cell r="A978"/>
          <cell r="B978" t="str">
            <v>B H M REGIONAL LIBRARY</v>
          </cell>
          <cell r="C978">
            <v>90705</v>
          </cell>
          <cell r="H978"/>
          <cell r="K978"/>
          <cell r="P978"/>
        </row>
        <row r="979">
          <cell r="A979"/>
          <cell r="B979" t="str">
            <v>BADIN</v>
          </cell>
          <cell r="C979">
            <v>98451</v>
          </cell>
          <cell r="H979"/>
          <cell r="K979"/>
          <cell r="P979"/>
        </row>
        <row r="980">
          <cell r="A980"/>
          <cell r="B980" t="str">
            <v>BAILEY</v>
          </cell>
          <cell r="C980">
            <v>96451</v>
          </cell>
          <cell r="H980"/>
          <cell r="K980"/>
          <cell r="P980"/>
        </row>
        <row r="981">
          <cell r="A981"/>
          <cell r="B981" t="str">
            <v>BAKERSVILLE</v>
          </cell>
          <cell r="C981">
            <v>96121</v>
          </cell>
          <cell r="H981"/>
          <cell r="K981"/>
          <cell r="P981"/>
        </row>
        <row r="982">
          <cell r="A982"/>
          <cell r="B982" t="str">
            <v>BALD HEAD ISLAND</v>
          </cell>
          <cell r="C982">
            <v>91091</v>
          </cell>
          <cell r="H982"/>
          <cell r="K982"/>
          <cell r="P982"/>
        </row>
        <row r="983">
          <cell r="A983"/>
          <cell r="B983" t="str">
            <v>BANNER ELK</v>
          </cell>
          <cell r="C983">
            <v>90611</v>
          </cell>
          <cell r="H983"/>
          <cell r="K983"/>
          <cell r="P983"/>
        </row>
        <row r="984">
          <cell r="A984"/>
          <cell r="B984" t="str">
            <v>BAY RIVER METRO SEWERAGE DISTRICT</v>
          </cell>
          <cell r="C984">
            <v>96918</v>
          </cell>
          <cell r="H984"/>
          <cell r="K984"/>
          <cell r="P984"/>
        </row>
        <row r="985">
          <cell r="A985"/>
          <cell r="B985" t="str">
            <v>BAYBORO</v>
          </cell>
          <cell r="C985">
            <v>96911</v>
          </cell>
          <cell r="H985"/>
          <cell r="K985"/>
          <cell r="P985"/>
        </row>
        <row r="986">
          <cell r="A986"/>
          <cell r="B986" t="str">
            <v>BAYLEAF FIRE DEPARTMENT</v>
          </cell>
          <cell r="C986">
            <v>99208</v>
          </cell>
          <cell r="H986"/>
          <cell r="K986"/>
          <cell r="P986"/>
        </row>
        <row r="987">
          <cell r="A987"/>
          <cell r="B987" t="str">
            <v>BEAUFORT</v>
          </cell>
          <cell r="C987">
            <v>91631</v>
          </cell>
          <cell r="H987"/>
          <cell r="K987"/>
          <cell r="P987"/>
        </row>
        <row r="988">
          <cell r="A988"/>
          <cell r="B988" t="str">
            <v>BEAUFORT COUNTY</v>
          </cell>
          <cell r="C988">
            <v>90701</v>
          </cell>
          <cell r="H988"/>
          <cell r="K988"/>
          <cell r="P988"/>
        </row>
        <row r="989">
          <cell r="A989"/>
          <cell r="B989" t="str">
            <v>BEAUFORT COUNTY ABC BOARD</v>
          </cell>
          <cell r="C989">
            <v>90704</v>
          </cell>
          <cell r="H989"/>
          <cell r="K989"/>
          <cell r="P989"/>
        </row>
        <row r="990">
          <cell r="A990"/>
          <cell r="B990" t="str">
            <v>BEAUFORT HOUSING AUTHORITY</v>
          </cell>
          <cell r="C990">
            <v>91633</v>
          </cell>
          <cell r="H990"/>
          <cell r="K990"/>
          <cell r="P990"/>
        </row>
        <row r="991">
          <cell r="A991"/>
          <cell r="B991" t="str">
            <v>BEECH MOUNTAIN</v>
          </cell>
          <cell r="C991">
            <v>90631</v>
          </cell>
          <cell r="H991"/>
          <cell r="K991"/>
          <cell r="P991"/>
        </row>
        <row r="992">
          <cell r="A992"/>
          <cell r="B992" t="str">
            <v>BELHAVEN</v>
          </cell>
          <cell r="C992">
            <v>90731</v>
          </cell>
          <cell r="H992"/>
          <cell r="K992"/>
          <cell r="P992"/>
        </row>
        <row r="993">
          <cell r="A993"/>
          <cell r="B993" t="str">
            <v>BELMONT</v>
          </cell>
          <cell r="C993">
            <v>93621</v>
          </cell>
          <cell r="H993"/>
          <cell r="K993"/>
          <cell r="P993"/>
        </row>
        <row r="994">
          <cell r="A994"/>
          <cell r="B994" t="str">
            <v>BELMONT HOUSING AUTHORITY</v>
          </cell>
          <cell r="C994">
            <v>93623</v>
          </cell>
          <cell r="H994"/>
          <cell r="K994"/>
          <cell r="P994"/>
        </row>
        <row r="995">
          <cell r="A995"/>
          <cell r="B995" t="str">
            <v>BELVILLE</v>
          </cell>
          <cell r="C995">
            <v>91020</v>
          </cell>
          <cell r="H995"/>
          <cell r="K995"/>
          <cell r="P995"/>
        </row>
        <row r="996">
          <cell r="A996"/>
          <cell r="B996" t="str">
            <v>BENSON</v>
          </cell>
          <cell r="C996">
            <v>95141</v>
          </cell>
          <cell r="H996"/>
          <cell r="K996"/>
          <cell r="P996"/>
        </row>
        <row r="997">
          <cell r="A997"/>
          <cell r="B997" t="str">
            <v>BENSON HOUSING AUTHORITY</v>
          </cell>
          <cell r="C997">
            <v>95103</v>
          </cell>
          <cell r="H997"/>
          <cell r="K997"/>
          <cell r="P997"/>
        </row>
        <row r="998">
          <cell r="A998"/>
          <cell r="B998" t="str">
            <v>BERMUDA RUN</v>
          </cell>
          <cell r="C998">
            <v>93021</v>
          </cell>
          <cell r="H998"/>
          <cell r="K998"/>
          <cell r="P998"/>
        </row>
        <row r="999">
          <cell r="A999"/>
          <cell r="B999" t="str">
            <v>BERTIE COUNTY</v>
          </cell>
          <cell r="C999">
            <v>90801</v>
          </cell>
          <cell r="H999"/>
          <cell r="K999"/>
          <cell r="P999"/>
        </row>
        <row r="1000">
          <cell r="A1000"/>
          <cell r="B1000" t="str">
            <v>BERTIE COUNTY ABC BOARD</v>
          </cell>
          <cell r="C1000">
            <v>90804</v>
          </cell>
          <cell r="H1000"/>
          <cell r="K1000"/>
          <cell r="P1000"/>
        </row>
        <row r="1001">
          <cell r="A1001"/>
          <cell r="B1001" t="str">
            <v>BERTIE-MARTIN REGIONAL JAIL COMM</v>
          </cell>
          <cell r="C1001">
            <v>90808</v>
          </cell>
          <cell r="H1001"/>
          <cell r="K1001"/>
          <cell r="P1001"/>
        </row>
        <row r="1002">
          <cell r="A1002"/>
          <cell r="B1002" t="str">
            <v>BESSEMER CITY</v>
          </cell>
          <cell r="C1002">
            <v>93671</v>
          </cell>
          <cell r="H1002"/>
          <cell r="K1002"/>
          <cell r="P1002"/>
        </row>
        <row r="1003">
          <cell r="A1003"/>
          <cell r="B1003" t="str">
            <v>BESSEMER CITY ABC BOARD</v>
          </cell>
          <cell r="C1003">
            <v>93677</v>
          </cell>
          <cell r="H1003"/>
          <cell r="K1003"/>
          <cell r="P1003"/>
        </row>
        <row r="1004">
          <cell r="A1004"/>
          <cell r="B1004" t="str">
            <v>BETHEL</v>
          </cell>
          <cell r="C1004">
            <v>97441</v>
          </cell>
          <cell r="H1004"/>
          <cell r="K1004"/>
          <cell r="P1004"/>
        </row>
        <row r="1005">
          <cell r="A1005"/>
          <cell r="B1005" t="str">
            <v>BEULAVILLE</v>
          </cell>
          <cell r="C1005">
            <v>93111</v>
          </cell>
          <cell r="H1005"/>
          <cell r="K1005"/>
          <cell r="P1005"/>
        </row>
        <row r="1006">
          <cell r="A1006"/>
          <cell r="B1006" t="str">
            <v>BILTMORE FOREST</v>
          </cell>
          <cell r="C1006">
            <v>91111</v>
          </cell>
          <cell r="H1006"/>
          <cell r="K1006"/>
          <cell r="P1006"/>
        </row>
        <row r="1007">
          <cell r="A1007"/>
          <cell r="B1007" t="str">
            <v>BISCOE</v>
          </cell>
          <cell r="C1007">
            <v>96231</v>
          </cell>
          <cell r="H1007"/>
          <cell r="K1007"/>
          <cell r="P1007"/>
        </row>
        <row r="1008">
          <cell r="A1008"/>
          <cell r="B1008" t="str">
            <v>BLACK CREEK</v>
          </cell>
          <cell r="C1008">
            <v>99831</v>
          </cell>
          <cell r="H1008"/>
          <cell r="K1008"/>
          <cell r="P1008"/>
        </row>
        <row r="1009">
          <cell r="A1009"/>
          <cell r="B1009" t="str">
            <v>BLACK MOUNTAIN</v>
          </cell>
          <cell r="C1009">
            <v>91151</v>
          </cell>
          <cell r="H1009"/>
          <cell r="K1009"/>
          <cell r="P1009"/>
        </row>
        <row r="1010">
          <cell r="A1010"/>
          <cell r="B1010" t="str">
            <v>BLACK MTN ABC BOARD</v>
          </cell>
          <cell r="C1010">
            <v>91154</v>
          </cell>
          <cell r="H1010"/>
          <cell r="K1010"/>
          <cell r="P1010"/>
        </row>
        <row r="1011">
          <cell r="A1011"/>
          <cell r="B1011" t="str">
            <v>BLADEN COUNTY</v>
          </cell>
          <cell r="C1011">
            <v>90901</v>
          </cell>
          <cell r="H1011"/>
          <cell r="K1011"/>
          <cell r="P1011"/>
        </row>
        <row r="1012">
          <cell r="A1012"/>
          <cell r="B1012" t="str">
            <v>BLADENBORO</v>
          </cell>
          <cell r="C1012">
            <v>90941</v>
          </cell>
          <cell r="H1012"/>
          <cell r="K1012"/>
          <cell r="P1012"/>
        </row>
        <row r="1013">
          <cell r="A1013"/>
          <cell r="B1013" t="str">
            <v>BLOWING ROCK</v>
          </cell>
          <cell r="C1013">
            <v>99521</v>
          </cell>
          <cell r="H1013"/>
          <cell r="K1013"/>
          <cell r="P1013"/>
        </row>
        <row r="1014">
          <cell r="A1014"/>
          <cell r="B1014" t="str">
            <v>BLOWING ROCK ABC BD</v>
          </cell>
          <cell r="C1014">
            <v>99527</v>
          </cell>
          <cell r="H1014"/>
          <cell r="K1014"/>
          <cell r="P1014"/>
        </row>
        <row r="1015">
          <cell r="A1015"/>
          <cell r="B1015" t="str">
            <v>BLOWING ROCK TOURISM DEVELOPMENT AUTHORITY</v>
          </cell>
          <cell r="C1015">
            <v>99508</v>
          </cell>
          <cell r="H1015"/>
          <cell r="K1015"/>
          <cell r="P1015"/>
        </row>
        <row r="1016">
          <cell r="A1016"/>
          <cell r="B1016" t="str">
            <v>BLUE RIDGE FIRE DEPARTMENT</v>
          </cell>
          <cell r="C1016">
            <v>94532</v>
          </cell>
          <cell r="H1016"/>
          <cell r="K1016"/>
          <cell r="P1016"/>
        </row>
        <row r="1017">
          <cell r="A1017"/>
          <cell r="B1017" t="str">
            <v>BOILING SPRING LAKES</v>
          </cell>
          <cell r="C1017">
            <v>91071</v>
          </cell>
          <cell r="H1017"/>
          <cell r="K1017"/>
          <cell r="P1017"/>
        </row>
        <row r="1018">
          <cell r="A1018"/>
          <cell r="B1018" t="str">
            <v>BOILING SPRING LAKES ABC BOARD</v>
          </cell>
          <cell r="C1018">
            <v>91077</v>
          </cell>
          <cell r="H1018"/>
          <cell r="K1018"/>
          <cell r="P1018"/>
        </row>
        <row r="1019">
          <cell r="A1019"/>
          <cell r="B1019" t="str">
            <v>BOILING SPRINGS</v>
          </cell>
          <cell r="C1019">
            <v>92331</v>
          </cell>
          <cell r="H1019"/>
          <cell r="K1019"/>
          <cell r="P1019"/>
        </row>
        <row r="1020">
          <cell r="A1020"/>
          <cell r="B1020" t="str">
            <v>BOLTON</v>
          </cell>
          <cell r="C1020">
            <v>92414</v>
          </cell>
          <cell r="H1020"/>
          <cell r="K1020"/>
          <cell r="P1020"/>
        </row>
        <row r="1021">
          <cell r="A1021"/>
          <cell r="B1021" t="str">
            <v>BOONE</v>
          </cell>
          <cell r="C1021">
            <v>99511</v>
          </cell>
          <cell r="H1021"/>
          <cell r="K1021"/>
          <cell r="P1021"/>
        </row>
        <row r="1022">
          <cell r="A1022"/>
          <cell r="B1022" t="str">
            <v>BOONVILLE</v>
          </cell>
          <cell r="C1022">
            <v>99941</v>
          </cell>
          <cell r="H1022"/>
          <cell r="K1022"/>
          <cell r="P1022"/>
        </row>
        <row r="1023">
          <cell r="A1023"/>
          <cell r="B1023" t="str">
            <v>BRASWELL MEMORIAL LIBRARY</v>
          </cell>
          <cell r="C1023">
            <v>96405</v>
          </cell>
          <cell r="H1023"/>
          <cell r="K1023"/>
          <cell r="P1023"/>
        </row>
        <row r="1024">
          <cell r="A1024"/>
          <cell r="B1024" t="str">
            <v>BREVARD</v>
          </cell>
          <cell r="C1024">
            <v>98811</v>
          </cell>
          <cell r="H1024"/>
          <cell r="K1024"/>
          <cell r="P1024"/>
        </row>
        <row r="1025">
          <cell r="A1025"/>
          <cell r="B1025" t="str">
            <v>BREVARD ABC BOARD</v>
          </cell>
          <cell r="C1025">
            <v>98817</v>
          </cell>
          <cell r="H1025"/>
          <cell r="K1025"/>
          <cell r="P1025"/>
        </row>
        <row r="1026">
          <cell r="A1026"/>
          <cell r="B1026" t="str">
            <v>BRIDGETON</v>
          </cell>
          <cell r="C1026">
            <v>92561</v>
          </cell>
          <cell r="H1026"/>
          <cell r="K1026"/>
          <cell r="P1026"/>
        </row>
        <row r="1027">
          <cell r="A1027"/>
          <cell r="B1027" t="str">
            <v>BROAD RIVER WATER AUTHORITY</v>
          </cell>
          <cell r="C1027">
            <v>98102</v>
          </cell>
          <cell r="H1027"/>
          <cell r="K1027"/>
          <cell r="P1027"/>
        </row>
        <row r="1028">
          <cell r="A1028"/>
          <cell r="B1028" t="str">
            <v>BROADWAY</v>
          </cell>
          <cell r="C1028">
            <v>95321</v>
          </cell>
          <cell r="H1028"/>
          <cell r="K1028"/>
          <cell r="P1028"/>
        </row>
        <row r="1029">
          <cell r="A1029"/>
          <cell r="B1029" t="str">
            <v>BROOKFORD</v>
          </cell>
          <cell r="C1029">
            <v>91861</v>
          </cell>
          <cell r="H1029"/>
          <cell r="K1029"/>
          <cell r="P1029"/>
        </row>
        <row r="1030">
          <cell r="A1030"/>
          <cell r="B1030" t="str">
            <v>BRUNSWICK</v>
          </cell>
          <cell r="C1030">
            <v>92421</v>
          </cell>
          <cell r="H1030"/>
          <cell r="K1030"/>
          <cell r="P1030"/>
        </row>
        <row r="1031">
          <cell r="A1031"/>
          <cell r="B1031" t="str">
            <v>BRUNSWICK COUNTY</v>
          </cell>
          <cell r="C1031">
            <v>91001</v>
          </cell>
          <cell r="H1031"/>
          <cell r="K1031"/>
          <cell r="P1031"/>
        </row>
        <row r="1032">
          <cell r="A1032"/>
          <cell r="B1032" t="str">
            <v>BRUNSWICK COUNTY ABC BOARD</v>
          </cell>
          <cell r="C1032">
            <v>91004</v>
          </cell>
          <cell r="H1032"/>
          <cell r="K1032"/>
          <cell r="P1032"/>
        </row>
        <row r="1033">
          <cell r="A1033"/>
          <cell r="B1033" t="str">
            <v>BRUNSWICK COUNTY DEPT OF SOCIAL SERVICES</v>
          </cell>
          <cell r="C1033">
            <v>91006</v>
          </cell>
          <cell r="H1033"/>
          <cell r="K1033"/>
          <cell r="P1033"/>
        </row>
        <row r="1034">
          <cell r="A1034"/>
          <cell r="B1034" t="str">
            <v>BRUNSWICK COUNTY HEALTH DEPT</v>
          </cell>
          <cell r="C1034">
            <v>91003</v>
          </cell>
          <cell r="H1034"/>
          <cell r="K1034"/>
          <cell r="P1034"/>
        </row>
        <row r="1035">
          <cell r="A1035"/>
          <cell r="B1035" t="str">
            <v>BRUNSWICK COUNTY TOURISM AUTHORITY</v>
          </cell>
          <cell r="C1035">
            <v>91009</v>
          </cell>
          <cell r="H1035"/>
          <cell r="K1035"/>
          <cell r="P1035"/>
        </row>
        <row r="1036">
          <cell r="A1036"/>
          <cell r="B1036" t="str">
            <v>BRUNSWICK REGIONAL WATER AND SEWER H2GO</v>
          </cell>
          <cell r="C1036">
            <v>91042</v>
          </cell>
          <cell r="H1036"/>
          <cell r="K1036"/>
          <cell r="P1036"/>
        </row>
        <row r="1037">
          <cell r="A1037"/>
          <cell r="B1037" t="str">
            <v>BRYSON CITY</v>
          </cell>
          <cell r="C1037">
            <v>98711</v>
          </cell>
          <cell r="H1037"/>
          <cell r="K1037"/>
          <cell r="P1037"/>
        </row>
        <row r="1038">
          <cell r="A1038"/>
          <cell r="B1038" t="str">
            <v>BRYSON CITY ABC BOARD</v>
          </cell>
          <cell r="C1038">
            <v>98717</v>
          </cell>
          <cell r="H1038"/>
          <cell r="K1038"/>
          <cell r="P1038"/>
        </row>
        <row r="1039">
          <cell r="A1039"/>
          <cell r="B1039" t="str">
            <v>BUNCOMBE COUNTY</v>
          </cell>
          <cell r="C1039">
            <v>91101</v>
          </cell>
          <cell r="H1039"/>
          <cell r="K1039"/>
          <cell r="P1039"/>
        </row>
        <row r="1040">
          <cell r="A1040"/>
          <cell r="B1040" t="str">
            <v>BUNN</v>
          </cell>
          <cell r="C1040">
            <v>93531</v>
          </cell>
          <cell r="H1040"/>
          <cell r="K1040"/>
          <cell r="P1040"/>
        </row>
        <row r="1041">
          <cell r="A1041"/>
          <cell r="B1041" t="str">
            <v>BUNN ABC BOARD</v>
          </cell>
          <cell r="C1041">
            <v>93537</v>
          </cell>
          <cell r="H1041"/>
          <cell r="K1041"/>
          <cell r="P1041"/>
        </row>
        <row r="1042">
          <cell r="A1042"/>
          <cell r="B1042" t="str">
            <v>BURGAW</v>
          </cell>
          <cell r="C1042">
            <v>97111</v>
          </cell>
          <cell r="H1042"/>
          <cell r="K1042"/>
          <cell r="P1042"/>
        </row>
        <row r="1043">
          <cell r="A1043"/>
          <cell r="B1043" t="str">
            <v>BURKE COUNTY</v>
          </cell>
          <cell r="C1043">
            <v>91201</v>
          </cell>
          <cell r="H1043"/>
          <cell r="K1043"/>
          <cell r="P1043"/>
        </row>
        <row r="1044">
          <cell r="A1044"/>
          <cell r="B1044" t="str">
            <v>BURKE COUNTY DEPT OF SOCIAL SERVICES</v>
          </cell>
          <cell r="C1044">
            <v>91206</v>
          </cell>
          <cell r="H1044"/>
          <cell r="K1044"/>
          <cell r="P1044"/>
        </row>
        <row r="1045">
          <cell r="A1045"/>
          <cell r="B1045" t="str">
            <v>BURKE COUNTY HEALTH DEPT</v>
          </cell>
          <cell r="C1045">
            <v>91203</v>
          </cell>
          <cell r="H1045"/>
          <cell r="K1045"/>
          <cell r="P1045"/>
        </row>
        <row r="1046">
          <cell r="A1046"/>
          <cell r="B1046" t="str">
            <v>BURKE COUNTY TOURISM DEV. AUTHORITY</v>
          </cell>
          <cell r="C1046">
            <v>91208</v>
          </cell>
          <cell r="H1046"/>
          <cell r="K1046"/>
          <cell r="P1046"/>
        </row>
        <row r="1047">
          <cell r="A1047"/>
          <cell r="B1047" t="str">
            <v>BURKE-CATAWBA DIST CONFINEMENT</v>
          </cell>
          <cell r="C1047">
            <v>91202</v>
          </cell>
          <cell r="H1047"/>
          <cell r="K1047"/>
          <cell r="P1047"/>
        </row>
        <row r="1048">
          <cell r="A1048"/>
          <cell r="B1048" t="str">
            <v>BURLINGTON</v>
          </cell>
          <cell r="C1048">
            <v>90111</v>
          </cell>
          <cell r="H1048"/>
          <cell r="K1048"/>
          <cell r="P1048"/>
        </row>
        <row r="1049">
          <cell r="A1049"/>
          <cell r="B1049" t="str">
            <v>BURNSVILLE</v>
          </cell>
          <cell r="C1049">
            <v>90011</v>
          </cell>
          <cell r="H1049"/>
          <cell r="K1049"/>
          <cell r="P1049"/>
        </row>
        <row r="1050">
          <cell r="A1050"/>
          <cell r="B1050" t="str">
            <v>BUTNER</v>
          </cell>
          <cell r="C1050">
            <v>93931</v>
          </cell>
          <cell r="H1050"/>
          <cell r="K1050"/>
          <cell r="P1050"/>
        </row>
        <row r="1051">
          <cell r="A1051"/>
          <cell r="B1051" t="str">
            <v>CABARRUS COUNTY</v>
          </cell>
          <cell r="C1051">
            <v>91301</v>
          </cell>
          <cell r="H1051"/>
          <cell r="K1051"/>
          <cell r="P1051"/>
        </row>
        <row r="1052">
          <cell r="A1052"/>
          <cell r="B1052" t="str">
            <v>CABARRUS COUNTY PUBLIC HEALTH AUTHORITY</v>
          </cell>
          <cell r="C1052">
            <v>91306</v>
          </cell>
          <cell r="H1052"/>
          <cell r="K1052"/>
          <cell r="P1052"/>
        </row>
        <row r="1053">
          <cell r="A1053"/>
          <cell r="B1053" t="str">
            <v>CABARRUS COUNTY TOURISM AUTHORITY</v>
          </cell>
          <cell r="C1053">
            <v>91308</v>
          </cell>
          <cell r="H1053"/>
          <cell r="K1053"/>
          <cell r="P1053"/>
        </row>
        <row r="1054">
          <cell r="A1054"/>
          <cell r="B1054" t="str">
            <v>CAJAH'S MOUNTAIN</v>
          </cell>
          <cell r="C1054">
            <v>91461</v>
          </cell>
          <cell r="H1054"/>
          <cell r="K1054"/>
          <cell r="P1054"/>
        </row>
        <row r="1055">
          <cell r="A1055"/>
          <cell r="B1055" t="str">
            <v>CALABASH</v>
          </cell>
          <cell r="C1055">
            <v>91010</v>
          </cell>
          <cell r="H1055"/>
          <cell r="K1055"/>
          <cell r="P1055"/>
        </row>
        <row r="1056">
          <cell r="A1056"/>
          <cell r="B1056" t="str">
            <v>CALABASH ABC BOARD</v>
          </cell>
          <cell r="C1056">
            <v>91007</v>
          </cell>
          <cell r="H1056"/>
          <cell r="K1056"/>
          <cell r="P1056"/>
        </row>
        <row r="1057">
          <cell r="A1057"/>
          <cell r="B1057" t="str">
            <v>CALDWELL COUNTY</v>
          </cell>
          <cell r="C1057">
            <v>91401</v>
          </cell>
          <cell r="H1057"/>
          <cell r="K1057"/>
          <cell r="P1057"/>
        </row>
        <row r="1058">
          <cell r="A1058"/>
          <cell r="B1058" t="str">
            <v>CALYPSO</v>
          </cell>
          <cell r="C1058">
            <v>93171</v>
          </cell>
          <cell r="H1058"/>
          <cell r="K1058"/>
          <cell r="P1058"/>
        </row>
        <row r="1059">
          <cell r="A1059"/>
          <cell r="B1059" t="str">
            <v>CAMDEN COUNTY</v>
          </cell>
          <cell r="C1059">
            <v>91501</v>
          </cell>
          <cell r="H1059"/>
          <cell r="K1059"/>
          <cell r="P1059"/>
        </row>
        <row r="1060">
          <cell r="A1060"/>
          <cell r="B1060" t="str">
            <v>CAMDEN COUNTY ABC BOARD</v>
          </cell>
          <cell r="C1060">
            <v>91504</v>
          </cell>
          <cell r="H1060"/>
          <cell r="K1060"/>
          <cell r="P1060"/>
        </row>
        <row r="1061">
          <cell r="A1061"/>
          <cell r="B1061" t="str">
            <v>CAMERON</v>
          </cell>
          <cell r="C1061">
            <v>96312</v>
          </cell>
          <cell r="H1061"/>
          <cell r="K1061"/>
          <cell r="P1061"/>
        </row>
        <row r="1062">
          <cell r="A1062"/>
          <cell r="B1062" t="str">
            <v>CANDOR</v>
          </cell>
          <cell r="C1062">
            <v>96241</v>
          </cell>
          <cell r="H1062"/>
          <cell r="K1062"/>
          <cell r="P1062"/>
        </row>
        <row r="1063">
          <cell r="A1063"/>
          <cell r="B1063" t="str">
            <v>CANTON</v>
          </cell>
          <cell r="C1063">
            <v>94431</v>
          </cell>
          <cell r="H1063"/>
          <cell r="K1063"/>
          <cell r="P1063"/>
        </row>
        <row r="1064">
          <cell r="A1064"/>
          <cell r="B1064" t="str">
            <v>CANTON ABC BOARD</v>
          </cell>
          <cell r="C1064">
            <v>94437</v>
          </cell>
          <cell r="H1064"/>
          <cell r="K1064"/>
          <cell r="P1064"/>
        </row>
        <row r="1065">
          <cell r="A1065"/>
          <cell r="B1065" t="str">
            <v>CAPE CARTERET</v>
          </cell>
          <cell r="C1065">
            <v>91671</v>
          </cell>
          <cell r="H1065"/>
          <cell r="K1065"/>
          <cell r="P1065"/>
        </row>
        <row r="1066">
          <cell r="A1066"/>
          <cell r="B1066" t="str">
            <v>CAPE FEAR COUNCIL OF GOVERNMENTS</v>
          </cell>
          <cell r="C1066">
            <v>91008</v>
          </cell>
          <cell r="H1066"/>
          <cell r="K1066"/>
          <cell r="P1066"/>
        </row>
        <row r="1067">
          <cell r="A1067"/>
          <cell r="B1067" t="str">
            <v>CAPE FEAR PUBLIC TRANSPORTATION AUTHORITY</v>
          </cell>
          <cell r="C1067">
            <v>96512</v>
          </cell>
          <cell r="H1067"/>
          <cell r="K1067"/>
          <cell r="P1067"/>
        </row>
        <row r="1068">
          <cell r="A1068"/>
          <cell r="B1068" t="str">
            <v>CAPE FEAR PUBLIC UTILITY AUTHORITY</v>
          </cell>
          <cell r="C1068">
            <v>96507</v>
          </cell>
          <cell r="H1068"/>
          <cell r="K1068"/>
          <cell r="P1068"/>
        </row>
        <row r="1069">
          <cell r="A1069"/>
          <cell r="B1069" t="str">
            <v>CAPE FEAR REGIONAL JETPORT</v>
          </cell>
          <cell r="C1069">
            <v>91015</v>
          </cell>
          <cell r="H1069"/>
          <cell r="K1069"/>
          <cell r="P1069"/>
        </row>
        <row r="1070">
          <cell r="A1070"/>
          <cell r="B1070" t="str">
            <v>CAROLINA BEACH</v>
          </cell>
          <cell r="C1070">
            <v>96521</v>
          </cell>
          <cell r="H1070"/>
          <cell r="K1070"/>
          <cell r="P1070"/>
        </row>
        <row r="1071">
          <cell r="A1071"/>
          <cell r="B1071" t="str">
            <v>CAROLINA COUNTY</v>
          </cell>
          <cell r="C1071" t="str">
            <v>9XXXY</v>
          </cell>
          <cell r="H1071"/>
          <cell r="K1071"/>
          <cell r="P1071"/>
        </row>
        <row r="1072">
          <cell r="A1072"/>
          <cell r="B1072" t="str">
            <v>CAROLINA SHORES</v>
          </cell>
          <cell r="C1072">
            <v>91024</v>
          </cell>
          <cell r="H1072"/>
          <cell r="K1072"/>
          <cell r="P1072"/>
        </row>
        <row r="1073">
          <cell r="A1073"/>
          <cell r="B1073" t="str">
            <v>CARRBORO</v>
          </cell>
          <cell r="C1073">
            <v>96821</v>
          </cell>
          <cell r="H1073"/>
          <cell r="K1073"/>
          <cell r="P1073"/>
        </row>
        <row r="1074">
          <cell r="A1074"/>
          <cell r="B1074" t="str">
            <v>CARTERET COUNTY</v>
          </cell>
          <cell r="C1074">
            <v>91601</v>
          </cell>
          <cell r="H1074"/>
          <cell r="K1074"/>
          <cell r="P1074"/>
        </row>
        <row r="1075">
          <cell r="A1075"/>
          <cell r="B1075" t="str">
            <v>CARTERET COUNTY ABC BOARD</v>
          </cell>
          <cell r="C1075">
            <v>91604</v>
          </cell>
          <cell r="H1075"/>
          <cell r="K1075"/>
          <cell r="P1075"/>
        </row>
        <row r="1076">
          <cell r="A1076"/>
          <cell r="B1076" t="str">
            <v>CARTHAGE</v>
          </cell>
          <cell r="C1076">
            <v>96391</v>
          </cell>
          <cell r="H1076"/>
          <cell r="K1076"/>
          <cell r="P1076"/>
        </row>
        <row r="1077">
          <cell r="A1077"/>
          <cell r="B1077" t="str">
            <v>CARY</v>
          </cell>
          <cell r="C1077">
            <v>99221</v>
          </cell>
          <cell r="H1077"/>
          <cell r="K1077"/>
          <cell r="P1077"/>
        </row>
        <row r="1078">
          <cell r="A1078"/>
          <cell r="B1078" t="str">
            <v>CASWELL BEACH</v>
          </cell>
          <cell r="C1078">
            <v>91051</v>
          </cell>
          <cell r="H1078"/>
          <cell r="K1078"/>
          <cell r="P1078"/>
        </row>
        <row r="1079">
          <cell r="A1079"/>
          <cell r="B1079" t="str">
            <v>CASWELL COUNTY</v>
          </cell>
          <cell r="C1079">
            <v>91701</v>
          </cell>
          <cell r="H1079"/>
          <cell r="K1079"/>
          <cell r="P1079"/>
        </row>
        <row r="1080">
          <cell r="A1080"/>
          <cell r="B1080" t="str">
            <v>CASWELL COUNTY ABC BOARD</v>
          </cell>
          <cell r="C1080">
            <v>91704</v>
          </cell>
          <cell r="H1080"/>
          <cell r="K1080"/>
          <cell r="P1080"/>
        </row>
        <row r="1081">
          <cell r="A1081"/>
          <cell r="B1081" t="str">
            <v>CASWELL COUNTY DEPT OF SOCIAL SERVICES</v>
          </cell>
          <cell r="C1081">
            <v>91706</v>
          </cell>
          <cell r="H1081"/>
          <cell r="K1081"/>
          <cell r="P1081"/>
        </row>
        <row r="1082">
          <cell r="A1082"/>
          <cell r="B1082" t="str">
            <v>CATAWBA</v>
          </cell>
          <cell r="C1082">
            <v>91881</v>
          </cell>
          <cell r="H1082"/>
          <cell r="K1082"/>
          <cell r="P1082"/>
        </row>
        <row r="1083">
          <cell r="A1083"/>
          <cell r="B1083" t="str">
            <v>CATAWBA COUNTY</v>
          </cell>
          <cell r="C1083">
            <v>91801</v>
          </cell>
          <cell r="H1083"/>
          <cell r="K1083"/>
          <cell r="P1083"/>
        </row>
        <row r="1084">
          <cell r="A1084"/>
          <cell r="B1084" t="str">
            <v>CATAWBA COUNTY ABC BOARD</v>
          </cell>
          <cell r="C1084">
            <v>91804</v>
          </cell>
          <cell r="H1084"/>
          <cell r="K1084"/>
          <cell r="P1084"/>
        </row>
        <row r="1085">
          <cell r="A1085"/>
          <cell r="B1085" t="str">
            <v>CEDAR POINT</v>
          </cell>
          <cell r="C1085">
            <v>91691</v>
          </cell>
          <cell r="H1085"/>
          <cell r="K1085"/>
          <cell r="P1085"/>
        </row>
        <row r="1086">
          <cell r="A1086"/>
          <cell r="B1086" t="str">
            <v>CENTENNIAL AUTHORITY</v>
          </cell>
          <cell r="C1086">
            <v>99222</v>
          </cell>
          <cell r="H1086"/>
          <cell r="K1086"/>
          <cell r="P1086"/>
        </row>
        <row r="1087">
          <cell r="A1087"/>
          <cell r="B1087" t="str">
            <v>CENTERPOINT HUMAN SERVICES</v>
          </cell>
          <cell r="C1087">
            <v>93408</v>
          </cell>
          <cell r="H1087"/>
          <cell r="K1087"/>
          <cell r="P1087"/>
        </row>
        <row r="1088">
          <cell r="A1088"/>
          <cell r="B1088" t="str">
            <v>CENTRALINA COUNCIL OF GOVERNMENTS</v>
          </cell>
          <cell r="C1088">
            <v>96009</v>
          </cell>
          <cell r="H1088"/>
          <cell r="K1088"/>
          <cell r="P1088"/>
        </row>
        <row r="1089">
          <cell r="A1089"/>
          <cell r="B1089" t="str">
            <v>CHADBOURN</v>
          </cell>
          <cell r="C1089">
            <v>92441</v>
          </cell>
          <cell r="H1089"/>
          <cell r="K1089"/>
          <cell r="P1089"/>
        </row>
        <row r="1090">
          <cell r="A1090"/>
          <cell r="B1090" t="str">
            <v>CHAPEL HILL</v>
          </cell>
          <cell r="C1090">
            <v>96811</v>
          </cell>
          <cell r="H1090"/>
          <cell r="K1090"/>
          <cell r="P1090"/>
        </row>
        <row r="1091">
          <cell r="A1091"/>
          <cell r="B1091" t="str">
            <v>CHARLOTTE</v>
          </cell>
          <cell r="C1091">
            <v>96011</v>
          </cell>
          <cell r="H1091"/>
          <cell r="K1091"/>
          <cell r="P1091"/>
        </row>
        <row r="1092">
          <cell r="A1092"/>
          <cell r="B1092" t="str">
            <v>CHARLOTTE FIREMEN'S RET SYS</v>
          </cell>
          <cell r="C1092">
            <v>96018</v>
          </cell>
          <cell r="H1092"/>
          <cell r="K1092"/>
          <cell r="P1092"/>
        </row>
        <row r="1093">
          <cell r="A1093"/>
          <cell r="B1093" t="str">
            <v>CHARLOTTE HOUSING AUTHORITY</v>
          </cell>
          <cell r="C1093">
            <v>96003</v>
          </cell>
          <cell r="H1093"/>
          <cell r="K1093"/>
          <cell r="P1093"/>
        </row>
        <row r="1094">
          <cell r="A1094"/>
          <cell r="B1094" t="str">
            <v>CHARLOTTE MECKLENBURG PUBLIC LIBRARY</v>
          </cell>
          <cell r="C1094">
            <v>96005</v>
          </cell>
          <cell r="H1094"/>
          <cell r="K1094"/>
          <cell r="P1094"/>
        </row>
        <row r="1095">
          <cell r="A1095"/>
          <cell r="B1095" t="str">
            <v>CHARLOTTE REGIONAL VISITORS AUTHORITY</v>
          </cell>
          <cell r="C1095">
            <v>96012</v>
          </cell>
          <cell r="H1095"/>
          <cell r="K1095"/>
          <cell r="P1095"/>
        </row>
        <row r="1096">
          <cell r="A1096"/>
          <cell r="B1096" t="str">
            <v>CHATHAM COUNTY</v>
          </cell>
          <cell r="C1096">
            <v>91901</v>
          </cell>
          <cell r="H1096"/>
          <cell r="K1096"/>
          <cell r="P1096"/>
        </row>
        <row r="1097">
          <cell r="A1097"/>
          <cell r="B1097" t="str">
            <v>CHATHAM COUNTY ABC BOARD</v>
          </cell>
          <cell r="C1097">
            <v>91904</v>
          </cell>
          <cell r="H1097"/>
          <cell r="K1097"/>
          <cell r="P1097"/>
        </row>
        <row r="1098">
          <cell r="A1098"/>
          <cell r="B1098" t="str">
            <v>CHATHAM COUNTY HOUSING AUTHORITY</v>
          </cell>
          <cell r="C1098">
            <v>91903</v>
          </cell>
          <cell r="H1098"/>
          <cell r="K1098"/>
          <cell r="P1098"/>
        </row>
        <row r="1099">
          <cell r="A1099"/>
          <cell r="B1099" t="str">
            <v>CHEROKEE COUNTY</v>
          </cell>
          <cell r="C1099">
            <v>92001</v>
          </cell>
          <cell r="H1099"/>
          <cell r="K1099"/>
          <cell r="P1099"/>
        </row>
        <row r="1100">
          <cell r="A1100"/>
          <cell r="B1100" t="str">
            <v>CHERRYVILLE</v>
          </cell>
          <cell r="C1100">
            <v>93641</v>
          </cell>
          <cell r="H1100"/>
          <cell r="K1100"/>
          <cell r="P1100"/>
        </row>
        <row r="1101">
          <cell r="A1101"/>
          <cell r="B1101" t="str">
            <v>CHERRYVILLE ABC BOARD</v>
          </cell>
          <cell r="C1101">
            <v>93647</v>
          </cell>
          <cell r="H1101"/>
          <cell r="K1101"/>
          <cell r="P1101"/>
        </row>
        <row r="1102">
          <cell r="A1102"/>
          <cell r="B1102" t="str">
            <v>CHINA GROVE</v>
          </cell>
          <cell r="C1102">
            <v>98041</v>
          </cell>
          <cell r="H1102"/>
          <cell r="K1102"/>
          <cell r="P1102"/>
        </row>
        <row r="1103">
          <cell r="A1103"/>
          <cell r="B1103" t="str">
            <v>CHOANOKE PUBLIC TRANSPORTATION AUTHORITY</v>
          </cell>
          <cell r="C1103">
            <v>96612</v>
          </cell>
          <cell r="H1103"/>
          <cell r="K1103"/>
          <cell r="P1103"/>
        </row>
        <row r="1104">
          <cell r="A1104"/>
          <cell r="B1104" t="str">
            <v>CHOCOWINITY</v>
          </cell>
          <cell r="C1104">
            <v>90751</v>
          </cell>
          <cell r="H1104"/>
          <cell r="K1104"/>
          <cell r="P1104"/>
        </row>
        <row r="1105">
          <cell r="A1105"/>
          <cell r="B1105" t="str">
            <v>CHOWAN COUNTY</v>
          </cell>
          <cell r="C1105">
            <v>92101</v>
          </cell>
          <cell r="H1105"/>
          <cell r="K1105"/>
          <cell r="P1105"/>
        </row>
        <row r="1106">
          <cell r="A1106"/>
          <cell r="B1106" t="str">
            <v>CHOWAN COUNTY ABC BOARD</v>
          </cell>
          <cell r="C1106">
            <v>92104</v>
          </cell>
          <cell r="H1106"/>
          <cell r="K1106"/>
          <cell r="P1106"/>
        </row>
        <row r="1107">
          <cell r="A1107"/>
          <cell r="B1107" t="str">
            <v>CLAREMONT</v>
          </cell>
          <cell r="C1107">
            <v>91821</v>
          </cell>
          <cell r="H1107"/>
          <cell r="K1107"/>
          <cell r="P1107"/>
        </row>
        <row r="1108">
          <cell r="A1108"/>
          <cell r="B1108" t="str">
            <v>CLARKTON</v>
          </cell>
          <cell r="C1108">
            <v>90931</v>
          </cell>
          <cell r="H1108"/>
          <cell r="K1108"/>
          <cell r="P1108"/>
        </row>
        <row r="1109">
          <cell r="A1109"/>
          <cell r="B1109" t="str">
            <v>CLAY COUNTY</v>
          </cell>
          <cell r="C1109">
            <v>92201</v>
          </cell>
          <cell r="H1109"/>
          <cell r="K1109"/>
          <cell r="P1109"/>
        </row>
        <row r="1110">
          <cell r="A1110"/>
          <cell r="B1110" t="str">
            <v>CLAY COUNTY ABC BOARD</v>
          </cell>
          <cell r="C1110">
            <v>92214</v>
          </cell>
          <cell r="H1110"/>
          <cell r="K1110"/>
          <cell r="P1110"/>
        </row>
        <row r="1111">
          <cell r="A1111"/>
          <cell r="B1111" t="str">
            <v>CLAYTON</v>
          </cell>
          <cell r="C1111">
            <v>95131</v>
          </cell>
          <cell r="H1111"/>
          <cell r="K1111"/>
          <cell r="P1111"/>
        </row>
        <row r="1112">
          <cell r="A1112"/>
          <cell r="B1112" t="str">
            <v>CLEMMONS</v>
          </cell>
          <cell r="C1112">
            <v>93441</v>
          </cell>
          <cell r="H1112"/>
          <cell r="K1112"/>
          <cell r="P1112"/>
        </row>
        <row r="1113">
          <cell r="A1113"/>
          <cell r="B1113" t="str">
            <v>CLEMMONS FIRE DEPARTMENT</v>
          </cell>
          <cell r="C1113">
            <v>93442</v>
          </cell>
          <cell r="H1113"/>
          <cell r="K1113"/>
          <cell r="P1113"/>
        </row>
        <row r="1114">
          <cell r="A1114"/>
          <cell r="B1114" t="str">
            <v>CLEVELAND</v>
          </cell>
          <cell r="C1114">
            <v>98091</v>
          </cell>
          <cell r="H1114"/>
          <cell r="K1114"/>
          <cell r="P1114"/>
        </row>
        <row r="1115">
          <cell r="A1115"/>
          <cell r="B1115" t="str">
            <v>CLEVELAND COUNTY</v>
          </cell>
          <cell r="C1115">
            <v>92301</v>
          </cell>
          <cell r="H1115"/>
          <cell r="K1115"/>
          <cell r="P1115"/>
        </row>
        <row r="1116">
          <cell r="A1116"/>
          <cell r="B1116" t="str">
            <v>CLEVELAND COUNTY WATER</v>
          </cell>
          <cell r="C1116">
            <v>92302</v>
          </cell>
          <cell r="H1116"/>
          <cell r="K1116"/>
          <cell r="P1116"/>
        </row>
        <row r="1117">
          <cell r="A1117"/>
          <cell r="B1117" t="str">
            <v>CLINTON</v>
          </cell>
          <cell r="C1117">
            <v>98211</v>
          </cell>
          <cell r="H1117"/>
          <cell r="K1117"/>
          <cell r="P1117"/>
        </row>
        <row r="1118">
          <cell r="A1118"/>
          <cell r="B1118" t="str">
            <v>CLINTON ABC BOARD</v>
          </cell>
          <cell r="C1118">
            <v>98218</v>
          </cell>
          <cell r="H1118"/>
          <cell r="K1118"/>
          <cell r="P1118"/>
        </row>
        <row r="1119">
          <cell r="A1119"/>
          <cell r="B1119" t="str">
            <v>COASTAL CAROLINA REGIONAL AIRPORT</v>
          </cell>
          <cell r="C1119">
            <v>92506</v>
          </cell>
          <cell r="H1119"/>
          <cell r="K1119"/>
          <cell r="P1119"/>
        </row>
        <row r="1120">
          <cell r="A1120"/>
          <cell r="B1120" t="str">
            <v>COASTAL REGIONAL SOLID WASTE MNGT AUTHORITY</v>
          </cell>
          <cell r="C1120">
            <v>92508</v>
          </cell>
          <cell r="H1120"/>
          <cell r="K1120"/>
          <cell r="P1120"/>
        </row>
        <row r="1121">
          <cell r="A1121"/>
          <cell r="B1121" t="str">
            <v>COASTALCARE</v>
          </cell>
          <cell r="C1121">
            <v>96519</v>
          </cell>
          <cell r="H1121"/>
          <cell r="K1121"/>
          <cell r="P1121"/>
        </row>
        <row r="1122">
          <cell r="A1122"/>
          <cell r="B1122" t="str">
            <v>COATS</v>
          </cell>
          <cell r="C1122">
            <v>94341</v>
          </cell>
          <cell r="H1122"/>
          <cell r="K1122"/>
          <cell r="P1122"/>
        </row>
        <row r="1123">
          <cell r="A1123"/>
          <cell r="B1123" t="str">
            <v>COFIELD</v>
          </cell>
          <cell r="C1123">
            <v>94641</v>
          </cell>
          <cell r="H1123"/>
          <cell r="K1123"/>
          <cell r="P1123"/>
        </row>
        <row r="1124">
          <cell r="A1124"/>
          <cell r="B1124" t="str">
            <v>COLERAIN</v>
          </cell>
          <cell r="C1124">
            <v>90813</v>
          </cell>
          <cell r="H1124"/>
          <cell r="K1124"/>
          <cell r="P1124"/>
        </row>
        <row r="1125">
          <cell r="A1125"/>
          <cell r="B1125" t="str">
            <v>COLFAX VOLUNTEER FIRE DEPARTMENT</v>
          </cell>
          <cell r="C1125">
            <v>94168</v>
          </cell>
          <cell r="H1125"/>
          <cell r="K1125"/>
          <cell r="P1125"/>
        </row>
        <row r="1126">
          <cell r="A1126"/>
          <cell r="B1126" t="str">
            <v>COLUMBIA</v>
          </cell>
          <cell r="C1126">
            <v>98911</v>
          </cell>
          <cell r="H1126"/>
          <cell r="K1126"/>
          <cell r="P1126"/>
        </row>
        <row r="1127">
          <cell r="A1127"/>
          <cell r="B1127" t="str">
            <v>COLUMBUS</v>
          </cell>
          <cell r="C1127">
            <v>97521</v>
          </cell>
          <cell r="H1127"/>
          <cell r="K1127"/>
          <cell r="P1127"/>
        </row>
        <row r="1128">
          <cell r="A1128"/>
          <cell r="B1128" t="str">
            <v>COLUMBUS ABC BOARD</v>
          </cell>
          <cell r="C1128">
            <v>97527</v>
          </cell>
          <cell r="H1128"/>
          <cell r="K1128"/>
          <cell r="P1128"/>
        </row>
        <row r="1129">
          <cell r="A1129"/>
          <cell r="B1129" t="str">
            <v>COLUMBUS COUNTY</v>
          </cell>
          <cell r="C1129">
            <v>92401</v>
          </cell>
          <cell r="H1129"/>
          <cell r="K1129"/>
          <cell r="P1129"/>
        </row>
        <row r="1130">
          <cell r="A1130"/>
          <cell r="B1130" t="str">
            <v>CONCORD</v>
          </cell>
          <cell r="C1130">
            <v>91311</v>
          </cell>
          <cell r="H1130"/>
          <cell r="K1130"/>
          <cell r="P1130"/>
        </row>
        <row r="1131">
          <cell r="A1131"/>
          <cell r="B1131" t="str">
            <v>CONCORD ABC BOARD</v>
          </cell>
          <cell r="C1131">
            <v>91317</v>
          </cell>
          <cell r="H1131"/>
          <cell r="K1131"/>
          <cell r="P1131"/>
        </row>
        <row r="1132">
          <cell r="A1132"/>
          <cell r="B1132" t="str">
            <v>CONNELLY SPRINGS</v>
          </cell>
          <cell r="C1132">
            <v>91261</v>
          </cell>
          <cell r="H1132"/>
          <cell r="K1132"/>
          <cell r="P1132"/>
        </row>
        <row r="1133">
          <cell r="A1133"/>
          <cell r="B1133" t="str">
            <v>CONOVER</v>
          </cell>
          <cell r="C1133">
            <v>91851</v>
          </cell>
          <cell r="H1133"/>
          <cell r="K1133"/>
          <cell r="P1133"/>
        </row>
        <row r="1134">
          <cell r="A1134"/>
          <cell r="B1134" t="str">
            <v>CONTENNEA METROPOLITAN SEWERAGE DIST</v>
          </cell>
          <cell r="C1134">
            <v>97408</v>
          </cell>
          <cell r="H1134"/>
          <cell r="K1134"/>
          <cell r="P1134"/>
        </row>
        <row r="1135">
          <cell r="A1135"/>
          <cell r="B1135" t="str">
            <v>CONWAY</v>
          </cell>
          <cell r="C1135">
            <v>96641</v>
          </cell>
          <cell r="H1135"/>
          <cell r="K1135"/>
          <cell r="P1135"/>
        </row>
        <row r="1136">
          <cell r="A1136"/>
          <cell r="B1136" t="str">
            <v>COOLEEMEE</v>
          </cell>
          <cell r="C1136">
            <v>93031</v>
          </cell>
          <cell r="H1136"/>
          <cell r="K1136"/>
          <cell r="P1136"/>
        </row>
        <row r="1137">
          <cell r="A1137"/>
          <cell r="B1137" t="str">
            <v>COOLEEMEE ABC BOARD</v>
          </cell>
          <cell r="C1137">
            <v>93027</v>
          </cell>
          <cell r="H1137"/>
          <cell r="K1137"/>
          <cell r="P1137"/>
        </row>
        <row r="1138">
          <cell r="A1138"/>
          <cell r="B1138" t="str">
            <v>CORNELIUS</v>
          </cell>
          <cell r="C1138">
            <v>96051</v>
          </cell>
          <cell r="H1138"/>
          <cell r="K1138"/>
          <cell r="P1138"/>
        </row>
        <row r="1139">
          <cell r="A1139"/>
          <cell r="B1139" t="str">
            <v>COVE CITY</v>
          </cell>
          <cell r="C1139">
            <v>92571</v>
          </cell>
          <cell r="H1139"/>
          <cell r="K1139"/>
          <cell r="P1139"/>
        </row>
        <row r="1140">
          <cell r="A1140"/>
          <cell r="B1140" t="str">
            <v>CRAMERTON</v>
          </cell>
          <cell r="C1140">
            <v>93631</v>
          </cell>
          <cell r="H1140"/>
          <cell r="K1140"/>
          <cell r="P1140"/>
        </row>
        <row r="1141">
          <cell r="A1141"/>
          <cell r="B1141" t="str">
            <v>CRAMERTON ABC BOARD</v>
          </cell>
          <cell r="C1141">
            <v>93604</v>
          </cell>
          <cell r="H1141"/>
          <cell r="K1141"/>
          <cell r="P1141"/>
        </row>
        <row r="1142">
          <cell r="A1142"/>
          <cell r="B1142" t="str">
            <v>CRAVEN CO ABC BD</v>
          </cell>
          <cell r="C1142">
            <v>92504</v>
          </cell>
          <cell r="H1142"/>
          <cell r="K1142"/>
          <cell r="P1142"/>
        </row>
        <row r="1143">
          <cell r="A1143"/>
          <cell r="B1143" t="str">
            <v>CRAVEN COUNTY</v>
          </cell>
          <cell r="C1143">
            <v>92501</v>
          </cell>
          <cell r="H1143"/>
          <cell r="K1143"/>
          <cell r="P1143"/>
        </row>
        <row r="1144">
          <cell r="A1144"/>
          <cell r="B1144" t="str">
            <v>CRAVEN-PAMLICO-CARTERET REGIONAL LIBRARY</v>
          </cell>
          <cell r="C1144">
            <v>92505</v>
          </cell>
          <cell r="H1144"/>
          <cell r="K1144"/>
          <cell r="P1144"/>
        </row>
        <row r="1145">
          <cell r="A1145"/>
          <cell r="B1145" t="str">
            <v>CREEDMOOR</v>
          </cell>
          <cell r="C1145">
            <v>93921</v>
          </cell>
          <cell r="H1145"/>
          <cell r="K1145"/>
          <cell r="P1145"/>
        </row>
        <row r="1146">
          <cell r="A1146"/>
          <cell r="B1146" t="str">
            <v>CRESWELL</v>
          </cell>
          <cell r="C1146">
            <v>99431</v>
          </cell>
          <cell r="H1146"/>
          <cell r="K1146"/>
          <cell r="P1146"/>
        </row>
        <row r="1147">
          <cell r="A1147"/>
          <cell r="B1147" t="str">
            <v>CUMBERLAND CO ABC BOARD</v>
          </cell>
          <cell r="C1147">
            <v>92604</v>
          </cell>
          <cell r="H1147"/>
          <cell r="K1147"/>
          <cell r="P1147"/>
        </row>
        <row r="1148">
          <cell r="A1148"/>
          <cell r="B1148" t="str">
            <v>CUMBERLAND COUNTY</v>
          </cell>
          <cell r="C1148">
            <v>92601</v>
          </cell>
          <cell r="H1148"/>
          <cell r="K1148"/>
          <cell r="P1148"/>
        </row>
        <row r="1149">
          <cell r="A1149"/>
          <cell r="B1149" t="str">
            <v>CUMBERLAND MEMORIAL AUDITORIUM COM</v>
          </cell>
          <cell r="C1149">
            <v>92608</v>
          </cell>
          <cell r="H1149"/>
          <cell r="K1149"/>
          <cell r="P1149"/>
        </row>
        <row r="1150">
          <cell r="A1150"/>
          <cell r="B1150" t="str">
            <v>CURRITUCK CO ABC BOARD</v>
          </cell>
          <cell r="C1150">
            <v>92704</v>
          </cell>
          <cell r="H1150"/>
          <cell r="K1150"/>
          <cell r="P1150"/>
        </row>
        <row r="1151">
          <cell r="A1151"/>
          <cell r="B1151" t="str">
            <v>CURRITUCK COUNTY</v>
          </cell>
          <cell r="C1151">
            <v>92701</v>
          </cell>
          <cell r="H1151"/>
          <cell r="K1151"/>
          <cell r="P1151"/>
        </row>
        <row r="1152">
          <cell r="A1152"/>
          <cell r="B1152" t="str">
            <v>DALLAS</v>
          </cell>
          <cell r="C1152">
            <v>93651</v>
          </cell>
          <cell r="H1152"/>
          <cell r="K1152"/>
          <cell r="P1152"/>
        </row>
        <row r="1153">
          <cell r="A1153"/>
          <cell r="B1153" t="str">
            <v>DARE COUNTY</v>
          </cell>
          <cell r="C1153">
            <v>92801</v>
          </cell>
          <cell r="H1153"/>
          <cell r="K1153"/>
          <cell r="P1153"/>
        </row>
        <row r="1154">
          <cell r="A1154"/>
          <cell r="B1154" t="str">
            <v>DARE COUNTY ABC BOARD</v>
          </cell>
          <cell r="C1154">
            <v>92804</v>
          </cell>
          <cell r="H1154"/>
          <cell r="K1154"/>
          <cell r="P1154"/>
        </row>
        <row r="1155">
          <cell r="A1155"/>
          <cell r="B1155" t="str">
            <v>DARE COUNTY TOURISM BOARD</v>
          </cell>
          <cell r="C1155">
            <v>92802</v>
          </cell>
          <cell r="H1155"/>
          <cell r="K1155"/>
          <cell r="P1155"/>
        </row>
        <row r="1156">
          <cell r="A1156"/>
          <cell r="B1156" t="str">
            <v>DAVIDSON</v>
          </cell>
          <cell r="C1156">
            <v>96081</v>
          </cell>
          <cell r="H1156"/>
          <cell r="K1156"/>
          <cell r="P1156"/>
        </row>
        <row r="1157">
          <cell r="A1157"/>
          <cell r="B1157" t="str">
            <v>DAVIDSON COUNTY</v>
          </cell>
          <cell r="C1157">
            <v>92901</v>
          </cell>
          <cell r="H1157"/>
          <cell r="K1157"/>
          <cell r="P1157"/>
        </row>
        <row r="1158">
          <cell r="A1158"/>
          <cell r="B1158" t="str">
            <v>DAVIE COUNTY</v>
          </cell>
          <cell r="C1158">
            <v>93001</v>
          </cell>
          <cell r="H1158"/>
          <cell r="K1158"/>
          <cell r="P1158"/>
        </row>
        <row r="1159">
          <cell r="A1159"/>
          <cell r="B1159" t="str">
            <v>DAVIE SOIL AND WATER CONSERVATION DIST</v>
          </cell>
          <cell r="C1159">
            <v>93009</v>
          </cell>
          <cell r="H1159"/>
          <cell r="K1159"/>
          <cell r="P1159"/>
        </row>
        <row r="1160">
          <cell r="A1160"/>
          <cell r="B1160" t="str">
            <v>DENTON</v>
          </cell>
          <cell r="C1160">
            <v>92921</v>
          </cell>
          <cell r="H1160"/>
          <cell r="K1160"/>
          <cell r="P1160"/>
        </row>
        <row r="1161">
          <cell r="A1161"/>
          <cell r="B1161" t="str">
            <v>DOBSON</v>
          </cell>
          <cell r="C1161">
            <v>98621</v>
          </cell>
          <cell r="H1161"/>
          <cell r="K1161"/>
          <cell r="P1161"/>
        </row>
        <row r="1162">
          <cell r="A1162"/>
          <cell r="B1162" t="str">
            <v>DOBSON ABC BD</v>
          </cell>
          <cell r="C1162">
            <v>98627</v>
          </cell>
          <cell r="H1162"/>
          <cell r="K1162"/>
          <cell r="P1162"/>
        </row>
        <row r="1163">
          <cell r="A1163"/>
          <cell r="B1163" t="str">
            <v>DREXEL</v>
          </cell>
          <cell r="C1163">
            <v>91221</v>
          </cell>
          <cell r="H1163"/>
          <cell r="K1163"/>
          <cell r="P1163"/>
        </row>
        <row r="1164">
          <cell r="A1164"/>
          <cell r="B1164" t="str">
            <v>DUCK</v>
          </cell>
          <cell r="C1164">
            <v>92861</v>
          </cell>
          <cell r="H1164"/>
          <cell r="K1164"/>
          <cell r="P1164"/>
        </row>
        <row r="1165">
          <cell r="A1165"/>
          <cell r="B1165" t="str">
            <v>DUNN</v>
          </cell>
          <cell r="C1165">
            <v>94311</v>
          </cell>
          <cell r="H1165"/>
          <cell r="K1165"/>
          <cell r="P1165"/>
        </row>
        <row r="1166">
          <cell r="A1166"/>
          <cell r="B1166" t="str">
            <v>DUNN ABC BOARD</v>
          </cell>
          <cell r="C1166">
            <v>94317</v>
          </cell>
          <cell r="H1166"/>
          <cell r="K1166"/>
          <cell r="P1166"/>
        </row>
        <row r="1167">
          <cell r="A1167"/>
          <cell r="B1167" t="str">
            <v>DUNN HOUSING AUTHORITY</v>
          </cell>
          <cell r="C1167">
            <v>94313</v>
          </cell>
          <cell r="H1167"/>
          <cell r="K1167"/>
          <cell r="P1167"/>
        </row>
        <row r="1168">
          <cell r="A1168"/>
          <cell r="B1168" t="str">
            <v>DUPLIN COUNTY</v>
          </cell>
          <cell r="C1168">
            <v>93101</v>
          </cell>
          <cell r="H1168"/>
          <cell r="K1168"/>
          <cell r="P1168"/>
        </row>
        <row r="1169">
          <cell r="A1169"/>
          <cell r="B1169" t="str">
            <v>DUPLIN COUNTY TOURISM DEVELOPMENT AUTHORITY</v>
          </cell>
          <cell r="C1169">
            <v>93103</v>
          </cell>
          <cell r="H1169"/>
          <cell r="K1169"/>
          <cell r="P1169"/>
        </row>
        <row r="1170">
          <cell r="A1170"/>
          <cell r="B1170" t="str">
            <v>DURHAM</v>
          </cell>
          <cell r="C1170">
            <v>93211</v>
          </cell>
          <cell r="H1170"/>
          <cell r="K1170"/>
          <cell r="P1170"/>
        </row>
        <row r="1171">
          <cell r="A1171"/>
          <cell r="B1171" t="str">
            <v>DURHAM CONVENTION &amp; VISITORS BUREAU</v>
          </cell>
          <cell r="C1171">
            <v>93212</v>
          </cell>
          <cell r="H1171"/>
          <cell r="K1171"/>
          <cell r="P1171"/>
        </row>
        <row r="1172">
          <cell r="A1172"/>
          <cell r="B1172" t="str">
            <v>DURHAM COUNTY</v>
          </cell>
          <cell r="C1172">
            <v>93201</v>
          </cell>
          <cell r="H1172"/>
          <cell r="K1172"/>
          <cell r="P1172"/>
        </row>
        <row r="1173">
          <cell r="A1173"/>
          <cell r="B1173" t="str">
            <v>DURHAM COUNTY ABC BOARD</v>
          </cell>
          <cell r="C1173">
            <v>93204</v>
          </cell>
          <cell r="H1173"/>
          <cell r="K1173"/>
          <cell r="P1173"/>
        </row>
        <row r="1174">
          <cell r="A1174"/>
          <cell r="B1174" t="str">
            <v>DURHAM HWY FIRE PROTECTION ASSOC</v>
          </cell>
          <cell r="C1174">
            <v>99212</v>
          </cell>
          <cell r="H1174"/>
          <cell r="K1174"/>
          <cell r="P1174"/>
        </row>
        <row r="1175">
          <cell r="A1175"/>
          <cell r="B1175" t="str">
            <v>EAST ALBEMARLE REGIONAL LIBRARY</v>
          </cell>
          <cell r="C1175">
            <v>97005</v>
          </cell>
          <cell r="H1175"/>
          <cell r="K1175"/>
          <cell r="P1175"/>
        </row>
        <row r="1176">
          <cell r="A1176"/>
          <cell r="B1176" t="str">
            <v>EAST BEND</v>
          </cell>
          <cell r="C1176">
            <v>99931</v>
          </cell>
          <cell r="H1176"/>
          <cell r="K1176"/>
          <cell r="P1176"/>
        </row>
        <row r="1177">
          <cell r="A1177"/>
          <cell r="B1177" t="str">
            <v>EAST CAROLINA BEHAVORIAL HEALTHCARE</v>
          </cell>
          <cell r="C1177">
            <v>92509</v>
          </cell>
          <cell r="H1177"/>
          <cell r="K1177"/>
          <cell r="P1177"/>
        </row>
        <row r="1178">
          <cell r="A1178"/>
          <cell r="B1178" t="str">
            <v>EAST SPENCER</v>
          </cell>
          <cell r="C1178">
            <v>98021</v>
          </cell>
          <cell r="H1178"/>
          <cell r="K1178"/>
          <cell r="P1178"/>
        </row>
        <row r="1179">
          <cell r="A1179"/>
          <cell r="B1179" t="str">
            <v>EAST SPENCER HOUSING AUTHORITY</v>
          </cell>
          <cell r="C1179">
            <v>98023</v>
          </cell>
          <cell r="H1179"/>
          <cell r="K1179"/>
          <cell r="P1179"/>
        </row>
        <row r="1180">
          <cell r="A1180"/>
          <cell r="B1180" t="str">
            <v>EASTERN BAND OF CHEROKEE INDIANS</v>
          </cell>
          <cell r="C1180">
            <v>70505</v>
          </cell>
          <cell r="H1180"/>
          <cell r="K1180"/>
          <cell r="P1180"/>
        </row>
        <row r="1181">
          <cell r="A1181"/>
          <cell r="B1181" t="str">
            <v>EASTERN CAROLINA REG'L HOUSING AUTHORITY</v>
          </cell>
          <cell r="C1181">
            <v>99603</v>
          </cell>
          <cell r="H1181"/>
          <cell r="K1181"/>
          <cell r="P1181"/>
        </row>
        <row r="1182">
          <cell r="A1182"/>
          <cell r="B1182" t="str">
            <v>EASTERN WAYNE SANITARY DIST</v>
          </cell>
          <cell r="C1182">
            <v>99610</v>
          </cell>
          <cell r="H1182"/>
          <cell r="K1182"/>
          <cell r="P1182"/>
        </row>
        <row r="1183">
          <cell r="A1183"/>
          <cell r="B1183" t="str">
            <v>EASTOVER</v>
          </cell>
          <cell r="C1183">
            <v>92681</v>
          </cell>
          <cell r="H1183"/>
          <cell r="K1183"/>
          <cell r="P1183"/>
        </row>
        <row r="1184">
          <cell r="A1184"/>
          <cell r="B1184" t="str">
            <v>EASTPOINTE HUMAN SERVICES</v>
          </cell>
          <cell r="C1184">
            <v>93108</v>
          </cell>
          <cell r="H1184"/>
          <cell r="K1184"/>
          <cell r="P1184"/>
        </row>
        <row r="1185">
          <cell r="A1185"/>
          <cell r="B1185" t="str">
            <v>EDEN</v>
          </cell>
          <cell r="C1185">
            <v>97951</v>
          </cell>
          <cell r="H1185"/>
          <cell r="K1185"/>
          <cell r="P1185"/>
        </row>
        <row r="1186">
          <cell r="A1186"/>
          <cell r="B1186" t="str">
            <v>EDEN ABC BOARD</v>
          </cell>
          <cell r="C1186">
            <v>97957</v>
          </cell>
          <cell r="H1186"/>
          <cell r="K1186"/>
          <cell r="P1186"/>
        </row>
        <row r="1187">
          <cell r="A1187"/>
          <cell r="B1187" t="str">
            <v>EDENTON</v>
          </cell>
          <cell r="C1187">
            <v>92111</v>
          </cell>
          <cell r="H1187"/>
          <cell r="K1187"/>
          <cell r="P1187"/>
        </row>
        <row r="1188">
          <cell r="A1188"/>
          <cell r="B1188" t="str">
            <v>EDGECOMBE COUNTY</v>
          </cell>
          <cell r="C1188">
            <v>93301</v>
          </cell>
          <cell r="H1188"/>
          <cell r="K1188"/>
          <cell r="P1188"/>
        </row>
        <row r="1189">
          <cell r="A1189"/>
          <cell r="B1189" t="str">
            <v>EDGECOMBE COUNTY ABC BOARD</v>
          </cell>
          <cell r="C1189">
            <v>93304</v>
          </cell>
          <cell r="H1189"/>
          <cell r="K1189"/>
          <cell r="P1189"/>
        </row>
        <row r="1190">
          <cell r="A1190"/>
          <cell r="B1190" t="str">
            <v>EDGECOMBE COUNTY MEMORIAL LIBRARY</v>
          </cell>
          <cell r="C1190">
            <v>93305</v>
          </cell>
          <cell r="H1190"/>
          <cell r="K1190"/>
          <cell r="P1190"/>
        </row>
        <row r="1191">
          <cell r="A1191"/>
          <cell r="B1191" t="str">
            <v>ELECTRICITIES OF NC</v>
          </cell>
          <cell r="C1191">
            <v>99210</v>
          </cell>
          <cell r="H1191"/>
          <cell r="K1191"/>
          <cell r="P1191"/>
        </row>
        <row r="1192">
          <cell r="A1192"/>
          <cell r="B1192" t="str">
            <v>ELIZABETH CITY</v>
          </cell>
          <cell r="C1192">
            <v>97011</v>
          </cell>
          <cell r="H1192"/>
          <cell r="K1192"/>
          <cell r="P1192"/>
        </row>
        <row r="1193">
          <cell r="A1193"/>
          <cell r="B1193" t="str">
            <v>ELIZABETH CITY PASQUOTANK COUNTY TDA</v>
          </cell>
          <cell r="C1193">
            <v>97013</v>
          </cell>
          <cell r="H1193"/>
          <cell r="K1193"/>
          <cell r="P1193"/>
        </row>
        <row r="1194">
          <cell r="A1194"/>
          <cell r="B1194" t="str">
            <v>ELIZABETH CITY-PASQUOTANK CO AIRPORT AUTHORITY</v>
          </cell>
          <cell r="C1194">
            <v>97012</v>
          </cell>
          <cell r="H1194"/>
          <cell r="K1194"/>
          <cell r="P1194"/>
        </row>
        <row r="1195">
          <cell r="A1195"/>
          <cell r="B1195" t="str">
            <v>ELIZABETH CTY-PASQUOTANK CO INDUSTRL DEVELOPMENT C</v>
          </cell>
          <cell r="C1195">
            <v>97018</v>
          </cell>
          <cell r="H1195"/>
          <cell r="K1195"/>
          <cell r="P1195"/>
        </row>
        <row r="1196">
          <cell r="A1196"/>
          <cell r="B1196" t="str">
            <v>ELIZABETHTOWN</v>
          </cell>
          <cell r="C1196">
            <v>90911</v>
          </cell>
          <cell r="H1196"/>
          <cell r="K1196"/>
          <cell r="P1196"/>
        </row>
        <row r="1197">
          <cell r="A1197"/>
          <cell r="B1197" t="str">
            <v>ELIZABETHTOWN ABC BOARD</v>
          </cell>
          <cell r="C1197">
            <v>90917</v>
          </cell>
          <cell r="H1197"/>
          <cell r="K1197"/>
          <cell r="P1197"/>
        </row>
        <row r="1198">
          <cell r="A1198"/>
          <cell r="B1198" t="str">
            <v>ELK PARK</v>
          </cell>
          <cell r="C1198">
            <v>90641</v>
          </cell>
          <cell r="H1198"/>
          <cell r="K1198"/>
          <cell r="P1198"/>
        </row>
        <row r="1199">
          <cell r="A1199"/>
          <cell r="B1199" t="str">
            <v>ELKIN</v>
          </cell>
          <cell r="C1199">
            <v>98641</v>
          </cell>
          <cell r="H1199"/>
          <cell r="K1199"/>
          <cell r="P1199"/>
        </row>
        <row r="1200">
          <cell r="A1200"/>
          <cell r="B1200" t="str">
            <v>ELKIN ABC BOARD (merged with Yadkin Valley ABC Board)</v>
          </cell>
          <cell r="C1200" t="str">
            <v>98647M</v>
          </cell>
          <cell r="H1200"/>
          <cell r="K1200"/>
          <cell r="P1200"/>
        </row>
        <row r="1201">
          <cell r="A1201"/>
          <cell r="B1201" t="str">
            <v>ELLENBORO</v>
          </cell>
          <cell r="C1201">
            <v>98161</v>
          </cell>
          <cell r="H1201"/>
          <cell r="K1201"/>
          <cell r="P1201"/>
        </row>
        <row r="1202">
          <cell r="A1202"/>
          <cell r="B1202" t="str">
            <v>ELLERBE</v>
          </cell>
          <cell r="C1202">
            <v>97731</v>
          </cell>
          <cell r="H1202"/>
          <cell r="K1202"/>
          <cell r="P1202"/>
        </row>
        <row r="1203">
          <cell r="A1203"/>
          <cell r="B1203" t="str">
            <v>ELM CITY</v>
          </cell>
          <cell r="C1203">
            <v>99851</v>
          </cell>
          <cell r="H1203"/>
          <cell r="K1203"/>
          <cell r="P1203"/>
        </row>
        <row r="1204">
          <cell r="A1204"/>
          <cell r="B1204" t="str">
            <v>ELON</v>
          </cell>
          <cell r="C1204">
            <v>90131</v>
          </cell>
          <cell r="H1204"/>
          <cell r="K1204"/>
          <cell r="P1204"/>
        </row>
        <row r="1205">
          <cell r="A1205"/>
          <cell r="B1205" t="str">
            <v>EMERALD ISLE</v>
          </cell>
          <cell r="C1205">
            <v>91651</v>
          </cell>
          <cell r="H1205"/>
          <cell r="K1205"/>
          <cell r="P1205"/>
        </row>
        <row r="1206">
          <cell r="A1206"/>
          <cell r="B1206" t="str">
            <v>ENFIELD</v>
          </cell>
          <cell r="C1206">
            <v>94211</v>
          </cell>
          <cell r="H1206"/>
          <cell r="K1206"/>
          <cell r="P1206"/>
        </row>
        <row r="1207">
          <cell r="A1207"/>
          <cell r="B1207" t="str">
            <v>ERWIN</v>
          </cell>
          <cell r="C1207">
            <v>94331</v>
          </cell>
          <cell r="H1207"/>
          <cell r="K1207"/>
          <cell r="P1207"/>
        </row>
        <row r="1208">
          <cell r="A1208"/>
          <cell r="B1208" t="str">
            <v>FAIR BLUFF</v>
          </cell>
          <cell r="C1208">
            <v>92431</v>
          </cell>
          <cell r="H1208"/>
          <cell r="K1208"/>
          <cell r="P1208"/>
        </row>
        <row r="1209">
          <cell r="A1209"/>
          <cell r="B1209" t="str">
            <v>FAIRMONT</v>
          </cell>
          <cell r="C1209">
            <v>97821</v>
          </cell>
          <cell r="H1209"/>
          <cell r="K1209"/>
          <cell r="P1209"/>
        </row>
        <row r="1210">
          <cell r="A1210"/>
          <cell r="B1210" t="str">
            <v>FAIRMONT HOUSING AUTHORITY</v>
          </cell>
          <cell r="C1210">
            <v>97823</v>
          </cell>
          <cell r="H1210"/>
          <cell r="K1210"/>
          <cell r="P1210"/>
        </row>
        <row r="1211">
          <cell r="A1211"/>
          <cell r="B1211" t="str">
            <v>FAISON</v>
          </cell>
          <cell r="C1211">
            <v>93141</v>
          </cell>
          <cell r="H1211"/>
          <cell r="K1211"/>
          <cell r="P1211"/>
        </row>
        <row r="1212">
          <cell r="A1212"/>
          <cell r="B1212" t="str">
            <v>FAITH</v>
          </cell>
          <cell r="C1212">
            <v>98081</v>
          </cell>
          <cell r="H1212"/>
          <cell r="K1212"/>
          <cell r="P1212"/>
        </row>
        <row r="1213">
          <cell r="A1213"/>
          <cell r="B1213" t="str">
            <v>FALCON</v>
          </cell>
          <cell r="C1213">
            <v>92671</v>
          </cell>
          <cell r="H1213"/>
          <cell r="K1213"/>
          <cell r="P1213"/>
        </row>
        <row r="1214">
          <cell r="A1214"/>
          <cell r="B1214" t="str">
            <v>FARMVILLE</v>
          </cell>
          <cell r="C1214">
            <v>97421</v>
          </cell>
          <cell r="H1214"/>
          <cell r="K1214"/>
          <cell r="P1214"/>
        </row>
        <row r="1215">
          <cell r="A1215"/>
          <cell r="B1215" t="str">
            <v>FARMVILLE HOUSING AUTHORITY</v>
          </cell>
          <cell r="C1215">
            <v>97423</v>
          </cell>
          <cell r="H1215"/>
          <cell r="K1215"/>
          <cell r="P1215"/>
        </row>
        <row r="1216">
          <cell r="A1216"/>
          <cell r="B1216" t="str">
            <v>FAYETTEVILLE</v>
          </cell>
          <cell r="C1216">
            <v>92611</v>
          </cell>
          <cell r="H1216"/>
          <cell r="K1216"/>
          <cell r="P1216"/>
        </row>
        <row r="1217">
          <cell r="A1217"/>
          <cell r="B1217" t="str">
            <v>FAYETTEVILLE METROPOLITAN HOUSING AUTHORITY</v>
          </cell>
          <cell r="C1217">
            <v>92613</v>
          </cell>
          <cell r="H1217"/>
          <cell r="K1217"/>
          <cell r="P1217"/>
        </row>
        <row r="1218">
          <cell r="A1218"/>
          <cell r="B1218" t="str">
            <v>FAYETTEVILLE PUBLIC WORKS COMMISSION</v>
          </cell>
          <cell r="C1218">
            <v>92614</v>
          </cell>
          <cell r="H1218"/>
          <cell r="K1218"/>
          <cell r="P1218"/>
        </row>
        <row r="1219">
          <cell r="A1219"/>
          <cell r="B1219" t="str">
            <v>FIRST CRAVEN SANITARY DIST</v>
          </cell>
          <cell r="C1219">
            <v>92502</v>
          </cell>
          <cell r="H1219"/>
          <cell r="K1219"/>
          <cell r="P1219"/>
        </row>
        <row r="1220">
          <cell r="A1220"/>
          <cell r="B1220" t="str">
            <v>FLAT ROCK</v>
          </cell>
          <cell r="C1220">
            <v>94531</v>
          </cell>
          <cell r="H1220"/>
          <cell r="K1220"/>
          <cell r="P1220"/>
        </row>
        <row r="1221">
          <cell r="A1221"/>
          <cell r="B1221" t="str">
            <v>FLETCHER</v>
          </cell>
          <cell r="C1221">
            <v>94541</v>
          </cell>
          <cell r="H1221"/>
          <cell r="K1221"/>
          <cell r="P1221"/>
        </row>
        <row r="1222">
          <cell r="A1222"/>
          <cell r="B1222" t="str">
            <v>FLETCHER ABC BOARD</v>
          </cell>
          <cell r="C1222">
            <v>94547</v>
          </cell>
          <cell r="H1222"/>
          <cell r="K1222"/>
          <cell r="P1222"/>
        </row>
        <row r="1223">
          <cell r="A1223"/>
          <cell r="B1223" t="str">
            <v>FONTANA REGIONAL LIBRARY</v>
          </cell>
          <cell r="C1223">
            <v>95005</v>
          </cell>
          <cell r="H1223"/>
          <cell r="K1223"/>
          <cell r="P1223"/>
        </row>
        <row r="1224">
          <cell r="A1224"/>
          <cell r="B1224" t="str">
            <v>FOREST CITY</v>
          </cell>
          <cell r="C1224">
            <v>98111</v>
          </cell>
          <cell r="H1224"/>
          <cell r="K1224"/>
          <cell r="P1224"/>
        </row>
        <row r="1225">
          <cell r="A1225"/>
          <cell r="B1225" t="str">
            <v>FOREST CITY ABC BOARD 168</v>
          </cell>
          <cell r="C1225">
            <v>98107</v>
          </cell>
          <cell r="H1225"/>
          <cell r="K1225"/>
          <cell r="P1225"/>
        </row>
        <row r="1226">
          <cell r="A1226"/>
          <cell r="B1226" t="str">
            <v>FOREST CITY HOUSING AUTHORITY</v>
          </cell>
          <cell r="C1226">
            <v>98113</v>
          </cell>
          <cell r="H1226"/>
          <cell r="K1226"/>
          <cell r="P1226"/>
        </row>
        <row r="1227">
          <cell r="A1227"/>
          <cell r="B1227" t="str">
            <v>FORK TOWNSHIP SANITARY DIST</v>
          </cell>
          <cell r="C1227">
            <v>99602</v>
          </cell>
          <cell r="H1227"/>
          <cell r="K1227"/>
          <cell r="P1227"/>
        </row>
        <row r="1228">
          <cell r="A1228"/>
          <cell r="B1228" t="str">
            <v>FORSYTH COUNTY</v>
          </cell>
          <cell r="C1228">
            <v>93401</v>
          </cell>
          <cell r="H1228"/>
          <cell r="K1228"/>
          <cell r="P1228"/>
        </row>
        <row r="1229">
          <cell r="A1229"/>
          <cell r="B1229" t="str">
            <v>FOUNTAIN</v>
          </cell>
          <cell r="C1229">
            <v>97491</v>
          </cell>
          <cell r="H1229"/>
          <cell r="K1229"/>
          <cell r="P1229"/>
        </row>
        <row r="1230">
          <cell r="A1230"/>
          <cell r="B1230" t="str">
            <v>FOUR OAKS</v>
          </cell>
          <cell r="C1230">
            <v>95151</v>
          </cell>
          <cell r="H1230"/>
          <cell r="K1230"/>
          <cell r="P1230"/>
        </row>
        <row r="1231">
          <cell r="A1231"/>
          <cell r="B1231" t="str">
            <v>FOXFIRE VILLAGE</v>
          </cell>
          <cell r="C1231">
            <v>96381</v>
          </cell>
          <cell r="H1231"/>
          <cell r="K1231"/>
          <cell r="P1231"/>
        </row>
        <row r="1232">
          <cell r="A1232"/>
          <cell r="B1232" t="str">
            <v>FRANKLIN</v>
          </cell>
          <cell r="C1232">
            <v>95611</v>
          </cell>
          <cell r="H1232"/>
          <cell r="K1232"/>
          <cell r="P1232"/>
        </row>
        <row r="1233">
          <cell r="A1233"/>
          <cell r="B1233" t="str">
            <v>FRANKLIN COUNTY</v>
          </cell>
          <cell r="C1233">
            <v>93501</v>
          </cell>
          <cell r="H1233"/>
          <cell r="K1233"/>
          <cell r="P1233"/>
        </row>
        <row r="1234">
          <cell r="A1234"/>
          <cell r="B1234" t="str">
            <v>FRANKLINTON</v>
          </cell>
          <cell r="C1234">
            <v>93511</v>
          </cell>
          <cell r="H1234"/>
          <cell r="K1234"/>
          <cell r="P1234"/>
        </row>
        <row r="1235">
          <cell r="A1235"/>
          <cell r="B1235" t="str">
            <v>FRANKLINTON ABC BOARD</v>
          </cell>
          <cell r="C1235">
            <v>93517</v>
          </cell>
          <cell r="H1235"/>
          <cell r="K1235"/>
          <cell r="P1235"/>
        </row>
        <row r="1236">
          <cell r="A1236"/>
          <cell r="B1236" t="str">
            <v>FREMONT</v>
          </cell>
          <cell r="C1236">
            <v>99631</v>
          </cell>
          <cell r="H1236"/>
          <cell r="K1236"/>
          <cell r="P1236"/>
        </row>
        <row r="1237">
          <cell r="A1237"/>
          <cell r="B1237" t="str">
            <v>FUQUAY-VARINA</v>
          </cell>
          <cell r="C1237">
            <v>99261</v>
          </cell>
          <cell r="H1237"/>
          <cell r="K1237"/>
          <cell r="P1237"/>
        </row>
        <row r="1238">
          <cell r="A1238"/>
          <cell r="B1238" t="str">
            <v>GARLAND</v>
          </cell>
          <cell r="C1238">
            <v>98241</v>
          </cell>
          <cell r="H1238"/>
          <cell r="K1238"/>
          <cell r="P1238"/>
        </row>
        <row r="1239">
          <cell r="A1239"/>
          <cell r="B1239" t="str">
            <v>GARNER</v>
          </cell>
          <cell r="C1239">
            <v>99251</v>
          </cell>
          <cell r="H1239"/>
          <cell r="K1239"/>
          <cell r="P1239"/>
        </row>
        <row r="1240">
          <cell r="A1240"/>
          <cell r="B1240" t="str">
            <v>GARNER FIRE DEPT</v>
          </cell>
          <cell r="C1240">
            <v>99252</v>
          </cell>
          <cell r="H1240"/>
          <cell r="K1240"/>
          <cell r="P1240"/>
        </row>
        <row r="1241">
          <cell r="A1241"/>
          <cell r="B1241" t="str">
            <v>GARYSBURG</v>
          </cell>
          <cell r="C1241">
            <v>96631</v>
          </cell>
          <cell r="H1241"/>
          <cell r="K1241"/>
          <cell r="P1241"/>
        </row>
        <row r="1242">
          <cell r="A1242"/>
          <cell r="B1242" t="str">
            <v>GASTON</v>
          </cell>
          <cell r="C1242">
            <v>96651</v>
          </cell>
          <cell r="H1242"/>
          <cell r="K1242"/>
          <cell r="P1242"/>
        </row>
        <row r="1243">
          <cell r="A1243"/>
          <cell r="B1243" t="str">
            <v>GASTON COUNTY</v>
          </cell>
          <cell r="C1243">
            <v>93601</v>
          </cell>
          <cell r="H1243"/>
          <cell r="K1243"/>
          <cell r="P1243"/>
        </row>
        <row r="1244">
          <cell r="A1244"/>
          <cell r="B1244" t="str">
            <v>GASTON COUNTY ECONOMIC DEV. COMMISSION</v>
          </cell>
          <cell r="C1244">
            <v>93618</v>
          </cell>
          <cell r="H1244"/>
          <cell r="K1244"/>
          <cell r="P1244"/>
        </row>
        <row r="1245">
          <cell r="A1245"/>
          <cell r="B1245" t="str">
            <v>GASTONIA</v>
          </cell>
          <cell r="C1245">
            <v>93611</v>
          </cell>
          <cell r="H1245"/>
          <cell r="K1245"/>
          <cell r="P1245"/>
        </row>
        <row r="1246">
          <cell r="A1246"/>
          <cell r="B1246" t="str">
            <v>GASTONIA ABC BOARD</v>
          </cell>
          <cell r="C1246">
            <v>93617</v>
          </cell>
          <cell r="H1246"/>
          <cell r="K1246"/>
          <cell r="P1246"/>
        </row>
        <row r="1247">
          <cell r="A1247"/>
          <cell r="B1247" t="str">
            <v>GATES COUNTY</v>
          </cell>
          <cell r="C1247">
            <v>93701</v>
          </cell>
          <cell r="H1247"/>
          <cell r="K1247"/>
          <cell r="P1247"/>
        </row>
        <row r="1248">
          <cell r="A1248"/>
          <cell r="B1248" t="str">
            <v>GATES COUNTY ABC BOARD</v>
          </cell>
          <cell r="C1248">
            <v>93704</v>
          </cell>
          <cell r="H1248"/>
          <cell r="K1248"/>
          <cell r="P1248"/>
        </row>
        <row r="1249">
          <cell r="A1249"/>
          <cell r="B1249" t="str">
            <v>GIBSON</v>
          </cell>
          <cell r="C1249">
            <v>98331</v>
          </cell>
          <cell r="H1249"/>
          <cell r="K1249"/>
          <cell r="P1249"/>
        </row>
        <row r="1250">
          <cell r="A1250"/>
          <cell r="B1250" t="str">
            <v>GIBSONVILLE</v>
          </cell>
          <cell r="C1250">
            <v>94151</v>
          </cell>
          <cell r="H1250"/>
          <cell r="K1250"/>
          <cell r="P1250"/>
        </row>
        <row r="1251">
          <cell r="A1251"/>
          <cell r="B1251" t="str">
            <v>GIBSONVILLE ABC BOARD</v>
          </cell>
          <cell r="C1251">
            <v>94157</v>
          </cell>
          <cell r="H1251"/>
          <cell r="K1251"/>
          <cell r="P1251"/>
        </row>
        <row r="1252">
          <cell r="A1252"/>
          <cell r="B1252" t="str">
            <v>GLEN ALPINE</v>
          </cell>
          <cell r="C1252">
            <v>91241</v>
          </cell>
          <cell r="H1252"/>
          <cell r="K1252"/>
          <cell r="P1252"/>
        </row>
        <row r="1253">
          <cell r="A1253"/>
          <cell r="B1253" t="str">
            <v>GLOBAL TRANSPARK DEVELOPMENT COMM</v>
          </cell>
          <cell r="C1253">
            <v>95412</v>
          </cell>
          <cell r="H1253"/>
          <cell r="K1253"/>
          <cell r="P1253"/>
        </row>
        <row r="1254">
          <cell r="A1254"/>
          <cell r="B1254" t="str">
            <v>GOLDSBORO</v>
          </cell>
          <cell r="C1254">
            <v>99611</v>
          </cell>
          <cell r="H1254"/>
          <cell r="K1254"/>
          <cell r="P1254"/>
        </row>
        <row r="1255">
          <cell r="A1255"/>
          <cell r="B1255" t="str">
            <v xml:space="preserve">GOLDSBORO HOUSING AUTHORITY </v>
          </cell>
          <cell r="C1255">
            <v>99613</v>
          </cell>
          <cell r="H1255"/>
          <cell r="K1255"/>
          <cell r="P1255"/>
        </row>
        <row r="1256">
          <cell r="A1256"/>
          <cell r="B1256" t="str">
            <v>GOLDSTON-GULF SANITARY DISTRICT</v>
          </cell>
          <cell r="C1256">
            <v>91908</v>
          </cell>
          <cell r="H1256"/>
          <cell r="K1256"/>
          <cell r="P1256"/>
        </row>
        <row r="1257">
          <cell r="A1257"/>
          <cell r="B1257" t="str">
            <v>GRAHAM</v>
          </cell>
          <cell r="C1257">
            <v>90121</v>
          </cell>
          <cell r="H1257"/>
          <cell r="K1257"/>
          <cell r="P1257"/>
        </row>
        <row r="1258">
          <cell r="A1258"/>
          <cell r="B1258" t="str">
            <v>GRAHAM CO HEALTH DEPT</v>
          </cell>
          <cell r="C1258">
            <v>93803</v>
          </cell>
          <cell r="H1258"/>
          <cell r="K1258"/>
          <cell r="P1258"/>
        </row>
        <row r="1259">
          <cell r="A1259"/>
          <cell r="B1259" t="str">
            <v>GRAHAM COUNTY</v>
          </cell>
          <cell r="C1259">
            <v>93801</v>
          </cell>
          <cell r="H1259"/>
          <cell r="K1259"/>
          <cell r="P1259"/>
        </row>
        <row r="1260">
          <cell r="A1260"/>
          <cell r="B1260" t="str">
            <v>GRAHAM COUNTY DEPT OF S S</v>
          </cell>
          <cell r="C1260">
            <v>93806</v>
          </cell>
          <cell r="H1260"/>
          <cell r="K1260"/>
          <cell r="P1260"/>
        </row>
        <row r="1261">
          <cell r="A1261"/>
          <cell r="B1261" t="str">
            <v>GRANITE FALLS</v>
          </cell>
          <cell r="C1261">
            <v>91411</v>
          </cell>
          <cell r="H1261"/>
          <cell r="K1261"/>
          <cell r="P1261"/>
        </row>
        <row r="1262">
          <cell r="A1262"/>
          <cell r="B1262" t="str">
            <v>GRANITE FALLS ABC BOARD</v>
          </cell>
          <cell r="C1262">
            <v>91417</v>
          </cell>
          <cell r="H1262"/>
          <cell r="K1262"/>
          <cell r="P1262"/>
        </row>
        <row r="1263">
          <cell r="A1263"/>
          <cell r="B1263" t="str">
            <v>GRANITE QUARRY</v>
          </cell>
          <cell r="C1263">
            <v>98061</v>
          </cell>
          <cell r="H1263"/>
          <cell r="K1263"/>
          <cell r="P1263"/>
        </row>
        <row r="1264">
          <cell r="A1264"/>
          <cell r="B1264" t="str">
            <v>GRANVILLE CO ABC BOARD</v>
          </cell>
          <cell r="C1264">
            <v>93904</v>
          </cell>
          <cell r="H1264"/>
          <cell r="K1264"/>
          <cell r="P1264"/>
        </row>
        <row r="1265">
          <cell r="A1265"/>
          <cell r="B1265" t="str">
            <v>GRANVILLE COUNTY</v>
          </cell>
          <cell r="C1265">
            <v>93901</v>
          </cell>
          <cell r="H1265"/>
          <cell r="K1265"/>
          <cell r="P1265"/>
        </row>
        <row r="1266">
          <cell r="A1266"/>
          <cell r="B1266" t="str">
            <v>GRANVILLE COUNTY HOSPITAL</v>
          </cell>
          <cell r="C1266">
            <v>93906</v>
          </cell>
          <cell r="H1266"/>
          <cell r="K1266"/>
          <cell r="P1266"/>
        </row>
        <row r="1267">
          <cell r="A1267"/>
          <cell r="B1267" t="str">
            <v>GRANVILLE-VANCE PUBLIC HEALTH</v>
          </cell>
          <cell r="C1267">
            <v>93908</v>
          </cell>
          <cell r="H1267"/>
          <cell r="K1267"/>
          <cell r="P1267"/>
        </row>
        <row r="1268">
          <cell r="A1268"/>
          <cell r="B1268" t="str">
            <v>GREATER STATESVILLE DEVELOPMENT CORP</v>
          </cell>
          <cell r="C1268">
            <v>94908</v>
          </cell>
          <cell r="H1268"/>
          <cell r="K1268"/>
          <cell r="P1268"/>
        </row>
        <row r="1269">
          <cell r="A1269"/>
          <cell r="B1269" t="str">
            <v>GREEN LEVEL</v>
          </cell>
          <cell r="C1269">
            <v>90161</v>
          </cell>
          <cell r="H1269"/>
          <cell r="K1269"/>
          <cell r="P1269"/>
        </row>
        <row r="1270">
          <cell r="A1270"/>
          <cell r="B1270" t="str">
            <v>GREENE COUNTY</v>
          </cell>
          <cell r="C1270">
            <v>94001</v>
          </cell>
          <cell r="H1270"/>
          <cell r="K1270"/>
          <cell r="P1270"/>
        </row>
        <row r="1271">
          <cell r="A1271"/>
          <cell r="B1271" t="str">
            <v>GREENE COUNTY ABC BOARD</v>
          </cell>
          <cell r="C1271">
            <v>94004</v>
          </cell>
          <cell r="H1271"/>
          <cell r="K1271"/>
          <cell r="P1271"/>
        </row>
        <row r="1272">
          <cell r="A1272"/>
          <cell r="B1272" t="str">
            <v>GREENSBORO</v>
          </cell>
          <cell r="C1272">
            <v>94111</v>
          </cell>
          <cell r="H1272"/>
          <cell r="K1272"/>
          <cell r="P1272"/>
        </row>
        <row r="1273">
          <cell r="A1273"/>
          <cell r="B1273" t="str">
            <v>GREENSBORO ABC BOARD</v>
          </cell>
          <cell r="C1273">
            <v>94117</v>
          </cell>
          <cell r="H1273"/>
          <cell r="K1273"/>
          <cell r="P1273"/>
        </row>
        <row r="1274">
          <cell r="A1274"/>
          <cell r="B1274" t="str">
            <v>GREENVILLE</v>
          </cell>
          <cell r="C1274">
            <v>97411</v>
          </cell>
          <cell r="H1274"/>
          <cell r="K1274"/>
          <cell r="P1274"/>
        </row>
        <row r="1275">
          <cell r="A1275"/>
          <cell r="B1275" t="str">
            <v>GREENVILLE HOUSING AUTHORITY</v>
          </cell>
          <cell r="C1275">
            <v>97413</v>
          </cell>
          <cell r="H1275"/>
          <cell r="K1275"/>
          <cell r="P1275"/>
        </row>
        <row r="1276">
          <cell r="A1276"/>
          <cell r="B1276" t="str">
            <v>GREENVILLE UTILITIES COMMISSION</v>
          </cell>
          <cell r="C1276">
            <v>97412</v>
          </cell>
          <cell r="H1276"/>
          <cell r="K1276"/>
          <cell r="P1276"/>
        </row>
        <row r="1277">
          <cell r="A1277"/>
          <cell r="B1277" t="str">
            <v>GRIFTON</v>
          </cell>
          <cell r="C1277">
            <v>97431</v>
          </cell>
          <cell r="H1277"/>
          <cell r="K1277"/>
          <cell r="P1277"/>
        </row>
        <row r="1278">
          <cell r="A1278"/>
          <cell r="B1278" t="str">
            <v>GRIMESLAND</v>
          </cell>
          <cell r="C1278">
            <v>97471</v>
          </cell>
          <cell r="H1278"/>
          <cell r="K1278"/>
          <cell r="P1278"/>
        </row>
        <row r="1279">
          <cell r="A1279"/>
          <cell r="B1279" t="str">
            <v>GROVER</v>
          </cell>
          <cell r="C1279">
            <v>92351</v>
          </cell>
          <cell r="H1279"/>
          <cell r="K1279"/>
          <cell r="P1279"/>
        </row>
        <row r="1280">
          <cell r="A1280"/>
          <cell r="B1280" t="str">
            <v>GUILFORD COUNTY</v>
          </cell>
          <cell r="C1280">
            <v>94101</v>
          </cell>
          <cell r="H1280"/>
          <cell r="K1280"/>
          <cell r="P1280"/>
        </row>
        <row r="1281">
          <cell r="A1281"/>
          <cell r="B1281" t="str">
            <v>GUILFORD FIRE DISTRICT # 13 INC</v>
          </cell>
          <cell r="C1281">
            <v>94118</v>
          </cell>
          <cell r="H1281"/>
          <cell r="K1281"/>
          <cell r="P1281"/>
        </row>
        <row r="1282">
          <cell r="A1282"/>
          <cell r="B1282" t="str">
            <v>GUIL-RAND FIRE DEPARTMENT</v>
          </cell>
          <cell r="C1282">
            <v>94102</v>
          </cell>
          <cell r="H1282"/>
          <cell r="K1282"/>
          <cell r="P1282"/>
        </row>
        <row r="1283">
          <cell r="A1283"/>
          <cell r="B1283" t="str">
            <v>HALIFAX COUNTY</v>
          </cell>
          <cell r="C1283">
            <v>94201</v>
          </cell>
          <cell r="H1283"/>
          <cell r="K1283"/>
          <cell r="P1283"/>
        </row>
        <row r="1284">
          <cell r="A1284"/>
          <cell r="B1284" t="str">
            <v>HALIFAX COUNTY ABC BOARD</v>
          </cell>
          <cell r="C1284">
            <v>94204</v>
          </cell>
          <cell r="H1284"/>
          <cell r="K1284"/>
          <cell r="P1284"/>
        </row>
        <row r="1285">
          <cell r="A1285"/>
          <cell r="B1285" t="str">
            <v>HALIFAX COUNTY TOURISM DEVELOPMENT AUTHORITY</v>
          </cell>
          <cell r="C1285">
            <v>94205</v>
          </cell>
          <cell r="H1285"/>
          <cell r="K1285"/>
          <cell r="P1285"/>
        </row>
        <row r="1286">
          <cell r="A1286"/>
          <cell r="B1286" t="str">
            <v>HAMILTON</v>
          </cell>
          <cell r="C1286">
            <v>95831</v>
          </cell>
          <cell r="H1286"/>
          <cell r="K1286"/>
          <cell r="P1286"/>
        </row>
        <row r="1287">
          <cell r="A1287"/>
          <cell r="B1287" t="str">
            <v>HAMLET</v>
          </cell>
          <cell r="C1287">
            <v>97721</v>
          </cell>
          <cell r="H1287"/>
          <cell r="K1287"/>
          <cell r="P1287"/>
        </row>
        <row r="1288">
          <cell r="A1288"/>
          <cell r="B1288" t="str">
            <v>HAMLET ABC BOARD</v>
          </cell>
          <cell r="C1288">
            <v>97717</v>
          </cell>
          <cell r="H1288"/>
          <cell r="K1288"/>
          <cell r="P1288"/>
        </row>
        <row r="1289">
          <cell r="A1289"/>
          <cell r="B1289" t="str">
            <v>HARNETT COUNTY</v>
          </cell>
          <cell r="C1289">
            <v>94301</v>
          </cell>
          <cell r="H1289"/>
          <cell r="K1289"/>
          <cell r="P1289"/>
        </row>
        <row r="1290">
          <cell r="A1290"/>
          <cell r="B1290" t="str">
            <v>HARRISBURG</v>
          </cell>
          <cell r="C1290">
            <v>91441</v>
          </cell>
          <cell r="H1290"/>
          <cell r="K1290"/>
          <cell r="P1290"/>
        </row>
        <row r="1291">
          <cell r="A1291"/>
          <cell r="B1291" t="str">
            <v>HAVELOCK</v>
          </cell>
          <cell r="C1291">
            <v>92531</v>
          </cell>
          <cell r="H1291"/>
          <cell r="K1291"/>
          <cell r="P1291"/>
        </row>
        <row r="1292">
          <cell r="A1292"/>
          <cell r="B1292" t="str">
            <v>HAW RIVER</v>
          </cell>
          <cell r="C1292">
            <v>90141</v>
          </cell>
          <cell r="H1292"/>
          <cell r="K1292"/>
          <cell r="P1292"/>
        </row>
        <row r="1293">
          <cell r="A1293"/>
          <cell r="B1293" t="str">
            <v>HAYWOOD COUNTY</v>
          </cell>
          <cell r="C1293">
            <v>94401</v>
          </cell>
          <cell r="H1293"/>
          <cell r="K1293"/>
          <cell r="P1293"/>
        </row>
        <row r="1294">
          <cell r="A1294"/>
          <cell r="B1294" t="str">
            <v>HAYWOOD COUNTY TOURISM DEVELOPMENT AUTHORITY</v>
          </cell>
          <cell r="C1294">
            <v>94403</v>
          </cell>
          <cell r="H1294"/>
          <cell r="K1294"/>
          <cell r="P1294"/>
        </row>
        <row r="1295">
          <cell r="A1295"/>
          <cell r="B1295" t="str">
            <v>HAYWOOD MEDICAL CENTER</v>
          </cell>
          <cell r="C1295">
            <v>94402</v>
          </cell>
          <cell r="H1295"/>
          <cell r="K1295"/>
          <cell r="P1295"/>
        </row>
        <row r="1296">
          <cell r="A1296"/>
          <cell r="B1296" t="str">
            <v>HENDERSON</v>
          </cell>
          <cell r="C1296">
            <v>99111</v>
          </cell>
          <cell r="H1296"/>
          <cell r="K1296"/>
          <cell r="P1296"/>
        </row>
        <row r="1297">
          <cell r="A1297"/>
          <cell r="B1297" t="str">
            <v>HENDERSON COUNTY</v>
          </cell>
          <cell r="C1297">
            <v>94501</v>
          </cell>
          <cell r="H1297"/>
          <cell r="K1297"/>
          <cell r="P1297"/>
        </row>
        <row r="1298">
          <cell r="A1298"/>
          <cell r="B1298" t="str">
            <v>HENDERSONVILLE</v>
          </cell>
          <cell r="C1298">
            <v>94511</v>
          </cell>
          <cell r="H1298"/>
          <cell r="K1298"/>
          <cell r="P1298"/>
        </row>
        <row r="1299">
          <cell r="A1299"/>
          <cell r="B1299" t="str">
            <v>HENDERSONVILLE ABC BOARD</v>
          </cell>
          <cell r="C1299">
            <v>94517</v>
          </cell>
          <cell r="H1299"/>
          <cell r="K1299"/>
          <cell r="P1299"/>
        </row>
        <row r="1300">
          <cell r="A1300"/>
          <cell r="B1300" t="str">
            <v>HENDERSONVILLE WATER COMMISSION</v>
          </cell>
          <cell r="C1300">
            <v>94512</v>
          </cell>
          <cell r="H1300"/>
          <cell r="K1300"/>
          <cell r="P1300"/>
        </row>
        <row r="1301">
          <cell r="A1301"/>
          <cell r="B1301" t="str">
            <v>HERTFORD</v>
          </cell>
          <cell r="C1301">
            <v>97211</v>
          </cell>
          <cell r="H1301"/>
          <cell r="K1301"/>
          <cell r="P1301"/>
        </row>
        <row r="1302">
          <cell r="A1302"/>
          <cell r="B1302" t="str">
            <v>HERTFORD ABC BOARD</v>
          </cell>
          <cell r="C1302">
            <v>97217</v>
          </cell>
          <cell r="H1302"/>
          <cell r="K1302"/>
          <cell r="P1302"/>
        </row>
        <row r="1303">
          <cell r="A1303"/>
          <cell r="B1303" t="str">
            <v>HERTFORD COUNTY</v>
          </cell>
          <cell r="C1303">
            <v>94601</v>
          </cell>
          <cell r="H1303"/>
          <cell r="K1303"/>
          <cell r="P1303"/>
        </row>
        <row r="1304">
          <cell r="A1304"/>
          <cell r="B1304" t="str">
            <v>HERTFORD COUNTY ABC BOARD</v>
          </cell>
          <cell r="C1304">
            <v>94604</v>
          </cell>
          <cell r="H1304"/>
          <cell r="K1304"/>
          <cell r="P1304"/>
        </row>
        <row r="1305">
          <cell r="A1305"/>
          <cell r="B1305" t="str">
            <v>HERTFORD COUNTY PUBLIC HEALTH AUTHORITY</v>
          </cell>
          <cell r="C1305">
            <v>94606</v>
          </cell>
          <cell r="H1305"/>
          <cell r="K1305"/>
          <cell r="P1305"/>
        </row>
        <row r="1306">
          <cell r="A1306"/>
          <cell r="B1306" t="str">
            <v>HERTFORD HOUSING AUTHORITY</v>
          </cell>
          <cell r="C1306">
            <v>97213</v>
          </cell>
          <cell r="H1306"/>
          <cell r="K1306"/>
          <cell r="P1306"/>
        </row>
        <row r="1307">
          <cell r="A1307"/>
          <cell r="B1307" t="str">
            <v>HICKORY</v>
          </cell>
          <cell r="C1307">
            <v>91811</v>
          </cell>
          <cell r="H1307"/>
          <cell r="K1307"/>
          <cell r="P1307"/>
        </row>
        <row r="1308">
          <cell r="A1308"/>
          <cell r="B1308" t="str">
            <v>HICKORY CONOVER TOURISM DEV AUTHORITY</v>
          </cell>
          <cell r="C1308">
            <v>91812</v>
          </cell>
          <cell r="H1308"/>
          <cell r="K1308"/>
          <cell r="P1308"/>
        </row>
        <row r="1309">
          <cell r="A1309"/>
          <cell r="B1309" t="str">
            <v>HICKORY PUBLIC HOUSING AUTHORITY</v>
          </cell>
          <cell r="C1309">
            <v>91813</v>
          </cell>
          <cell r="H1309"/>
          <cell r="K1309"/>
          <cell r="P1309"/>
        </row>
        <row r="1310">
          <cell r="A1310"/>
          <cell r="B1310" t="str">
            <v>HIGH COUNTRY ABC BOARD</v>
          </cell>
          <cell r="C1310">
            <v>90617</v>
          </cell>
          <cell r="H1310"/>
          <cell r="K1310"/>
          <cell r="P1310"/>
        </row>
        <row r="1311">
          <cell r="A1311"/>
          <cell r="B1311" t="str">
            <v>HIGH POINT</v>
          </cell>
          <cell r="C1311">
            <v>94121</v>
          </cell>
          <cell r="H1311"/>
          <cell r="K1311"/>
          <cell r="P1311"/>
        </row>
        <row r="1312">
          <cell r="A1312"/>
          <cell r="B1312" t="str">
            <v>HIGH POINT ABC BOARD</v>
          </cell>
          <cell r="C1312">
            <v>94127</v>
          </cell>
          <cell r="H1312"/>
          <cell r="K1312"/>
          <cell r="P1312"/>
        </row>
        <row r="1313">
          <cell r="A1313"/>
          <cell r="B1313" t="str">
            <v>HIGHLANDS</v>
          </cell>
          <cell r="C1313">
            <v>95621</v>
          </cell>
          <cell r="H1313"/>
          <cell r="K1313"/>
          <cell r="P1313"/>
        </row>
        <row r="1314">
          <cell r="A1314"/>
          <cell r="B1314" t="str">
            <v>HIGHLANDS ABC BOARD</v>
          </cell>
          <cell r="C1314">
            <v>95617</v>
          </cell>
          <cell r="H1314"/>
          <cell r="K1314"/>
          <cell r="P1314"/>
        </row>
        <row r="1315">
          <cell r="A1315"/>
          <cell r="B1315" t="str">
            <v>HILDEBRAN</v>
          </cell>
          <cell r="C1315">
            <v>91251</v>
          </cell>
          <cell r="H1315"/>
          <cell r="K1315"/>
          <cell r="P1315"/>
        </row>
        <row r="1316">
          <cell r="A1316"/>
          <cell r="B1316" t="str">
            <v>HILLSBOROUGH</v>
          </cell>
          <cell r="C1316">
            <v>96831</v>
          </cell>
          <cell r="H1316"/>
          <cell r="K1316"/>
          <cell r="P1316"/>
        </row>
        <row r="1317">
          <cell r="A1317"/>
          <cell r="B1317" t="str">
            <v>HOBGOOD</v>
          </cell>
          <cell r="C1317">
            <v>94251</v>
          </cell>
          <cell r="H1317"/>
          <cell r="K1317"/>
          <cell r="P1317"/>
        </row>
        <row r="1318">
          <cell r="A1318"/>
          <cell r="B1318" t="str">
            <v>HOKE COUNTY</v>
          </cell>
          <cell r="C1318">
            <v>94701</v>
          </cell>
          <cell r="H1318"/>
          <cell r="K1318"/>
          <cell r="P1318"/>
        </row>
        <row r="1319">
          <cell r="A1319"/>
          <cell r="B1319" t="str">
            <v>HOKE COUNTY ABC BOARD</v>
          </cell>
          <cell r="C1319">
            <v>94704</v>
          </cell>
          <cell r="H1319"/>
          <cell r="K1319"/>
          <cell r="P1319"/>
        </row>
        <row r="1320">
          <cell r="A1320"/>
          <cell r="B1320" t="str">
            <v>HOLDEN BEACH</v>
          </cell>
          <cell r="C1320">
            <v>91014</v>
          </cell>
          <cell r="H1320"/>
          <cell r="K1320"/>
          <cell r="P1320"/>
        </row>
        <row r="1321">
          <cell r="A1321"/>
          <cell r="B1321" t="str">
            <v>HOLLY RIDGE</v>
          </cell>
          <cell r="C1321">
            <v>96731</v>
          </cell>
          <cell r="H1321"/>
          <cell r="K1321"/>
          <cell r="P1321"/>
        </row>
        <row r="1322">
          <cell r="A1322"/>
          <cell r="B1322" t="str">
            <v>HOLLY RIDGE HOUSING AUTHORITY</v>
          </cell>
          <cell r="C1322">
            <v>96733</v>
          </cell>
          <cell r="H1322"/>
          <cell r="K1322"/>
          <cell r="P1322"/>
        </row>
        <row r="1323">
          <cell r="A1323"/>
          <cell r="B1323" t="str">
            <v>HOLLY SPRINGS</v>
          </cell>
          <cell r="C1323">
            <v>99202</v>
          </cell>
          <cell r="H1323"/>
          <cell r="K1323"/>
          <cell r="P1323"/>
        </row>
        <row r="1324">
          <cell r="A1324"/>
          <cell r="B1324" t="str">
            <v>HOOKERTON</v>
          </cell>
          <cell r="C1324">
            <v>94011</v>
          </cell>
          <cell r="H1324"/>
          <cell r="K1324"/>
          <cell r="P1324"/>
        </row>
        <row r="1325">
          <cell r="A1325"/>
          <cell r="B1325" t="str">
            <v>HOPE MILLS</v>
          </cell>
          <cell r="C1325">
            <v>92631</v>
          </cell>
          <cell r="H1325"/>
          <cell r="K1325"/>
          <cell r="P1325"/>
        </row>
        <row r="1326">
          <cell r="A1326"/>
          <cell r="B1326" t="str">
            <v>HOT SPRINGS HOUSING AUTHORITY</v>
          </cell>
          <cell r="C1326">
            <v>95733</v>
          </cell>
          <cell r="H1326"/>
          <cell r="K1326"/>
          <cell r="P1326"/>
        </row>
        <row r="1327">
          <cell r="A1327"/>
          <cell r="B1327" t="str">
            <v>HUDSON</v>
          </cell>
          <cell r="C1327">
            <v>91431</v>
          </cell>
          <cell r="H1327"/>
          <cell r="K1327"/>
          <cell r="P1327"/>
        </row>
        <row r="1328">
          <cell r="A1328"/>
          <cell r="B1328" t="str">
            <v>HUNTERSVILLE</v>
          </cell>
          <cell r="C1328">
            <v>96041</v>
          </cell>
          <cell r="H1328"/>
          <cell r="K1328"/>
          <cell r="P1328"/>
        </row>
        <row r="1329">
          <cell r="A1329"/>
          <cell r="B1329" t="str">
            <v>HYDE COUNTY</v>
          </cell>
          <cell r="C1329">
            <v>94801</v>
          </cell>
          <cell r="H1329"/>
          <cell r="K1329"/>
          <cell r="P1329"/>
        </row>
        <row r="1330">
          <cell r="A1330"/>
          <cell r="B1330" t="str">
            <v>HYDE COUNTY ABC BOARD</v>
          </cell>
          <cell r="C1330">
            <v>94804</v>
          </cell>
          <cell r="H1330"/>
          <cell r="K1330"/>
          <cell r="P1330"/>
        </row>
        <row r="1331">
          <cell r="A1331"/>
          <cell r="B1331" t="str">
            <v>INDIAN BEACH</v>
          </cell>
          <cell r="C1331">
            <v>91661</v>
          </cell>
          <cell r="H1331"/>
          <cell r="K1331"/>
          <cell r="P1331"/>
        </row>
        <row r="1332">
          <cell r="A1332"/>
          <cell r="B1332" t="str">
            <v>INDIAN TRAIL</v>
          </cell>
          <cell r="C1332">
            <v>99051</v>
          </cell>
          <cell r="H1332"/>
          <cell r="K1332"/>
          <cell r="P1332"/>
        </row>
        <row r="1333">
          <cell r="A1333"/>
          <cell r="B1333" t="str">
            <v>INDIAN TRAIL ABC BOARD</v>
          </cell>
          <cell r="C1333">
            <v>99014</v>
          </cell>
          <cell r="H1333"/>
          <cell r="K1333"/>
          <cell r="P1333"/>
        </row>
        <row r="1334">
          <cell r="A1334"/>
          <cell r="B1334" t="str">
            <v>IREDELL COUNTY</v>
          </cell>
          <cell r="C1334">
            <v>94901</v>
          </cell>
          <cell r="H1334"/>
          <cell r="K1334"/>
          <cell r="P1334"/>
        </row>
        <row r="1335">
          <cell r="A1335"/>
          <cell r="B1335" t="str">
            <v>ISOTHERMAL PLANNING AND DEV COMM</v>
          </cell>
          <cell r="C1335">
            <v>98109</v>
          </cell>
          <cell r="H1335"/>
          <cell r="K1335"/>
          <cell r="P1335"/>
        </row>
        <row r="1336">
          <cell r="A1336"/>
          <cell r="B1336" t="str">
            <v>J C HOLIDAY MEMORIAL LIBRARY</v>
          </cell>
          <cell r="C1336">
            <v>98205</v>
          </cell>
          <cell r="H1336"/>
          <cell r="K1336"/>
          <cell r="P1336"/>
        </row>
        <row r="1337">
          <cell r="A1337"/>
          <cell r="B1337" t="str">
            <v>JACKSON</v>
          </cell>
          <cell r="C1337">
            <v>96661</v>
          </cell>
          <cell r="H1337"/>
          <cell r="K1337"/>
          <cell r="P1337"/>
        </row>
        <row r="1338">
          <cell r="A1338"/>
          <cell r="B1338" t="str">
            <v>JACKSON COUNTY</v>
          </cell>
          <cell r="C1338">
            <v>95001</v>
          </cell>
          <cell r="H1338"/>
          <cell r="K1338"/>
          <cell r="P1338"/>
        </row>
        <row r="1339">
          <cell r="A1339"/>
          <cell r="B1339" t="str">
            <v>JACKSON COUNTY ABC BOARD</v>
          </cell>
          <cell r="C1339">
            <v>95017</v>
          </cell>
          <cell r="H1339"/>
          <cell r="K1339"/>
          <cell r="P1339"/>
        </row>
        <row r="1340">
          <cell r="A1340"/>
          <cell r="B1340" t="str">
            <v>JACKSONVILLE</v>
          </cell>
          <cell r="C1340">
            <v>96711</v>
          </cell>
          <cell r="H1340"/>
          <cell r="K1340"/>
          <cell r="P1340"/>
        </row>
        <row r="1341">
          <cell r="A1341"/>
          <cell r="B1341" t="str">
            <v>JAMESTOWN</v>
          </cell>
          <cell r="C1341">
            <v>94131</v>
          </cell>
          <cell r="H1341"/>
          <cell r="K1341"/>
          <cell r="P1341"/>
        </row>
        <row r="1342">
          <cell r="A1342"/>
          <cell r="B1342" t="str">
            <v>JAMESVILLE</v>
          </cell>
          <cell r="C1342">
            <v>95841</v>
          </cell>
          <cell r="H1342"/>
          <cell r="K1342"/>
          <cell r="P1342"/>
        </row>
        <row r="1343">
          <cell r="A1343"/>
          <cell r="B1343" t="str">
            <v>JEFFERSON</v>
          </cell>
          <cell r="C1343">
            <v>90511</v>
          </cell>
          <cell r="H1343"/>
          <cell r="K1343"/>
          <cell r="P1343"/>
        </row>
        <row r="1344">
          <cell r="A1344"/>
          <cell r="B1344" t="str">
            <v>JOHNSTON COUNTY</v>
          </cell>
          <cell r="C1344">
            <v>95101</v>
          </cell>
          <cell r="H1344"/>
          <cell r="K1344"/>
          <cell r="P1344"/>
        </row>
        <row r="1345">
          <cell r="A1345"/>
          <cell r="B1345" t="str">
            <v>JOHNSTON COUNTY ABC BOARD</v>
          </cell>
          <cell r="C1345">
            <v>95104</v>
          </cell>
          <cell r="H1345"/>
          <cell r="K1345"/>
          <cell r="P1345"/>
        </row>
        <row r="1346">
          <cell r="A1346"/>
          <cell r="B1346" t="str">
            <v>JOHNSTON HEALTH CENTER</v>
          </cell>
          <cell r="C1346">
            <v>95110</v>
          </cell>
          <cell r="H1346"/>
          <cell r="K1346"/>
          <cell r="P1346"/>
        </row>
        <row r="1347">
          <cell r="A1347"/>
          <cell r="B1347" t="str">
            <v>JONES COUNTY</v>
          </cell>
          <cell r="C1347">
            <v>95201</v>
          </cell>
          <cell r="H1347"/>
          <cell r="K1347"/>
          <cell r="P1347"/>
        </row>
        <row r="1348">
          <cell r="A1348"/>
          <cell r="B1348" t="str">
            <v>JONES COUNTY ABC BOARD</v>
          </cell>
          <cell r="C1348">
            <v>95204</v>
          </cell>
          <cell r="H1348"/>
          <cell r="K1348"/>
          <cell r="P1348"/>
        </row>
        <row r="1349">
          <cell r="A1349"/>
          <cell r="B1349" t="str">
            <v>JONESVILLE</v>
          </cell>
          <cell r="C1349">
            <v>99921</v>
          </cell>
          <cell r="H1349"/>
          <cell r="K1349"/>
          <cell r="P1349"/>
        </row>
        <row r="1350">
          <cell r="A1350"/>
          <cell r="B1350" t="str">
            <v>JUNALUSKA SANITARY DISTRICT</v>
          </cell>
          <cell r="C1350">
            <v>94408</v>
          </cell>
          <cell r="H1350"/>
          <cell r="K1350"/>
          <cell r="P1350"/>
        </row>
        <row r="1351">
          <cell r="A1351"/>
          <cell r="B1351" t="str">
            <v>KANNAPOLIS</v>
          </cell>
          <cell r="C1351">
            <v>91331</v>
          </cell>
          <cell r="H1351"/>
          <cell r="K1351"/>
          <cell r="P1351"/>
        </row>
        <row r="1352">
          <cell r="A1352"/>
          <cell r="B1352" t="str">
            <v>KENANSVILLE</v>
          </cell>
          <cell r="C1352">
            <v>93121</v>
          </cell>
          <cell r="H1352"/>
          <cell r="K1352"/>
          <cell r="P1352"/>
        </row>
        <row r="1353">
          <cell r="A1353"/>
          <cell r="B1353" t="str">
            <v>KENANSVILLE ABC BOARD</v>
          </cell>
          <cell r="C1353">
            <v>93127</v>
          </cell>
          <cell r="H1353"/>
          <cell r="K1353"/>
          <cell r="P1353"/>
        </row>
        <row r="1354">
          <cell r="A1354"/>
          <cell r="B1354" t="str">
            <v>KENLY</v>
          </cell>
          <cell r="C1354">
            <v>95171</v>
          </cell>
          <cell r="H1354"/>
          <cell r="K1354"/>
          <cell r="P1354"/>
        </row>
        <row r="1355">
          <cell r="A1355"/>
          <cell r="B1355" t="str">
            <v>KERNERSVILLE</v>
          </cell>
          <cell r="C1355">
            <v>93421</v>
          </cell>
          <cell r="H1355"/>
          <cell r="K1355"/>
          <cell r="P1355"/>
        </row>
        <row r="1356">
          <cell r="A1356"/>
          <cell r="B1356" t="str">
            <v>KERR AREA TRANSPORTATION AUTHORITY</v>
          </cell>
          <cell r="C1356">
            <v>99110</v>
          </cell>
          <cell r="H1356"/>
          <cell r="K1356"/>
          <cell r="P1356"/>
        </row>
        <row r="1357">
          <cell r="A1357"/>
          <cell r="B1357" t="str">
            <v>KERR-TAR REGIONAL COUNCIL OF GOVERNMENTS</v>
          </cell>
          <cell r="C1357">
            <v>99109</v>
          </cell>
          <cell r="H1357"/>
          <cell r="K1357"/>
          <cell r="P1357"/>
        </row>
        <row r="1358">
          <cell r="A1358"/>
          <cell r="B1358" t="str">
            <v>KILL DEVIL HILLS</v>
          </cell>
          <cell r="C1358">
            <v>92821</v>
          </cell>
          <cell r="H1358"/>
          <cell r="K1358"/>
          <cell r="P1358"/>
        </row>
        <row r="1359">
          <cell r="A1359"/>
          <cell r="B1359" t="str">
            <v>KING</v>
          </cell>
          <cell r="C1359">
            <v>98521</v>
          </cell>
          <cell r="H1359"/>
          <cell r="K1359"/>
          <cell r="P1359"/>
        </row>
        <row r="1360">
          <cell r="A1360"/>
          <cell r="B1360" t="str">
            <v>KINGS MOUNTAIN</v>
          </cell>
          <cell r="C1360">
            <v>92321</v>
          </cell>
          <cell r="H1360"/>
          <cell r="K1360"/>
          <cell r="P1360"/>
        </row>
        <row r="1361">
          <cell r="A1361"/>
          <cell r="B1361" t="str">
            <v>KINGS MOUNTAIN ABC BOARD</v>
          </cell>
          <cell r="C1361">
            <v>92327</v>
          </cell>
          <cell r="H1361"/>
          <cell r="K1361"/>
          <cell r="P1361"/>
        </row>
        <row r="1362">
          <cell r="A1362"/>
          <cell r="B1362" t="str">
            <v>KINSTON</v>
          </cell>
          <cell r="C1362">
            <v>95411</v>
          </cell>
          <cell r="H1362"/>
          <cell r="K1362"/>
          <cell r="P1362"/>
        </row>
        <row r="1363">
          <cell r="A1363"/>
          <cell r="B1363" t="str">
            <v xml:space="preserve">KINSTON HOUSING AUTHORITY </v>
          </cell>
          <cell r="C1363">
            <v>95413</v>
          </cell>
          <cell r="H1363"/>
          <cell r="K1363"/>
          <cell r="P1363"/>
        </row>
        <row r="1364">
          <cell r="A1364"/>
          <cell r="B1364" t="str">
            <v>KINSTON-LENOIR CO PUBLIC LIBRARY</v>
          </cell>
          <cell r="C1364">
            <v>95415</v>
          </cell>
          <cell r="H1364"/>
          <cell r="K1364"/>
          <cell r="P1364"/>
        </row>
        <row r="1365">
          <cell r="A1365"/>
          <cell r="B1365" t="str">
            <v>KITTY HAWK</v>
          </cell>
          <cell r="C1365">
            <v>92851</v>
          </cell>
          <cell r="H1365"/>
          <cell r="K1365"/>
          <cell r="P1365"/>
        </row>
        <row r="1366">
          <cell r="A1366"/>
          <cell r="B1366" t="str">
            <v>KNIGHTDALE</v>
          </cell>
          <cell r="C1366">
            <v>99291</v>
          </cell>
          <cell r="H1366"/>
          <cell r="K1366"/>
          <cell r="P1366"/>
        </row>
        <row r="1367">
          <cell r="A1367"/>
          <cell r="B1367" t="str">
            <v>KURE BEACH</v>
          </cell>
          <cell r="C1367">
            <v>96541</v>
          </cell>
          <cell r="H1367"/>
          <cell r="K1367"/>
          <cell r="P1367"/>
        </row>
        <row r="1368">
          <cell r="A1368"/>
          <cell r="B1368" t="str">
            <v>LAGRANGE</v>
          </cell>
          <cell r="C1368">
            <v>95431</v>
          </cell>
          <cell r="H1368"/>
          <cell r="K1368"/>
          <cell r="P1368"/>
        </row>
        <row r="1369">
          <cell r="A1369"/>
          <cell r="B1369" t="str">
            <v>LAKE LURE</v>
          </cell>
          <cell r="C1369">
            <v>98131</v>
          </cell>
          <cell r="H1369"/>
          <cell r="K1369"/>
          <cell r="P1369"/>
        </row>
        <row r="1370">
          <cell r="A1370"/>
          <cell r="B1370" t="str">
            <v>LAKE WACCAMAW</v>
          </cell>
          <cell r="C1370">
            <v>92461</v>
          </cell>
          <cell r="H1370"/>
          <cell r="K1370"/>
          <cell r="P1370"/>
        </row>
        <row r="1371">
          <cell r="A1371"/>
          <cell r="B1371" t="str">
            <v>LAKE WACCAMAW ABC BOARD</v>
          </cell>
          <cell r="C1371">
            <v>92427</v>
          </cell>
          <cell r="H1371"/>
          <cell r="K1371"/>
          <cell r="P1371"/>
        </row>
        <row r="1372">
          <cell r="A1372"/>
          <cell r="B1372" t="str">
            <v>LANDIS</v>
          </cell>
          <cell r="C1372">
            <v>98051</v>
          </cell>
          <cell r="H1372"/>
          <cell r="K1372"/>
          <cell r="P1372"/>
        </row>
        <row r="1373">
          <cell r="A1373"/>
          <cell r="B1373" t="str">
            <v>LAND-OF-SKY REGIONAL COUNCIL</v>
          </cell>
          <cell r="C1373">
            <v>91102</v>
          </cell>
          <cell r="H1373"/>
          <cell r="K1373"/>
          <cell r="P1373"/>
        </row>
        <row r="1374">
          <cell r="A1374"/>
          <cell r="B1374" t="str">
            <v>LAUREL PARK</v>
          </cell>
          <cell r="C1374">
            <v>94521</v>
          </cell>
          <cell r="H1374"/>
          <cell r="K1374"/>
          <cell r="P1374"/>
        </row>
        <row r="1375">
          <cell r="A1375"/>
          <cell r="B1375" t="str">
            <v>LAUREL PARK ABC BOARD</v>
          </cell>
          <cell r="C1375">
            <v>94527</v>
          </cell>
          <cell r="H1375"/>
          <cell r="K1375"/>
          <cell r="P1375"/>
        </row>
        <row r="1376">
          <cell r="A1376"/>
          <cell r="B1376" t="str">
            <v>LAURINBURG</v>
          </cell>
          <cell r="C1376">
            <v>98311</v>
          </cell>
          <cell r="H1376"/>
          <cell r="K1376"/>
          <cell r="P1376"/>
        </row>
        <row r="1377">
          <cell r="A1377"/>
          <cell r="B1377" t="str">
            <v>LAURINBURG HOUSING AUTHORITY</v>
          </cell>
          <cell r="C1377">
            <v>98313</v>
          </cell>
          <cell r="H1377"/>
          <cell r="K1377"/>
          <cell r="P1377"/>
        </row>
        <row r="1378">
          <cell r="A1378"/>
          <cell r="B1378" t="str">
            <v>LAURINBURG-MAXTON AIRPORT COMMISSION</v>
          </cell>
          <cell r="C1378">
            <v>98308</v>
          </cell>
          <cell r="H1378"/>
          <cell r="K1378"/>
          <cell r="P1378"/>
        </row>
        <row r="1379">
          <cell r="A1379"/>
          <cell r="B1379" t="str">
            <v>LAWNDALE</v>
          </cell>
          <cell r="C1379">
            <v>92341</v>
          </cell>
          <cell r="H1379"/>
          <cell r="K1379"/>
          <cell r="P1379"/>
        </row>
        <row r="1380">
          <cell r="A1380"/>
          <cell r="B1380" t="str">
            <v>LEE COUNTY</v>
          </cell>
          <cell r="C1380">
            <v>95301</v>
          </cell>
          <cell r="H1380"/>
          <cell r="K1380"/>
          <cell r="P1380"/>
        </row>
        <row r="1381">
          <cell r="A1381"/>
          <cell r="B1381" t="str">
            <v>LELAND</v>
          </cell>
          <cell r="C1381">
            <v>91002</v>
          </cell>
          <cell r="H1381"/>
          <cell r="K1381"/>
          <cell r="P1381"/>
        </row>
        <row r="1382">
          <cell r="A1382"/>
          <cell r="B1382" t="str">
            <v>LENOIR</v>
          </cell>
          <cell r="C1382">
            <v>91451</v>
          </cell>
          <cell r="H1382"/>
          <cell r="K1382"/>
          <cell r="P1382"/>
        </row>
        <row r="1383">
          <cell r="A1383"/>
          <cell r="B1383" t="str">
            <v>LENOIR ABC BOARD</v>
          </cell>
          <cell r="C1383">
            <v>91457</v>
          </cell>
          <cell r="H1383"/>
          <cell r="K1383"/>
          <cell r="P1383"/>
        </row>
        <row r="1384">
          <cell r="A1384"/>
          <cell r="B1384" t="str">
            <v>LENOIR COUNTY</v>
          </cell>
          <cell r="C1384">
            <v>95401</v>
          </cell>
          <cell r="H1384"/>
          <cell r="K1384"/>
          <cell r="P1384"/>
        </row>
        <row r="1385">
          <cell r="A1385"/>
          <cell r="B1385" t="str">
            <v>LENOIR COUNTY ABC BOARD</v>
          </cell>
          <cell r="C1385">
            <v>95404</v>
          </cell>
          <cell r="H1385"/>
          <cell r="K1385"/>
          <cell r="P1385"/>
        </row>
        <row r="1386">
          <cell r="A1386"/>
          <cell r="B1386" t="str">
            <v>LENOIR HOUSING AUTHORITY</v>
          </cell>
          <cell r="C1386">
            <v>91423</v>
          </cell>
          <cell r="H1386"/>
          <cell r="K1386"/>
          <cell r="P1386"/>
        </row>
        <row r="1387">
          <cell r="A1387"/>
          <cell r="B1387" t="str">
            <v>LEWISTON WOODVILLE</v>
          </cell>
          <cell r="C1387">
            <v>90861</v>
          </cell>
          <cell r="H1387"/>
          <cell r="K1387"/>
          <cell r="P1387"/>
        </row>
        <row r="1388">
          <cell r="A1388"/>
          <cell r="B1388" t="str">
            <v>LEWISVILLE</v>
          </cell>
          <cell r="C1388">
            <v>93451</v>
          </cell>
          <cell r="H1388"/>
          <cell r="K1388"/>
          <cell r="P1388"/>
        </row>
        <row r="1389">
          <cell r="A1389"/>
          <cell r="B1389" t="str">
            <v>LEXINGTON</v>
          </cell>
          <cell r="C1389">
            <v>92931</v>
          </cell>
          <cell r="H1389"/>
          <cell r="K1389"/>
          <cell r="P1389"/>
        </row>
        <row r="1390">
          <cell r="A1390"/>
          <cell r="B1390" t="str">
            <v>LEXINGTON ABC BOARD</v>
          </cell>
          <cell r="C1390">
            <v>92917</v>
          </cell>
          <cell r="H1390"/>
          <cell r="K1390"/>
          <cell r="P1390"/>
        </row>
        <row r="1391">
          <cell r="A1391"/>
          <cell r="B1391" t="str">
            <v>LIBERTY</v>
          </cell>
          <cell r="C1391">
            <v>97631</v>
          </cell>
          <cell r="H1391"/>
          <cell r="K1391"/>
          <cell r="P1391"/>
        </row>
        <row r="1392">
          <cell r="A1392"/>
          <cell r="B1392" t="str">
            <v>LIBERTY ABC BOARD</v>
          </cell>
          <cell r="C1392">
            <v>97637</v>
          </cell>
          <cell r="H1392"/>
          <cell r="K1392"/>
          <cell r="P1392"/>
        </row>
        <row r="1393">
          <cell r="A1393"/>
          <cell r="B1393" t="str">
            <v>LILESVILLE</v>
          </cell>
          <cell r="C1393">
            <v>90421</v>
          </cell>
          <cell r="H1393"/>
          <cell r="K1393"/>
          <cell r="P1393"/>
        </row>
        <row r="1394">
          <cell r="A1394"/>
          <cell r="B1394" t="str">
            <v>LILLINGTON</v>
          </cell>
          <cell r="C1394">
            <v>94321</v>
          </cell>
          <cell r="H1394"/>
          <cell r="K1394"/>
          <cell r="P1394"/>
        </row>
        <row r="1395">
          <cell r="A1395"/>
          <cell r="B1395" t="str">
            <v>LINCOLN COUNTY</v>
          </cell>
          <cell r="C1395">
            <v>95501</v>
          </cell>
          <cell r="H1395"/>
          <cell r="K1395"/>
          <cell r="P1395"/>
        </row>
        <row r="1396">
          <cell r="A1396"/>
          <cell r="B1396" t="str">
            <v>LINCOLN COUNTY ABC BOARD</v>
          </cell>
          <cell r="C1396">
            <v>95504</v>
          </cell>
          <cell r="H1396"/>
          <cell r="K1396"/>
          <cell r="P1396"/>
        </row>
        <row r="1397">
          <cell r="A1397"/>
          <cell r="B1397" t="str">
            <v>LINCOLNTON</v>
          </cell>
          <cell r="C1397">
            <v>95511</v>
          </cell>
          <cell r="H1397"/>
          <cell r="K1397"/>
          <cell r="P1397"/>
        </row>
        <row r="1398">
          <cell r="A1398"/>
          <cell r="B1398" t="str">
            <v>LINCOLNTON ABC BOARD</v>
          </cell>
          <cell r="C1398">
            <v>95517</v>
          </cell>
          <cell r="H1398"/>
          <cell r="K1398"/>
          <cell r="P1398"/>
        </row>
        <row r="1399">
          <cell r="A1399"/>
          <cell r="B1399" t="str">
            <v>LINCOLNTON HOUSING AUTHORITY</v>
          </cell>
          <cell r="C1399">
            <v>95513</v>
          </cell>
          <cell r="H1399"/>
          <cell r="K1399"/>
          <cell r="P1399"/>
        </row>
        <row r="1400">
          <cell r="A1400"/>
          <cell r="B1400" t="str">
            <v>LINDEN</v>
          </cell>
          <cell r="C1400">
            <v>92651</v>
          </cell>
          <cell r="H1400"/>
          <cell r="K1400"/>
          <cell r="P1400"/>
        </row>
        <row r="1401">
          <cell r="A1401"/>
          <cell r="B1401" t="str">
            <v>LITTLETON</v>
          </cell>
          <cell r="C1401">
            <v>94261</v>
          </cell>
          <cell r="H1401"/>
          <cell r="K1401"/>
          <cell r="P1401"/>
        </row>
        <row r="1402">
          <cell r="A1402"/>
          <cell r="B1402" t="str">
            <v>LOCUST</v>
          </cell>
          <cell r="C1402">
            <v>98431</v>
          </cell>
          <cell r="H1402"/>
          <cell r="K1402"/>
          <cell r="P1402"/>
        </row>
        <row r="1403">
          <cell r="A1403"/>
          <cell r="B1403" t="str">
            <v>LOCUST ABC BOARD</v>
          </cell>
          <cell r="C1403">
            <v>98404</v>
          </cell>
          <cell r="H1403"/>
          <cell r="K1403"/>
          <cell r="P1403"/>
        </row>
        <row r="1404">
          <cell r="A1404"/>
          <cell r="B1404" t="str">
            <v>LONGVIEW</v>
          </cell>
          <cell r="C1404">
            <v>91841</v>
          </cell>
          <cell r="H1404"/>
          <cell r="K1404"/>
          <cell r="P1404"/>
        </row>
        <row r="1405">
          <cell r="A1405"/>
          <cell r="B1405" t="str">
            <v>LOUISBURG</v>
          </cell>
          <cell r="C1405">
            <v>93521</v>
          </cell>
          <cell r="H1405"/>
          <cell r="K1405"/>
          <cell r="P1405"/>
        </row>
        <row r="1406">
          <cell r="A1406"/>
          <cell r="B1406" t="str">
            <v>LOUISBURG ABC BOARD</v>
          </cell>
          <cell r="C1406">
            <v>93527</v>
          </cell>
          <cell r="H1406"/>
          <cell r="K1406"/>
          <cell r="P1406"/>
        </row>
        <row r="1407">
          <cell r="A1407"/>
          <cell r="B1407" t="str">
            <v>LOWELL</v>
          </cell>
          <cell r="C1407">
            <v>93661</v>
          </cell>
          <cell r="H1407"/>
          <cell r="K1407"/>
          <cell r="P1407"/>
        </row>
        <row r="1408">
          <cell r="A1408"/>
          <cell r="B1408" t="str">
            <v>LOWER CAPE FEAR WATER &amp; SEWER AUTHORITY</v>
          </cell>
          <cell r="C1408">
            <v>96508</v>
          </cell>
          <cell r="H1408"/>
          <cell r="K1408"/>
          <cell r="P1408"/>
        </row>
        <row r="1409">
          <cell r="A1409"/>
          <cell r="B1409" t="str">
            <v>LUCAMA</v>
          </cell>
          <cell r="C1409">
            <v>99841</v>
          </cell>
          <cell r="H1409"/>
          <cell r="K1409"/>
          <cell r="P1409"/>
        </row>
        <row r="1410">
          <cell r="A1410"/>
          <cell r="B1410" t="str">
            <v>LUMBER RIVER COUNCIL OF GOVERNMENTS</v>
          </cell>
          <cell r="C1410">
            <v>97802</v>
          </cell>
          <cell r="H1410"/>
          <cell r="K1410"/>
          <cell r="P1410"/>
        </row>
        <row r="1411">
          <cell r="A1411"/>
          <cell r="B1411" t="str">
            <v>LUMBERTON</v>
          </cell>
          <cell r="C1411">
            <v>97811</v>
          </cell>
          <cell r="H1411"/>
          <cell r="K1411"/>
          <cell r="P1411"/>
        </row>
        <row r="1412">
          <cell r="A1412"/>
          <cell r="B1412" t="str">
            <v>LUMBERTON ABC BOARD</v>
          </cell>
          <cell r="C1412">
            <v>97817</v>
          </cell>
          <cell r="H1412"/>
          <cell r="K1412"/>
          <cell r="P1412"/>
        </row>
        <row r="1413">
          <cell r="A1413"/>
          <cell r="B1413" t="str">
            <v>LUMBERTON AIRPORT COMMISSION</v>
          </cell>
          <cell r="C1413">
            <v>97818</v>
          </cell>
          <cell r="H1413"/>
          <cell r="K1413"/>
          <cell r="P1413"/>
        </row>
        <row r="1414">
          <cell r="A1414"/>
          <cell r="B1414" t="str">
            <v>MACCLESFIELD</v>
          </cell>
          <cell r="C1414">
            <v>93341</v>
          </cell>
          <cell r="H1414"/>
          <cell r="K1414"/>
          <cell r="P1414"/>
        </row>
        <row r="1415">
          <cell r="A1415"/>
          <cell r="B1415" t="str">
            <v>MACON COUNTY</v>
          </cell>
          <cell r="C1415">
            <v>95601</v>
          </cell>
          <cell r="H1415"/>
          <cell r="K1415"/>
          <cell r="P1415"/>
        </row>
        <row r="1416">
          <cell r="A1416"/>
          <cell r="B1416" t="str">
            <v>MADISON</v>
          </cell>
          <cell r="C1416">
            <v>97941</v>
          </cell>
          <cell r="H1416"/>
          <cell r="K1416"/>
          <cell r="P1416"/>
        </row>
        <row r="1417">
          <cell r="A1417"/>
          <cell r="B1417" t="str">
            <v>MADISON ABC BOARD</v>
          </cell>
          <cell r="C1417">
            <v>97947</v>
          </cell>
          <cell r="H1417"/>
          <cell r="K1417"/>
          <cell r="P1417"/>
        </row>
        <row r="1418">
          <cell r="A1418"/>
          <cell r="B1418" t="str">
            <v>MADISON COUNTY</v>
          </cell>
          <cell r="C1418">
            <v>95701</v>
          </cell>
          <cell r="H1418"/>
          <cell r="K1418"/>
          <cell r="P1418"/>
        </row>
        <row r="1419">
          <cell r="A1419"/>
          <cell r="B1419" t="str">
            <v>MADISON-MAYODAN RECREATION COMM</v>
          </cell>
          <cell r="C1419">
            <v>97948</v>
          </cell>
          <cell r="H1419"/>
          <cell r="K1419"/>
          <cell r="P1419"/>
        </row>
        <row r="1420">
          <cell r="A1420"/>
          <cell r="B1420" t="str">
            <v>MAGGIE VALLEY</v>
          </cell>
          <cell r="C1420">
            <v>94421</v>
          </cell>
          <cell r="H1420"/>
          <cell r="K1420"/>
          <cell r="P1420"/>
        </row>
        <row r="1421">
          <cell r="A1421"/>
          <cell r="B1421" t="str">
            <v>MAGGIE VALLEY ABC BOARD</v>
          </cell>
          <cell r="C1421">
            <v>94427</v>
          </cell>
          <cell r="H1421"/>
          <cell r="K1421"/>
          <cell r="P1421"/>
        </row>
        <row r="1422">
          <cell r="A1422"/>
          <cell r="B1422" t="str">
            <v>MAGGIE VALLEY SANITARY DISTRICT</v>
          </cell>
          <cell r="C1422">
            <v>94428</v>
          </cell>
          <cell r="H1422"/>
          <cell r="K1422"/>
          <cell r="P1422"/>
        </row>
        <row r="1423">
          <cell r="A1423"/>
          <cell r="B1423" t="str">
            <v>MAGNOLIA</v>
          </cell>
          <cell r="C1423">
            <v>93191</v>
          </cell>
          <cell r="H1423"/>
          <cell r="K1423"/>
          <cell r="P1423"/>
        </row>
        <row r="1424">
          <cell r="A1424"/>
          <cell r="B1424" t="str">
            <v>MAIDEN</v>
          </cell>
          <cell r="C1424">
            <v>91831</v>
          </cell>
          <cell r="H1424"/>
          <cell r="K1424"/>
          <cell r="P1424"/>
        </row>
        <row r="1425">
          <cell r="A1425"/>
          <cell r="B1425" t="str">
            <v>MANTEO</v>
          </cell>
          <cell r="C1425">
            <v>92831</v>
          </cell>
          <cell r="H1425"/>
          <cell r="K1425"/>
          <cell r="P1425"/>
        </row>
        <row r="1426">
          <cell r="A1426"/>
          <cell r="B1426" t="str">
            <v>MARION</v>
          </cell>
          <cell r="C1426">
            <v>95911</v>
          </cell>
          <cell r="H1426"/>
          <cell r="K1426"/>
          <cell r="P1426"/>
        </row>
        <row r="1427">
          <cell r="A1427"/>
          <cell r="B1427" t="str">
            <v>MARION ABC BOARD</v>
          </cell>
          <cell r="C1427">
            <v>95917</v>
          </cell>
          <cell r="H1427"/>
          <cell r="K1427"/>
          <cell r="P1427"/>
        </row>
        <row r="1428">
          <cell r="A1428"/>
          <cell r="B1428" t="str">
            <v>MARS HILL</v>
          </cell>
          <cell r="C1428">
            <v>95711</v>
          </cell>
          <cell r="H1428"/>
          <cell r="K1428"/>
          <cell r="P1428"/>
        </row>
        <row r="1429">
          <cell r="A1429"/>
          <cell r="B1429" t="str">
            <v>MARSHALL</v>
          </cell>
          <cell r="C1429">
            <v>95721</v>
          </cell>
          <cell r="H1429"/>
          <cell r="K1429"/>
          <cell r="P1429"/>
        </row>
        <row r="1430">
          <cell r="A1430"/>
          <cell r="B1430" t="str">
            <v>MARSHVILLE</v>
          </cell>
          <cell r="C1430">
            <v>99021</v>
          </cell>
          <cell r="H1430"/>
          <cell r="K1430"/>
          <cell r="P1430"/>
        </row>
        <row r="1431">
          <cell r="A1431"/>
          <cell r="B1431" t="str">
            <v>MARTIN CO TRAVEL &amp; TOURISM AUTHORITY</v>
          </cell>
          <cell r="C1431">
            <v>95802</v>
          </cell>
          <cell r="H1431"/>
          <cell r="K1431"/>
          <cell r="P1431"/>
        </row>
        <row r="1432">
          <cell r="A1432"/>
          <cell r="B1432" t="str">
            <v>MARTIN COUNTY</v>
          </cell>
          <cell r="C1432">
            <v>95801</v>
          </cell>
          <cell r="H1432"/>
          <cell r="K1432"/>
          <cell r="P1432"/>
        </row>
        <row r="1433">
          <cell r="A1433"/>
          <cell r="B1433" t="str">
            <v>MARTIN COUNTY ABC BOARD</v>
          </cell>
          <cell r="C1433">
            <v>95804</v>
          </cell>
          <cell r="H1433"/>
          <cell r="K1433"/>
          <cell r="P1433"/>
        </row>
        <row r="1434">
          <cell r="A1434"/>
          <cell r="B1434" t="str">
            <v>MARTIN-TYRRELL-WASHINGTON DISTRICT HEALTH DEPT</v>
          </cell>
          <cell r="C1434">
            <v>90092</v>
          </cell>
          <cell r="H1434"/>
          <cell r="K1434"/>
          <cell r="P1434"/>
        </row>
        <row r="1435">
          <cell r="A1435"/>
          <cell r="B1435" t="str">
            <v>MARVIN</v>
          </cell>
          <cell r="C1435">
            <v>99081</v>
          </cell>
          <cell r="H1435"/>
          <cell r="K1435"/>
          <cell r="P1435"/>
        </row>
        <row r="1436">
          <cell r="A1436"/>
          <cell r="B1436" t="str">
            <v>MATTHEWS</v>
          </cell>
          <cell r="C1436">
            <v>96071</v>
          </cell>
          <cell r="H1436"/>
          <cell r="K1436"/>
          <cell r="P1436"/>
        </row>
        <row r="1437">
          <cell r="A1437"/>
          <cell r="B1437" t="str">
            <v>MAURY SANITARY LAND DISTRICT</v>
          </cell>
          <cell r="C1437">
            <v>94002</v>
          </cell>
          <cell r="H1437"/>
          <cell r="K1437"/>
          <cell r="P1437"/>
        </row>
        <row r="1438">
          <cell r="A1438"/>
          <cell r="B1438" t="str">
            <v>MAXTON</v>
          </cell>
          <cell r="C1438">
            <v>97840</v>
          </cell>
          <cell r="H1438"/>
          <cell r="K1438"/>
          <cell r="P1438"/>
        </row>
        <row r="1439">
          <cell r="A1439"/>
          <cell r="B1439" t="str">
            <v>MAXTON ABC BOARD</v>
          </cell>
          <cell r="C1439">
            <v>97847</v>
          </cell>
          <cell r="H1439"/>
          <cell r="K1439"/>
          <cell r="P1439"/>
        </row>
        <row r="1440">
          <cell r="A1440"/>
          <cell r="B1440" t="str">
            <v>MAYODAN</v>
          </cell>
          <cell r="C1440">
            <v>97921</v>
          </cell>
          <cell r="H1440"/>
          <cell r="K1440"/>
          <cell r="P1440"/>
        </row>
        <row r="1441">
          <cell r="A1441"/>
          <cell r="B1441" t="str">
            <v>MAYSVILLE</v>
          </cell>
          <cell r="C1441">
            <v>95221</v>
          </cell>
          <cell r="H1441"/>
          <cell r="K1441"/>
          <cell r="P1441"/>
        </row>
        <row r="1442">
          <cell r="A1442"/>
          <cell r="B1442" t="str">
            <v>MCADENVILLE</v>
          </cell>
          <cell r="C1442">
            <v>93610</v>
          </cell>
          <cell r="H1442"/>
          <cell r="K1442"/>
          <cell r="P1442"/>
        </row>
        <row r="1443">
          <cell r="A1443"/>
          <cell r="B1443" t="str">
            <v>MCDOWELL COUNTY</v>
          </cell>
          <cell r="C1443">
            <v>95901</v>
          </cell>
          <cell r="H1443"/>
          <cell r="K1443"/>
          <cell r="P1443"/>
        </row>
        <row r="1444">
          <cell r="A1444"/>
          <cell r="B1444" t="str">
            <v>MEBANE</v>
          </cell>
          <cell r="C1444">
            <v>90114</v>
          </cell>
          <cell r="H1444"/>
          <cell r="K1444"/>
          <cell r="P1444"/>
        </row>
        <row r="1445">
          <cell r="A1445"/>
          <cell r="B1445" t="str">
            <v>MECKLENBURG COUNTY</v>
          </cell>
          <cell r="C1445">
            <v>96001</v>
          </cell>
          <cell r="H1445"/>
          <cell r="K1445"/>
          <cell r="P1445"/>
        </row>
        <row r="1446">
          <cell r="A1446"/>
          <cell r="B1446" t="str">
            <v>MECKLENBURG COUNTY ABC BOARD</v>
          </cell>
          <cell r="C1446">
            <v>96004</v>
          </cell>
          <cell r="H1446"/>
          <cell r="K1446"/>
          <cell r="P1446"/>
        </row>
        <row r="1447">
          <cell r="A1447"/>
          <cell r="B1447" t="str">
            <v>MECKLENBURG EMERGENCY MEDICAL SVCS AGCY</v>
          </cell>
          <cell r="C1447">
            <v>96008</v>
          </cell>
          <cell r="H1447"/>
          <cell r="K1447"/>
          <cell r="P1447"/>
        </row>
        <row r="1448">
          <cell r="A1448"/>
          <cell r="B1448" t="str">
            <v>METRO SEWERAGE DIST OF BUNCOMBE COUNTY</v>
          </cell>
          <cell r="C1448">
            <v>91108</v>
          </cell>
          <cell r="H1448"/>
          <cell r="K1448"/>
          <cell r="P1448"/>
        </row>
        <row r="1449">
          <cell r="A1449"/>
          <cell r="B1449" t="str">
            <v>MI CONNECTION COMMUNICATIONS SYSTEM</v>
          </cell>
          <cell r="C1449">
            <v>94941</v>
          </cell>
          <cell r="H1449"/>
          <cell r="K1449"/>
          <cell r="P1449"/>
        </row>
        <row r="1450">
          <cell r="A1450"/>
          <cell r="B1450" t="str">
            <v>MICRO</v>
          </cell>
          <cell r="C1450">
            <v>95122</v>
          </cell>
          <cell r="H1450"/>
          <cell r="K1450"/>
          <cell r="P1450"/>
        </row>
        <row r="1451">
          <cell r="A1451"/>
          <cell r="B1451" t="str">
            <v>MID-CAROLINA COUNCIL OF GOVERNMENTS</v>
          </cell>
          <cell r="C1451">
            <v>92607</v>
          </cell>
          <cell r="H1451"/>
          <cell r="K1451"/>
          <cell r="P1451"/>
        </row>
        <row r="1452">
          <cell r="A1452"/>
          <cell r="B1452" t="str">
            <v>MIDDLESEX</v>
          </cell>
          <cell r="C1452">
            <v>96431</v>
          </cell>
          <cell r="H1452"/>
          <cell r="K1452"/>
          <cell r="P1452"/>
        </row>
        <row r="1453">
          <cell r="A1453"/>
          <cell r="B1453" t="str">
            <v>MIDEAST COMMISSION</v>
          </cell>
          <cell r="C1453">
            <v>90709</v>
          </cell>
          <cell r="H1453"/>
          <cell r="K1453"/>
          <cell r="P1453"/>
        </row>
        <row r="1454">
          <cell r="A1454"/>
          <cell r="B1454" t="str">
            <v>MIDLAND</v>
          </cell>
          <cell r="C1454">
            <v>91341</v>
          </cell>
          <cell r="H1454"/>
          <cell r="K1454"/>
          <cell r="P1454"/>
        </row>
        <row r="1455">
          <cell r="A1455"/>
          <cell r="B1455" t="str">
            <v>MIDWAY</v>
          </cell>
          <cell r="C1455">
            <v>92941</v>
          </cell>
          <cell r="H1455"/>
          <cell r="K1455"/>
          <cell r="P1455"/>
        </row>
        <row r="1456">
          <cell r="A1456"/>
          <cell r="B1456" t="str">
            <v>MILLS RIVER</v>
          </cell>
          <cell r="C1456">
            <v>94551</v>
          </cell>
          <cell r="H1456"/>
          <cell r="K1456"/>
          <cell r="P1456"/>
        </row>
        <row r="1457">
          <cell r="A1457"/>
          <cell r="B1457" t="str">
            <v>MINERAL SPRINGS</v>
          </cell>
          <cell r="C1457">
            <v>99022</v>
          </cell>
          <cell r="H1457"/>
          <cell r="K1457"/>
          <cell r="P1457"/>
        </row>
        <row r="1458">
          <cell r="A1458"/>
          <cell r="B1458" t="str">
            <v>MINT HILL</v>
          </cell>
          <cell r="C1458">
            <v>96031</v>
          </cell>
          <cell r="H1458"/>
          <cell r="K1458"/>
          <cell r="P1458"/>
        </row>
        <row r="1459">
          <cell r="A1459"/>
          <cell r="B1459" t="str">
            <v>MISENHEIMER</v>
          </cell>
          <cell r="C1459">
            <v>98414</v>
          </cell>
          <cell r="H1459"/>
          <cell r="K1459"/>
          <cell r="P1459"/>
        </row>
        <row r="1460">
          <cell r="A1460"/>
          <cell r="B1460" t="str">
            <v>MITCHELL COUNTY</v>
          </cell>
          <cell r="C1460">
            <v>96101</v>
          </cell>
          <cell r="H1460"/>
          <cell r="K1460"/>
          <cell r="P1460"/>
        </row>
        <row r="1461">
          <cell r="A1461"/>
          <cell r="B1461" t="str">
            <v>MITCHELL SOIL &amp; WATER CONSERVATION DISTRICT</v>
          </cell>
          <cell r="C1461">
            <v>96102</v>
          </cell>
          <cell r="H1461"/>
          <cell r="K1461"/>
          <cell r="P1461"/>
        </row>
        <row r="1462">
          <cell r="A1462"/>
          <cell r="B1462" t="str">
            <v>MOCKSVILLE</v>
          </cell>
          <cell r="C1462">
            <v>93011</v>
          </cell>
          <cell r="H1462"/>
          <cell r="K1462"/>
          <cell r="P1462"/>
        </row>
        <row r="1463">
          <cell r="A1463"/>
          <cell r="B1463" t="str">
            <v>MONROE</v>
          </cell>
          <cell r="C1463">
            <v>99011</v>
          </cell>
          <cell r="H1463"/>
          <cell r="K1463"/>
          <cell r="P1463"/>
        </row>
        <row r="1464">
          <cell r="A1464"/>
          <cell r="B1464" t="str">
            <v>MONROE ABC BOARD</v>
          </cell>
          <cell r="C1464">
            <v>99017</v>
          </cell>
          <cell r="H1464"/>
          <cell r="K1464"/>
          <cell r="P1464"/>
        </row>
        <row r="1465">
          <cell r="A1465"/>
          <cell r="B1465" t="str">
            <v>MONROE HOUSING AUTHORITY</v>
          </cell>
          <cell r="C1465">
            <v>99013</v>
          </cell>
          <cell r="H1465"/>
          <cell r="K1465"/>
          <cell r="P1465"/>
        </row>
        <row r="1466">
          <cell r="A1466"/>
          <cell r="B1466" t="str">
            <v>MONTGOMERY COUNTY</v>
          </cell>
          <cell r="C1466">
            <v>96201</v>
          </cell>
          <cell r="H1466"/>
          <cell r="K1466"/>
          <cell r="P1466"/>
        </row>
        <row r="1467">
          <cell r="A1467"/>
          <cell r="B1467" t="str">
            <v>MONTGOMERY-MUNICIPAL ABC BOARD</v>
          </cell>
          <cell r="C1467">
            <v>96204</v>
          </cell>
          <cell r="H1467"/>
          <cell r="K1467"/>
          <cell r="P1467"/>
        </row>
        <row r="1468">
          <cell r="A1468"/>
          <cell r="B1468" t="str">
            <v>MONTREAT</v>
          </cell>
          <cell r="C1468">
            <v>91161</v>
          </cell>
          <cell r="H1468"/>
          <cell r="K1468"/>
          <cell r="P1468"/>
        </row>
        <row r="1469">
          <cell r="A1469"/>
          <cell r="B1469" t="str">
            <v>MOORE COUNTY</v>
          </cell>
          <cell r="C1469">
            <v>96301</v>
          </cell>
          <cell r="H1469"/>
          <cell r="K1469"/>
          <cell r="P1469"/>
        </row>
        <row r="1470">
          <cell r="A1470"/>
          <cell r="B1470" t="str">
            <v>MOORE COUNTY ABC BOARD</v>
          </cell>
          <cell r="C1470">
            <v>96304</v>
          </cell>
          <cell r="H1470"/>
          <cell r="K1470"/>
          <cell r="P1470"/>
        </row>
        <row r="1471">
          <cell r="A1471"/>
          <cell r="B1471" t="str">
            <v>MOORE COUNTY AIRPORT AUTHORITY</v>
          </cell>
          <cell r="C1471">
            <v>96310</v>
          </cell>
          <cell r="H1471"/>
          <cell r="K1471"/>
          <cell r="P1471"/>
        </row>
        <row r="1472">
          <cell r="A1472"/>
          <cell r="B1472" t="str">
            <v>MOORE COUNTY TOURISM DEVELOPMENT AUTHORITY</v>
          </cell>
          <cell r="C1472">
            <v>96305</v>
          </cell>
          <cell r="H1472"/>
          <cell r="K1472"/>
          <cell r="P1472"/>
        </row>
        <row r="1473">
          <cell r="A1473"/>
          <cell r="B1473" t="str">
            <v>MOORESVILLE</v>
          </cell>
          <cell r="C1473">
            <v>94921</v>
          </cell>
          <cell r="H1473"/>
          <cell r="K1473"/>
          <cell r="P1473"/>
        </row>
        <row r="1474">
          <cell r="A1474"/>
          <cell r="B1474" t="str">
            <v>MOORESVILLE ABC BOARD</v>
          </cell>
          <cell r="C1474">
            <v>94927</v>
          </cell>
          <cell r="H1474"/>
          <cell r="K1474"/>
          <cell r="P1474"/>
        </row>
        <row r="1475">
          <cell r="A1475"/>
          <cell r="B1475" t="str">
            <v>MOORESVILLE HOUSING AUTHORITY</v>
          </cell>
          <cell r="C1475">
            <v>94923</v>
          </cell>
          <cell r="H1475"/>
          <cell r="K1475"/>
          <cell r="P1475"/>
        </row>
        <row r="1476">
          <cell r="A1476"/>
          <cell r="B1476" t="str">
            <v>MOREHEAD CITY</v>
          </cell>
          <cell r="C1476">
            <v>91611</v>
          </cell>
          <cell r="H1476"/>
          <cell r="K1476"/>
          <cell r="P1476"/>
        </row>
        <row r="1477">
          <cell r="A1477"/>
          <cell r="B1477" t="str">
            <v>MORGANTON</v>
          </cell>
          <cell r="C1477">
            <v>91231</v>
          </cell>
          <cell r="H1477"/>
          <cell r="K1477"/>
          <cell r="P1477"/>
        </row>
        <row r="1478">
          <cell r="A1478"/>
          <cell r="B1478" t="str">
            <v>MORGANTON ABC BOARD</v>
          </cell>
          <cell r="C1478">
            <v>91217</v>
          </cell>
          <cell r="H1478"/>
          <cell r="K1478"/>
          <cell r="P1478"/>
        </row>
        <row r="1479">
          <cell r="A1479"/>
          <cell r="B1479" t="str">
            <v>MORGANTON HOUSING AUTHORITY</v>
          </cell>
          <cell r="C1479">
            <v>91233</v>
          </cell>
          <cell r="H1479"/>
          <cell r="K1479"/>
          <cell r="P1479"/>
        </row>
        <row r="1480">
          <cell r="A1480"/>
          <cell r="B1480" t="str">
            <v>MORRISVILLE</v>
          </cell>
          <cell r="C1480">
            <v>99206</v>
          </cell>
          <cell r="H1480"/>
          <cell r="K1480"/>
          <cell r="P1480"/>
        </row>
        <row r="1481">
          <cell r="A1481"/>
          <cell r="B1481" t="str">
            <v>MORVEN</v>
          </cell>
          <cell r="C1481">
            <v>90461</v>
          </cell>
          <cell r="H1481"/>
          <cell r="K1481"/>
          <cell r="P1481"/>
        </row>
        <row r="1482">
          <cell r="A1482"/>
          <cell r="B1482" t="str">
            <v>MOUNT AIRY</v>
          </cell>
          <cell r="C1482">
            <v>98631</v>
          </cell>
          <cell r="H1482"/>
          <cell r="K1482"/>
          <cell r="P1482"/>
        </row>
        <row r="1483">
          <cell r="A1483"/>
          <cell r="B1483" t="str">
            <v>MOUNT AIRY ALCOHOLIC BOARD OF CONTROL</v>
          </cell>
          <cell r="C1483">
            <v>98637</v>
          </cell>
          <cell r="H1483"/>
          <cell r="K1483"/>
          <cell r="P1483"/>
        </row>
        <row r="1484">
          <cell r="A1484"/>
          <cell r="B1484" t="str">
            <v>MOUNT GILEAD</v>
          </cell>
          <cell r="C1484">
            <v>96251</v>
          </cell>
          <cell r="H1484"/>
          <cell r="K1484"/>
          <cell r="P1484"/>
        </row>
        <row r="1485">
          <cell r="A1485"/>
          <cell r="B1485" t="str">
            <v>MOUNT HOLLY</v>
          </cell>
          <cell r="C1485">
            <v>93691</v>
          </cell>
          <cell r="H1485"/>
          <cell r="K1485"/>
          <cell r="P1485"/>
        </row>
        <row r="1486">
          <cell r="A1486"/>
          <cell r="B1486" t="str">
            <v>MOUNT OLIVE</v>
          </cell>
          <cell r="C1486">
            <v>99621</v>
          </cell>
          <cell r="H1486"/>
          <cell r="K1486"/>
          <cell r="P1486"/>
        </row>
        <row r="1487">
          <cell r="A1487"/>
          <cell r="B1487" t="str">
            <v>MOUNT OLIVE HOUSING AUTHORITY</v>
          </cell>
          <cell r="C1487">
            <v>99623</v>
          </cell>
          <cell r="H1487"/>
          <cell r="K1487"/>
          <cell r="P1487"/>
        </row>
        <row r="1488">
          <cell r="A1488"/>
          <cell r="B1488" t="str">
            <v>MOUNT PLEASANT</v>
          </cell>
          <cell r="C1488">
            <v>91321</v>
          </cell>
          <cell r="H1488"/>
          <cell r="K1488"/>
          <cell r="P1488"/>
        </row>
        <row r="1489">
          <cell r="A1489"/>
          <cell r="B1489" t="str">
            <v>MOUNT PLEASANT ABC BOARD</v>
          </cell>
          <cell r="C1489">
            <v>91327</v>
          </cell>
          <cell r="H1489"/>
          <cell r="K1489"/>
          <cell r="P1489"/>
        </row>
        <row r="1490">
          <cell r="A1490"/>
          <cell r="B1490" t="str">
            <v>MURFREESBORO</v>
          </cell>
          <cell r="C1490">
            <v>94621</v>
          </cell>
          <cell r="H1490"/>
          <cell r="K1490"/>
          <cell r="P1490"/>
        </row>
        <row r="1491">
          <cell r="A1491"/>
          <cell r="B1491" t="str">
            <v>MURPHY</v>
          </cell>
          <cell r="C1491">
            <v>92011</v>
          </cell>
          <cell r="H1491"/>
          <cell r="K1491"/>
          <cell r="P1491"/>
        </row>
        <row r="1492">
          <cell r="A1492"/>
          <cell r="B1492" t="str">
            <v>MURPHY ABC BOARD</v>
          </cell>
          <cell r="C1492">
            <v>92017</v>
          </cell>
          <cell r="H1492"/>
          <cell r="K1492"/>
          <cell r="P1492"/>
        </row>
        <row r="1493">
          <cell r="A1493"/>
          <cell r="B1493" t="str">
            <v>N C ASSOC OF CO COMMISSIONERS</v>
          </cell>
          <cell r="C1493">
            <v>99991</v>
          </cell>
          <cell r="H1493"/>
          <cell r="K1493"/>
          <cell r="P1493"/>
        </row>
        <row r="1494">
          <cell r="A1494"/>
          <cell r="B1494" t="str">
            <v>N C LEAGUE OF MUNICIPALITIES</v>
          </cell>
          <cell r="C1494">
            <v>99999</v>
          </cell>
          <cell r="H1494"/>
          <cell r="K1494"/>
          <cell r="P1494"/>
        </row>
        <row r="1495">
          <cell r="A1495"/>
          <cell r="B1495" t="str">
            <v>NAGS HEAD</v>
          </cell>
          <cell r="C1495">
            <v>92811</v>
          </cell>
          <cell r="H1495"/>
          <cell r="K1495"/>
          <cell r="P1495"/>
        </row>
        <row r="1496">
          <cell r="A1496"/>
          <cell r="B1496" t="str">
            <v>NANTAHALA REGIONAL LIBRARY</v>
          </cell>
          <cell r="C1496">
            <v>92005</v>
          </cell>
          <cell r="H1496"/>
          <cell r="K1496"/>
          <cell r="P1496"/>
        </row>
        <row r="1497">
          <cell r="A1497"/>
          <cell r="B1497" t="str">
            <v>NASH COUNTY</v>
          </cell>
          <cell r="C1497">
            <v>96401</v>
          </cell>
          <cell r="H1497"/>
          <cell r="K1497"/>
          <cell r="P1497"/>
        </row>
        <row r="1498">
          <cell r="A1498"/>
          <cell r="B1498" t="str">
            <v>NASH COUNTY ABC BOARD</v>
          </cell>
          <cell r="C1498">
            <v>96404</v>
          </cell>
          <cell r="H1498"/>
          <cell r="K1498"/>
          <cell r="P1498"/>
        </row>
        <row r="1499">
          <cell r="A1499"/>
          <cell r="B1499" t="str">
            <v>NASHVILLE</v>
          </cell>
          <cell r="C1499">
            <v>96421</v>
          </cell>
          <cell r="H1499"/>
          <cell r="K1499"/>
          <cell r="P1499"/>
        </row>
        <row r="1500">
          <cell r="A1500"/>
          <cell r="B1500" t="str">
            <v>NAVASSA</v>
          </cell>
          <cell r="C1500">
            <v>91026</v>
          </cell>
          <cell r="H1500"/>
          <cell r="K1500"/>
          <cell r="P1500"/>
        </row>
        <row r="1501">
          <cell r="A1501"/>
          <cell r="B1501" t="str">
            <v>NEUSE REGIONAL LIBRARY</v>
          </cell>
          <cell r="C1501">
            <v>95405</v>
          </cell>
          <cell r="H1501"/>
          <cell r="K1501"/>
          <cell r="P1501"/>
        </row>
        <row r="1502">
          <cell r="A1502"/>
          <cell r="B1502" t="str">
            <v>NEUSE REGIONAL LIBRARY-GREENE COUNTY</v>
          </cell>
          <cell r="C1502">
            <v>94005</v>
          </cell>
          <cell r="H1502"/>
          <cell r="K1502"/>
          <cell r="P1502"/>
        </row>
        <row r="1503">
          <cell r="A1503"/>
          <cell r="B1503" t="str">
            <v>NEUSE REGIONAL LIBRARY-JONES COUNTY</v>
          </cell>
          <cell r="C1503">
            <v>95205</v>
          </cell>
          <cell r="H1503"/>
          <cell r="K1503"/>
          <cell r="P1503"/>
        </row>
        <row r="1504">
          <cell r="A1504"/>
          <cell r="B1504" t="str">
            <v>NEUSE RIVER COUNCIL OF GOVERNMENTS</v>
          </cell>
          <cell r="C1504">
            <v>92507</v>
          </cell>
          <cell r="H1504"/>
          <cell r="K1504"/>
          <cell r="P1504"/>
        </row>
        <row r="1505">
          <cell r="A1505"/>
          <cell r="B1505" t="str">
            <v>NEW BERN</v>
          </cell>
          <cell r="C1505">
            <v>92511</v>
          </cell>
          <cell r="H1505"/>
          <cell r="K1505"/>
          <cell r="P1505"/>
        </row>
        <row r="1506">
          <cell r="A1506"/>
          <cell r="B1506" t="str">
            <v>NEW EDENTON HOUSING AUTHORITY</v>
          </cell>
          <cell r="C1506">
            <v>92113</v>
          </cell>
          <cell r="H1506"/>
          <cell r="K1506"/>
          <cell r="P1506"/>
        </row>
        <row r="1507">
          <cell r="A1507"/>
          <cell r="B1507" t="str">
            <v>NEW HANOVER AIRPORT AUTHORITY</v>
          </cell>
          <cell r="C1507">
            <v>96502</v>
          </cell>
          <cell r="H1507"/>
          <cell r="K1507"/>
          <cell r="P1507"/>
        </row>
        <row r="1508">
          <cell r="A1508"/>
          <cell r="B1508" t="str">
            <v>NEW HANOVER COUNTY</v>
          </cell>
          <cell r="C1508">
            <v>96501</v>
          </cell>
          <cell r="H1508"/>
          <cell r="K1508"/>
          <cell r="P1508"/>
        </row>
        <row r="1509">
          <cell r="A1509"/>
          <cell r="B1509" t="str">
            <v>NEW HANOVER COUNTY ABC BOARD</v>
          </cell>
          <cell r="C1509">
            <v>96504</v>
          </cell>
          <cell r="H1509"/>
          <cell r="K1509"/>
          <cell r="P1509"/>
        </row>
        <row r="1510">
          <cell r="A1510"/>
          <cell r="B1510" t="str">
            <v>NEW LONDON</v>
          </cell>
          <cell r="C1510">
            <v>98471</v>
          </cell>
          <cell r="H1510"/>
          <cell r="K1510"/>
          <cell r="P1510"/>
        </row>
        <row r="1511">
          <cell r="A1511"/>
          <cell r="B1511" t="str">
            <v>NEW REIDSVILLE HOUSING AUTHORITY</v>
          </cell>
          <cell r="C1511">
            <v>97913</v>
          </cell>
          <cell r="H1511"/>
          <cell r="K1511"/>
          <cell r="P1511"/>
        </row>
        <row r="1512">
          <cell r="A1512"/>
          <cell r="B1512" t="str">
            <v>NEWLAND</v>
          </cell>
          <cell r="C1512">
            <v>90621</v>
          </cell>
          <cell r="H1512"/>
          <cell r="K1512"/>
          <cell r="P1512"/>
        </row>
        <row r="1513">
          <cell r="A1513"/>
          <cell r="B1513" t="str">
            <v>NEWPORT</v>
          </cell>
          <cell r="C1513">
            <v>91621</v>
          </cell>
          <cell r="H1513"/>
          <cell r="K1513"/>
          <cell r="P1513"/>
        </row>
        <row r="1514">
          <cell r="A1514"/>
          <cell r="B1514" t="str">
            <v>NEWTON</v>
          </cell>
          <cell r="C1514">
            <v>91871</v>
          </cell>
          <cell r="H1514"/>
          <cell r="K1514"/>
          <cell r="P1514"/>
        </row>
        <row r="1515">
          <cell r="A1515"/>
          <cell r="B1515" t="str">
            <v>NEWTON GROVE</v>
          </cell>
          <cell r="C1515">
            <v>98231</v>
          </cell>
          <cell r="H1515"/>
          <cell r="K1515"/>
          <cell r="P1515"/>
        </row>
        <row r="1516">
          <cell r="A1516"/>
          <cell r="B1516" t="str">
            <v>NORLINA</v>
          </cell>
          <cell r="C1516">
            <v>99311</v>
          </cell>
          <cell r="H1516"/>
          <cell r="K1516"/>
          <cell r="P1516"/>
        </row>
        <row r="1517">
          <cell r="A1517"/>
          <cell r="B1517" t="str">
            <v>NORTH TOPSAIL BEACH</v>
          </cell>
          <cell r="C1517">
            <v>96751</v>
          </cell>
          <cell r="H1517"/>
          <cell r="K1517"/>
          <cell r="P1517"/>
        </row>
        <row r="1518">
          <cell r="A1518"/>
          <cell r="B1518" t="str">
            <v>NORTH WILKESBORO</v>
          </cell>
          <cell r="C1518">
            <v>99711</v>
          </cell>
          <cell r="H1518"/>
          <cell r="K1518"/>
          <cell r="P1518"/>
        </row>
        <row r="1519">
          <cell r="A1519"/>
          <cell r="B1519" t="str">
            <v>NORTH WILKESBORO ABC BOARD</v>
          </cell>
          <cell r="C1519">
            <v>99717</v>
          </cell>
          <cell r="H1519"/>
          <cell r="K1519"/>
          <cell r="P1519"/>
        </row>
        <row r="1520">
          <cell r="A1520"/>
          <cell r="B1520" t="str">
            <v>NORTHAMPTON COUNTY</v>
          </cell>
          <cell r="C1520">
            <v>96601</v>
          </cell>
          <cell r="H1520"/>
          <cell r="K1520"/>
          <cell r="P1520"/>
        </row>
        <row r="1521">
          <cell r="A1521"/>
          <cell r="B1521" t="str">
            <v>NORTHAMPTON COUNTY ABC BOARD</v>
          </cell>
          <cell r="C1521">
            <v>96604</v>
          </cell>
          <cell r="H1521"/>
          <cell r="K1521"/>
          <cell r="P1521"/>
        </row>
        <row r="1522">
          <cell r="A1522"/>
          <cell r="B1522" t="str">
            <v>NORTHWEST</v>
          </cell>
          <cell r="C1522">
            <v>91012</v>
          </cell>
          <cell r="H1522"/>
          <cell r="K1522"/>
          <cell r="P1522"/>
        </row>
        <row r="1523">
          <cell r="A1523"/>
          <cell r="B1523" t="str">
            <v>NORTHWESTERN REGIONAL LIBRARY</v>
          </cell>
          <cell r="C1523">
            <v>90305</v>
          </cell>
          <cell r="H1523"/>
          <cell r="K1523"/>
          <cell r="P1523"/>
        </row>
        <row r="1524">
          <cell r="A1524"/>
          <cell r="B1524" t="str">
            <v>NORWOOD</v>
          </cell>
          <cell r="C1524">
            <v>98421</v>
          </cell>
          <cell r="H1524"/>
          <cell r="K1524"/>
          <cell r="P1524"/>
        </row>
        <row r="1525">
          <cell r="A1525"/>
          <cell r="B1525" t="str">
            <v>NORWOOD ABC BOARD</v>
          </cell>
          <cell r="C1525">
            <v>98427</v>
          </cell>
          <cell r="H1525"/>
          <cell r="K1525"/>
          <cell r="P1525"/>
        </row>
        <row r="1526">
          <cell r="A1526"/>
          <cell r="B1526" t="str">
            <v>OAK CITY</v>
          </cell>
          <cell r="C1526">
            <v>95821</v>
          </cell>
          <cell r="H1526"/>
          <cell r="K1526"/>
          <cell r="P1526"/>
        </row>
        <row r="1527">
          <cell r="A1527"/>
          <cell r="B1527" t="str">
            <v>OAK ISLAND</v>
          </cell>
          <cell r="C1527">
            <v>91021</v>
          </cell>
          <cell r="H1527"/>
          <cell r="K1527"/>
          <cell r="P1527"/>
        </row>
        <row r="1528">
          <cell r="A1528"/>
          <cell r="B1528" t="str">
            <v>OAK ISLAND ABC BOARD</v>
          </cell>
          <cell r="C1528">
            <v>91027</v>
          </cell>
          <cell r="H1528"/>
          <cell r="K1528"/>
          <cell r="P1528"/>
        </row>
        <row r="1529">
          <cell r="A1529"/>
          <cell r="B1529" t="str">
            <v>OAK RIDGE</v>
          </cell>
          <cell r="C1529">
            <v>94161</v>
          </cell>
          <cell r="H1529"/>
          <cell r="K1529"/>
          <cell r="P1529"/>
        </row>
        <row r="1530">
          <cell r="A1530"/>
          <cell r="B1530" t="str">
            <v>OAKBORO</v>
          </cell>
          <cell r="C1530">
            <v>98441</v>
          </cell>
          <cell r="H1530"/>
          <cell r="K1530"/>
          <cell r="P1530"/>
        </row>
        <row r="1531">
          <cell r="A1531"/>
          <cell r="B1531" t="str">
            <v>OCEAN ISLE BEACH</v>
          </cell>
          <cell r="C1531">
            <v>91061</v>
          </cell>
          <cell r="H1531"/>
          <cell r="K1531"/>
          <cell r="P1531"/>
        </row>
        <row r="1532">
          <cell r="A1532"/>
          <cell r="B1532" t="str">
            <v>OCEAN ISLE BEACH ABC BOARD</v>
          </cell>
          <cell r="C1532">
            <v>91067</v>
          </cell>
          <cell r="H1532"/>
          <cell r="K1532"/>
          <cell r="P1532"/>
        </row>
        <row r="1533">
          <cell r="A1533"/>
          <cell r="B1533" t="str">
            <v>OCRACOKE SANITARY DISTRICT</v>
          </cell>
          <cell r="C1533">
            <v>94812</v>
          </cell>
          <cell r="H1533"/>
          <cell r="K1533"/>
          <cell r="P1533"/>
        </row>
        <row r="1534">
          <cell r="A1534"/>
          <cell r="B1534" t="str">
            <v>OLD FORT</v>
          </cell>
          <cell r="C1534">
            <v>95921</v>
          </cell>
          <cell r="H1534"/>
          <cell r="K1534"/>
          <cell r="P1534"/>
        </row>
        <row r="1535">
          <cell r="A1535"/>
          <cell r="B1535" t="str">
            <v>ONSLOW COUNTY</v>
          </cell>
          <cell r="C1535">
            <v>96701</v>
          </cell>
          <cell r="H1535"/>
          <cell r="K1535"/>
          <cell r="P1535"/>
        </row>
        <row r="1536">
          <cell r="A1536"/>
          <cell r="B1536" t="str">
            <v>ONSLOW COUNTY ABC BOARD</v>
          </cell>
          <cell r="C1536">
            <v>96704</v>
          </cell>
          <cell r="H1536"/>
          <cell r="K1536"/>
          <cell r="P1536"/>
        </row>
        <row r="1537">
          <cell r="A1537"/>
          <cell r="B1537" t="str">
            <v>ONSLOW WATER &amp; SEWER AUTHORITY</v>
          </cell>
          <cell r="C1537">
            <v>96708</v>
          </cell>
          <cell r="H1537"/>
          <cell r="K1537"/>
          <cell r="P1537"/>
        </row>
        <row r="1538">
          <cell r="A1538"/>
          <cell r="B1538" t="str">
            <v>ORANGE COUNTY</v>
          </cell>
          <cell r="C1538">
            <v>96801</v>
          </cell>
          <cell r="H1538"/>
          <cell r="K1538"/>
          <cell r="P1538"/>
        </row>
        <row r="1539">
          <cell r="A1539"/>
          <cell r="B1539" t="str">
            <v>ORANGE COUNTY ABC BOARD</v>
          </cell>
          <cell r="C1539">
            <v>96804</v>
          </cell>
          <cell r="H1539"/>
          <cell r="K1539"/>
          <cell r="P1539"/>
        </row>
        <row r="1540">
          <cell r="A1540"/>
          <cell r="B1540" t="str">
            <v>ORANGE WATER AND SEWER AUTHORITY</v>
          </cell>
          <cell r="C1540">
            <v>96808</v>
          </cell>
          <cell r="H1540"/>
          <cell r="K1540"/>
          <cell r="P1540"/>
        </row>
        <row r="1541">
          <cell r="A1541"/>
          <cell r="B1541" t="str">
            <v>ORIENTAL</v>
          </cell>
          <cell r="C1541">
            <v>96912</v>
          </cell>
          <cell r="H1541"/>
          <cell r="K1541"/>
          <cell r="P1541"/>
        </row>
        <row r="1542">
          <cell r="A1542"/>
          <cell r="B1542" t="str">
            <v>OXFORD</v>
          </cell>
          <cell r="C1542">
            <v>93911</v>
          </cell>
          <cell r="H1542"/>
          <cell r="K1542"/>
          <cell r="P1542"/>
        </row>
        <row r="1543">
          <cell r="A1543"/>
          <cell r="B1543" t="str">
            <v>OXFORD HOUSING AUTHORITY</v>
          </cell>
          <cell r="C1543">
            <v>93913</v>
          </cell>
          <cell r="H1543"/>
          <cell r="K1543"/>
          <cell r="P1543"/>
        </row>
        <row r="1544">
          <cell r="A1544"/>
          <cell r="B1544" t="str">
            <v>PAMLICO COUNTY</v>
          </cell>
          <cell r="C1544">
            <v>96901</v>
          </cell>
          <cell r="H1544"/>
          <cell r="K1544"/>
          <cell r="P1544"/>
        </row>
        <row r="1545">
          <cell r="A1545"/>
          <cell r="B1545" t="str">
            <v>PARKTON</v>
          </cell>
          <cell r="C1545">
            <v>97841</v>
          </cell>
          <cell r="H1545"/>
          <cell r="K1545"/>
          <cell r="P1545"/>
        </row>
        <row r="1546">
          <cell r="A1546"/>
          <cell r="B1546" t="str">
            <v>PARKWOOD FIRE DEPARTMENT</v>
          </cell>
          <cell r="C1546">
            <v>93202</v>
          </cell>
          <cell r="H1546"/>
          <cell r="K1546"/>
          <cell r="P1546"/>
        </row>
        <row r="1547">
          <cell r="A1547"/>
          <cell r="B1547" t="str">
            <v>PARTNERS BEHAVIORAL HEALTH MANAGEMENT</v>
          </cell>
          <cell r="C1547">
            <v>93609</v>
          </cell>
          <cell r="H1547"/>
          <cell r="K1547"/>
          <cell r="P1547"/>
        </row>
        <row r="1548">
          <cell r="A1548"/>
          <cell r="B1548" t="str">
            <v>PASQUOTANK CO ABC BOARD</v>
          </cell>
          <cell r="C1548">
            <v>97004</v>
          </cell>
          <cell r="H1548"/>
          <cell r="K1548"/>
          <cell r="P1548"/>
        </row>
        <row r="1549">
          <cell r="A1549"/>
          <cell r="B1549" t="str">
            <v>PASQUOTANK COUNTY</v>
          </cell>
          <cell r="C1549">
            <v>97001</v>
          </cell>
          <cell r="H1549"/>
          <cell r="K1549"/>
          <cell r="P1549"/>
        </row>
        <row r="1550">
          <cell r="A1550"/>
          <cell r="B1550" t="str">
            <v>PASQUOTANK-CAMDEN AMBULANCE SERVICE</v>
          </cell>
          <cell r="C1550">
            <v>97002</v>
          </cell>
          <cell r="H1550"/>
          <cell r="K1550"/>
          <cell r="P1550"/>
        </row>
        <row r="1551">
          <cell r="A1551"/>
          <cell r="B1551" t="str">
            <v>PASQUOTANK-CAMDEN LIBRARY</v>
          </cell>
          <cell r="C1551">
            <v>97015</v>
          </cell>
          <cell r="H1551"/>
          <cell r="K1551"/>
          <cell r="P1551"/>
        </row>
        <row r="1552">
          <cell r="A1552"/>
          <cell r="B1552" t="str">
            <v>PEACHLAND</v>
          </cell>
          <cell r="C1552">
            <v>90441</v>
          </cell>
          <cell r="H1552"/>
          <cell r="K1552"/>
          <cell r="P1552"/>
        </row>
        <row r="1553">
          <cell r="A1553"/>
          <cell r="B1553" t="str">
            <v>PEMBROKE</v>
          </cell>
          <cell r="C1553">
            <v>97851</v>
          </cell>
          <cell r="H1553"/>
          <cell r="K1553"/>
          <cell r="P1553"/>
        </row>
        <row r="1554">
          <cell r="A1554"/>
          <cell r="B1554" t="str">
            <v>PEMBROKE HOUSING AUTHORITY</v>
          </cell>
          <cell r="C1554">
            <v>97853</v>
          </cell>
          <cell r="H1554"/>
          <cell r="K1554"/>
          <cell r="P1554"/>
        </row>
        <row r="1555">
          <cell r="A1555"/>
          <cell r="B1555" t="str">
            <v>PENDER COUNTY</v>
          </cell>
          <cell r="C1555">
            <v>97101</v>
          </cell>
          <cell r="H1555"/>
          <cell r="K1555"/>
          <cell r="P1555"/>
        </row>
        <row r="1556">
          <cell r="A1556"/>
          <cell r="B1556" t="str">
            <v>PENDER COUNTY ABC BOARD</v>
          </cell>
          <cell r="C1556">
            <v>97104</v>
          </cell>
          <cell r="H1556"/>
          <cell r="K1556"/>
          <cell r="P1556"/>
        </row>
        <row r="1557">
          <cell r="A1557"/>
          <cell r="B1557" t="str">
            <v>PERQUIMANS COUNTY</v>
          </cell>
          <cell r="C1557">
            <v>97201</v>
          </cell>
          <cell r="H1557"/>
          <cell r="K1557"/>
          <cell r="P1557"/>
        </row>
        <row r="1558">
          <cell r="A1558"/>
          <cell r="B1558" t="str">
            <v>PERSON CO ABC BOARD</v>
          </cell>
          <cell r="C1558">
            <v>97304</v>
          </cell>
          <cell r="H1558"/>
          <cell r="K1558"/>
          <cell r="P1558"/>
        </row>
        <row r="1559">
          <cell r="A1559"/>
          <cell r="B1559" t="str">
            <v>PERSON COUNTY</v>
          </cell>
          <cell r="C1559">
            <v>97301</v>
          </cell>
          <cell r="H1559"/>
          <cell r="K1559"/>
          <cell r="P1559"/>
        </row>
        <row r="1560">
          <cell r="A1560"/>
          <cell r="B1560" t="str">
            <v>PETTIGREW REGIONAL LIBRARY</v>
          </cell>
          <cell r="C1560">
            <v>99405</v>
          </cell>
          <cell r="H1560"/>
          <cell r="K1560"/>
          <cell r="P1560"/>
        </row>
        <row r="1561">
          <cell r="A1561"/>
          <cell r="B1561" t="str">
            <v>PIEDMONT TRIAD AIRPORT AUTHORITY</v>
          </cell>
          <cell r="C1561">
            <v>72265</v>
          </cell>
          <cell r="H1561"/>
          <cell r="K1561"/>
          <cell r="P1561"/>
        </row>
        <row r="1562">
          <cell r="A1562"/>
          <cell r="B1562" t="str">
            <v>PIEDMONT TRIAD REG WATER AUTHORITY</v>
          </cell>
          <cell r="C1562">
            <v>94112</v>
          </cell>
          <cell r="H1562"/>
          <cell r="K1562"/>
          <cell r="P1562"/>
        </row>
        <row r="1563">
          <cell r="A1563"/>
          <cell r="B1563" t="str">
            <v>PIEDMONT TRIAD REGIONAL COUNCIL</v>
          </cell>
          <cell r="C1563">
            <v>93406</v>
          </cell>
          <cell r="H1563"/>
          <cell r="K1563"/>
          <cell r="P1563"/>
        </row>
        <row r="1564">
          <cell r="A1564"/>
          <cell r="B1564" t="str">
            <v>PIKEVILLE</v>
          </cell>
          <cell r="C1564">
            <v>99651</v>
          </cell>
          <cell r="H1564"/>
          <cell r="K1564"/>
          <cell r="P1564"/>
        </row>
        <row r="1565">
          <cell r="A1565"/>
          <cell r="B1565" t="str">
            <v>PILOT MOUNTAIN</v>
          </cell>
          <cell r="C1565">
            <v>98611</v>
          </cell>
          <cell r="H1565"/>
          <cell r="K1565"/>
          <cell r="P1565"/>
        </row>
        <row r="1566">
          <cell r="A1566"/>
          <cell r="B1566" t="str">
            <v>PILOT MOUNTAIN ABC BOARD</v>
          </cell>
          <cell r="C1566">
            <v>98607</v>
          </cell>
          <cell r="H1566"/>
          <cell r="K1566"/>
          <cell r="P1566"/>
        </row>
        <row r="1567">
          <cell r="A1567"/>
          <cell r="B1567" t="str">
            <v>PINE KNOLL SHORES</v>
          </cell>
          <cell r="C1567">
            <v>91641</v>
          </cell>
          <cell r="H1567"/>
          <cell r="K1567"/>
          <cell r="P1567"/>
        </row>
        <row r="1568">
          <cell r="A1568"/>
          <cell r="B1568" t="str">
            <v>PINE LEVEL</v>
          </cell>
          <cell r="C1568">
            <v>95161</v>
          </cell>
          <cell r="H1568"/>
          <cell r="K1568"/>
          <cell r="P1568"/>
        </row>
        <row r="1569">
          <cell r="A1569"/>
          <cell r="B1569" t="str">
            <v>PINEBLUFF</v>
          </cell>
          <cell r="C1569">
            <v>96361</v>
          </cell>
          <cell r="H1569"/>
          <cell r="K1569"/>
          <cell r="P1569"/>
        </row>
        <row r="1570">
          <cell r="A1570"/>
          <cell r="B1570" t="str">
            <v>PINECROFT-SEDGEFIELD FIRE DIST INC</v>
          </cell>
          <cell r="C1570">
            <v>94108</v>
          </cell>
          <cell r="H1570"/>
          <cell r="K1570"/>
          <cell r="P1570"/>
        </row>
        <row r="1571">
          <cell r="A1571"/>
          <cell r="B1571" t="str">
            <v>PINEHURST</v>
          </cell>
          <cell r="C1571">
            <v>96351</v>
          </cell>
          <cell r="H1571"/>
          <cell r="K1571"/>
          <cell r="P1571"/>
        </row>
        <row r="1572">
          <cell r="A1572"/>
          <cell r="B1572" t="str">
            <v>PINETOPS</v>
          </cell>
          <cell r="C1572">
            <v>93331</v>
          </cell>
          <cell r="H1572"/>
          <cell r="K1572"/>
          <cell r="P1572"/>
        </row>
        <row r="1573">
          <cell r="A1573"/>
          <cell r="B1573" t="str">
            <v>PINEVILLE</v>
          </cell>
          <cell r="C1573">
            <v>96021</v>
          </cell>
          <cell r="H1573"/>
          <cell r="K1573"/>
          <cell r="P1573"/>
        </row>
        <row r="1574">
          <cell r="A1574"/>
          <cell r="B1574" t="str">
            <v>PINK HILL</v>
          </cell>
          <cell r="C1574">
            <v>95421</v>
          </cell>
          <cell r="H1574"/>
          <cell r="K1574"/>
          <cell r="P1574"/>
        </row>
        <row r="1575">
          <cell r="A1575"/>
          <cell r="B1575" t="str">
            <v>PITT COUNTY</v>
          </cell>
          <cell r="C1575">
            <v>97401</v>
          </cell>
          <cell r="H1575"/>
          <cell r="K1575"/>
          <cell r="P1575"/>
        </row>
        <row r="1576">
          <cell r="A1576"/>
          <cell r="B1576" t="str">
            <v>PITT COUNTY ABC BOARD</v>
          </cell>
          <cell r="C1576">
            <v>97404</v>
          </cell>
          <cell r="H1576"/>
          <cell r="K1576"/>
          <cell r="P1576"/>
        </row>
        <row r="1577">
          <cell r="A1577"/>
          <cell r="B1577" t="str">
            <v>PITT-GREENVILLE CONVENTION &amp; VISTORS BUREAU</v>
          </cell>
          <cell r="C1577">
            <v>97402</v>
          </cell>
          <cell r="H1577"/>
          <cell r="K1577"/>
          <cell r="P1577"/>
        </row>
        <row r="1578">
          <cell r="A1578"/>
          <cell r="B1578" t="str">
            <v>PITTSBORO</v>
          </cell>
          <cell r="C1578">
            <v>91921</v>
          </cell>
          <cell r="H1578"/>
          <cell r="K1578"/>
          <cell r="P1578"/>
        </row>
        <row r="1579">
          <cell r="A1579"/>
          <cell r="B1579" t="str">
            <v>PLEASANT GARDEN FIRE DEPT</v>
          </cell>
          <cell r="C1579">
            <v>95908</v>
          </cell>
          <cell r="H1579"/>
          <cell r="K1579"/>
          <cell r="P1579"/>
        </row>
        <row r="1580">
          <cell r="A1580"/>
          <cell r="B1580" t="str">
            <v>PLYMOUTH</v>
          </cell>
          <cell r="C1580">
            <v>99411</v>
          </cell>
          <cell r="H1580"/>
          <cell r="K1580"/>
          <cell r="P1580"/>
        </row>
        <row r="1581">
          <cell r="A1581"/>
          <cell r="B1581" t="str">
            <v>PLYMOUTH HOUSING AUTHORITY</v>
          </cell>
          <cell r="C1581">
            <v>99413</v>
          </cell>
          <cell r="H1581"/>
          <cell r="K1581"/>
          <cell r="P1581"/>
        </row>
        <row r="1582">
          <cell r="A1582"/>
          <cell r="B1582" t="str">
            <v>POLK COUNTY</v>
          </cell>
          <cell r="C1582">
            <v>97501</v>
          </cell>
          <cell r="H1582"/>
          <cell r="K1582"/>
          <cell r="P1582"/>
        </row>
        <row r="1583">
          <cell r="A1583"/>
          <cell r="B1583" t="str">
            <v>POLKTON</v>
          </cell>
          <cell r="C1583">
            <v>90431</v>
          </cell>
          <cell r="H1583"/>
          <cell r="K1583"/>
          <cell r="P1583"/>
        </row>
        <row r="1584">
          <cell r="A1584"/>
          <cell r="B1584" t="str">
            <v>POLLOCKSVILLE</v>
          </cell>
          <cell r="C1584">
            <v>95211</v>
          </cell>
          <cell r="H1584"/>
          <cell r="K1584"/>
          <cell r="P1584"/>
        </row>
        <row r="1585">
          <cell r="A1585"/>
          <cell r="B1585" t="str">
            <v>PRINCETON</v>
          </cell>
          <cell r="C1585">
            <v>95181</v>
          </cell>
          <cell r="H1585"/>
          <cell r="K1585"/>
          <cell r="P1585"/>
        </row>
        <row r="1586">
          <cell r="A1586"/>
          <cell r="B1586" t="str">
            <v>PRINCEVILLE</v>
          </cell>
          <cell r="C1586">
            <v>93351</v>
          </cell>
          <cell r="H1586"/>
          <cell r="K1586"/>
          <cell r="P1586"/>
        </row>
        <row r="1587">
          <cell r="A1587"/>
          <cell r="B1587" t="str">
            <v>PUBLIC LIBRARY OF JOHNSTON CO AND SMITHFIELD</v>
          </cell>
          <cell r="C1587">
            <v>95105</v>
          </cell>
          <cell r="H1587"/>
          <cell r="K1587"/>
          <cell r="P1587"/>
        </row>
        <row r="1588">
          <cell r="A1588"/>
          <cell r="B1588" t="str">
            <v>RAEFORD</v>
          </cell>
          <cell r="C1588">
            <v>94711</v>
          </cell>
          <cell r="H1588"/>
          <cell r="K1588"/>
          <cell r="P1588"/>
        </row>
        <row r="1589">
          <cell r="A1589"/>
          <cell r="B1589" t="str">
            <v>RALEIGH</v>
          </cell>
          <cell r="C1589">
            <v>99211</v>
          </cell>
          <cell r="H1589"/>
          <cell r="K1589"/>
          <cell r="P1589"/>
        </row>
        <row r="1590">
          <cell r="A1590"/>
          <cell r="B1590" t="str">
            <v>RALEIGH HOUSING AUTHORITY</v>
          </cell>
          <cell r="C1590">
            <v>99213</v>
          </cell>
          <cell r="H1590"/>
          <cell r="K1590"/>
          <cell r="P1590"/>
        </row>
        <row r="1591">
          <cell r="A1591"/>
          <cell r="B1591" t="str">
            <v>RALEIGH-DURHAM AIRPORT AUTHORITY</v>
          </cell>
          <cell r="C1591">
            <v>99218</v>
          </cell>
          <cell r="H1591"/>
          <cell r="K1591"/>
          <cell r="P1591"/>
        </row>
        <row r="1592">
          <cell r="A1592"/>
          <cell r="B1592" t="str">
            <v>RAMSEUR</v>
          </cell>
          <cell r="C1592">
            <v>97641</v>
          </cell>
          <cell r="H1592"/>
          <cell r="K1592"/>
          <cell r="P1592"/>
        </row>
        <row r="1593">
          <cell r="A1593"/>
          <cell r="B1593" t="str">
            <v>RANDLEMAN</v>
          </cell>
          <cell r="C1593">
            <v>97621</v>
          </cell>
          <cell r="H1593"/>
          <cell r="K1593"/>
          <cell r="P1593"/>
        </row>
        <row r="1594">
          <cell r="A1594"/>
          <cell r="B1594" t="str">
            <v>RANDLEMAN ABC BOARD</v>
          </cell>
          <cell r="C1594">
            <v>97627</v>
          </cell>
          <cell r="H1594"/>
          <cell r="K1594"/>
          <cell r="P1594"/>
        </row>
        <row r="1595">
          <cell r="A1595"/>
          <cell r="B1595" t="str">
            <v>RANDLEMAN HOUSING AUTHORITY</v>
          </cell>
          <cell r="C1595">
            <v>97623</v>
          </cell>
          <cell r="H1595"/>
          <cell r="K1595"/>
          <cell r="P1595"/>
        </row>
        <row r="1596">
          <cell r="A1596"/>
          <cell r="B1596" t="str">
            <v>RANDOLPH COUNTY</v>
          </cell>
          <cell r="C1596">
            <v>97601</v>
          </cell>
          <cell r="H1596"/>
          <cell r="K1596"/>
          <cell r="P1596"/>
        </row>
        <row r="1597">
          <cell r="A1597"/>
          <cell r="B1597" t="str">
            <v>RANLO</v>
          </cell>
          <cell r="C1597">
            <v>93681</v>
          </cell>
          <cell r="H1597"/>
          <cell r="K1597"/>
          <cell r="P1597"/>
        </row>
        <row r="1598">
          <cell r="A1598"/>
          <cell r="B1598" t="str">
            <v>RED SPRINGS</v>
          </cell>
          <cell r="C1598">
            <v>97871</v>
          </cell>
          <cell r="H1598"/>
          <cell r="K1598"/>
          <cell r="P1598"/>
        </row>
        <row r="1599">
          <cell r="A1599"/>
          <cell r="B1599" t="str">
            <v>RED SPRINGS ABC BOARD</v>
          </cell>
          <cell r="C1599">
            <v>97877</v>
          </cell>
          <cell r="H1599"/>
          <cell r="K1599"/>
          <cell r="P1599"/>
        </row>
        <row r="1600">
          <cell r="A1600"/>
          <cell r="B1600" t="str">
            <v>REGION D COUNCIL OF GOVERNMENTS</v>
          </cell>
          <cell r="C1600">
            <v>99502</v>
          </cell>
          <cell r="H1600"/>
          <cell r="K1600"/>
          <cell r="P1600"/>
        </row>
        <row r="1601">
          <cell r="A1601"/>
          <cell r="B1601" t="str">
            <v>REIDSVILLE</v>
          </cell>
          <cell r="C1601">
            <v>97911</v>
          </cell>
          <cell r="H1601"/>
          <cell r="K1601"/>
          <cell r="P1601"/>
        </row>
        <row r="1602">
          <cell r="A1602"/>
          <cell r="B1602" t="str">
            <v>REIDSVILLE ABC BOARD</v>
          </cell>
          <cell r="C1602">
            <v>97917</v>
          </cell>
          <cell r="H1602"/>
          <cell r="K1602"/>
          <cell r="P1602"/>
        </row>
        <row r="1603">
          <cell r="A1603"/>
          <cell r="B1603" t="str">
            <v>RICH SQUARE</v>
          </cell>
          <cell r="C1603">
            <v>96611</v>
          </cell>
          <cell r="H1603"/>
          <cell r="K1603"/>
          <cell r="P1603"/>
        </row>
        <row r="1604">
          <cell r="A1604"/>
          <cell r="B1604" t="str">
            <v>RICHLANDS</v>
          </cell>
          <cell r="C1604">
            <v>96741</v>
          </cell>
          <cell r="H1604"/>
          <cell r="K1604"/>
          <cell r="P1604"/>
        </row>
        <row r="1605">
          <cell r="A1605"/>
          <cell r="B1605" t="str">
            <v>RICHMOND COUNTY</v>
          </cell>
          <cell r="C1605">
            <v>97701</v>
          </cell>
          <cell r="H1605"/>
          <cell r="K1605"/>
          <cell r="P1605"/>
        </row>
        <row r="1606">
          <cell r="A1606"/>
          <cell r="B1606" t="str">
            <v>RIVER BEND</v>
          </cell>
          <cell r="C1606">
            <v>92541</v>
          </cell>
          <cell r="H1606"/>
          <cell r="K1606"/>
          <cell r="P1606"/>
        </row>
        <row r="1607">
          <cell r="A1607"/>
          <cell r="B1607" t="str">
            <v>ROANOKE RAPIDS</v>
          </cell>
          <cell r="C1607">
            <v>94221</v>
          </cell>
          <cell r="H1607"/>
          <cell r="K1607"/>
          <cell r="P1607"/>
        </row>
        <row r="1608">
          <cell r="A1608"/>
          <cell r="B1608" t="str">
            <v>ROANOKE RAPIDS SANITARY DISTRICT</v>
          </cell>
          <cell r="C1608">
            <v>94209</v>
          </cell>
          <cell r="H1608"/>
          <cell r="K1608"/>
          <cell r="P1608"/>
        </row>
        <row r="1609">
          <cell r="A1609"/>
          <cell r="B1609" t="str">
            <v>ROBBINS</v>
          </cell>
          <cell r="C1609">
            <v>96341</v>
          </cell>
          <cell r="H1609"/>
          <cell r="K1609"/>
          <cell r="P1609"/>
        </row>
        <row r="1610">
          <cell r="A1610"/>
          <cell r="B1610" t="str">
            <v>ROBBINSVILLE</v>
          </cell>
          <cell r="C1610">
            <v>93821</v>
          </cell>
          <cell r="H1610"/>
          <cell r="K1610"/>
          <cell r="P1610"/>
        </row>
        <row r="1611">
          <cell r="A1611"/>
          <cell r="B1611" t="str">
            <v>ROBERSONVILLE</v>
          </cell>
          <cell r="C1611">
            <v>95851</v>
          </cell>
          <cell r="H1611"/>
          <cell r="K1611"/>
          <cell r="P1611"/>
        </row>
        <row r="1612">
          <cell r="A1612"/>
          <cell r="B1612" t="str">
            <v>ROBERSONVILLE HOUSING AUTHORITY</v>
          </cell>
          <cell r="C1612">
            <v>95853</v>
          </cell>
          <cell r="H1612"/>
          <cell r="K1612"/>
          <cell r="P1612"/>
        </row>
        <row r="1613">
          <cell r="A1613"/>
          <cell r="B1613" t="str">
            <v>ROBESON COUNTY</v>
          </cell>
          <cell r="C1613">
            <v>97801</v>
          </cell>
          <cell r="H1613"/>
          <cell r="K1613"/>
          <cell r="P1613"/>
        </row>
        <row r="1614">
          <cell r="A1614"/>
          <cell r="B1614" t="str">
            <v>ROBESON COUNTY HOUSING AUTHORITY</v>
          </cell>
          <cell r="C1614">
            <v>97803</v>
          </cell>
          <cell r="H1614"/>
          <cell r="K1614"/>
          <cell r="P1614"/>
        </row>
        <row r="1615">
          <cell r="A1615"/>
          <cell r="B1615" t="str">
            <v>ROBESON COUNTY PUBLIC LIBRARY</v>
          </cell>
          <cell r="C1615">
            <v>97805</v>
          </cell>
          <cell r="H1615"/>
          <cell r="K1615"/>
          <cell r="P1615"/>
        </row>
        <row r="1616">
          <cell r="A1616"/>
          <cell r="B1616" t="str">
            <v>ROCKINGHAM</v>
          </cell>
          <cell r="C1616">
            <v>97711</v>
          </cell>
          <cell r="H1616"/>
          <cell r="K1616"/>
          <cell r="P1616"/>
        </row>
        <row r="1617">
          <cell r="A1617"/>
          <cell r="B1617" t="str">
            <v>ROCKINGHAM ABC BOARD</v>
          </cell>
          <cell r="C1617">
            <v>97727</v>
          </cell>
          <cell r="H1617"/>
          <cell r="K1617"/>
          <cell r="P1617"/>
        </row>
        <row r="1618">
          <cell r="A1618"/>
          <cell r="B1618" t="str">
            <v>ROCKINGHAM COUNTY</v>
          </cell>
          <cell r="C1618">
            <v>97901</v>
          </cell>
          <cell r="H1618"/>
          <cell r="K1618"/>
          <cell r="P1618"/>
        </row>
        <row r="1619">
          <cell r="A1619"/>
          <cell r="B1619" t="str">
            <v>ROCKINGHAM HOUSING AUTHORITY</v>
          </cell>
          <cell r="C1619">
            <v>97713</v>
          </cell>
          <cell r="H1619"/>
          <cell r="K1619"/>
          <cell r="P1619"/>
        </row>
        <row r="1620">
          <cell r="A1620"/>
          <cell r="B1620" t="str">
            <v>ROCKWELL</v>
          </cell>
          <cell r="C1620">
            <v>98071</v>
          </cell>
          <cell r="H1620"/>
          <cell r="K1620"/>
          <cell r="P1620"/>
        </row>
        <row r="1621">
          <cell r="A1621"/>
          <cell r="B1621" t="str">
            <v>ROCKY MOUNT</v>
          </cell>
          <cell r="C1621">
            <v>93321</v>
          </cell>
          <cell r="H1621"/>
          <cell r="K1621"/>
          <cell r="P1621"/>
        </row>
        <row r="1622">
          <cell r="A1622"/>
          <cell r="B1622" t="str">
            <v>ROCKY MOUNT-WILSON AIRPORT AUTHORITY</v>
          </cell>
          <cell r="C1622">
            <v>93323</v>
          </cell>
          <cell r="H1622"/>
          <cell r="K1622"/>
          <cell r="P1622"/>
        </row>
        <row r="1623">
          <cell r="A1623"/>
          <cell r="B1623" t="str">
            <v>ROCKY MT HOUSING AUTHORITY</v>
          </cell>
          <cell r="C1623">
            <v>93333</v>
          </cell>
          <cell r="H1623"/>
          <cell r="K1623"/>
          <cell r="P1623"/>
        </row>
        <row r="1624">
          <cell r="A1624"/>
          <cell r="B1624" t="str">
            <v>ROLESVILLE</v>
          </cell>
          <cell r="C1624">
            <v>99203</v>
          </cell>
          <cell r="H1624"/>
          <cell r="K1624"/>
          <cell r="P1624"/>
        </row>
        <row r="1625">
          <cell r="A1625"/>
          <cell r="B1625" t="str">
            <v>ROPER</v>
          </cell>
          <cell r="C1625">
            <v>99421</v>
          </cell>
          <cell r="H1625"/>
          <cell r="K1625"/>
          <cell r="P1625"/>
        </row>
        <row r="1626">
          <cell r="A1626"/>
          <cell r="B1626" t="str">
            <v>ROSE HILL</v>
          </cell>
          <cell r="C1626">
            <v>93161</v>
          </cell>
          <cell r="H1626"/>
          <cell r="K1626"/>
          <cell r="P1626"/>
        </row>
        <row r="1627">
          <cell r="A1627"/>
          <cell r="B1627" t="str">
            <v>ROSEBORO</v>
          </cell>
          <cell r="C1627">
            <v>98261</v>
          </cell>
          <cell r="H1627"/>
          <cell r="K1627"/>
          <cell r="P1627"/>
        </row>
        <row r="1628">
          <cell r="A1628"/>
          <cell r="B1628" t="str">
            <v>ROSEBORO ABC BOARD</v>
          </cell>
          <cell r="C1628">
            <v>98237</v>
          </cell>
          <cell r="H1628"/>
          <cell r="K1628"/>
          <cell r="P1628"/>
        </row>
        <row r="1629">
          <cell r="A1629"/>
          <cell r="B1629" t="str">
            <v>ROWAN CO HOUSING AUTHORITY</v>
          </cell>
          <cell r="C1629">
            <v>98003</v>
          </cell>
          <cell r="H1629"/>
          <cell r="K1629"/>
          <cell r="P1629"/>
        </row>
        <row r="1630">
          <cell r="A1630"/>
          <cell r="B1630" t="str">
            <v>ROWAN CO SOIL &amp; WATER CONV DISTRICT</v>
          </cell>
          <cell r="C1630">
            <v>98008</v>
          </cell>
          <cell r="H1630"/>
          <cell r="K1630"/>
          <cell r="P1630"/>
        </row>
        <row r="1631">
          <cell r="A1631"/>
          <cell r="B1631" t="str">
            <v>ROWAN CONVENTION &amp; VISTORS BUREAU</v>
          </cell>
          <cell r="C1631">
            <v>98002</v>
          </cell>
          <cell r="H1631"/>
          <cell r="K1631"/>
          <cell r="P1631"/>
        </row>
        <row r="1632">
          <cell r="A1632"/>
          <cell r="B1632" t="str">
            <v>ROWAN COUNTY</v>
          </cell>
          <cell r="C1632">
            <v>98001</v>
          </cell>
          <cell r="H1632"/>
          <cell r="K1632"/>
          <cell r="P1632"/>
        </row>
        <row r="1633">
          <cell r="A1633"/>
          <cell r="B1633" t="str">
            <v>ROWAN COUNTY ABC BOARD</v>
          </cell>
          <cell r="C1633">
            <v>98004</v>
          </cell>
          <cell r="H1633"/>
          <cell r="K1633"/>
          <cell r="P1633"/>
        </row>
        <row r="1634">
          <cell r="A1634"/>
          <cell r="B1634" t="str">
            <v>ROWLAND</v>
          </cell>
          <cell r="C1634">
            <v>97861</v>
          </cell>
          <cell r="H1634"/>
          <cell r="K1634"/>
          <cell r="P1634"/>
        </row>
        <row r="1635">
          <cell r="A1635"/>
          <cell r="B1635" t="str">
            <v>ROXBORO</v>
          </cell>
          <cell r="C1635">
            <v>97311</v>
          </cell>
          <cell r="H1635"/>
          <cell r="K1635"/>
          <cell r="P1635"/>
        </row>
        <row r="1636">
          <cell r="A1636"/>
          <cell r="B1636" t="str">
            <v>RURAL HALL</v>
          </cell>
          <cell r="C1636">
            <v>93431</v>
          </cell>
          <cell r="H1636"/>
          <cell r="K1636"/>
          <cell r="P1636"/>
        </row>
        <row r="1637">
          <cell r="A1637"/>
          <cell r="B1637" t="str">
            <v>RUTHERFORD COLLEGE</v>
          </cell>
          <cell r="C1637">
            <v>91214</v>
          </cell>
          <cell r="H1637"/>
          <cell r="K1637"/>
          <cell r="P1637"/>
        </row>
        <row r="1638">
          <cell r="A1638"/>
          <cell r="B1638" t="str">
            <v>RUTHERFORD COUNTY</v>
          </cell>
          <cell r="C1638">
            <v>98101</v>
          </cell>
          <cell r="H1638"/>
          <cell r="K1638"/>
          <cell r="P1638"/>
        </row>
        <row r="1639">
          <cell r="A1639"/>
          <cell r="B1639" t="str">
            <v>RUTHERFORD POLK MCDOWELL DIST BOARD OF HEALTH</v>
          </cell>
          <cell r="C1639">
            <v>98103</v>
          </cell>
          <cell r="H1639"/>
          <cell r="K1639"/>
          <cell r="P1639"/>
        </row>
        <row r="1640">
          <cell r="A1640"/>
          <cell r="B1640" t="str">
            <v>RUTHERFORDTON</v>
          </cell>
          <cell r="C1640">
            <v>98141</v>
          </cell>
          <cell r="H1640"/>
          <cell r="K1640"/>
          <cell r="P1640"/>
        </row>
        <row r="1641">
          <cell r="A1641"/>
          <cell r="B1641" t="str">
            <v>RUTHERFORDTON ABC BOARD</v>
          </cell>
          <cell r="C1641">
            <v>98147</v>
          </cell>
          <cell r="H1641"/>
          <cell r="K1641"/>
          <cell r="P1641"/>
        </row>
        <row r="1642">
          <cell r="A1642"/>
          <cell r="B1642" t="str">
            <v>SAINT JAMES</v>
          </cell>
          <cell r="C1642">
            <v>91032</v>
          </cell>
          <cell r="H1642"/>
          <cell r="K1642"/>
          <cell r="P1642"/>
        </row>
        <row r="1643">
          <cell r="A1643"/>
          <cell r="B1643" t="str">
            <v>SAINT PAULS</v>
          </cell>
          <cell r="C1643">
            <v>97831</v>
          </cell>
          <cell r="H1643"/>
          <cell r="K1643"/>
          <cell r="P1643"/>
        </row>
        <row r="1644">
          <cell r="A1644"/>
          <cell r="B1644" t="str">
            <v>SAINT PAUL'S BOARD OF ALCOHOLIC CONTROL</v>
          </cell>
          <cell r="C1644">
            <v>97837</v>
          </cell>
          <cell r="H1644"/>
          <cell r="K1644"/>
          <cell r="P1644"/>
        </row>
        <row r="1645">
          <cell r="A1645"/>
          <cell r="B1645" t="str">
            <v>SALEMBURG</v>
          </cell>
          <cell r="C1645">
            <v>98221</v>
          </cell>
          <cell r="H1645"/>
          <cell r="K1645"/>
          <cell r="P1645"/>
        </row>
        <row r="1646">
          <cell r="A1646"/>
          <cell r="B1646" t="str">
            <v>SALISBURY</v>
          </cell>
          <cell r="C1646">
            <v>98011</v>
          </cell>
          <cell r="H1646"/>
          <cell r="K1646"/>
          <cell r="P1646"/>
        </row>
        <row r="1647">
          <cell r="A1647"/>
          <cell r="B1647" t="str">
            <v xml:space="preserve">SALISBURY HOUSING AUTHORITY </v>
          </cell>
          <cell r="C1647">
            <v>98013</v>
          </cell>
          <cell r="H1647"/>
          <cell r="K1647"/>
          <cell r="P1647"/>
        </row>
        <row r="1648">
          <cell r="A1648"/>
          <cell r="B1648" t="str">
            <v>SALUDA</v>
          </cell>
          <cell r="C1648">
            <v>97531</v>
          </cell>
          <cell r="H1648"/>
          <cell r="K1648"/>
          <cell r="P1648"/>
        </row>
        <row r="1649">
          <cell r="A1649"/>
          <cell r="B1649" t="str">
            <v>SAMPSON COUNTY</v>
          </cell>
          <cell r="C1649">
            <v>98201</v>
          </cell>
          <cell r="H1649"/>
          <cell r="K1649"/>
          <cell r="P1649"/>
        </row>
        <row r="1650">
          <cell r="A1650"/>
          <cell r="B1650" t="str">
            <v>SANDHILL REGIONAL LIBRARY</v>
          </cell>
          <cell r="C1650">
            <v>97705</v>
          </cell>
          <cell r="H1650"/>
          <cell r="K1650"/>
          <cell r="P1650"/>
        </row>
        <row r="1651">
          <cell r="A1651"/>
          <cell r="B1651" t="str">
            <v>SANDHILLS CENTER</v>
          </cell>
          <cell r="C1651">
            <v>96318</v>
          </cell>
          <cell r="H1651"/>
          <cell r="K1651"/>
          <cell r="P1651"/>
        </row>
        <row r="1652">
          <cell r="A1652"/>
          <cell r="B1652" t="str">
            <v>SANFORD</v>
          </cell>
          <cell r="C1652">
            <v>95311</v>
          </cell>
          <cell r="H1652"/>
          <cell r="K1652"/>
          <cell r="P1652"/>
        </row>
        <row r="1653">
          <cell r="A1653"/>
          <cell r="B1653" t="str">
            <v>SANFORD ABC BOARD</v>
          </cell>
          <cell r="C1653">
            <v>95317</v>
          </cell>
          <cell r="H1653"/>
          <cell r="K1653"/>
          <cell r="P1653"/>
        </row>
        <row r="1654">
          <cell r="A1654"/>
          <cell r="B1654" t="str">
            <v>SAWMILLS</v>
          </cell>
          <cell r="C1654">
            <v>91421</v>
          </cell>
          <cell r="H1654"/>
          <cell r="K1654"/>
          <cell r="P1654"/>
        </row>
        <row r="1655">
          <cell r="A1655"/>
          <cell r="B1655" t="str">
            <v>SCOTLAND COUNTY</v>
          </cell>
          <cell r="C1655">
            <v>98301</v>
          </cell>
          <cell r="H1655"/>
          <cell r="K1655"/>
          <cell r="P1655"/>
        </row>
        <row r="1656">
          <cell r="A1656"/>
          <cell r="B1656" t="str">
            <v>SCOTLAND COUNTY ABC BOARD</v>
          </cell>
          <cell r="C1656">
            <v>98304</v>
          </cell>
          <cell r="H1656"/>
          <cell r="K1656"/>
          <cell r="P1656"/>
        </row>
        <row r="1657">
          <cell r="A1657"/>
          <cell r="B1657" t="str">
            <v>SCOTLAND NECK</v>
          </cell>
          <cell r="C1657">
            <v>94241</v>
          </cell>
          <cell r="H1657"/>
          <cell r="K1657"/>
          <cell r="P1657"/>
        </row>
        <row r="1658">
          <cell r="A1658"/>
          <cell r="B1658" t="str">
            <v>SEABOARD</v>
          </cell>
          <cell r="C1658">
            <v>96681</v>
          </cell>
          <cell r="H1658"/>
          <cell r="K1658"/>
          <cell r="P1658"/>
        </row>
        <row r="1659">
          <cell r="A1659"/>
          <cell r="B1659" t="str">
            <v>SEAGROVE</v>
          </cell>
          <cell r="C1659">
            <v>72593</v>
          </cell>
          <cell r="H1659"/>
          <cell r="K1659"/>
          <cell r="P1659"/>
        </row>
        <row r="1660">
          <cell r="A1660"/>
          <cell r="B1660" t="str">
            <v>SELMA</v>
          </cell>
          <cell r="C1660">
            <v>95121</v>
          </cell>
          <cell r="H1660"/>
          <cell r="K1660"/>
          <cell r="P1660"/>
        </row>
        <row r="1661">
          <cell r="A1661"/>
          <cell r="B1661" t="str">
            <v>SELMA HOUSING AUTHORITY</v>
          </cell>
          <cell r="C1661">
            <v>95123</v>
          </cell>
          <cell r="H1661"/>
          <cell r="K1661"/>
          <cell r="P1661"/>
        </row>
        <row r="1662">
          <cell r="A1662"/>
          <cell r="B1662" t="str">
            <v>SEVEN DEVILS</v>
          </cell>
          <cell r="C1662">
            <v>99531</v>
          </cell>
          <cell r="H1662"/>
          <cell r="K1662"/>
          <cell r="P1662"/>
        </row>
        <row r="1663">
          <cell r="A1663"/>
          <cell r="B1663" t="str">
            <v>SEVERN</v>
          </cell>
          <cell r="C1663">
            <v>96671</v>
          </cell>
          <cell r="H1663"/>
          <cell r="K1663"/>
          <cell r="P1663"/>
        </row>
        <row r="1664">
          <cell r="A1664"/>
          <cell r="B1664" t="str">
            <v>SHALLOTTE</v>
          </cell>
          <cell r="C1664">
            <v>91081</v>
          </cell>
          <cell r="H1664"/>
          <cell r="K1664"/>
          <cell r="P1664"/>
        </row>
        <row r="1665">
          <cell r="A1665"/>
          <cell r="B1665" t="str">
            <v>SHALLOTTE ABC BOARD</v>
          </cell>
          <cell r="C1665">
            <v>91057</v>
          </cell>
          <cell r="H1665"/>
          <cell r="K1665"/>
          <cell r="P1665"/>
        </row>
        <row r="1666">
          <cell r="A1666"/>
          <cell r="B1666" t="str">
            <v>SHARPSBURG</v>
          </cell>
          <cell r="C1666">
            <v>96461</v>
          </cell>
          <cell r="H1666"/>
          <cell r="K1666"/>
          <cell r="P1666"/>
        </row>
        <row r="1667">
          <cell r="A1667"/>
          <cell r="B1667" t="str">
            <v>SHELBY</v>
          </cell>
          <cell r="C1667">
            <v>92311</v>
          </cell>
          <cell r="H1667"/>
          <cell r="K1667"/>
          <cell r="P1667"/>
        </row>
        <row r="1668">
          <cell r="A1668"/>
          <cell r="B1668" t="str">
            <v>SHELBY ABC BOARD</v>
          </cell>
          <cell r="C1668">
            <v>92317</v>
          </cell>
          <cell r="H1668"/>
          <cell r="K1668"/>
          <cell r="P1668"/>
        </row>
        <row r="1669">
          <cell r="A1669"/>
          <cell r="B1669" t="str">
            <v>SHEPPARD MEMORIAL LIBRARY</v>
          </cell>
          <cell r="C1669">
            <v>97405</v>
          </cell>
          <cell r="H1669"/>
          <cell r="K1669"/>
          <cell r="P1669"/>
        </row>
        <row r="1670">
          <cell r="A1670"/>
          <cell r="B1670" t="str">
            <v>SILER CITY</v>
          </cell>
          <cell r="C1670">
            <v>91911</v>
          </cell>
          <cell r="H1670"/>
          <cell r="K1670"/>
          <cell r="P1670"/>
        </row>
        <row r="1671">
          <cell r="A1671"/>
          <cell r="B1671" t="str">
            <v>SILER CITY ABC BOARD</v>
          </cell>
          <cell r="C1671">
            <v>91917</v>
          </cell>
          <cell r="H1671"/>
          <cell r="K1671"/>
          <cell r="P1671"/>
        </row>
        <row r="1672">
          <cell r="A1672"/>
          <cell r="B1672" t="str">
            <v>SIMPSON</v>
          </cell>
          <cell r="C1672">
            <v>97481</v>
          </cell>
          <cell r="H1672"/>
          <cell r="K1672"/>
          <cell r="P1672"/>
        </row>
        <row r="1673">
          <cell r="A1673"/>
          <cell r="B1673" t="str">
            <v>SKYLAND VOL FIRE DEPT</v>
          </cell>
          <cell r="C1673">
            <v>91138</v>
          </cell>
          <cell r="H1673"/>
          <cell r="K1673"/>
          <cell r="P1673"/>
        </row>
        <row r="1674">
          <cell r="A1674"/>
          <cell r="B1674" t="str">
            <v>SMITHFIELD</v>
          </cell>
          <cell r="C1674">
            <v>95111</v>
          </cell>
          <cell r="H1674"/>
          <cell r="K1674"/>
          <cell r="P1674"/>
        </row>
        <row r="1675">
          <cell r="A1675"/>
          <cell r="B1675" t="str">
            <v>SMITHFIELD HOUSING AUTHORITY</v>
          </cell>
          <cell r="C1675">
            <v>95113</v>
          </cell>
          <cell r="H1675"/>
          <cell r="K1675"/>
          <cell r="P1675"/>
        </row>
        <row r="1676">
          <cell r="A1676"/>
          <cell r="B1676" t="str">
            <v>SNOW HILL</v>
          </cell>
          <cell r="C1676">
            <v>94021</v>
          </cell>
          <cell r="H1676"/>
          <cell r="K1676"/>
          <cell r="P1676"/>
        </row>
        <row r="1677">
          <cell r="A1677"/>
          <cell r="B1677" t="str">
            <v>SOUTH EASTERN ECONOMIC DEVELOPMENT COMM</v>
          </cell>
          <cell r="C1677">
            <v>90918</v>
          </cell>
          <cell r="H1677"/>
          <cell r="K1677"/>
          <cell r="P1677"/>
        </row>
        <row r="1678">
          <cell r="A1678"/>
          <cell r="B1678" t="str">
            <v>SOUTH GRANVILLE WATER AND SEWER AUTHORITY</v>
          </cell>
          <cell r="C1678">
            <v>93910</v>
          </cell>
          <cell r="H1678"/>
          <cell r="K1678"/>
          <cell r="P1678"/>
        </row>
        <row r="1679">
          <cell r="A1679"/>
          <cell r="B1679" t="str">
            <v>SOUTHEAST BRUNSWICK SANITARY DISTRICT</v>
          </cell>
          <cell r="C1679">
            <v>91013</v>
          </cell>
          <cell r="H1679"/>
          <cell r="K1679"/>
          <cell r="P1679"/>
        </row>
        <row r="1680">
          <cell r="A1680"/>
          <cell r="B1680" t="str">
            <v>SOUTHERN PINES</v>
          </cell>
          <cell r="C1680">
            <v>96311</v>
          </cell>
          <cell r="H1680"/>
          <cell r="K1680"/>
          <cell r="P1680"/>
        </row>
        <row r="1681">
          <cell r="A1681"/>
          <cell r="B1681" t="str">
            <v>SOUTHERN SHORES</v>
          </cell>
          <cell r="C1681">
            <v>92841</v>
          </cell>
          <cell r="H1681"/>
          <cell r="K1681"/>
          <cell r="P1681"/>
        </row>
        <row r="1682">
          <cell r="A1682"/>
          <cell r="B1682" t="str">
            <v>SOUTHERN WAYNE SANITARY DISTRICT</v>
          </cell>
          <cell r="C1682">
            <v>99609</v>
          </cell>
          <cell r="H1682"/>
          <cell r="K1682"/>
          <cell r="P1682"/>
        </row>
        <row r="1683">
          <cell r="A1683"/>
          <cell r="B1683" t="str">
            <v>SOUTHPORT</v>
          </cell>
          <cell r="C1683">
            <v>91011</v>
          </cell>
          <cell r="H1683"/>
          <cell r="K1683"/>
          <cell r="P1683"/>
        </row>
        <row r="1684">
          <cell r="A1684"/>
          <cell r="B1684" t="str">
            <v>SOUTHPORT ABC BOARD</v>
          </cell>
          <cell r="C1684">
            <v>91017</v>
          </cell>
          <cell r="H1684"/>
          <cell r="K1684"/>
          <cell r="P1684"/>
        </row>
        <row r="1685">
          <cell r="A1685"/>
          <cell r="B1685" t="str">
            <v>SOUTHWESTERN NC PLANNING &amp; ECON.DEV.COMMIS.</v>
          </cell>
          <cell r="C1685">
            <v>95008</v>
          </cell>
          <cell r="H1685"/>
          <cell r="K1685"/>
          <cell r="P1685"/>
        </row>
        <row r="1686">
          <cell r="A1686"/>
          <cell r="B1686" t="str">
            <v>SPARTA</v>
          </cell>
          <cell r="C1686">
            <v>72657</v>
          </cell>
          <cell r="H1686"/>
          <cell r="K1686"/>
          <cell r="P1686"/>
        </row>
        <row r="1687">
          <cell r="A1687"/>
          <cell r="B1687" t="str">
            <v>SPARTA ABC BOARD</v>
          </cell>
          <cell r="C1687">
            <v>90307</v>
          </cell>
          <cell r="H1687"/>
          <cell r="K1687"/>
          <cell r="P1687"/>
        </row>
        <row r="1688">
          <cell r="A1688"/>
          <cell r="B1688" t="str">
            <v>SPENCER</v>
          </cell>
          <cell r="C1688">
            <v>98031</v>
          </cell>
          <cell r="H1688"/>
          <cell r="K1688"/>
          <cell r="P1688"/>
        </row>
        <row r="1689">
          <cell r="A1689"/>
          <cell r="B1689" t="str">
            <v>SPINDALE</v>
          </cell>
          <cell r="C1689">
            <v>98121</v>
          </cell>
          <cell r="H1689"/>
          <cell r="K1689"/>
          <cell r="P1689"/>
        </row>
        <row r="1690">
          <cell r="A1690"/>
          <cell r="B1690" t="str">
            <v>SPRING HOPE</v>
          </cell>
          <cell r="C1690">
            <v>96411</v>
          </cell>
          <cell r="H1690"/>
          <cell r="K1690"/>
          <cell r="P1690"/>
        </row>
        <row r="1691">
          <cell r="A1691"/>
          <cell r="B1691" t="str">
            <v>SPRING LAKE</v>
          </cell>
          <cell r="C1691">
            <v>92661</v>
          </cell>
          <cell r="H1691"/>
          <cell r="K1691"/>
          <cell r="P1691"/>
        </row>
        <row r="1692">
          <cell r="A1692"/>
          <cell r="B1692" t="str">
            <v>SPRUCE PINE</v>
          </cell>
          <cell r="C1692">
            <v>96111</v>
          </cell>
          <cell r="H1692"/>
          <cell r="K1692"/>
          <cell r="P1692"/>
        </row>
        <row r="1693">
          <cell r="A1693"/>
          <cell r="B1693" t="str">
            <v>STALLINGS</v>
          </cell>
          <cell r="C1693">
            <v>96061</v>
          </cell>
          <cell r="H1693"/>
          <cell r="K1693"/>
          <cell r="P1693"/>
        </row>
        <row r="1694">
          <cell r="A1694"/>
          <cell r="B1694" t="str">
            <v>STANFIELD</v>
          </cell>
          <cell r="C1694">
            <v>98481</v>
          </cell>
          <cell r="H1694"/>
          <cell r="K1694"/>
          <cell r="P1694"/>
        </row>
        <row r="1695">
          <cell r="A1695"/>
          <cell r="B1695" t="str">
            <v>STANLEY</v>
          </cell>
          <cell r="C1695">
            <v>93602</v>
          </cell>
          <cell r="H1695"/>
          <cell r="K1695"/>
          <cell r="P1695"/>
        </row>
        <row r="1696">
          <cell r="A1696"/>
          <cell r="B1696" t="str">
            <v>STANLY COUNTY</v>
          </cell>
          <cell r="C1696">
            <v>98401</v>
          </cell>
          <cell r="H1696"/>
          <cell r="K1696"/>
          <cell r="P1696"/>
        </row>
        <row r="1697">
          <cell r="A1697"/>
          <cell r="B1697" t="str">
            <v>STANTONSBURG</v>
          </cell>
          <cell r="C1697">
            <v>99821</v>
          </cell>
          <cell r="H1697"/>
          <cell r="K1697"/>
          <cell r="P1697"/>
        </row>
        <row r="1698">
          <cell r="A1698"/>
          <cell r="B1698" t="str">
            <v>STAR</v>
          </cell>
          <cell r="C1698">
            <v>96211</v>
          </cell>
          <cell r="H1698"/>
          <cell r="K1698"/>
          <cell r="P1698"/>
        </row>
        <row r="1699">
          <cell r="A1699"/>
          <cell r="B1699" t="str">
            <v>STATESVILLE</v>
          </cell>
          <cell r="C1699">
            <v>94911</v>
          </cell>
          <cell r="H1699"/>
          <cell r="K1699"/>
          <cell r="P1699"/>
        </row>
        <row r="1700">
          <cell r="A1700"/>
          <cell r="B1700" t="str">
            <v>STATESVILLE ABC BOARD</v>
          </cell>
          <cell r="C1700">
            <v>94917</v>
          </cell>
          <cell r="H1700"/>
          <cell r="K1700"/>
          <cell r="P1700"/>
        </row>
        <row r="1701">
          <cell r="A1701"/>
          <cell r="B1701" t="str">
            <v>STEDMAN</v>
          </cell>
          <cell r="C1701">
            <v>92621</v>
          </cell>
          <cell r="H1701"/>
          <cell r="K1701"/>
          <cell r="P1701"/>
        </row>
        <row r="1702">
          <cell r="A1702"/>
          <cell r="B1702" t="str">
            <v>STOKES COUNTY</v>
          </cell>
          <cell r="C1702">
            <v>98501</v>
          </cell>
          <cell r="H1702"/>
          <cell r="K1702"/>
          <cell r="P1702"/>
        </row>
        <row r="1703">
          <cell r="A1703"/>
          <cell r="B1703" t="str">
            <v>STONEVILLE</v>
          </cell>
          <cell r="C1703">
            <v>97931</v>
          </cell>
          <cell r="H1703"/>
          <cell r="K1703"/>
          <cell r="P1703"/>
        </row>
        <row r="1704">
          <cell r="A1704"/>
          <cell r="B1704" t="str">
            <v>STOVALL</v>
          </cell>
          <cell r="C1704">
            <v>93914</v>
          </cell>
          <cell r="H1704"/>
          <cell r="K1704"/>
          <cell r="P1704"/>
        </row>
        <row r="1705">
          <cell r="A1705"/>
          <cell r="B1705" t="str">
            <v>SUGAR MOUNTAIN</v>
          </cell>
          <cell r="C1705">
            <v>90651</v>
          </cell>
          <cell r="H1705"/>
          <cell r="K1705"/>
          <cell r="P1705"/>
        </row>
        <row r="1706">
          <cell r="A1706"/>
          <cell r="B1706" t="str">
            <v>SUMMERFIELD</v>
          </cell>
          <cell r="C1706">
            <v>94171</v>
          </cell>
          <cell r="H1706"/>
          <cell r="K1706"/>
          <cell r="P1706"/>
        </row>
        <row r="1707">
          <cell r="A1707"/>
          <cell r="B1707" t="str">
            <v>SUMMERFIELD FIRE DISTRICT</v>
          </cell>
          <cell r="C1707">
            <v>94172</v>
          </cell>
          <cell r="H1707"/>
          <cell r="K1707"/>
          <cell r="P1707"/>
        </row>
        <row r="1708">
          <cell r="A1708"/>
          <cell r="B1708" t="str">
            <v>SUNSET BEACH</v>
          </cell>
          <cell r="C1708">
            <v>91041</v>
          </cell>
          <cell r="H1708"/>
          <cell r="K1708"/>
          <cell r="P1708"/>
        </row>
        <row r="1709">
          <cell r="A1709"/>
          <cell r="B1709" t="str">
            <v>SUNSET BEACH ABC BOARD</v>
          </cell>
          <cell r="C1709">
            <v>91047</v>
          </cell>
          <cell r="H1709"/>
          <cell r="K1709"/>
          <cell r="P1709"/>
        </row>
        <row r="1710">
          <cell r="A1710"/>
          <cell r="B1710" t="str">
            <v>SURF CITY</v>
          </cell>
          <cell r="C1710">
            <v>97131</v>
          </cell>
          <cell r="H1710"/>
          <cell r="K1710"/>
          <cell r="P1710"/>
        </row>
        <row r="1711">
          <cell r="A1711"/>
          <cell r="B1711" t="str">
            <v>SURRY COUNTY</v>
          </cell>
          <cell r="C1711">
            <v>98601</v>
          </cell>
          <cell r="H1711"/>
          <cell r="K1711"/>
          <cell r="P1711"/>
        </row>
        <row r="1712">
          <cell r="A1712"/>
          <cell r="B1712" t="str">
            <v>SWAIN COUNTY</v>
          </cell>
          <cell r="C1712">
            <v>98701</v>
          </cell>
          <cell r="H1712"/>
          <cell r="K1712"/>
          <cell r="P1712"/>
        </row>
        <row r="1713">
          <cell r="A1713"/>
          <cell r="B1713" t="str">
            <v>SWANSBORO</v>
          </cell>
          <cell r="C1713">
            <v>96721</v>
          </cell>
          <cell r="H1713"/>
          <cell r="K1713"/>
          <cell r="P1713"/>
        </row>
        <row r="1714">
          <cell r="A1714"/>
          <cell r="B1714" t="str">
            <v>SYLVA</v>
          </cell>
          <cell r="C1714">
            <v>95011</v>
          </cell>
          <cell r="H1714"/>
          <cell r="K1714"/>
          <cell r="P1714"/>
        </row>
        <row r="1715">
          <cell r="A1715"/>
          <cell r="B1715" t="str">
            <v>TABOR CITY</v>
          </cell>
          <cell r="C1715">
            <v>92451</v>
          </cell>
          <cell r="H1715"/>
          <cell r="K1715"/>
          <cell r="P1715"/>
        </row>
        <row r="1716">
          <cell r="A1716"/>
          <cell r="B1716" t="str">
            <v>TARBORO</v>
          </cell>
          <cell r="C1716">
            <v>93311</v>
          </cell>
          <cell r="H1716"/>
          <cell r="K1716"/>
          <cell r="P1716"/>
        </row>
        <row r="1717">
          <cell r="A1717"/>
          <cell r="B1717" t="str">
            <v>TARBORO REDEVELOPMENT COMMISSION</v>
          </cell>
          <cell r="C1717">
            <v>93317</v>
          </cell>
          <cell r="H1717"/>
          <cell r="K1717"/>
          <cell r="P1717"/>
        </row>
        <row r="1718">
          <cell r="A1718"/>
          <cell r="B1718" t="str">
            <v>TAYLORSVILLE</v>
          </cell>
          <cell r="C1718">
            <v>90211</v>
          </cell>
          <cell r="H1718"/>
          <cell r="K1718"/>
          <cell r="P1718"/>
        </row>
        <row r="1719">
          <cell r="A1719"/>
          <cell r="B1719" t="str">
            <v>TAYLORTOWN</v>
          </cell>
          <cell r="C1719">
            <v>96302</v>
          </cell>
          <cell r="H1719"/>
          <cell r="K1719"/>
          <cell r="P1719"/>
        </row>
        <row r="1720">
          <cell r="A1720"/>
          <cell r="B1720" t="str">
            <v>TEACHEY</v>
          </cell>
          <cell r="C1720">
            <v>93181</v>
          </cell>
          <cell r="H1720"/>
          <cell r="K1720"/>
          <cell r="P1720"/>
        </row>
        <row r="1721">
          <cell r="A1721"/>
          <cell r="B1721" t="str">
            <v>THOMASVILLE</v>
          </cell>
          <cell r="C1721">
            <v>92911</v>
          </cell>
          <cell r="H1721"/>
          <cell r="K1721"/>
          <cell r="P1721"/>
        </row>
        <row r="1722">
          <cell r="A1722"/>
          <cell r="B1722" t="str">
            <v>THOMASVILLE ABC BOARD</v>
          </cell>
          <cell r="C1722">
            <v>92914</v>
          </cell>
          <cell r="H1722"/>
          <cell r="K1722"/>
          <cell r="P1722"/>
        </row>
        <row r="1723">
          <cell r="A1723"/>
          <cell r="B1723" t="str">
            <v>THOMASVILLE HOUSING AUTHORITY</v>
          </cell>
          <cell r="C1723">
            <v>92913</v>
          </cell>
          <cell r="H1723"/>
          <cell r="K1723"/>
          <cell r="P1723"/>
        </row>
        <row r="1724">
          <cell r="A1724"/>
          <cell r="B1724" t="str">
            <v>TOBACCOVILLE</v>
          </cell>
          <cell r="C1724">
            <v>93471</v>
          </cell>
          <cell r="H1724"/>
          <cell r="K1724"/>
          <cell r="P1724"/>
        </row>
        <row r="1725">
          <cell r="A1725"/>
          <cell r="B1725" t="str">
            <v>TOE RIVER HEALTH DISTRICT</v>
          </cell>
          <cell r="C1725">
            <v>90098</v>
          </cell>
          <cell r="H1725"/>
          <cell r="K1725"/>
          <cell r="P1725"/>
        </row>
        <row r="1726">
          <cell r="A1726"/>
          <cell r="B1726" t="str">
            <v>TOPSAIL BEACH</v>
          </cell>
          <cell r="C1726">
            <v>97121</v>
          </cell>
          <cell r="H1726"/>
          <cell r="K1726"/>
          <cell r="P1726"/>
        </row>
        <row r="1727">
          <cell r="A1727"/>
          <cell r="B1727" t="str">
            <v>TRANSYLVANIA COUNTY</v>
          </cell>
          <cell r="C1727">
            <v>98801</v>
          </cell>
          <cell r="H1727"/>
          <cell r="K1727"/>
          <cell r="P1727"/>
        </row>
        <row r="1728">
          <cell r="A1728"/>
          <cell r="B1728" t="str">
            <v>TRENT WOODS</v>
          </cell>
          <cell r="C1728">
            <v>92521</v>
          </cell>
          <cell r="H1728"/>
          <cell r="K1728"/>
          <cell r="P1728"/>
        </row>
        <row r="1729">
          <cell r="A1729"/>
          <cell r="B1729" t="str">
            <v>TRIAD MUNICIPAL ABC BOARD</v>
          </cell>
          <cell r="C1729">
            <v>93417</v>
          </cell>
          <cell r="H1729"/>
          <cell r="K1729"/>
          <cell r="P1729"/>
        </row>
        <row r="1730">
          <cell r="A1730"/>
          <cell r="B1730" t="str">
            <v>TRIANGLE J COUNCIL OF GOVERNMENTS</v>
          </cell>
          <cell r="C1730">
            <v>93219</v>
          </cell>
          <cell r="H1730"/>
          <cell r="K1730"/>
          <cell r="P1730"/>
        </row>
        <row r="1731">
          <cell r="A1731"/>
          <cell r="B1731" t="str">
            <v>TRILLIUM HEALTH RESOURCES</v>
          </cell>
          <cell r="C1731">
            <v>92513</v>
          </cell>
          <cell r="H1731"/>
          <cell r="K1731"/>
          <cell r="P1731"/>
        </row>
        <row r="1732">
          <cell r="A1732"/>
          <cell r="B1732" t="str">
            <v>TRINITY</v>
          </cell>
          <cell r="C1732">
            <v>97661</v>
          </cell>
          <cell r="H1732"/>
          <cell r="K1732"/>
          <cell r="P1732"/>
        </row>
        <row r="1733">
          <cell r="A1733"/>
          <cell r="B1733" t="str">
            <v>TROUTMAN</v>
          </cell>
          <cell r="C1733">
            <v>94931</v>
          </cell>
          <cell r="H1733"/>
          <cell r="K1733"/>
          <cell r="P1733"/>
        </row>
        <row r="1734">
          <cell r="A1734"/>
          <cell r="B1734" t="str">
            <v>TROUTMAN ABC BOARD</v>
          </cell>
          <cell r="C1734">
            <v>94937</v>
          </cell>
          <cell r="H1734"/>
          <cell r="K1734"/>
          <cell r="P1734"/>
        </row>
        <row r="1735">
          <cell r="A1735"/>
          <cell r="B1735" t="str">
            <v>TROY</v>
          </cell>
          <cell r="C1735">
            <v>96221</v>
          </cell>
          <cell r="H1735"/>
          <cell r="K1735"/>
          <cell r="P1735"/>
        </row>
        <row r="1736">
          <cell r="A1736"/>
          <cell r="B1736" t="str">
            <v>TRYON</v>
          </cell>
          <cell r="C1736">
            <v>97511</v>
          </cell>
          <cell r="H1736"/>
          <cell r="K1736"/>
          <cell r="P1736"/>
        </row>
        <row r="1737">
          <cell r="A1737"/>
          <cell r="B1737" t="str">
            <v>TUCKASEIGEE WATER AUTHORITY</v>
          </cell>
          <cell r="C1737">
            <v>95002</v>
          </cell>
          <cell r="H1737"/>
          <cell r="K1737"/>
          <cell r="P1737"/>
        </row>
        <row r="1738">
          <cell r="A1738"/>
          <cell r="B1738" t="str">
            <v>TURKEY</v>
          </cell>
          <cell r="C1738">
            <v>98251</v>
          </cell>
          <cell r="H1738"/>
          <cell r="K1738"/>
          <cell r="P1738"/>
        </row>
        <row r="1739">
          <cell r="A1739"/>
          <cell r="B1739" t="str">
            <v>TYRRELL COUNTY</v>
          </cell>
          <cell r="C1739">
            <v>98901</v>
          </cell>
          <cell r="H1739"/>
          <cell r="K1739"/>
          <cell r="P1739"/>
        </row>
        <row r="1740">
          <cell r="A1740"/>
          <cell r="B1740" t="str">
            <v>TYRRELL COUNTY ABC BOARD</v>
          </cell>
          <cell r="C1740">
            <v>98904</v>
          </cell>
          <cell r="H1740"/>
          <cell r="K1740"/>
          <cell r="P1740"/>
        </row>
        <row r="1741">
          <cell r="A1741"/>
          <cell r="B1741" t="str">
            <v>UNION COUNTY</v>
          </cell>
          <cell r="C1741">
            <v>99001</v>
          </cell>
          <cell r="H1741"/>
          <cell r="K1741"/>
          <cell r="P1741"/>
        </row>
        <row r="1742">
          <cell r="A1742"/>
          <cell r="B1742" t="str">
            <v>UNIONVILLE</v>
          </cell>
          <cell r="C1742">
            <v>99061</v>
          </cell>
          <cell r="H1742"/>
          <cell r="K1742"/>
          <cell r="P1742"/>
        </row>
        <row r="1743">
          <cell r="A1743"/>
          <cell r="B1743" t="str">
            <v>UPPER COASTAL PLAIN COUNCIL OF GOVERNMENTS</v>
          </cell>
          <cell r="C1743">
            <v>93309</v>
          </cell>
          <cell r="H1743"/>
          <cell r="K1743"/>
          <cell r="P1743"/>
        </row>
        <row r="1744">
          <cell r="A1744"/>
          <cell r="B1744" t="str">
            <v>VALDESE</v>
          </cell>
          <cell r="C1744">
            <v>91211</v>
          </cell>
          <cell r="H1744"/>
          <cell r="K1744"/>
          <cell r="P1744"/>
        </row>
        <row r="1745">
          <cell r="A1745"/>
          <cell r="B1745" t="str">
            <v>VALDESE ABC BOARD</v>
          </cell>
          <cell r="C1745">
            <v>94947</v>
          </cell>
          <cell r="H1745"/>
          <cell r="K1745"/>
          <cell r="P1745"/>
        </row>
        <row r="1746">
          <cell r="A1746"/>
          <cell r="B1746" t="str">
            <v>VALDESE HOUSING AUTHORITY</v>
          </cell>
          <cell r="C1746">
            <v>91213</v>
          </cell>
          <cell r="H1746"/>
          <cell r="K1746"/>
          <cell r="P1746"/>
        </row>
        <row r="1747">
          <cell r="A1747"/>
          <cell r="B1747" t="str">
            <v>VANCE COUNTY</v>
          </cell>
          <cell r="C1747">
            <v>99101</v>
          </cell>
          <cell r="H1747"/>
          <cell r="K1747"/>
          <cell r="P1747"/>
        </row>
        <row r="1748">
          <cell r="A1748"/>
          <cell r="B1748" t="str">
            <v>VANCE COUNTY ABC BOARD</v>
          </cell>
          <cell r="C1748">
            <v>99104</v>
          </cell>
          <cell r="H1748"/>
          <cell r="K1748"/>
          <cell r="P1748"/>
        </row>
        <row r="1749">
          <cell r="A1749"/>
          <cell r="B1749" t="str">
            <v>VANCEBORO</v>
          </cell>
          <cell r="C1749">
            <v>92551</v>
          </cell>
          <cell r="H1749"/>
          <cell r="K1749"/>
          <cell r="P1749"/>
        </row>
        <row r="1750">
          <cell r="A1750"/>
          <cell r="B1750" t="str">
            <v>VASS</v>
          </cell>
          <cell r="C1750">
            <v>96321</v>
          </cell>
          <cell r="H1750"/>
          <cell r="K1750"/>
          <cell r="P1750"/>
        </row>
        <row r="1751">
          <cell r="A1751"/>
          <cell r="B1751" t="str">
            <v>VAYA HEALTH</v>
          </cell>
          <cell r="C1751">
            <v>95009</v>
          </cell>
          <cell r="H1751"/>
          <cell r="K1751"/>
          <cell r="P1751"/>
        </row>
        <row r="1752">
          <cell r="A1752"/>
          <cell r="B1752" t="str">
            <v>WADE</v>
          </cell>
          <cell r="C1752">
            <v>92641</v>
          </cell>
          <cell r="H1752"/>
          <cell r="K1752"/>
          <cell r="P1752"/>
        </row>
        <row r="1753">
          <cell r="A1753"/>
          <cell r="B1753" t="str">
            <v>WADESBORO</v>
          </cell>
          <cell r="C1753">
            <v>90411</v>
          </cell>
          <cell r="H1753"/>
          <cell r="K1753"/>
          <cell r="P1753"/>
        </row>
        <row r="1754">
          <cell r="A1754"/>
          <cell r="B1754" t="str">
            <v>WADESBORO ABC BOARD</v>
          </cell>
          <cell r="C1754">
            <v>90417</v>
          </cell>
          <cell r="H1754"/>
          <cell r="K1754"/>
          <cell r="P1754"/>
        </row>
        <row r="1755">
          <cell r="A1755"/>
          <cell r="B1755" t="str">
            <v>WADESBORO HOUSING AUTHORITY</v>
          </cell>
          <cell r="C1755">
            <v>90413</v>
          </cell>
          <cell r="H1755"/>
          <cell r="K1755"/>
          <cell r="P1755"/>
        </row>
        <row r="1756">
          <cell r="A1756"/>
          <cell r="B1756" t="str">
            <v>WAGRAM</v>
          </cell>
          <cell r="C1756">
            <v>98321</v>
          </cell>
          <cell r="H1756"/>
          <cell r="K1756"/>
          <cell r="P1756"/>
        </row>
        <row r="1757">
          <cell r="A1757"/>
          <cell r="B1757" t="str">
            <v>WAKE COUNTY</v>
          </cell>
          <cell r="C1757">
            <v>99201</v>
          </cell>
          <cell r="H1757"/>
          <cell r="K1757"/>
          <cell r="P1757"/>
        </row>
        <row r="1758">
          <cell r="A1758"/>
          <cell r="B1758" t="str">
            <v>WAKE COUNTY ABC BOARD</v>
          </cell>
          <cell r="C1758">
            <v>99204</v>
          </cell>
          <cell r="H1758"/>
          <cell r="K1758"/>
          <cell r="P1758"/>
        </row>
        <row r="1759">
          <cell r="A1759"/>
          <cell r="B1759" t="str">
            <v>WAKE COUNTY HOUSING AUTHORITY</v>
          </cell>
          <cell r="C1759">
            <v>99207</v>
          </cell>
          <cell r="H1759"/>
          <cell r="K1759"/>
          <cell r="P1759"/>
        </row>
        <row r="1760">
          <cell r="A1760"/>
          <cell r="B1760" t="str">
            <v>WAKE FOREST</v>
          </cell>
          <cell r="C1760">
            <v>99281</v>
          </cell>
          <cell r="H1760"/>
          <cell r="K1760"/>
          <cell r="P1760"/>
        </row>
        <row r="1761">
          <cell r="A1761"/>
          <cell r="B1761" t="str">
            <v>WALKERTOWN</v>
          </cell>
          <cell r="C1761">
            <v>93461</v>
          </cell>
          <cell r="H1761"/>
          <cell r="K1761"/>
          <cell r="P1761"/>
        </row>
        <row r="1762">
          <cell r="A1762"/>
          <cell r="B1762" t="str">
            <v>WALLACE</v>
          </cell>
          <cell r="C1762">
            <v>93151</v>
          </cell>
          <cell r="H1762"/>
          <cell r="K1762"/>
          <cell r="P1762"/>
        </row>
        <row r="1763">
          <cell r="A1763"/>
          <cell r="B1763" t="str">
            <v>WALLACE ABC BD</v>
          </cell>
          <cell r="C1763">
            <v>93157</v>
          </cell>
          <cell r="H1763"/>
          <cell r="K1763"/>
          <cell r="P1763"/>
        </row>
        <row r="1764">
          <cell r="A1764"/>
          <cell r="B1764" t="str">
            <v>WALNUT COVE</v>
          </cell>
          <cell r="C1764">
            <v>98511</v>
          </cell>
          <cell r="H1764"/>
          <cell r="K1764"/>
          <cell r="P1764"/>
        </row>
        <row r="1765">
          <cell r="A1765"/>
          <cell r="B1765" t="str">
            <v>WALNUT COVE ABC BOARD</v>
          </cell>
          <cell r="C1765">
            <v>98517</v>
          </cell>
          <cell r="H1765"/>
          <cell r="K1765"/>
          <cell r="P1765"/>
        </row>
        <row r="1766">
          <cell r="A1766"/>
          <cell r="B1766" t="str">
            <v>WALNUT CREEK</v>
          </cell>
          <cell r="C1766">
            <v>99661</v>
          </cell>
          <cell r="H1766"/>
          <cell r="K1766"/>
          <cell r="P1766"/>
        </row>
        <row r="1767">
          <cell r="A1767"/>
          <cell r="B1767" t="str">
            <v>WALSTONBURG</v>
          </cell>
          <cell r="C1767">
            <v>94031</v>
          </cell>
          <cell r="H1767"/>
          <cell r="K1767"/>
          <cell r="P1767"/>
        </row>
        <row r="1768">
          <cell r="A1768"/>
          <cell r="B1768" t="str">
            <v>WARREN COUNTY</v>
          </cell>
          <cell r="C1768">
            <v>99301</v>
          </cell>
          <cell r="H1768"/>
          <cell r="K1768"/>
          <cell r="P1768"/>
        </row>
        <row r="1769">
          <cell r="A1769"/>
          <cell r="B1769" t="str">
            <v>WARREN COUNTY ABC BOARD</v>
          </cell>
          <cell r="C1769">
            <v>99304</v>
          </cell>
          <cell r="H1769"/>
          <cell r="K1769"/>
          <cell r="P1769"/>
        </row>
        <row r="1770">
          <cell r="A1770"/>
          <cell r="B1770" t="str">
            <v>WARRENTON</v>
          </cell>
          <cell r="C1770">
            <v>99321</v>
          </cell>
          <cell r="H1770"/>
          <cell r="K1770"/>
          <cell r="P1770"/>
        </row>
        <row r="1771">
          <cell r="A1771"/>
          <cell r="B1771" t="str">
            <v>WARSAW</v>
          </cell>
          <cell r="C1771">
            <v>93131</v>
          </cell>
          <cell r="H1771"/>
          <cell r="K1771"/>
          <cell r="P1771"/>
        </row>
        <row r="1772">
          <cell r="A1772"/>
          <cell r="B1772" t="str">
            <v>WARSAW ABC BOARD</v>
          </cell>
          <cell r="C1772">
            <v>93137</v>
          </cell>
          <cell r="H1772"/>
          <cell r="K1772"/>
          <cell r="P1772"/>
        </row>
        <row r="1773">
          <cell r="A1773"/>
          <cell r="B1773" t="str">
            <v>WASHINGTON</v>
          </cell>
          <cell r="C1773">
            <v>90711</v>
          </cell>
          <cell r="H1773"/>
          <cell r="K1773"/>
          <cell r="P1773"/>
        </row>
        <row r="1774">
          <cell r="A1774"/>
          <cell r="B1774" t="str">
            <v>WASHINGTON COUNTY</v>
          </cell>
          <cell r="C1774">
            <v>99401</v>
          </cell>
          <cell r="H1774"/>
          <cell r="K1774"/>
          <cell r="P1774"/>
        </row>
        <row r="1775">
          <cell r="A1775"/>
          <cell r="B1775" t="str">
            <v>WASHINGTON COUNTY ABC BOARD</v>
          </cell>
          <cell r="C1775">
            <v>99404</v>
          </cell>
          <cell r="H1775"/>
          <cell r="K1775"/>
          <cell r="P1775"/>
        </row>
        <row r="1776">
          <cell r="A1776"/>
          <cell r="B1776" t="str">
            <v>WASHINGTON PARK</v>
          </cell>
          <cell r="C1776">
            <v>90741</v>
          </cell>
          <cell r="H1776"/>
          <cell r="K1776"/>
          <cell r="P1776"/>
        </row>
        <row r="1777">
          <cell r="A1777"/>
          <cell r="B1777" t="str">
            <v>WATAUGA COUNTY</v>
          </cell>
          <cell r="C1777">
            <v>99501</v>
          </cell>
          <cell r="H1777"/>
          <cell r="K1777"/>
          <cell r="P1777"/>
        </row>
        <row r="1778">
          <cell r="A1778"/>
          <cell r="B1778" t="str">
            <v>WATAUGA COUNTY DISTRICT U TDA</v>
          </cell>
          <cell r="C1778">
            <v>99509</v>
          </cell>
          <cell r="H1778"/>
          <cell r="K1778"/>
          <cell r="P1778"/>
        </row>
        <row r="1779">
          <cell r="A1779"/>
          <cell r="B1779" t="str">
            <v>WATER &amp; SEWER AUTHORITY OF CABARRUS COUNTY</v>
          </cell>
          <cell r="C1779">
            <v>91302</v>
          </cell>
          <cell r="H1779"/>
          <cell r="K1779"/>
          <cell r="P1779"/>
        </row>
        <row r="1780">
          <cell r="A1780"/>
          <cell r="B1780" t="str">
            <v>WAXHAW</v>
          </cell>
          <cell r="C1780">
            <v>99041</v>
          </cell>
          <cell r="H1780"/>
          <cell r="K1780"/>
          <cell r="P1780"/>
        </row>
        <row r="1781">
          <cell r="A1781"/>
          <cell r="B1781" t="str">
            <v>WAXHAW ABC BOARD</v>
          </cell>
          <cell r="C1781">
            <v>99047</v>
          </cell>
          <cell r="H1781"/>
          <cell r="K1781"/>
          <cell r="P1781"/>
        </row>
        <row r="1782">
          <cell r="A1782"/>
          <cell r="B1782" t="str">
            <v>WAYNE COUNTY</v>
          </cell>
          <cell r="C1782">
            <v>99601</v>
          </cell>
          <cell r="H1782"/>
          <cell r="K1782"/>
          <cell r="P1782"/>
        </row>
        <row r="1783">
          <cell r="A1783"/>
          <cell r="B1783" t="str">
            <v>WAYNE COUNTY ABC BOARD</v>
          </cell>
          <cell r="C1783">
            <v>99604</v>
          </cell>
          <cell r="H1783"/>
          <cell r="K1783"/>
          <cell r="P1783"/>
        </row>
        <row r="1784">
          <cell r="A1784"/>
          <cell r="B1784" t="str">
            <v>WAYNESVILLE</v>
          </cell>
          <cell r="C1784">
            <v>94411</v>
          </cell>
          <cell r="H1784"/>
          <cell r="K1784"/>
          <cell r="P1784"/>
        </row>
        <row r="1785">
          <cell r="A1785"/>
          <cell r="B1785" t="str">
            <v>WAYNESVILLE ABC BOARD</v>
          </cell>
          <cell r="C1785">
            <v>94412</v>
          </cell>
          <cell r="H1785"/>
          <cell r="K1785"/>
          <cell r="P1785"/>
        </row>
        <row r="1786">
          <cell r="A1786"/>
          <cell r="B1786" t="str">
            <v>WEAVERVILLE</v>
          </cell>
          <cell r="C1786">
            <v>91141</v>
          </cell>
          <cell r="H1786"/>
          <cell r="K1786"/>
          <cell r="P1786"/>
        </row>
        <row r="1787">
          <cell r="A1787"/>
          <cell r="B1787" t="str">
            <v>WEAVERVILLE ABC BOARD</v>
          </cell>
          <cell r="C1787">
            <v>91147</v>
          </cell>
          <cell r="H1787"/>
          <cell r="K1787"/>
          <cell r="P1787"/>
        </row>
        <row r="1788">
          <cell r="A1788"/>
          <cell r="B1788" t="str">
            <v>WEDDINGTON</v>
          </cell>
          <cell r="C1788">
            <v>99071</v>
          </cell>
          <cell r="H1788"/>
          <cell r="K1788"/>
          <cell r="P1788"/>
        </row>
        <row r="1789">
          <cell r="A1789"/>
          <cell r="B1789" t="str">
            <v>WELDON</v>
          </cell>
          <cell r="C1789">
            <v>94231</v>
          </cell>
          <cell r="H1789"/>
          <cell r="K1789"/>
          <cell r="P1789"/>
        </row>
        <row r="1790">
          <cell r="A1790"/>
          <cell r="B1790" t="str">
            <v>WENDELL</v>
          </cell>
          <cell r="C1790">
            <v>99231</v>
          </cell>
          <cell r="H1790"/>
          <cell r="K1790"/>
          <cell r="P1790"/>
        </row>
        <row r="1791">
          <cell r="A1791"/>
          <cell r="B1791" t="str">
            <v>WESLEY CHAPEL</v>
          </cell>
          <cell r="C1791">
            <v>99091</v>
          </cell>
          <cell r="H1791"/>
          <cell r="K1791"/>
          <cell r="P1791"/>
        </row>
        <row r="1792">
          <cell r="A1792"/>
          <cell r="B1792" t="str">
            <v>WEST BUNCOMBE FIRE DEPT</v>
          </cell>
          <cell r="C1792">
            <v>91120</v>
          </cell>
          <cell r="H1792"/>
          <cell r="K1792"/>
          <cell r="P1792"/>
        </row>
        <row r="1793">
          <cell r="A1793"/>
          <cell r="B1793" t="str">
            <v>WEST COLUMBUS ABC BOARD</v>
          </cell>
          <cell r="C1793">
            <v>92444</v>
          </cell>
          <cell r="H1793"/>
          <cell r="K1793"/>
          <cell r="P1793"/>
        </row>
        <row r="1794">
          <cell r="A1794"/>
          <cell r="B1794" t="str">
            <v>WEST JEFFERSON</v>
          </cell>
          <cell r="C1794">
            <v>90521</v>
          </cell>
          <cell r="H1794"/>
          <cell r="K1794"/>
          <cell r="P1794"/>
        </row>
        <row r="1795">
          <cell r="A1795"/>
          <cell r="B1795" t="str">
            <v>WEST JEFFERSON ABC BOARD</v>
          </cell>
          <cell r="C1795">
            <v>90507</v>
          </cell>
          <cell r="H1795"/>
          <cell r="K1795"/>
          <cell r="P1795"/>
        </row>
        <row r="1796">
          <cell r="A1796"/>
          <cell r="B1796" t="str">
            <v>WESTAREA VOLUNTEER FIRE DEPT</v>
          </cell>
          <cell r="C1796">
            <v>92602</v>
          </cell>
          <cell r="H1796"/>
          <cell r="K1796"/>
          <cell r="P1796"/>
        </row>
        <row r="1797">
          <cell r="A1797"/>
          <cell r="B1797" t="str">
            <v>WESTERN CARTERET INTERLOCAL COOPERATION AGENCY</v>
          </cell>
          <cell r="C1797">
            <v>91608</v>
          </cell>
          <cell r="H1797"/>
          <cell r="K1797"/>
          <cell r="P1797"/>
        </row>
        <row r="1798">
          <cell r="A1798"/>
          <cell r="B1798" t="str">
            <v>WESTERN HIGHLAND AREA AUTHORITY</v>
          </cell>
          <cell r="C1798">
            <v>91119</v>
          </cell>
          <cell r="H1798"/>
          <cell r="K1798"/>
          <cell r="P1798"/>
        </row>
        <row r="1799">
          <cell r="A1799"/>
          <cell r="B1799" t="str">
            <v>WESTERN NC REGIONAL AIR QUALITY</v>
          </cell>
          <cell r="C1799">
            <v>91107</v>
          </cell>
          <cell r="H1799"/>
          <cell r="K1799"/>
          <cell r="P1799"/>
        </row>
        <row r="1800">
          <cell r="A1800"/>
          <cell r="B1800" t="str">
            <v>WESTERN PIEDMONT COUNCIL OF GOVERNMENTS</v>
          </cell>
          <cell r="C1800">
            <v>91818</v>
          </cell>
          <cell r="H1800"/>
          <cell r="K1800"/>
          <cell r="P1800"/>
        </row>
        <row r="1801">
          <cell r="A1801"/>
          <cell r="B1801" t="str">
            <v>WESTERN PIEDMONT REGIONAL TRANSIT AUTHORITY</v>
          </cell>
          <cell r="C1801">
            <v>91819</v>
          </cell>
          <cell r="H1801"/>
          <cell r="K1801"/>
          <cell r="P1801"/>
        </row>
        <row r="1802">
          <cell r="A1802"/>
          <cell r="B1802" t="str">
            <v>WHISPERING PINES</v>
          </cell>
          <cell r="C1802">
            <v>96371</v>
          </cell>
          <cell r="H1802"/>
          <cell r="K1802"/>
          <cell r="P1802"/>
        </row>
        <row r="1803">
          <cell r="A1803"/>
          <cell r="B1803" t="str">
            <v>WHITAKERS</v>
          </cell>
          <cell r="C1803">
            <v>96441</v>
          </cell>
          <cell r="H1803"/>
          <cell r="K1803"/>
          <cell r="P1803"/>
        </row>
        <row r="1804">
          <cell r="A1804"/>
          <cell r="B1804" t="str">
            <v>WHITE LAKE</v>
          </cell>
          <cell r="C1804">
            <v>90921</v>
          </cell>
          <cell r="H1804"/>
          <cell r="K1804"/>
          <cell r="P1804"/>
        </row>
        <row r="1805">
          <cell r="A1805"/>
          <cell r="B1805" t="str">
            <v>WHITEVILLE</v>
          </cell>
          <cell r="C1805">
            <v>92411</v>
          </cell>
          <cell r="H1805"/>
          <cell r="K1805"/>
          <cell r="P1805"/>
        </row>
        <row r="1806">
          <cell r="A1806"/>
          <cell r="B1806" t="str">
            <v>WHITEVILLE ABC BOARD</v>
          </cell>
          <cell r="C1806">
            <v>92417</v>
          </cell>
          <cell r="H1806"/>
          <cell r="K1806"/>
          <cell r="P1806"/>
        </row>
        <row r="1807">
          <cell r="A1807"/>
          <cell r="B1807" t="str">
            <v>WHITEVILLE HOUSING AUTHORITY</v>
          </cell>
          <cell r="C1807">
            <v>92403</v>
          </cell>
          <cell r="H1807"/>
          <cell r="K1807"/>
          <cell r="P1807"/>
        </row>
        <row r="1808">
          <cell r="A1808"/>
          <cell r="B1808" t="str">
            <v>WILKES COUNTY</v>
          </cell>
          <cell r="C1808">
            <v>99701</v>
          </cell>
          <cell r="H1808"/>
          <cell r="K1808"/>
          <cell r="P1808"/>
        </row>
        <row r="1809">
          <cell r="A1809"/>
          <cell r="B1809" t="str">
            <v>WILKESBORO</v>
          </cell>
          <cell r="C1809">
            <v>99721</v>
          </cell>
          <cell r="H1809"/>
          <cell r="K1809"/>
          <cell r="P1809"/>
        </row>
        <row r="1810">
          <cell r="A1810"/>
          <cell r="B1810" t="str">
            <v>WILKESBORO ABC BOARD</v>
          </cell>
          <cell r="C1810">
            <v>99727</v>
          </cell>
          <cell r="H1810"/>
          <cell r="K1810"/>
          <cell r="P1810"/>
        </row>
        <row r="1811">
          <cell r="A1811"/>
          <cell r="B1811" t="str">
            <v>WILLIAMSTON</v>
          </cell>
          <cell r="C1811">
            <v>95811</v>
          </cell>
          <cell r="H1811"/>
          <cell r="K1811"/>
          <cell r="P1811"/>
        </row>
        <row r="1812">
          <cell r="A1812"/>
          <cell r="B1812" t="str">
            <v>WILLIAMSTON HOUSING AUTHORITY</v>
          </cell>
          <cell r="C1812">
            <v>95813</v>
          </cell>
          <cell r="H1812"/>
          <cell r="K1812"/>
          <cell r="P1812"/>
        </row>
        <row r="1813">
          <cell r="A1813"/>
          <cell r="B1813" t="str">
            <v>WILMINGTON</v>
          </cell>
          <cell r="C1813">
            <v>96531</v>
          </cell>
          <cell r="H1813"/>
          <cell r="K1813"/>
          <cell r="P1813"/>
        </row>
        <row r="1814">
          <cell r="A1814"/>
          <cell r="B1814" t="str">
            <v>WILMINGTON HOUSING AUTHORITY</v>
          </cell>
          <cell r="C1814">
            <v>96503</v>
          </cell>
          <cell r="H1814"/>
          <cell r="K1814"/>
          <cell r="P1814"/>
        </row>
        <row r="1815">
          <cell r="A1815"/>
          <cell r="B1815" t="str">
            <v>WILSON</v>
          </cell>
          <cell r="C1815">
            <v>99811</v>
          </cell>
          <cell r="H1815"/>
          <cell r="K1815"/>
          <cell r="P1815"/>
        </row>
        <row r="1816">
          <cell r="A1816"/>
          <cell r="B1816" t="str">
            <v>WILSON CEMETERY COMMISSION</v>
          </cell>
          <cell r="C1816">
            <v>99818</v>
          </cell>
          <cell r="H1816"/>
          <cell r="K1816"/>
          <cell r="P1816"/>
        </row>
        <row r="1817">
          <cell r="A1817"/>
          <cell r="B1817" t="str">
            <v>WILSON COUNTY</v>
          </cell>
          <cell r="C1817">
            <v>99801</v>
          </cell>
          <cell r="H1817"/>
          <cell r="K1817"/>
          <cell r="P1817"/>
        </row>
        <row r="1818">
          <cell r="A1818"/>
          <cell r="B1818" t="str">
            <v>WILSON COUNTY ABC BOARD</v>
          </cell>
          <cell r="C1818">
            <v>99804</v>
          </cell>
          <cell r="H1818"/>
          <cell r="K1818"/>
          <cell r="P1818"/>
        </row>
        <row r="1819">
          <cell r="A1819"/>
          <cell r="B1819" t="str">
            <v>WILSON COUNTY TOURISM DEVELOPMENT AUTHORITY</v>
          </cell>
          <cell r="C1819">
            <v>99802</v>
          </cell>
          <cell r="H1819"/>
          <cell r="K1819"/>
          <cell r="P1819"/>
        </row>
        <row r="1820">
          <cell r="A1820"/>
          <cell r="B1820" t="str">
            <v>WILSON ECONOMIC DEV COUNCIL</v>
          </cell>
          <cell r="C1820">
            <v>99812</v>
          </cell>
          <cell r="H1820"/>
          <cell r="K1820"/>
          <cell r="P1820"/>
        </row>
        <row r="1821">
          <cell r="A1821"/>
          <cell r="B1821" t="str">
            <v>WILSON'S MILLS</v>
          </cell>
          <cell r="C1821">
            <v>95191</v>
          </cell>
          <cell r="H1821"/>
          <cell r="K1821"/>
          <cell r="P1821"/>
        </row>
        <row r="1822">
          <cell r="A1822"/>
          <cell r="B1822" t="str">
            <v>WINDSOR</v>
          </cell>
          <cell r="C1822">
            <v>90812</v>
          </cell>
          <cell r="H1822"/>
          <cell r="K1822"/>
          <cell r="P1822"/>
        </row>
        <row r="1823">
          <cell r="A1823"/>
          <cell r="B1823" t="str">
            <v>WINFALL</v>
          </cell>
          <cell r="C1823">
            <v>97221</v>
          </cell>
          <cell r="H1823"/>
          <cell r="K1823"/>
          <cell r="P1823"/>
        </row>
        <row r="1824">
          <cell r="A1824"/>
          <cell r="B1824" t="str">
            <v>WINGATE</v>
          </cell>
          <cell r="C1824">
            <v>99031</v>
          </cell>
          <cell r="H1824"/>
          <cell r="K1824"/>
          <cell r="P1824"/>
        </row>
        <row r="1825">
          <cell r="A1825"/>
          <cell r="B1825" t="str">
            <v>WINSTON-SALEM</v>
          </cell>
          <cell r="C1825">
            <v>93411</v>
          </cell>
          <cell r="H1825"/>
          <cell r="K1825"/>
          <cell r="P1825"/>
        </row>
        <row r="1826">
          <cell r="A1826"/>
          <cell r="B1826" t="str">
            <v>WINSTON-SALEM HOUSING AUTHORITY</v>
          </cell>
          <cell r="C1826">
            <v>93413</v>
          </cell>
          <cell r="H1826"/>
          <cell r="K1826"/>
          <cell r="P1826"/>
        </row>
        <row r="1827">
          <cell r="A1827"/>
          <cell r="B1827" t="str">
            <v>WINTERVILLE</v>
          </cell>
          <cell r="C1827">
            <v>97451</v>
          </cell>
          <cell r="H1827"/>
          <cell r="K1827"/>
          <cell r="P1827"/>
        </row>
        <row r="1828">
          <cell r="A1828"/>
          <cell r="B1828" t="str">
            <v>WINTON</v>
          </cell>
          <cell r="C1828">
            <v>94631</v>
          </cell>
          <cell r="H1828"/>
          <cell r="K1828"/>
          <cell r="P1828"/>
        </row>
        <row r="1829">
          <cell r="A1829"/>
          <cell r="B1829" t="str">
            <v>WOODFIN</v>
          </cell>
          <cell r="C1829">
            <v>91171</v>
          </cell>
          <cell r="H1829"/>
          <cell r="K1829"/>
          <cell r="P1829"/>
        </row>
        <row r="1830">
          <cell r="A1830"/>
          <cell r="B1830" t="str">
            <v>WOODFIN ABC COMMISSION</v>
          </cell>
          <cell r="C1830">
            <v>91104</v>
          </cell>
          <cell r="H1830"/>
          <cell r="K1830"/>
          <cell r="P1830"/>
        </row>
        <row r="1831">
          <cell r="A1831"/>
          <cell r="B1831" t="str">
            <v>WOODFIN SANITARY WATER AND SEWER DISTRICT</v>
          </cell>
          <cell r="C1831">
            <v>91109</v>
          </cell>
          <cell r="H1831"/>
          <cell r="K1831"/>
          <cell r="P1831"/>
        </row>
        <row r="1832">
          <cell r="A1832"/>
          <cell r="B1832" t="str">
            <v>WOODLAND</v>
          </cell>
          <cell r="C1832">
            <v>96621</v>
          </cell>
          <cell r="H1832"/>
          <cell r="K1832"/>
          <cell r="P1832"/>
        </row>
        <row r="1833">
          <cell r="A1833"/>
          <cell r="B1833" t="str">
            <v>WRIGHTSVILLE BEACH</v>
          </cell>
          <cell r="C1833">
            <v>96511</v>
          </cell>
          <cell r="H1833"/>
          <cell r="K1833"/>
          <cell r="P1833"/>
        </row>
        <row r="1834">
          <cell r="A1834"/>
          <cell r="B1834" t="str">
            <v>YADKIN COUNTY</v>
          </cell>
          <cell r="C1834">
            <v>99901</v>
          </cell>
          <cell r="H1834"/>
          <cell r="K1834"/>
          <cell r="P1834"/>
        </row>
        <row r="1835">
          <cell r="A1835"/>
          <cell r="B1835" t="str">
            <v>YADKIN VALLEY ABC BOARD (includes Elkin ABC Board)</v>
          </cell>
          <cell r="C1835">
            <v>98604</v>
          </cell>
          <cell r="H1835"/>
          <cell r="K1835"/>
          <cell r="P1835"/>
        </row>
        <row r="1836">
          <cell r="A1836"/>
          <cell r="B1836" t="str">
            <v>YADKIN VALLEY SEWER AUTHORITY</v>
          </cell>
          <cell r="C1836">
            <v>98608</v>
          </cell>
          <cell r="H1836"/>
          <cell r="K1836"/>
          <cell r="P1836"/>
        </row>
        <row r="1837">
          <cell r="A1837"/>
          <cell r="B1837" t="str">
            <v>YADKINVILLE</v>
          </cell>
          <cell r="C1837">
            <v>99911</v>
          </cell>
          <cell r="H1837"/>
          <cell r="K1837"/>
          <cell r="P1837"/>
        </row>
        <row r="1838">
          <cell r="A1838"/>
          <cell r="B1838" t="str">
            <v>YANCEY COUNTY</v>
          </cell>
          <cell r="C1838">
            <v>90001</v>
          </cell>
          <cell r="H1838"/>
          <cell r="K1838"/>
          <cell r="P1838"/>
        </row>
        <row r="1839">
          <cell r="A1839"/>
          <cell r="B1839" t="str">
            <v>YANCEY SOIL &amp; WATER CONSERVATION DISTRICT</v>
          </cell>
          <cell r="C1839">
            <v>90002</v>
          </cell>
          <cell r="H1839"/>
          <cell r="K1839"/>
          <cell r="P1839"/>
        </row>
        <row r="1840">
          <cell r="A1840"/>
          <cell r="B1840" t="str">
            <v>YANCEYVILLE</v>
          </cell>
          <cell r="C1840">
            <v>91719</v>
          </cell>
          <cell r="H1840"/>
          <cell r="K1840"/>
          <cell r="P1840"/>
        </row>
        <row r="1841">
          <cell r="A1841"/>
          <cell r="B1841" t="str">
            <v>YOUNGSVILLE</v>
          </cell>
          <cell r="C1841">
            <v>93541</v>
          </cell>
          <cell r="H1841"/>
          <cell r="K1841"/>
          <cell r="P1841"/>
        </row>
        <row r="1842">
          <cell r="A1842"/>
          <cell r="B1842" t="str">
            <v>ZEBULON</v>
          </cell>
          <cell r="C1842">
            <v>99241</v>
          </cell>
          <cell r="H1842"/>
          <cell r="K1842"/>
          <cell r="P1842"/>
        </row>
        <row r="1843">
          <cell r="A1843"/>
          <cell r="B1843"/>
          <cell r="H1843"/>
          <cell r="K1843"/>
          <cell r="P1843"/>
        </row>
        <row r="1844">
          <cell r="B1844"/>
          <cell r="H1844"/>
          <cell r="K1844"/>
          <cell r="P1844"/>
        </row>
        <row r="1845">
          <cell r="B1845"/>
          <cell r="H1845"/>
          <cell r="K1845"/>
          <cell r="P1845"/>
        </row>
        <row r="1846">
          <cell r="B1846"/>
          <cell r="H1846"/>
          <cell r="K1846"/>
          <cell r="P1846"/>
        </row>
        <row r="1847">
          <cell r="B1847"/>
          <cell r="H1847"/>
          <cell r="K1847"/>
          <cell r="P1847"/>
        </row>
        <row r="1848">
          <cell r="B1848"/>
          <cell r="H1848"/>
          <cell r="K1848"/>
          <cell r="P1848"/>
        </row>
        <row r="1849">
          <cell r="B1849"/>
          <cell r="H1849"/>
          <cell r="K1849"/>
          <cell r="P1849"/>
        </row>
        <row r="1850">
          <cell r="B1850"/>
          <cell r="H1850"/>
          <cell r="K1850"/>
          <cell r="P1850"/>
        </row>
        <row r="1851">
          <cell r="B1851"/>
          <cell r="H1851"/>
          <cell r="K1851"/>
          <cell r="P1851"/>
        </row>
        <row r="1852">
          <cell r="B1852"/>
          <cell r="H1852"/>
          <cell r="K1852"/>
          <cell r="P1852"/>
        </row>
        <row r="1853">
          <cell r="B1853"/>
          <cell r="H1853"/>
          <cell r="K1853"/>
          <cell r="P1853"/>
        </row>
        <row r="1854">
          <cell r="B1854"/>
          <cell r="H1854"/>
          <cell r="K1854"/>
          <cell r="P1854"/>
        </row>
        <row r="1855">
          <cell r="B1855"/>
          <cell r="H1855"/>
          <cell r="K1855"/>
          <cell r="P1855"/>
        </row>
        <row r="1856">
          <cell r="B1856"/>
          <cell r="H1856"/>
          <cell r="K1856"/>
          <cell r="P1856"/>
        </row>
        <row r="1857">
          <cell r="B1857"/>
          <cell r="H1857"/>
          <cell r="K1857"/>
          <cell r="P1857"/>
        </row>
        <row r="1858">
          <cell r="B1858"/>
          <cell r="H1858"/>
          <cell r="K1858"/>
          <cell r="P1858"/>
        </row>
        <row r="1859">
          <cell r="B1859"/>
          <cell r="H1859"/>
          <cell r="K1859"/>
          <cell r="P1859"/>
        </row>
        <row r="1860">
          <cell r="B1860"/>
          <cell r="H1860"/>
          <cell r="K1860"/>
          <cell r="P1860"/>
        </row>
        <row r="1861">
          <cell r="B1861"/>
          <cell r="H1861"/>
          <cell r="K1861"/>
          <cell r="P1861"/>
        </row>
        <row r="1862">
          <cell r="B1862"/>
          <cell r="H1862"/>
          <cell r="K1862"/>
          <cell r="P1862"/>
        </row>
        <row r="1863">
          <cell r="B1863"/>
          <cell r="H1863"/>
          <cell r="K1863"/>
          <cell r="P1863"/>
        </row>
        <row r="1864">
          <cell r="B1864"/>
          <cell r="H1864"/>
          <cell r="K1864"/>
          <cell r="P1864"/>
        </row>
        <row r="1865">
          <cell r="B1865"/>
          <cell r="H1865"/>
          <cell r="K1865"/>
          <cell r="P1865"/>
        </row>
        <row r="1866">
          <cell r="B1866"/>
          <cell r="H1866"/>
          <cell r="K1866"/>
          <cell r="P1866"/>
        </row>
        <row r="1867">
          <cell r="B1867"/>
          <cell r="H1867"/>
          <cell r="K1867"/>
          <cell r="P1867"/>
        </row>
        <row r="1868">
          <cell r="B1868"/>
          <cell r="H1868"/>
          <cell r="K1868"/>
          <cell r="P1868"/>
        </row>
        <row r="1869">
          <cell r="B1869"/>
          <cell r="H1869"/>
          <cell r="K1869"/>
          <cell r="P1869"/>
        </row>
        <row r="1870">
          <cell r="B1870"/>
          <cell r="H1870"/>
          <cell r="K1870"/>
          <cell r="P1870"/>
        </row>
        <row r="1871">
          <cell r="B1871"/>
          <cell r="H1871"/>
          <cell r="K1871"/>
          <cell r="P1871"/>
        </row>
        <row r="1872">
          <cell r="B1872"/>
          <cell r="H1872"/>
          <cell r="K1872"/>
          <cell r="P1872"/>
        </row>
        <row r="1873">
          <cell r="B1873"/>
          <cell r="H1873"/>
          <cell r="K1873"/>
          <cell r="P1873"/>
        </row>
        <row r="1874">
          <cell r="B1874"/>
          <cell r="H1874"/>
          <cell r="K1874"/>
          <cell r="P1874"/>
        </row>
        <row r="1875">
          <cell r="B1875"/>
          <cell r="H1875"/>
          <cell r="K1875"/>
          <cell r="P1875"/>
        </row>
        <row r="1876">
          <cell r="B1876"/>
          <cell r="H1876"/>
          <cell r="K1876"/>
          <cell r="P1876"/>
        </row>
        <row r="1877">
          <cell r="B1877"/>
          <cell r="H1877"/>
          <cell r="K1877"/>
          <cell r="P1877"/>
        </row>
        <row r="1878">
          <cell r="B1878"/>
          <cell r="H1878"/>
          <cell r="K1878"/>
          <cell r="P1878"/>
        </row>
        <row r="1879">
          <cell r="B1879"/>
          <cell r="H1879"/>
          <cell r="K1879"/>
          <cell r="P1879"/>
        </row>
        <row r="1880">
          <cell r="B1880"/>
          <cell r="H1880"/>
          <cell r="K1880"/>
          <cell r="P1880"/>
        </row>
        <row r="1881">
          <cell r="B1881"/>
          <cell r="H1881"/>
          <cell r="K1881"/>
          <cell r="P1881"/>
        </row>
        <row r="1882">
          <cell r="B1882"/>
          <cell r="H1882"/>
          <cell r="K1882"/>
          <cell r="P1882"/>
        </row>
        <row r="1883">
          <cell r="B1883"/>
          <cell r="H1883"/>
          <cell r="K1883"/>
          <cell r="P1883"/>
        </row>
        <row r="1884">
          <cell r="B1884"/>
          <cell r="H1884"/>
          <cell r="K1884"/>
          <cell r="P1884"/>
        </row>
        <row r="1885">
          <cell r="B1885"/>
          <cell r="H1885"/>
          <cell r="K1885"/>
          <cell r="P1885"/>
        </row>
        <row r="1886">
          <cell r="B1886"/>
          <cell r="H1886"/>
          <cell r="K1886"/>
          <cell r="P1886"/>
        </row>
        <row r="1887">
          <cell r="B1887"/>
          <cell r="H1887"/>
          <cell r="K1887"/>
          <cell r="P1887"/>
        </row>
        <row r="1888">
          <cell r="B1888"/>
          <cell r="H1888"/>
          <cell r="K1888"/>
          <cell r="P1888"/>
        </row>
        <row r="1889">
          <cell r="B1889"/>
          <cell r="H1889"/>
          <cell r="K1889"/>
          <cell r="P1889"/>
        </row>
        <row r="1890">
          <cell r="B1890"/>
          <cell r="H1890"/>
          <cell r="K1890"/>
          <cell r="P1890"/>
        </row>
        <row r="1891">
          <cell r="B1891"/>
          <cell r="H1891"/>
          <cell r="K1891"/>
          <cell r="P1891"/>
        </row>
        <row r="1892">
          <cell r="B1892"/>
          <cell r="H1892"/>
          <cell r="K1892"/>
          <cell r="P1892"/>
        </row>
        <row r="1893">
          <cell r="B1893"/>
          <cell r="H1893"/>
          <cell r="K1893"/>
          <cell r="P1893"/>
        </row>
        <row r="1894">
          <cell r="B1894"/>
          <cell r="H1894"/>
          <cell r="K1894"/>
          <cell r="P1894"/>
        </row>
        <row r="1895">
          <cell r="B1895"/>
          <cell r="H1895"/>
          <cell r="K1895"/>
          <cell r="P1895"/>
        </row>
        <row r="1896">
          <cell r="B1896"/>
          <cell r="H1896"/>
          <cell r="K1896"/>
          <cell r="P1896"/>
        </row>
        <row r="1897">
          <cell r="B1897"/>
          <cell r="H1897"/>
          <cell r="K1897"/>
          <cell r="P1897"/>
        </row>
        <row r="1898">
          <cell r="B1898"/>
          <cell r="H1898"/>
          <cell r="K1898"/>
          <cell r="P1898"/>
        </row>
        <row r="1899">
          <cell r="B1899"/>
          <cell r="H1899"/>
          <cell r="K1899"/>
          <cell r="P1899"/>
        </row>
        <row r="1900">
          <cell r="B1900"/>
          <cell r="H1900"/>
          <cell r="K1900"/>
          <cell r="P1900"/>
        </row>
        <row r="1901">
          <cell r="B1901"/>
          <cell r="H1901"/>
          <cell r="K1901"/>
          <cell r="P1901"/>
        </row>
        <row r="1902">
          <cell r="B1902"/>
          <cell r="H1902"/>
          <cell r="K1902"/>
          <cell r="P1902"/>
        </row>
        <row r="1903">
          <cell r="B1903"/>
          <cell r="H1903"/>
          <cell r="K1903"/>
          <cell r="P1903"/>
        </row>
        <row r="1904">
          <cell r="B1904"/>
          <cell r="H1904"/>
          <cell r="K1904"/>
          <cell r="P1904"/>
        </row>
        <row r="1905">
          <cell r="B1905"/>
          <cell r="H1905"/>
          <cell r="K1905"/>
          <cell r="P1905"/>
        </row>
        <row r="1906">
          <cell r="B1906"/>
          <cell r="H1906"/>
          <cell r="K1906"/>
          <cell r="P1906"/>
        </row>
        <row r="1907">
          <cell r="B1907"/>
          <cell r="H1907"/>
          <cell r="K1907"/>
          <cell r="P1907"/>
        </row>
        <row r="1908">
          <cell r="B1908"/>
          <cell r="H1908"/>
          <cell r="K1908"/>
          <cell r="P1908"/>
        </row>
        <row r="1909">
          <cell r="B1909"/>
          <cell r="H1909"/>
          <cell r="K1909"/>
          <cell r="P1909"/>
        </row>
        <row r="1910">
          <cell r="B1910"/>
          <cell r="H1910"/>
          <cell r="K1910"/>
          <cell r="P1910"/>
        </row>
        <row r="1911">
          <cell r="B1911"/>
          <cell r="H1911"/>
          <cell r="K1911"/>
          <cell r="P1911"/>
        </row>
        <row r="1912">
          <cell r="B1912"/>
          <cell r="H1912"/>
          <cell r="K1912"/>
          <cell r="P1912"/>
        </row>
      </sheetData>
      <sheetData sheetId="19">
        <row r="908">
          <cell r="F908">
            <v>1527723006</v>
          </cell>
        </row>
      </sheetData>
      <sheetData sheetId="20">
        <row r="1">
          <cell r="A1" t="str">
            <v>Measurement date 6/30/2017</v>
          </cell>
          <cell r="J1"/>
        </row>
        <row r="2">
          <cell r="A2" t="str">
            <v>Recognition period - 5.00 years</v>
          </cell>
          <cell r="J2"/>
        </row>
        <row r="3">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row>
        <row r="4">
          <cell r="I4" t="str">
            <v>Deferred Outflows Of Resources</v>
          </cell>
          <cell r="J4"/>
          <cell r="K4"/>
          <cell r="L4"/>
          <cell r="N4" t="str">
            <v>Deferred Inflows Of Resources</v>
          </cell>
          <cell r="O4"/>
          <cell r="P4"/>
          <cell r="Q4"/>
          <cell r="S4" t="str">
            <v>Pension Expense</v>
          </cell>
          <cell r="T4"/>
          <cell r="U4"/>
        </row>
        <row r="5">
          <cell r="A5" t="str">
            <v>Agency Number</v>
          </cell>
          <cell r="B5" t="str">
            <v>Agency</v>
          </cell>
          <cell r="C5" t="str">
            <v>Current Proportional Share</v>
          </cell>
          <cell r="D5" t="str">
            <v>Prior Proportional Share</v>
          </cell>
          <cell r="E5" t="str">
            <v>Contributions to plan</v>
          </cell>
          <cell r="F5" t="str">
            <v>Net Pension Liability - Beginning of the Year</v>
          </cell>
          <cell r="G5" t="str">
            <v>Net Pension Liability - End of Year</v>
          </cell>
          <cell r="H5"/>
          <cell r="I5" t="str">
            <v>Differences Between Expected And Actual Experience</v>
          </cell>
          <cell r="J5" t="str">
            <v>Net Difference Between Projected And Actual Investment Earnings On Plan Investments</v>
          </cell>
          <cell r="K5" t="str">
            <v>Changes Of Assumptions</v>
          </cell>
          <cell r="L5" t="str">
            <v>Changes In Proportion And Differences Between Employer Contributions And Proportional Share Of Contributions</v>
          </cell>
          <cell r="M5"/>
          <cell r="N5" t="str">
            <v>Differences Between Expected And Actual Experience</v>
          </cell>
          <cell r="O5" t="str">
            <v>Net Difference Between Projected And Actual Investment Earnings On Plan Investments</v>
          </cell>
          <cell r="P5" t="str">
            <v>Changes Of Assumptions</v>
          </cell>
          <cell r="Q5" t="str">
            <v>Changes In Proportion And Differences Between Employer Contributions And Proportional Share Of Contributions</v>
          </cell>
          <cell r="R5"/>
          <cell r="S5" t="str">
            <v>Proportional Share Of Pension Expense</v>
          </cell>
          <cell r="T5" t="str">
            <v>Net Amortization Of Deferred Amounts From Changes In Proportion And Differences Between Employer Contributions And Proportional Share Of Contributions</v>
          </cell>
          <cell r="U5" t="str">
            <v>Total Employer Pension Expense</v>
          </cell>
        </row>
        <row r="6">
          <cell r="A6" t="str">
            <v>N/A</v>
          </cell>
          <cell r="B6" t="str">
            <v>No additional agency chosen</v>
          </cell>
          <cell r="C6"/>
          <cell r="D6"/>
          <cell r="E6">
            <v>0</v>
          </cell>
          <cell r="F6"/>
          <cell r="G6"/>
          <cell r="H6"/>
          <cell r="I6"/>
          <cell r="J6"/>
          <cell r="K6"/>
          <cell r="L6"/>
          <cell r="M6"/>
          <cell r="N6"/>
          <cell r="O6"/>
          <cell r="P6"/>
          <cell r="Q6"/>
          <cell r="R6"/>
          <cell r="S6"/>
          <cell r="T6"/>
          <cell r="U6"/>
        </row>
        <row r="7">
          <cell r="A7">
            <v>70505</v>
          </cell>
          <cell r="B7" t="str">
            <v>THE EASTERN BAND OF CHEROKEE INDIANS</v>
          </cell>
          <cell r="C7">
            <v>4.147E-4</v>
          </cell>
          <cell r="D7">
            <v>4.6880000000000001E-4</v>
          </cell>
          <cell r="E7">
            <v>195765</v>
          </cell>
          <cell r="F7">
            <v>994951</v>
          </cell>
          <cell r="G7">
            <v>633547</v>
          </cell>
          <cell r="H7"/>
          <cell r="I7">
            <v>36498</v>
          </cell>
          <cell r="J7">
            <v>153826</v>
          </cell>
          <cell r="K7">
            <v>90479</v>
          </cell>
          <cell r="L7">
            <v>0</v>
          </cell>
          <cell r="M7"/>
          <cell r="N7">
            <v>17934</v>
          </cell>
          <cell r="O7">
            <v>0</v>
          </cell>
          <cell r="P7">
            <v>0</v>
          </cell>
          <cell r="Q7">
            <v>53472</v>
          </cell>
          <cell r="R7"/>
          <cell r="S7">
            <v>213506</v>
          </cell>
          <cell r="T7">
            <v>-18259</v>
          </cell>
          <cell r="U7">
            <v>195247</v>
          </cell>
        </row>
        <row r="8">
          <cell r="A8">
            <v>72265</v>
          </cell>
          <cell r="B8" t="str">
            <v>PIEDMONT TRIAD AIRPORT AUTHORITY</v>
          </cell>
          <cell r="C8">
            <v>1.4009999999999999E-4</v>
          </cell>
          <cell r="D8">
            <v>1.327E-4</v>
          </cell>
          <cell r="E8">
            <v>61817</v>
          </cell>
          <cell r="F8">
            <v>281634</v>
          </cell>
          <cell r="G8">
            <v>214034</v>
          </cell>
          <cell r="H8"/>
          <cell r="I8">
            <v>12330</v>
          </cell>
          <cell r="J8">
            <v>51967</v>
          </cell>
          <cell r="K8">
            <v>30567</v>
          </cell>
          <cell r="L8">
            <v>6550</v>
          </cell>
          <cell r="M8"/>
          <cell r="N8">
            <v>6059</v>
          </cell>
          <cell r="O8">
            <v>0</v>
          </cell>
          <cell r="P8">
            <v>0</v>
          </cell>
          <cell r="Q8">
            <v>3729</v>
          </cell>
          <cell r="R8"/>
          <cell r="S8">
            <v>72130</v>
          </cell>
          <cell r="T8">
            <v>3031</v>
          </cell>
          <cell r="U8">
            <v>75161</v>
          </cell>
        </row>
        <row r="9">
          <cell r="A9">
            <v>72593</v>
          </cell>
          <cell r="B9" t="str">
            <v>TOWN OF SEAGROVE</v>
          </cell>
          <cell r="C9">
            <v>5.9000000000000003E-6</v>
          </cell>
          <cell r="D9">
            <v>0</v>
          </cell>
          <cell r="E9">
            <v>1531</v>
          </cell>
          <cell r="F9">
            <v>0</v>
          </cell>
          <cell r="G9">
            <v>9014</v>
          </cell>
          <cell r="H9"/>
          <cell r="I9">
            <v>519</v>
          </cell>
          <cell r="J9">
            <v>2188</v>
          </cell>
          <cell r="K9">
            <v>1287</v>
          </cell>
          <cell r="L9">
            <v>3014</v>
          </cell>
          <cell r="M9"/>
          <cell r="N9">
            <v>255</v>
          </cell>
          <cell r="O9">
            <v>0</v>
          </cell>
          <cell r="P9">
            <v>0</v>
          </cell>
          <cell r="Q9">
            <v>0</v>
          </cell>
          <cell r="R9"/>
          <cell r="S9">
            <v>3038</v>
          </cell>
          <cell r="T9">
            <v>753</v>
          </cell>
          <cell r="U9">
            <v>3791</v>
          </cell>
        </row>
        <row r="10">
          <cell r="A10">
            <v>72657</v>
          </cell>
          <cell r="B10" t="str">
            <v>TOWN OF SPARTA</v>
          </cell>
          <cell r="C10">
            <v>3.9900000000000001E-5</v>
          </cell>
          <cell r="D10">
            <v>4.2799999999999997E-5</v>
          </cell>
          <cell r="E10">
            <v>16620</v>
          </cell>
          <cell r="F10">
            <v>90836</v>
          </cell>
          <cell r="G10">
            <v>60956</v>
          </cell>
          <cell r="H10"/>
          <cell r="I10">
            <v>3512</v>
          </cell>
          <cell r="J10">
            <v>14801</v>
          </cell>
          <cell r="K10">
            <v>8705</v>
          </cell>
          <cell r="L10">
            <v>3272</v>
          </cell>
          <cell r="M10"/>
          <cell r="N10">
            <v>1725</v>
          </cell>
          <cell r="O10">
            <v>0</v>
          </cell>
          <cell r="P10">
            <v>0</v>
          </cell>
          <cell r="Q10">
            <v>6366</v>
          </cell>
          <cell r="R10"/>
          <cell r="S10">
            <v>20542</v>
          </cell>
          <cell r="T10">
            <v>900</v>
          </cell>
          <cell r="U10">
            <v>21442</v>
          </cell>
        </row>
        <row r="11">
          <cell r="A11">
            <v>90001</v>
          </cell>
          <cell r="B11" t="str">
            <v>YANCEY COUNTY</v>
          </cell>
          <cell r="C11">
            <v>8.6030000000000004E-4</v>
          </cell>
          <cell r="D11">
            <v>8.6910000000000004E-4</v>
          </cell>
          <cell r="E11">
            <v>386652</v>
          </cell>
          <cell r="F11">
            <v>1844521</v>
          </cell>
          <cell r="G11">
            <v>1314300</v>
          </cell>
          <cell r="H11"/>
          <cell r="I11">
            <v>75716</v>
          </cell>
          <cell r="J11">
            <v>319114</v>
          </cell>
          <cell r="K11">
            <v>187700</v>
          </cell>
          <cell r="L11">
            <v>11972</v>
          </cell>
          <cell r="M11"/>
          <cell r="N11">
            <v>37204</v>
          </cell>
          <cell r="O11">
            <v>0</v>
          </cell>
          <cell r="P11">
            <v>0</v>
          </cell>
          <cell r="Q11">
            <v>15474</v>
          </cell>
          <cell r="R11"/>
          <cell r="S11">
            <v>442920</v>
          </cell>
          <cell r="T11">
            <v>891</v>
          </cell>
          <cell r="U11">
            <v>443811</v>
          </cell>
        </row>
        <row r="12">
          <cell r="A12">
            <v>90002</v>
          </cell>
          <cell r="B12" t="str">
            <v>YANCEY SOIL &amp; WATER CONS</v>
          </cell>
          <cell r="C12">
            <v>1.06E-5</v>
          </cell>
          <cell r="D12">
            <v>1.15E-5</v>
          </cell>
          <cell r="E12">
            <v>6253</v>
          </cell>
          <cell r="F12">
            <v>24407</v>
          </cell>
          <cell r="G12">
            <v>16194</v>
          </cell>
          <cell r="H12"/>
          <cell r="I12">
            <v>933</v>
          </cell>
          <cell r="J12">
            <v>3932</v>
          </cell>
          <cell r="K12">
            <v>2313</v>
          </cell>
          <cell r="L12">
            <v>1497</v>
          </cell>
          <cell r="M12"/>
          <cell r="N12">
            <v>458</v>
          </cell>
          <cell r="O12">
            <v>0</v>
          </cell>
          <cell r="P12">
            <v>0</v>
          </cell>
          <cell r="Q12">
            <v>0</v>
          </cell>
          <cell r="R12"/>
          <cell r="S12">
            <v>5457</v>
          </cell>
          <cell r="T12">
            <v>563</v>
          </cell>
          <cell r="U12">
            <v>6020</v>
          </cell>
        </row>
        <row r="13">
          <cell r="A13">
            <v>90011</v>
          </cell>
          <cell r="B13" t="str">
            <v>TOWN OF BURNSVILLE</v>
          </cell>
          <cell r="C13">
            <v>1.974E-4</v>
          </cell>
          <cell r="D13">
            <v>2.0819999999999999E-4</v>
          </cell>
          <cell r="E13">
            <v>84205</v>
          </cell>
          <cell r="F13">
            <v>441870</v>
          </cell>
          <cell r="G13">
            <v>301573</v>
          </cell>
          <cell r="H13"/>
          <cell r="I13">
            <v>17373</v>
          </cell>
          <cell r="J13">
            <v>73222</v>
          </cell>
          <cell r="K13">
            <v>43069</v>
          </cell>
          <cell r="L13">
            <v>2300</v>
          </cell>
          <cell r="M13"/>
          <cell r="N13">
            <v>8537</v>
          </cell>
          <cell r="O13">
            <v>0</v>
          </cell>
          <cell r="P13">
            <v>0</v>
          </cell>
          <cell r="Q13">
            <v>30094</v>
          </cell>
          <cell r="R13"/>
          <cell r="S13">
            <v>101630</v>
          </cell>
          <cell r="T13">
            <v>-7615</v>
          </cell>
          <cell r="U13">
            <v>94015</v>
          </cell>
        </row>
        <row r="14">
          <cell r="A14">
            <v>90092</v>
          </cell>
          <cell r="B14" t="str">
            <v>MARTIN-TYRRELL-WASHINGTON DIST HEALTH DEPT</v>
          </cell>
          <cell r="C14">
            <v>3.5349999999999997E-4</v>
          </cell>
          <cell r="D14">
            <v>3.946E-4</v>
          </cell>
          <cell r="E14">
            <v>186641</v>
          </cell>
          <cell r="F14">
            <v>837473</v>
          </cell>
          <cell r="G14">
            <v>540050</v>
          </cell>
          <cell r="H14"/>
          <cell r="I14">
            <v>31112</v>
          </cell>
          <cell r="J14">
            <v>131125</v>
          </cell>
          <cell r="K14">
            <v>77127</v>
          </cell>
          <cell r="L14">
            <v>0</v>
          </cell>
          <cell r="M14"/>
          <cell r="N14">
            <v>15287</v>
          </cell>
          <cell r="O14">
            <v>0</v>
          </cell>
          <cell r="P14">
            <v>0</v>
          </cell>
          <cell r="Q14">
            <v>83168</v>
          </cell>
          <cell r="R14"/>
          <cell r="S14">
            <v>181997</v>
          </cell>
          <cell r="T14">
            <v>-42793</v>
          </cell>
          <cell r="U14">
            <v>139204</v>
          </cell>
        </row>
        <row r="15">
          <cell r="A15">
            <v>90096</v>
          </cell>
          <cell r="B15" t="str">
            <v>ALBEMARLE REGIONAL HEALTH SERVICES</v>
          </cell>
          <cell r="C15">
            <v>9.7559999999999997E-4</v>
          </cell>
          <cell r="D15">
            <v>1.3860999999999999E-3</v>
          </cell>
          <cell r="E15">
            <v>535127</v>
          </cell>
          <cell r="F15">
            <v>2941769</v>
          </cell>
          <cell r="G15">
            <v>1490447</v>
          </cell>
          <cell r="H15"/>
          <cell r="I15">
            <v>85864</v>
          </cell>
          <cell r="J15">
            <v>361882</v>
          </cell>
          <cell r="K15">
            <v>212856</v>
          </cell>
          <cell r="L15">
            <v>43597</v>
          </cell>
          <cell r="M15"/>
          <cell r="N15">
            <v>42190</v>
          </cell>
          <cell r="O15">
            <v>0</v>
          </cell>
          <cell r="P15">
            <v>0</v>
          </cell>
          <cell r="Q15">
            <v>238564</v>
          </cell>
          <cell r="R15"/>
          <cell r="S15">
            <v>502282</v>
          </cell>
          <cell r="T15">
            <v>-27538</v>
          </cell>
          <cell r="U15">
            <v>474744</v>
          </cell>
        </row>
        <row r="16">
          <cell r="A16">
            <v>90098</v>
          </cell>
          <cell r="B16" t="str">
            <v>TOE RIVER HEALTH DISTRICT</v>
          </cell>
          <cell r="C16">
            <v>2.9599999999999998E-4</v>
          </cell>
          <cell r="D16">
            <v>2.9280000000000002E-4</v>
          </cell>
          <cell r="E16">
            <v>140184</v>
          </cell>
          <cell r="F16">
            <v>621420</v>
          </cell>
          <cell r="G16">
            <v>452206</v>
          </cell>
          <cell r="H16"/>
          <cell r="I16">
            <v>26051</v>
          </cell>
          <cell r="J16">
            <v>109796</v>
          </cell>
          <cell r="K16">
            <v>64581</v>
          </cell>
          <cell r="L16">
            <v>5581</v>
          </cell>
          <cell r="M16"/>
          <cell r="N16">
            <v>12801</v>
          </cell>
          <cell r="O16">
            <v>0</v>
          </cell>
          <cell r="P16">
            <v>0</v>
          </cell>
          <cell r="Q16">
            <v>110893</v>
          </cell>
          <cell r="R16"/>
          <cell r="S16">
            <v>152394</v>
          </cell>
          <cell r="T16">
            <v>-51374</v>
          </cell>
          <cell r="U16">
            <v>101020</v>
          </cell>
        </row>
        <row r="17">
          <cell r="A17">
            <v>90099</v>
          </cell>
          <cell r="B17" t="str">
            <v>APPALACHIAN DISTRICT HEALTH DEPT</v>
          </cell>
          <cell r="C17">
            <v>6.6330000000000002E-4</v>
          </cell>
          <cell r="D17">
            <v>4.9330000000000001E-4</v>
          </cell>
          <cell r="E17">
            <v>271208</v>
          </cell>
          <cell r="F17">
            <v>1046948</v>
          </cell>
          <cell r="G17">
            <v>1013339</v>
          </cell>
          <cell r="H17"/>
          <cell r="I17">
            <v>58378</v>
          </cell>
          <cell r="J17">
            <v>246040</v>
          </cell>
          <cell r="K17">
            <v>144719</v>
          </cell>
          <cell r="L17">
            <v>89744</v>
          </cell>
          <cell r="M17"/>
          <cell r="N17">
            <v>28684</v>
          </cell>
          <cell r="O17">
            <v>0</v>
          </cell>
          <cell r="P17">
            <v>0</v>
          </cell>
          <cell r="Q17">
            <v>44006</v>
          </cell>
          <cell r="R17"/>
          <cell r="S17">
            <v>341496</v>
          </cell>
          <cell r="T17">
            <v>7780</v>
          </cell>
          <cell r="U17">
            <v>349276</v>
          </cell>
        </row>
        <row r="18">
          <cell r="A18">
            <v>90101</v>
          </cell>
          <cell r="B18" t="str">
            <v>ALAMANCE COUNTY</v>
          </cell>
          <cell r="C18">
            <v>6.6312000000000003E-3</v>
          </cell>
          <cell r="D18">
            <v>6.3996000000000001E-3</v>
          </cell>
          <cell r="E18">
            <v>2960721</v>
          </cell>
          <cell r="F18">
            <v>13582095</v>
          </cell>
          <cell r="G18">
            <v>10130637</v>
          </cell>
          <cell r="H18"/>
          <cell r="I18">
            <v>583619</v>
          </cell>
          <cell r="J18">
            <v>2459731</v>
          </cell>
          <cell r="K18">
            <v>1446795</v>
          </cell>
          <cell r="L18">
            <v>245836</v>
          </cell>
          <cell r="M18"/>
          <cell r="N18">
            <v>286766</v>
          </cell>
          <cell r="O18">
            <v>0</v>
          </cell>
          <cell r="P18">
            <v>0</v>
          </cell>
          <cell r="Q18">
            <v>25616</v>
          </cell>
          <cell r="R18"/>
          <cell r="S18">
            <v>3414034</v>
          </cell>
          <cell r="T18">
            <v>67895</v>
          </cell>
          <cell r="U18">
            <v>3481929</v>
          </cell>
        </row>
        <row r="19">
          <cell r="A19">
            <v>90111</v>
          </cell>
          <cell r="B19" t="str">
            <v>CITY OF BURLINGTON</v>
          </cell>
          <cell r="C19">
            <v>4.9740000000000001E-3</v>
          </cell>
          <cell r="D19">
            <v>4.8874000000000001E-3</v>
          </cell>
          <cell r="E19">
            <v>2229766</v>
          </cell>
          <cell r="F19">
            <v>10372700</v>
          </cell>
          <cell r="G19">
            <v>7598894</v>
          </cell>
          <cell r="H19"/>
          <cell r="I19">
            <v>437767</v>
          </cell>
          <cell r="J19">
            <v>1845021</v>
          </cell>
          <cell r="K19">
            <v>1085227</v>
          </cell>
          <cell r="L19">
            <v>15088</v>
          </cell>
          <cell r="M19"/>
          <cell r="N19">
            <v>215101</v>
          </cell>
          <cell r="O19">
            <v>0</v>
          </cell>
          <cell r="P19">
            <v>0</v>
          </cell>
          <cell r="Q19">
            <v>106602</v>
          </cell>
          <cell r="R19"/>
          <cell r="S19">
            <v>2560834</v>
          </cell>
          <cell r="T19">
            <v>-53609</v>
          </cell>
          <cell r="U19">
            <v>2507225</v>
          </cell>
        </row>
        <row r="20">
          <cell r="A20">
            <v>90114</v>
          </cell>
          <cell r="B20" t="str">
            <v>CITY OF MEBANE</v>
          </cell>
          <cell r="C20">
            <v>1.0919E-3</v>
          </cell>
          <cell r="D20">
            <v>1.0681E-3</v>
          </cell>
          <cell r="E20">
            <v>1108464</v>
          </cell>
          <cell r="F20">
            <v>2266866</v>
          </cell>
          <cell r="G20">
            <v>1668121</v>
          </cell>
          <cell r="H20"/>
          <cell r="I20">
            <v>96099</v>
          </cell>
          <cell r="J20">
            <v>405022</v>
          </cell>
          <cell r="K20">
            <v>238231</v>
          </cell>
          <cell r="L20">
            <v>1077044</v>
          </cell>
          <cell r="M20"/>
          <cell r="N20">
            <v>47219</v>
          </cell>
          <cell r="O20">
            <v>0</v>
          </cell>
          <cell r="P20">
            <v>0</v>
          </cell>
          <cell r="Q20">
            <v>0</v>
          </cell>
          <cell r="R20"/>
          <cell r="S20">
            <v>562158</v>
          </cell>
          <cell r="T20">
            <v>371192</v>
          </cell>
          <cell r="U20">
            <v>933350</v>
          </cell>
        </row>
        <row r="21">
          <cell r="A21">
            <v>90117</v>
          </cell>
          <cell r="B21" t="str">
            <v>ALAMANCE MUNICIPAL ABC BOARD</v>
          </cell>
          <cell r="C21">
            <v>1.407E-4</v>
          </cell>
          <cell r="D21">
            <v>1.35E-4</v>
          </cell>
          <cell r="E21">
            <v>80147</v>
          </cell>
          <cell r="F21">
            <v>286515</v>
          </cell>
          <cell r="G21">
            <v>214951</v>
          </cell>
          <cell r="H21"/>
          <cell r="I21">
            <v>12383</v>
          </cell>
          <cell r="J21">
            <v>52190</v>
          </cell>
          <cell r="K21">
            <v>30698</v>
          </cell>
          <cell r="L21">
            <v>44526</v>
          </cell>
          <cell r="M21"/>
          <cell r="N21">
            <v>6085</v>
          </cell>
          <cell r="O21">
            <v>0</v>
          </cell>
          <cell r="P21">
            <v>0</v>
          </cell>
          <cell r="Q21">
            <v>0</v>
          </cell>
          <cell r="R21"/>
          <cell r="S21">
            <v>72439</v>
          </cell>
          <cell r="T21">
            <v>18359</v>
          </cell>
          <cell r="U21">
            <v>90798</v>
          </cell>
        </row>
        <row r="22">
          <cell r="A22">
            <v>90121</v>
          </cell>
          <cell r="B22" t="str">
            <v>CITY OF GRAHAM</v>
          </cell>
          <cell r="C22">
            <v>1.0991E-3</v>
          </cell>
          <cell r="D22">
            <v>1.0789E-3</v>
          </cell>
          <cell r="E22">
            <v>452142</v>
          </cell>
          <cell r="F22">
            <v>2289787</v>
          </cell>
          <cell r="G22">
            <v>1679120</v>
          </cell>
          <cell r="H22"/>
          <cell r="I22">
            <v>96733</v>
          </cell>
          <cell r="J22">
            <v>407692</v>
          </cell>
          <cell r="K22">
            <v>239802</v>
          </cell>
          <cell r="L22">
            <v>3244</v>
          </cell>
          <cell r="M22"/>
          <cell r="N22">
            <v>47531</v>
          </cell>
          <cell r="O22">
            <v>0</v>
          </cell>
          <cell r="P22">
            <v>0</v>
          </cell>
          <cell r="Q22">
            <v>81552</v>
          </cell>
          <cell r="R22"/>
          <cell r="S22">
            <v>565865</v>
          </cell>
          <cell r="T22">
            <v>-25049</v>
          </cell>
          <cell r="U22">
            <v>540816</v>
          </cell>
        </row>
        <row r="23">
          <cell r="A23">
            <v>90131</v>
          </cell>
          <cell r="B23" t="str">
            <v>TOWN OF ELON</v>
          </cell>
          <cell r="C23">
            <v>4.7639999999999998E-4</v>
          </cell>
          <cell r="D23">
            <v>5.0440000000000001E-4</v>
          </cell>
          <cell r="E23">
            <v>207243</v>
          </cell>
          <cell r="F23">
            <v>1070506</v>
          </cell>
          <cell r="G23">
            <v>727807</v>
          </cell>
          <cell r="H23"/>
          <cell r="I23">
            <v>41928</v>
          </cell>
          <cell r="J23">
            <v>176712</v>
          </cell>
          <cell r="K23">
            <v>103941</v>
          </cell>
          <cell r="L23">
            <v>0</v>
          </cell>
          <cell r="M23"/>
          <cell r="N23">
            <v>20602</v>
          </cell>
          <cell r="O23">
            <v>0</v>
          </cell>
          <cell r="P23">
            <v>0</v>
          </cell>
          <cell r="Q23">
            <v>42066</v>
          </cell>
          <cell r="R23"/>
          <cell r="S23">
            <v>245272</v>
          </cell>
          <cell r="T23">
            <v>-15937</v>
          </cell>
          <cell r="U23">
            <v>229335</v>
          </cell>
        </row>
        <row r="24">
          <cell r="A24">
            <v>90141</v>
          </cell>
          <cell r="B24" t="str">
            <v>TOWN OF HAW RIVER</v>
          </cell>
          <cell r="C24">
            <v>1.4779999999999999E-4</v>
          </cell>
          <cell r="D24">
            <v>1.306E-4</v>
          </cell>
          <cell r="E24">
            <v>62655</v>
          </cell>
          <cell r="F24">
            <v>277177</v>
          </cell>
          <cell r="G24">
            <v>225797</v>
          </cell>
          <cell r="H24"/>
          <cell r="I24">
            <v>13008</v>
          </cell>
          <cell r="J24">
            <v>54824</v>
          </cell>
          <cell r="K24">
            <v>32247</v>
          </cell>
          <cell r="L24">
            <v>8660</v>
          </cell>
          <cell r="M24"/>
          <cell r="N24">
            <v>6392</v>
          </cell>
          <cell r="O24">
            <v>0</v>
          </cell>
          <cell r="P24">
            <v>0</v>
          </cell>
          <cell r="Q24">
            <v>10174</v>
          </cell>
          <cell r="R24"/>
          <cell r="S24">
            <v>76094</v>
          </cell>
          <cell r="T24">
            <v>-857</v>
          </cell>
          <cell r="U24">
            <v>75237</v>
          </cell>
        </row>
        <row r="25">
          <cell r="A25">
            <v>90151</v>
          </cell>
          <cell r="B25" t="str">
            <v>VILLAGE OF ALAMANCE</v>
          </cell>
          <cell r="C25">
            <v>9.9000000000000001E-6</v>
          </cell>
          <cell r="D25">
            <v>1.0000000000000001E-5</v>
          </cell>
          <cell r="E25">
            <v>3085</v>
          </cell>
          <cell r="F25">
            <v>21223</v>
          </cell>
          <cell r="G25">
            <v>15124</v>
          </cell>
          <cell r="H25"/>
          <cell r="I25">
            <v>871</v>
          </cell>
          <cell r="J25">
            <v>3672</v>
          </cell>
          <cell r="K25">
            <v>2160</v>
          </cell>
          <cell r="L25">
            <v>0</v>
          </cell>
          <cell r="M25"/>
          <cell r="N25">
            <v>428</v>
          </cell>
          <cell r="O25">
            <v>0</v>
          </cell>
          <cell r="P25">
            <v>0</v>
          </cell>
          <cell r="Q25">
            <v>2719</v>
          </cell>
          <cell r="R25"/>
          <cell r="S25">
            <v>5097</v>
          </cell>
          <cell r="T25">
            <v>-1090</v>
          </cell>
          <cell r="U25">
            <v>4007</v>
          </cell>
        </row>
        <row r="26">
          <cell r="A26">
            <v>90161</v>
          </cell>
          <cell r="B26" t="str">
            <v>TOWN OF GREEN LEVEL</v>
          </cell>
          <cell r="C26">
            <v>3.4199999999999998E-5</v>
          </cell>
          <cell r="D26">
            <v>3.4799999999999999E-5</v>
          </cell>
          <cell r="E26">
            <v>15627</v>
          </cell>
          <cell r="F26">
            <v>73857</v>
          </cell>
          <cell r="G26">
            <v>52248</v>
          </cell>
          <cell r="H26"/>
          <cell r="I26">
            <v>3010</v>
          </cell>
          <cell r="J26">
            <v>12686</v>
          </cell>
          <cell r="K26">
            <v>7462</v>
          </cell>
          <cell r="L26">
            <v>4022</v>
          </cell>
          <cell r="M26"/>
          <cell r="N26">
            <v>1479</v>
          </cell>
          <cell r="O26">
            <v>0</v>
          </cell>
          <cell r="P26">
            <v>0</v>
          </cell>
          <cell r="Q26">
            <v>462</v>
          </cell>
          <cell r="R26"/>
          <cell r="S26">
            <v>17608</v>
          </cell>
          <cell r="T26">
            <v>1591</v>
          </cell>
          <cell r="U26">
            <v>19199</v>
          </cell>
        </row>
        <row r="27">
          <cell r="A27">
            <v>90201</v>
          </cell>
          <cell r="B27" t="str">
            <v>ALEXANDER COUNTY</v>
          </cell>
          <cell r="C27">
            <v>1.2126999999999999E-3</v>
          </cell>
          <cell r="D27">
            <v>1.2419E-3</v>
          </cell>
          <cell r="E27">
            <v>536124</v>
          </cell>
          <cell r="F27">
            <v>2635728</v>
          </cell>
          <cell r="G27">
            <v>1852670</v>
          </cell>
          <cell r="H27"/>
          <cell r="I27">
            <v>106731</v>
          </cell>
          <cell r="J27">
            <v>449830</v>
          </cell>
          <cell r="K27">
            <v>264587</v>
          </cell>
          <cell r="L27">
            <v>36621</v>
          </cell>
          <cell r="M27"/>
          <cell r="N27">
            <v>52443</v>
          </cell>
          <cell r="O27">
            <v>0</v>
          </cell>
          <cell r="P27">
            <v>0</v>
          </cell>
          <cell r="Q27">
            <v>36396</v>
          </cell>
          <cell r="R27"/>
          <cell r="S27">
            <v>624351</v>
          </cell>
          <cell r="T27">
            <v>24941</v>
          </cell>
          <cell r="U27">
            <v>649292</v>
          </cell>
        </row>
        <row r="28">
          <cell r="A28">
            <v>90203</v>
          </cell>
          <cell r="B28" t="str">
            <v>ALEXANDER COUNTY HEALTH DEPT</v>
          </cell>
          <cell r="C28">
            <v>1.994E-4</v>
          </cell>
          <cell r="D28">
            <v>2.3680000000000001E-4</v>
          </cell>
          <cell r="E28">
            <v>91056</v>
          </cell>
          <cell r="F28">
            <v>502569</v>
          </cell>
          <cell r="G28">
            <v>304628</v>
          </cell>
          <cell r="H28"/>
          <cell r="I28">
            <v>17549</v>
          </cell>
          <cell r="J28">
            <v>73964</v>
          </cell>
          <cell r="K28">
            <v>43505</v>
          </cell>
          <cell r="L28">
            <v>2154</v>
          </cell>
          <cell r="M28"/>
          <cell r="N28">
            <v>8623</v>
          </cell>
          <cell r="O28">
            <v>0</v>
          </cell>
          <cell r="P28">
            <v>0</v>
          </cell>
          <cell r="Q28">
            <v>49077</v>
          </cell>
          <cell r="R28"/>
          <cell r="S28">
            <v>102660</v>
          </cell>
          <cell r="T28">
            <v>-18026</v>
          </cell>
          <cell r="U28">
            <v>84634</v>
          </cell>
        </row>
        <row r="29">
          <cell r="A29">
            <v>90205</v>
          </cell>
          <cell r="B29" t="str">
            <v>ALEXANDER COUNTY PUBLIC LIBRARY</v>
          </cell>
          <cell r="C29">
            <v>3.0000000000000001E-5</v>
          </cell>
          <cell r="D29">
            <v>3.3599999999999997E-5</v>
          </cell>
          <cell r="E29">
            <v>14233</v>
          </cell>
          <cell r="F29">
            <v>71310</v>
          </cell>
          <cell r="G29">
            <v>45832</v>
          </cell>
          <cell r="H29"/>
          <cell r="I29">
            <v>2640</v>
          </cell>
          <cell r="J29">
            <v>11128</v>
          </cell>
          <cell r="K29">
            <v>6545</v>
          </cell>
          <cell r="L29">
            <v>769</v>
          </cell>
          <cell r="M29"/>
          <cell r="N29">
            <v>1297</v>
          </cell>
          <cell r="O29">
            <v>0</v>
          </cell>
          <cell r="P29">
            <v>0</v>
          </cell>
          <cell r="Q29">
            <v>2625</v>
          </cell>
          <cell r="R29"/>
          <cell r="S29">
            <v>15445</v>
          </cell>
          <cell r="T29">
            <v>-105</v>
          </cell>
          <cell r="U29">
            <v>15340</v>
          </cell>
        </row>
        <row r="30">
          <cell r="A30">
            <v>90206</v>
          </cell>
          <cell r="B30" t="str">
            <v>ALEXANDER COUNTY DEPT OF S S</v>
          </cell>
          <cell r="C30">
            <v>4.2069999999999998E-4</v>
          </cell>
          <cell r="D30">
            <v>4.347E-4</v>
          </cell>
          <cell r="E30">
            <v>184249</v>
          </cell>
          <cell r="F30">
            <v>922579</v>
          </cell>
          <cell r="G30">
            <v>642713</v>
          </cell>
          <cell r="H30"/>
          <cell r="I30">
            <v>37026</v>
          </cell>
          <cell r="J30">
            <v>156051</v>
          </cell>
          <cell r="K30">
            <v>91788</v>
          </cell>
          <cell r="L30">
            <v>8978</v>
          </cell>
          <cell r="M30"/>
          <cell r="N30">
            <v>18193</v>
          </cell>
          <cell r="O30">
            <v>0</v>
          </cell>
          <cell r="P30">
            <v>0</v>
          </cell>
          <cell r="Q30">
            <v>25382</v>
          </cell>
          <cell r="R30"/>
          <cell r="S30">
            <v>216595</v>
          </cell>
          <cell r="T30">
            <v>1315</v>
          </cell>
          <cell r="U30">
            <v>217910</v>
          </cell>
        </row>
        <row r="31">
          <cell r="A31">
            <v>90211</v>
          </cell>
          <cell r="B31" t="str">
            <v>TOWN OF TAYLORSVILLE</v>
          </cell>
          <cell r="C31">
            <v>1.4799999999999999E-4</v>
          </cell>
          <cell r="D31">
            <v>1.5689999999999999E-4</v>
          </cell>
          <cell r="E31">
            <v>71260</v>
          </cell>
          <cell r="F31">
            <v>332994</v>
          </cell>
          <cell r="G31">
            <v>226103</v>
          </cell>
          <cell r="H31"/>
          <cell r="I31">
            <v>13026</v>
          </cell>
          <cell r="J31">
            <v>54898</v>
          </cell>
          <cell r="K31">
            <v>32291</v>
          </cell>
          <cell r="L31">
            <v>0</v>
          </cell>
          <cell r="M31"/>
          <cell r="N31">
            <v>6400</v>
          </cell>
          <cell r="O31">
            <v>0</v>
          </cell>
          <cell r="P31">
            <v>0</v>
          </cell>
          <cell r="Q31">
            <v>15344</v>
          </cell>
          <cell r="R31"/>
          <cell r="S31">
            <v>76197</v>
          </cell>
          <cell r="T31">
            <v>-6134</v>
          </cell>
          <cell r="U31">
            <v>70063</v>
          </cell>
        </row>
        <row r="32">
          <cell r="A32">
            <v>90301</v>
          </cell>
          <cell r="B32" t="str">
            <v>ALLEGHANY COUNTY</v>
          </cell>
          <cell r="C32">
            <v>6.7040000000000003E-4</v>
          </cell>
          <cell r="D32">
            <v>6.4000000000000005E-4</v>
          </cell>
          <cell r="E32">
            <v>280575</v>
          </cell>
          <cell r="F32">
            <v>1358294</v>
          </cell>
          <cell r="G32">
            <v>1024185</v>
          </cell>
          <cell r="H32"/>
          <cell r="I32">
            <v>59003</v>
          </cell>
          <cell r="J32">
            <v>248673</v>
          </cell>
          <cell r="K32">
            <v>146268</v>
          </cell>
          <cell r="L32">
            <v>4314</v>
          </cell>
          <cell r="M32"/>
          <cell r="N32">
            <v>28991</v>
          </cell>
          <cell r="O32">
            <v>0</v>
          </cell>
          <cell r="P32">
            <v>0</v>
          </cell>
          <cell r="Q32">
            <v>13341</v>
          </cell>
          <cell r="R32"/>
          <cell r="S32">
            <v>345151</v>
          </cell>
          <cell r="T32">
            <v>-5567</v>
          </cell>
          <cell r="U32">
            <v>339584</v>
          </cell>
        </row>
        <row r="33">
          <cell r="A33">
            <v>90305</v>
          </cell>
          <cell r="B33" t="str">
            <v>NORTHWESTERN REGIONAL LIBRARY</v>
          </cell>
          <cell r="C33">
            <v>1.617E-4</v>
          </cell>
          <cell r="D33">
            <v>1.7009999999999999E-4</v>
          </cell>
          <cell r="E33">
            <v>85892</v>
          </cell>
          <cell r="F33">
            <v>361009</v>
          </cell>
          <cell r="G33">
            <v>247033</v>
          </cell>
          <cell r="H33"/>
          <cell r="I33">
            <v>14231</v>
          </cell>
          <cell r="J33">
            <v>59980</v>
          </cell>
          <cell r="K33">
            <v>35280</v>
          </cell>
          <cell r="L33">
            <v>20715</v>
          </cell>
          <cell r="M33"/>
          <cell r="N33">
            <v>6993</v>
          </cell>
          <cell r="O33">
            <v>0</v>
          </cell>
          <cell r="P33">
            <v>0</v>
          </cell>
          <cell r="Q33">
            <v>0</v>
          </cell>
          <cell r="R33"/>
          <cell r="S33">
            <v>83250</v>
          </cell>
          <cell r="T33">
            <v>10025</v>
          </cell>
          <cell r="U33">
            <v>93275</v>
          </cell>
        </row>
        <row r="34">
          <cell r="A34">
            <v>90307</v>
          </cell>
          <cell r="B34" t="str">
            <v>TOWN OF SPARTA ABC BOARD</v>
          </cell>
          <cell r="C34">
            <v>7.7999999999999999E-6</v>
          </cell>
          <cell r="D34">
            <v>7.7000000000000008E-6</v>
          </cell>
          <cell r="E34">
            <v>4130</v>
          </cell>
          <cell r="F34">
            <v>16342</v>
          </cell>
          <cell r="G34">
            <v>11916</v>
          </cell>
          <cell r="H34"/>
          <cell r="I34">
            <v>686</v>
          </cell>
          <cell r="J34">
            <v>2893</v>
          </cell>
          <cell r="K34">
            <v>1702</v>
          </cell>
          <cell r="L34">
            <v>647</v>
          </cell>
          <cell r="M34"/>
          <cell r="N34">
            <v>337</v>
          </cell>
          <cell r="O34">
            <v>0</v>
          </cell>
          <cell r="P34">
            <v>0</v>
          </cell>
          <cell r="Q34">
            <v>40</v>
          </cell>
          <cell r="R34"/>
          <cell r="S34">
            <v>4016</v>
          </cell>
          <cell r="T34">
            <v>160</v>
          </cell>
          <cell r="U34">
            <v>4176</v>
          </cell>
        </row>
        <row r="35">
          <cell r="A35">
            <v>90401</v>
          </cell>
          <cell r="B35" t="str">
            <v>ANSON COUNTY</v>
          </cell>
          <cell r="C35">
            <v>1.3270999999999999E-3</v>
          </cell>
          <cell r="D35">
            <v>1.3626999999999999E-3</v>
          </cell>
          <cell r="E35">
            <v>624955</v>
          </cell>
          <cell r="F35">
            <v>2892106</v>
          </cell>
          <cell r="G35">
            <v>2027441</v>
          </cell>
          <cell r="H35"/>
          <cell r="I35">
            <v>116799</v>
          </cell>
          <cell r="J35">
            <v>492266</v>
          </cell>
          <cell r="K35">
            <v>289547</v>
          </cell>
          <cell r="L35">
            <v>44019</v>
          </cell>
          <cell r="M35"/>
          <cell r="N35">
            <v>57390</v>
          </cell>
          <cell r="O35">
            <v>0</v>
          </cell>
          <cell r="P35">
            <v>0</v>
          </cell>
          <cell r="Q35">
            <v>11305</v>
          </cell>
          <cell r="R35"/>
          <cell r="S35">
            <v>683249</v>
          </cell>
          <cell r="T35">
            <v>23981</v>
          </cell>
          <cell r="U35">
            <v>707230</v>
          </cell>
        </row>
        <row r="36">
          <cell r="A36">
            <v>90411</v>
          </cell>
          <cell r="B36" t="str">
            <v>TOWN OF WADESBORO</v>
          </cell>
          <cell r="C36">
            <v>3.5100000000000002E-4</v>
          </cell>
          <cell r="D36">
            <v>3.5490000000000001E-4</v>
          </cell>
          <cell r="E36">
            <v>152317</v>
          </cell>
          <cell r="F36">
            <v>753217</v>
          </cell>
          <cell r="G36">
            <v>536231</v>
          </cell>
          <cell r="H36"/>
          <cell r="I36">
            <v>30892</v>
          </cell>
          <cell r="J36">
            <v>130197</v>
          </cell>
          <cell r="K36">
            <v>76581</v>
          </cell>
          <cell r="L36">
            <v>0</v>
          </cell>
          <cell r="M36"/>
          <cell r="N36">
            <v>15179</v>
          </cell>
          <cell r="O36">
            <v>0</v>
          </cell>
          <cell r="P36">
            <v>0</v>
          </cell>
          <cell r="Q36">
            <v>41985</v>
          </cell>
          <cell r="R36"/>
          <cell r="S36">
            <v>180710</v>
          </cell>
          <cell r="T36">
            <v>-15971</v>
          </cell>
          <cell r="U36">
            <v>164739</v>
          </cell>
        </row>
        <row r="37">
          <cell r="A37">
            <v>90413</v>
          </cell>
          <cell r="B37" t="str">
            <v>WADESBORO HOUSING AUTHORITY</v>
          </cell>
          <cell r="C37">
            <v>3.4600000000000001E-5</v>
          </cell>
          <cell r="D37">
            <v>3.7299999999999999E-5</v>
          </cell>
          <cell r="E37">
            <v>17002</v>
          </cell>
          <cell r="F37">
            <v>79163</v>
          </cell>
          <cell r="G37">
            <v>52859</v>
          </cell>
          <cell r="H37"/>
          <cell r="I37">
            <v>3045</v>
          </cell>
          <cell r="J37">
            <v>12834</v>
          </cell>
          <cell r="K37">
            <v>7549</v>
          </cell>
          <cell r="L37">
            <v>5923</v>
          </cell>
          <cell r="M37"/>
          <cell r="N37">
            <v>1496</v>
          </cell>
          <cell r="O37">
            <v>0</v>
          </cell>
          <cell r="P37">
            <v>0</v>
          </cell>
          <cell r="Q37">
            <v>916</v>
          </cell>
          <cell r="R37"/>
          <cell r="S37">
            <v>17814</v>
          </cell>
          <cell r="T37">
            <v>3416</v>
          </cell>
          <cell r="U37">
            <v>21230</v>
          </cell>
        </row>
        <row r="38">
          <cell r="A38">
            <v>90417</v>
          </cell>
          <cell r="B38" t="str">
            <v>WADESBORO ABC BOARD</v>
          </cell>
          <cell r="C38">
            <v>1.17E-5</v>
          </cell>
          <cell r="D38">
            <v>1.2099999999999999E-5</v>
          </cell>
          <cell r="E38">
            <v>8372</v>
          </cell>
          <cell r="F38">
            <v>25680</v>
          </cell>
          <cell r="G38">
            <v>17874</v>
          </cell>
          <cell r="H38"/>
          <cell r="I38">
            <v>1030</v>
          </cell>
          <cell r="J38">
            <v>4340</v>
          </cell>
          <cell r="K38">
            <v>2553</v>
          </cell>
          <cell r="L38">
            <v>3477</v>
          </cell>
          <cell r="M38"/>
          <cell r="N38">
            <v>506</v>
          </cell>
          <cell r="O38">
            <v>0</v>
          </cell>
          <cell r="P38">
            <v>0</v>
          </cell>
          <cell r="Q38">
            <v>0</v>
          </cell>
          <cell r="R38"/>
          <cell r="S38">
            <v>6024</v>
          </cell>
          <cell r="T38">
            <v>1221</v>
          </cell>
          <cell r="U38">
            <v>7245</v>
          </cell>
        </row>
        <row r="39">
          <cell r="A39">
            <v>90421</v>
          </cell>
          <cell r="B39" t="str">
            <v>TOWN OF LILESVILLE</v>
          </cell>
          <cell r="C39">
            <v>2.19E-5</v>
          </cell>
          <cell r="D39">
            <v>2.3600000000000001E-5</v>
          </cell>
          <cell r="E39">
            <v>8534</v>
          </cell>
          <cell r="F39">
            <v>50087</v>
          </cell>
          <cell r="G39">
            <v>33457</v>
          </cell>
          <cell r="H39"/>
          <cell r="I39">
            <v>1927</v>
          </cell>
          <cell r="J39">
            <v>8123</v>
          </cell>
          <cell r="K39">
            <v>4778</v>
          </cell>
          <cell r="L39">
            <v>0</v>
          </cell>
          <cell r="M39"/>
          <cell r="N39">
            <v>947</v>
          </cell>
          <cell r="O39">
            <v>0</v>
          </cell>
          <cell r="P39">
            <v>0</v>
          </cell>
          <cell r="Q39">
            <v>4721</v>
          </cell>
          <cell r="R39"/>
          <cell r="S39">
            <v>11275</v>
          </cell>
          <cell r="T39">
            <v>-1814</v>
          </cell>
          <cell r="U39">
            <v>9461</v>
          </cell>
        </row>
        <row r="40">
          <cell r="A40">
            <v>90431</v>
          </cell>
          <cell r="B40" t="str">
            <v>TOWN OF POLKTON</v>
          </cell>
          <cell r="C40">
            <v>4.8300000000000002E-5</v>
          </cell>
          <cell r="D40">
            <v>4.2799999999999997E-5</v>
          </cell>
          <cell r="E40">
            <v>21844</v>
          </cell>
          <cell r="F40">
            <v>90836</v>
          </cell>
          <cell r="G40">
            <v>73789</v>
          </cell>
          <cell r="H40"/>
          <cell r="I40">
            <v>4251</v>
          </cell>
          <cell r="J40">
            <v>17916</v>
          </cell>
          <cell r="K40">
            <v>10538</v>
          </cell>
          <cell r="L40">
            <v>8663</v>
          </cell>
          <cell r="M40"/>
          <cell r="N40">
            <v>2089</v>
          </cell>
          <cell r="O40">
            <v>0</v>
          </cell>
          <cell r="P40">
            <v>0</v>
          </cell>
          <cell r="Q40">
            <v>1273</v>
          </cell>
          <cell r="R40"/>
          <cell r="S40">
            <v>24867</v>
          </cell>
          <cell r="T40">
            <v>3649</v>
          </cell>
          <cell r="U40">
            <v>28516</v>
          </cell>
        </row>
        <row r="41">
          <cell r="A41">
            <v>90441</v>
          </cell>
          <cell r="B41" t="str">
            <v>TOWN OF PEACHLAND</v>
          </cell>
          <cell r="C41">
            <v>8.3999999999999992E-6</v>
          </cell>
          <cell r="D41">
            <v>9.3999999999999998E-6</v>
          </cell>
          <cell r="E41">
            <v>4910</v>
          </cell>
          <cell r="F41">
            <v>19950</v>
          </cell>
          <cell r="G41">
            <v>12833</v>
          </cell>
          <cell r="H41"/>
          <cell r="I41">
            <v>739</v>
          </cell>
          <cell r="J41">
            <v>3115</v>
          </cell>
          <cell r="K41">
            <v>1833</v>
          </cell>
          <cell r="L41">
            <v>890</v>
          </cell>
          <cell r="M41"/>
          <cell r="N41">
            <v>363</v>
          </cell>
          <cell r="O41">
            <v>0</v>
          </cell>
          <cell r="P41">
            <v>0</v>
          </cell>
          <cell r="Q41">
            <v>129</v>
          </cell>
          <cell r="R41"/>
          <cell r="S41">
            <v>4325</v>
          </cell>
          <cell r="T41">
            <v>621</v>
          </cell>
          <cell r="U41">
            <v>4946</v>
          </cell>
        </row>
        <row r="42">
          <cell r="A42">
            <v>90451</v>
          </cell>
          <cell r="B42" t="str">
            <v>TOWN OF ANSONVILLE</v>
          </cell>
          <cell r="C42">
            <v>1.6699999999999999E-5</v>
          </cell>
          <cell r="D42">
            <v>1.7900000000000001E-5</v>
          </cell>
          <cell r="E42">
            <v>7776</v>
          </cell>
          <cell r="F42">
            <v>37990</v>
          </cell>
          <cell r="G42">
            <v>25513</v>
          </cell>
          <cell r="H42"/>
          <cell r="I42">
            <v>1470</v>
          </cell>
          <cell r="J42">
            <v>6194</v>
          </cell>
          <cell r="K42">
            <v>3644</v>
          </cell>
          <cell r="L42">
            <v>2202</v>
          </cell>
          <cell r="M42"/>
          <cell r="N42">
            <v>722</v>
          </cell>
          <cell r="O42">
            <v>0</v>
          </cell>
          <cell r="P42">
            <v>0</v>
          </cell>
          <cell r="Q42">
            <v>903</v>
          </cell>
          <cell r="R42"/>
          <cell r="S42">
            <v>8598</v>
          </cell>
          <cell r="T42">
            <v>635</v>
          </cell>
          <cell r="U42">
            <v>9233</v>
          </cell>
        </row>
        <row r="43">
          <cell r="A43">
            <v>90461</v>
          </cell>
          <cell r="B43" t="str">
            <v>TOWN OF MORVEN</v>
          </cell>
          <cell r="C43">
            <v>7.4000000000000003E-6</v>
          </cell>
          <cell r="D43">
            <v>1.7200000000000001E-5</v>
          </cell>
          <cell r="E43">
            <v>3691</v>
          </cell>
          <cell r="F43">
            <v>36504</v>
          </cell>
          <cell r="G43">
            <v>11305</v>
          </cell>
          <cell r="H43"/>
          <cell r="I43">
            <v>651</v>
          </cell>
          <cell r="J43">
            <v>2745</v>
          </cell>
          <cell r="K43">
            <v>1615</v>
          </cell>
          <cell r="L43">
            <v>3066</v>
          </cell>
          <cell r="M43"/>
          <cell r="N43">
            <v>320</v>
          </cell>
          <cell r="O43">
            <v>0</v>
          </cell>
          <cell r="P43">
            <v>0</v>
          </cell>
          <cell r="Q43">
            <v>7660</v>
          </cell>
          <cell r="R43"/>
          <cell r="S43">
            <v>3810</v>
          </cell>
          <cell r="T43">
            <v>-1001</v>
          </cell>
          <cell r="U43">
            <v>2809</v>
          </cell>
        </row>
        <row r="44">
          <cell r="A44">
            <v>90501</v>
          </cell>
          <cell r="B44" t="str">
            <v>ASHE COUNTY</v>
          </cell>
          <cell r="C44">
            <v>1.4176E-3</v>
          </cell>
          <cell r="D44">
            <v>1.4001E-3</v>
          </cell>
          <cell r="E44">
            <v>670210</v>
          </cell>
          <cell r="F44">
            <v>2971481</v>
          </cell>
          <cell r="G44">
            <v>2165700</v>
          </cell>
          <cell r="H44"/>
          <cell r="I44">
            <v>124764</v>
          </cell>
          <cell r="J44">
            <v>525835</v>
          </cell>
          <cell r="K44">
            <v>309292</v>
          </cell>
          <cell r="L44">
            <v>53925</v>
          </cell>
          <cell r="M44"/>
          <cell r="N44">
            <v>61304</v>
          </cell>
          <cell r="O44">
            <v>0</v>
          </cell>
          <cell r="P44">
            <v>0</v>
          </cell>
          <cell r="Q44">
            <v>0</v>
          </cell>
          <cell r="R44"/>
          <cell r="S44">
            <v>729843</v>
          </cell>
          <cell r="T44">
            <v>27148</v>
          </cell>
          <cell r="U44">
            <v>756991</v>
          </cell>
        </row>
        <row r="45">
          <cell r="A45">
            <v>90507</v>
          </cell>
          <cell r="B45" t="str">
            <v>WEST JEFFERSON ABC BOARD</v>
          </cell>
          <cell r="C45">
            <v>6.6000000000000003E-6</v>
          </cell>
          <cell r="D45">
            <v>7.3000000000000004E-6</v>
          </cell>
          <cell r="E45">
            <v>10408</v>
          </cell>
          <cell r="F45">
            <v>15493</v>
          </cell>
          <cell r="G45">
            <v>10083</v>
          </cell>
          <cell r="H45"/>
          <cell r="I45">
            <v>581</v>
          </cell>
          <cell r="J45">
            <v>2448</v>
          </cell>
          <cell r="K45">
            <v>1440</v>
          </cell>
          <cell r="L45">
            <v>11545</v>
          </cell>
          <cell r="M45"/>
          <cell r="N45">
            <v>285</v>
          </cell>
          <cell r="O45">
            <v>0</v>
          </cell>
          <cell r="P45">
            <v>0</v>
          </cell>
          <cell r="Q45">
            <v>0</v>
          </cell>
          <cell r="R45"/>
          <cell r="S45">
            <v>3398</v>
          </cell>
          <cell r="T45">
            <v>4117</v>
          </cell>
          <cell r="U45">
            <v>7515</v>
          </cell>
        </row>
        <row r="46">
          <cell r="A46">
            <v>90511</v>
          </cell>
          <cell r="B46" t="str">
            <v>TOWN OF JEFFERSON</v>
          </cell>
          <cell r="C46">
            <v>8.7000000000000001E-5</v>
          </cell>
          <cell r="D46">
            <v>9.5500000000000004E-5</v>
          </cell>
          <cell r="E46">
            <v>52403</v>
          </cell>
          <cell r="F46">
            <v>202683</v>
          </cell>
          <cell r="G46">
            <v>132912</v>
          </cell>
          <cell r="H46"/>
          <cell r="I46">
            <v>7657</v>
          </cell>
          <cell r="J46">
            <v>32271</v>
          </cell>
          <cell r="K46">
            <v>18982</v>
          </cell>
          <cell r="L46">
            <v>14433</v>
          </cell>
          <cell r="M46"/>
          <cell r="N46">
            <v>3762</v>
          </cell>
          <cell r="O46">
            <v>0</v>
          </cell>
          <cell r="P46">
            <v>0</v>
          </cell>
          <cell r="Q46">
            <v>0</v>
          </cell>
          <cell r="R46"/>
          <cell r="S46">
            <v>44791</v>
          </cell>
          <cell r="T46">
            <v>6485</v>
          </cell>
          <cell r="U46">
            <v>51276</v>
          </cell>
        </row>
        <row r="47">
          <cell r="A47">
            <v>90521</v>
          </cell>
          <cell r="B47" t="str">
            <v>TOWN OF WEST JEFFERSON</v>
          </cell>
          <cell r="C47">
            <v>1.3880000000000001E-4</v>
          </cell>
          <cell r="D47">
            <v>1.395E-4</v>
          </cell>
          <cell r="E47">
            <v>56198</v>
          </cell>
          <cell r="F47">
            <v>296066</v>
          </cell>
          <cell r="G47">
            <v>212048</v>
          </cell>
          <cell r="H47"/>
          <cell r="I47">
            <v>12216</v>
          </cell>
          <cell r="J47">
            <v>51485</v>
          </cell>
          <cell r="K47">
            <v>30283</v>
          </cell>
          <cell r="L47">
            <v>0</v>
          </cell>
          <cell r="M47"/>
          <cell r="N47">
            <v>6002</v>
          </cell>
          <cell r="O47">
            <v>0</v>
          </cell>
          <cell r="P47">
            <v>0</v>
          </cell>
          <cell r="Q47">
            <v>18446</v>
          </cell>
          <cell r="R47"/>
          <cell r="S47">
            <v>71460</v>
          </cell>
          <cell r="T47">
            <v>-7131</v>
          </cell>
          <cell r="U47">
            <v>64329</v>
          </cell>
        </row>
        <row r="48">
          <cell r="A48">
            <v>90601</v>
          </cell>
          <cell r="B48" t="str">
            <v>AVERY COUNTY</v>
          </cell>
          <cell r="C48">
            <v>1.1888000000000001E-3</v>
          </cell>
          <cell r="D48">
            <v>1.1785999999999999E-3</v>
          </cell>
          <cell r="E48">
            <v>540985</v>
          </cell>
          <cell r="F48">
            <v>2501384</v>
          </cell>
          <cell r="G48">
            <v>1816157</v>
          </cell>
          <cell r="H48"/>
          <cell r="I48">
            <v>104627</v>
          </cell>
          <cell r="J48">
            <v>440965</v>
          </cell>
          <cell r="K48">
            <v>259372</v>
          </cell>
          <cell r="L48">
            <v>20795</v>
          </cell>
          <cell r="M48"/>
          <cell r="N48">
            <v>51410</v>
          </cell>
          <cell r="O48">
            <v>0</v>
          </cell>
          <cell r="P48">
            <v>0</v>
          </cell>
          <cell r="Q48">
            <v>19784</v>
          </cell>
          <cell r="R48"/>
          <cell r="S48">
            <v>612047</v>
          </cell>
          <cell r="T48">
            <v>8359</v>
          </cell>
          <cell r="U48">
            <v>620406</v>
          </cell>
        </row>
        <row r="49">
          <cell r="A49">
            <v>90602</v>
          </cell>
          <cell r="B49" t="str">
            <v>AVERY COUNTY FIRE COMMISSION</v>
          </cell>
          <cell r="C49">
            <v>6.3899999999999995E-5</v>
          </cell>
          <cell r="D49">
            <v>6.3299999999999994E-5</v>
          </cell>
          <cell r="E49">
            <v>34828</v>
          </cell>
          <cell r="F49">
            <v>134344</v>
          </cell>
          <cell r="G49">
            <v>97621</v>
          </cell>
          <cell r="H49"/>
          <cell r="I49">
            <v>5624</v>
          </cell>
          <cell r="J49">
            <v>23703</v>
          </cell>
          <cell r="K49">
            <v>13942</v>
          </cell>
          <cell r="L49">
            <v>38810</v>
          </cell>
          <cell r="M49"/>
          <cell r="N49">
            <v>2763</v>
          </cell>
          <cell r="O49">
            <v>0</v>
          </cell>
          <cell r="P49">
            <v>0</v>
          </cell>
          <cell r="Q49">
            <v>0</v>
          </cell>
          <cell r="R49"/>
          <cell r="S49">
            <v>32899</v>
          </cell>
          <cell r="T49">
            <v>14161</v>
          </cell>
          <cell r="U49">
            <v>47060</v>
          </cell>
        </row>
        <row r="50">
          <cell r="A50">
            <v>90605</v>
          </cell>
          <cell r="B50" t="str">
            <v>AVERY-MITCHELL-YANCEY REG LIBRARY</v>
          </cell>
          <cell r="C50">
            <v>4.1999999999999998E-5</v>
          </cell>
          <cell r="D50">
            <v>3.8399999999999998E-5</v>
          </cell>
          <cell r="E50">
            <v>25461</v>
          </cell>
          <cell r="F50">
            <v>81498</v>
          </cell>
          <cell r="G50">
            <v>64164</v>
          </cell>
          <cell r="H50"/>
          <cell r="I50">
            <v>3696</v>
          </cell>
          <cell r="J50">
            <v>15579</v>
          </cell>
          <cell r="K50">
            <v>9164</v>
          </cell>
          <cell r="L50">
            <v>15425</v>
          </cell>
          <cell r="M50"/>
          <cell r="N50">
            <v>1816</v>
          </cell>
          <cell r="O50">
            <v>0</v>
          </cell>
          <cell r="P50">
            <v>0</v>
          </cell>
          <cell r="Q50">
            <v>0</v>
          </cell>
          <cell r="R50"/>
          <cell r="S50">
            <v>21623</v>
          </cell>
          <cell r="T50">
            <v>5623</v>
          </cell>
          <cell r="U50">
            <v>27246</v>
          </cell>
        </row>
        <row r="51">
          <cell r="A51">
            <v>90611</v>
          </cell>
          <cell r="B51" t="str">
            <v>TOWN OF BANNER ELK</v>
          </cell>
          <cell r="C51">
            <v>1.4880000000000001E-4</v>
          </cell>
          <cell r="D51">
            <v>1.5669999999999999E-4</v>
          </cell>
          <cell r="E51">
            <v>64371</v>
          </cell>
          <cell r="F51">
            <v>332570</v>
          </cell>
          <cell r="G51">
            <v>227325</v>
          </cell>
          <cell r="H51"/>
          <cell r="I51">
            <v>13096</v>
          </cell>
          <cell r="J51">
            <v>55195</v>
          </cell>
          <cell r="K51">
            <v>32465</v>
          </cell>
          <cell r="L51">
            <v>2524</v>
          </cell>
          <cell r="M51"/>
          <cell r="N51">
            <v>6435</v>
          </cell>
          <cell r="O51">
            <v>0</v>
          </cell>
          <cell r="P51">
            <v>0</v>
          </cell>
          <cell r="Q51">
            <v>18006</v>
          </cell>
          <cell r="R51"/>
          <cell r="S51">
            <v>76609</v>
          </cell>
          <cell r="T51">
            <v>-3082</v>
          </cell>
          <cell r="U51">
            <v>73527</v>
          </cell>
        </row>
        <row r="52">
          <cell r="A52">
            <v>90617</v>
          </cell>
          <cell r="B52" t="str">
            <v>HIGH COUNTRY ABC BOARD</v>
          </cell>
          <cell r="C52">
            <v>2.5999999999999998E-5</v>
          </cell>
          <cell r="D52">
            <v>2.6800000000000001E-5</v>
          </cell>
          <cell r="E52">
            <v>15821</v>
          </cell>
          <cell r="F52">
            <v>56879</v>
          </cell>
          <cell r="G52">
            <v>39721</v>
          </cell>
          <cell r="H52"/>
          <cell r="I52">
            <v>2288</v>
          </cell>
          <cell r="J52">
            <v>9644</v>
          </cell>
          <cell r="K52">
            <v>5673</v>
          </cell>
          <cell r="L52">
            <v>7632</v>
          </cell>
          <cell r="M52"/>
          <cell r="N52">
            <v>1124</v>
          </cell>
          <cell r="O52">
            <v>0</v>
          </cell>
          <cell r="P52">
            <v>0</v>
          </cell>
          <cell r="Q52">
            <v>0</v>
          </cell>
          <cell r="R52"/>
          <cell r="S52">
            <v>13386</v>
          </cell>
          <cell r="T52">
            <v>4087</v>
          </cell>
          <cell r="U52">
            <v>17473</v>
          </cell>
        </row>
        <row r="53">
          <cell r="A53">
            <v>90621</v>
          </cell>
          <cell r="B53" t="str">
            <v>TOWN OF NEWLAND</v>
          </cell>
          <cell r="C53">
            <v>6.3999999999999997E-5</v>
          </cell>
          <cell r="D53">
            <v>8.2100000000000003E-5</v>
          </cell>
          <cell r="E53">
            <v>27532</v>
          </cell>
          <cell r="F53">
            <v>174244</v>
          </cell>
          <cell r="G53">
            <v>97774</v>
          </cell>
          <cell r="H53"/>
          <cell r="I53">
            <v>5633</v>
          </cell>
          <cell r="J53">
            <v>23740</v>
          </cell>
          <cell r="K53">
            <v>13964</v>
          </cell>
          <cell r="L53">
            <v>588</v>
          </cell>
          <cell r="M53"/>
          <cell r="N53">
            <v>2768</v>
          </cell>
          <cell r="O53">
            <v>0</v>
          </cell>
          <cell r="P53">
            <v>0</v>
          </cell>
          <cell r="Q53">
            <v>19000</v>
          </cell>
          <cell r="R53"/>
          <cell r="S53">
            <v>32950</v>
          </cell>
          <cell r="T53">
            <v>-5337</v>
          </cell>
          <cell r="U53">
            <v>27613</v>
          </cell>
        </row>
        <row r="54">
          <cell r="A54">
            <v>90631</v>
          </cell>
          <cell r="B54" t="str">
            <v>TOWN OF BEECH MOUNTAIN</v>
          </cell>
          <cell r="C54">
            <v>3.9560000000000002E-4</v>
          </cell>
          <cell r="D54">
            <v>3.8000000000000002E-4</v>
          </cell>
          <cell r="E54">
            <v>175402</v>
          </cell>
          <cell r="F54">
            <v>806487</v>
          </cell>
          <cell r="G54">
            <v>604367</v>
          </cell>
          <cell r="H54"/>
          <cell r="I54">
            <v>34817</v>
          </cell>
          <cell r="J54">
            <v>146742</v>
          </cell>
          <cell r="K54">
            <v>86312</v>
          </cell>
          <cell r="L54">
            <v>17764</v>
          </cell>
          <cell r="M54"/>
          <cell r="N54">
            <v>17108</v>
          </cell>
          <cell r="O54">
            <v>0</v>
          </cell>
          <cell r="P54">
            <v>0</v>
          </cell>
          <cell r="Q54">
            <v>8233</v>
          </cell>
          <cell r="R54"/>
          <cell r="S54">
            <v>203672</v>
          </cell>
          <cell r="T54">
            <v>-484</v>
          </cell>
          <cell r="U54">
            <v>203188</v>
          </cell>
        </row>
        <row r="55">
          <cell r="A55">
            <v>90641</v>
          </cell>
          <cell r="B55" t="str">
            <v>TOWN OF ELK PARK</v>
          </cell>
          <cell r="C55">
            <v>1.38E-5</v>
          </cell>
          <cell r="D55">
            <v>1.4399999999999999E-5</v>
          </cell>
          <cell r="E55">
            <v>6944</v>
          </cell>
          <cell r="F55">
            <v>30562</v>
          </cell>
          <cell r="G55">
            <v>21083</v>
          </cell>
          <cell r="H55"/>
          <cell r="I55">
            <v>1215</v>
          </cell>
          <cell r="J55">
            <v>5118</v>
          </cell>
          <cell r="K55">
            <v>3011</v>
          </cell>
          <cell r="L55">
            <v>304</v>
          </cell>
          <cell r="M55"/>
          <cell r="N55">
            <v>597</v>
          </cell>
          <cell r="O55">
            <v>0</v>
          </cell>
          <cell r="P55">
            <v>0</v>
          </cell>
          <cell r="Q55">
            <v>517</v>
          </cell>
          <cell r="R55"/>
          <cell r="S55">
            <v>7105</v>
          </cell>
          <cell r="T55">
            <v>-123</v>
          </cell>
          <cell r="U55">
            <v>6982</v>
          </cell>
        </row>
        <row r="56">
          <cell r="A56">
            <v>90651</v>
          </cell>
          <cell r="B56" t="str">
            <v>TOWN OF SUGAR MOUNTAIN</v>
          </cell>
          <cell r="C56">
            <v>1E-4</v>
          </cell>
          <cell r="D56">
            <v>1.108E-4</v>
          </cell>
          <cell r="E56">
            <v>98054</v>
          </cell>
          <cell r="F56">
            <v>235155</v>
          </cell>
          <cell r="G56">
            <v>152772</v>
          </cell>
          <cell r="H56"/>
          <cell r="I56">
            <v>8801</v>
          </cell>
          <cell r="J56">
            <v>37093</v>
          </cell>
          <cell r="K56">
            <v>21818</v>
          </cell>
          <cell r="L56">
            <v>85885</v>
          </cell>
          <cell r="M56"/>
          <cell r="N56">
            <v>4325</v>
          </cell>
          <cell r="O56">
            <v>0</v>
          </cell>
          <cell r="P56">
            <v>0</v>
          </cell>
          <cell r="Q56">
            <v>4659</v>
          </cell>
          <cell r="R56"/>
          <cell r="S56">
            <v>51484</v>
          </cell>
          <cell r="T56">
            <v>25671</v>
          </cell>
          <cell r="U56">
            <v>77155</v>
          </cell>
        </row>
        <row r="57">
          <cell r="A57">
            <v>90701</v>
          </cell>
          <cell r="B57" t="str">
            <v>BEAUFORT COUNTY</v>
          </cell>
          <cell r="C57">
            <v>2.6581E-3</v>
          </cell>
          <cell r="D57">
            <v>2.3587E-3</v>
          </cell>
          <cell r="E57">
            <v>1110621</v>
          </cell>
          <cell r="F57">
            <v>0</v>
          </cell>
          <cell r="G57">
            <v>4060841</v>
          </cell>
          <cell r="H57"/>
          <cell r="I57">
            <v>233942</v>
          </cell>
          <cell r="J57">
            <v>985977</v>
          </cell>
          <cell r="K57">
            <v>579944</v>
          </cell>
          <cell r="L57">
            <v>130818</v>
          </cell>
          <cell r="M57"/>
          <cell r="N57">
            <v>114950</v>
          </cell>
          <cell r="O57">
            <v>0</v>
          </cell>
          <cell r="P57">
            <v>0</v>
          </cell>
          <cell r="Q57">
            <v>31847</v>
          </cell>
          <cell r="R57"/>
          <cell r="S57">
            <v>1368507</v>
          </cell>
          <cell r="T57">
            <v>33872</v>
          </cell>
          <cell r="U57">
            <v>1402379</v>
          </cell>
        </row>
        <row r="58">
          <cell r="A58">
            <v>90704</v>
          </cell>
          <cell r="B58" t="str">
            <v>BEAUFORT COUNTY ABC BOARD</v>
          </cell>
          <cell r="C58">
            <v>3.3300000000000003E-5</v>
          </cell>
          <cell r="D58">
            <v>3.4900000000000001E-5</v>
          </cell>
          <cell r="E58">
            <v>23859</v>
          </cell>
          <cell r="F58">
            <v>74069</v>
          </cell>
          <cell r="G58">
            <v>50873</v>
          </cell>
          <cell r="H58"/>
          <cell r="I58">
            <v>2931</v>
          </cell>
          <cell r="J58">
            <v>12352</v>
          </cell>
          <cell r="K58">
            <v>7265</v>
          </cell>
          <cell r="L58">
            <v>14629</v>
          </cell>
          <cell r="M58"/>
          <cell r="N58">
            <v>1440</v>
          </cell>
          <cell r="O58">
            <v>0</v>
          </cell>
          <cell r="P58">
            <v>0</v>
          </cell>
          <cell r="Q58">
            <v>0</v>
          </cell>
          <cell r="R58"/>
          <cell r="S58">
            <v>17144</v>
          </cell>
          <cell r="T58">
            <v>5643</v>
          </cell>
          <cell r="U58">
            <v>22787</v>
          </cell>
        </row>
        <row r="59">
          <cell r="A59">
            <v>90705</v>
          </cell>
          <cell r="B59" t="str">
            <v>B H M REGIONAL LIBRARY</v>
          </cell>
          <cell r="C59">
            <v>5.3000000000000001E-5</v>
          </cell>
          <cell r="D59">
            <v>3.3899999999999997E-5</v>
          </cell>
          <cell r="E59">
            <v>23100</v>
          </cell>
          <cell r="F59">
            <v>71947</v>
          </cell>
          <cell r="G59">
            <v>80969</v>
          </cell>
          <cell r="H59"/>
          <cell r="I59">
            <v>4665</v>
          </cell>
          <cell r="J59">
            <v>19659</v>
          </cell>
          <cell r="K59">
            <v>11564</v>
          </cell>
          <cell r="L59">
            <v>18366</v>
          </cell>
          <cell r="M59"/>
          <cell r="N59">
            <v>2292</v>
          </cell>
          <cell r="O59">
            <v>0</v>
          </cell>
          <cell r="P59">
            <v>0</v>
          </cell>
          <cell r="Q59">
            <v>0</v>
          </cell>
          <cell r="R59"/>
          <cell r="S59">
            <v>27287</v>
          </cell>
          <cell r="T59">
            <v>6194</v>
          </cell>
          <cell r="U59">
            <v>33481</v>
          </cell>
        </row>
        <row r="60">
          <cell r="A60">
            <v>90709</v>
          </cell>
          <cell r="B60" t="str">
            <v>MIDEAST COMMISSION</v>
          </cell>
          <cell r="C60">
            <v>1.2650000000000001E-4</v>
          </cell>
          <cell r="D60">
            <v>1.4569999999999999E-4</v>
          </cell>
          <cell r="E60">
            <v>61710</v>
          </cell>
          <cell r="F60">
            <v>309224</v>
          </cell>
          <cell r="G60">
            <v>193257</v>
          </cell>
          <cell r="H60"/>
          <cell r="I60">
            <v>11133</v>
          </cell>
          <cell r="J60">
            <v>46924</v>
          </cell>
          <cell r="K60">
            <v>27600</v>
          </cell>
          <cell r="L60">
            <v>5085</v>
          </cell>
          <cell r="M60"/>
          <cell r="N60">
            <v>5470</v>
          </cell>
          <cell r="O60">
            <v>0</v>
          </cell>
          <cell r="P60">
            <v>0</v>
          </cell>
          <cell r="Q60">
            <v>42511</v>
          </cell>
          <cell r="R60"/>
          <cell r="S60">
            <v>65128</v>
          </cell>
          <cell r="T60">
            <v>-9374</v>
          </cell>
          <cell r="U60">
            <v>55754</v>
          </cell>
        </row>
        <row r="61">
          <cell r="A61">
            <v>90711</v>
          </cell>
          <cell r="B61" t="str">
            <v>CITY OF WASHINGTON</v>
          </cell>
          <cell r="C61">
            <v>1.6877000000000001E-3</v>
          </cell>
          <cell r="D61">
            <v>1.7302000000000001E-3</v>
          </cell>
          <cell r="E61">
            <v>774256</v>
          </cell>
          <cell r="F61">
            <v>3672064</v>
          </cell>
          <cell r="G61">
            <v>2578338</v>
          </cell>
          <cell r="H61"/>
          <cell r="I61">
            <v>148536</v>
          </cell>
          <cell r="J61">
            <v>626023</v>
          </cell>
          <cell r="K61">
            <v>368222</v>
          </cell>
          <cell r="L61">
            <v>0</v>
          </cell>
          <cell r="M61"/>
          <cell r="N61">
            <v>72985</v>
          </cell>
          <cell r="O61">
            <v>0</v>
          </cell>
          <cell r="P61">
            <v>0</v>
          </cell>
          <cell r="Q61">
            <v>160849</v>
          </cell>
          <cell r="R61"/>
          <cell r="S61">
            <v>868902</v>
          </cell>
          <cell r="T61">
            <v>-68798</v>
          </cell>
          <cell r="U61">
            <v>800104</v>
          </cell>
        </row>
        <row r="62">
          <cell r="A62">
            <v>90721</v>
          </cell>
          <cell r="B62" t="str">
            <v>TOWN OF AURORA</v>
          </cell>
          <cell r="C62">
            <v>2.8600000000000001E-5</v>
          </cell>
          <cell r="D62">
            <v>3.7299999999999999E-5</v>
          </cell>
          <cell r="E62">
            <v>15289</v>
          </cell>
          <cell r="F62">
            <v>79163</v>
          </cell>
          <cell r="G62">
            <v>43693</v>
          </cell>
          <cell r="H62"/>
          <cell r="I62">
            <v>2517</v>
          </cell>
          <cell r="J62">
            <v>10608</v>
          </cell>
          <cell r="K62">
            <v>6240</v>
          </cell>
          <cell r="L62">
            <v>2956</v>
          </cell>
          <cell r="M62"/>
          <cell r="N62">
            <v>1237</v>
          </cell>
          <cell r="O62">
            <v>0</v>
          </cell>
          <cell r="P62">
            <v>0</v>
          </cell>
          <cell r="Q62">
            <v>4943</v>
          </cell>
          <cell r="R62"/>
          <cell r="S62">
            <v>14725</v>
          </cell>
          <cell r="T62">
            <v>1072</v>
          </cell>
          <cell r="U62">
            <v>15797</v>
          </cell>
        </row>
        <row r="63">
          <cell r="A63">
            <v>90731</v>
          </cell>
          <cell r="B63" t="str">
            <v>TOWN OF BELHAVEN</v>
          </cell>
          <cell r="C63">
            <v>1.741E-4</v>
          </cell>
          <cell r="D63">
            <v>1.917E-4</v>
          </cell>
          <cell r="E63">
            <v>79540</v>
          </cell>
          <cell r="F63">
            <v>406852</v>
          </cell>
          <cell r="G63">
            <v>265977</v>
          </cell>
          <cell r="H63"/>
          <cell r="I63">
            <v>15323</v>
          </cell>
          <cell r="J63">
            <v>64580</v>
          </cell>
          <cell r="K63">
            <v>37985</v>
          </cell>
          <cell r="L63">
            <v>0</v>
          </cell>
          <cell r="M63"/>
          <cell r="N63">
            <v>7529</v>
          </cell>
          <cell r="O63">
            <v>0</v>
          </cell>
          <cell r="P63">
            <v>0</v>
          </cell>
          <cell r="Q63">
            <v>18148</v>
          </cell>
          <cell r="R63"/>
          <cell r="S63">
            <v>89634</v>
          </cell>
          <cell r="T63">
            <v>-7025</v>
          </cell>
          <cell r="U63">
            <v>82609</v>
          </cell>
        </row>
        <row r="64">
          <cell r="A64">
            <v>90741</v>
          </cell>
          <cell r="B64" t="str">
            <v>TOWN OF WASHINGTON PARK</v>
          </cell>
          <cell r="C64">
            <v>9.0999999999999993E-6</v>
          </cell>
          <cell r="D64">
            <v>1.2099999999999999E-5</v>
          </cell>
          <cell r="E64">
            <v>6433</v>
          </cell>
          <cell r="F64">
            <v>25680</v>
          </cell>
          <cell r="G64">
            <v>13902</v>
          </cell>
          <cell r="H64"/>
          <cell r="I64">
            <v>801</v>
          </cell>
          <cell r="J64">
            <v>3375</v>
          </cell>
          <cell r="K64">
            <v>1985</v>
          </cell>
          <cell r="L64">
            <v>2169</v>
          </cell>
          <cell r="M64"/>
          <cell r="N64">
            <v>394</v>
          </cell>
          <cell r="O64">
            <v>0</v>
          </cell>
          <cell r="P64">
            <v>0</v>
          </cell>
          <cell r="Q64">
            <v>952</v>
          </cell>
          <cell r="R64"/>
          <cell r="S64">
            <v>4685</v>
          </cell>
          <cell r="T64">
            <v>235</v>
          </cell>
          <cell r="U64">
            <v>4920</v>
          </cell>
        </row>
        <row r="65">
          <cell r="A65">
            <v>90751</v>
          </cell>
          <cell r="B65" t="str">
            <v>TOWN OF CHOCOWINITY</v>
          </cell>
          <cell r="C65">
            <v>6.8700000000000003E-5</v>
          </cell>
          <cell r="D65">
            <v>6.5599999999999995E-5</v>
          </cell>
          <cell r="E65">
            <v>27591</v>
          </cell>
          <cell r="F65">
            <v>139225</v>
          </cell>
          <cell r="G65">
            <v>104955</v>
          </cell>
          <cell r="H65"/>
          <cell r="I65">
            <v>6046</v>
          </cell>
          <cell r="J65">
            <v>25483</v>
          </cell>
          <cell r="K65">
            <v>14989</v>
          </cell>
          <cell r="L65">
            <v>4940</v>
          </cell>
          <cell r="M65"/>
          <cell r="N65">
            <v>2971</v>
          </cell>
          <cell r="O65">
            <v>0</v>
          </cell>
          <cell r="P65">
            <v>0</v>
          </cell>
          <cell r="Q65">
            <v>1080</v>
          </cell>
          <cell r="R65"/>
          <cell r="S65">
            <v>35370</v>
          </cell>
          <cell r="T65">
            <v>3400</v>
          </cell>
          <cell r="U65">
            <v>38770</v>
          </cell>
        </row>
        <row r="66">
          <cell r="A66">
            <v>90801</v>
          </cell>
          <cell r="B66" t="str">
            <v>BERTIE COUNTY</v>
          </cell>
          <cell r="C66">
            <v>1.3064000000000001E-3</v>
          </cell>
          <cell r="D66">
            <v>1.1404E-3</v>
          </cell>
          <cell r="E66">
            <v>521156</v>
          </cell>
          <cell r="F66">
            <v>2420311</v>
          </cell>
          <cell r="G66">
            <v>1995817</v>
          </cell>
          <cell r="H66"/>
          <cell r="I66">
            <v>114978</v>
          </cell>
          <cell r="J66">
            <v>484586</v>
          </cell>
          <cell r="K66">
            <v>285030</v>
          </cell>
          <cell r="L66">
            <v>151641</v>
          </cell>
          <cell r="M66"/>
          <cell r="N66">
            <v>56495</v>
          </cell>
          <cell r="O66">
            <v>0</v>
          </cell>
          <cell r="P66">
            <v>0</v>
          </cell>
          <cell r="Q66">
            <v>0</v>
          </cell>
          <cell r="R66"/>
          <cell r="S66">
            <v>672592</v>
          </cell>
          <cell r="T66">
            <v>65370</v>
          </cell>
          <cell r="U66">
            <v>737962</v>
          </cell>
        </row>
        <row r="67">
          <cell r="A67">
            <v>90804</v>
          </cell>
          <cell r="B67" t="str">
            <v>BERTIE COUNTY ABC BOARD</v>
          </cell>
          <cell r="C67">
            <v>6.1999999999999999E-6</v>
          </cell>
          <cell r="D67">
            <v>6.0000000000000002E-6</v>
          </cell>
          <cell r="E67">
            <v>2751</v>
          </cell>
          <cell r="F67">
            <v>12734</v>
          </cell>
          <cell r="G67">
            <v>9472</v>
          </cell>
          <cell r="H67"/>
          <cell r="I67">
            <v>546</v>
          </cell>
          <cell r="J67">
            <v>2300</v>
          </cell>
          <cell r="K67">
            <v>1353</v>
          </cell>
          <cell r="L67">
            <v>1462</v>
          </cell>
          <cell r="M67"/>
          <cell r="N67">
            <v>268</v>
          </cell>
          <cell r="O67">
            <v>0</v>
          </cell>
          <cell r="P67">
            <v>0</v>
          </cell>
          <cell r="Q67">
            <v>0</v>
          </cell>
          <cell r="R67"/>
          <cell r="S67">
            <v>3192</v>
          </cell>
          <cell r="T67">
            <v>893</v>
          </cell>
          <cell r="U67">
            <v>4085</v>
          </cell>
        </row>
        <row r="68">
          <cell r="A68">
            <v>90805</v>
          </cell>
          <cell r="B68" t="str">
            <v>ALBEMARLE REGIONAL LIBRARY</v>
          </cell>
          <cell r="C68">
            <v>5.1900000000000001E-5</v>
          </cell>
          <cell r="D68">
            <v>5.5099999999999998E-5</v>
          </cell>
          <cell r="E68">
            <v>35600</v>
          </cell>
          <cell r="F68">
            <v>116941</v>
          </cell>
          <cell r="G68">
            <v>79289</v>
          </cell>
          <cell r="H68"/>
          <cell r="I68">
            <v>4568</v>
          </cell>
          <cell r="J68">
            <v>19252</v>
          </cell>
          <cell r="K68">
            <v>11324</v>
          </cell>
          <cell r="L68">
            <v>22022</v>
          </cell>
          <cell r="M68"/>
          <cell r="N68">
            <v>2244</v>
          </cell>
          <cell r="O68">
            <v>0</v>
          </cell>
          <cell r="P68">
            <v>0</v>
          </cell>
          <cell r="Q68">
            <v>0</v>
          </cell>
          <cell r="R68"/>
          <cell r="S68">
            <v>26720</v>
          </cell>
          <cell r="T68">
            <v>9443</v>
          </cell>
          <cell r="U68">
            <v>36163</v>
          </cell>
        </row>
        <row r="69">
          <cell r="A69">
            <v>90808</v>
          </cell>
          <cell r="B69" t="str">
            <v>BERTIE-MARTIN REGIONAL JAIL COMM</v>
          </cell>
          <cell r="C69">
            <v>1.131E-4</v>
          </cell>
          <cell r="D69">
            <v>1.109E-4</v>
          </cell>
          <cell r="E69">
            <v>56029</v>
          </cell>
          <cell r="F69">
            <v>235367</v>
          </cell>
          <cell r="G69">
            <v>172785</v>
          </cell>
          <cell r="H69"/>
          <cell r="I69">
            <v>9954</v>
          </cell>
          <cell r="J69">
            <v>41952</v>
          </cell>
          <cell r="K69">
            <v>24676</v>
          </cell>
          <cell r="L69">
            <v>5678</v>
          </cell>
          <cell r="M69"/>
          <cell r="N69">
            <v>4891</v>
          </cell>
          <cell r="O69">
            <v>0</v>
          </cell>
          <cell r="P69">
            <v>0</v>
          </cell>
          <cell r="Q69">
            <v>2008</v>
          </cell>
          <cell r="R69"/>
          <cell r="S69">
            <v>58229</v>
          </cell>
          <cell r="T69">
            <v>731</v>
          </cell>
          <cell r="U69">
            <v>58960</v>
          </cell>
        </row>
        <row r="70">
          <cell r="A70">
            <v>90811</v>
          </cell>
          <cell r="B70" t="str">
            <v>TOWN OF AULANDER</v>
          </cell>
          <cell r="C70">
            <v>3.3599999999999997E-5</v>
          </cell>
          <cell r="D70">
            <v>4.0000000000000003E-5</v>
          </cell>
          <cell r="E70">
            <v>11655</v>
          </cell>
          <cell r="F70">
            <v>84893</v>
          </cell>
          <cell r="G70">
            <v>51331</v>
          </cell>
          <cell r="H70"/>
          <cell r="I70">
            <v>2957</v>
          </cell>
          <cell r="J70">
            <v>12463</v>
          </cell>
          <cell r="K70">
            <v>7331</v>
          </cell>
          <cell r="L70">
            <v>471</v>
          </cell>
          <cell r="M70"/>
          <cell r="N70">
            <v>1453</v>
          </cell>
          <cell r="O70">
            <v>0</v>
          </cell>
          <cell r="P70">
            <v>0</v>
          </cell>
          <cell r="Q70">
            <v>8846</v>
          </cell>
          <cell r="R70"/>
          <cell r="S70">
            <v>17299</v>
          </cell>
          <cell r="T70">
            <v>-1986</v>
          </cell>
          <cell r="U70">
            <v>15313</v>
          </cell>
        </row>
        <row r="71">
          <cell r="A71">
            <v>90812</v>
          </cell>
          <cell r="B71" t="str">
            <v>TOWN OF WINDSOR</v>
          </cell>
          <cell r="C71">
            <v>2.2900000000000001E-4</v>
          </cell>
          <cell r="D71">
            <v>2.13E-4</v>
          </cell>
          <cell r="E71">
            <v>105040</v>
          </cell>
          <cell r="F71">
            <v>452057</v>
          </cell>
          <cell r="G71">
            <v>349849</v>
          </cell>
          <cell r="H71"/>
          <cell r="I71">
            <v>20155</v>
          </cell>
          <cell r="J71">
            <v>84944</v>
          </cell>
          <cell r="K71">
            <v>49963</v>
          </cell>
          <cell r="L71">
            <v>15087</v>
          </cell>
          <cell r="M71"/>
          <cell r="N71">
            <v>9903</v>
          </cell>
          <cell r="O71">
            <v>0</v>
          </cell>
          <cell r="P71">
            <v>0</v>
          </cell>
          <cell r="Q71">
            <v>10549</v>
          </cell>
          <cell r="R71"/>
          <cell r="S71">
            <v>117899</v>
          </cell>
          <cell r="T71">
            <v>3117</v>
          </cell>
          <cell r="U71">
            <v>121016</v>
          </cell>
        </row>
        <row r="72">
          <cell r="A72">
            <v>90813</v>
          </cell>
          <cell r="B72" t="str">
            <v>TOWN OF COLERAIN</v>
          </cell>
          <cell r="C72">
            <v>5.3000000000000001E-6</v>
          </cell>
          <cell r="D72">
            <v>5.4999999999999999E-6</v>
          </cell>
          <cell r="E72">
            <v>2061</v>
          </cell>
          <cell r="F72">
            <v>11673</v>
          </cell>
          <cell r="G72">
            <v>8097</v>
          </cell>
          <cell r="H72"/>
          <cell r="I72">
            <v>466</v>
          </cell>
          <cell r="J72">
            <v>1966</v>
          </cell>
          <cell r="K72">
            <v>1156</v>
          </cell>
          <cell r="L72">
            <v>0</v>
          </cell>
          <cell r="M72"/>
          <cell r="N72">
            <v>229</v>
          </cell>
          <cell r="O72">
            <v>0</v>
          </cell>
          <cell r="P72">
            <v>0</v>
          </cell>
          <cell r="Q72">
            <v>1124</v>
          </cell>
          <cell r="R72"/>
          <cell r="S72">
            <v>2729</v>
          </cell>
          <cell r="T72">
            <v>-505</v>
          </cell>
          <cell r="U72">
            <v>2224</v>
          </cell>
        </row>
        <row r="73">
          <cell r="A73">
            <v>90861</v>
          </cell>
          <cell r="B73" t="str">
            <v>TOWN OF LEWISTON WOODVILLE</v>
          </cell>
          <cell r="C73">
            <v>4.1999999999999996E-6</v>
          </cell>
          <cell r="D73">
            <v>4.7999999999999998E-6</v>
          </cell>
          <cell r="E73">
            <v>3703</v>
          </cell>
          <cell r="F73">
            <v>10187</v>
          </cell>
          <cell r="G73">
            <v>6416</v>
          </cell>
          <cell r="H73"/>
          <cell r="I73">
            <v>370</v>
          </cell>
          <cell r="J73">
            <v>1558</v>
          </cell>
          <cell r="K73">
            <v>916</v>
          </cell>
          <cell r="L73">
            <v>3211</v>
          </cell>
          <cell r="M73"/>
          <cell r="N73">
            <v>182</v>
          </cell>
          <cell r="O73">
            <v>0</v>
          </cell>
          <cell r="P73">
            <v>0</v>
          </cell>
          <cell r="Q73">
            <v>1117</v>
          </cell>
          <cell r="R73"/>
          <cell r="S73">
            <v>2162</v>
          </cell>
          <cell r="T73">
            <v>191</v>
          </cell>
          <cell r="U73">
            <v>2353</v>
          </cell>
        </row>
        <row r="74">
          <cell r="A74">
            <v>90901</v>
          </cell>
          <cell r="B74" t="str">
            <v>BLADEN COUNTY</v>
          </cell>
          <cell r="C74">
            <v>2.1814999999999998E-3</v>
          </cell>
          <cell r="D74">
            <v>2.1302999999999999E-3</v>
          </cell>
          <cell r="E74">
            <v>980897</v>
          </cell>
          <cell r="F74">
            <v>4521210</v>
          </cell>
          <cell r="G74">
            <v>3332728</v>
          </cell>
          <cell r="H74"/>
          <cell r="I74">
            <v>191996</v>
          </cell>
          <cell r="J74">
            <v>809191</v>
          </cell>
          <cell r="K74">
            <v>475960</v>
          </cell>
          <cell r="L74">
            <v>22389</v>
          </cell>
          <cell r="M74"/>
          <cell r="N74">
            <v>94339</v>
          </cell>
          <cell r="O74">
            <v>0</v>
          </cell>
          <cell r="P74">
            <v>0</v>
          </cell>
          <cell r="Q74">
            <v>38005</v>
          </cell>
          <cell r="R74"/>
          <cell r="S74">
            <v>1123132</v>
          </cell>
          <cell r="T74">
            <v>-5969</v>
          </cell>
          <cell r="U74">
            <v>1117163</v>
          </cell>
        </row>
        <row r="75">
          <cell r="A75">
            <v>90911</v>
          </cell>
          <cell r="B75" t="str">
            <v>TOWN OF ELIZABETHTOWN</v>
          </cell>
          <cell r="C75">
            <v>3.9780000000000002E-4</v>
          </cell>
          <cell r="D75">
            <v>3.6010000000000003E-4</v>
          </cell>
          <cell r="E75">
            <v>159535</v>
          </cell>
          <cell r="F75">
            <v>764253</v>
          </cell>
          <cell r="G75">
            <v>607728</v>
          </cell>
          <cell r="H75"/>
          <cell r="I75">
            <v>35011</v>
          </cell>
          <cell r="J75">
            <v>147557</v>
          </cell>
          <cell r="K75">
            <v>86792</v>
          </cell>
          <cell r="L75">
            <v>6806</v>
          </cell>
          <cell r="M75"/>
          <cell r="N75">
            <v>17203</v>
          </cell>
          <cell r="O75">
            <v>0</v>
          </cell>
          <cell r="P75">
            <v>0</v>
          </cell>
          <cell r="Q75">
            <v>31482</v>
          </cell>
          <cell r="R75"/>
          <cell r="S75">
            <v>204805</v>
          </cell>
          <cell r="T75">
            <v>-18326</v>
          </cell>
          <cell r="U75">
            <v>186479</v>
          </cell>
        </row>
        <row r="76">
          <cell r="A76">
            <v>90917</v>
          </cell>
          <cell r="B76" t="str">
            <v>ELIZABETHTOWN ABC BOARD</v>
          </cell>
          <cell r="C76">
            <v>1.4399999999999999E-5</v>
          </cell>
          <cell r="D76">
            <v>1.42E-5</v>
          </cell>
          <cell r="E76">
            <v>5784</v>
          </cell>
          <cell r="F76">
            <v>30137</v>
          </cell>
          <cell r="G76">
            <v>21999</v>
          </cell>
          <cell r="H76"/>
          <cell r="I76">
            <v>1267</v>
          </cell>
          <cell r="J76">
            <v>5342</v>
          </cell>
          <cell r="K76">
            <v>3142</v>
          </cell>
          <cell r="L76">
            <v>1461</v>
          </cell>
          <cell r="M76"/>
          <cell r="N76">
            <v>623</v>
          </cell>
          <cell r="O76">
            <v>0</v>
          </cell>
          <cell r="P76">
            <v>0</v>
          </cell>
          <cell r="Q76">
            <v>966</v>
          </cell>
          <cell r="R76"/>
          <cell r="S76">
            <v>7414</v>
          </cell>
          <cell r="T76">
            <v>-22</v>
          </cell>
          <cell r="U76">
            <v>7392</v>
          </cell>
        </row>
        <row r="77">
          <cell r="A77">
            <v>90918</v>
          </cell>
          <cell r="B77" t="str">
            <v>SOUTH EASTERN ECONOMIC DEVELOPMENT COMM</v>
          </cell>
          <cell r="C77">
            <v>1.19E-5</v>
          </cell>
          <cell r="D77">
            <v>1.24E-5</v>
          </cell>
          <cell r="E77">
            <v>4773</v>
          </cell>
          <cell r="F77">
            <v>26317</v>
          </cell>
          <cell r="G77">
            <v>18180</v>
          </cell>
          <cell r="H77"/>
          <cell r="I77">
            <v>1047</v>
          </cell>
          <cell r="J77">
            <v>4414</v>
          </cell>
          <cell r="K77">
            <v>2596</v>
          </cell>
          <cell r="L77">
            <v>0</v>
          </cell>
          <cell r="M77"/>
          <cell r="N77">
            <v>515</v>
          </cell>
          <cell r="O77">
            <v>0</v>
          </cell>
          <cell r="P77">
            <v>0</v>
          </cell>
          <cell r="Q77">
            <v>2553</v>
          </cell>
          <cell r="R77"/>
          <cell r="S77">
            <v>6127</v>
          </cell>
          <cell r="T77">
            <v>-1087</v>
          </cell>
          <cell r="U77">
            <v>5040</v>
          </cell>
        </row>
        <row r="78">
          <cell r="A78">
            <v>90921</v>
          </cell>
          <cell r="B78" t="str">
            <v>TOWN OF WHITE LAKE</v>
          </cell>
          <cell r="C78">
            <v>1.2970000000000001E-4</v>
          </cell>
          <cell r="D78">
            <v>8.7399999999999997E-5</v>
          </cell>
          <cell r="E78">
            <v>59486</v>
          </cell>
          <cell r="F78">
            <v>185492</v>
          </cell>
          <cell r="G78">
            <v>198146</v>
          </cell>
          <cell r="H78"/>
          <cell r="I78">
            <v>11415</v>
          </cell>
          <cell r="J78">
            <v>48110</v>
          </cell>
          <cell r="K78">
            <v>28298</v>
          </cell>
          <cell r="L78">
            <v>31212</v>
          </cell>
          <cell r="M78"/>
          <cell r="N78">
            <v>5609</v>
          </cell>
          <cell r="O78">
            <v>0</v>
          </cell>
          <cell r="P78">
            <v>0</v>
          </cell>
          <cell r="Q78">
            <v>7007</v>
          </cell>
          <cell r="R78"/>
          <cell r="S78">
            <v>66775</v>
          </cell>
          <cell r="T78">
            <v>5102</v>
          </cell>
          <cell r="U78">
            <v>71877</v>
          </cell>
        </row>
        <row r="79">
          <cell r="A79">
            <v>90931</v>
          </cell>
          <cell r="B79" t="str">
            <v>TOWN OF CLARKTON</v>
          </cell>
          <cell r="C79">
            <v>4.07E-5</v>
          </cell>
          <cell r="D79">
            <v>5.1900000000000001E-5</v>
          </cell>
          <cell r="E79">
            <v>16168</v>
          </cell>
          <cell r="F79">
            <v>110149</v>
          </cell>
          <cell r="G79">
            <v>62178</v>
          </cell>
          <cell r="H79"/>
          <cell r="I79">
            <v>3582</v>
          </cell>
          <cell r="J79">
            <v>15097</v>
          </cell>
          <cell r="K79">
            <v>8880</v>
          </cell>
          <cell r="L79">
            <v>3743</v>
          </cell>
          <cell r="M79"/>
          <cell r="N79">
            <v>1760</v>
          </cell>
          <cell r="O79">
            <v>0</v>
          </cell>
          <cell r="P79">
            <v>0</v>
          </cell>
          <cell r="Q79">
            <v>14137</v>
          </cell>
          <cell r="R79"/>
          <cell r="S79">
            <v>20954</v>
          </cell>
          <cell r="T79">
            <v>-1298</v>
          </cell>
          <cell r="U79">
            <v>19656</v>
          </cell>
        </row>
        <row r="80">
          <cell r="A80">
            <v>90941</v>
          </cell>
          <cell r="B80" t="str">
            <v>TOWN OF BLADENBORO</v>
          </cell>
          <cell r="C80">
            <v>7.0300000000000001E-5</v>
          </cell>
          <cell r="D80">
            <v>9.0799999999999998E-5</v>
          </cell>
          <cell r="E80">
            <v>35455</v>
          </cell>
          <cell r="F80">
            <v>192708</v>
          </cell>
          <cell r="G80">
            <v>107399</v>
          </cell>
          <cell r="H80"/>
          <cell r="I80">
            <v>6187</v>
          </cell>
          <cell r="J80">
            <v>26076</v>
          </cell>
          <cell r="K80">
            <v>15338</v>
          </cell>
          <cell r="L80">
            <v>1686</v>
          </cell>
          <cell r="M80"/>
          <cell r="N80">
            <v>3040</v>
          </cell>
          <cell r="O80">
            <v>0</v>
          </cell>
          <cell r="P80">
            <v>0</v>
          </cell>
          <cell r="Q80">
            <v>16031</v>
          </cell>
          <cell r="R80"/>
          <cell r="S80">
            <v>36194</v>
          </cell>
          <cell r="T80">
            <v>-4988</v>
          </cell>
          <cell r="U80">
            <v>31206</v>
          </cell>
        </row>
        <row r="81">
          <cell r="A81">
            <v>91001</v>
          </cell>
          <cell r="B81" t="str">
            <v>BRUNSWICK COUNTY</v>
          </cell>
          <cell r="C81">
            <v>6.6703999999999999E-3</v>
          </cell>
          <cell r="D81">
            <v>6.6189999999999999E-3</v>
          </cell>
          <cell r="E81">
            <v>2867178</v>
          </cell>
          <cell r="F81">
            <v>14047735</v>
          </cell>
          <cell r="G81">
            <v>10190523</v>
          </cell>
          <cell r="H81"/>
          <cell r="I81">
            <v>587069</v>
          </cell>
          <cell r="J81">
            <v>2474271</v>
          </cell>
          <cell r="K81">
            <v>1455348</v>
          </cell>
          <cell r="L81">
            <v>35831</v>
          </cell>
          <cell r="M81"/>
          <cell r="N81">
            <v>288461</v>
          </cell>
          <cell r="O81">
            <v>0</v>
          </cell>
          <cell r="P81">
            <v>0</v>
          </cell>
          <cell r="Q81">
            <v>269013</v>
          </cell>
          <cell r="R81"/>
          <cell r="S81">
            <v>3434215</v>
          </cell>
          <cell r="T81">
            <v>-50061</v>
          </cell>
          <cell r="U81">
            <v>3384154</v>
          </cell>
        </row>
        <row r="82">
          <cell r="A82">
            <v>91002</v>
          </cell>
          <cell r="B82" t="str">
            <v>TOWN OF LELAND</v>
          </cell>
          <cell r="C82">
            <v>6.8860000000000004E-4</v>
          </cell>
          <cell r="D82">
            <v>5.6360000000000004E-4</v>
          </cell>
          <cell r="E82">
            <v>257315</v>
          </cell>
          <cell r="F82">
            <v>1196148</v>
          </cell>
          <cell r="G82">
            <v>1051990</v>
          </cell>
          <cell r="H82"/>
          <cell r="I82">
            <v>60604</v>
          </cell>
          <cell r="J82">
            <v>255424</v>
          </cell>
          <cell r="K82">
            <v>150239</v>
          </cell>
          <cell r="L82">
            <v>39390</v>
          </cell>
          <cell r="M82"/>
          <cell r="N82">
            <v>29779</v>
          </cell>
          <cell r="O82">
            <v>0</v>
          </cell>
          <cell r="P82">
            <v>0</v>
          </cell>
          <cell r="Q82">
            <v>48600</v>
          </cell>
          <cell r="R82"/>
          <cell r="S82">
            <v>354522</v>
          </cell>
          <cell r="T82">
            <v>-8849</v>
          </cell>
          <cell r="U82">
            <v>345673</v>
          </cell>
        </row>
        <row r="83">
          <cell r="A83">
            <v>91003</v>
          </cell>
          <cell r="B83" t="str">
            <v>BRUNSWICK CO HEALTH DEPT</v>
          </cell>
          <cell r="C83">
            <v>5.7260000000000004E-4</v>
          </cell>
          <cell r="D83">
            <v>5.6550000000000003E-4</v>
          </cell>
          <cell r="E83">
            <v>268789</v>
          </cell>
          <cell r="F83">
            <v>1200180</v>
          </cell>
          <cell r="G83">
            <v>874774</v>
          </cell>
          <cell r="H83"/>
          <cell r="I83">
            <v>50395</v>
          </cell>
          <cell r="J83">
            <v>212396</v>
          </cell>
          <cell r="K83">
            <v>124930</v>
          </cell>
          <cell r="L83">
            <v>27734</v>
          </cell>
          <cell r="M83"/>
          <cell r="N83">
            <v>24762</v>
          </cell>
          <cell r="O83">
            <v>0</v>
          </cell>
          <cell r="P83">
            <v>0</v>
          </cell>
          <cell r="Q83">
            <v>28524</v>
          </cell>
          <cell r="R83"/>
          <cell r="S83">
            <v>294800</v>
          </cell>
          <cell r="T83">
            <v>7266</v>
          </cell>
          <cell r="U83">
            <v>302066</v>
          </cell>
        </row>
        <row r="84">
          <cell r="A84">
            <v>91004</v>
          </cell>
          <cell r="B84" t="str">
            <v>BRUNSWICK COUNTY ABC BOARD</v>
          </cell>
          <cell r="C84">
            <v>2.58E-5</v>
          </cell>
          <cell r="D84">
            <v>1.7499999999999998E-5</v>
          </cell>
          <cell r="E84">
            <v>13568</v>
          </cell>
          <cell r="F84">
            <v>37141</v>
          </cell>
          <cell r="G84">
            <v>39415</v>
          </cell>
          <cell r="H84"/>
          <cell r="I84">
            <v>2271</v>
          </cell>
          <cell r="J84">
            <v>9571</v>
          </cell>
          <cell r="K84">
            <v>5629</v>
          </cell>
          <cell r="L84">
            <v>12153</v>
          </cell>
          <cell r="M84"/>
          <cell r="N84">
            <v>1116</v>
          </cell>
          <cell r="O84">
            <v>0</v>
          </cell>
          <cell r="P84">
            <v>0</v>
          </cell>
          <cell r="Q84">
            <v>108</v>
          </cell>
          <cell r="R84"/>
          <cell r="S84">
            <v>13283</v>
          </cell>
          <cell r="T84">
            <v>4277</v>
          </cell>
          <cell r="U84">
            <v>17560</v>
          </cell>
        </row>
        <row r="85">
          <cell r="A85">
            <v>91006</v>
          </cell>
          <cell r="B85" t="str">
            <v>BRUNSWICK CO DEPT OF SOCIAL SERVICES</v>
          </cell>
          <cell r="C85">
            <v>1.0317E-3</v>
          </cell>
          <cell r="D85">
            <v>1.0096E-3</v>
          </cell>
          <cell r="E85">
            <v>446629</v>
          </cell>
          <cell r="F85">
            <v>2142709</v>
          </cell>
          <cell r="G85">
            <v>1576152</v>
          </cell>
          <cell r="H85"/>
          <cell r="I85">
            <v>90801</v>
          </cell>
          <cell r="J85">
            <v>382692</v>
          </cell>
          <cell r="K85">
            <v>225096</v>
          </cell>
          <cell r="L85">
            <v>18199</v>
          </cell>
          <cell r="M85"/>
          <cell r="N85">
            <v>44616</v>
          </cell>
          <cell r="O85">
            <v>0</v>
          </cell>
          <cell r="P85">
            <v>0</v>
          </cell>
          <cell r="Q85">
            <v>22958</v>
          </cell>
          <cell r="R85"/>
          <cell r="S85">
            <v>531165</v>
          </cell>
          <cell r="T85">
            <v>3230</v>
          </cell>
          <cell r="U85">
            <v>534395</v>
          </cell>
        </row>
        <row r="86">
          <cell r="A86">
            <v>91007</v>
          </cell>
          <cell r="B86" t="str">
            <v>CALABASH ABC BOARD</v>
          </cell>
          <cell r="C86">
            <v>9.5000000000000005E-6</v>
          </cell>
          <cell r="D86">
            <v>1.2500000000000001E-5</v>
          </cell>
          <cell r="E86">
            <v>9502</v>
          </cell>
          <cell r="F86">
            <v>26529</v>
          </cell>
          <cell r="G86">
            <v>14513</v>
          </cell>
          <cell r="H86"/>
          <cell r="I86">
            <v>836</v>
          </cell>
          <cell r="J86">
            <v>3524</v>
          </cell>
          <cell r="K86">
            <v>2073</v>
          </cell>
          <cell r="L86">
            <v>7476</v>
          </cell>
          <cell r="M86"/>
          <cell r="N86">
            <v>411</v>
          </cell>
          <cell r="O86">
            <v>0</v>
          </cell>
          <cell r="P86">
            <v>0</v>
          </cell>
          <cell r="Q86">
            <v>507</v>
          </cell>
          <cell r="R86"/>
          <cell r="S86">
            <v>4891</v>
          </cell>
          <cell r="T86">
            <v>2150</v>
          </cell>
          <cell r="U86">
            <v>7041</v>
          </cell>
        </row>
        <row r="87">
          <cell r="A87">
            <v>91008</v>
          </cell>
          <cell r="B87" t="str">
            <v>CAPE FEAR COUNCIL OF GOVERNMENTS</v>
          </cell>
          <cell r="C87">
            <v>1.236E-4</v>
          </cell>
          <cell r="D87">
            <v>1.273E-4</v>
          </cell>
          <cell r="E87">
            <v>68974</v>
          </cell>
          <cell r="F87">
            <v>270173</v>
          </cell>
          <cell r="G87">
            <v>188827</v>
          </cell>
          <cell r="H87"/>
          <cell r="I87">
            <v>10878</v>
          </cell>
          <cell r="J87">
            <v>45847</v>
          </cell>
          <cell r="K87">
            <v>26967</v>
          </cell>
          <cell r="L87">
            <v>37042</v>
          </cell>
          <cell r="M87"/>
          <cell r="N87">
            <v>5345</v>
          </cell>
          <cell r="O87">
            <v>0</v>
          </cell>
          <cell r="P87">
            <v>0</v>
          </cell>
          <cell r="Q87">
            <v>0</v>
          </cell>
          <cell r="R87"/>
          <cell r="S87">
            <v>63635</v>
          </cell>
          <cell r="T87">
            <v>17548</v>
          </cell>
          <cell r="U87">
            <v>81183</v>
          </cell>
        </row>
        <row r="88">
          <cell r="A88">
            <v>91009</v>
          </cell>
          <cell r="B88" t="str">
            <v>BRUNSWICK COUNTY TOURISM AUTHORITY</v>
          </cell>
          <cell r="C88">
            <v>1.7499999999999998E-5</v>
          </cell>
          <cell r="D88">
            <v>1.8700000000000001E-5</v>
          </cell>
          <cell r="E88">
            <v>11392</v>
          </cell>
          <cell r="F88">
            <v>39688</v>
          </cell>
          <cell r="G88">
            <v>26735</v>
          </cell>
          <cell r="H88"/>
          <cell r="I88">
            <v>1540</v>
          </cell>
          <cell r="J88">
            <v>6491</v>
          </cell>
          <cell r="K88">
            <v>3818</v>
          </cell>
          <cell r="L88">
            <v>4951</v>
          </cell>
          <cell r="M88"/>
          <cell r="N88">
            <v>757</v>
          </cell>
          <cell r="O88">
            <v>0</v>
          </cell>
          <cell r="P88">
            <v>0</v>
          </cell>
          <cell r="Q88">
            <v>2458</v>
          </cell>
          <cell r="R88"/>
          <cell r="S88">
            <v>9010</v>
          </cell>
          <cell r="T88">
            <v>187</v>
          </cell>
          <cell r="U88">
            <v>9197</v>
          </cell>
        </row>
        <row r="89">
          <cell r="A89">
            <v>91010</v>
          </cell>
          <cell r="B89" t="str">
            <v>TOWN OF CALABASH</v>
          </cell>
          <cell r="C89">
            <v>7.0099999999999996E-5</v>
          </cell>
          <cell r="D89">
            <v>6.8399999999999996E-5</v>
          </cell>
          <cell r="E89">
            <v>32517</v>
          </cell>
          <cell r="F89">
            <v>145168</v>
          </cell>
          <cell r="G89">
            <v>107093</v>
          </cell>
          <cell r="H89"/>
          <cell r="I89">
            <v>6170</v>
          </cell>
          <cell r="J89">
            <v>26003</v>
          </cell>
          <cell r="K89">
            <v>15294</v>
          </cell>
          <cell r="L89">
            <v>7603</v>
          </cell>
          <cell r="M89"/>
          <cell r="N89">
            <v>3031</v>
          </cell>
          <cell r="O89">
            <v>0</v>
          </cell>
          <cell r="P89">
            <v>0</v>
          </cell>
          <cell r="Q89">
            <v>296</v>
          </cell>
          <cell r="R89"/>
          <cell r="S89">
            <v>36091</v>
          </cell>
          <cell r="T89">
            <v>4736</v>
          </cell>
          <cell r="U89">
            <v>40827</v>
          </cell>
        </row>
        <row r="90">
          <cell r="A90">
            <v>91011</v>
          </cell>
          <cell r="B90" t="str">
            <v>CITY OF SOUTHPORT</v>
          </cell>
          <cell r="C90">
            <v>3.5760000000000002E-4</v>
          </cell>
          <cell r="D90">
            <v>3.1789999999999998E-4</v>
          </cell>
          <cell r="E90">
            <v>159847</v>
          </cell>
          <cell r="F90">
            <v>674690</v>
          </cell>
          <cell r="G90">
            <v>546314</v>
          </cell>
          <cell r="H90"/>
          <cell r="I90">
            <v>31473</v>
          </cell>
          <cell r="J90">
            <v>132645</v>
          </cell>
          <cell r="K90">
            <v>78021</v>
          </cell>
          <cell r="L90">
            <v>43643</v>
          </cell>
          <cell r="M90"/>
          <cell r="N90">
            <v>15464</v>
          </cell>
          <cell r="O90">
            <v>0</v>
          </cell>
          <cell r="P90">
            <v>0</v>
          </cell>
          <cell r="Q90">
            <v>0</v>
          </cell>
          <cell r="R90"/>
          <cell r="S90">
            <v>184108</v>
          </cell>
          <cell r="T90">
            <v>16126</v>
          </cell>
          <cell r="U90">
            <v>200234</v>
          </cell>
        </row>
        <row r="91">
          <cell r="A91">
            <v>91012</v>
          </cell>
          <cell r="B91" t="str">
            <v>CITY OF NORTHWEST</v>
          </cell>
          <cell r="C91">
            <v>1.9300000000000002E-5</v>
          </cell>
          <cell r="D91">
            <v>1.49E-5</v>
          </cell>
          <cell r="E91">
            <v>8623</v>
          </cell>
          <cell r="F91">
            <v>31623</v>
          </cell>
          <cell r="G91">
            <v>29485</v>
          </cell>
          <cell r="H91"/>
          <cell r="I91">
            <v>1699</v>
          </cell>
          <cell r="J91">
            <v>7159</v>
          </cell>
          <cell r="K91">
            <v>4211</v>
          </cell>
          <cell r="L91">
            <v>5400</v>
          </cell>
          <cell r="M91"/>
          <cell r="N91">
            <v>835</v>
          </cell>
          <cell r="O91">
            <v>0</v>
          </cell>
          <cell r="P91">
            <v>0</v>
          </cell>
          <cell r="Q91">
            <v>2458</v>
          </cell>
          <cell r="R91"/>
          <cell r="S91">
            <v>9936</v>
          </cell>
          <cell r="T91">
            <v>-662</v>
          </cell>
          <cell r="U91">
            <v>9274</v>
          </cell>
        </row>
        <row r="92">
          <cell r="A92">
            <v>91013</v>
          </cell>
          <cell r="B92" t="str">
            <v>SOUTHEAST BRUNSWICK SANITARY DISTRICT</v>
          </cell>
          <cell r="C92">
            <v>2.34E-5</v>
          </cell>
          <cell r="D92">
            <v>2.1800000000000001E-5</v>
          </cell>
          <cell r="E92">
            <v>29322</v>
          </cell>
          <cell r="F92">
            <v>46267</v>
          </cell>
          <cell r="G92">
            <v>35749</v>
          </cell>
          <cell r="H92"/>
          <cell r="I92">
            <v>2059</v>
          </cell>
          <cell r="J92">
            <v>8680</v>
          </cell>
          <cell r="K92">
            <v>5105</v>
          </cell>
          <cell r="L92">
            <v>31764</v>
          </cell>
          <cell r="M92"/>
          <cell r="N92">
            <v>1012</v>
          </cell>
          <cell r="O92">
            <v>0</v>
          </cell>
          <cell r="P92">
            <v>0</v>
          </cell>
          <cell r="Q92">
            <v>0</v>
          </cell>
          <cell r="R92"/>
          <cell r="S92">
            <v>12047</v>
          </cell>
          <cell r="T92">
            <v>9518</v>
          </cell>
          <cell r="U92">
            <v>21565</v>
          </cell>
        </row>
        <row r="93">
          <cell r="A93">
            <v>91014</v>
          </cell>
          <cell r="B93" t="str">
            <v>TOWN OF HOLDEN BEACH</v>
          </cell>
          <cell r="C93">
            <v>2.22E-4</v>
          </cell>
          <cell r="D93">
            <v>2.1499999999999999E-4</v>
          </cell>
          <cell r="E93">
            <v>97692</v>
          </cell>
          <cell r="F93">
            <v>456302</v>
          </cell>
          <cell r="G93">
            <v>339155</v>
          </cell>
          <cell r="H93"/>
          <cell r="I93">
            <v>19538</v>
          </cell>
          <cell r="J93">
            <v>82347</v>
          </cell>
          <cell r="K93">
            <v>48436</v>
          </cell>
          <cell r="L93">
            <v>1313</v>
          </cell>
          <cell r="M93"/>
          <cell r="N93">
            <v>9600</v>
          </cell>
          <cell r="O93">
            <v>0</v>
          </cell>
          <cell r="P93">
            <v>0</v>
          </cell>
          <cell r="Q93">
            <v>11287</v>
          </cell>
          <cell r="R93"/>
          <cell r="S93">
            <v>114295</v>
          </cell>
          <cell r="T93">
            <v>-6129</v>
          </cell>
          <cell r="U93">
            <v>108166</v>
          </cell>
        </row>
        <row r="94">
          <cell r="A94">
            <v>91017</v>
          </cell>
          <cell r="B94" t="str">
            <v>CITY OF SOUTHPORT ABC BOARD</v>
          </cell>
          <cell r="C94">
            <v>2.4300000000000001E-5</v>
          </cell>
          <cell r="D94">
            <v>2.3E-5</v>
          </cell>
          <cell r="E94">
            <v>12462</v>
          </cell>
          <cell r="F94">
            <v>48814</v>
          </cell>
          <cell r="G94">
            <v>37124</v>
          </cell>
          <cell r="H94"/>
          <cell r="I94">
            <v>2139</v>
          </cell>
          <cell r="J94">
            <v>9014</v>
          </cell>
          <cell r="K94">
            <v>5302</v>
          </cell>
          <cell r="L94">
            <v>10242</v>
          </cell>
          <cell r="M94"/>
          <cell r="N94">
            <v>1051</v>
          </cell>
          <cell r="O94">
            <v>0</v>
          </cell>
          <cell r="P94">
            <v>0</v>
          </cell>
          <cell r="Q94">
            <v>0</v>
          </cell>
          <cell r="R94"/>
          <cell r="S94">
            <v>12511</v>
          </cell>
          <cell r="T94">
            <v>4025</v>
          </cell>
          <cell r="U94">
            <v>16536</v>
          </cell>
        </row>
        <row r="95">
          <cell r="A95">
            <v>91020</v>
          </cell>
          <cell r="B95" t="str">
            <v>TOWN OF BELVILLE</v>
          </cell>
          <cell r="C95">
            <v>2.27E-5</v>
          </cell>
          <cell r="D95">
            <v>1.9899999999999999E-5</v>
          </cell>
          <cell r="E95">
            <v>10949</v>
          </cell>
          <cell r="F95">
            <v>42234</v>
          </cell>
          <cell r="G95">
            <v>34679</v>
          </cell>
          <cell r="H95"/>
          <cell r="I95">
            <v>1998</v>
          </cell>
          <cell r="J95">
            <v>8420</v>
          </cell>
          <cell r="K95">
            <v>4953</v>
          </cell>
          <cell r="L95">
            <v>4064</v>
          </cell>
          <cell r="M95"/>
          <cell r="N95">
            <v>982</v>
          </cell>
          <cell r="O95">
            <v>0</v>
          </cell>
          <cell r="P95">
            <v>0</v>
          </cell>
          <cell r="Q95">
            <v>376</v>
          </cell>
          <cell r="R95"/>
          <cell r="S95">
            <v>11687</v>
          </cell>
          <cell r="T95">
            <v>1259</v>
          </cell>
          <cell r="U95">
            <v>12946</v>
          </cell>
        </row>
        <row r="96">
          <cell r="A96">
            <v>91021</v>
          </cell>
          <cell r="B96" t="str">
            <v>TOWN OF OAK ISLAND</v>
          </cell>
          <cell r="C96">
            <v>8.6450000000000003E-4</v>
          </cell>
          <cell r="D96">
            <v>8.6989999999999995E-4</v>
          </cell>
          <cell r="E96">
            <v>387782</v>
          </cell>
          <cell r="F96">
            <v>1846219</v>
          </cell>
          <cell r="G96">
            <v>1320717</v>
          </cell>
          <cell r="H96"/>
          <cell r="I96">
            <v>76086</v>
          </cell>
          <cell r="J96">
            <v>320672</v>
          </cell>
          <cell r="K96">
            <v>188617</v>
          </cell>
          <cell r="L96">
            <v>0</v>
          </cell>
          <cell r="M96"/>
          <cell r="N96">
            <v>37385</v>
          </cell>
          <cell r="O96">
            <v>0</v>
          </cell>
          <cell r="P96">
            <v>0</v>
          </cell>
          <cell r="Q96">
            <v>82677</v>
          </cell>
          <cell r="R96"/>
          <cell r="S96">
            <v>445083</v>
          </cell>
          <cell r="T96">
            <v>-48679</v>
          </cell>
          <cell r="U96">
            <v>396404</v>
          </cell>
        </row>
        <row r="97">
          <cell r="A97">
            <v>91024</v>
          </cell>
          <cell r="B97" t="str">
            <v>TOWN OF CAROLINA SHORES</v>
          </cell>
          <cell r="C97">
            <v>7.2999999999999999E-5</v>
          </cell>
          <cell r="D97">
            <v>6.6299999999999999E-5</v>
          </cell>
          <cell r="E97">
            <v>34458</v>
          </cell>
          <cell r="F97">
            <v>140711</v>
          </cell>
          <cell r="G97">
            <v>111524</v>
          </cell>
          <cell r="H97"/>
          <cell r="I97">
            <v>6425</v>
          </cell>
          <cell r="J97">
            <v>27078</v>
          </cell>
          <cell r="K97">
            <v>15927</v>
          </cell>
          <cell r="L97">
            <v>24081</v>
          </cell>
          <cell r="M97"/>
          <cell r="N97">
            <v>3157</v>
          </cell>
          <cell r="O97">
            <v>0</v>
          </cell>
          <cell r="P97">
            <v>0</v>
          </cell>
          <cell r="Q97">
            <v>0</v>
          </cell>
          <cell r="R97"/>
          <cell r="S97">
            <v>37584</v>
          </cell>
          <cell r="T97">
            <v>10843</v>
          </cell>
          <cell r="U97">
            <v>48427</v>
          </cell>
        </row>
        <row r="98">
          <cell r="A98">
            <v>91026</v>
          </cell>
          <cell r="B98" t="str">
            <v>TOWN OF NAVASSA</v>
          </cell>
          <cell r="C98">
            <v>4.18E-5</v>
          </cell>
          <cell r="D98">
            <v>6.0900000000000003E-5</v>
          </cell>
          <cell r="E98">
            <v>40781</v>
          </cell>
          <cell r="F98">
            <v>129250</v>
          </cell>
          <cell r="G98">
            <v>63859</v>
          </cell>
          <cell r="H98"/>
          <cell r="I98">
            <v>3679</v>
          </cell>
          <cell r="J98">
            <v>15505</v>
          </cell>
          <cell r="K98">
            <v>9120</v>
          </cell>
          <cell r="L98">
            <v>34468</v>
          </cell>
          <cell r="M98"/>
          <cell r="N98">
            <v>1808</v>
          </cell>
          <cell r="O98">
            <v>0</v>
          </cell>
          <cell r="P98">
            <v>0</v>
          </cell>
          <cell r="Q98">
            <v>3103</v>
          </cell>
          <cell r="R98"/>
          <cell r="S98">
            <v>21520</v>
          </cell>
          <cell r="T98">
            <v>11546</v>
          </cell>
          <cell r="U98">
            <v>33066</v>
          </cell>
        </row>
        <row r="99">
          <cell r="A99">
            <v>91027</v>
          </cell>
          <cell r="B99" t="str">
            <v>OAK ISLAND ABC BD</v>
          </cell>
          <cell r="C99">
            <v>1.4E-5</v>
          </cell>
          <cell r="D99">
            <v>1.6099999999999998E-5</v>
          </cell>
          <cell r="E99">
            <v>15968</v>
          </cell>
          <cell r="F99">
            <v>34170</v>
          </cell>
          <cell r="G99">
            <v>21388</v>
          </cell>
          <cell r="H99"/>
          <cell r="I99">
            <v>1232</v>
          </cell>
          <cell r="J99">
            <v>5193</v>
          </cell>
          <cell r="K99">
            <v>3055</v>
          </cell>
          <cell r="L99">
            <v>16343</v>
          </cell>
          <cell r="M99"/>
          <cell r="N99">
            <v>605</v>
          </cell>
          <cell r="O99">
            <v>0</v>
          </cell>
          <cell r="P99">
            <v>0</v>
          </cell>
          <cell r="Q99">
            <v>0</v>
          </cell>
          <cell r="R99"/>
          <cell r="S99">
            <v>7208</v>
          </cell>
          <cell r="T99">
            <v>6601</v>
          </cell>
          <cell r="U99">
            <v>13809</v>
          </cell>
        </row>
        <row r="100">
          <cell r="A100">
            <v>91032</v>
          </cell>
          <cell r="B100" t="str">
            <v>TOWN OF ST JAMES</v>
          </cell>
          <cell r="C100">
            <v>1.8E-5</v>
          </cell>
          <cell r="D100">
            <v>1.8600000000000001E-5</v>
          </cell>
          <cell r="E100">
            <v>16168</v>
          </cell>
          <cell r="F100">
            <v>39475</v>
          </cell>
          <cell r="G100">
            <v>27499</v>
          </cell>
          <cell r="H100"/>
          <cell r="I100">
            <v>1584</v>
          </cell>
          <cell r="J100">
            <v>6677</v>
          </cell>
          <cell r="K100">
            <v>3927</v>
          </cell>
          <cell r="L100">
            <v>14996</v>
          </cell>
          <cell r="M100"/>
          <cell r="N100">
            <v>778</v>
          </cell>
          <cell r="O100">
            <v>0</v>
          </cell>
          <cell r="P100">
            <v>0</v>
          </cell>
          <cell r="Q100">
            <v>0</v>
          </cell>
          <cell r="R100"/>
          <cell r="S100">
            <v>9267</v>
          </cell>
          <cell r="T100">
            <v>6458</v>
          </cell>
          <cell r="U100">
            <v>15725</v>
          </cell>
        </row>
        <row r="101">
          <cell r="A101">
            <v>91041</v>
          </cell>
          <cell r="B101" t="str">
            <v>TOWN OF SUNSET BEACH</v>
          </cell>
          <cell r="C101">
            <v>4.0400000000000001E-4</v>
          </cell>
          <cell r="D101">
            <v>4.3609999999999998E-4</v>
          </cell>
          <cell r="E101">
            <v>157511</v>
          </cell>
          <cell r="F101">
            <v>925550</v>
          </cell>
          <cell r="G101">
            <v>617200</v>
          </cell>
          <cell r="H101"/>
          <cell r="I101">
            <v>35556</v>
          </cell>
          <cell r="J101">
            <v>149857</v>
          </cell>
          <cell r="K101">
            <v>88145</v>
          </cell>
          <cell r="L101">
            <v>0</v>
          </cell>
          <cell r="M101"/>
          <cell r="N101">
            <v>17471</v>
          </cell>
          <cell r="O101">
            <v>0</v>
          </cell>
          <cell r="P101">
            <v>0</v>
          </cell>
          <cell r="Q101">
            <v>109443</v>
          </cell>
          <cell r="R101"/>
          <cell r="S101">
            <v>207997</v>
          </cell>
          <cell r="T101">
            <v>-39088</v>
          </cell>
          <cell r="U101">
            <v>168909</v>
          </cell>
        </row>
        <row r="102">
          <cell r="A102">
            <v>91042</v>
          </cell>
          <cell r="B102" t="str">
            <v>BRUNSWICK REGIONAL WATER AND SEWER H2GO</v>
          </cell>
          <cell r="C102">
            <v>2.3360000000000001E-4</v>
          </cell>
          <cell r="D102">
            <v>2.062E-4</v>
          </cell>
          <cell r="E102">
            <v>99551</v>
          </cell>
          <cell r="F102">
            <v>437625</v>
          </cell>
          <cell r="G102">
            <v>356876</v>
          </cell>
          <cell r="H102"/>
          <cell r="I102">
            <v>20559</v>
          </cell>
          <cell r="J102">
            <v>86650</v>
          </cell>
          <cell r="K102">
            <v>50967</v>
          </cell>
          <cell r="L102">
            <v>12354</v>
          </cell>
          <cell r="M102"/>
          <cell r="N102">
            <v>10102</v>
          </cell>
          <cell r="O102">
            <v>0</v>
          </cell>
          <cell r="P102">
            <v>0</v>
          </cell>
          <cell r="Q102">
            <v>6985</v>
          </cell>
          <cell r="R102"/>
          <cell r="S102">
            <v>120268</v>
          </cell>
          <cell r="T102">
            <v>717</v>
          </cell>
          <cell r="U102">
            <v>120985</v>
          </cell>
        </row>
        <row r="103">
          <cell r="A103">
            <v>91047</v>
          </cell>
          <cell r="B103" t="str">
            <v>TOWN OF SUNSET BEACH ABC BOARD</v>
          </cell>
          <cell r="C103">
            <v>1.31E-5</v>
          </cell>
          <cell r="D103">
            <v>1.3200000000000001E-5</v>
          </cell>
          <cell r="E103">
            <v>16396</v>
          </cell>
          <cell r="F103">
            <v>28015</v>
          </cell>
          <cell r="G103">
            <v>20013</v>
          </cell>
          <cell r="H103"/>
          <cell r="I103">
            <v>1153</v>
          </cell>
          <cell r="J103">
            <v>4859</v>
          </cell>
          <cell r="K103">
            <v>2858</v>
          </cell>
          <cell r="L103">
            <v>20507</v>
          </cell>
          <cell r="M103"/>
          <cell r="N103">
            <v>567</v>
          </cell>
          <cell r="O103">
            <v>0</v>
          </cell>
          <cell r="P103">
            <v>0</v>
          </cell>
          <cell r="Q103">
            <v>0</v>
          </cell>
          <cell r="R103"/>
          <cell r="S103">
            <v>6744</v>
          </cell>
          <cell r="T103">
            <v>7559</v>
          </cell>
          <cell r="U103">
            <v>14303</v>
          </cell>
        </row>
        <row r="104">
          <cell r="A104">
            <v>91051</v>
          </cell>
          <cell r="B104" t="str">
            <v>TOWN OF CASWELL BEACH</v>
          </cell>
          <cell r="C104">
            <v>6.6400000000000001E-5</v>
          </cell>
          <cell r="D104">
            <v>7.6600000000000005E-5</v>
          </cell>
          <cell r="E104">
            <v>30964</v>
          </cell>
          <cell r="F104">
            <v>162571</v>
          </cell>
          <cell r="G104">
            <v>101441</v>
          </cell>
          <cell r="H104"/>
          <cell r="I104">
            <v>5844</v>
          </cell>
          <cell r="J104">
            <v>24630</v>
          </cell>
          <cell r="K104">
            <v>14487</v>
          </cell>
          <cell r="L104">
            <v>1619</v>
          </cell>
          <cell r="M104"/>
          <cell r="N104">
            <v>2871</v>
          </cell>
          <cell r="O104">
            <v>0</v>
          </cell>
          <cell r="P104">
            <v>0</v>
          </cell>
          <cell r="Q104">
            <v>8430</v>
          </cell>
          <cell r="R104"/>
          <cell r="S104">
            <v>34186</v>
          </cell>
          <cell r="T104">
            <v>-1576</v>
          </cell>
          <cell r="U104">
            <v>32610</v>
          </cell>
        </row>
        <row r="105">
          <cell r="A105">
            <v>91057</v>
          </cell>
          <cell r="B105" t="str">
            <v>SHALLOTTE ABC BOARD</v>
          </cell>
          <cell r="C105">
            <v>1.4399999999999999E-5</v>
          </cell>
          <cell r="D105">
            <v>1.5E-5</v>
          </cell>
          <cell r="E105">
            <v>9616</v>
          </cell>
          <cell r="F105">
            <v>31835</v>
          </cell>
          <cell r="G105">
            <v>21999</v>
          </cell>
          <cell r="H105"/>
          <cell r="I105">
            <v>1267</v>
          </cell>
          <cell r="J105">
            <v>5342</v>
          </cell>
          <cell r="K105">
            <v>3142</v>
          </cell>
          <cell r="L105">
            <v>5805</v>
          </cell>
          <cell r="M105"/>
          <cell r="N105">
            <v>623</v>
          </cell>
          <cell r="O105">
            <v>0</v>
          </cell>
          <cell r="P105">
            <v>0</v>
          </cell>
          <cell r="Q105">
            <v>0</v>
          </cell>
          <cell r="R105"/>
          <cell r="S105">
            <v>7414</v>
          </cell>
          <cell r="T105">
            <v>2191</v>
          </cell>
          <cell r="U105">
            <v>9605</v>
          </cell>
        </row>
        <row r="106">
          <cell r="A106">
            <v>91061</v>
          </cell>
          <cell r="B106" t="str">
            <v>TOWN OF OCEAN ISLE BEACH</v>
          </cell>
          <cell r="C106">
            <v>4.104E-4</v>
          </cell>
          <cell r="D106">
            <v>3.7730000000000001E-4</v>
          </cell>
          <cell r="E106">
            <v>172504</v>
          </cell>
          <cell r="F106">
            <v>800757</v>
          </cell>
          <cell r="G106">
            <v>626978</v>
          </cell>
          <cell r="H106"/>
          <cell r="I106">
            <v>36120</v>
          </cell>
          <cell r="J106">
            <v>152231</v>
          </cell>
          <cell r="K106">
            <v>89541</v>
          </cell>
          <cell r="L106">
            <v>19267</v>
          </cell>
          <cell r="M106"/>
          <cell r="N106">
            <v>17748</v>
          </cell>
          <cell r="O106">
            <v>0</v>
          </cell>
          <cell r="P106">
            <v>0</v>
          </cell>
          <cell r="Q106">
            <v>27800</v>
          </cell>
          <cell r="R106"/>
          <cell r="S106">
            <v>211292</v>
          </cell>
          <cell r="T106">
            <v>-13384</v>
          </cell>
          <cell r="U106">
            <v>197908</v>
          </cell>
        </row>
        <row r="107">
          <cell r="A107">
            <v>91067</v>
          </cell>
          <cell r="B107" t="str">
            <v>OCEAN ISLE BEACH ABC BOARD</v>
          </cell>
          <cell r="C107">
            <v>1.5699999999999999E-5</v>
          </cell>
          <cell r="D107">
            <v>1.8499999999999999E-5</v>
          </cell>
          <cell r="E107">
            <v>9046</v>
          </cell>
          <cell r="F107">
            <v>39263</v>
          </cell>
          <cell r="G107">
            <v>23985</v>
          </cell>
          <cell r="H107"/>
          <cell r="I107">
            <v>1382</v>
          </cell>
          <cell r="J107">
            <v>5824</v>
          </cell>
          <cell r="K107">
            <v>3425</v>
          </cell>
          <cell r="L107">
            <v>2413</v>
          </cell>
          <cell r="M107"/>
          <cell r="N107">
            <v>679</v>
          </cell>
          <cell r="O107">
            <v>0</v>
          </cell>
          <cell r="P107">
            <v>0</v>
          </cell>
          <cell r="Q107">
            <v>406</v>
          </cell>
          <cell r="R107"/>
          <cell r="S107">
            <v>8083</v>
          </cell>
          <cell r="T107">
            <v>1156</v>
          </cell>
          <cell r="U107">
            <v>9239</v>
          </cell>
        </row>
        <row r="108">
          <cell r="A108">
            <v>91071</v>
          </cell>
          <cell r="B108" t="str">
            <v>CITY OF BOILING SPRG LAKES</v>
          </cell>
          <cell r="C108">
            <v>2.2770000000000001E-4</v>
          </cell>
          <cell r="D108">
            <v>2.4379999999999999E-4</v>
          </cell>
          <cell r="E108">
            <v>93245</v>
          </cell>
          <cell r="F108">
            <v>517425</v>
          </cell>
          <cell r="G108">
            <v>347863</v>
          </cell>
          <cell r="H108"/>
          <cell r="I108">
            <v>20040</v>
          </cell>
          <cell r="J108">
            <v>84462</v>
          </cell>
          <cell r="K108">
            <v>49680</v>
          </cell>
          <cell r="L108">
            <v>8372</v>
          </cell>
          <cell r="M108"/>
          <cell r="N108">
            <v>9847</v>
          </cell>
          <cell r="O108">
            <v>0</v>
          </cell>
          <cell r="P108">
            <v>0</v>
          </cell>
          <cell r="Q108">
            <v>22478</v>
          </cell>
          <cell r="R108"/>
          <cell r="S108">
            <v>117230</v>
          </cell>
          <cell r="T108">
            <v>2353</v>
          </cell>
          <cell r="U108">
            <v>119583</v>
          </cell>
        </row>
        <row r="109">
          <cell r="A109">
            <v>91077</v>
          </cell>
          <cell r="B109" t="str">
            <v>BOILING SPRING LAKES ABC BOARD</v>
          </cell>
          <cell r="C109">
            <v>3.5999999999999998E-6</v>
          </cell>
          <cell r="D109">
            <v>3.9999999999999998E-6</v>
          </cell>
          <cell r="E109">
            <v>3277</v>
          </cell>
          <cell r="F109">
            <v>8489</v>
          </cell>
          <cell r="G109">
            <v>5500</v>
          </cell>
          <cell r="H109"/>
          <cell r="I109">
            <v>317</v>
          </cell>
          <cell r="J109">
            <v>1336</v>
          </cell>
          <cell r="K109">
            <v>785</v>
          </cell>
          <cell r="L109">
            <v>1826</v>
          </cell>
          <cell r="M109"/>
          <cell r="N109">
            <v>156</v>
          </cell>
          <cell r="O109">
            <v>0</v>
          </cell>
          <cell r="P109">
            <v>0</v>
          </cell>
          <cell r="Q109">
            <v>51</v>
          </cell>
          <cell r="R109"/>
          <cell r="S109">
            <v>1853</v>
          </cell>
          <cell r="T109">
            <v>551</v>
          </cell>
          <cell r="U109">
            <v>2404</v>
          </cell>
        </row>
        <row r="110">
          <cell r="A110">
            <v>91081</v>
          </cell>
          <cell r="B110" t="str">
            <v>TOWN OF SHALLOTTE</v>
          </cell>
          <cell r="C110">
            <v>3.6240000000000003E-4</v>
          </cell>
          <cell r="D110">
            <v>3.6499999999999998E-4</v>
          </cell>
          <cell r="E110">
            <v>169112</v>
          </cell>
          <cell r="F110">
            <v>774652</v>
          </cell>
          <cell r="G110">
            <v>553647</v>
          </cell>
          <cell r="H110"/>
          <cell r="I110">
            <v>31895</v>
          </cell>
          <cell r="J110">
            <v>134426</v>
          </cell>
          <cell r="K110">
            <v>79068</v>
          </cell>
          <cell r="L110">
            <v>1618</v>
          </cell>
          <cell r="M110"/>
          <cell r="N110">
            <v>15672</v>
          </cell>
          <cell r="O110">
            <v>0</v>
          </cell>
          <cell r="P110">
            <v>0</v>
          </cell>
          <cell r="Q110">
            <v>13549</v>
          </cell>
          <cell r="R110"/>
          <cell r="S110">
            <v>186579</v>
          </cell>
          <cell r="T110">
            <v>-13101</v>
          </cell>
          <cell r="U110">
            <v>173478</v>
          </cell>
        </row>
        <row r="111">
          <cell r="A111">
            <v>91091</v>
          </cell>
          <cell r="B111" t="str">
            <v>VILLAGE OF BALD HEAD ISLAND</v>
          </cell>
          <cell r="C111">
            <v>5.3790000000000001E-4</v>
          </cell>
          <cell r="D111">
            <v>5.6380000000000004E-4</v>
          </cell>
          <cell r="E111">
            <v>225749</v>
          </cell>
          <cell r="F111">
            <v>1196572</v>
          </cell>
          <cell r="G111">
            <v>821762</v>
          </cell>
          <cell r="H111"/>
          <cell r="I111">
            <v>47341</v>
          </cell>
          <cell r="J111">
            <v>199525</v>
          </cell>
          <cell r="K111">
            <v>117359</v>
          </cell>
          <cell r="L111">
            <v>0</v>
          </cell>
          <cell r="M111"/>
          <cell r="N111">
            <v>23261</v>
          </cell>
          <cell r="O111">
            <v>0</v>
          </cell>
          <cell r="P111">
            <v>0</v>
          </cell>
          <cell r="Q111">
            <v>66212</v>
          </cell>
          <cell r="R111"/>
          <cell r="S111">
            <v>276935</v>
          </cell>
          <cell r="T111">
            <v>-30835</v>
          </cell>
          <cell r="U111">
            <v>246100</v>
          </cell>
        </row>
        <row r="112">
          <cell r="A112">
            <v>91101</v>
          </cell>
          <cell r="B112" t="str">
            <v>BUNCOMBE COUNTY</v>
          </cell>
          <cell r="C112">
            <v>1.35581E-2</v>
          </cell>
          <cell r="D112">
            <v>1.36685E-2</v>
          </cell>
          <cell r="E112">
            <v>5894551</v>
          </cell>
          <cell r="F112">
            <v>29009136</v>
          </cell>
          <cell r="G112">
            <v>20713021</v>
          </cell>
          <cell r="H112"/>
          <cell r="I112">
            <v>1193262</v>
          </cell>
          <cell r="J112">
            <v>5029146</v>
          </cell>
          <cell r="K112">
            <v>2958106</v>
          </cell>
          <cell r="L112">
            <v>471609</v>
          </cell>
          <cell r="M112"/>
          <cell r="N112">
            <v>586320</v>
          </cell>
          <cell r="O112">
            <v>0</v>
          </cell>
          <cell r="P112">
            <v>0</v>
          </cell>
          <cell r="Q112">
            <v>587664</v>
          </cell>
          <cell r="R112"/>
          <cell r="S112">
            <v>6980306</v>
          </cell>
          <cell r="T112">
            <v>147859</v>
          </cell>
          <cell r="U112">
            <v>7128165</v>
          </cell>
        </row>
        <row r="113">
          <cell r="A113">
            <v>91102</v>
          </cell>
          <cell r="B113" t="str">
            <v>LAND-OF-SKY REGIONAL COUNCIL</v>
          </cell>
          <cell r="C113">
            <v>3.2919999999999998E-4</v>
          </cell>
          <cell r="D113">
            <v>3.034E-4</v>
          </cell>
          <cell r="E113">
            <v>156560</v>
          </cell>
          <cell r="F113">
            <v>643916</v>
          </cell>
          <cell r="G113">
            <v>502926</v>
          </cell>
          <cell r="H113"/>
          <cell r="I113">
            <v>28973</v>
          </cell>
          <cell r="J113">
            <v>122111</v>
          </cell>
          <cell r="K113">
            <v>71825</v>
          </cell>
          <cell r="L113">
            <v>35240</v>
          </cell>
          <cell r="M113"/>
          <cell r="N113">
            <v>14236</v>
          </cell>
          <cell r="O113">
            <v>0</v>
          </cell>
          <cell r="P113">
            <v>0</v>
          </cell>
          <cell r="Q113">
            <v>33978</v>
          </cell>
          <cell r="R113"/>
          <cell r="S113">
            <v>169487</v>
          </cell>
          <cell r="T113">
            <v>-8323</v>
          </cell>
          <cell r="U113">
            <v>161164</v>
          </cell>
        </row>
        <row r="114">
          <cell r="A114">
            <v>91104</v>
          </cell>
          <cell r="B114" t="str">
            <v>WOODFIN ABC COMMISSION</v>
          </cell>
          <cell r="C114">
            <v>7.9000000000000006E-6</v>
          </cell>
          <cell r="D114">
            <v>8.1999999999999994E-6</v>
          </cell>
          <cell r="E114">
            <v>5628</v>
          </cell>
          <cell r="F114">
            <v>17403</v>
          </cell>
          <cell r="G114">
            <v>12069</v>
          </cell>
          <cell r="H114"/>
          <cell r="I114">
            <v>695</v>
          </cell>
          <cell r="J114">
            <v>2930</v>
          </cell>
          <cell r="K114">
            <v>1724</v>
          </cell>
          <cell r="L114">
            <v>2115</v>
          </cell>
          <cell r="M114"/>
          <cell r="N114">
            <v>342</v>
          </cell>
          <cell r="O114">
            <v>0</v>
          </cell>
          <cell r="P114">
            <v>0</v>
          </cell>
          <cell r="Q114">
            <v>39</v>
          </cell>
          <cell r="R114"/>
          <cell r="S114">
            <v>4067</v>
          </cell>
          <cell r="T114">
            <v>589</v>
          </cell>
          <cell r="U114">
            <v>4656</v>
          </cell>
        </row>
        <row r="115">
          <cell r="A115">
            <v>91107</v>
          </cell>
          <cell r="B115" t="str">
            <v>WESTERN NC REGIONAL AIR QUALITY</v>
          </cell>
          <cell r="C115">
            <v>7.08E-5</v>
          </cell>
          <cell r="D115">
            <v>6.7899999999999997E-5</v>
          </cell>
          <cell r="E115">
            <v>36616</v>
          </cell>
          <cell r="F115">
            <v>0</v>
          </cell>
          <cell r="G115">
            <v>108163</v>
          </cell>
          <cell r="H115"/>
          <cell r="I115">
            <v>6231</v>
          </cell>
          <cell r="J115">
            <v>26263</v>
          </cell>
          <cell r="K115">
            <v>15447</v>
          </cell>
          <cell r="L115">
            <v>13143</v>
          </cell>
          <cell r="M115"/>
          <cell r="N115">
            <v>3062</v>
          </cell>
          <cell r="O115">
            <v>0</v>
          </cell>
          <cell r="P115">
            <v>0</v>
          </cell>
          <cell r="Q115">
            <v>0</v>
          </cell>
          <cell r="R115"/>
          <cell r="S115">
            <v>36451</v>
          </cell>
          <cell r="T115">
            <v>5162</v>
          </cell>
          <cell r="U115">
            <v>41613</v>
          </cell>
        </row>
        <row r="116">
          <cell r="A116">
            <v>91108</v>
          </cell>
          <cell r="B116" t="str">
            <v>METRO SEWERAGE DIST OF BUNCOMBE COUNTY</v>
          </cell>
          <cell r="C116">
            <v>1.2413999999999999E-3</v>
          </cell>
          <cell r="D116">
            <v>1.2622E-3</v>
          </cell>
          <cell r="E116">
            <v>613476</v>
          </cell>
          <cell r="F116">
            <v>2678811</v>
          </cell>
          <cell r="G116">
            <v>1896515</v>
          </cell>
          <cell r="H116"/>
          <cell r="I116">
            <v>109257</v>
          </cell>
          <cell r="J116">
            <v>460476</v>
          </cell>
          <cell r="K116">
            <v>270849</v>
          </cell>
          <cell r="L116">
            <v>74887</v>
          </cell>
          <cell r="M116"/>
          <cell r="N116">
            <v>53684</v>
          </cell>
          <cell r="O116">
            <v>0</v>
          </cell>
          <cell r="P116">
            <v>0</v>
          </cell>
          <cell r="Q116">
            <v>0</v>
          </cell>
          <cell r="R116"/>
          <cell r="S116">
            <v>639127</v>
          </cell>
          <cell r="T116">
            <v>34876</v>
          </cell>
          <cell r="U116">
            <v>674003</v>
          </cell>
        </row>
        <row r="117">
          <cell r="A117">
            <v>91109</v>
          </cell>
          <cell r="B117" t="str">
            <v>WOODFIN SANITARY WATER AND SEWER DIST</v>
          </cell>
          <cell r="C117">
            <v>9.9599999999999995E-5</v>
          </cell>
          <cell r="D117">
            <v>9.2100000000000003E-5</v>
          </cell>
          <cell r="E117">
            <v>45066</v>
          </cell>
          <cell r="F117">
            <v>195467</v>
          </cell>
          <cell r="G117">
            <v>152161</v>
          </cell>
          <cell r="H117"/>
          <cell r="I117">
            <v>8766</v>
          </cell>
          <cell r="J117">
            <v>36945</v>
          </cell>
          <cell r="K117">
            <v>21731</v>
          </cell>
          <cell r="L117">
            <v>5921</v>
          </cell>
          <cell r="M117"/>
          <cell r="N117">
            <v>4307</v>
          </cell>
          <cell r="O117">
            <v>0</v>
          </cell>
          <cell r="P117">
            <v>0</v>
          </cell>
          <cell r="Q117">
            <v>920</v>
          </cell>
          <cell r="R117"/>
          <cell r="S117">
            <v>51278</v>
          </cell>
          <cell r="T117">
            <v>1215</v>
          </cell>
          <cell r="U117">
            <v>52493</v>
          </cell>
        </row>
        <row r="118">
          <cell r="A118">
            <v>91111</v>
          </cell>
          <cell r="B118" t="str">
            <v>TOWN OF BILTMORE FOREST</v>
          </cell>
          <cell r="C118">
            <v>2.2719999999999999E-4</v>
          </cell>
          <cell r="D118">
            <v>2.2359999999999999E-4</v>
          </cell>
          <cell r="E118">
            <v>110903</v>
          </cell>
          <cell r="F118">
            <v>474554</v>
          </cell>
          <cell r="G118">
            <v>347099</v>
          </cell>
          <cell r="H118"/>
          <cell r="I118">
            <v>19996</v>
          </cell>
          <cell r="J118">
            <v>84276</v>
          </cell>
          <cell r="K118">
            <v>49570</v>
          </cell>
          <cell r="L118">
            <v>25492</v>
          </cell>
          <cell r="M118"/>
          <cell r="N118">
            <v>9825</v>
          </cell>
          <cell r="O118">
            <v>0</v>
          </cell>
          <cell r="P118">
            <v>0</v>
          </cell>
          <cell r="Q118">
            <v>0</v>
          </cell>
          <cell r="R118"/>
          <cell r="S118">
            <v>116973</v>
          </cell>
          <cell r="T118">
            <v>10793</v>
          </cell>
          <cell r="U118">
            <v>127766</v>
          </cell>
        </row>
        <row r="119">
          <cell r="A119">
            <v>91119</v>
          </cell>
          <cell r="B119" t="str">
            <v>WESTERN HIGHLAND AREA AUTHORITY</v>
          </cell>
          <cell r="C119">
            <v>0</v>
          </cell>
          <cell r="D119">
            <v>0</v>
          </cell>
          <cell r="E119">
            <v>0</v>
          </cell>
          <cell r="F119">
            <v>0</v>
          </cell>
          <cell r="G119">
            <v>0</v>
          </cell>
          <cell r="H119"/>
          <cell r="I119">
            <v>0</v>
          </cell>
          <cell r="J119">
            <v>0</v>
          </cell>
          <cell r="K119">
            <v>0</v>
          </cell>
          <cell r="L119">
            <v>0</v>
          </cell>
          <cell r="M119"/>
          <cell r="N119">
            <v>0</v>
          </cell>
          <cell r="O119">
            <v>0</v>
          </cell>
          <cell r="P119">
            <v>0</v>
          </cell>
          <cell r="Q119">
            <v>321091</v>
          </cell>
          <cell r="R119"/>
          <cell r="S119">
            <v>0</v>
          </cell>
          <cell r="T119">
            <v>-324334</v>
          </cell>
          <cell r="U119">
            <v>-324334</v>
          </cell>
        </row>
        <row r="120">
          <cell r="A120">
            <v>91120</v>
          </cell>
          <cell r="B120" t="str">
            <v>WEST BUNCOMBE FIRE DEPT</v>
          </cell>
          <cell r="C120">
            <v>1.3019999999999999E-4</v>
          </cell>
          <cell r="D120">
            <v>1.184E-4</v>
          </cell>
          <cell r="E120">
            <v>45449</v>
          </cell>
          <cell r="F120">
            <v>251284</v>
          </cell>
          <cell r="G120">
            <v>198910</v>
          </cell>
          <cell r="H120"/>
          <cell r="I120">
            <v>11459</v>
          </cell>
          <cell r="J120">
            <v>48295</v>
          </cell>
          <cell r="K120">
            <v>28407</v>
          </cell>
          <cell r="L120">
            <v>0</v>
          </cell>
          <cell r="M120"/>
          <cell r="N120">
            <v>5630</v>
          </cell>
          <cell r="O120">
            <v>0</v>
          </cell>
          <cell r="P120">
            <v>0</v>
          </cell>
          <cell r="Q120">
            <v>21939</v>
          </cell>
          <cell r="R120"/>
          <cell r="S120">
            <v>67033</v>
          </cell>
          <cell r="T120">
            <v>-12131</v>
          </cell>
          <cell r="U120">
            <v>54902</v>
          </cell>
        </row>
        <row r="121">
          <cell r="A121">
            <v>91121</v>
          </cell>
          <cell r="B121" t="str">
            <v>CITY OF ASHEVILLE</v>
          </cell>
          <cell r="C121">
            <v>9.9927999999999996E-3</v>
          </cell>
          <cell r="D121">
            <v>9.7842999999999992E-3</v>
          </cell>
          <cell r="E121">
            <v>4272051</v>
          </cell>
          <cell r="F121">
            <v>20765562</v>
          </cell>
          <cell r="G121">
            <v>15266230</v>
          </cell>
          <cell r="H121"/>
          <cell r="I121">
            <v>879476</v>
          </cell>
          <cell r="J121">
            <v>3706660</v>
          </cell>
          <cell r="K121">
            <v>2180229</v>
          </cell>
          <cell r="L121">
            <v>0</v>
          </cell>
          <cell r="M121"/>
          <cell r="N121">
            <v>432139</v>
          </cell>
          <cell r="O121">
            <v>0</v>
          </cell>
          <cell r="P121">
            <v>0</v>
          </cell>
          <cell r="Q121">
            <v>650994</v>
          </cell>
          <cell r="R121"/>
          <cell r="S121">
            <v>5144733</v>
          </cell>
          <cell r="T121">
            <v>-324255</v>
          </cell>
          <cell r="U121">
            <v>4820478</v>
          </cell>
        </row>
        <row r="122">
          <cell r="A122">
            <v>91127</v>
          </cell>
          <cell r="B122" t="str">
            <v>ASHEVILLE ABC BOARD</v>
          </cell>
          <cell r="C122">
            <v>2.6879999999999997E-4</v>
          </cell>
          <cell r="D122">
            <v>2.8229999999999998E-4</v>
          </cell>
          <cell r="E122">
            <v>146935</v>
          </cell>
          <cell r="F122">
            <v>599135</v>
          </cell>
          <cell r="G122">
            <v>410652</v>
          </cell>
          <cell r="H122"/>
          <cell r="I122">
            <v>23657</v>
          </cell>
          <cell r="J122">
            <v>99706</v>
          </cell>
          <cell r="K122">
            <v>58647</v>
          </cell>
          <cell r="L122">
            <v>46863</v>
          </cell>
          <cell r="M122"/>
          <cell r="N122">
            <v>11624</v>
          </cell>
          <cell r="O122">
            <v>0</v>
          </cell>
          <cell r="P122">
            <v>0</v>
          </cell>
          <cell r="Q122">
            <v>0</v>
          </cell>
          <cell r="R122"/>
          <cell r="S122">
            <v>138390</v>
          </cell>
          <cell r="T122">
            <v>25061</v>
          </cell>
          <cell r="U122">
            <v>163451</v>
          </cell>
        </row>
        <row r="123">
          <cell r="A123">
            <v>91128</v>
          </cell>
          <cell r="B123" t="str">
            <v>ASHEVILLE REGIONAL AIRPORT AUTHORITY</v>
          </cell>
          <cell r="C123">
            <v>5.2380000000000005E-4</v>
          </cell>
          <cell r="D123">
            <v>5.0929999999999997E-4</v>
          </cell>
          <cell r="E123">
            <v>238305</v>
          </cell>
          <cell r="F123">
            <v>1080905</v>
          </cell>
          <cell r="G123">
            <v>800221</v>
          </cell>
          <cell r="H123"/>
          <cell r="I123">
            <v>46100</v>
          </cell>
          <cell r="J123">
            <v>194295</v>
          </cell>
          <cell r="K123">
            <v>114283</v>
          </cell>
          <cell r="L123">
            <v>15169</v>
          </cell>
          <cell r="M123"/>
          <cell r="N123">
            <v>22652</v>
          </cell>
          <cell r="O123">
            <v>0</v>
          </cell>
          <cell r="P123">
            <v>0</v>
          </cell>
          <cell r="Q123">
            <v>6263</v>
          </cell>
          <cell r="R123"/>
          <cell r="S123">
            <v>269675</v>
          </cell>
          <cell r="T123">
            <v>-679</v>
          </cell>
          <cell r="U123">
            <v>268996</v>
          </cell>
        </row>
        <row r="124">
          <cell r="A124">
            <v>91138</v>
          </cell>
          <cell r="B124" t="str">
            <v>SKYLAND VOL FIRE DEPT</v>
          </cell>
          <cell r="C124">
            <v>6.2629999999999999E-4</v>
          </cell>
          <cell r="D124">
            <v>6.2350000000000003E-4</v>
          </cell>
          <cell r="E124">
            <v>220646</v>
          </cell>
          <cell r="F124">
            <v>1323276</v>
          </cell>
          <cell r="G124">
            <v>956813</v>
          </cell>
          <cell r="H124"/>
          <cell r="I124">
            <v>55121</v>
          </cell>
          <cell r="J124">
            <v>232316</v>
          </cell>
          <cell r="K124">
            <v>136646</v>
          </cell>
          <cell r="L124">
            <v>0</v>
          </cell>
          <cell r="M124"/>
          <cell r="N124">
            <v>27084</v>
          </cell>
          <cell r="O124">
            <v>0</v>
          </cell>
          <cell r="P124">
            <v>0</v>
          </cell>
          <cell r="Q124">
            <v>127984</v>
          </cell>
          <cell r="R124"/>
          <cell r="S124">
            <v>322447</v>
          </cell>
          <cell r="T124">
            <v>-48531</v>
          </cell>
          <cell r="U124">
            <v>273916</v>
          </cell>
        </row>
        <row r="125">
          <cell r="A125">
            <v>91141</v>
          </cell>
          <cell r="B125" t="str">
            <v>TOWN OF WEAVERVILLE</v>
          </cell>
          <cell r="C125">
            <v>5.7569999999999995E-4</v>
          </cell>
          <cell r="D125">
            <v>5.5679999999999998E-4</v>
          </cell>
          <cell r="E125">
            <v>236315</v>
          </cell>
          <cell r="F125">
            <v>1181716</v>
          </cell>
          <cell r="G125">
            <v>879510</v>
          </cell>
          <cell r="H125"/>
          <cell r="I125">
            <v>50668</v>
          </cell>
          <cell r="J125">
            <v>213546</v>
          </cell>
          <cell r="K125">
            <v>125606</v>
          </cell>
          <cell r="L125">
            <v>0</v>
          </cell>
          <cell r="M125"/>
          <cell r="N125">
            <v>24896</v>
          </cell>
          <cell r="O125">
            <v>0</v>
          </cell>
          <cell r="P125">
            <v>0</v>
          </cell>
          <cell r="Q125">
            <v>80393</v>
          </cell>
          <cell r="R125"/>
          <cell r="S125">
            <v>296396</v>
          </cell>
          <cell r="T125">
            <v>-38126</v>
          </cell>
          <cell r="U125">
            <v>258270</v>
          </cell>
        </row>
        <row r="126">
          <cell r="A126">
            <v>91147</v>
          </cell>
          <cell r="B126" t="str">
            <v>WEAVERVILLE ABC BOARD</v>
          </cell>
          <cell r="C126">
            <v>2.6699999999999998E-5</v>
          </cell>
          <cell r="D126">
            <v>2.4199999999999999E-5</v>
          </cell>
          <cell r="E126">
            <v>12125</v>
          </cell>
          <cell r="F126">
            <v>51361</v>
          </cell>
          <cell r="G126">
            <v>40790</v>
          </cell>
          <cell r="H126"/>
          <cell r="I126">
            <v>2350</v>
          </cell>
          <cell r="J126">
            <v>9904</v>
          </cell>
          <cell r="K126">
            <v>5825</v>
          </cell>
          <cell r="L126">
            <v>8489</v>
          </cell>
          <cell r="M126"/>
          <cell r="N126">
            <v>1155</v>
          </cell>
          <cell r="O126">
            <v>0</v>
          </cell>
          <cell r="P126">
            <v>0</v>
          </cell>
          <cell r="Q126">
            <v>0</v>
          </cell>
          <cell r="R126"/>
          <cell r="S126">
            <v>13746</v>
          </cell>
          <cell r="T126">
            <v>4333</v>
          </cell>
          <cell r="U126">
            <v>18079</v>
          </cell>
        </row>
        <row r="127">
          <cell r="A127">
            <v>91151</v>
          </cell>
          <cell r="B127" t="str">
            <v>TOWN OF BLACK MOUNTAIN</v>
          </cell>
          <cell r="C127">
            <v>6.3409999999999996E-4</v>
          </cell>
          <cell r="D127">
            <v>6.1180000000000002E-4</v>
          </cell>
          <cell r="E127">
            <v>254760</v>
          </cell>
          <cell r="F127">
            <v>1298445</v>
          </cell>
          <cell r="G127">
            <v>968729</v>
          </cell>
          <cell r="H127"/>
          <cell r="I127">
            <v>55808</v>
          </cell>
          <cell r="J127">
            <v>235208</v>
          </cell>
          <cell r="K127">
            <v>138348</v>
          </cell>
          <cell r="L127">
            <v>6907</v>
          </cell>
          <cell r="M127"/>
          <cell r="N127">
            <v>27422</v>
          </cell>
          <cell r="O127">
            <v>0</v>
          </cell>
          <cell r="P127">
            <v>0</v>
          </cell>
          <cell r="Q127">
            <v>49311</v>
          </cell>
          <cell r="R127"/>
          <cell r="S127">
            <v>326463</v>
          </cell>
          <cell r="T127">
            <v>-15290</v>
          </cell>
          <cell r="U127">
            <v>311173</v>
          </cell>
        </row>
        <row r="128">
          <cell r="A128">
            <v>91154</v>
          </cell>
          <cell r="B128" t="str">
            <v>BLACK MTN ABC BOARD</v>
          </cell>
          <cell r="C128">
            <v>2.6299999999999999E-5</v>
          </cell>
          <cell r="D128">
            <v>1.9599999999999999E-5</v>
          </cell>
          <cell r="E128">
            <v>10902</v>
          </cell>
          <cell r="F128">
            <v>41598</v>
          </cell>
          <cell r="G128">
            <v>40179</v>
          </cell>
          <cell r="H128"/>
          <cell r="I128">
            <v>2315</v>
          </cell>
          <cell r="J128">
            <v>9756</v>
          </cell>
          <cell r="K128">
            <v>5738</v>
          </cell>
          <cell r="L128">
            <v>7326</v>
          </cell>
          <cell r="M128"/>
          <cell r="N128">
            <v>1137</v>
          </cell>
          <cell r="O128">
            <v>0</v>
          </cell>
          <cell r="P128">
            <v>0</v>
          </cell>
          <cell r="Q128">
            <v>0</v>
          </cell>
          <cell r="R128"/>
          <cell r="S128">
            <v>13540</v>
          </cell>
          <cell r="T128">
            <v>2962</v>
          </cell>
          <cell r="U128">
            <v>16502</v>
          </cell>
        </row>
        <row r="129">
          <cell r="A129">
            <v>91161</v>
          </cell>
          <cell r="B129" t="str">
            <v>TOWN OF MONTREAT</v>
          </cell>
          <cell r="C129">
            <v>9.2600000000000001E-5</v>
          </cell>
          <cell r="D129">
            <v>9.4599999999999996E-5</v>
          </cell>
          <cell r="E129">
            <v>44457</v>
          </cell>
          <cell r="F129">
            <v>200773</v>
          </cell>
          <cell r="G129">
            <v>141467</v>
          </cell>
          <cell r="H129"/>
          <cell r="I129">
            <v>8150</v>
          </cell>
          <cell r="J129">
            <v>34348</v>
          </cell>
          <cell r="K129">
            <v>20203</v>
          </cell>
          <cell r="L129">
            <v>5327</v>
          </cell>
          <cell r="M129"/>
          <cell r="N129">
            <v>4004</v>
          </cell>
          <cell r="O129">
            <v>0</v>
          </cell>
          <cell r="P129">
            <v>0</v>
          </cell>
          <cell r="Q129">
            <v>3079</v>
          </cell>
          <cell r="R129"/>
          <cell r="S129">
            <v>47675</v>
          </cell>
          <cell r="T129">
            <v>935</v>
          </cell>
          <cell r="U129">
            <v>48610</v>
          </cell>
        </row>
        <row r="130">
          <cell r="A130">
            <v>91171</v>
          </cell>
          <cell r="B130" t="str">
            <v>TOWN OF WOODFIN</v>
          </cell>
          <cell r="C130">
            <v>1.95E-4</v>
          </cell>
          <cell r="D130">
            <v>2.5589999999999999E-4</v>
          </cell>
          <cell r="E130">
            <v>93651</v>
          </cell>
          <cell r="F130">
            <v>543106</v>
          </cell>
          <cell r="G130">
            <v>297906</v>
          </cell>
          <cell r="H130"/>
          <cell r="I130">
            <v>17162</v>
          </cell>
          <cell r="J130">
            <v>72331</v>
          </cell>
          <cell r="K130">
            <v>42545</v>
          </cell>
          <cell r="L130">
            <v>0</v>
          </cell>
          <cell r="M130"/>
          <cell r="N130">
            <v>8433</v>
          </cell>
          <cell r="O130">
            <v>0</v>
          </cell>
          <cell r="P130">
            <v>0</v>
          </cell>
          <cell r="Q130">
            <v>58020</v>
          </cell>
          <cell r="R130"/>
          <cell r="S130">
            <v>100395</v>
          </cell>
          <cell r="T130">
            <v>-21400</v>
          </cell>
          <cell r="U130">
            <v>78995</v>
          </cell>
        </row>
        <row r="131">
          <cell r="A131">
            <v>91201</v>
          </cell>
          <cell r="B131" t="str">
            <v>BURKE COUNTY</v>
          </cell>
          <cell r="C131">
            <v>2.2878E-3</v>
          </cell>
          <cell r="D131">
            <v>2.3127999999999998E-3</v>
          </cell>
          <cell r="E131">
            <v>970291</v>
          </cell>
          <cell r="F131">
            <v>4908536</v>
          </cell>
          <cell r="G131">
            <v>3495125</v>
          </cell>
          <cell r="H131"/>
          <cell r="I131">
            <v>201352</v>
          </cell>
          <cell r="J131">
            <v>848620</v>
          </cell>
          <cell r="K131">
            <v>499152</v>
          </cell>
          <cell r="L131">
            <v>40348</v>
          </cell>
          <cell r="M131"/>
          <cell r="N131">
            <v>98936</v>
          </cell>
          <cell r="O131">
            <v>0</v>
          </cell>
          <cell r="P131">
            <v>0</v>
          </cell>
          <cell r="Q131">
            <v>96428</v>
          </cell>
          <cell r="R131"/>
          <cell r="S131">
            <v>1177860</v>
          </cell>
          <cell r="T131">
            <v>-568</v>
          </cell>
          <cell r="U131">
            <v>1177292</v>
          </cell>
        </row>
        <row r="132">
          <cell r="A132">
            <v>91202</v>
          </cell>
          <cell r="B132" t="str">
            <v>BURKE-CATAWBA DIST CONFINEMENT</v>
          </cell>
          <cell r="C132">
            <v>1.9330000000000001E-4</v>
          </cell>
          <cell r="D132">
            <v>1.897E-4</v>
          </cell>
          <cell r="E132">
            <v>96479</v>
          </cell>
          <cell r="F132">
            <v>402607</v>
          </cell>
          <cell r="G132">
            <v>295309</v>
          </cell>
          <cell r="H132"/>
          <cell r="I132">
            <v>17013</v>
          </cell>
          <cell r="J132">
            <v>71701</v>
          </cell>
          <cell r="K132">
            <v>42174</v>
          </cell>
          <cell r="L132">
            <v>27893</v>
          </cell>
          <cell r="M132"/>
          <cell r="N132">
            <v>8359</v>
          </cell>
          <cell r="O132">
            <v>0</v>
          </cell>
          <cell r="P132">
            <v>0</v>
          </cell>
          <cell r="Q132">
            <v>0</v>
          </cell>
          <cell r="R132"/>
          <cell r="S132">
            <v>99519</v>
          </cell>
          <cell r="T132">
            <v>12367</v>
          </cell>
          <cell r="U132">
            <v>111886</v>
          </cell>
        </row>
        <row r="133">
          <cell r="A133">
            <v>91203</v>
          </cell>
          <cell r="B133" t="str">
            <v>BURKE CO HEALTH DEPT</v>
          </cell>
          <cell r="C133">
            <v>2.1939999999999999E-4</v>
          </cell>
          <cell r="D133">
            <v>2.4479999999999999E-4</v>
          </cell>
          <cell r="E133">
            <v>127249</v>
          </cell>
          <cell r="F133">
            <v>519548</v>
          </cell>
          <cell r="G133">
            <v>335182</v>
          </cell>
          <cell r="H133"/>
          <cell r="I133">
            <v>19310</v>
          </cell>
          <cell r="J133">
            <v>81383</v>
          </cell>
          <cell r="K133">
            <v>47869</v>
          </cell>
          <cell r="L133">
            <v>25236</v>
          </cell>
          <cell r="M133"/>
          <cell r="N133">
            <v>9488</v>
          </cell>
          <cell r="O133">
            <v>0</v>
          </cell>
          <cell r="P133">
            <v>0</v>
          </cell>
          <cell r="Q133">
            <v>0</v>
          </cell>
          <cell r="R133"/>
          <cell r="S133">
            <v>112957</v>
          </cell>
          <cell r="T133">
            <v>12508</v>
          </cell>
          <cell r="U133">
            <v>125465</v>
          </cell>
        </row>
        <row r="134">
          <cell r="A134">
            <v>91206</v>
          </cell>
          <cell r="B134" t="str">
            <v>BURKE CO DEPT OF SOCIAL SERVICES</v>
          </cell>
          <cell r="C134">
            <v>8.6450000000000003E-4</v>
          </cell>
          <cell r="D134">
            <v>8.2129999999999996E-4</v>
          </cell>
          <cell r="E134">
            <v>388200</v>
          </cell>
          <cell r="F134">
            <v>1743074</v>
          </cell>
          <cell r="G134">
            <v>1320717</v>
          </cell>
          <cell r="H134"/>
          <cell r="I134">
            <v>76086</v>
          </cell>
          <cell r="J134">
            <v>320672</v>
          </cell>
          <cell r="K134">
            <v>188617</v>
          </cell>
          <cell r="L134">
            <v>32943</v>
          </cell>
          <cell r="M134"/>
          <cell r="N134">
            <v>37385</v>
          </cell>
          <cell r="O134">
            <v>0</v>
          </cell>
          <cell r="P134">
            <v>0</v>
          </cell>
          <cell r="Q134">
            <v>1131</v>
          </cell>
          <cell r="R134"/>
          <cell r="S134">
            <v>445083</v>
          </cell>
          <cell r="T134">
            <v>15708</v>
          </cell>
          <cell r="U134">
            <v>460791</v>
          </cell>
        </row>
        <row r="135">
          <cell r="A135">
            <v>91208</v>
          </cell>
          <cell r="B135" t="str">
            <v>BURKE COUNTY TOURISM DEV. AUTHORITY</v>
          </cell>
          <cell r="C135">
            <v>1.42E-5</v>
          </cell>
          <cell r="D135">
            <v>1.3699999999999999E-5</v>
          </cell>
          <cell r="E135">
            <v>6398</v>
          </cell>
          <cell r="F135">
            <v>29076</v>
          </cell>
          <cell r="G135">
            <v>21694</v>
          </cell>
          <cell r="H135"/>
          <cell r="I135">
            <v>1250</v>
          </cell>
          <cell r="J135">
            <v>5267</v>
          </cell>
          <cell r="K135">
            <v>3098</v>
          </cell>
          <cell r="L135">
            <v>3961</v>
          </cell>
          <cell r="M135"/>
          <cell r="N135">
            <v>614</v>
          </cell>
          <cell r="O135">
            <v>0</v>
          </cell>
          <cell r="P135">
            <v>0</v>
          </cell>
          <cell r="Q135">
            <v>0</v>
          </cell>
          <cell r="R135"/>
          <cell r="S135">
            <v>7311</v>
          </cell>
          <cell r="T135">
            <v>3460</v>
          </cell>
          <cell r="U135">
            <v>10771</v>
          </cell>
        </row>
        <row r="136">
          <cell r="A136">
            <v>91211</v>
          </cell>
          <cell r="B136" t="str">
            <v>TOWN OF VALDESE</v>
          </cell>
          <cell r="C136">
            <v>4.5530000000000001E-4</v>
          </cell>
          <cell r="D136">
            <v>4.6789999999999999E-4</v>
          </cell>
          <cell r="E136">
            <v>223513</v>
          </cell>
          <cell r="F136">
            <v>993041</v>
          </cell>
          <cell r="G136">
            <v>695572</v>
          </cell>
          <cell r="H136"/>
          <cell r="I136">
            <v>40071</v>
          </cell>
          <cell r="J136">
            <v>168886</v>
          </cell>
          <cell r="K136">
            <v>99337</v>
          </cell>
          <cell r="L136">
            <v>6745</v>
          </cell>
          <cell r="M136"/>
          <cell r="N136">
            <v>19689</v>
          </cell>
          <cell r="O136">
            <v>0</v>
          </cell>
          <cell r="P136">
            <v>0</v>
          </cell>
          <cell r="Q136">
            <v>3315</v>
          </cell>
          <cell r="R136"/>
          <cell r="S136">
            <v>234408</v>
          </cell>
          <cell r="T136">
            <v>1355</v>
          </cell>
          <cell r="U136">
            <v>235763</v>
          </cell>
        </row>
        <row r="137">
          <cell r="A137">
            <v>91213</v>
          </cell>
          <cell r="B137" t="str">
            <v>VALDESE HOUSING AUTHORITY</v>
          </cell>
          <cell r="C137">
            <v>3.2499999999999997E-5</v>
          </cell>
          <cell r="D137">
            <v>3.57E-5</v>
          </cell>
          <cell r="E137">
            <v>12090</v>
          </cell>
          <cell r="F137">
            <v>75767</v>
          </cell>
          <cell r="G137">
            <v>49651</v>
          </cell>
          <cell r="H137"/>
          <cell r="I137">
            <v>2860</v>
          </cell>
          <cell r="J137">
            <v>12056</v>
          </cell>
          <cell r="K137">
            <v>7091</v>
          </cell>
          <cell r="L137">
            <v>0</v>
          </cell>
          <cell r="M137"/>
          <cell r="N137">
            <v>1405</v>
          </cell>
          <cell r="O137">
            <v>0</v>
          </cell>
          <cell r="P137">
            <v>0</v>
          </cell>
          <cell r="Q137">
            <v>7680</v>
          </cell>
          <cell r="R137"/>
          <cell r="S137">
            <v>16732</v>
          </cell>
          <cell r="T137">
            <v>-2660</v>
          </cell>
          <cell r="U137">
            <v>14072</v>
          </cell>
        </row>
        <row r="138">
          <cell r="A138">
            <v>91214</v>
          </cell>
          <cell r="B138" t="str">
            <v>TOWN OF RUTHERFORD COLLEGE</v>
          </cell>
          <cell r="C138">
            <v>2.9300000000000001E-5</v>
          </cell>
          <cell r="D138">
            <v>2.8200000000000001E-5</v>
          </cell>
          <cell r="E138">
            <v>9669</v>
          </cell>
          <cell r="F138">
            <v>59850</v>
          </cell>
          <cell r="G138">
            <v>44762</v>
          </cell>
          <cell r="H138"/>
          <cell r="I138">
            <v>2579</v>
          </cell>
          <cell r="J138">
            <v>10868</v>
          </cell>
          <cell r="K138">
            <v>6393</v>
          </cell>
          <cell r="L138">
            <v>1300</v>
          </cell>
          <cell r="M138"/>
          <cell r="N138">
            <v>1267</v>
          </cell>
          <cell r="O138">
            <v>0</v>
          </cell>
          <cell r="P138">
            <v>0</v>
          </cell>
          <cell r="Q138">
            <v>3669</v>
          </cell>
          <cell r="R138"/>
          <cell r="S138">
            <v>15085</v>
          </cell>
          <cell r="T138">
            <v>-283</v>
          </cell>
          <cell r="U138">
            <v>14802</v>
          </cell>
        </row>
        <row r="139">
          <cell r="A139">
            <v>91217</v>
          </cell>
          <cell r="B139" t="str">
            <v>MORGANTON ABC BOARD</v>
          </cell>
          <cell r="C139">
            <v>2.8799999999999999E-5</v>
          </cell>
          <cell r="D139">
            <v>2.6699999999999998E-5</v>
          </cell>
          <cell r="E139">
            <v>14934</v>
          </cell>
          <cell r="F139">
            <v>56666</v>
          </cell>
          <cell r="G139">
            <v>43998</v>
          </cell>
          <cell r="H139"/>
          <cell r="I139">
            <v>2535</v>
          </cell>
          <cell r="J139">
            <v>10683</v>
          </cell>
          <cell r="K139">
            <v>6284</v>
          </cell>
          <cell r="L139">
            <v>10784</v>
          </cell>
          <cell r="M139"/>
          <cell r="N139">
            <v>1245</v>
          </cell>
          <cell r="O139">
            <v>0</v>
          </cell>
          <cell r="P139">
            <v>0</v>
          </cell>
          <cell r="Q139">
            <v>0</v>
          </cell>
          <cell r="R139"/>
          <cell r="S139">
            <v>14828</v>
          </cell>
          <cell r="T139">
            <v>4311</v>
          </cell>
          <cell r="U139">
            <v>19139</v>
          </cell>
        </row>
        <row r="140">
          <cell r="A140">
            <v>91221</v>
          </cell>
          <cell r="B140" t="str">
            <v>TOWN OF DREXEL</v>
          </cell>
          <cell r="C140">
            <v>1.3359999999999999E-4</v>
          </cell>
          <cell r="D140">
            <v>1.294E-4</v>
          </cell>
          <cell r="E140">
            <v>59449</v>
          </cell>
          <cell r="F140">
            <v>274630</v>
          </cell>
          <cell r="G140">
            <v>204104</v>
          </cell>
          <cell r="H140"/>
          <cell r="I140">
            <v>11758</v>
          </cell>
          <cell r="J140">
            <v>49557</v>
          </cell>
          <cell r="K140">
            <v>29149</v>
          </cell>
          <cell r="L140">
            <v>5038</v>
          </cell>
          <cell r="M140"/>
          <cell r="N140">
            <v>5778</v>
          </cell>
          <cell r="O140">
            <v>0</v>
          </cell>
          <cell r="P140">
            <v>0</v>
          </cell>
          <cell r="Q140">
            <v>7113</v>
          </cell>
          <cell r="R140"/>
          <cell r="S140">
            <v>68783</v>
          </cell>
          <cell r="T140">
            <v>1397</v>
          </cell>
          <cell r="U140">
            <v>70180</v>
          </cell>
        </row>
        <row r="141">
          <cell r="A141">
            <v>91231</v>
          </cell>
          <cell r="B141" t="str">
            <v>CITY OF MORGANTON</v>
          </cell>
          <cell r="C141">
            <v>1.8856000000000001E-3</v>
          </cell>
          <cell r="D141">
            <v>1.9957E-3</v>
          </cell>
          <cell r="E141">
            <v>867955</v>
          </cell>
          <cell r="F141">
            <v>4235544</v>
          </cell>
          <cell r="G141">
            <v>2880674</v>
          </cell>
          <cell r="H141"/>
          <cell r="I141">
            <v>165954</v>
          </cell>
          <cell r="J141">
            <v>699431</v>
          </cell>
          <cell r="K141">
            <v>411400</v>
          </cell>
          <cell r="L141">
            <v>10587</v>
          </cell>
          <cell r="M141"/>
          <cell r="N141">
            <v>81543</v>
          </cell>
          <cell r="O141">
            <v>0</v>
          </cell>
          <cell r="P141">
            <v>0</v>
          </cell>
          <cell r="Q141">
            <v>132995</v>
          </cell>
          <cell r="R141"/>
          <cell r="S141">
            <v>970790</v>
          </cell>
          <cell r="T141">
            <v>-32073</v>
          </cell>
          <cell r="U141">
            <v>938717</v>
          </cell>
        </row>
        <row r="142">
          <cell r="A142">
            <v>91233</v>
          </cell>
          <cell r="B142" t="str">
            <v>MORGANTON HOUSING AUTHORITY</v>
          </cell>
          <cell r="C142">
            <v>5.8100000000000003E-5</v>
          </cell>
          <cell r="D142">
            <v>4.5599999999999997E-5</v>
          </cell>
          <cell r="E142">
            <v>21828</v>
          </cell>
          <cell r="F142">
            <v>96778</v>
          </cell>
          <cell r="G142">
            <v>88761</v>
          </cell>
          <cell r="H142"/>
          <cell r="I142">
            <v>5113</v>
          </cell>
          <cell r="J142">
            <v>21551</v>
          </cell>
          <cell r="K142">
            <v>12676</v>
          </cell>
          <cell r="L142">
            <v>9544</v>
          </cell>
          <cell r="M142"/>
          <cell r="N142">
            <v>2513</v>
          </cell>
          <cell r="O142">
            <v>0</v>
          </cell>
          <cell r="P142">
            <v>0</v>
          </cell>
          <cell r="Q142">
            <v>117</v>
          </cell>
          <cell r="R142"/>
          <cell r="S142">
            <v>29912</v>
          </cell>
          <cell r="T142">
            <v>4289</v>
          </cell>
          <cell r="U142">
            <v>34201</v>
          </cell>
        </row>
        <row r="143">
          <cell r="A143">
            <v>91241</v>
          </cell>
          <cell r="B143" t="str">
            <v>TOWN OF GLEN ALPINE</v>
          </cell>
          <cell r="C143">
            <v>3.5500000000000002E-5</v>
          </cell>
          <cell r="D143">
            <v>3.68E-5</v>
          </cell>
          <cell r="E143">
            <v>17216</v>
          </cell>
          <cell r="F143">
            <v>78102</v>
          </cell>
          <cell r="G143">
            <v>54234</v>
          </cell>
          <cell r="H143"/>
          <cell r="I143">
            <v>3124</v>
          </cell>
          <cell r="J143">
            <v>13168</v>
          </cell>
          <cell r="K143">
            <v>7745</v>
          </cell>
          <cell r="L143">
            <v>0</v>
          </cell>
          <cell r="M143"/>
          <cell r="N143">
            <v>1535</v>
          </cell>
          <cell r="O143">
            <v>0</v>
          </cell>
          <cell r="P143">
            <v>0</v>
          </cell>
          <cell r="Q143">
            <v>4391</v>
          </cell>
          <cell r="R143"/>
          <cell r="S143">
            <v>18277</v>
          </cell>
          <cell r="T143">
            <v>-2564</v>
          </cell>
          <cell r="U143">
            <v>15713</v>
          </cell>
        </row>
        <row r="144">
          <cell r="A144">
            <v>91251</v>
          </cell>
          <cell r="B144" t="str">
            <v>TOWN OF HILDEBRAN</v>
          </cell>
          <cell r="C144">
            <v>1.9899999999999999E-5</v>
          </cell>
          <cell r="D144">
            <v>2.65E-5</v>
          </cell>
          <cell r="E144">
            <v>11339</v>
          </cell>
          <cell r="F144">
            <v>56242</v>
          </cell>
          <cell r="G144">
            <v>30402</v>
          </cell>
          <cell r="H144"/>
          <cell r="I144">
            <v>1751</v>
          </cell>
          <cell r="J144">
            <v>7381</v>
          </cell>
          <cell r="K144">
            <v>4342</v>
          </cell>
          <cell r="L144">
            <v>2341</v>
          </cell>
          <cell r="M144"/>
          <cell r="N144">
            <v>861</v>
          </cell>
          <cell r="O144">
            <v>0</v>
          </cell>
          <cell r="P144">
            <v>0</v>
          </cell>
          <cell r="Q144">
            <v>3540</v>
          </cell>
          <cell r="R144"/>
          <cell r="S144">
            <v>10245</v>
          </cell>
          <cell r="T144">
            <v>1340</v>
          </cell>
          <cell r="U144">
            <v>11585</v>
          </cell>
        </row>
        <row r="145">
          <cell r="A145">
            <v>91261</v>
          </cell>
          <cell r="B145" t="str">
            <v>TOWN OF CONNELLY SPRINGS</v>
          </cell>
          <cell r="C145">
            <v>1.03E-5</v>
          </cell>
          <cell r="D145">
            <v>9.5000000000000005E-6</v>
          </cell>
          <cell r="E145">
            <v>4666</v>
          </cell>
          <cell r="F145">
            <v>20162</v>
          </cell>
          <cell r="G145">
            <v>15736</v>
          </cell>
          <cell r="H145"/>
          <cell r="I145">
            <v>907</v>
          </cell>
          <cell r="J145">
            <v>3821</v>
          </cell>
          <cell r="K145">
            <v>2247</v>
          </cell>
          <cell r="L145">
            <v>1784</v>
          </cell>
          <cell r="M145"/>
          <cell r="N145">
            <v>445</v>
          </cell>
          <cell r="O145">
            <v>0</v>
          </cell>
          <cell r="P145">
            <v>0</v>
          </cell>
          <cell r="Q145">
            <v>0</v>
          </cell>
          <cell r="R145"/>
          <cell r="S145">
            <v>5303</v>
          </cell>
          <cell r="T145">
            <v>850</v>
          </cell>
          <cell r="U145">
            <v>6153</v>
          </cell>
        </row>
        <row r="146">
          <cell r="A146">
            <v>91301</v>
          </cell>
          <cell r="B146" t="str">
            <v>CABARRUS COUNTY</v>
          </cell>
          <cell r="C146">
            <v>7.6985999999999999E-3</v>
          </cell>
          <cell r="D146">
            <v>7.7765000000000004E-3</v>
          </cell>
          <cell r="E146">
            <v>3428603</v>
          </cell>
          <cell r="F146">
            <v>16504338</v>
          </cell>
          <cell r="G146">
            <v>11761328</v>
          </cell>
          <cell r="H146"/>
          <cell r="I146">
            <v>677561</v>
          </cell>
          <cell r="J146">
            <v>2855665</v>
          </cell>
          <cell r="K146">
            <v>1679681</v>
          </cell>
          <cell r="L146">
            <v>19915</v>
          </cell>
          <cell r="M146"/>
          <cell r="N146">
            <v>332926</v>
          </cell>
          <cell r="O146">
            <v>0</v>
          </cell>
          <cell r="P146">
            <v>0</v>
          </cell>
          <cell r="Q146">
            <v>249856</v>
          </cell>
          <cell r="R146"/>
          <cell r="S146">
            <v>3963578</v>
          </cell>
          <cell r="T146">
            <v>-98741</v>
          </cell>
          <cell r="U146">
            <v>3864837</v>
          </cell>
        </row>
        <row r="147">
          <cell r="A147">
            <v>91302</v>
          </cell>
          <cell r="B147" t="str">
            <v>WATER &amp; SEWER AUTH OF CABARRUS CNTY</v>
          </cell>
          <cell r="C147">
            <v>6.0300000000000002E-4</v>
          </cell>
          <cell r="D147">
            <v>5.9190000000000002E-4</v>
          </cell>
          <cell r="E147">
            <v>259187</v>
          </cell>
          <cell r="F147">
            <v>0</v>
          </cell>
          <cell r="G147">
            <v>921217</v>
          </cell>
          <cell r="H147"/>
          <cell r="I147">
            <v>53071</v>
          </cell>
          <cell r="J147">
            <v>223673</v>
          </cell>
          <cell r="K147">
            <v>131563</v>
          </cell>
          <cell r="L147">
            <v>32897</v>
          </cell>
          <cell r="M147"/>
          <cell r="N147">
            <v>26077</v>
          </cell>
          <cell r="O147">
            <v>0</v>
          </cell>
          <cell r="P147">
            <v>0</v>
          </cell>
          <cell r="Q147">
            <v>6670</v>
          </cell>
          <cell r="R147"/>
          <cell r="S147">
            <v>310451</v>
          </cell>
          <cell r="T147">
            <v>18435</v>
          </cell>
          <cell r="U147">
            <v>328886</v>
          </cell>
        </row>
        <row r="148">
          <cell r="A148">
            <v>91306</v>
          </cell>
          <cell r="B148" t="str">
            <v>CABARRUS CO PUBLIC HEALTH AUTH</v>
          </cell>
          <cell r="C148">
            <v>1.6412E-3</v>
          </cell>
          <cell r="D148">
            <v>1.6676E-3</v>
          </cell>
          <cell r="E148">
            <v>766698</v>
          </cell>
          <cell r="F148">
            <v>3539206</v>
          </cell>
          <cell r="G148">
            <v>2507299</v>
          </cell>
          <cell r="H148"/>
          <cell r="I148">
            <v>144444</v>
          </cell>
          <cell r="J148">
            <v>608776</v>
          </cell>
          <cell r="K148">
            <v>358077</v>
          </cell>
          <cell r="L148">
            <v>113707</v>
          </cell>
          <cell r="M148"/>
          <cell r="N148">
            <v>70974</v>
          </cell>
          <cell r="O148">
            <v>0</v>
          </cell>
          <cell r="P148">
            <v>0</v>
          </cell>
          <cell r="Q148">
            <v>7101</v>
          </cell>
          <cell r="R148"/>
          <cell r="S148">
            <v>844962</v>
          </cell>
          <cell r="T148">
            <v>59215</v>
          </cell>
          <cell r="U148">
            <v>904177</v>
          </cell>
        </row>
        <row r="149">
          <cell r="A149">
            <v>91308</v>
          </cell>
          <cell r="B149" t="str">
            <v>CABARRUS COUNTY TOURISM AUTHORITY</v>
          </cell>
          <cell r="C149">
            <v>1.8009999999999999E-4</v>
          </cell>
          <cell r="D149">
            <v>2.05E-4</v>
          </cell>
          <cell r="E149">
            <v>80232</v>
          </cell>
          <cell r="F149">
            <v>435079</v>
          </cell>
          <cell r="G149">
            <v>275143</v>
          </cell>
          <cell r="H149"/>
          <cell r="I149">
            <v>15851</v>
          </cell>
          <cell r="J149">
            <v>66805</v>
          </cell>
          <cell r="K149">
            <v>39294</v>
          </cell>
          <cell r="L149">
            <v>2442</v>
          </cell>
          <cell r="M149"/>
          <cell r="N149">
            <v>7788</v>
          </cell>
          <cell r="O149">
            <v>0</v>
          </cell>
          <cell r="P149">
            <v>0</v>
          </cell>
          <cell r="Q149">
            <v>21144</v>
          </cell>
          <cell r="R149"/>
          <cell r="S149">
            <v>92723</v>
          </cell>
          <cell r="T149">
            <v>-3684</v>
          </cell>
          <cell r="U149">
            <v>89039</v>
          </cell>
        </row>
        <row r="150">
          <cell r="A150">
            <v>91311</v>
          </cell>
          <cell r="B150" t="str">
            <v>CITY OF CONCORD</v>
          </cell>
          <cell r="C150">
            <v>7.6685E-3</v>
          </cell>
          <cell r="D150">
            <v>7.6649999999999999E-3</v>
          </cell>
          <cell r="E150">
            <v>3305761</v>
          </cell>
          <cell r="F150">
            <v>16267698</v>
          </cell>
          <cell r="G150">
            <v>11715344</v>
          </cell>
          <cell r="H150"/>
          <cell r="I150">
            <v>674912</v>
          </cell>
          <cell r="J150">
            <v>2844500</v>
          </cell>
          <cell r="K150">
            <v>1673113</v>
          </cell>
          <cell r="L150">
            <v>78345</v>
          </cell>
          <cell r="M150"/>
          <cell r="N150">
            <v>331624</v>
          </cell>
          <cell r="O150">
            <v>0</v>
          </cell>
          <cell r="P150">
            <v>0</v>
          </cell>
          <cell r="Q150">
            <v>516736</v>
          </cell>
          <cell r="R150"/>
          <cell r="S150">
            <v>3948081</v>
          </cell>
          <cell r="T150">
            <v>-187514</v>
          </cell>
          <cell r="U150">
            <v>3760567</v>
          </cell>
        </row>
        <row r="151">
          <cell r="A151">
            <v>91317</v>
          </cell>
          <cell r="B151" t="str">
            <v>CONCORD ABC BOARD</v>
          </cell>
          <cell r="C151">
            <v>1.016E-4</v>
          </cell>
          <cell r="D151">
            <v>9.0500000000000004E-5</v>
          </cell>
          <cell r="E151">
            <v>50865</v>
          </cell>
          <cell r="F151">
            <v>192071</v>
          </cell>
          <cell r="G151">
            <v>155217</v>
          </cell>
          <cell r="H151"/>
          <cell r="I151">
            <v>8942</v>
          </cell>
          <cell r="J151">
            <v>37687</v>
          </cell>
          <cell r="K151">
            <v>22167</v>
          </cell>
          <cell r="L151">
            <v>13159</v>
          </cell>
          <cell r="M151"/>
          <cell r="N151">
            <v>4394</v>
          </cell>
          <cell r="O151">
            <v>0</v>
          </cell>
          <cell r="P151">
            <v>0</v>
          </cell>
          <cell r="Q151">
            <v>1760</v>
          </cell>
          <cell r="R151"/>
          <cell r="S151">
            <v>52308</v>
          </cell>
          <cell r="T151">
            <v>2823</v>
          </cell>
          <cell r="U151">
            <v>55131</v>
          </cell>
        </row>
        <row r="152">
          <cell r="A152">
            <v>91321</v>
          </cell>
          <cell r="B152" t="str">
            <v>TOWN OF MOUNT PLEASANT</v>
          </cell>
          <cell r="C152">
            <v>4.2799999999999997E-5</v>
          </cell>
          <cell r="D152">
            <v>4.1999999999999998E-5</v>
          </cell>
          <cell r="E152">
            <v>37213</v>
          </cell>
          <cell r="F152">
            <v>89138</v>
          </cell>
          <cell r="G152">
            <v>65387</v>
          </cell>
          <cell r="H152"/>
          <cell r="I152">
            <v>3767</v>
          </cell>
          <cell r="J152">
            <v>15876</v>
          </cell>
          <cell r="K152">
            <v>9338</v>
          </cell>
          <cell r="L152">
            <v>18992</v>
          </cell>
          <cell r="M152"/>
          <cell r="N152">
            <v>1851</v>
          </cell>
          <cell r="O152">
            <v>0</v>
          </cell>
          <cell r="P152">
            <v>0</v>
          </cell>
          <cell r="Q152">
            <v>3760</v>
          </cell>
          <cell r="R152"/>
          <cell r="S152">
            <v>22035</v>
          </cell>
          <cell r="T152">
            <v>3437</v>
          </cell>
          <cell r="U152">
            <v>25472</v>
          </cell>
        </row>
        <row r="153">
          <cell r="A153">
            <v>91327</v>
          </cell>
          <cell r="B153" t="str">
            <v>MT PLEASANT ABC BOARD</v>
          </cell>
          <cell r="C153">
            <v>8.1999999999999994E-6</v>
          </cell>
          <cell r="D153">
            <v>1.03E-5</v>
          </cell>
          <cell r="E153">
            <v>4495</v>
          </cell>
          <cell r="F153">
            <v>21860</v>
          </cell>
          <cell r="G153">
            <v>12527</v>
          </cell>
          <cell r="H153"/>
          <cell r="I153">
            <v>722</v>
          </cell>
          <cell r="J153">
            <v>3042</v>
          </cell>
          <cell r="K153">
            <v>1789</v>
          </cell>
          <cell r="L153">
            <v>36</v>
          </cell>
          <cell r="M153"/>
          <cell r="N153">
            <v>355</v>
          </cell>
          <cell r="O153">
            <v>0</v>
          </cell>
          <cell r="P153">
            <v>0</v>
          </cell>
          <cell r="Q153">
            <v>1563</v>
          </cell>
          <cell r="R153"/>
          <cell r="S153">
            <v>4222</v>
          </cell>
          <cell r="T153">
            <v>-481</v>
          </cell>
          <cell r="U153">
            <v>3741</v>
          </cell>
        </row>
        <row r="154">
          <cell r="A154">
            <v>91331</v>
          </cell>
          <cell r="B154" t="str">
            <v>CITY OF KANNAPOLIS</v>
          </cell>
          <cell r="C154">
            <v>3.0033E-3</v>
          </cell>
          <cell r="D154">
            <v>2.8509999999999998E-3</v>
          </cell>
          <cell r="E154">
            <v>1190887</v>
          </cell>
          <cell r="F154">
            <v>6050777</v>
          </cell>
          <cell r="G154">
            <v>4588210</v>
          </cell>
          <cell r="H154"/>
          <cell r="I154">
            <v>264323</v>
          </cell>
          <cell r="J154">
            <v>1114023</v>
          </cell>
          <cell r="K154">
            <v>655260</v>
          </cell>
          <cell r="L154">
            <v>0</v>
          </cell>
          <cell r="M154"/>
          <cell r="N154">
            <v>129878</v>
          </cell>
          <cell r="O154">
            <v>0</v>
          </cell>
          <cell r="P154">
            <v>0</v>
          </cell>
          <cell r="Q154">
            <v>342951</v>
          </cell>
          <cell r="R154"/>
          <cell r="S154">
            <v>1546231</v>
          </cell>
          <cell r="T154">
            <v>-176510</v>
          </cell>
          <cell r="U154">
            <v>1369721</v>
          </cell>
        </row>
        <row r="155">
          <cell r="A155">
            <v>91341</v>
          </cell>
          <cell r="B155" t="str">
            <v>TOWN OF MIDLAND</v>
          </cell>
          <cell r="C155">
            <v>2.51E-5</v>
          </cell>
          <cell r="D155">
            <v>1.4399999999999999E-5</v>
          </cell>
          <cell r="E155">
            <v>9161</v>
          </cell>
          <cell r="F155">
            <v>30562</v>
          </cell>
          <cell r="G155">
            <v>38346</v>
          </cell>
          <cell r="H155"/>
          <cell r="I155">
            <v>2209</v>
          </cell>
          <cell r="J155">
            <v>9311</v>
          </cell>
          <cell r="K155">
            <v>5476</v>
          </cell>
          <cell r="L155">
            <v>5566</v>
          </cell>
          <cell r="M155"/>
          <cell r="N155">
            <v>1085</v>
          </cell>
          <cell r="O155">
            <v>0</v>
          </cell>
          <cell r="P155">
            <v>0</v>
          </cell>
          <cell r="Q155">
            <v>1759</v>
          </cell>
          <cell r="R155"/>
          <cell r="S155">
            <v>12923</v>
          </cell>
          <cell r="T155">
            <v>939</v>
          </cell>
          <cell r="U155">
            <v>13862</v>
          </cell>
        </row>
        <row r="156">
          <cell r="A156">
            <v>91401</v>
          </cell>
          <cell r="B156" t="str">
            <v>CALDWELL COUNTY</v>
          </cell>
          <cell r="C156">
            <v>3.5885000000000001E-3</v>
          </cell>
          <cell r="D156">
            <v>3.6841E-3</v>
          </cell>
          <cell r="E156">
            <v>1559430</v>
          </cell>
          <cell r="F156">
            <v>7818894</v>
          </cell>
          <cell r="G156">
            <v>5482234</v>
          </cell>
          <cell r="H156"/>
          <cell r="I156">
            <v>315827</v>
          </cell>
          <cell r="J156">
            <v>1331093</v>
          </cell>
          <cell r="K156">
            <v>782939</v>
          </cell>
          <cell r="L156">
            <v>17446</v>
          </cell>
          <cell r="M156"/>
          <cell r="N156">
            <v>155185</v>
          </cell>
          <cell r="O156">
            <v>0</v>
          </cell>
          <cell r="P156">
            <v>0</v>
          </cell>
          <cell r="Q156">
            <v>142927</v>
          </cell>
          <cell r="R156"/>
          <cell r="S156">
            <v>1847518</v>
          </cell>
          <cell r="T156">
            <v>-23160</v>
          </cell>
          <cell r="U156">
            <v>1824358</v>
          </cell>
        </row>
        <row r="157">
          <cell r="A157">
            <v>91411</v>
          </cell>
          <cell r="B157" t="str">
            <v>TOWN OF GRANITE FALLS</v>
          </cell>
          <cell r="C157">
            <v>3.7829999999999998E-4</v>
          </cell>
          <cell r="D157">
            <v>3.5379999999999998E-4</v>
          </cell>
          <cell r="E157">
            <v>168365</v>
          </cell>
          <cell r="F157">
            <v>750882</v>
          </cell>
          <cell r="G157">
            <v>577938</v>
          </cell>
          <cell r="H157"/>
          <cell r="I157">
            <v>33295</v>
          </cell>
          <cell r="J157">
            <v>140324</v>
          </cell>
          <cell r="K157">
            <v>82537</v>
          </cell>
          <cell r="L157">
            <v>28581</v>
          </cell>
          <cell r="M157"/>
          <cell r="N157">
            <v>16360</v>
          </cell>
          <cell r="O157">
            <v>0</v>
          </cell>
          <cell r="P157">
            <v>0</v>
          </cell>
          <cell r="Q157">
            <v>1394</v>
          </cell>
          <cell r="R157"/>
          <cell r="S157">
            <v>194765</v>
          </cell>
          <cell r="T157">
            <v>7766</v>
          </cell>
          <cell r="U157">
            <v>202531</v>
          </cell>
        </row>
        <row r="158">
          <cell r="A158">
            <v>91417</v>
          </cell>
          <cell r="B158" t="str">
            <v>GRANITE FALLS ABC BOARD</v>
          </cell>
          <cell r="C158">
            <v>9.3000000000000007E-6</v>
          </cell>
          <cell r="D158">
            <v>9.9000000000000001E-6</v>
          </cell>
          <cell r="E158">
            <v>5289</v>
          </cell>
          <cell r="F158">
            <v>21011</v>
          </cell>
          <cell r="G158">
            <v>14208</v>
          </cell>
          <cell r="H158"/>
          <cell r="I158">
            <v>819</v>
          </cell>
          <cell r="J158">
            <v>3450</v>
          </cell>
          <cell r="K158">
            <v>2029</v>
          </cell>
          <cell r="L158">
            <v>2388</v>
          </cell>
          <cell r="M158"/>
          <cell r="N158">
            <v>402</v>
          </cell>
          <cell r="O158">
            <v>0</v>
          </cell>
          <cell r="P158">
            <v>0</v>
          </cell>
          <cell r="Q158">
            <v>0</v>
          </cell>
          <cell r="R158"/>
          <cell r="S158">
            <v>4788</v>
          </cell>
          <cell r="T158">
            <v>1814</v>
          </cell>
          <cell r="U158">
            <v>6602</v>
          </cell>
        </row>
        <row r="159">
          <cell r="A159">
            <v>91421</v>
          </cell>
          <cell r="B159" t="str">
            <v>TOWN OF SAWMILLS</v>
          </cell>
          <cell r="C159">
            <v>6.9499999999999995E-5</v>
          </cell>
          <cell r="D159">
            <v>7.0400000000000004E-5</v>
          </cell>
          <cell r="E159">
            <v>36488</v>
          </cell>
          <cell r="F159">
            <v>149412</v>
          </cell>
          <cell r="G159">
            <v>106177</v>
          </cell>
          <cell r="H159"/>
          <cell r="I159">
            <v>6117</v>
          </cell>
          <cell r="J159">
            <v>25779</v>
          </cell>
          <cell r="K159">
            <v>15164</v>
          </cell>
          <cell r="L159">
            <v>4339</v>
          </cell>
          <cell r="M159"/>
          <cell r="N159">
            <v>3006</v>
          </cell>
          <cell r="O159">
            <v>0</v>
          </cell>
          <cell r="P159">
            <v>0</v>
          </cell>
          <cell r="Q159">
            <v>3143</v>
          </cell>
          <cell r="R159"/>
          <cell r="S159">
            <v>35782</v>
          </cell>
          <cell r="T159">
            <v>365</v>
          </cell>
          <cell r="U159">
            <v>36147</v>
          </cell>
        </row>
        <row r="160">
          <cell r="A160">
            <v>91423</v>
          </cell>
          <cell r="B160" t="str">
            <v>LENOIR HOUSING AUTHORITY</v>
          </cell>
          <cell r="C160">
            <v>5.38E-5</v>
          </cell>
          <cell r="D160">
            <v>3.8699999999999999E-5</v>
          </cell>
          <cell r="E160">
            <v>20620</v>
          </cell>
          <cell r="F160">
            <v>82134</v>
          </cell>
          <cell r="G160">
            <v>82191</v>
          </cell>
          <cell r="H160"/>
          <cell r="I160">
            <v>4735</v>
          </cell>
          <cell r="J160">
            <v>19956</v>
          </cell>
          <cell r="K160">
            <v>11738</v>
          </cell>
          <cell r="L160">
            <v>13454</v>
          </cell>
          <cell r="M160"/>
          <cell r="N160">
            <v>2327</v>
          </cell>
          <cell r="O160">
            <v>0</v>
          </cell>
          <cell r="P160">
            <v>0</v>
          </cell>
          <cell r="Q160">
            <v>2026</v>
          </cell>
          <cell r="R160"/>
          <cell r="S160">
            <v>27699</v>
          </cell>
          <cell r="T160">
            <v>3208</v>
          </cell>
          <cell r="U160">
            <v>30907</v>
          </cell>
        </row>
        <row r="161">
          <cell r="A161">
            <v>91431</v>
          </cell>
          <cell r="B161" t="str">
            <v>TOWN OF HUDSON</v>
          </cell>
          <cell r="C161">
            <v>1.562E-4</v>
          </cell>
          <cell r="D161">
            <v>1.417E-4</v>
          </cell>
          <cell r="E161">
            <v>80270</v>
          </cell>
          <cell r="F161">
            <v>300735</v>
          </cell>
          <cell r="G161">
            <v>238630</v>
          </cell>
          <cell r="H161"/>
          <cell r="I161">
            <v>13747</v>
          </cell>
          <cell r="J161">
            <v>57939</v>
          </cell>
          <cell r="K161">
            <v>34080</v>
          </cell>
          <cell r="L161">
            <v>17694</v>
          </cell>
          <cell r="M161"/>
          <cell r="N161">
            <v>6755</v>
          </cell>
          <cell r="O161">
            <v>0</v>
          </cell>
          <cell r="P161">
            <v>0</v>
          </cell>
          <cell r="Q161">
            <v>1767</v>
          </cell>
          <cell r="R161"/>
          <cell r="S161">
            <v>80419</v>
          </cell>
          <cell r="T161">
            <v>4026</v>
          </cell>
          <cell r="U161">
            <v>84445</v>
          </cell>
        </row>
        <row r="162">
          <cell r="A162">
            <v>91441</v>
          </cell>
          <cell r="B162" t="str">
            <v>TOWN OF HARRISBURG</v>
          </cell>
          <cell r="C162">
            <v>9.5140000000000003E-4</v>
          </cell>
          <cell r="D162">
            <v>7.3800000000000005E-4</v>
          </cell>
          <cell r="E162">
            <v>316618</v>
          </cell>
          <cell r="F162">
            <v>1566283</v>
          </cell>
          <cell r="G162">
            <v>1453476</v>
          </cell>
          <cell r="H162"/>
          <cell r="I162">
            <v>83734</v>
          </cell>
          <cell r="J162">
            <v>352905</v>
          </cell>
          <cell r="K162">
            <v>207576</v>
          </cell>
          <cell r="L162">
            <v>46954</v>
          </cell>
          <cell r="M162"/>
          <cell r="N162">
            <v>41143</v>
          </cell>
          <cell r="O162">
            <v>0</v>
          </cell>
          <cell r="P162">
            <v>0</v>
          </cell>
          <cell r="Q162">
            <v>103301</v>
          </cell>
          <cell r="R162"/>
          <cell r="S162">
            <v>489823</v>
          </cell>
          <cell r="T162">
            <v>-39929</v>
          </cell>
          <cell r="U162">
            <v>449894</v>
          </cell>
        </row>
        <row r="163">
          <cell r="A163">
            <v>91451</v>
          </cell>
          <cell r="B163" t="str">
            <v>CITY OF LENOIR</v>
          </cell>
          <cell r="C163">
            <v>1.4760000000000001E-3</v>
          </cell>
          <cell r="D163">
            <v>1.5629000000000001E-3</v>
          </cell>
          <cell r="E163">
            <v>670223</v>
          </cell>
          <cell r="F163">
            <v>3316997</v>
          </cell>
          <cell r="G163">
            <v>2254919</v>
          </cell>
          <cell r="H163"/>
          <cell r="I163">
            <v>129904</v>
          </cell>
          <cell r="J163">
            <v>547497</v>
          </cell>
          <cell r="K163">
            <v>322034</v>
          </cell>
          <cell r="L163">
            <v>0</v>
          </cell>
          <cell r="M163"/>
          <cell r="N163">
            <v>63830</v>
          </cell>
          <cell r="O163">
            <v>0</v>
          </cell>
          <cell r="P163">
            <v>0</v>
          </cell>
          <cell r="Q163">
            <v>199933</v>
          </cell>
          <cell r="R163"/>
          <cell r="S163">
            <v>759910</v>
          </cell>
          <cell r="T163">
            <v>-85072</v>
          </cell>
          <cell r="U163">
            <v>674838</v>
          </cell>
        </row>
        <row r="164">
          <cell r="A164">
            <v>91457</v>
          </cell>
          <cell r="B164" t="str">
            <v>CITY OF LENOIR ABC BRD</v>
          </cell>
          <cell r="C164">
            <v>2.23E-5</v>
          </cell>
          <cell r="D164">
            <v>2.58E-5</v>
          </cell>
          <cell r="E164">
            <v>30670</v>
          </cell>
          <cell r="F164">
            <v>54756</v>
          </cell>
          <cell r="G164">
            <v>34068</v>
          </cell>
          <cell r="H164"/>
          <cell r="I164">
            <v>1963</v>
          </cell>
          <cell r="J164">
            <v>8272</v>
          </cell>
          <cell r="K164">
            <v>4865</v>
          </cell>
          <cell r="L164">
            <v>30858</v>
          </cell>
          <cell r="M164"/>
          <cell r="N164">
            <v>964</v>
          </cell>
          <cell r="O164">
            <v>0</v>
          </cell>
          <cell r="P164">
            <v>0</v>
          </cell>
          <cell r="Q164">
            <v>0</v>
          </cell>
          <cell r="R164"/>
          <cell r="S164">
            <v>11481</v>
          </cell>
          <cell r="T164">
            <v>10929</v>
          </cell>
          <cell r="U164">
            <v>22410</v>
          </cell>
        </row>
        <row r="165">
          <cell r="A165">
            <v>91461</v>
          </cell>
          <cell r="B165" t="str">
            <v>TOWN OF CAJAH'S MOUNTAIN</v>
          </cell>
          <cell r="C165">
            <v>9.3999999999999998E-6</v>
          </cell>
          <cell r="D165">
            <v>8.6999999999999997E-6</v>
          </cell>
          <cell r="E165">
            <v>2932</v>
          </cell>
          <cell r="F165">
            <v>18464</v>
          </cell>
          <cell r="G165">
            <v>14361</v>
          </cell>
          <cell r="H165"/>
          <cell r="I165">
            <v>827</v>
          </cell>
          <cell r="J165">
            <v>3487</v>
          </cell>
          <cell r="K165">
            <v>2051</v>
          </cell>
          <cell r="L165">
            <v>2052</v>
          </cell>
          <cell r="M165"/>
          <cell r="N165">
            <v>407</v>
          </cell>
          <cell r="O165">
            <v>0</v>
          </cell>
          <cell r="P165">
            <v>0</v>
          </cell>
          <cell r="Q165">
            <v>637</v>
          </cell>
          <cell r="R165"/>
          <cell r="S165">
            <v>4840</v>
          </cell>
          <cell r="T165">
            <v>945</v>
          </cell>
          <cell r="U165">
            <v>5785</v>
          </cell>
        </row>
        <row r="166">
          <cell r="A166">
            <v>91501</v>
          </cell>
          <cell r="B166" t="str">
            <v>CAMDEN COUNTY</v>
          </cell>
          <cell r="C166">
            <v>4.9700000000000005E-4</v>
          </cell>
          <cell r="D166">
            <v>5.1099999999999995E-4</v>
          </cell>
          <cell r="E166">
            <v>231246</v>
          </cell>
          <cell r="F166">
            <v>1084513</v>
          </cell>
          <cell r="G166">
            <v>759278</v>
          </cell>
          <cell r="H166"/>
          <cell r="I166">
            <v>43741</v>
          </cell>
          <cell r="J166">
            <v>184353</v>
          </cell>
          <cell r="K166">
            <v>108435</v>
          </cell>
          <cell r="L166">
            <v>24430</v>
          </cell>
          <cell r="M166"/>
          <cell r="N166">
            <v>21493</v>
          </cell>
          <cell r="O166">
            <v>0</v>
          </cell>
          <cell r="P166">
            <v>0</v>
          </cell>
          <cell r="Q166">
            <v>6922</v>
          </cell>
          <cell r="R166"/>
          <cell r="S166">
            <v>255877</v>
          </cell>
          <cell r="T166">
            <v>15592</v>
          </cell>
          <cell r="U166">
            <v>271469</v>
          </cell>
        </row>
        <row r="167">
          <cell r="A167">
            <v>91504</v>
          </cell>
          <cell r="B167" t="str">
            <v>CAMDEN COUNTY ABC BOARD</v>
          </cell>
          <cell r="C167">
            <v>9.7000000000000003E-6</v>
          </cell>
          <cell r="D167">
            <v>1.0200000000000001E-5</v>
          </cell>
          <cell r="E167">
            <v>6531</v>
          </cell>
          <cell r="F167">
            <v>21648</v>
          </cell>
          <cell r="G167">
            <v>14819</v>
          </cell>
          <cell r="H167"/>
          <cell r="I167">
            <v>854</v>
          </cell>
          <cell r="J167">
            <v>3599</v>
          </cell>
          <cell r="K167">
            <v>2116</v>
          </cell>
          <cell r="L167">
            <v>5620</v>
          </cell>
          <cell r="M167"/>
          <cell r="N167">
            <v>419</v>
          </cell>
          <cell r="O167">
            <v>0</v>
          </cell>
          <cell r="P167">
            <v>0</v>
          </cell>
          <cell r="Q167">
            <v>0</v>
          </cell>
          <cell r="R167"/>
          <cell r="S167">
            <v>4994</v>
          </cell>
          <cell r="T167">
            <v>2602</v>
          </cell>
          <cell r="U167">
            <v>7596</v>
          </cell>
        </row>
        <row r="168">
          <cell r="A168">
            <v>91601</v>
          </cell>
          <cell r="B168" t="str">
            <v>CARTERET COUNTY</v>
          </cell>
          <cell r="C168">
            <v>2.8040000000000001E-3</v>
          </cell>
          <cell r="D168">
            <v>2.9077999999999999E-3</v>
          </cell>
          <cell r="E168">
            <v>1323806</v>
          </cell>
          <cell r="F168">
            <v>6171326</v>
          </cell>
          <cell r="G168">
            <v>4283735</v>
          </cell>
          <cell r="H168"/>
          <cell r="I168">
            <v>246783</v>
          </cell>
          <cell r="J168">
            <v>1040096</v>
          </cell>
          <cell r="K168">
            <v>611777</v>
          </cell>
          <cell r="L168">
            <v>168530</v>
          </cell>
          <cell r="M168"/>
          <cell r="N168">
            <v>121259</v>
          </cell>
          <cell r="O168">
            <v>0</v>
          </cell>
          <cell r="P168">
            <v>0</v>
          </cell>
          <cell r="Q168">
            <v>40367</v>
          </cell>
          <cell r="R168"/>
          <cell r="S168">
            <v>1443623</v>
          </cell>
          <cell r="T168">
            <v>76132</v>
          </cell>
          <cell r="U168">
            <v>1519755</v>
          </cell>
        </row>
        <row r="169">
          <cell r="A169">
            <v>91604</v>
          </cell>
          <cell r="B169" t="str">
            <v>CARTERET COUNTY ABC BOARD</v>
          </cell>
          <cell r="C169">
            <v>8.8499999999999996E-5</v>
          </cell>
          <cell r="D169">
            <v>8.6799999999999996E-5</v>
          </cell>
          <cell r="E169">
            <v>50507</v>
          </cell>
          <cell r="F169">
            <v>184219</v>
          </cell>
          <cell r="G169">
            <v>135203</v>
          </cell>
          <cell r="H169"/>
          <cell r="I169">
            <v>7789</v>
          </cell>
          <cell r="J169">
            <v>32827</v>
          </cell>
          <cell r="K169">
            <v>19309</v>
          </cell>
          <cell r="L169">
            <v>20977</v>
          </cell>
          <cell r="M169"/>
          <cell r="N169">
            <v>3827</v>
          </cell>
          <cell r="O169">
            <v>0</v>
          </cell>
          <cell r="P169">
            <v>0</v>
          </cell>
          <cell r="Q169">
            <v>0</v>
          </cell>
          <cell r="R169"/>
          <cell r="S169">
            <v>45564</v>
          </cell>
          <cell r="T169">
            <v>7680</v>
          </cell>
          <cell r="U169">
            <v>53244</v>
          </cell>
        </row>
        <row r="170">
          <cell r="A170">
            <v>91608</v>
          </cell>
          <cell r="B170" t="str">
            <v>WESTERN CARTERET INTERLOCAL COOPERATION AGENCY</v>
          </cell>
          <cell r="C170">
            <v>1.5349999999999999E-4</v>
          </cell>
          <cell r="D170">
            <v>1.208E-4</v>
          </cell>
          <cell r="E170">
            <v>45013</v>
          </cell>
          <cell r="F170">
            <v>256378</v>
          </cell>
          <cell r="G170">
            <v>234505</v>
          </cell>
          <cell r="H170"/>
          <cell r="I170">
            <v>13510</v>
          </cell>
          <cell r="J170">
            <v>56938</v>
          </cell>
          <cell r="K170">
            <v>33491</v>
          </cell>
          <cell r="L170">
            <v>2430</v>
          </cell>
          <cell r="M170"/>
          <cell r="N170">
            <v>6638</v>
          </cell>
          <cell r="O170">
            <v>0</v>
          </cell>
          <cell r="P170">
            <v>0</v>
          </cell>
          <cell r="Q170">
            <v>28763</v>
          </cell>
          <cell r="R170"/>
          <cell r="S170">
            <v>79029</v>
          </cell>
          <cell r="T170">
            <v>-12888</v>
          </cell>
          <cell r="U170">
            <v>66141</v>
          </cell>
        </row>
        <row r="171">
          <cell r="A171">
            <v>91611</v>
          </cell>
          <cell r="B171" t="str">
            <v>TOWN OF MOREHEAD CITY</v>
          </cell>
          <cell r="C171">
            <v>1.4708E-3</v>
          </cell>
          <cell r="D171">
            <v>1.4345E-3</v>
          </cell>
          <cell r="E171">
            <v>598449</v>
          </cell>
          <cell r="F171">
            <v>3044490</v>
          </cell>
          <cell r="G171">
            <v>2246975</v>
          </cell>
          <cell r="H171"/>
          <cell r="I171">
            <v>129447</v>
          </cell>
          <cell r="J171">
            <v>545569</v>
          </cell>
          <cell r="K171">
            <v>320899</v>
          </cell>
          <cell r="L171">
            <v>19333</v>
          </cell>
          <cell r="M171"/>
          <cell r="N171">
            <v>63605</v>
          </cell>
          <cell r="O171">
            <v>0</v>
          </cell>
          <cell r="P171">
            <v>0</v>
          </cell>
          <cell r="Q171">
            <v>53335</v>
          </cell>
          <cell r="R171"/>
          <cell r="S171">
            <v>757233</v>
          </cell>
          <cell r="T171">
            <v>2483</v>
          </cell>
          <cell r="U171">
            <v>759716</v>
          </cell>
        </row>
        <row r="172">
          <cell r="A172">
            <v>91621</v>
          </cell>
          <cell r="B172" t="str">
            <v>TOWN OF NEWPORT</v>
          </cell>
          <cell r="C172">
            <v>2.7050000000000002E-4</v>
          </cell>
          <cell r="D172">
            <v>2.5240000000000001E-4</v>
          </cell>
          <cell r="E172">
            <v>108514</v>
          </cell>
          <cell r="F172">
            <v>535677</v>
          </cell>
          <cell r="G172">
            <v>413249</v>
          </cell>
          <cell r="H172"/>
          <cell r="I172">
            <v>23807</v>
          </cell>
          <cell r="J172">
            <v>100337</v>
          </cell>
          <cell r="K172">
            <v>59018</v>
          </cell>
          <cell r="L172">
            <v>13260</v>
          </cell>
          <cell r="M172"/>
          <cell r="N172">
            <v>11698</v>
          </cell>
          <cell r="O172">
            <v>0</v>
          </cell>
          <cell r="P172">
            <v>0</v>
          </cell>
          <cell r="Q172">
            <v>14620</v>
          </cell>
          <cell r="R172"/>
          <cell r="S172">
            <v>139265</v>
          </cell>
          <cell r="T172">
            <v>-4185</v>
          </cell>
          <cell r="U172">
            <v>135080</v>
          </cell>
        </row>
        <row r="173">
          <cell r="A173">
            <v>91631</v>
          </cell>
          <cell r="B173" t="str">
            <v>TOWN OF BEAUFORT</v>
          </cell>
          <cell r="C173">
            <v>5.2249999999999996E-4</v>
          </cell>
          <cell r="D173">
            <v>5.3870000000000003E-4</v>
          </cell>
          <cell r="E173">
            <v>219722</v>
          </cell>
          <cell r="F173">
            <v>1143302</v>
          </cell>
          <cell r="G173">
            <v>798235</v>
          </cell>
          <cell r="H173"/>
          <cell r="I173">
            <v>45986</v>
          </cell>
          <cell r="J173">
            <v>193812</v>
          </cell>
          <cell r="K173">
            <v>113999</v>
          </cell>
          <cell r="L173">
            <v>0</v>
          </cell>
          <cell r="M173"/>
          <cell r="N173">
            <v>22596</v>
          </cell>
          <cell r="O173">
            <v>0</v>
          </cell>
          <cell r="P173">
            <v>0</v>
          </cell>
          <cell r="Q173">
            <v>52272</v>
          </cell>
          <cell r="R173"/>
          <cell r="S173">
            <v>269006</v>
          </cell>
          <cell r="T173">
            <v>-16747</v>
          </cell>
          <cell r="U173">
            <v>252259</v>
          </cell>
        </row>
        <row r="174">
          <cell r="A174">
            <v>91633</v>
          </cell>
          <cell r="B174" t="str">
            <v>BEAUFORT HOUSING AUTH</v>
          </cell>
          <cell r="C174">
            <v>2.51E-5</v>
          </cell>
          <cell r="D174">
            <v>2.3799999999999999E-5</v>
          </cell>
          <cell r="E174">
            <v>11022</v>
          </cell>
          <cell r="F174">
            <v>50512</v>
          </cell>
          <cell r="G174">
            <v>38346</v>
          </cell>
          <cell r="H174"/>
          <cell r="I174">
            <v>2209</v>
          </cell>
          <cell r="J174">
            <v>9311</v>
          </cell>
          <cell r="K174">
            <v>5476</v>
          </cell>
          <cell r="L174">
            <v>1513</v>
          </cell>
          <cell r="M174"/>
          <cell r="N174">
            <v>1085</v>
          </cell>
          <cell r="O174">
            <v>0</v>
          </cell>
          <cell r="P174">
            <v>0</v>
          </cell>
          <cell r="Q174">
            <v>3215</v>
          </cell>
          <cell r="R174"/>
          <cell r="S174">
            <v>12923</v>
          </cell>
          <cell r="T174">
            <v>-1367</v>
          </cell>
          <cell r="U174">
            <v>11556</v>
          </cell>
        </row>
        <row r="175">
          <cell r="A175">
            <v>91641</v>
          </cell>
          <cell r="B175" t="str">
            <v>TOWN OF PINE KNOLL SHORES</v>
          </cell>
          <cell r="C175">
            <v>3.1139999999999998E-4</v>
          </cell>
          <cell r="D175">
            <v>2.742E-4</v>
          </cell>
          <cell r="E175">
            <v>104379</v>
          </cell>
          <cell r="F175">
            <v>581944</v>
          </cell>
          <cell r="G175">
            <v>475733</v>
          </cell>
          <cell r="H175"/>
          <cell r="I175">
            <v>27407</v>
          </cell>
          <cell r="J175">
            <v>115509</v>
          </cell>
          <cell r="K175">
            <v>67941</v>
          </cell>
          <cell r="L175">
            <v>0</v>
          </cell>
          <cell r="M175"/>
          <cell r="N175">
            <v>13466</v>
          </cell>
          <cell r="O175">
            <v>0</v>
          </cell>
          <cell r="P175">
            <v>0</v>
          </cell>
          <cell r="Q175">
            <v>55139</v>
          </cell>
          <cell r="R175"/>
          <cell r="S175">
            <v>160322</v>
          </cell>
          <cell r="T175">
            <v>-25877</v>
          </cell>
          <cell r="U175">
            <v>134445</v>
          </cell>
        </row>
        <row r="176">
          <cell r="A176">
            <v>91651</v>
          </cell>
          <cell r="B176" t="str">
            <v>TOWN OF EMERALD ISLE</v>
          </cell>
          <cell r="C176">
            <v>4.4440000000000001E-4</v>
          </cell>
          <cell r="D176">
            <v>4.6099999999999998E-4</v>
          </cell>
          <cell r="E176">
            <v>205102</v>
          </cell>
          <cell r="F176">
            <v>978396</v>
          </cell>
          <cell r="G176">
            <v>678920</v>
          </cell>
          <cell r="H176"/>
          <cell r="I176">
            <v>39112</v>
          </cell>
          <cell r="J176">
            <v>164843</v>
          </cell>
          <cell r="K176">
            <v>96959</v>
          </cell>
          <cell r="L176">
            <v>0</v>
          </cell>
          <cell r="M176"/>
          <cell r="N176">
            <v>19218</v>
          </cell>
          <cell r="O176">
            <v>0</v>
          </cell>
          <cell r="P176">
            <v>0</v>
          </cell>
          <cell r="Q176">
            <v>30696</v>
          </cell>
          <cell r="R176"/>
          <cell r="S176">
            <v>228797</v>
          </cell>
          <cell r="T176">
            <v>-12407</v>
          </cell>
          <cell r="U176">
            <v>216390</v>
          </cell>
        </row>
        <row r="177">
          <cell r="A177">
            <v>91661</v>
          </cell>
          <cell r="B177" t="str">
            <v>TOWN OF INDIAN BEACH</v>
          </cell>
          <cell r="C177">
            <v>1.673E-4</v>
          </cell>
          <cell r="D177">
            <v>1.6750000000000001E-4</v>
          </cell>
          <cell r="E177">
            <v>56241</v>
          </cell>
          <cell r="F177">
            <v>355491</v>
          </cell>
          <cell r="G177">
            <v>255588</v>
          </cell>
          <cell r="H177"/>
          <cell r="I177">
            <v>14724</v>
          </cell>
          <cell r="J177">
            <v>62057</v>
          </cell>
          <cell r="K177">
            <v>36502</v>
          </cell>
          <cell r="L177">
            <v>0</v>
          </cell>
          <cell r="M177"/>
          <cell r="N177">
            <v>7235</v>
          </cell>
          <cell r="O177">
            <v>0</v>
          </cell>
          <cell r="P177">
            <v>0</v>
          </cell>
          <cell r="Q177">
            <v>45519</v>
          </cell>
          <cell r="R177"/>
          <cell r="S177">
            <v>86133</v>
          </cell>
          <cell r="T177">
            <v>-16188</v>
          </cell>
          <cell r="U177">
            <v>69945</v>
          </cell>
        </row>
        <row r="178">
          <cell r="A178">
            <v>91671</v>
          </cell>
          <cell r="B178" t="str">
            <v>TOWN OF CAPE CARTERET</v>
          </cell>
          <cell r="C178">
            <v>9.6700000000000006E-5</v>
          </cell>
          <cell r="D178">
            <v>9.7600000000000001E-5</v>
          </cell>
          <cell r="E178">
            <v>43651</v>
          </cell>
          <cell r="F178">
            <v>207140</v>
          </cell>
          <cell r="G178">
            <v>147731</v>
          </cell>
          <cell r="H178"/>
          <cell r="I178">
            <v>8511</v>
          </cell>
          <cell r="J178">
            <v>35869</v>
          </cell>
          <cell r="K178">
            <v>21098</v>
          </cell>
          <cell r="L178">
            <v>11497</v>
          </cell>
          <cell r="M178"/>
          <cell r="N178">
            <v>4182</v>
          </cell>
          <cell r="O178">
            <v>0</v>
          </cell>
          <cell r="P178">
            <v>0</v>
          </cell>
          <cell r="Q178">
            <v>1197</v>
          </cell>
          <cell r="R178"/>
          <cell r="S178">
            <v>49785</v>
          </cell>
          <cell r="T178">
            <v>5725</v>
          </cell>
          <cell r="U178">
            <v>55510</v>
          </cell>
        </row>
        <row r="179">
          <cell r="A179">
            <v>91681</v>
          </cell>
          <cell r="B179" t="str">
            <v>TOWN OF ATLANTIC BEACH</v>
          </cell>
          <cell r="C179">
            <v>4.728E-4</v>
          </cell>
          <cell r="D179">
            <v>4.7130000000000002E-4</v>
          </cell>
          <cell r="E179">
            <v>387832</v>
          </cell>
          <cell r="F179">
            <v>1000256</v>
          </cell>
          <cell r="G179">
            <v>722307</v>
          </cell>
          <cell r="H179"/>
          <cell r="I179">
            <v>41612</v>
          </cell>
          <cell r="J179">
            <v>175378</v>
          </cell>
          <cell r="K179">
            <v>103156</v>
          </cell>
          <cell r="L179">
            <v>274278</v>
          </cell>
          <cell r="M179"/>
          <cell r="N179">
            <v>20446</v>
          </cell>
          <cell r="O179">
            <v>0</v>
          </cell>
          <cell r="P179">
            <v>0</v>
          </cell>
          <cell r="Q179">
            <v>4516</v>
          </cell>
          <cell r="R179"/>
          <cell r="S179">
            <v>243418</v>
          </cell>
          <cell r="T179">
            <v>89641</v>
          </cell>
          <cell r="U179">
            <v>333059</v>
          </cell>
        </row>
        <row r="180">
          <cell r="A180">
            <v>91691</v>
          </cell>
          <cell r="B180" t="str">
            <v>TOWN OF CEDAR POINT</v>
          </cell>
          <cell r="C180">
            <v>2.3200000000000001E-5</v>
          </cell>
          <cell r="D180">
            <v>2.4199999999999999E-5</v>
          </cell>
          <cell r="E180">
            <v>10219</v>
          </cell>
          <cell r="F180">
            <v>51361</v>
          </cell>
          <cell r="G180">
            <v>35443</v>
          </cell>
          <cell r="H180"/>
          <cell r="I180">
            <v>2042</v>
          </cell>
          <cell r="J180">
            <v>8605</v>
          </cell>
          <cell r="K180">
            <v>5062</v>
          </cell>
          <cell r="L180">
            <v>1782</v>
          </cell>
          <cell r="M180"/>
          <cell r="N180">
            <v>1003</v>
          </cell>
          <cell r="O180">
            <v>0</v>
          </cell>
          <cell r="P180">
            <v>0</v>
          </cell>
          <cell r="Q180">
            <v>1533</v>
          </cell>
          <cell r="R180"/>
          <cell r="S180">
            <v>11944</v>
          </cell>
          <cell r="T180">
            <v>129</v>
          </cell>
          <cell r="U180">
            <v>12073</v>
          </cell>
        </row>
        <row r="181">
          <cell r="A181">
            <v>91701</v>
          </cell>
          <cell r="B181" t="str">
            <v>CASWELL COUNTY</v>
          </cell>
          <cell r="C181">
            <v>1.2451999999999999E-3</v>
          </cell>
          <cell r="D181">
            <v>1.0897000000000001E-3</v>
          </cell>
          <cell r="E181">
            <v>542906</v>
          </cell>
          <cell r="F181">
            <v>2312708</v>
          </cell>
          <cell r="G181">
            <v>1902321</v>
          </cell>
          <cell r="H181"/>
          <cell r="I181">
            <v>109591</v>
          </cell>
          <cell r="J181">
            <v>461886</v>
          </cell>
          <cell r="K181">
            <v>271678</v>
          </cell>
          <cell r="L181">
            <v>95964</v>
          </cell>
          <cell r="M181"/>
          <cell r="N181">
            <v>53849</v>
          </cell>
          <cell r="O181">
            <v>0</v>
          </cell>
          <cell r="P181">
            <v>0</v>
          </cell>
          <cell r="Q181">
            <v>6949</v>
          </cell>
          <cell r="R181"/>
          <cell r="S181">
            <v>641084</v>
          </cell>
          <cell r="T181">
            <v>18725</v>
          </cell>
          <cell r="U181">
            <v>659809</v>
          </cell>
        </row>
        <row r="182">
          <cell r="A182">
            <v>91704</v>
          </cell>
          <cell r="B182" t="str">
            <v>CASWELL COUNTY ABC BOARD</v>
          </cell>
          <cell r="C182">
            <v>1.73E-5</v>
          </cell>
          <cell r="D182">
            <v>1.6699999999999999E-5</v>
          </cell>
          <cell r="E182">
            <v>7506</v>
          </cell>
          <cell r="F182">
            <v>35443</v>
          </cell>
          <cell r="G182">
            <v>26430</v>
          </cell>
          <cell r="H182"/>
          <cell r="I182">
            <v>1523</v>
          </cell>
          <cell r="J182">
            <v>6417</v>
          </cell>
          <cell r="K182">
            <v>3775</v>
          </cell>
          <cell r="L182">
            <v>1084</v>
          </cell>
          <cell r="M182"/>
          <cell r="N182">
            <v>748</v>
          </cell>
          <cell r="O182">
            <v>0</v>
          </cell>
          <cell r="P182">
            <v>0</v>
          </cell>
          <cell r="Q182">
            <v>0</v>
          </cell>
          <cell r="R182"/>
          <cell r="S182">
            <v>8907</v>
          </cell>
          <cell r="T182">
            <v>641</v>
          </cell>
          <cell r="U182">
            <v>9548</v>
          </cell>
        </row>
        <row r="183">
          <cell r="A183">
            <v>91706</v>
          </cell>
          <cell r="B183" t="str">
            <v>CASWELL CO DEPT OF SOCIAL SERVICES</v>
          </cell>
          <cell r="C183">
            <v>2.4340000000000001E-4</v>
          </cell>
          <cell r="D183">
            <v>2.4279999999999999E-4</v>
          </cell>
          <cell r="E183">
            <v>121963</v>
          </cell>
          <cell r="F183">
            <v>515303</v>
          </cell>
          <cell r="G183">
            <v>371848</v>
          </cell>
          <cell r="H183"/>
          <cell r="I183">
            <v>21422</v>
          </cell>
          <cell r="J183">
            <v>90285</v>
          </cell>
          <cell r="K183">
            <v>53105</v>
          </cell>
          <cell r="L183">
            <v>9101</v>
          </cell>
          <cell r="M183"/>
          <cell r="N183">
            <v>10526</v>
          </cell>
          <cell r="O183">
            <v>0</v>
          </cell>
          <cell r="P183">
            <v>0</v>
          </cell>
          <cell r="Q183">
            <v>8271</v>
          </cell>
          <cell r="R183"/>
          <cell r="S183">
            <v>125313</v>
          </cell>
          <cell r="T183">
            <v>-4120</v>
          </cell>
          <cell r="U183">
            <v>121193</v>
          </cell>
        </row>
        <row r="184">
          <cell r="A184">
            <v>91719</v>
          </cell>
          <cell r="B184" t="str">
            <v>TOWN OF YANCEYVILLE</v>
          </cell>
          <cell r="C184">
            <v>4.9700000000000002E-5</v>
          </cell>
          <cell r="D184">
            <v>4.9299999999999999E-5</v>
          </cell>
          <cell r="E184">
            <v>19656</v>
          </cell>
          <cell r="F184">
            <v>104631</v>
          </cell>
          <cell r="G184">
            <v>75928</v>
          </cell>
          <cell r="H184"/>
          <cell r="I184">
            <v>4374</v>
          </cell>
          <cell r="J184">
            <v>18435</v>
          </cell>
          <cell r="K184">
            <v>10844</v>
          </cell>
          <cell r="L184">
            <v>4395</v>
          </cell>
          <cell r="M184"/>
          <cell r="N184">
            <v>2149</v>
          </cell>
          <cell r="O184">
            <v>0</v>
          </cell>
          <cell r="P184">
            <v>0</v>
          </cell>
          <cell r="Q184">
            <v>4419</v>
          </cell>
          <cell r="R184"/>
          <cell r="S184">
            <v>25588</v>
          </cell>
          <cell r="T184">
            <v>37</v>
          </cell>
          <cell r="U184">
            <v>25625</v>
          </cell>
        </row>
        <row r="185">
          <cell r="A185">
            <v>91801</v>
          </cell>
          <cell r="B185" t="str">
            <v>CATAWBA COUNTY</v>
          </cell>
          <cell r="C185">
            <v>8.0961000000000002E-3</v>
          </cell>
          <cell r="D185">
            <v>8.3853999999999995E-3</v>
          </cell>
          <cell r="E185">
            <v>3752769</v>
          </cell>
          <cell r="F185">
            <v>17796628</v>
          </cell>
          <cell r="G185">
            <v>12368598</v>
          </cell>
          <cell r="H185"/>
          <cell r="I185">
            <v>712546</v>
          </cell>
          <cell r="J185">
            <v>3003111</v>
          </cell>
          <cell r="K185">
            <v>1766407</v>
          </cell>
          <cell r="L185">
            <v>0</v>
          </cell>
          <cell r="M185"/>
          <cell r="N185">
            <v>350116</v>
          </cell>
          <cell r="O185">
            <v>0</v>
          </cell>
          <cell r="P185">
            <v>0</v>
          </cell>
          <cell r="Q185">
            <v>242225</v>
          </cell>
          <cell r="R185"/>
          <cell r="S185">
            <v>4168229</v>
          </cell>
          <cell r="T185">
            <v>-87031</v>
          </cell>
          <cell r="U185">
            <v>4081198</v>
          </cell>
        </row>
        <row r="186">
          <cell r="A186">
            <v>91804</v>
          </cell>
          <cell r="B186" t="str">
            <v>CATAWBA COUNTY ABC BOARD</v>
          </cell>
          <cell r="C186">
            <v>1.3439999999999999E-4</v>
          </cell>
          <cell r="D186">
            <v>1.462E-4</v>
          </cell>
          <cell r="E186">
            <v>95886</v>
          </cell>
          <cell r="F186">
            <v>310285</v>
          </cell>
          <cell r="G186">
            <v>205326</v>
          </cell>
          <cell r="H186"/>
          <cell r="I186">
            <v>11829</v>
          </cell>
          <cell r="J186">
            <v>49854</v>
          </cell>
          <cell r="K186">
            <v>29323</v>
          </cell>
          <cell r="L186">
            <v>55699</v>
          </cell>
          <cell r="M186"/>
          <cell r="N186">
            <v>5812</v>
          </cell>
          <cell r="O186">
            <v>0</v>
          </cell>
          <cell r="P186">
            <v>0</v>
          </cell>
          <cell r="Q186">
            <v>0</v>
          </cell>
          <cell r="R186"/>
          <cell r="S186">
            <v>69195</v>
          </cell>
          <cell r="T186">
            <v>23621</v>
          </cell>
          <cell r="U186">
            <v>92816</v>
          </cell>
        </row>
        <row r="187">
          <cell r="A187">
            <v>91811</v>
          </cell>
          <cell r="B187" t="str">
            <v>CITY OF HICKORY</v>
          </cell>
          <cell r="C187">
            <v>4.5555999999999999E-3</v>
          </cell>
          <cell r="D187">
            <v>4.6454000000000001E-3</v>
          </cell>
          <cell r="E187">
            <v>1964158</v>
          </cell>
          <cell r="F187">
            <v>9859095</v>
          </cell>
          <cell r="G187">
            <v>6959695</v>
          </cell>
          <cell r="H187"/>
          <cell r="I187">
            <v>400943</v>
          </cell>
          <cell r="J187">
            <v>1689822</v>
          </cell>
          <cell r="K187">
            <v>993941</v>
          </cell>
          <cell r="L187">
            <v>0</v>
          </cell>
          <cell r="M187"/>
          <cell r="N187">
            <v>197007</v>
          </cell>
          <cell r="O187">
            <v>0</v>
          </cell>
          <cell r="P187">
            <v>0</v>
          </cell>
          <cell r="Q187">
            <v>519421</v>
          </cell>
          <cell r="R187"/>
          <cell r="S187">
            <v>2345423</v>
          </cell>
          <cell r="T187">
            <v>-197590</v>
          </cell>
          <cell r="U187">
            <v>2147833</v>
          </cell>
        </row>
        <row r="188">
          <cell r="A188">
            <v>91812</v>
          </cell>
          <cell r="B188" t="str">
            <v>HICKORY CONOVER TOURISM DEV AUTH</v>
          </cell>
          <cell r="C188">
            <v>5.0800000000000002E-5</v>
          </cell>
          <cell r="D188">
            <v>5.8199999999999998E-5</v>
          </cell>
          <cell r="E188">
            <v>26136</v>
          </cell>
          <cell r="F188">
            <v>123520</v>
          </cell>
          <cell r="G188">
            <v>77608</v>
          </cell>
          <cell r="H188"/>
          <cell r="I188">
            <v>4471</v>
          </cell>
          <cell r="J188">
            <v>18843</v>
          </cell>
          <cell r="K188">
            <v>11084</v>
          </cell>
          <cell r="L188">
            <v>11326</v>
          </cell>
          <cell r="M188"/>
          <cell r="N188">
            <v>2197</v>
          </cell>
          <cell r="O188">
            <v>0</v>
          </cell>
          <cell r="P188">
            <v>0</v>
          </cell>
          <cell r="Q188">
            <v>2710</v>
          </cell>
          <cell r="R188"/>
          <cell r="S188">
            <v>26154</v>
          </cell>
          <cell r="T188">
            <v>4584</v>
          </cell>
          <cell r="U188">
            <v>30738</v>
          </cell>
        </row>
        <row r="189">
          <cell r="A189">
            <v>91813</v>
          </cell>
          <cell r="B189" t="str">
            <v>HICKORY PUBLIC HOUSING AUTHORITY</v>
          </cell>
          <cell r="C189">
            <v>8.6100000000000006E-5</v>
          </cell>
          <cell r="D189">
            <v>1.083E-4</v>
          </cell>
          <cell r="E189">
            <v>44452</v>
          </cell>
          <cell r="F189">
            <v>229849</v>
          </cell>
          <cell r="G189">
            <v>131537</v>
          </cell>
          <cell r="H189"/>
          <cell r="I189">
            <v>7578</v>
          </cell>
          <cell r="J189">
            <v>31938</v>
          </cell>
          <cell r="K189">
            <v>18785</v>
          </cell>
          <cell r="L189">
            <v>10986</v>
          </cell>
          <cell r="M189"/>
          <cell r="N189">
            <v>3723</v>
          </cell>
          <cell r="O189">
            <v>0</v>
          </cell>
          <cell r="P189">
            <v>0</v>
          </cell>
          <cell r="Q189">
            <v>13565</v>
          </cell>
          <cell r="R189"/>
          <cell r="S189">
            <v>44328</v>
          </cell>
          <cell r="T189">
            <v>-155</v>
          </cell>
          <cell r="U189">
            <v>44173</v>
          </cell>
        </row>
        <row r="190">
          <cell r="A190">
            <v>91818</v>
          </cell>
          <cell r="B190" t="str">
            <v>WESTERN PIEDMONT COUNCIL OF GVMTS</v>
          </cell>
          <cell r="C190">
            <v>4.0079999999999998E-4</v>
          </cell>
          <cell r="D190">
            <v>3.8559999999999999E-4</v>
          </cell>
          <cell r="E190">
            <v>453409</v>
          </cell>
          <cell r="F190">
            <v>818372</v>
          </cell>
          <cell r="G190">
            <v>612311</v>
          </cell>
          <cell r="H190"/>
          <cell r="I190">
            <v>35275</v>
          </cell>
          <cell r="J190">
            <v>148670</v>
          </cell>
          <cell r="K190">
            <v>87447</v>
          </cell>
          <cell r="L190">
            <v>469231</v>
          </cell>
          <cell r="M190"/>
          <cell r="N190">
            <v>17333</v>
          </cell>
          <cell r="O190">
            <v>0</v>
          </cell>
          <cell r="P190">
            <v>0</v>
          </cell>
          <cell r="Q190">
            <v>5024</v>
          </cell>
          <cell r="R190"/>
          <cell r="S190">
            <v>206349</v>
          </cell>
          <cell r="T190">
            <v>155106</v>
          </cell>
          <cell r="U190">
            <v>361455</v>
          </cell>
        </row>
        <row r="191">
          <cell r="A191">
            <v>91819</v>
          </cell>
          <cell r="B191" t="str">
            <v>WESTERN PIEDMONT REGIONAL TRANSIT AUTHORITY</v>
          </cell>
          <cell r="C191">
            <v>2.8489999999999999E-4</v>
          </cell>
          <cell r="D191">
            <v>2.8200000000000002E-4</v>
          </cell>
          <cell r="E191">
            <v>138657</v>
          </cell>
          <cell r="F191">
            <v>598498</v>
          </cell>
          <cell r="G191">
            <v>435248</v>
          </cell>
          <cell r="H191"/>
          <cell r="I191">
            <v>25074</v>
          </cell>
          <cell r="J191">
            <v>105678</v>
          </cell>
          <cell r="K191">
            <v>62159</v>
          </cell>
          <cell r="L191">
            <v>15073</v>
          </cell>
          <cell r="M191"/>
          <cell r="N191">
            <v>12321</v>
          </cell>
          <cell r="O191">
            <v>0</v>
          </cell>
          <cell r="P191">
            <v>0</v>
          </cell>
          <cell r="Q191">
            <v>8276</v>
          </cell>
          <cell r="R191"/>
          <cell r="S191">
            <v>146679</v>
          </cell>
          <cell r="T191">
            <v>5278</v>
          </cell>
          <cell r="U191">
            <v>151957</v>
          </cell>
        </row>
        <row r="192">
          <cell r="A192">
            <v>91821</v>
          </cell>
          <cell r="B192" t="str">
            <v>CITY OF CLAREMONT</v>
          </cell>
          <cell r="C192">
            <v>1.7330000000000001E-4</v>
          </cell>
          <cell r="D192">
            <v>1.63E-4</v>
          </cell>
          <cell r="E192">
            <v>71126</v>
          </cell>
          <cell r="F192">
            <v>345941</v>
          </cell>
          <cell r="G192">
            <v>264754</v>
          </cell>
          <cell r="H192"/>
          <cell r="I192">
            <v>15252</v>
          </cell>
          <cell r="J192">
            <v>64283</v>
          </cell>
          <cell r="K192">
            <v>37811</v>
          </cell>
          <cell r="L192">
            <v>2434</v>
          </cell>
          <cell r="M192"/>
          <cell r="N192">
            <v>7494</v>
          </cell>
          <cell r="O192">
            <v>0</v>
          </cell>
          <cell r="P192">
            <v>0</v>
          </cell>
          <cell r="Q192">
            <v>1112</v>
          </cell>
          <cell r="R192"/>
          <cell r="S192">
            <v>89222</v>
          </cell>
          <cell r="T192">
            <v>1572</v>
          </cell>
          <cell r="U192">
            <v>90794</v>
          </cell>
        </row>
        <row r="193">
          <cell r="A193">
            <v>91831</v>
          </cell>
          <cell r="B193" t="str">
            <v>TOWN OF MAIDEN</v>
          </cell>
          <cell r="C193">
            <v>3.366E-4</v>
          </cell>
          <cell r="D193">
            <v>3.414E-4</v>
          </cell>
          <cell r="E193">
            <v>150178</v>
          </cell>
          <cell r="F193">
            <v>724565</v>
          </cell>
          <cell r="G193">
            <v>514232</v>
          </cell>
          <cell r="H193"/>
          <cell r="I193">
            <v>29625</v>
          </cell>
          <cell r="J193">
            <v>124856</v>
          </cell>
          <cell r="K193">
            <v>73439</v>
          </cell>
          <cell r="L193">
            <v>7847</v>
          </cell>
          <cell r="M193"/>
          <cell r="N193">
            <v>14556</v>
          </cell>
          <cell r="O193">
            <v>0</v>
          </cell>
          <cell r="P193">
            <v>0</v>
          </cell>
          <cell r="Q193">
            <v>13475</v>
          </cell>
          <cell r="R193"/>
          <cell r="S193">
            <v>173296</v>
          </cell>
          <cell r="T193">
            <v>520</v>
          </cell>
          <cell r="U193">
            <v>173816</v>
          </cell>
        </row>
        <row r="194">
          <cell r="A194">
            <v>91841</v>
          </cell>
          <cell r="B194" t="str">
            <v>THE TOWN OF LONGVIEW</v>
          </cell>
          <cell r="C194">
            <v>2.5339999999999998E-4</v>
          </cell>
          <cell r="D194">
            <v>2.63E-4</v>
          </cell>
          <cell r="E194">
            <v>126479</v>
          </cell>
          <cell r="F194">
            <v>558174</v>
          </cell>
          <cell r="G194">
            <v>387125</v>
          </cell>
          <cell r="H194"/>
          <cell r="I194">
            <v>22302</v>
          </cell>
          <cell r="J194">
            <v>93994</v>
          </cell>
          <cell r="K194">
            <v>55287</v>
          </cell>
          <cell r="L194">
            <v>1681</v>
          </cell>
          <cell r="M194"/>
          <cell r="N194">
            <v>10958</v>
          </cell>
          <cell r="O194">
            <v>0</v>
          </cell>
          <cell r="P194">
            <v>0</v>
          </cell>
          <cell r="Q194">
            <v>14711</v>
          </cell>
          <cell r="R194"/>
          <cell r="S194">
            <v>130461</v>
          </cell>
          <cell r="T194">
            <v>-9727</v>
          </cell>
          <cell r="U194">
            <v>120734</v>
          </cell>
        </row>
        <row r="195">
          <cell r="A195">
            <v>91851</v>
          </cell>
          <cell r="B195" t="str">
            <v>TOWN OF CONOVER</v>
          </cell>
          <cell r="C195">
            <v>7.4910000000000005E-4</v>
          </cell>
          <cell r="D195">
            <v>7.2059999999999995E-4</v>
          </cell>
          <cell r="E195">
            <v>326836</v>
          </cell>
          <cell r="F195">
            <v>1529355</v>
          </cell>
          <cell r="G195">
            <v>1144417</v>
          </cell>
          <cell r="H195"/>
          <cell r="I195">
            <v>65929</v>
          </cell>
          <cell r="J195">
            <v>277866</v>
          </cell>
          <cell r="K195">
            <v>163439</v>
          </cell>
          <cell r="L195">
            <v>9030</v>
          </cell>
          <cell r="M195"/>
          <cell r="N195">
            <v>32395</v>
          </cell>
          <cell r="O195">
            <v>0</v>
          </cell>
          <cell r="P195">
            <v>0</v>
          </cell>
          <cell r="Q195">
            <v>44287</v>
          </cell>
          <cell r="R195"/>
          <cell r="S195">
            <v>385670</v>
          </cell>
          <cell r="T195">
            <v>-13424</v>
          </cell>
          <cell r="U195">
            <v>372246</v>
          </cell>
        </row>
        <row r="196">
          <cell r="A196">
            <v>91861</v>
          </cell>
          <cell r="B196" t="str">
            <v>TOWN OF BROOKFORD</v>
          </cell>
          <cell r="C196">
            <v>1.9700000000000001E-5</v>
          </cell>
          <cell r="D196">
            <v>1.9899999999999999E-5</v>
          </cell>
          <cell r="E196">
            <v>8023</v>
          </cell>
          <cell r="F196">
            <v>42234</v>
          </cell>
          <cell r="G196">
            <v>30096</v>
          </cell>
          <cell r="H196"/>
          <cell r="I196">
            <v>1734</v>
          </cell>
          <cell r="J196">
            <v>7308</v>
          </cell>
          <cell r="K196">
            <v>4298</v>
          </cell>
          <cell r="L196">
            <v>2050</v>
          </cell>
          <cell r="M196"/>
          <cell r="N196">
            <v>852</v>
          </cell>
          <cell r="O196">
            <v>0</v>
          </cell>
          <cell r="P196">
            <v>0</v>
          </cell>
          <cell r="Q196">
            <v>1061</v>
          </cell>
          <cell r="R196"/>
          <cell r="S196">
            <v>10142</v>
          </cell>
          <cell r="T196">
            <v>692</v>
          </cell>
          <cell r="U196">
            <v>10834</v>
          </cell>
        </row>
        <row r="197">
          <cell r="A197">
            <v>91871</v>
          </cell>
          <cell r="B197" t="str">
            <v>CITY OF NEWTON</v>
          </cell>
          <cell r="C197">
            <v>1.3319E-3</v>
          </cell>
          <cell r="D197">
            <v>1.2712000000000001E-3</v>
          </cell>
          <cell r="E197">
            <v>588755</v>
          </cell>
          <cell r="F197">
            <v>2697912</v>
          </cell>
          <cell r="G197">
            <v>2034774</v>
          </cell>
          <cell r="H197"/>
          <cell r="I197">
            <v>117222</v>
          </cell>
          <cell r="J197">
            <v>494045</v>
          </cell>
          <cell r="K197">
            <v>290594</v>
          </cell>
          <cell r="L197">
            <v>22538</v>
          </cell>
          <cell r="M197"/>
          <cell r="N197">
            <v>57598</v>
          </cell>
          <cell r="O197">
            <v>0</v>
          </cell>
          <cell r="P197">
            <v>0</v>
          </cell>
          <cell r="Q197">
            <v>73797</v>
          </cell>
          <cell r="R197"/>
          <cell r="S197">
            <v>685721</v>
          </cell>
          <cell r="T197">
            <v>-28802</v>
          </cell>
          <cell r="U197">
            <v>656919</v>
          </cell>
        </row>
        <row r="198">
          <cell r="A198">
            <v>91881</v>
          </cell>
          <cell r="B198" t="str">
            <v>TOWN OF CATAWBA</v>
          </cell>
          <cell r="C198">
            <v>9.3000000000000007E-6</v>
          </cell>
          <cell r="D198">
            <v>1.01E-5</v>
          </cell>
          <cell r="E198">
            <v>6384</v>
          </cell>
          <cell r="F198">
            <v>21436</v>
          </cell>
          <cell r="G198">
            <v>14208</v>
          </cell>
          <cell r="H198"/>
          <cell r="I198">
            <v>819</v>
          </cell>
          <cell r="J198">
            <v>3450</v>
          </cell>
          <cell r="K198">
            <v>2029</v>
          </cell>
          <cell r="L198">
            <v>1155</v>
          </cell>
          <cell r="M198"/>
          <cell r="N198">
            <v>402</v>
          </cell>
          <cell r="O198">
            <v>0</v>
          </cell>
          <cell r="P198">
            <v>0</v>
          </cell>
          <cell r="Q198">
            <v>8809</v>
          </cell>
          <cell r="R198"/>
          <cell r="S198">
            <v>4788</v>
          </cell>
          <cell r="T198">
            <v>-5615</v>
          </cell>
          <cell r="U198">
            <v>-827</v>
          </cell>
        </row>
        <row r="199">
          <cell r="A199">
            <v>91901</v>
          </cell>
          <cell r="B199" t="str">
            <v>CHATHAM COUNTY</v>
          </cell>
          <cell r="C199">
            <v>3.6706999999999998E-3</v>
          </cell>
          <cell r="D199">
            <v>3.6564000000000002E-3</v>
          </cell>
          <cell r="E199">
            <v>1652493</v>
          </cell>
          <cell r="F199">
            <v>7760106</v>
          </cell>
          <cell r="G199">
            <v>5607813</v>
          </cell>
          <cell r="H199"/>
          <cell r="I199">
            <v>323062</v>
          </cell>
          <cell r="J199">
            <v>1361584</v>
          </cell>
          <cell r="K199">
            <v>800873</v>
          </cell>
          <cell r="L199">
            <v>89719</v>
          </cell>
          <cell r="M199"/>
          <cell r="N199">
            <v>158739</v>
          </cell>
          <cell r="O199">
            <v>0</v>
          </cell>
          <cell r="P199">
            <v>0</v>
          </cell>
          <cell r="Q199">
            <v>16546</v>
          </cell>
          <cell r="R199"/>
          <cell r="S199">
            <v>1889838</v>
          </cell>
          <cell r="T199">
            <v>53714</v>
          </cell>
          <cell r="U199">
            <v>1943552</v>
          </cell>
        </row>
        <row r="200">
          <cell r="A200">
            <v>91903</v>
          </cell>
          <cell r="B200" t="str">
            <v>CHATHAM CO HOUSING AUTH</v>
          </cell>
          <cell r="C200">
            <v>8.6999999999999997E-6</v>
          </cell>
          <cell r="D200">
            <v>8.3999999999999992E-6</v>
          </cell>
          <cell r="E200">
            <v>5739</v>
          </cell>
          <cell r="F200">
            <v>17828</v>
          </cell>
          <cell r="G200">
            <v>13291</v>
          </cell>
          <cell r="H200"/>
          <cell r="I200">
            <v>766</v>
          </cell>
          <cell r="J200">
            <v>3227</v>
          </cell>
          <cell r="K200">
            <v>1898</v>
          </cell>
          <cell r="L200">
            <v>2037</v>
          </cell>
          <cell r="M200"/>
          <cell r="N200">
            <v>376</v>
          </cell>
          <cell r="O200">
            <v>0</v>
          </cell>
          <cell r="P200">
            <v>0</v>
          </cell>
          <cell r="Q200">
            <v>3011</v>
          </cell>
          <cell r="R200"/>
          <cell r="S200">
            <v>4479</v>
          </cell>
          <cell r="T200">
            <v>-2426</v>
          </cell>
          <cell r="U200">
            <v>2053</v>
          </cell>
        </row>
        <row r="201">
          <cell r="A201">
            <v>91904</v>
          </cell>
          <cell r="B201" t="str">
            <v>CHATHAM COUNTY ABC BOARD</v>
          </cell>
          <cell r="C201">
            <v>3.3399999999999999E-5</v>
          </cell>
          <cell r="D201">
            <v>2.3300000000000001E-5</v>
          </cell>
          <cell r="E201">
            <v>13231</v>
          </cell>
          <cell r="F201">
            <v>49450</v>
          </cell>
          <cell r="G201">
            <v>51026</v>
          </cell>
          <cell r="H201"/>
          <cell r="I201">
            <v>2940</v>
          </cell>
          <cell r="J201">
            <v>12389</v>
          </cell>
          <cell r="K201">
            <v>7287</v>
          </cell>
          <cell r="L201">
            <v>11190</v>
          </cell>
          <cell r="M201"/>
          <cell r="N201">
            <v>1444</v>
          </cell>
          <cell r="O201">
            <v>0</v>
          </cell>
          <cell r="P201">
            <v>0</v>
          </cell>
          <cell r="Q201">
            <v>0</v>
          </cell>
          <cell r="R201"/>
          <cell r="S201">
            <v>17196</v>
          </cell>
          <cell r="T201">
            <v>4334</v>
          </cell>
          <cell r="U201">
            <v>21530</v>
          </cell>
        </row>
        <row r="202">
          <cell r="A202">
            <v>91908</v>
          </cell>
          <cell r="B202" t="str">
            <v>GOLDSTON-GULF SANITARY DISTRICT</v>
          </cell>
          <cell r="C202">
            <v>1.6900000000000001E-5</v>
          </cell>
          <cell r="D202">
            <v>1.3699999999999999E-5</v>
          </cell>
          <cell r="E202">
            <v>5211</v>
          </cell>
          <cell r="F202">
            <v>29076</v>
          </cell>
          <cell r="G202">
            <v>25819</v>
          </cell>
          <cell r="H202"/>
          <cell r="I202">
            <v>1487</v>
          </cell>
          <cell r="J202">
            <v>6269</v>
          </cell>
          <cell r="K202">
            <v>3687</v>
          </cell>
          <cell r="L202">
            <v>935</v>
          </cell>
          <cell r="M202"/>
          <cell r="N202">
            <v>731</v>
          </cell>
          <cell r="O202">
            <v>0</v>
          </cell>
          <cell r="P202">
            <v>0</v>
          </cell>
          <cell r="Q202">
            <v>2553</v>
          </cell>
          <cell r="R202"/>
          <cell r="S202">
            <v>8701</v>
          </cell>
          <cell r="T202">
            <v>-56</v>
          </cell>
          <cell r="U202">
            <v>8645</v>
          </cell>
        </row>
        <row r="203">
          <cell r="A203">
            <v>91911</v>
          </cell>
          <cell r="B203" t="str">
            <v>TOWN OF SILER CITY</v>
          </cell>
          <cell r="C203">
            <v>4.5580000000000002E-4</v>
          </cell>
          <cell r="D203">
            <v>4.639E-4</v>
          </cell>
          <cell r="E203">
            <v>224257</v>
          </cell>
          <cell r="F203">
            <v>984551</v>
          </cell>
          <cell r="G203">
            <v>696336</v>
          </cell>
          <cell r="H203"/>
          <cell r="I203">
            <v>40115</v>
          </cell>
          <cell r="J203">
            <v>169071</v>
          </cell>
          <cell r="K203">
            <v>99446</v>
          </cell>
          <cell r="L203">
            <v>13510</v>
          </cell>
          <cell r="M203"/>
          <cell r="N203">
            <v>19711</v>
          </cell>
          <cell r="O203">
            <v>0</v>
          </cell>
          <cell r="P203">
            <v>0</v>
          </cell>
          <cell r="Q203">
            <v>5011</v>
          </cell>
          <cell r="R203"/>
          <cell r="S203">
            <v>234666</v>
          </cell>
          <cell r="T203">
            <v>598</v>
          </cell>
          <cell r="U203">
            <v>235264</v>
          </cell>
        </row>
        <row r="204">
          <cell r="A204">
            <v>91917</v>
          </cell>
          <cell r="B204" t="str">
            <v>SILER CITY ABC BOARD</v>
          </cell>
          <cell r="C204">
            <v>1.22E-5</v>
          </cell>
          <cell r="D204">
            <v>1.36E-5</v>
          </cell>
          <cell r="E204">
            <v>6387</v>
          </cell>
          <cell r="F204">
            <v>28864</v>
          </cell>
          <cell r="G204">
            <v>18638</v>
          </cell>
          <cell r="H204"/>
          <cell r="I204">
            <v>1074</v>
          </cell>
          <cell r="J204">
            <v>4526</v>
          </cell>
          <cell r="K204">
            <v>2662</v>
          </cell>
          <cell r="L204">
            <v>527</v>
          </cell>
          <cell r="M204"/>
          <cell r="N204">
            <v>528</v>
          </cell>
          <cell r="O204">
            <v>0</v>
          </cell>
          <cell r="P204">
            <v>0</v>
          </cell>
          <cell r="Q204">
            <v>310</v>
          </cell>
          <cell r="R204"/>
          <cell r="S204">
            <v>6281</v>
          </cell>
          <cell r="T204">
            <v>126</v>
          </cell>
          <cell r="U204">
            <v>6407</v>
          </cell>
        </row>
        <row r="205">
          <cell r="A205">
            <v>91921</v>
          </cell>
          <cell r="B205" t="str">
            <v>TOWN OF PITTSBORO</v>
          </cell>
          <cell r="C205">
            <v>3.769E-4</v>
          </cell>
          <cell r="D205">
            <v>3.6600000000000001E-4</v>
          </cell>
          <cell r="E205">
            <v>160505</v>
          </cell>
          <cell r="F205">
            <v>776775</v>
          </cell>
          <cell r="G205">
            <v>575799</v>
          </cell>
          <cell r="H205"/>
          <cell r="I205">
            <v>33171</v>
          </cell>
          <cell r="J205">
            <v>139804</v>
          </cell>
          <cell r="K205">
            <v>82232</v>
          </cell>
          <cell r="L205">
            <v>0</v>
          </cell>
          <cell r="M205"/>
          <cell r="N205">
            <v>16299</v>
          </cell>
          <cell r="O205">
            <v>0</v>
          </cell>
          <cell r="P205">
            <v>0</v>
          </cell>
          <cell r="Q205">
            <v>10651</v>
          </cell>
          <cell r="R205"/>
          <cell r="S205">
            <v>194045</v>
          </cell>
          <cell r="T205">
            <v>-5316</v>
          </cell>
          <cell r="U205">
            <v>188729</v>
          </cell>
        </row>
        <row r="206">
          <cell r="A206">
            <v>92001</v>
          </cell>
          <cell r="B206" t="str">
            <v>CHEROKEE COUNTY</v>
          </cell>
          <cell r="C206">
            <v>1.8143E-3</v>
          </cell>
          <cell r="D206">
            <v>1.9604000000000002E-3</v>
          </cell>
          <cell r="E206">
            <v>790603</v>
          </cell>
          <cell r="F206">
            <v>4160626</v>
          </cell>
          <cell r="G206">
            <v>2771748</v>
          </cell>
          <cell r="H206"/>
          <cell r="I206">
            <v>159678</v>
          </cell>
          <cell r="J206">
            <v>672984</v>
          </cell>
          <cell r="K206">
            <v>395844</v>
          </cell>
          <cell r="L206">
            <v>48219</v>
          </cell>
          <cell r="M206"/>
          <cell r="N206">
            <v>78459</v>
          </cell>
          <cell r="O206">
            <v>0</v>
          </cell>
          <cell r="P206">
            <v>0</v>
          </cell>
          <cell r="Q206">
            <v>157894</v>
          </cell>
          <cell r="R206"/>
          <cell r="S206">
            <v>934081</v>
          </cell>
          <cell r="T206">
            <v>-42009</v>
          </cell>
          <cell r="U206">
            <v>892072</v>
          </cell>
        </row>
        <row r="207">
          <cell r="A207">
            <v>92005</v>
          </cell>
          <cell r="B207" t="str">
            <v>NANTAHALA REGIONAL LIBRARY</v>
          </cell>
          <cell r="C207">
            <v>4.1399999999999997E-5</v>
          </cell>
          <cell r="D207">
            <v>4.6499999999999999E-5</v>
          </cell>
          <cell r="E207">
            <v>20947</v>
          </cell>
          <cell r="F207">
            <v>98689</v>
          </cell>
          <cell r="G207">
            <v>63248</v>
          </cell>
          <cell r="H207"/>
          <cell r="I207">
            <v>3644</v>
          </cell>
          <cell r="J207">
            <v>15356</v>
          </cell>
          <cell r="K207">
            <v>9033</v>
          </cell>
          <cell r="L207">
            <v>1741</v>
          </cell>
          <cell r="M207"/>
          <cell r="N207">
            <v>1790</v>
          </cell>
          <cell r="O207">
            <v>0</v>
          </cell>
          <cell r="P207">
            <v>0</v>
          </cell>
          <cell r="Q207">
            <v>2252</v>
          </cell>
          <cell r="R207"/>
          <cell r="S207">
            <v>21315</v>
          </cell>
          <cell r="T207">
            <v>208</v>
          </cell>
          <cell r="U207">
            <v>21523</v>
          </cell>
        </row>
        <row r="208">
          <cell r="A208">
            <v>92011</v>
          </cell>
          <cell r="B208" t="str">
            <v>TOWN OF MURPHY</v>
          </cell>
          <cell r="C208">
            <v>2.0049999999999999E-4</v>
          </cell>
          <cell r="D208">
            <v>1.8660000000000001E-4</v>
          </cell>
          <cell r="E208">
            <v>90383</v>
          </cell>
          <cell r="F208">
            <v>396028</v>
          </cell>
          <cell r="G208">
            <v>306308</v>
          </cell>
          <cell r="H208"/>
          <cell r="I208">
            <v>17646</v>
          </cell>
          <cell r="J208">
            <v>74372</v>
          </cell>
          <cell r="K208">
            <v>43745</v>
          </cell>
          <cell r="L208">
            <v>17614</v>
          </cell>
          <cell r="M208"/>
          <cell r="N208">
            <v>8671</v>
          </cell>
          <cell r="O208">
            <v>0</v>
          </cell>
          <cell r="P208">
            <v>0</v>
          </cell>
          <cell r="Q208">
            <v>0</v>
          </cell>
          <cell r="R208"/>
          <cell r="S208">
            <v>103226</v>
          </cell>
          <cell r="T208">
            <v>9780</v>
          </cell>
          <cell r="U208">
            <v>113006</v>
          </cell>
        </row>
        <row r="209">
          <cell r="A209">
            <v>92017</v>
          </cell>
          <cell r="B209" t="str">
            <v>MURPHY ABC BOARD</v>
          </cell>
          <cell r="C209">
            <v>3.4199999999999998E-5</v>
          </cell>
          <cell r="D209">
            <v>3.5099999999999999E-5</v>
          </cell>
          <cell r="E209">
            <v>16941</v>
          </cell>
          <cell r="F209">
            <v>74494</v>
          </cell>
          <cell r="G209">
            <v>52248</v>
          </cell>
          <cell r="H209"/>
          <cell r="I209">
            <v>3010</v>
          </cell>
          <cell r="J209">
            <v>12686</v>
          </cell>
          <cell r="K209">
            <v>7462</v>
          </cell>
          <cell r="L209">
            <v>639</v>
          </cell>
          <cell r="M209"/>
          <cell r="N209">
            <v>1479</v>
          </cell>
          <cell r="O209">
            <v>0</v>
          </cell>
          <cell r="P209">
            <v>0</v>
          </cell>
          <cell r="Q209">
            <v>1257</v>
          </cell>
          <cell r="R209"/>
          <cell r="S209">
            <v>17608</v>
          </cell>
          <cell r="T209">
            <v>-668</v>
          </cell>
          <cell r="U209">
            <v>16940</v>
          </cell>
        </row>
        <row r="210">
          <cell r="A210">
            <v>92021</v>
          </cell>
          <cell r="B210" t="str">
            <v>TOWN OF ANDREWS</v>
          </cell>
          <cell r="C210">
            <v>1.5779999999999999E-4</v>
          </cell>
          <cell r="D210">
            <v>1.4249999999999999E-4</v>
          </cell>
          <cell r="E210">
            <v>72635</v>
          </cell>
          <cell r="F210">
            <v>302433</v>
          </cell>
          <cell r="G210">
            <v>241075</v>
          </cell>
          <cell r="H210"/>
          <cell r="I210">
            <v>13888</v>
          </cell>
          <cell r="J210">
            <v>58533</v>
          </cell>
          <cell r="K210">
            <v>34429</v>
          </cell>
          <cell r="L210">
            <v>30504</v>
          </cell>
          <cell r="M210"/>
          <cell r="N210">
            <v>6824</v>
          </cell>
          <cell r="O210">
            <v>0</v>
          </cell>
          <cell r="P210">
            <v>0</v>
          </cell>
          <cell r="Q210">
            <v>11142</v>
          </cell>
          <cell r="R210"/>
          <cell r="S210">
            <v>81242</v>
          </cell>
          <cell r="T210">
            <v>1771</v>
          </cell>
          <cell r="U210">
            <v>83013</v>
          </cell>
        </row>
        <row r="211">
          <cell r="A211">
            <v>92101</v>
          </cell>
          <cell r="B211" t="str">
            <v>CHOWAN COUNTY</v>
          </cell>
          <cell r="C211">
            <v>8.5209999999999995E-4</v>
          </cell>
          <cell r="D211">
            <v>8.6870000000000003E-4</v>
          </cell>
          <cell r="E211">
            <v>368519</v>
          </cell>
          <cell r="F211">
            <v>1843672</v>
          </cell>
          <cell r="G211">
            <v>1301773</v>
          </cell>
          <cell r="H211"/>
          <cell r="I211">
            <v>74994</v>
          </cell>
          <cell r="J211">
            <v>316072</v>
          </cell>
          <cell r="K211">
            <v>185911</v>
          </cell>
          <cell r="L211">
            <v>9505</v>
          </cell>
          <cell r="M211"/>
          <cell r="N211">
            <v>36849</v>
          </cell>
          <cell r="O211">
            <v>0</v>
          </cell>
          <cell r="P211">
            <v>0</v>
          </cell>
          <cell r="Q211">
            <v>63189</v>
          </cell>
          <cell r="R211"/>
          <cell r="S211">
            <v>438699</v>
          </cell>
          <cell r="T211">
            <v>-10164</v>
          </cell>
          <cell r="U211">
            <v>428535</v>
          </cell>
        </row>
        <row r="212">
          <cell r="A212">
            <v>92104</v>
          </cell>
          <cell r="B212" t="str">
            <v>CHOWAN COUNTY ABC BOARD</v>
          </cell>
          <cell r="C212">
            <v>8.6000000000000007E-6</v>
          </cell>
          <cell r="D212">
            <v>8.8000000000000004E-6</v>
          </cell>
          <cell r="E212">
            <v>5180</v>
          </cell>
          <cell r="F212">
            <v>18677</v>
          </cell>
          <cell r="G212">
            <v>13138</v>
          </cell>
          <cell r="H212"/>
          <cell r="I212">
            <v>757</v>
          </cell>
          <cell r="J212">
            <v>3190</v>
          </cell>
          <cell r="K212">
            <v>1876</v>
          </cell>
          <cell r="L212">
            <v>3377</v>
          </cell>
          <cell r="M212"/>
          <cell r="N212">
            <v>372</v>
          </cell>
          <cell r="O212">
            <v>0</v>
          </cell>
          <cell r="P212">
            <v>0</v>
          </cell>
          <cell r="Q212">
            <v>0</v>
          </cell>
          <cell r="R212"/>
          <cell r="S212">
            <v>4428</v>
          </cell>
          <cell r="T212">
            <v>1850</v>
          </cell>
          <cell r="U212">
            <v>6278</v>
          </cell>
        </row>
        <row r="213">
          <cell r="A213">
            <v>92109</v>
          </cell>
          <cell r="B213" t="str">
            <v>ALBEMARLE REGNL PLANNING &amp; DEVELOPMENT COMM</v>
          </cell>
          <cell r="C213">
            <v>1.8809999999999999E-4</v>
          </cell>
          <cell r="D213">
            <v>1.7909999999999999E-4</v>
          </cell>
          <cell r="E213">
            <v>79223</v>
          </cell>
          <cell r="F213">
            <v>380110</v>
          </cell>
          <cell r="G213">
            <v>287365</v>
          </cell>
          <cell r="H213"/>
          <cell r="I213">
            <v>16555</v>
          </cell>
          <cell r="J213">
            <v>69773</v>
          </cell>
          <cell r="K213">
            <v>41040</v>
          </cell>
          <cell r="L213">
            <v>2067</v>
          </cell>
          <cell r="M213"/>
          <cell r="N213">
            <v>8134</v>
          </cell>
          <cell r="O213">
            <v>0</v>
          </cell>
          <cell r="P213">
            <v>0</v>
          </cell>
          <cell r="Q213">
            <v>12612</v>
          </cell>
          <cell r="R213"/>
          <cell r="S213">
            <v>96842</v>
          </cell>
          <cell r="T213">
            <v>-5396</v>
          </cell>
          <cell r="U213">
            <v>91446</v>
          </cell>
        </row>
        <row r="214">
          <cell r="A214">
            <v>92111</v>
          </cell>
          <cell r="B214" t="str">
            <v>TOWN OF EDENTON</v>
          </cell>
          <cell r="C214">
            <v>5.0460000000000001E-4</v>
          </cell>
          <cell r="D214">
            <v>5.0009999999999996E-4</v>
          </cell>
          <cell r="E214">
            <v>231049</v>
          </cell>
          <cell r="F214">
            <v>1061380</v>
          </cell>
          <cell r="G214">
            <v>770889</v>
          </cell>
          <cell r="H214"/>
          <cell r="I214">
            <v>44410</v>
          </cell>
          <cell r="J214">
            <v>187173</v>
          </cell>
          <cell r="K214">
            <v>110094</v>
          </cell>
          <cell r="L214">
            <v>10602</v>
          </cell>
          <cell r="M214"/>
          <cell r="N214">
            <v>21821</v>
          </cell>
          <cell r="O214">
            <v>0</v>
          </cell>
          <cell r="P214">
            <v>0</v>
          </cell>
          <cell r="Q214">
            <v>13269</v>
          </cell>
          <cell r="R214"/>
          <cell r="S214">
            <v>259790</v>
          </cell>
          <cell r="T214">
            <v>2449</v>
          </cell>
          <cell r="U214">
            <v>262239</v>
          </cell>
        </row>
        <row r="215">
          <cell r="A215">
            <v>92113</v>
          </cell>
          <cell r="B215" t="str">
            <v>THE NEW EDENTON HOUSING AUTH</v>
          </cell>
          <cell r="C215">
            <v>1.4399999999999999E-5</v>
          </cell>
          <cell r="D215">
            <v>2.2099999999999998E-5</v>
          </cell>
          <cell r="E215">
            <v>10341</v>
          </cell>
          <cell r="F215">
            <v>46904</v>
          </cell>
          <cell r="G215">
            <v>21999</v>
          </cell>
          <cell r="H215"/>
          <cell r="I215">
            <v>1267</v>
          </cell>
          <cell r="J215">
            <v>5342</v>
          </cell>
          <cell r="K215">
            <v>3142</v>
          </cell>
          <cell r="L215">
            <v>17604</v>
          </cell>
          <cell r="M215"/>
          <cell r="N215">
            <v>623</v>
          </cell>
          <cell r="O215">
            <v>0</v>
          </cell>
          <cell r="P215">
            <v>0</v>
          </cell>
          <cell r="Q215">
            <v>2179</v>
          </cell>
          <cell r="R215"/>
          <cell r="S215">
            <v>7414</v>
          </cell>
          <cell r="T215">
            <v>7173</v>
          </cell>
          <cell r="U215">
            <v>14587</v>
          </cell>
        </row>
        <row r="216">
          <cell r="A216">
            <v>92201</v>
          </cell>
          <cell r="B216" t="str">
            <v>CLAY COUNTY</v>
          </cell>
          <cell r="C216">
            <v>9.3389999999999999E-4</v>
          </cell>
          <cell r="D216">
            <v>1.0267E-3</v>
          </cell>
          <cell r="E216">
            <v>452318</v>
          </cell>
          <cell r="F216">
            <v>2179001</v>
          </cell>
          <cell r="G216">
            <v>1426741</v>
          </cell>
          <cell r="H216"/>
          <cell r="I216">
            <v>82193</v>
          </cell>
          <cell r="J216">
            <v>346414</v>
          </cell>
          <cell r="K216">
            <v>203758</v>
          </cell>
          <cell r="L216">
            <v>36804</v>
          </cell>
          <cell r="M216"/>
          <cell r="N216">
            <v>40387</v>
          </cell>
          <cell r="O216">
            <v>0</v>
          </cell>
          <cell r="P216">
            <v>0</v>
          </cell>
          <cell r="Q216">
            <v>43356</v>
          </cell>
          <cell r="R216"/>
          <cell r="S216">
            <v>480813</v>
          </cell>
          <cell r="T216">
            <v>13056</v>
          </cell>
          <cell r="U216">
            <v>493869</v>
          </cell>
        </row>
        <row r="217">
          <cell r="A217">
            <v>92301</v>
          </cell>
          <cell r="B217" t="str">
            <v>CLEVELAND COUNTY</v>
          </cell>
          <cell r="C217">
            <v>5.2129999999999998E-3</v>
          </cell>
          <cell r="D217">
            <v>5.2411000000000003E-3</v>
          </cell>
          <cell r="E217">
            <v>2376668</v>
          </cell>
          <cell r="F217">
            <v>11123370</v>
          </cell>
          <cell r="G217">
            <v>7964020</v>
          </cell>
          <cell r="H217"/>
          <cell r="I217">
            <v>458801</v>
          </cell>
          <cell r="J217">
            <v>1933674</v>
          </cell>
          <cell r="K217">
            <v>1137372</v>
          </cell>
          <cell r="L217">
            <v>53669</v>
          </cell>
          <cell r="M217"/>
          <cell r="N217">
            <v>225436</v>
          </cell>
          <cell r="O217">
            <v>0</v>
          </cell>
          <cell r="P217">
            <v>0</v>
          </cell>
          <cell r="Q217">
            <v>40357</v>
          </cell>
          <cell r="R217"/>
          <cell r="S217">
            <v>2683882</v>
          </cell>
          <cell r="T217">
            <v>7360</v>
          </cell>
          <cell r="U217">
            <v>2691242</v>
          </cell>
        </row>
        <row r="218">
          <cell r="A218">
            <v>92302</v>
          </cell>
          <cell r="B218" t="str">
            <v>CLEVELAND COUNTY WATER</v>
          </cell>
          <cell r="C218">
            <v>2.9740000000000002E-4</v>
          </cell>
          <cell r="D218">
            <v>3.168E-4</v>
          </cell>
          <cell r="E218">
            <v>124071</v>
          </cell>
          <cell r="F218">
            <v>0</v>
          </cell>
          <cell r="G218">
            <v>454345</v>
          </cell>
          <cell r="H218"/>
          <cell r="I218">
            <v>26174</v>
          </cell>
          <cell r="J218">
            <v>110316</v>
          </cell>
          <cell r="K218">
            <v>64887</v>
          </cell>
          <cell r="L218">
            <v>0</v>
          </cell>
          <cell r="M218"/>
          <cell r="N218">
            <v>12861</v>
          </cell>
          <cell r="O218">
            <v>0</v>
          </cell>
          <cell r="P218">
            <v>0</v>
          </cell>
          <cell r="Q218">
            <v>28639</v>
          </cell>
          <cell r="R218"/>
          <cell r="S218">
            <v>153115</v>
          </cell>
          <cell r="T218">
            <v>-9739</v>
          </cell>
          <cell r="U218">
            <v>143376</v>
          </cell>
        </row>
        <row r="219">
          <cell r="A219">
            <v>92311</v>
          </cell>
          <cell r="B219" t="str">
            <v>CITY OF SHELBY</v>
          </cell>
          <cell r="C219">
            <v>2.2504999999999999E-3</v>
          </cell>
          <cell r="D219">
            <v>2.1857000000000001E-3</v>
          </cell>
          <cell r="E219">
            <v>989308</v>
          </cell>
          <cell r="F219">
            <v>4638788</v>
          </cell>
          <cell r="G219">
            <v>3438141</v>
          </cell>
          <cell r="H219"/>
          <cell r="I219">
            <v>198069</v>
          </cell>
          <cell r="J219">
            <v>834785</v>
          </cell>
          <cell r="K219">
            <v>491014</v>
          </cell>
          <cell r="L219">
            <v>8358</v>
          </cell>
          <cell r="M219"/>
          <cell r="N219">
            <v>97323</v>
          </cell>
          <cell r="O219">
            <v>0</v>
          </cell>
          <cell r="P219">
            <v>0</v>
          </cell>
          <cell r="Q219">
            <v>54246</v>
          </cell>
          <cell r="R219"/>
          <cell r="S219">
            <v>1158656</v>
          </cell>
          <cell r="T219">
            <v>-36529</v>
          </cell>
          <cell r="U219">
            <v>1122127</v>
          </cell>
        </row>
        <row r="220">
          <cell r="A220">
            <v>92317</v>
          </cell>
          <cell r="B220" t="str">
            <v>SHELBY ABC BOARD</v>
          </cell>
          <cell r="C220">
            <v>2.94E-5</v>
          </cell>
          <cell r="D220">
            <v>2.9600000000000001E-5</v>
          </cell>
          <cell r="E220">
            <v>22749</v>
          </cell>
          <cell r="F220">
            <v>62821</v>
          </cell>
          <cell r="G220">
            <v>44915</v>
          </cell>
          <cell r="H220"/>
          <cell r="I220">
            <v>2588</v>
          </cell>
          <cell r="J220">
            <v>10905</v>
          </cell>
          <cell r="K220">
            <v>6414</v>
          </cell>
          <cell r="L220">
            <v>15615</v>
          </cell>
          <cell r="M220"/>
          <cell r="N220">
            <v>1271</v>
          </cell>
          <cell r="O220">
            <v>0</v>
          </cell>
          <cell r="P220">
            <v>0</v>
          </cell>
          <cell r="Q220">
            <v>0</v>
          </cell>
          <cell r="R220"/>
          <cell r="S220">
            <v>15136</v>
          </cell>
          <cell r="T220">
            <v>6218</v>
          </cell>
          <cell r="U220">
            <v>21354</v>
          </cell>
        </row>
        <row r="221">
          <cell r="A221">
            <v>92321</v>
          </cell>
          <cell r="B221" t="str">
            <v>CITY OF KINGS MOUNTAIN</v>
          </cell>
          <cell r="C221">
            <v>1.1773E-3</v>
          </cell>
          <cell r="D221">
            <v>1.2218999999999999E-3</v>
          </cell>
          <cell r="E221">
            <v>553266</v>
          </cell>
          <cell r="F221">
            <v>2593281</v>
          </cell>
          <cell r="G221">
            <v>1798588</v>
          </cell>
          <cell r="H221"/>
          <cell r="I221">
            <v>103615</v>
          </cell>
          <cell r="J221">
            <v>436700</v>
          </cell>
          <cell r="K221">
            <v>256863</v>
          </cell>
          <cell r="L221">
            <v>35464</v>
          </cell>
          <cell r="M221"/>
          <cell r="N221">
            <v>50912</v>
          </cell>
          <cell r="O221">
            <v>0</v>
          </cell>
          <cell r="P221">
            <v>0</v>
          </cell>
          <cell r="Q221">
            <v>20669</v>
          </cell>
          <cell r="R221"/>
          <cell r="S221">
            <v>606126</v>
          </cell>
          <cell r="T221">
            <v>20498</v>
          </cell>
          <cell r="U221">
            <v>626624</v>
          </cell>
        </row>
        <row r="222">
          <cell r="A222">
            <v>92327</v>
          </cell>
          <cell r="B222" t="str">
            <v>KINGS MOUNTAIN ABC BOARD</v>
          </cell>
          <cell r="C222">
            <v>5.6999999999999996E-6</v>
          </cell>
          <cell r="D222">
            <v>7.6000000000000001E-6</v>
          </cell>
          <cell r="E222">
            <v>5653</v>
          </cell>
          <cell r="F222">
            <v>16130</v>
          </cell>
          <cell r="G222">
            <v>8708</v>
          </cell>
          <cell r="H222"/>
          <cell r="I222">
            <v>502</v>
          </cell>
          <cell r="J222">
            <v>2115</v>
          </cell>
          <cell r="K222">
            <v>1244</v>
          </cell>
          <cell r="L222">
            <v>2932</v>
          </cell>
          <cell r="M222"/>
          <cell r="N222">
            <v>246</v>
          </cell>
          <cell r="O222">
            <v>0</v>
          </cell>
          <cell r="P222">
            <v>0</v>
          </cell>
          <cell r="Q222">
            <v>0</v>
          </cell>
          <cell r="R222"/>
          <cell r="S222">
            <v>2935</v>
          </cell>
          <cell r="T222">
            <v>1142</v>
          </cell>
          <cell r="U222">
            <v>4077</v>
          </cell>
        </row>
        <row r="223">
          <cell r="A223">
            <v>92331</v>
          </cell>
          <cell r="B223" t="str">
            <v>TOWN OF BOILING SPRINGS</v>
          </cell>
          <cell r="C223">
            <v>1.3970000000000001E-4</v>
          </cell>
          <cell r="D223">
            <v>1.393E-4</v>
          </cell>
          <cell r="E223">
            <v>60878</v>
          </cell>
          <cell r="F223">
            <v>295641</v>
          </cell>
          <cell r="G223">
            <v>213423</v>
          </cell>
          <cell r="H223"/>
          <cell r="I223">
            <v>12295</v>
          </cell>
          <cell r="J223">
            <v>51819</v>
          </cell>
          <cell r="K223">
            <v>30480</v>
          </cell>
          <cell r="L223">
            <v>2070</v>
          </cell>
          <cell r="M223"/>
          <cell r="N223">
            <v>6041</v>
          </cell>
          <cell r="O223">
            <v>0</v>
          </cell>
          <cell r="P223">
            <v>0</v>
          </cell>
          <cell r="Q223">
            <v>7559</v>
          </cell>
          <cell r="R223"/>
          <cell r="S223">
            <v>71924</v>
          </cell>
          <cell r="T223">
            <v>-755</v>
          </cell>
          <cell r="U223">
            <v>71169</v>
          </cell>
        </row>
        <row r="224">
          <cell r="A224">
            <v>92341</v>
          </cell>
          <cell r="B224" t="str">
            <v>TOWN OF LAWNDALE</v>
          </cell>
          <cell r="C224">
            <v>9.7999999999999993E-6</v>
          </cell>
          <cell r="D224">
            <v>7.9000000000000006E-6</v>
          </cell>
          <cell r="E224">
            <v>3179</v>
          </cell>
          <cell r="F224">
            <v>16766</v>
          </cell>
          <cell r="G224">
            <v>14972</v>
          </cell>
          <cell r="H224"/>
          <cell r="I224">
            <v>863</v>
          </cell>
          <cell r="J224">
            <v>3635</v>
          </cell>
          <cell r="K224">
            <v>2138</v>
          </cell>
          <cell r="L224">
            <v>523</v>
          </cell>
          <cell r="M224"/>
          <cell r="N224">
            <v>424</v>
          </cell>
          <cell r="O224">
            <v>0</v>
          </cell>
          <cell r="P224">
            <v>0</v>
          </cell>
          <cell r="Q224">
            <v>1977</v>
          </cell>
          <cell r="R224"/>
          <cell r="S224">
            <v>5045</v>
          </cell>
          <cell r="T224">
            <v>-859</v>
          </cell>
          <cell r="U224">
            <v>4186</v>
          </cell>
        </row>
        <row r="225">
          <cell r="A225">
            <v>92351</v>
          </cell>
          <cell r="B225" t="str">
            <v>TOWN OF GROVER</v>
          </cell>
          <cell r="C225">
            <v>1.8600000000000001E-5</v>
          </cell>
          <cell r="D225">
            <v>1.95E-5</v>
          </cell>
          <cell r="E225">
            <v>9507</v>
          </cell>
          <cell r="F225">
            <v>41386</v>
          </cell>
          <cell r="G225">
            <v>28416</v>
          </cell>
          <cell r="H225"/>
          <cell r="I225">
            <v>1637</v>
          </cell>
          <cell r="J225">
            <v>6899</v>
          </cell>
          <cell r="K225">
            <v>4058</v>
          </cell>
          <cell r="L225">
            <v>746</v>
          </cell>
          <cell r="M225"/>
          <cell r="N225">
            <v>804</v>
          </cell>
          <cell r="O225">
            <v>0</v>
          </cell>
          <cell r="P225">
            <v>0</v>
          </cell>
          <cell r="Q225">
            <v>4166</v>
          </cell>
          <cell r="R225"/>
          <cell r="S225">
            <v>9576</v>
          </cell>
          <cell r="T225">
            <v>-1010</v>
          </cell>
          <cell r="U225">
            <v>8566</v>
          </cell>
        </row>
        <row r="226">
          <cell r="A226">
            <v>92401</v>
          </cell>
          <cell r="B226" t="str">
            <v>COLUMBUS COUNTY</v>
          </cell>
          <cell r="C226">
            <v>2.6890999999999998E-3</v>
          </cell>
          <cell r="D226">
            <v>2.7449000000000002E-3</v>
          </cell>
          <cell r="E226">
            <v>1303903</v>
          </cell>
          <cell r="F226">
            <v>5825597</v>
          </cell>
          <cell r="G226">
            <v>4108200</v>
          </cell>
          <cell r="H226"/>
          <cell r="I226">
            <v>236670</v>
          </cell>
          <cell r="J226">
            <v>997476</v>
          </cell>
          <cell r="K226">
            <v>586708</v>
          </cell>
          <cell r="L226">
            <v>34938</v>
          </cell>
          <cell r="M226"/>
          <cell r="N226">
            <v>116290</v>
          </cell>
          <cell r="O226">
            <v>0</v>
          </cell>
          <cell r="P226">
            <v>0</v>
          </cell>
          <cell r="Q226">
            <v>3448</v>
          </cell>
          <cell r="R226"/>
          <cell r="S226">
            <v>1384467</v>
          </cell>
          <cell r="T226">
            <v>19009</v>
          </cell>
          <cell r="U226">
            <v>1403476</v>
          </cell>
        </row>
        <row r="227">
          <cell r="A227">
            <v>92403</v>
          </cell>
          <cell r="B227" t="str">
            <v>WHITEVILLE HOUSING AUTHORITY</v>
          </cell>
          <cell r="C227">
            <v>1.11E-5</v>
          </cell>
          <cell r="D227">
            <v>9.7999999999999993E-6</v>
          </cell>
          <cell r="E227">
            <v>5892</v>
          </cell>
          <cell r="F227">
            <v>20799</v>
          </cell>
          <cell r="G227">
            <v>16958</v>
          </cell>
          <cell r="H227"/>
          <cell r="I227">
            <v>977</v>
          </cell>
          <cell r="J227">
            <v>4117</v>
          </cell>
          <cell r="K227">
            <v>2422</v>
          </cell>
          <cell r="L227">
            <v>1858</v>
          </cell>
          <cell r="M227"/>
          <cell r="N227">
            <v>480</v>
          </cell>
          <cell r="O227">
            <v>0</v>
          </cell>
          <cell r="P227">
            <v>0</v>
          </cell>
          <cell r="Q227">
            <v>1307</v>
          </cell>
          <cell r="R227"/>
          <cell r="S227">
            <v>5715</v>
          </cell>
          <cell r="T227">
            <v>135</v>
          </cell>
          <cell r="U227">
            <v>5850</v>
          </cell>
        </row>
        <row r="228">
          <cell r="A228">
            <v>92411</v>
          </cell>
          <cell r="B228" t="str">
            <v>CITY OF WHITEVILLE</v>
          </cell>
          <cell r="C228">
            <v>5.0469999999999996E-4</v>
          </cell>
          <cell r="D228">
            <v>4.8030000000000002E-4</v>
          </cell>
          <cell r="E228">
            <v>203732</v>
          </cell>
          <cell r="F228">
            <v>1019358</v>
          </cell>
          <cell r="G228">
            <v>771042</v>
          </cell>
          <cell r="H228"/>
          <cell r="I228">
            <v>44419</v>
          </cell>
          <cell r="J228">
            <v>187210</v>
          </cell>
          <cell r="K228">
            <v>110115</v>
          </cell>
          <cell r="L228">
            <v>369</v>
          </cell>
          <cell r="M228"/>
          <cell r="N228">
            <v>21826</v>
          </cell>
          <cell r="O228">
            <v>0</v>
          </cell>
          <cell r="P228">
            <v>0</v>
          </cell>
          <cell r="Q228">
            <v>44165</v>
          </cell>
          <cell r="R228"/>
          <cell r="S228">
            <v>259842</v>
          </cell>
          <cell r="T228">
            <v>-17900</v>
          </cell>
          <cell r="U228">
            <v>241942</v>
          </cell>
        </row>
        <row r="229">
          <cell r="A229">
            <v>92414</v>
          </cell>
          <cell r="B229" t="str">
            <v>TOWN OF BOLTON</v>
          </cell>
          <cell r="C229">
            <v>0</v>
          </cell>
          <cell r="D229">
            <v>0</v>
          </cell>
          <cell r="E229">
            <v>0</v>
          </cell>
          <cell r="F229">
            <v>0</v>
          </cell>
          <cell r="G229">
            <v>0</v>
          </cell>
          <cell r="H229"/>
          <cell r="I229">
            <v>0</v>
          </cell>
          <cell r="J229">
            <v>0</v>
          </cell>
          <cell r="K229">
            <v>0</v>
          </cell>
          <cell r="L229">
            <v>0</v>
          </cell>
          <cell r="M229"/>
          <cell r="N229">
            <v>0</v>
          </cell>
          <cell r="O229">
            <v>0</v>
          </cell>
          <cell r="P229">
            <v>0</v>
          </cell>
          <cell r="Q229">
            <v>5712</v>
          </cell>
          <cell r="R229"/>
          <cell r="S229">
            <v>0</v>
          </cell>
          <cell r="T229">
            <v>-2445</v>
          </cell>
          <cell r="U229">
            <v>-2445</v>
          </cell>
        </row>
        <row r="230">
          <cell r="A230">
            <v>92417</v>
          </cell>
          <cell r="B230" t="str">
            <v>WHITEVILLE ABC BOARD</v>
          </cell>
          <cell r="C230">
            <v>1.8300000000000001E-5</v>
          </cell>
          <cell r="D230">
            <v>1.77E-5</v>
          </cell>
          <cell r="E230">
            <v>5972</v>
          </cell>
          <cell r="F230">
            <v>37565</v>
          </cell>
          <cell r="G230">
            <v>27957</v>
          </cell>
          <cell r="H230"/>
          <cell r="I230">
            <v>1611</v>
          </cell>
          <cell r="J230">
            <v>6788</v>
          </cell>
          <cell r="K230">
            <v>3993</v>
          </cell>
          <cell r="L230">
            <v>0</v>
          </cell>
          <cell r="M230"/>
          <cell r="N230">
            <v>791</v>
          </cell>
          <cell r="O230">
            <v>0</v>
          </cell>
          <cell r="P230">
            <v>0</v>
          </cell>
          <cell r="Q230">
            <v>2726</v>
          </cell>
          <cell r="R230"/>
          <cell r="S230">
            <v>9422</v>
          </cell>
          <cell r="T230">
            <v>-895</v>
          </cell>
          <cell r="U230">
            <v>8527</v>
          </cell>
        </row>
        <row r="231">
          <cell r="A231">
            <v>92421</v>
          </cell>
          <cell r="B231" t="str">
            <v>TOWN OF BRUNSWICK</v>
          </cell>
          <cell r="C231">
            <v>8.8000000000000004E-6</v>
          </cell>
          <cell r="D231">
            <v>9.0000000000000002E-6</v>
          </cell>
          <cell r="E231">
            <v>7580</v>
          </cell>
          <cell r="F231">
            <v>19101</v>
          </cell>
          <cell r="G231">
            <v>13444</v>
          </cell>
          <cell r="H231"/>
          <cell r="I231">
            <v>774</v>
          </cell>
          <cell r="J231">
            <v>3264</v>
          </cell>
          <cell r="K231">
            <v>1920</v>
          </cell>
          <cell r="L231">
            <v>3546</v>
          </cell>
          <cell r="M231"/>
          <cell r="N231">
            <v>381</v>
          </cell>
          <cell r="O231">
            <v>0</v>
          </cell>
          <cell r="P231">
            <v>0</v>
          </cell>
          <cell r="Q231">
            <v>1149</v>
          </cell>
          <cell r="R231"/>
          <cell r="S231">
            <v>4531</v>
          </cell>
          <cell r="T231">
            <v>935</v>
          </cell>
          <cell r="U231">
            <v>5466</v>
          </cell>
        </row>
        <row r="232">
          <cell r="A232">
            <v>92427</v>
          </cell>
          <cell r="B232" t="str">
            <v>LAKE WACCAMAW ABC BOARD</v>
          </cell>
          <cell r="C232">
            <v>3.9999999999999998E-7</v>
          </cell>
          <cell r="D232">
            <v>6.9999999999999997E-7</v>
          </cell>
          <cell r="E232">
            <v>1463</v>
          </cell>
          <cell r="F232">
            <v>1486</v>
          </cell>
          <cell r="G232">
            <v>611</v>
          </cell>
          <cell r="H232"/>
          <cell r="I232">
            <v>35</v>
          </cell>
          <cell r="J232">
            <v>148</v>
          </cell>
          <cell r="K232">
            <v>87</v>
          </cell>
          <cell r="L232">
            <v>1998</v>
          </cell>
          <cell r="M232"/>
          <cell r="N232">
            <v>17</v>
          </cell>
          <cell r="O232">
            <v>0</v>
          </cell>
          <cell r="P232">
            <v>0</v>
          </cell>
          <cell r="Q232">
            <v>0</v>
          </cell>
          <cell r="R232"/>
          <cell r="S232">
            <v>206</v>
          </cell>
          <cell r="T232">
            <v>841</v>
          </cell>
          <cell r="U232">
            <v>1047</v>
          </cell>
        </row>
        <row r="233">
          <cell r="A233">
            <v>92431</v>
          </cell>
          <cell r="B233" t="str">
            <v>TOWN OF FAIR BLUFF</v>
          </cell>
          <cell r="C233">
            <v>3.0800000000000003E-5</v>
          </cell>
          <cell r="D233">
            <v>1.8499999999999999E-5</v>
          </cell>
          <cell r="E233">
            <v>22456</v>
          </cell>
          <cell r="F233">
            <v>39263</v>
          </cell>
          <cell r="G233">
            <v>47054</v>
          </cell>
          <cell r="H233"/>
          <cell r="I233">
            <v>2711</v>
          </cell>
          <cell r="J233">
            <v>11425</v>
          </cell>
          <cell r="K233">
            <v>6720</v>
          </cell>
          <cell r="L233">
            <v>18832</v>
          </cell>
          <cell r="M233"/>
          <cell r="N233">
            <v>1332</v>
          </cell>
          <cell r="O233">
            <v>0</v>
          </cell>
          <cell r="P233">
            <v>0</v>
          </cell>
          <cell r="Q233">
            <v>3766</v>
          </cell>
          <cell r="R233"/>
          <cell r="S233">
            <v>15857</v>
          </cell>
          <cell r="T233">
            <v>4147</v>
          </cell>
          <cell r="U233">
            <v>20004</v>
          </cell>
        </row>
        <row r="234">
          <cell r="A234">
            <v>92441</v>
          </cell>
          <cell r="B234" t="str">
            <v>TOWN OF CHADBOURN</v>
          </cell>
          <cell r="C234">
            <v>7.7999999999999999E-5</v>
          </cell>
          <cell r="D234">
            <v>9.2299999999999994E-5</v>
          </cell>
          <cell r="E234">
            <v>38185</v>
          </cell>
          <cell r="F234">
            <v>195892</v>
          </cell>
          <cell r="G234">
            <v>119162</v>
          </cell>
          <cell r="H234"/>
          <cell r="I234">
            <v>6865</v>
          </cell>
          <cell r="J234">
            <v>28933</v>
          </cell>
          <cell r="K234">
            <v>17018</v>
          </cell>
          <cell r="L234">
            <v>0</v>
          </cell>
          <cell r="M234"/>
          <cell r="N234">
            <v>3373</v>
          </cell>
          <cell r="O234">
            <v>0</v>
          </cell>
          <cell r="P234">
            <v>0</v>
          </cell>
          <cell r="Q234">
            <v>15306</v>
          </cell>
          <cell r="R234"/>
          <cell r="S234">
            <v>40158</v>
          </cell>
          <cell r="T234">
            <v>-6990</v>
          </cell>
          <cell r="U234">
            <v>33168</v>
          </cell>
        </row>
        <row r="235">
          <cell r="A235">
            <v>92444</v>
          </cell>
          <cell r="B235" t="str">
            <v>WEST COLUMBUS ABC BOARD</v>
          </cell>
          <cell r="C235">
            <v>1.7999999999999999E-6</v>
          </cell>
          <cell r="D235">
            <v>1.9999999999999999E-6</v>
          </cell>
          <cell r="E235">
            <v>2108</v>
          </cell>
          <cell r="F235">
            <v>4245</v>
          </cell>
          <cell r="G235">
            <v>2750</v>
          </cell>
          <cell r="H235"/>
          <cell r="I235">
            <v>158</v>
          </cell>
          <cell r="J235">
            <v>667</v>
          </cell>
          <cell r="K235">
            <v>393</v>
          </cell>
          <cell r="L235">
            <v>2573</v>
          </cell>
          <cell r="M235"/>
          <cell r="N235">
            <v>78</v>
          </cell>
          <cell r="O235">
            <v>0</v>
          </cell>
          <cell r="P235">
            <v>0</v>
          </cell>
          <cell r="Q235">
            <v>0</v>
          </cell>
          <cell r="R235"/>
          <cell r="S235">
            <v>927</v>
          </cell>
          <cell r="T235">
            <v>1194</v>
          </cell>
          <cell r="U235">
            <v>2121</v>
          </cell>
        </row>
        <row r="236">
          <cell r="A236">
            <v>92451</v>
          </cell>
          <cell r="B236" t="str">
            <v>TOWN OF TABOR CITY</v>
          </cell>
          <cell r="C236">
            <v>1.3070000000000001E-4</v>
          </cell>
          <cell r="D236">
            <v>1.4559999999999999E-4</v>
          </cell>
          <cell r="E236">
            <v>77938</v>
          </cell>
          <cell r="F236">
            <v>309012</v>
          </cell>
          <cell r="G236">
            <v>199673</v>
          </cell>
          <cell r="H236"/>
          <cell r="I236">
            <v>11503</v>
          </cell>
          <cell r="J236">
            <v>48481</v>
          </cell>
          <cell r="K236">
            <v>28516</v>
          </cell>
          <cell r="L236">
            <v>29255</v>
          </cell>
          <cell r="M236"/>
          <cell r="N236">
            <v>5652</v>
          </cell>
          <cell r="O236">
            <v>0</v>
          </cell>
          <cell r="P236">
            <v>0</v>
          </cell>
          <cell r="Q236">
            <v>0</v>
          </cell>
          <cell r="R236"/>
          <cell r="S236">
            <v>67290</v>
          </cell>
          <cell r="T236">
            <v>12363</v>
          </cell>
          <cell r="U236">
            <v>79653</v>
          </cell>
        </row>
        <row r="237">
          <cell r="A237">
            <v>92461</v>
          </cell>
          <cell r="B237" t="str">
            <v>TOWN OF LAKE WACCAMAW</v>
          </cell>
          <cell r="C237">
            <v>7.1099999999999994E-5</v>
          </cell>
          <cell r="D237">
            <v>7.2999999999999999E-5</v>
          </cell>
          <cell r="E237">
            <v>40872</v>
          </cell>
          <cell r="F237">
            <v>154930</v>
          </cell>
          <cell r="G237">
            <v>108621</v>
          </cell>
          <cell r="H237"/>
          <cell r="I237">
            <v>6258</v>
          </cell>
          <cell r="J237">
            <v>26373</v>
          </cell>
          <cell r="K237">
            <v>15513</v>
          </cell>
          <cell r="L237">
            <v>12982</v>
          </cell>
          <cell r="M237"/>
          <cell r="N237">
            <v>3075</v>
          </cell>
          <cell r="O237">
            <v>0</v>
          </cell>
          <cell r="P237">
            <v>0</v>
          </cell>
          <cell r="Q237">
            <v>4965</v>
          </cell>
          <cell r="R237"/>
          <cell r="S237">
            <v>36605</v>
          </cell>
          <cell r="T237">
            <v>1157</v>
          </cell>
          <cell r="U237">
            <v>37762</v>
          </cell>
        </row>
        <row r="238">
          <cell r="A238">
            <v>92501</v>
          </cell>
          <cell r="B238" t="str">
            <v>CRAVEN COUNTY</v>
          </cell>
          <cell r="C238">
            <v>3.8252E-3</v>
          </cell>
          <cell r="D238">
            <v>3.8141E-3</v>
          </cell>
          <cell r="E238">
            <v>1869584</v>
          </cell>
          <cell r="F238">
            <v>8094798</v>
          </cell>
          <cell r="G238">
            <v>5843846</v>
          </cell>
          <cell r="H238"/>
          <cell r="I238">
            <v>336660</v>
          </cell>
          <cell r="J238">
            <v>1418892</v>
          </cell>
          <cell r="K238">
            <v>834582</v>
          </cell>
          <cell r="L238">
            <v>137822</v>
          </cell>
          <cell r="M238"/>
          <cell r="N238">
            <v>165421</v>
          </cell>
          <cell r="O238">
            <v>0</v>
          </cell>
          <cell r="P238">
            <v>0</v>
          </cell>
          <cell r="Q238">
            <v>9032</v>
          </cell>
          <cell r="R238"/>
          <cell r="S238">
            <v>1969381</v>
          </cell>
          <cell r="T238">
            <v>45362</v>
          </cell>
          <cell r="U238">
            <v>2014743</v>
          </cell>
        </row>
        <row r="239">
          <cell r="A239">
            <v>92502</v>
          </cell>
          <cell r="B239" t="str">
            <v>FIRST CRAVEN SANITARY DIST</v>
          </cell>
          <cell r="C239">
            <v>2.7500000000000001E-5</v>
          </cell>
          <cell r="D239">
            <v>2.8799999999999999E-5</v>
          </cell>
          <cell r="E239">
            <v>14164</v>
          </cell>
          <cell r="F239">
            <v>61123</v>
          </cell>
          <cell r="G239">
            <v>42012</v>
          </cell>
          <cell r="H239"/>
          <cell r="I239">
            <v>2420</v>
          </cell>
          <cell r="J239">
            <v>10201</v>
          </cell>
          <cell r="K239">
            <v>6000</v>
          </cell>
          <cell r="L239">
            <v>3940</v>
          </cell>
          <cell r="M239"/>
          <cell r="N239">
            <v>1189</v>
          </cell>
          <cell r="O239">
            <v>0</v>
          </cell>
          <cell r="P239">
            <v>0</v>
          </cell>
          <cell r="Q239">
            <v>2154</v>
          </cell>
          <cell r="R239"/>
          <cell r="S239">
            <v>14158</v>
          </cell>
          <cell r="T239">
            <v>-13</v>
          </cell>
          <cell r="U239">
            <v>14145</v>
          </cell>
        </row>
        <row r="240">
          <cell r="A240">
            <v>92504</v>
          </cell>
          <cell r="B240" t="str">
            <v>CRAVEN CO ABC BD</v>
          </cell>
          <cell r="C240">
            <v>8.4300000000000003E-5</v>
          </cell>
          <cell r="D240">
            <v>7.2799999999999994E-5</v>
          </cell>
          <cell r="E240">
            <v>49664</v>
          </cell>
          <cell r="F240">
            <v>154506</v>
          </cell>
          <cell r="G240">
            <v>128787</v>
          </cell>
          <cell r="H240"/>
          <cell r="I240">
            <v>7419</v>
          </cell>
          <cell r="J240">
            <v>31269</v>
          </cell>
          <cell r="K240">
            <v>18393</v>
          </cell>
          <cell r="L240">
            <v>29049</v>
          </cell>
          <cell r="M240"/>
          <cell r="N240">
            <v>3646</v>
          </cell>
          <cell r="O240">
            <v>0</v>
          </cell>
          <cell r="P240">
            <v>0</v>
          </cell>
          <cell r="Q240">
            <v>27</v>
          </cell>
          <cell r="R240"/>
          <cell r="S240">
            <v>43401</v>
          </cell>
          <cell r="T240">
            <v>10026</v>
          </cell>
          <cell r="U240">
            <v>53427</v>
          </cell>
        </row>
        <row r="241">
          <cell r="A241">
            <v>92505</v>
          </cell>
          <cell r="B241" t="str">
            <v>CRAVEN-PAMLICO-CARTERET REGIONAL LIBRARY</v>
          </cell>
          <cell r="C241">
            <v>1.9239999999999999E-4</v>
          </cell>
          <cell r="D241">
            <v>1.8709999999999999E-4</v>
          </cell>
          <cell r="E241">
            <v>119136</v>
          </cell>
          <cell r="F241">
            <v>397089</v>
          </cell>
          <cell r="G241">
            <v>293934</v>
          </cell>
          <cell r="H241"/>
          <cell r="I241">
            <v>16933</v>
          </cell>
          <cell r="J241">
            <v>71367</v>
          </cell>
          <cell r="K241">
            <v>41978</v>
          </cell>
          <cell r="L241">
            <v>59108</v>
          </cell>
          <cell r="M241"/>
          <cell r="N241">
            <v>8320</v>
          </cell>
          <cell r="O241">
            <v>0</v>
          </cell>
          <cell r="P241">
            <v>0</v>
          </cell>
          <cell r="Q241">
            <v>0</v>
          </cell>
          <cell r="R241"/>
          <cell r="S241">
            <v>99056</v>
          </cell>
          <cell r="T241">
            <v>23320</v>
          </cell>
          <cell r="U241">
            <v>122376</v>
          </cell>
        </row>
        <row r="242">
          <cell r="A242">
            <v>92506</v>
          </cell>
          <cell r="B242" t="str">
            <v>COASTAL CAROLINA REGIONAL AIRPORT</v>
          </cell>
          <cell r="C242">
            <v>4.7500000000000003E-5</v>
          </cell>
          <cell r="D242">
            <v>4.3699999999999998E-5</v>
          </cell>
          <cell r="E242">
            <v>26570</v>
          </cell>
          <cell r="F242">
            <v>92746</v>
          </cell>
          <cell r="G242">
            <v>72567</v>
          </cell>
          <cell r="H242"/>
          <cell r="I242">
            <v>4181</v>
          </cell>
          <cell r="J242">
            <v>17619</v>
          </cell>
          <cell r="K242">
            <v>10364</v>
          </cell>
          <cell r="L242">
            <v>17893</v>
          </cell>
          <cell r="M242"/>
          <cell r="N242">
            <v>2054</v>
          </cell>
          <cell r="O242">
            <v>0</v>
          </cell>
          <cell r="P242">
            <v>0</v>
          </cell>
          <cell r="Q242">
            <v>0</v>
          </cell>
          <cell r="R242"/>
          <cell r="S242">
            <v>24455</v>
          </cell>
          <cell r="T242">
            <v>7399</v>
          </cell>
          <cell r="U242">
            <v>31854</v>
          </cell>
        </row>
        <row r="243">
          <cell r="A243">
            <v>92507</v>
          </cell>
          <cell r="B243" t="str">
            <v>NEUSE RIVER COUNCIL OF GOVERNMENTS</v>
          </cell>
          <cell r="C243">
            <v>9.5699999999999995E-5</v>
          </cell>
          <cell r="D243">
            <v>7.6799999999999997E-5</v>
          </cell>
          <cell r="E243">
            <v>40750</v>
          </cell>
          <cell r="F243">
            <v>162995</v>
          </cell>
          <cell r="G243">
            <v>146203</v>
          </cell>
          <cell r="H243"/>
          <cell r="I243">
            <v>8423</v>
          </cell>
          <cell r="J243">
            <v>35498</v>
          </cell>
          <cell r="K243">
            <v>20880</v>
          </cell>
          <cell r="L243">
            <v>10349</v>
          </cell>
          <cell r="M243"/>
          <cell r="N243">
            <v>4139</v>
          </cell>
          <cell r="O243">
            <v>0</v>
          </cell>
          <cell r="P243">
            <v>0</v>
          </cell>
          <cell r="Q243">
            <v>14283</v>
          </cell>
          <cell r="R243"/>
          <cell r="S243">
            <v>49271</v>
          </cell>
          <cell r="T243">
            <v>-5512</v>
          </cell>
          <cell r="U243">
            <v>43759</v>
          </cell>
        </row>
        <row r="244">
          <cell r="A244">
            <v>92508</v>
          </cell>
          <cell r="B244" t="str">
            <v>COASTAL REGIONAL SOLID WASTE MNGT AUTH</v>
          </cell>
          <cell r="C244">
            <v>3.1E-4</v>
          </cell>
          <cell r="D244">
            <v>3.1930000000000001E-4</v>
          </cell>
          <cell r="E244">
            <v>152021</v>
          </cell>
          <cell r="F244">
            <v>677662</v>
          </cell>
          <cell r="G244">
            <v>473594</v>
          </cell>
          <cell r="H244"/>
          <cell r="I244">
            <v>27283</v>
          </cell>
          <cell r="J244">
            <v>114989</v>
          </cell>
          <cell r="K244">
            <v>67636</v>
          </cell>
          <cell r="L244">
            <v>5884</v>
          </cell>
          <cell r="M244"/>
          <cell r="N244">
            <v>13406</v>
          </cell>
          <cell r="O244">
            <v>0</v>
          </cell>
          <cell r="P244">
            <v>0</v>
          </cell>
          <cell r="Q244">
            <v>1407</v>
          </cell>
          <cell r="R244"/>
          <cell r="S244">
            <v>159602</v>
          </cell>
          <cell r="T244">
            <v>3411</v>
          </cell>
          <cell r="U244">
            <v>163013</v>
          </cell>
        </row>
        <row r="245">
          <cell r="A245">
            <v>92511</v>
          </cell>
          <cell r="B245" t="str">
            <v>CITY OF NEW BERN</v>
          </cell>
          <cell r="C245">
            <v>3.3240000000000001E-3</v>
          </cell>
          <cell r="D245">
            <v>3.4164E-3</v>
          </cell>
          <cell r="E245">
            <v>1524503</v>
          </cell>
          <cell r="F245">
            <v>7250745</v>
          </cell>
          <cell r="G245">
            <v>5078151</v>
          </cell>
          <cell r="H245"/>
          <cell r="I245">
            <v>292549</v>
          </cell>
          <cell r="J245">
            <v>1232981</v>
          </cell>
          <cell r="K245">
            <v>725230</v>
          </cell>
          <cell r="L245">
            <v>12146</v>
          </cell>
          <cell r="M245"/>
          <cell r="N245">
            <v>143746</v>
          </cell>
          <cell r="O245">
            <v>0</v>
          </cell>
          <cell r="P245">
            <v>0</v>
          </cell>
          <cell r="Q245">
            <v>237633</v>
          </cell>
          <cell r="R245"/>
          <cell r="S245">
            <v>1711341</v>
          </cell>
          <cell r="T245">
            <v>-72839</v>
          </cell>
          <cell r="U245">
            <v>1638502</v>
          </cell>
        </row>
        <row r="246">
          <cell r="A246">
            <v>92513</v>
          </cell>
          <cell r="B246" t="str">
            <v>TRILLIUM HEALTH RESOURCES</v>
          </cell>
          <cell r="C246">
            <v>4.0328999999999999E-3</v>
          </cell>
          <cell r="D246">
            <v>3.9753000000000002E-3</v>
          </cell>
          <cell r="E246">
            <v>1669954</v>
          </cell>
          <cell r="F246">
            <v>8436918</v>
          </cell>
          <cell r="G246">
            <v>6161154</v>
          </cell>
          <cell r="H246"/>
          <cell r="I246">
            <v>354940</v>
          </cell>
          <cell r="J246">
            <v>1495936</v>
          </cell>
          <cell r="K246">
            <v>879898</v>
          </cell>
          <cell r="L246">
            <v>1731137</v>
          </cell>
          <cell r="M246"/>
          <cell r="N246">
            <v>174403</v>
          </cell>
          <cell r="O246">
            <v>0</v>
          </cell>
          <cell r="P246">
            <v>0</v>
          </cell>
          <cell r="Q246">
            <v>1664349</v>
          </cell>
          <cell r="R246"/>
          <cell r="S246">
            <v>2076314</v>
          </cell>
          <cell r="T246">
            <v>164662</v>
          </cell>
          <cell r="U246">
            <v>2240976</v>
          </cell>
        </row>
        <row r="247">
          <cell r="A247">
            <v>92521</v>
          </cell>
          <cell r="B247" t="str">
            <v>TOWN OF TRENT WOODS</v>
          </cell>
          <cell r="C247">
            <v>8.6899999999999998E-5</v>
          </cell>
          <cell r="D247">
            <v>8.9800000000000001E-5</v>
          </cell>
          <cell r="E247">
            <v>37384</v>
          </cell>
          <cell r="F247">
            <v>190586</v>
          </cell>
          <cell r="G247">
            <v>132759</v>
          </cell>
          <cell r="H247"/>
          <cell r="I247">
            <v>7648</v>
          </cell>
          <cell r="J247">
            <v>32235</v>
          </cell>
          <cell r="K247">
            <v>18960</v>
          </cell>
          <cell r="L247">
            <v>3168</v>
          </cell>
          <cell r="M247"/>
          <cell r="N247">
            <v>3758</v>
          </cell>
          <cell r="O247">
            <v>0</v>
          </cell>
          <cell r="P247">
            <v>0</v>
          </cell>
          <cell r="Q247">
            <v>10611</v>
          </cell>
          <cell r="R247"/>
          <cell r="S247">
            <v>44740</v>
          </cell>
          <cell r="T247">
            <v>-2554</v>
          </cell>
          <cell r="U247">
            <v>42186</v>
          </cell>
        </row>
        <row r="248">
          <cell r="A248">
            <v>92531</v>
          </cell>
          <cell r="B248" t="str">
            <v>CITY OF HAVELOCK</v>
          </cell>
          <cell r="C248">
            <v>8.6490000000000004E-4</v>
          </cell>
          <cell r="D248">
            <v>8.3779999999999998E-4</v>
          </cell>
          <cell r="E248">
            <v>358464</v>
          </cell>
          <cell r="F248">
            <v>1778092</v>
          </cell>
          <cell r="G248">
            <v>1321328</v>
          </cell>
          <cell r="H248"/>
          <cell r="I248">
            <v>76121</v>
          </cell>
          <cell r="J248">
            <v>320820</v>
          </cell>
          <cell r="K248">
            <v>188704</v>
          </cell>
          <cell r="L248">
            <v>0</v>
          </cell>
          <cell r="M248"/>
          <cell r="N248">
            <v>37403</v>
          </cell>
          <cell r="O248">
            <v>0</v>
          </cell>
          <cell r="P248">
            <v>0</v>
          </cell>
          <cell r="Q248">
            <v>124043</v>
          </cell>
          <cell r="R248"/>
          <cell r="S248">
            <v>445289</v>
          </cell>
          <cell r="T248">
            <v>-61397</v>
          </cell>
          <cell r="U248">
            <v>383892</v>
          </cell>
        </row>
        <row r="249">
          <cell r="A249">
            <v>92541</v>
          </cell>
          <cell r="B249" t="str">
            <v>TOWN OF RIVER BEND</v>
          </cell>
          <cell r="C249">
            <v>1.4469999999999999E-4</v>
          </cell>
          <cell r="D249">
            <v>1.4300000000000001E-4</v>
          </cell>
          <cell r="E249">
            <v>58964</v>
          </cell>
          <cell r="F249">
            <v>303494</v>
          </cell>
          <cell r="G249">
            <v>221062</v>
          </cell>
          <cell r="H249"/>
          <cell r="I249">
            <v>12735</v>
          </cell>
          <cell r="J249">
            <v>53674</v>
          </cell>
          <cell r="K249">
            <v>31571</v>
          </cell>
          <cell r="L249">
            <v>7292</v>
          </cell>
          <cell r="M249"/>
          <cell r="N249">
            <v>6258</v>
          </cell>
          <cell r="O249">
            <v>0</v>
          </cell>
          <cell r="P249">
            <v>0</v>
          </cell>
          <cell r="Q249">
            <v>7300</v>
          </cell>
          <cell r="R249"/>
          <cell r="S249">
            <v>74498</v>
          </cell>
          <cell r="T249">
            <v>2019</v>
          </cell>
          <cell r="U249">
            <v>76517</v>
          </cell>
        </row>
        <row r="250">
          <cell r="A250">
            <v>92551</v>
          </cell>
          <cell r="B250" t="str">
            <v>TOWN OF VANCEBORO</v>
          </cell>
          <cell r="C250">
            <v>5.3300000000000001E-5</v>
          </cell>
          <cell r="D250">
            <v>4.18E-5</v>
          </cell>
          <cell r="E250">
            <v>19992</v>
          </cell>
          <cell r="F250">
            <v>88714</v>
          </cell>
          <cell r="G250">
            <v>81428</v>
          </cell>
          <cell r="H250"/>
          <cell r="I250">
            <v>4691</v>
          </cell>
          <cell r="J250">
            <v>19771</v>
          </cell>
          <cell r="K250">
            <v>11629</v>
          </cell>
          <cell r="L250">
            <v>7529</v>
          </cell>
          <cell r="M250"/>
          <cell r="N250">
            <v>2305</v>
          </cell>
          <cell r="O250">
            <v>0</v>
          </cell>
          <cell r="P250">
            <v>0</v>
          </cell>
          <cell r="Q250">
            <v>8359</v>
          </cell>
          <cell r="R250"/>
          <cell r="S250">
            <v>27441</v>
          </cell>
          <cell r="T250">
            <v>961</v>
          </cell>
          <cell r="U250">
            <v>28402</v>
          </cell>
        </row>
        <row r="251">
          <cell r="A251">
            <v>92561</v>
          </cell>
          <cell r="B251" t="str">
            <v>TOWN OF BRIDGETON</v>
          </cell>
          <cell r="C251">
            <v>2.2200000000000001E-5</v>
          </cell>
          <cell r="D251">
            <v>2.2900000000000001E-5</v>
          </cell>
          <cell r="E251">
            <v>11716</v>
          </cell>
          <cell r="F251">
            <v>48601</v>
          </cell>
          <cell r="G251">
            <v>33915</v>
          </cell>
          <cell r="H251"/>
          <cell r="I251">
            <v>1954</v>
          </cell>
          <cell r="J251">
            <v>8235</v>
          </cell>
          <cell r="K251">
            <v>4844</v>
          </cell>
          <cell r="L251">
            <v>5369</v>
          </cell>
          <cell r="M251"/>
          <cell r="N251">
            <v>960</v>
          </cell>
          <cell r="O251">
            <v>0</v>
          </cell>
          <cell r="P251">
            <v>0</v>
          </cell>
          <cell r="Q251">
            <v>0</v>
          </cell>
          <cell r="R251"/>
          <cell r="S251">
            <v>11430</v>
          </cell>
          <cell r="T251">
            <v>2639</v>
          </cell>
          <cell r="U251">
            <v>14069</v>
          </cell>
        </row>
        <row r="252">
          <cell r="A252">
            <v>92571</v>
          </cell>
          <cell r="B252" t="str">
            <v>TOWN OF COVE CITY</v>
          </cell>
          <cell r="C252">
            <v>1.01E-5</v>
          </cell>
          <cell r="D252">
            <v>3.1E-6</v>
          </cell>
          <cell r="E252">
            <v>6486</v>
          </cell>
          <cell r="F252">
            <v>6579</v>
          </cell>
          <cell r="G252">
            <v>15430</v>
          </cell>
          <cell r="H252"/>
          <cell r="I252">
            <v>889</v>
          </cell>
          <cell r="J252">
            <v>3746</v>
          </cell>
          <cell r="K252">
            <v>2204</v>
          </cell>
          <cell r="L252">
            <v>9367</v>
          </cell>
          <cell r="M252"/>
          <cell r="N252">
            <v>437</v>
          </cell>
          <cell r="O252">
            <v>0</v>
          </cell>
          <cell r="P252">
            <v>0</v>
          </cell>
          <cell r="Q252">
            <v>100</v>
          </cell>
          <cell r="R252"/>
          <cell r="S252">
            <v>5200</v>
          </cell>
          <cell r="T252">
            <v>2687</v>
          </cell>
          <cell r="U252">
            <v>7887</v>
          </cell>
        </row>
        <row r="253">
          <cell r="A253">
            <v>92601</v>
          </cell>
          <cell r="B253" t="str">
            <v>CUMBERLAND COUNTY</v>
          </cell>
          <cell r="C253">
            <v>1.51874E-2</v>
          </cell>
          <cell r="D253">
            <v>1.54185E-2</v>
          </cell>
          <cell r="E253">
            <v>7108398</v>
          </cell>
          <cell r="F253">
            <v>32723222</v>
          </cell>
          <cell r="G253">
            <v>23202140</v>
          </cell>
          <cell r="H253"/>
          <cell r="I253">
            <v>1336658</v>
          </cell>
          <cell r="J253">
            <v>5633508</v>
          </cell>
          <cell r="K253">
            <v>3313587</v>
          </cell>
          <cell r="L253">
            <v>134811</v>
          </cell>
          <cell r="M253"/>
          <cell r="N253">
            <v>656779</v>
          </cell>
          <cell r="O253">
            <v>0</v>
          </cell>
          <cell r="P253">
            <v>0</v>
          </cell>
          <cell r="Q253">
            <v>46060</v>
          </cell>
          <cell r="R253"/>
          <cell r="S253">
            <v>7819142</v>
          </cell>
          <cell r="T253">
            <v>112074</v>
          </cell>
          <cell r="U253">
            <v>7931216</v>
          </cell>
        </row>
        <row r="254">
          <cell r="A254">
            <v>92602</v>
          </cell>
          <cell r="B254" t="str">
            <v>WESTAREA VOLUNTEER FIRE DEPT</v>
          </cell>
          <cell r="C254">
            <v>8.3000000000000002E-6</v>
          </cell>
          <cell r="D254">
            <v>8.1999999999999994E-6</v>
          </cell>
          <cell r="E254">
            <v>3605</v>
          </cell>
          <cell r="F254">
            <v>17403</v>
          </cell>
          <cell r="G254">
            <v>12680</v>
          </cell>
          <cell r="H254"/>
          <cell r="I254">
            <v>730</v>
          </cell>
          <cell r="J254">
            <v>3079</v>
          </cell>
          <cell r="K254">
            <v>1811</v>
          </cell>
          <cell r="L254">
            <v>352</v>
          </cell>
          <cell r="M254"/>
          <cell r="N254">
            <v>359</v>
          </cell>
          <cell r="O254">
            <v>0</v>
          </cell>
          <cell r="P254">
            <v>0</v>
          </cell>
          <cell r="Q254">
            <v>927</v>
          </cell>
          <cell r="R254"/>
          <cell r="S254">
            <v>4273</v>
          </cell>
          <cell r="T254">
            <v>-99</v>
          </cell>
          <cell r="U254">
            <v>4174</v>
          </cell>
        </row>
        <row r="255">
          <cell r="A255">
            <v>92604</v>
          </cell>
          <cell r="B255" t="str">
            <v>CUMBERLAND CO ABC BOARD</v>
          </cell>
          <cell r="C255">
            <v>3.4099999999999999E-4</v>
          </cell>
          <cell r="D255">
            <v>3.4380000000000001E-4</v>
          </cell>
          <cell r="E255">
            <v>178691</v>
          </cell>
          <cell r="F255">
            <v>729659</v>
          </cell>
          <cell r="G255">
            <v>520954</v>
          </cell>
          <cell r="H255"/>
          <cell r="I255">
            <v>30012</v>
          </cell>
          <cell r="J255">
            <v>126488</v>
          </cell>
          <cell r="K255">
            <v>74399</v>
          </cell>
          <cell r="L255">
            <v>52760</v>
          </cell>
          <cell r="M255"/>
          <cell r="N255">
            <v>14747</v>
          </cell>
          <cell r="O255">
            <v>0</v>
          </cell>
          <cell r="P255">
            <v>0</v>
          </cell>
          <cell r="Q255">
            <v>0</v>
          </cell>
          <cell r="R255"/>
          <cell r="S255">
            <v>175562</v>
          </cell>
          <cell r="T255">
            <v>23975</v>
          </cell>
          <cell r="U255">
            <v>199537</v>
          </cell>
        </row>
        <row r="256">
          <cell r="A256">
            <v>92607</v>
          </cell>
          <cell r="B256" t="str">
            <v>MID-CAROLINA COUNCIL OF GOVERNMENTS</v>
          </cell>
          <cell r="C256">
            <v>6.6400000000000001E-5</v>
          </cell>
          <cell r="D256">
            <v>7.0400000000000004E-5</v>
          </cell>
          <cell r="E256">
            <v>38427</v>
          </cell>
          <cell r="F256">
            <v>149412</v>
          </cell>
          <cell r="G256">
            <v>101441</v>
          </cell>
          <cell r="H256"/>
          <cell r="I256">
            <v>5844</v>
          </cell>
          <cell r="J256">
            <v>24630</v>
          </cell>
          <cell r="K256">
            <v>14487</v>
          </cell>
          <cell r="L256">
            <v>9416</v>
          </cell>
          <cell r="M256"/>
          <cell r="N256">
            <v>2871</v>
          </cell>
          <cell r="O256">
            <v>0</v>
          </cell>
          <cell r="P256">
            <v>0</v>
          </cell>
          <cell r="Q256">
            <v>0</v>
          </cell>
          <cell r="R256"/>
          <cell r="S256">
            <v>34186</v>
          </cell>
          <cell r="T256">
            <v>4781</v>
          </cell>
          <cell r="U256">
            <v>38967</v>
          </cell>
        </row>
        <row r="257">
          <cell r="A257">
            <v>92608</v>
          </cell>
          <cell r="B257" t="str">
            <v>CUMBERLAND MEMORIAL AUDITORIUM COM</v>
          </cell>
          <cell r="C257">
            <v>0</v>
          </cell>
          <cell r="D257">
            <v>0</v>
          </cell>
          <cell r="E257">
            <v>0</v>
          </cell>
          <cell r="F257">
            <v>0</v>
          </cell>
          <cell r="G257">
            <v>0</v>
          </cell>
          <cell r="H257"/>
          <cell r="I257">
            <v>0</v>
          </cell>
          <cell r="J257">
            <v>0</v>
          </cell>
          <cell r="K257">
            <v>0</v>
          </cell>
          <cell r="L257">
            <v>0</v>
          </cell>
          <cell r="M257"/>
          <cell r="N257">
            <v>0</v>
          </cell>
          <cell r="O257">
            <v>0</v>
          </cell>
          <cell r="P257">
            <v>0</v>
          </cell>
          <cell r="Q257">
            <v>69935</v>
          </cell>
          <cell r="R257"/>
          <cell r="S257">
            <v>0</v>
          </cell>
          <cell r="T257">
            <v>-69872</v>
          </cell>
          <cell r="U257">
            <v>-69872</v>
          </cell>
        </row>
        <row r="258">
          <cell r="A258">
            <v>92611</v>
          </cell>
          <cell r="B258" t="str">
            <v>CITY OF FAYETTEVILLE</v>
          </cell>
          <cell r="C258">
            <v>1.3080899999999999E-2</v>
          </cell>
          <cell r="D258">
            <v>1.3650799999999999E-2</v>
          </cell>
          <cell r="E258">
            <v>5890415</v>
          </cell>
          <cell r="F258">
            <v>28971571</v>
          </cell>
          <cell r="G258">
            <v>19983992</v>
          </cell>
          <cell r="H258"/>
          <cell r="I258">
            <v>1151263</v>
          </cell>
          <cell r="J258">
            <v>4852137</v>
          </cell>
          <cell r="K258">
            <v>2853991</v>
          </cell>
          <cell r="L258">
            <v>10109</v>
          </cell>
          <cell r="M258"/>
          <cell r="N258">
            <v>565684</v>
          </cell>
          <cell r="O258">
            <v>0</v>
          </cell>
          <cell r="P258">
            <v>0</v>
          </cell>
          <cell r="Q258">
            <v>976593</v>
          </cell>
          <cell r="R258"/>
          <cell r="S258">
            <v>6734623</v>
          </cell>
          <cell r="T258">
            <v>-313138</v>
          </cell>
          <cell r="U258">
            <v>6421485</v>
          </cell>
        </row>
        <row r="259">
          <cell r="A259">
            <v>92613</v>
          </cell>
          <cell r="B259" t="str">
            <v>FAYETTEVILLE METROPOLITAN HOUSING AUTH</v>
          </cell>
          <cell r="C259">
            <v>2.6439999999999998E-4</v>
          </cell>
          <cell r="D259">
            <v>2.81E-4</v>
          </cell>
          <cell r="E259">
            <v>143121</v>
          </cell>
          <cell r="F259">
            <v>596376</v>
          </cell>
          <cell r="G259">
            <v>403930</v>
          </cell>
          <cell r="H259"/>
          <cell r="I259">
            <v>23270</v>
          </cell>
          <cell r="J259">
            <v>98075</v>
          </cell>
          <cell r="K259">
            <v>57687</v>
          </cell>
          <cell r="L259">
            <v>84489</v>
          </cell>
          <cell r="M259"/>
          <cell r="N259">
            <v>11434</v>
          </cell>
          <cell r="O259">
            <v>0</v>
          </cell>
          <cell r="P259">
            <v>0</v>
          </cell>
          <cell r="Q259">
            <v>941</v>
          </cell>
          <cell r="R259"/>
          <cell r="S259">
            <v>136125</v>
          </cell>
          <cell r="T259">
            <v>41506</v>
          </cell>
          <cell r="U259">
            <v>177631</v>
          </cell>
        </row>
        <row r="260">
          <cell r="A260">
            <v>92614</v>
          </cell>
          <cell r="B260" t="str">
            <v>PUBLIC WORKS COMM CTY OF FAYETTEVILLE</v>
          </cell>
          <cell r="C260">
            <v>5.7273000000000003E-3</v>
          </cell>
          <cell r="D260">
            <v>5.6468000000000004E-3</v>
          </cell>
          <cell r="E260">
            <v>4788008</v>
          </cell>
          <cell r="F260">
            <v>11984401</v>
          </cell>
          <cell r="G260">
            <v>8749728</v>
          </cell>
          <cell r="H260"/>
          <cell r="I260">
            <v>504065</v>
          </cell>
          <cell r="J260">
            <v>2124444</v>
          </cell>
          <cell r="K260">
            <v>1249582</v>
          </cell>
          <cell r="L260">
            <v>3908054</v>
          </cell>
          <cell r="M260"/>
          <cell r="N260">
            <v>247677</v>
          </cell>
          <cell r="O260">
            <v>0</v>
          </cell>
          <cell r="P260">
            <v>0</v>
          </cell>
          <cell r="Q260">
            <v>0</v>
          </cell>
          <cell r="R260"/>
          <cell r="S260">
            <v>2948666</v>
          </cell>
          <cell r="T260">
            <v>1416067</v>
          </cell>
          <cell r="U260">
            <v>4364733</v>
          </cell>
        </row>
        <row r="261">
          <cell r="A261">
            <v>92621</v>
          </cell>
          <cell r="B261" t="str">
            <v>TOWN OF STEDMAN</v>
          </cell>
          <cell r="C261">
            <v>2.72E-5</v>
          </cell>
          <cell r="D261">
            <v>3.2799999999999998E-5</v>
          </cell>
          <cell r="E261">
            <v>11243</v>
          </cell>
          <cell r="F261">
            <v>69613</v>
          </cell>
          <cell r="G261">
            <v>41554</v>
          </cell>
          <cell r="H261"/>
          <cell r="I261">
            <v>2394</v>
          </cell>
          <cell r="J261">
            <v>10089</v>
          </cell>
          <cell r="K261">
            <v>5934</v>
          </cell>
          <cell r="L261">
            <v>872</v>
          </cell>
          <cell r="M261"/>
          <cell r="N261">
            <v>1176</v>
          </cell>
          <cell r="O261">
            <v>0</v>
          </cell>
          <cell r="P261">
            <v>0</v>
          </cell>
          <cell r="Q261">
            <v>6521</v>
          </cell>
          <cell r="R261"/>
          <cell r="S261">
            <v>14004</v>
          </cell>
          <cell r="T261">
            <v>-1988</v>
          </cell>
          <cell r="U261">
            <v>12016</v>
          </cell>
        </row>
        <row r="262">
          <cell r="A262">
            <v>92631</v>
          </cell>
          <cell r="B262" t="str">
            <v>TOWN OF HOPE MILLS</v>
          </cell>
          <cell r="C262">
            <v>9.2710000000000004E-4</v>
          </cell>
          <cell r="D262">
            <v>1.0068E-3</v>
          </cell>
          <cell r="E262">
            <v>397128</v>
          </cell>
          <cell r="F262">
            <v>2136767</v>
          </cell>
          <cell r="G262">
            <v>1416352</v>
          </cell>
          <cell r="H262"/>
          <cell r="I262">
            <v>81595</v>
          </cell>
          <cell r="J262">
            <v>343892</v>
          </cell>
          <cell r="K262">
            <v>202275</v>
          </cell>
          <cell r="L262">
            <v>0</v>
          </cell>
          <cell r="M262"/>
          <cell r="N262">
            <v>40092</v>
          </cell>
          <cell r="O262">
            <v>0</v>
          </cell>
          <cell r="P262">
            <v>0</v>
          </cell>
          <cell r="Q262">
            <v>146834</v>
          </cell>
          <cell r="R262"/>
          <cell r="S262">
            <v>477312</v>
          </cell>
          <cell r="T262">
            <v>-49734</v>
          </cell>
          <cell r="U262">
            <v>427578</v>
          </cell>
        </row>
        <row r="263">
          <cell r="A263">
            <v>92641</v>
          </cell>
          <cell r="B263" t="str">
            <v>TOWN OF WADE</v>
          </cell>
          <cell r="C263">
            <v>1.0200000000000001E-5</v>
          </cell>
          <cell r="D263">
            <v>1.03E-5</v>
          </cell>
          <cell r="E263">
            <v>5720</v>
          </cell>
          <cell r="F263">
            <v>21860</v>
          </cell>
          <cell r="G263">
            <v>15583</v>
          </cell>
          <cell r="H263"/>
          <cell r="I263">
            <v>898</v>
          </cell>
          <cell r="J263">
            <v>3784</v>
          </cell>
          <cell r="K263">
            <v>2225</v>
          </cell>
          <cell r="L263">
            <v>2556</v>
          </cell>
          <cell r="M263"/>
          <cell r="N263">
            <v>441</v>
          </cell>
          <cell r="O263">
            <v>0</v>
          </cell>
          <cell r="P263">
            <v>0</v>
          </cell>
          <cell r="Q263">
            <v>945</v>
          </cell>
          <cell r="R263"/>
          <cell r="S263">
            <v>5251</v>
          </cell>
          <cell r="T263">
            <v>173</v>
          </cell>
          <cell r="U263">
            <v>5424</v>
          </cell>
        </row>
        <row r="264">
          <cell r="A264">
            <v>92651</v>
          </cell>
          <cell r="B264" t="str">
            <v>TOWN OF LINDEN</v>
          </cell>
          <cell r="C264">
            <v>2.6000000000000001E-6</v>
          </cell>
          <cell r="D264">
            <v>2.6000000000000001E-6</v>
          </cell>
          <cell r="E264">
            <v>3151</v>
          </cell>
          <cell r="F264">
            <v>5518</v>
          </cell>
          <cell r="G264">
            <v>3972</v>
          </cell>
          <cell r="H264"/>
          <cell r="I264">
            <v>229</v>
          </cell>
          <cell r="J264">
            <v>964</v>
          </cell>
          <cell r="K264">
            <v>567</v>
          </cell>
          <cell r="L264">
            <v>3432</v>
          </cell>
          <cell r="M264"/>
          <cell r="N264">
            <v>112</v>
          </cell>
          <cell r="O264">
            <v>0</v>
          </cell>
          <cell r="P264">
            <v>0</v>
          </cell>
          <cell r="Q264">
            <v>0</v>
          </cell>
          <cell r="R264"/>
          <cell r="S264">
            <v>1339</v>
          </cell>
          <cell r="T264">
            <v>1345</v>
          </cell>
          <cell r="U264">
            <v>2684</v>
          </cell>
        </row>
        <row r="265">
          <cell r="A265">
            <v>92661</v>
          </cell>
          <cell r="B265" t="str">
            <v>TOWN OF SPRING LAKE</v>
          </cell>
          <cell r="C265">
            <v>6.9999999999999999E-4</v>
          </cell>
          <cell r="D265">
            <v>6.6299999999999996E-4</v>
          </cell>
          <cell r="E265">
            <v>591164</v>
          </cell>
          <cell r="F265">
            <v>1407108</v>
          </cell>
          <cell r="G265">
            <v>1069406</v>
          </cell>
          <cell r="H265"/>
          <cell r="I265">
            <v>61608</v>
          </cell>
          <cell r="J265">
            <v>259653</v>
          </cell>
          <cell r="K265">
            <v>152726</v>
          </cell>
          <cell r="L265">
            <v>446841</v>
          </cell>
          <cell r="M265"/>
          <cell r="N265">
            <v>30272</v>
          </cell>
          <cell r="O265">
            <v>0</v>
          </cell>
          <cell r="P265">
            <v>0</v>
          </cell>
          <cell r="Q265">
            <v>16877</v>
          </cell>
          <cell r="R265"/>
          <cell r="S265">
            <v>360391</v>
          </cell>
          <cell r="T265">
            <v>130287</v>
          </cell>
          <cell r="U265">
            <v>490678</v>
          </cell>
        </row>
        <row r="266">
          <cell r="A266">
            <v>92671</v>
          </cell>
          <cell r="B266" t="str">
            <v>TOWN OF FALCON</v>
          </cell>
          <cell r="C266">
            <v>2.6000000000000001E-6</v>
          </cell>
          <cell r="D266">
            <v>2.9000000000000002E-6</v>
          </cell>
          <cell r="E266">
            <v>5279</v>
          </cell>
          <cell r="F266">
            <v>6155</v>
          </cell>
          <cell r="G266">
            <v>3972</v>
          </cell>
          <cell r="H266"/>
          <cell r="I266">
            <v>229</v>
          </cell>
          <cell r="J266">
            <v>964</v>
          </cell>
          <cell r="K266">
            <v>567</v>
          </cell>
          <cell r="L266">
            <v>6237</v>
          </cell>
          <cell r="M266"/>
          <cell r="N266">
            <v>112</v>
          </cell>
          <cell r="O266">
            <v>0</v>
          </cell>
          <cell r="P266">
            <v>0</v>
          </cell>
          <cell r="Q266">
            <v>0</v>
          </cell>
          <cell r="R266"/>
          <cell r="S266">
            <v>1339</v>
          </cell>
          <cell r="T266">
            <v>2205</v>
          </cell>
          <cell r="U266">
            <v>3544</v>
          </cell>
        </row>
        <row r="267">
          <cell r="A267">
            <v>92681</v>
          </cell>
          <cell r="B267" t="str">
            <v>TOWN OF EASTOVER</v>
          </cell>
          <cell r="C267">
            <v>1.17E-5</v>
          </cell>
          <cell r="D267">
            <v>1.01E-5</v>
          </cell>
          <cell r="E267">
            <v>11572</v>
          </cell>
          <cell r="F267">
            <v>21436</v>
          </cell>
          <cell r="G267">
            <v>17874</v>
          </cell>
          <cell r="H267"/>
          <cell r="I267">
            <v>1030</v>
          </cell>
          <cell r="J267">
            <v>4340</v>
          </cell>
          <cell r="K267">
            <v>2553</v>
          </cell>
          <cell r="L267">
            <v>13621</v>
          </cell>
          <cell r="M267"/>
          <cell r="N267">
            <v>506</v>
          </cell>
          <cell r="O267">
            <v>0</v>
          </cell>
          <cell r="P267">
            <v>0</v>
          </cell>
          <cell r="Q267">
            <v>0</v>
          </cell>
          <cell r="R267"/>
          <cell r="S267">
            <v>6024</v>
          </cell>
          <cell r="T267">
            <v>4960</v>
          </cell>
          <cell r="U267">
            <v>10984</v>
          </cell>
        </row>
        <row r="268">
          <cell r="A268">
            <v>92701</v>
          </cell>
          <cell r="B268" t="str">
            <v>CURRITUCK COUNTY</v>
          </cell>
          <cell r="C268">
            <v>3.0777000000000001E-3</v>
          </cell>
          <cell r="D268">
            <v>2.9588000000000001E-3</v>
          </cell>
          <cell r="E268">
            <v>1358591</v>
          </cell>
          <cell r="F268">
            <v>6279565</v>
          </cell>
          <cell r="G268">
            <v>4701873</v>
          </cell>
          <cell r="H268"/>
          <cell r="I268">
            <v>270871</v>
          </cell>
          <cell r="J268">
            <v>1141620</v>
          </cell>
          <cell r="K268">
            <v>671493</v>
          </cell>
          <cell r="L268">
            <v>48990</v>
          </cell>
          <cell r="M268"/>
          <cell r="N268">
            <v>133095</v>
          </cell>
          <cell r="O268">
            <v>0</v>
          </cell>
          <cell r="P268">
            <v>0</v>
          </cell>
          <cell r="Q268">
            <v>42924</v>
          </cell>
          <cell r="R268"/>
          <cell r="S268">
            <v>1584535</v>
          </cell>
          <cell r="T268">
            <v>-25139</v>
          </cell>
          <cell r="U268">
            <v>1559396</v>
          </cell>
        </row>
        <row r="269">
          <cell r="A269">
            <v>92704</v>
          </cell>
          <cell r="B269" t="str">
            <v>CURRITUCK CO ABC BOARD</v>
          </cell>
          <cell r="C269">
            <v>4.1600000000000002E-5</v>
          </cell>
          <cell r="D269">
            <v>4.7700000000000001E-5</v>
          </cell>
          <cell r="E269">
            <v>18894</v>
          </cell>
          <cell r="F269">
            <v>101235</v>
          </cell>
          <cell r="G269">
            <v>63553</v>
          </cell>
          <cell r="H269"/>
          <cell r="I269">
            <v>3661</v>
          </cell>
          <cell r="J269">
            <v>15431</v>
          </cell>
          <cell r="K269">
            <v>9076</v>
          </cell>
          <cell r="L269">
            <v>1560</v>
          </cell>
          <cell r="M269"/>
          <cell r="N269">
            <v>1799</v>
          </cell>
          <cell r="O269">
            <v>0</v>
          </cell>
          <cell r="P269">
            <v>0</v>
          </cell>
          <cell r="Q269">
            <v>5674</v>
          </cell>
          <cell r="R269"/>
          <cell r="S269">
            <v>21418</v>
          </cell>
          <cell r="T269">
            <v>-706</v>
          </cell>
          <cell r="U269">
            <v>20712</v>
          </cell>
        </row>
        <row r="270">
          <cell r="A270">
            <v>92801</v>
          </cell>
          <cell r="B270" t="str">
            <v>DARE COUNTY</v>
          </cell>
          <cell r="C270">
            <v>5.0951E-3</v>
          </cell>
          <cell r="D270">
            <v>5.1701000000000004E-3</v>
          </cell>
          <cell r="E270">
            <v>2417020</v>
          </cell>
          <cell r="F270">
            <v>10972684</v>
          </cell>
          <cell r="G270">
            <v>7783901</v>
          </cell>
          <cell r="H270"/>
          <cell r="I270">
            <v>448425</v>
          </cell>
          <cell r="J270">
            <v>1889940</v>
          </cell>
          <cell r="K270">
            <v>1111649</v>
          </cell>
          <cell r="L270">
            <v>152907</v>
          </cell>
          <cell r="M270"/>
          <cell r="N270">
            <v>220338</v>
          </cell>
          <cell r="O270">
            <v>0</v>
          </cell>
          <cell r="P270">
            <v>0</v>
          </cell>
          <cell r="Q270">
            <v>0</v>
          </cell>
          <cell r="R270"/>
          <cell r="S270">
            <v>2623182</v>
          </cell>
          <cell r="T270">
            <v>81450</v>
          </cell>
          <cell r="U270">
            <v>2704632</v>
          </cell>
        </row>
        <row r="271">
          <cell r="A271">
            <v>92802</v>
          </cell>
          <cell r="B271" t="str">
            <v>DARE COUNTY TOURISM BOARD</v>
          </cell>
          <cell r="C271">
            <v>1.2970000000000001E-4</v>
          </cell>
          <cell r="D271">
            <v>1.3410000000000001E-4</v>
          </cell>
          <cell r="E271">
            <v>55828</v>
          </cell>
          <cell r="F271">
            <v>284605</v>
          </cell>
          <cell r="G271">
            <v>198146</v>
          </cell>
          <cell r="H271"/>
          <cell r="I271">
            <v>11415</v>
          </cell>
          <cell r="J271">
            <v>48110</v>
          </cell>
          <cell r="K271">
            <v>28298</v>
          </cell>
          <cell r="L271">
            <v>0</v>
          </cell>
          <cell r="M271"/>
          <cell r="N271">
            <v>5609</v>
          </cell>
          <cell r="O271">
            <v>0</v>
          </cell>
          <cell r="P271">
            <v>0</v>
          </cell>
          <cell r="Q271">
            <v>17517</v>
          </cell>
          <cell r="R271"/>
          <cell r="S271">
            <v>66775</v>
          </cell>
          <cell r="T271">
            <v>-6938</v>
          </cell>
          <cell r="U271">
            <v>59837</v>
          </cell>
        </row>
        <row r="272">
          <cell r="A272">
            <v>92804</v>
          </cell>
          <cell r="B272" t="str">
            <v>DARE COUNTY ABC BOARD</v>
          </cell>
          <cell r="C272">
            <v>1.36E-4</v>
          </cell>
          <cell r="D272">
            <v>1.47E-4</v>
          </cell>
          <cell r="E272">
            <v>57777</v>
          </cell>
          <cell r="F272">
            <v>311983</v>
          </cell>
          <cell r="G272">
            <v>207770</v>
          </cell>
          <cell r="H272"/>
          <cell r="I272">
            <v>11969</v>
          </cell>
          <cell r="J272">
            <v>50447</v>
          </cell>
          <cell r="K272">
            <v>29672</v>
          </cell>
          <cell r="L272">
            <v>8730</v>
          </cell>
          <cell r="M272"/>
          <cell r="N272">
            <v>5881</v>
          </cell>
          <cell r="O272">
            <v>0</v>
          </cell>
          <cell r="P272">
            <v>0</v>
          </cell>
          <cell r="Q272">
            <v>12427</v>
          </cell>
          <cell r="R272"/>
          <cell r="S272">
            <v>70019</v>
          </cell>
          <cell r="T272">
            <v>-172</v>
          </cell>
          <cell r="U272">
            <v>69847</v>
          </cell>
        </row>
        <row r="273">
          <cell r="A273">
            <v>92811</v>
          </cell>
          <cell r="B273" t="str">
            <v>TOWN OF NAGS HEAD</v>
          </cell>
          <cell r="C273">
            <v>1.0036000000000001E-3</v>
          </cell>
          <cell r="D273">
            <v>9.8569999999999994E-4</v>
          </cell>
          <cell r="E273">
            <v>442635</v>
          </cell>
          <cell r="F273">
            <v>2091986</v>
          </cell>
          <cell r="G273">
            <v>1533223</v>
          </cell>
          <cell r="H273"/>
          <cell r="I273">
            <v>88328</v>
          </cell>
          <cell r="J273">
            <v>372269</v>
          </cell>
          <cell r="K273">
            <v>218965</v>
          </cell>
          <cell r="L273">
            <v>0</v>
          </cell>
          <cell r="M273"/>
          <cell r="N273">
            <v>43401</v>
          </cell>
          <cell r="O273">
            <v>0</v>
          </cell>
          <cell r="P273">
            <v>0</v>
          </cell>
          <cell r="Q273">
            <v>85272</v>
          </cell>
          <cell r="R273"/>
          <cell r="S273">
            <v>516697</v>
          </cell>
          <cell r="T273">
            <v>-36667</v>
          </cell>
          <cell r="U273">
            <v>480030</v>
          </cell>
        </row>
        <row r="274">
          <cell r="A274">
            <v>92821</v>
          </cell>
          <cell r="B274" t="str">
            <v>TOWN OF KILL DEVIL HILLS</v>
          </cell>
          <cell r="C274">
            <v>9.9400000000000009E-4</v>
          </cell>
          <cell r="D274">
            <v>1.0139999999999999E-3</v>
          </cell>
          <cell r="E274">
            <v>481049</v>
          </cell>
          <cell r="F274">
            <v>2152048</v>
          </cell>
          <cell r="G274">
            <v>1518557</v>
          </cell>
          <cell r="H274"/>
          <cell r="I274">
            <v>87483</v>
          </cell>
          <cell r="J274">
            <v>368707</v>
          </cell>
          <cell r="K274">
            <v>216871</v>
          </cell>
          <cell r="L274">
            <v>24870</v>
          </cell>
          <cell r="M274"/>
          <cell r="N274">
            <v>42986</v>
          </cell>
          <cell r="O274">
            <v>0</v>
          </cell>
          <cell r="P274">
            <v>0</v>
          </cell>
          <cell r="Q274">
            <v>0</v>
          </cell>
          <cell r="R274"/>
          <cell r="S274">
            <v>511755</v>
          </cell>
          <cell r="T274">
            <v>10495</v>
          </cell>
          <cell r="U274">
            <v>522250</v>
          </cell>
        </row>
        <row r="275">
          <cell r="A275">
            <v>92831</v>
          </cell>
          <cell r="B275" t="str">
            <v>TOWN OF MANTEO</v>
          </cell>
          <cell r="C275">
            <v>2.1829999999999999E-4</v>
          </cell>
          <cell r="D275">
            <v>2.476E-4</v>
          </cell>
          <cell r="E275">
            <v>122076</v>
          </cell>
          <cell r="F275">
            <v>525490</v>
          </cell>
          <cell r="G275">
            <v>333502</v>
          </cell>
          <cell r="H275"/>
          <cell r="I275">
            <v>19213</v>
          </cell>
          <cell r="J275">
            <v>80975</v>
          </cell>
          <cell r="K275">
            <v>47629</v>
          </cell>
          <cell r="L275">
            <v>19156</v>
          </cell>
          <cell r="M275"/>
          <cell r="N275">
            <v>9440</v>
          </cell>
          <cell r="O275">
            <v>0</v>
          </cell>
          <cell r="P275">
            <v>0</v>
          </cell>
          <cell r="Q275">
            <v>2159</v>
          </cell>
          <cell r="R275"/>
          <cell r="S275">
            <v>112390</v>
          </cell>
          <cell r="T275">
            <v>9503</v>
          </cell>
          <cell r="U275">
            <v>121893</v>
          </cell>
        </row>
        <row r="276">
          <cell r="A276">
            <v>92841</v>
          </cell>
          <cell r="B276" t="str">
            <v>TOWN OF SOUTHERN SHORES</v>
          </cell>
          <cell r="C276">
            <v>2.7809999999999998E-4</v>
          </cell>
          <cell r="D276">
            <v>2.8160000000000001E-4</v>
          </cell>
          <cell r="E276">
            <v>116983</v>
          </cell>
          <cell r="F276">
            <v>597650</v>
          </cell>
          <cell r="G276">
            <v>424860</v>
          </cell>
          <cell r="H276"/>
          <cell r="I276">
            <v>24476</v>
          </cell>
          <cell r="J276">
            <v>103157</v>
          </cell>
          <cell r="K276">
            <v>60676</v>
          </cell>
          <cell r="L276">
            <v>5821</v>
          </cell>
          <cell r="M276"/>
          <cell r="N276">
            <v>12026</v>
          </cell>
          <cell r="O276">
            <v>0</v>
          </cell>
          <cell r="P276">
            <v>0</v>
          </cell>
          <cell r="Q276">
            <v>13149</v>
          </cell>
          <cell r="R276"/>
          <cell r="S276">
            <v>143178</v>
          </cell>
          <cell r="T276">
            <v>2288</v>
          </cell>
          <cell r="U276">
            <v>145466</v>
          </cell>
        </row>
        <row r="277">
          <cell r="A277">
            <v>92851</v>
          </cell>
          <cell r="B277" t="str">
            <v>TOWN OF KITTY HAWK</v>
          </cell>
          <cell r="C277">
            <v>4.6079999999999998E-4</v>
          </cell>
          <cell r="D277">
            <v>4.3909999999999999E-4</v>
          </cell>
          <cell r="E277">
            <v>187164</v>
          </cell>
          <cell r="F277">
            <v>931917</v>
          </cell>
          <cell r="G277">
            <v>703975</v>
          </cell>
          <cell r="H277"/>
          <cell r="I277">
            <v>40555</v>
          </cell>
          <cell r="J277">
            <v>170926</v>
          </cell>
          <cell r="K277">
            <v>100537</v>
          </cell>
          <cell r="L277">
            <v>0</v>
          </cell>
          <cell r="M277"/>
          <cell r="N277">
            <v>19927</v>
          </cell>
          <cell r="O277">
            <v>0</v>
          </cell>
          <cell r="P277">
            <v>0</v>
          </cell>
          <cell r="Q277">
            <v>62664</v>
          </cell>
          <cell r="R277"/>
          <cell r="S277">
            <v>237240</v>
          </cell>
          <cell r="T277">
            <v>-35531</v>
          </cell>
          <cell r="U277">
            <v>201709</v>
          </cell>
        </row>
        <row r="278">
          <cell r="A278">
            <v>92861</v>
          </cell>
          <cell r="B278" t="str">
            <v>TOWN OF DUCK</v>
          </cell>
          <cell r="C278">
            <v>3.6010000000000003E-4</v>
          </cell>
          <cell r="D278">
            <v>3.3629999999999999E-4</v>
          </cell>
          <cell r="E278">
            <v>121951</v>
          </cell>
          <cell r="F278">
            <v>713741</v>
          </cell>
          <cell r="G278">
            <v>550133</v>
          </cell>
          <cell r="H278"/>
          <cell r="I278">
            <v>31693</v>
          </cell>
          <cell r="J278">
            <v>133573</v>
          </cell>
          <cell r="K278">
            <v>78567</v>
          </cell>
          <cell r="L278">
            <v>0</v>
          </cell>
          <cell r="M278"/>
          <cell r="N278">
            <v>15573</v>
          </cell>
          <cell r="O278">
            <v>0</v>
          </cell>
          <cell r="P278">
            <v>0</v>
          </cell>
          <cell r="Q278">
            <v>83092</v>
          </cell>
          <cell r="R278"/>
          <cell r="S278">
            <v>185395</v>
          </cell>
          <cell r="T278">
            <v>-36908</v>
          </cell>
          <cell r="U278">
            <v>148487</v>
          </cell>
        </row>
        <row r="279">
          <cell r="A279">
            <v>92901</v>
          </cell>
          <cell r="B279" t="str">
            <v>DAVIDSON COUNTY</v>
          </cell>
          <cell r="C279">
            <v>5.5082999999999998E-3</v>
          </cell>
          <cell r="D279">
            <v>5.7581000000000004E-3</v>
          </cell>
          <cell r="E279">
            <v>2645958</v>
          </cell>
          <cell r="F279">
            <v>12220617</v>
          </cell>
          <cell r="G279">
            <v>8415157</v>
          </cell>
          <cell r="H279"/>
          <cell r="I279">
            <v>484791</v>
          </cell>
          <cell r="J279">
            <v>2043211</v>
          </cell>
          <cell r="K279">
            <v>1201801</v>
          </cell>
          <cell r="L279">
            <v>65697</v>
          </cell>
          <cell r="M279"/>
          <cell r="N279">
            <v>238206</v>
          </cell>
          <cell r="O279">
            <v>0</v>
          </cell>
          <cell r="P279">
            <v>0</v>
          </cell>
          <cell r="Q279">
            <v>124949</v>
          </cell>
          <cell r="R279"/>
          <cell r="S279">
            <v>2835915</v>
          </cell>
          <cell r="T279">
            <v>6522</v>
          </cell>
          <cell r="U279">
            <v>2842437</v>
          </cell>
        </row>
        <row r="280">
          <cell r="A280">
            <v>92911</v>
          </cell>
          <cell r="B280" t="str">
            <v>CITY OF THOMASVILLE</v>
          </cell>
          <cell r="C280">
            <v>1.9548999999999999E-3</v>
          </cell>
          <cell r="D280">
            <v>1.9442999999999999E-3</v>
          </cell>
          <cell r="E280">
            <v>924132</v>
          </cell>
          <cell r="F280">
            <v>4126456</v>
          </cell>
          <cell r="G280">
            <v>2986546</v>
          </cell>
          <cell r="H280"/>
          <cell r="I280">
            <v>172053</v>
          </cell>
          <cell r="J280">
            <v>725137</v>
          </cell>
          <cell r="K280">
            <v>426520</v>
          </cell>
          <cell r="L280">
            <v>28442</v>
          </cell>
          <cell r="M280"/>
          <cell r="N280">
            <v>84540</v>
          </cell>
          <cell r="O280">
            <v>0</v>
          </cell>
          <cell r="P280">
            <v>0</v>
          </cell>
          <cell r="Q280">
            <v>113525</v>
          </cell>
          <cell r="R280"/>
          <cell r="S280">
            <v>1006469</v>
          </cell>
          <cell r="T280">
            <v>-55041</v>
          </cell>
          <cell r="U280">
            <v>951428</v>
          </cell>
        </row>
        <row r="281">
          <cell r="A281">
            <v>92913</v>
          </cell>
          <cell r="B281" t="str">
            <v>THOMASVILLE HOUSING AUTHORITY</v>
          </cell>
          <cell r="C281">
            <v>2.1999999999999999E-5</v>
          </cell>
          <cell r="D281">
            <v>2.37E-5</v>
          </cell>
          <cell r="E281">
            <v>57760</v>
          </cell>
          <cell r="F281">
            <v>50299</v>
          </cell>
          <cell r="G281">
            <v>33610</v>
          </cell>
          <cell r="H281"/>
          <cell r="I281">
            <v>1936</v>
          </cell>
          <cell r="J281">
            <v>8160</v>
          </cell>
          <cell r="K281">
            <v>4800</v>
          </cell>
          <cell r="L281">
            <v>79442</v>
          </cell>
          <cell r="M281"/>
          <cell r="N281">
            <v>951</v>
          </cell>
          <cell r="O281">
            <v>0</v>
          </cell>
          <cell r="P281">
            <v>0</v>
          </cell>
          <cell r="Q281">
            <v>2047</v>
          </cell>
          <cell r="R281"/>
          <cell r="S281">
            <v>11327</v>
          </cell>
          <cell r="T281">
            <v>25513</v>
          </cell>
          <cell r="U281">
            <v>36840</v>
          </cell>
        </row>
        <row r="282">
          <cell r="A282">
            <v>92914</v>
          </cell>
          <cell r="B282" t="str">
            <v>THOMASVILLE ABC BOARD</v>
          </cell>
          <cell r="C282">
            <v>2.8900000000000001E-5</v>
          </cell>
          <cell r="D282">
            <v>0</v>
          </cell>
          <cell r="E282">
            <v>10513</v>
          </cell>
          <cell r="F282">
            <v>0</v>
          </cell>
          <cell r="G282">
            <v>44151</v>
          </cell>
          <cell r="H282"/>
          <cell r="I282">
            <v>2544</v>
          </cell>
          <cell r="J282">
            <v>10720</v>
          </cell>
          <cell r="K282">
            <v>6305</v>
          </cell>
          <cell r="L282">
            <v>17173</v>
          </cell>
          <cell r="M282"/>
          <cell r="N282">
            <v>1250</v>
          </cell>
          <cell r="O282">
            <v>0</v>
          </cell>
          <cell r="P282">
            <v>0</v>
          </cell>
          <cell r="Q282">
            <v>0</v>
          </cell>
          <cell r="R282"/>
          <cell r="S282">
            <v>14879</v>
          </cell>
          <cell r="T282">
            <v>4293</v>
          </cell>
          <cell r="U282">
            <v>19172</v>
          </cell>
        </row>
        <row r="283">
          <cell r="A283">
            <v>92917</v>
          </cell>
          <cell r="B283" t="str">
            <v>LEXINGTON ABC BOARD</v>
          </cell>
          <cell r="C283">
            <v>1.4800000000000001E-5</v>
          </cell>
          <cell r="D283">
            <v>2.0000000000000002E-5</v>
          </cell>
          <cell r="E283">
            <v>16082</v>
          </cell>
          <cell r="F283">
            <v>42447</v>
          </cell>
          <cell r="G283">
            <v>22610</v>
          </cell>
          <cell r="H283"/>
          <cell r="I283">
            <v>1303</v>
          </cell>
          <cell r="J283">
            <v>5490</v>
          </cell>
          <cell r="K283">
            <v>3229</v>
          </cell>
          <cell r="L283">
            <v>13223</v>
          </cell>
          <cell r="M283"/>
          <cell r="N283">
            <v>640</v>
          </cell>
          <cell r="O283">
            <v>0</v>
          </cell>
          <cell r="P283">
            <v>0</v>
          </cell>
          <cell r="Q283">
            <v>0</v>
          </cell>
          <cell r="R283"/>
          <cell r="S283">
            <v>7620</v>
          </cell>
          <cell r="T283">
            <v>6352</v>
          </cell>
          <cell r="U283">
            <v>13972</v>
          </cell>
        </row>
        <row r="284">
          <cell r="A284">
            <v>92921</v>
          </cell>
          <cell r="B284" t="str">
            <v>TOWN OF DENTON</v>
          </cell>
          <cell r="C284">
            <v>7.4400000000000006E-5</v>
          </cell>
          <cell r="D284">
            <v>6.2899999999999997E-5</v>
          </cell>
          <cell r="E284">
            <v>41073</v>
          </cell>
          <cell r="F284">
            <v>133495</v>
          </cell>
          <cell r="G284">
            <v>113663</v>
          </cell>
          <cell r="H284"/>
          <cell r="I284">
            <v>6548</v>
          </cell>
          <cell r="J284">
            <v>27597</v>
          </cell>
          <cell r="K284">
            <v>16233</v>
          </cell>
          <cell r="L284">
            <v>13244</v>
          </cell>
          <cell r="M284"/>
          <cell r="N284">
            <v>3217</v>
          </cell>
          <cell r="O284">
            <v>0</v>
          </cell>
          <cell r="P284">
            <v>0</v>
          </cell>
          <cell r="Q284">
            <v>7831</v>
          </cell>
          <cell r="R284"/>
          <cell r="S284">
            <v>38304</v>
          </cell>
          <cell r="T284">
            <v>-2914</v>
          </cell>
          <cell r="U284">
            <v>35390</v>
          </cell>
        </row>
        <row r="285">
          <cell r="A285">
            <v>92931</v>
          </cell>
          <cell r="B285" t="str">
            <v>CITY OF LEXINGTON</v>
          </cell>
          <cell r="C285">
            <v>2.3996E-3</v>
          </cell>
          <cell r="D285">
            <v>2.5048000000000002E-3</v>
          </cell>
          <cell r="E285">
            <v>1109331</v>
          </cell>
          <cell r="F285">
            <v>5316025</v>
          </cell>
          <cell r="G285">
            <v>3665924</v>
          </cell>
          <cell r="H285"/>
          <cell r="I285">
            <v>211191</v>
          </cell>
          <cell r="J285">
            <v>890091</v>
          </cell>
          <cell r="K285">
            <v>523545</v>
          </cell>
          <cell r="L285">
            <v>7721</v>
          </cell>
          <cell r="M285"/>
          <cell r="N285">
            <v>103771</v>
          </cell>
          <cell r="O285">
            <v>0</v>
          </cell>
          <cell r="P285">
            <v>0</v>
          </cell>
          <cell r="Q285">
            <v>147858</v>
          </cell>
          <cell r="R285"/>
          <cell r="S285">
            <v>1235420</v>
          </cell>
          <cell r="T285">
            <v>-41276</v>
          </cell>
          <cell r="U285">
            <v>1194144</v>
          </cell>
        </row>
        <row r="286">
          <cell r="A286">
            <v>92941</v>
          </cell>
          <cell r="B286" t="str">
            <v>TOWN OF MIDWAY</v>
          </cell>
          <cell r="C286">
            <v>1.2300000000000001E-5</v>
          </cell>
          <cell r="D286">
            <v>1.84E-5</v>
          </cell>
          <cell r="E286">
            <v>8547</v>
          </cell>
          <cell r="F286">
            <v>39051</v>
          </cell>
          <cell r="G286">
            <v>18791</v>
          </cell>
          <cell r="H286"/>
          <cell r="I286">
            <v>1083</v>
          </cell>
          <cell r="J286">
            <v>4563</v>
          </cell>
          <cell r="K286">
            <v>2684</v>
          </cell>
          <cell r="L286">
            <v>6612</v>
          </cell>
          <cell r="M286"/>
          <cell r="N286">
            <v>532</v>
          </cell>
          <cell r="O286">
            <v>0</v>
          </cell>
          <cell r="P286">
            <v>0</v>
          </cell>
          <cell r="Q286">
            <v>1770</v>
          </cell>
          <cell r="R286"/>
          <cell r="S286">
            <v>6333</v>
          </cell>
          <cell r="T286">
            <v>3162</v>
          </cell>
          <cell r="U286">
            <v>9495</v>
          </cell>
        </row>
        <row r="287">
          <cell r="A287">
            <v>93001</v>
          </cell>
          <cell r="B287" t="str">
            <v>DAVIE COUNTY</v>
          </cell>
          <cell r="C287">
            <v>2.2227000000000002E-3</v>
          </cell>
          <cell r="D287">
            <v>2.2739000000000001E-3</v>
          </cell>
          <cell r="E287">
            <v>981066</v>
          </cell>
          <cell r="F287">
            <v>4825978</v>
          </cell>
          <cell r="G287">
            <v>3395670</v>
          </cell>
          <cell r="H287"/>
          <cell r="I287">
            <v>195622</v>
          </cell>
          <cell r="J287">
            <v>824473</v>
          </cell>
          <cell r="K287">
            <v>484949</v>
          </cell>
          <cell r="L287">
            <v>8733</v>
          </cell>
          <cell r="M287"/>
          <cell r="N287">
            <v>96121</v>
          </cell>
          <cell r="O287">
            <v>0</v>
          </cell>
          <cell r="P287">
            <v>0</v>
          </cell>
          <cell r="Q287">
            <v>123729</v>
          </cell>
          <cell r="R287"/>
          <cell r="S287">
            <v>1144344</v>
          </cell>
          <cell r="T287">
            <v>-57358</v>
          </cell>
          <cell r="U287">
            <v>1086986</v>
          </cell>
        </row>
        <row r="288">
          <cell r="A288">
            <v>93009</v>
          </cell>
          <cell r="B288" t="str">
            <v>DAVIE SOIL AND WATER CONSERVATION DIST</v>
          </cell>
          <cell r="C288">
            <v>1.47E-5</v>
          </cell>
          <cell r="D288">
            <v>1.5400000000000002E-5</v>
          </cell>
          <cell r="E288">
            <v>5348</v>
          </cell>
          <cell r="F288">
            <v>32684</v>
          </cell>
          <cell r="G288">
            <v>22458</v>
          </cell>
          <cell r="H288"/>
          <cell r="I288">
            <v>1294</v>
          </cell>
          <cell r="J288">
            <v>5453</v>
          </cell>
          <cell r="K288">
            <v>3207</v>
          </cell>
          <cell r="L288">
            <v>0</v>
          </cell>
          <cell r="M288"/>
          <cell r="N288">
            <v>636</v>
          </cell>
          <cell r="O288">
            <v>0</v>
          </cell>
          <cell r="P288">
            <v>0</v>
          </cell>
          <cell r="Q288">
            <v>4280</v>
          </cell>
          <cell r="R288"/>
          <cell r="S288">
            <v>7568</v>
          </cell>
          <cell r="T288">
            <v>-1918</v>
          </cell>
          <cell r="U288">
            <v>5650</v>
          </cell>
        </row>
        <row r="289">
          <cell r="A289">
            <v>93011</v>
          </cell>
          <cell r="B289" t="str">
            <v>TOWN OF MOCKSVILLE</v>
          </cell>
          <cell r="C289">
            <v>2.2699999999999999E-4</v>
          </cell>
          <cell r="D289">
            <v>2.6160000000000002E-4</v>
          </cell>
          <cell r="E289">
            <v>118523</v>
          </cell>
          <cell r="F289">
            <v>555203</v>
          </cell>
          <cell r="G289">
            <v>346793</v>
          </cell>
          <cell r="H289"/>
          <cell r="I289">
            <v>19978</v>
          </cell>
          <cell r="J289">
            <v>84202</v>
          </cell>
          <cell r="K289">
            <v>49527</v>
          </cell>
          <cell r="L289">
            <v>1542</v>
          </cell>
          <cell r="M289"/>
          <cell r="N289">
            <v>9817</v>
          </cell>
          <cell r="O289">
            <v>0</v>
          </cell>
          <cell r="P289">
            <v>0</v>
          </cell>
          <cell r="Q289">
            <v>15019</v>
          </cell>
          <cell r="R289"/>
          <cell r="S289">
            <v>116870</v>
          </cell>
          <cell r="T289">
            <v>-3863</v>
          </cell>
          <cell r="U289">
            <v>113007</v>
          </cell>
        </row>
        <row r="290">
          <cell r="A290">
            <v>93021</v>
          </cell>
          <cell r="B290" t="str">
            <v>TOWN OF BERMUDA RUN</v>
          </cell>
          <cell r="C290">
            <v>3.4199999999999998E-5</v>
          </cell>
          <cell r="D290">
            <v>2.8900000000000001E-5</v>
          </cell>
          <cell r="E290">
            <v>12994</v>
          </cell>
          <cell r="F290">
            <v>61335</v>
          </cell>
          <cell r="G290">
            <v>52248</v>
          </cell>
          <cell r="H290"/>
          <cell r="I290">
            <v>3010</v>
          </cell>
          <cell r="J290">
            <v>12686</v>
          </cell>
          <cell r="K290">
            <v>7462</v>
          </cell>
          <cell r="L290">
            <v>3788</v>
          </cell>
          <cell r="M290"/>
          <cell r="N290">
            <v>1479</v>
          </cell>
          <cell r="O290">
            <v>0</v>
          </cell>
          <cell r="P290">
            <v>0</v>
          </cell>
          <cell r="Q290">
            <v>4978</v>
          </cell>
          <cell r="R290"/>
          <cell r="S290">
            <v>17608</v>
          </cell>
          <cell r="T290">
            <v>260</v>
          </cell>
          <cell r="U290">
            <v>17868</v>
          </cell>
        </row>
        <row r="291">
          <cell r="A291">
            <v>93027</v>
          </cell>
          <cell r="B291" t="str">
            <v>COOLEEMEE ABC BOARD</v>
          </cell>
          <cell r="C291">
            <v>1.6699999999999999E-5</v>
          </cell>
          <cell r="D291">
            <v>1.6699999999999999E-5</v>
          </cell>
          <cell r="E291">
            <v>8270</v>
          </cell>
          <cell r="F291">
            <v>35443</v>
          </cell>
          <cell r="G291">
            <v>25513</v>
          </cell>
          <cell r="H291"/>
          <cell r="I291">
            <v>1470</v>
          </cell>
          <cell r="J291">
            <v>6194</v>
          </cell>
          <cell r="K291">
            <v>3644</v>
          </cell>
          <cell r="L291">
            <v>1152</v>
          </cell>
          <cell r="M291"/>
          <cell r="N291">
            <v>722</v>
          </cell>
          <cell r="O291">
            <v>0</v>
          </cell>
          <cell r="P291">
            <v>0</v>
          </cell>
          <cell r="Q291">
            <v>834</v>
          </cell>
          <cell r="R291"/>
          <cell r="S291">
            <v>8598</v>
          </cell>
          <cell r="T291">
            <v>-308</v>
          </cell>
          <cell r="U291">
            <v>8290</v>
          </cell>
        </row>
        <row r="292">
          <cell r="A292">
            <v>93031</v>
          </cell>
          <cell r="B292" t="str">
            <v>TOWN OF COOLEEMEE</v>
          </cell>
          <cell r="C292">
            <v>2.1699999999999999E-5</v>
          </cell>
          <cell r="D292">
            <v>2.2399999999999999E-5</v>
          </cell>
          <cell r="E292">
            <v>20397</v>
          </cell>
          <cell r="F292">
            <v>47540</v>
          </cell>
          <cell r="G292">
            <v>33152</v>
          </cell>
          <cell r="H292"/>
          <cell r="I292">
            <v>1910</v>
          </cell>
          <cell r="J292">
            <v>8050</v>
          </cell>
          <cell r="K292">
            <v>4735</v>
          </cell>
          <cell r="L292">
            <v>18910</v>
          </cell>
          <cell r="M292"/>
          <cell r="N292">
            <v>938</v>
          </cell>
          <cell r="O292">
            <v>0</v>
          </cell>
          <cell r="P292">
            <v>0</v>
          </cell>
          <cell r="Q292">
            <v>221</v>
          </cell>
          <cell r="R292"/>
          <cell r="S292">
            <v>11172</v>
          </cell>
          <cell r="T292">
            <v>5880</v>
          </cell>
          <cell r="U292">
            <v>17052</v>
          </cell>
        </row>
        <row r="293">
          <cell r="A293">
            <v>93101</v>
          </cell>
          <cell r="B293" t="str">
            <v>DUPLIN COUNTY</v>
          </cell>
          <cell r="C293">
            <v>3.5159000000000002E-3</v>
          </cell>
          <cell r="D293">
            <v>3.5771000000000002E-3</v>
          </cell>
          <cell r="E293">
            <v>1521217</v>
          </cell>
          <cell r="F293">
            <v>7591805</v>
          </cell>
          <cell r="G293">
            <v>5371321</v>
          </cell>
          <cell r="H293"/>
          <cell r="I293">
            <v>309438</v>
          </cell>
          <cell r="J293">
            <v>1304163</v>
          </cell>
          <cell r="K293">
            <v>767099</v>
          </cell>
          <cell r="L293">
            <v>104257</v>
          </cell>
          <cell r="M293"/>
          <cell r="N293">
            <v>152045</v>
          </cell>
          <cell r="O293">
            <v>0</v>
          </cell>
          <cell r="P293">
            <v>0</v>
          </cell>
          <cell r="Q293">
            <v>115334</v>
          </cell>
          <cell r="R293"/>
          <cell r="S293">
            <v>1810140</v>
          </cell>
          <cell r="T293">
            <v>39451</v>
          </cell>
          <cell r="U293">
            <v>1849591</v>
          </cell>
        </row>
        <row r="294">
          <cell r="A294">
            <v>93103</v>
          </cell>
          <cell r="B294" t="str">
            <v>DUPLIN COUNTY TOURISM DEVELOPMENT AUTHORITY</v>
          </cell>
          <cell r="C294">
            <v>1.7099999999999999E-5</v>
          </cell>
          <cell r="D294">
            <v>1.7200000000000001E-5</v>
          </cell>
          <cell r="E294">
            <v>5686</v>
          </cell>
          <cell r="F294">
            <v>36504</v>
          </cell>
          <cell r="G294">
            <v>26124</v>
          </cell>
          <cell r="H294"/>
          <cell r="I294">
            <v>1505</v>
          </cell>
          <cell r="J294">
            <v>6343</v>
          </cell>
          <cell r="K294">
            <v>3731</v>
          </cell>
          <cell r="L294">
            <v>6718</v>
          </cell>
          <cell r="M294"/>
          <cell r="N294">
            <v>739</v>
          </cell>
          <cell r="O294">
            <v>0</v>
          </cell>
          <cell r="P294">
            <v>0</v>
          </cell>
          <cell r="Q294">
            <v>1798</v>
          </cell>
          <cell r="R294"/>
          <cell r="S294">
            <v>8804</v>
          </cell>
          <cell r="T294">
            <v>2085</v>
          </cell>
          <cell r="U294">
            <v>10889</v>
          </cell>
        </row>
        <row r="295">
          <cell r="A295">
            <v>93108</v>
          </cell>
          <cell r="B295" t="str">
            <v>EASTPOINTE HUMAN SERVICES</v>
          </cell>
          <cell r="C295">
            <v>2.6624999999999999E-3</v>
          </cell>
          <cell r="D295">
            <v>2.5661999999999998E-3</v>
          </cell>
          <cell r="E295">
            <v>1189197</v>
          </cell>
          <cell r="F295">
            <v>5446336</v>
          </cell>
          <cell r="G295">
            <v>4067562</v>
          </cell>
          <cell r="H295"/>
          <cell r="I295">
            <v>234329</v>
          </cell>
          <cell r="J295">
            <v>987609</v>
          </cell>
          <cell r="K295">
            <v>580904</v>
          </cell>
          <cell r="L295">
            <v>274861</v>
          </cell>
          <cell r="M295"/>
          <cell r="N295">
            <v>115140</v>
          </cell>
          <cell r="O295">
            <v>0</v>
          </cell>
          <cell r="P295">
            <v>0</v>
          </cell>
          <cell r="Q295">
            <v>0</v>
          </cell>
          <cell r="R295"/>
          <cell r="S295">
            <v>1370772</v>
          </cell>
          <cell r="T295">
            <v>189775</v>
          </cell>
          <cell r="U295">
            <v>1560547</v>
          </cell>
        </row>
        <row r="296">
          <cell r="A296">
            <v>93111</v>
          </cell>
          <cell r="B296" t="str">
            <v>TOWN OF BEULAVILLE</v>
          </cell>
          <cell r="C296">
            <v>5.8499999999999999E-5</v>
          </cell>
          <cell r="D296">
            <v>7.08E-5</v>
          </cell>
          <cell r="E296">
            <v>27143</v>
          </cell>
          <cell r="F296">
            <v>150261</v>
          </cell>
          <cell r="G296">
            <v>89372</v>
          </cell>
          <cell r="H296"/>
          <cell r="I296">
            <v>5149</v>
          </cell>
          <cell r="J296">
            <v>21700</v>
          </cell>
          <cell r="K296">
            <v>12764</v>
          </cell>
          <cell r="L296">
            <v>0</v>
          </cell>
          <cell r="M296"/>
          <cell r="N296">
            <v>2530</v>
          </cell>
          <cell r="O296">
            <v>0</v>
          </cell>
          <cell r="P296">
            <v>0</v>
          </cell>
          <cell r="Q296">
            <v>15463</v>
          </cell>
          <cell r="R296"/>
          <cell r="S296">
            <v>30118</v>
          </cell>
          <cell r="T296">
            <v>-5541</v>
          </cell>
          <cell r="U296">
            <v>24577</v>
          </cell>
        </row>
        <row r="297">
          <cell r="A297">
            <v>93121</v>
          </cell>
          <cell r="B297" t="str">
            <v>TOWN OF KENANSVILLE</v>
          </cell>
          <cell r="C297">
            <v>6.2299999999999996E-5</v>
          </cell>
          <cell r="D297">
            <v>5.8900000000000002E-5</v>
          </cell>
          <cell r="E297">
            <v>28306</v>
          </cell>
          <cell r="F297">
            <v>125006</v>
          </cell>
          <cell r="G297">
            <v>95177</v>
          </cell>
          <cell r="H297"/>
          <cell r="I297">
            <v>5483</v>
          </cell>
          <cell r="J297">
            <v>23109</v>
          </cell>
          <cell r="K297">
            <v>13593</v>
          </cell>
          <cell r="L297">
            <v>2043</v>
          </cell>
          <cell r="M297"/>
          <cell r="N297">
            <v>2694</v>
          </cell>
          <cell r="O297">
            <v>0</v>
          </cell>
          <cell r="P297">
            <v>0</v>
          </cell>
          <cell r="Q297">
            <v>9059</v>
          </cell>
          <cell r="R297"/>
          <cell r="S297">
            <v>32075</v>
          </cell>
          <cell r="T297">
            <v>-3552</v>
          </cell>
          <cell r="U297">
            <v>28523</v>
          </cell>
        </row>
        <row r="298">
          <cell r="A298">
            <v>93127</v>
          </cell>
          <cell r="B298" t="str">
            <v>KENANSVILLE ABC BOARD</v>
          </cell>
          <cell r="C298">
            <v>6.9E-6</v>
          </cell>
          <cell r="D298">
            <v>6.8000000000000001E-6</v>
          </cell>
          <cell r="E298">
            <v>3239</v>
          </cell>
          <cell r="F298">
            <v>14432</v>
          </cell>
          <cell r="G298">
            <v>10541</v>
          </cell>
          <cell r="H298"/>
          <cell r="I298">
            <v>607</v>
          </cell>
          <cell r="J298">
            <v>2560</v>
          </cell>
          <cell r="K298">
            <v>1505</v>
          </cell>
          <cell r="L298">
            <v>124</v>
          </cell>
          <cell r="M298"/>
          <cell r="N298">
            <v>298</v>
          </cell>
          <cell r="O298">
            <v>0</v>
          </cell>
          <cell r="P298">
            <v>0</v>
          </cell>
          <cell r="Q298">
            <v>731</v>
          </cell>
          <cell r="R298"/>
          <cell r="S298">
            <v>3552</v>
          </cell>
          <cell r="T298">
            <v>-369</v>
          </cell>
          <cell r="U298">
            <v>3183</v>
          </cell>
        </row>
        <row r="299">
          <cell r="A299">
            <v>93131</v>
          </cell>
          <cell r="B299" t="str">
            <v>TOWN OF WARSAW</v>
          </cell>
          <cell r="C299">
            <v>2.218E-4</v>
          </cell>
          <cell r="D299">
            <v>2.3939999999999999E-4</v>
          </cell>
          <cell r="E299">
            <v>95091</v>
          </cell>
          <cell r="F299">
            <v>508087</v>
          </cell>
          <cell r="G299">
            <v>338849</v>
          </cell>
          <cell r="H299"/>
          <cell r="I299">
            <v>19521</v>
          </cell>
          <cell r="J299">
            <v>82273</v>
          </cell>
          <cell r="K299">
            <v>48392</v>
          </cell>
          <cell r="L299">
            <v>7888</v>
          </cell>
          <cell r="M299"/>
          <cell r="N299">
            <v>9592</v>
          </cell>
          <cell r="O299">
            <v>0</v>
          </cell>
          <cell r="P299">
            <v>0</v>
          </cell>
          <cell r="Q299">
            <v>21906</v>
          </cell>
          <cell r="R299"/>
          <cell r="S299">
            <v>114192</v>
          </cell>
          <cell r="T299">
            <v>-530</v>
          </cell>
          <cell r="U299">
            <v>113662</v>
          </cell>
        </row>
        <row r="300">
          <cell r="A300">
            <v>93137</v>
          </cell>
          <cell r="B300" t="str">
            <v>WARSAW ABC BOARD</v>
          </cell>
          <cell r="C300">
            <v>3.3000000000000002E-6</v>
          </cell>
          <cell r="D300">
            <v>1.9E-6</v>
          </cell>
          <cell r="E300">
            <v>2530</v>
          </cell>
          <cell r="F300">
            <v>4032</v>
          </cell>
          <cell r="G300">
            <v>5041</v>
          </cell>
          <cell r="H300"/>
          <cell r="I300">
            <v>290</v>
          </cell>
          <cell r="J300">
            <v>1224</v>
          </cell>
          <cell r="K300">
            <v>720</v>
          </cell>
          <cell r="L300">
            <v>2709</v>
          </cell>
          <cell r="M300"/>
          <cell r="N300">
            <v>143</v>
          </cell>
          <cell r="O300">
            <v>0</v>
          </cell>
          <cell r="P300">
            <v>0</v>
          </cell>
          <cell r="Q300">
            <v>0</v>
          </cell>
          <cell r="R300"/>
          <cell r="S300">
            <v>1699</v>
          </cell>
          <cell r="T300">
            <v>839</v>
          </cell>
          <cell r="U300">
            <v>2538</v>
          </cell>
        </row>
        <row r="301">
          <cell r="A301">
            <v>93141</v>
          </cell>
          <cell r="B301" t="str">
            <v>TOWN OF FAISON</v>
          </cell>
          <cell r="C301">
            <v>4.1100000000000003E-5</v>
          </cell>
          <cell r="D301">
            <v>4.5500000000000001E-5</v>
          </cell>
          <cell r="E301">
            <v>16199</v>
          </cell>
          <cell r="F301">
            <v>96566</v>
          </cell>
          <cell r="G301">
            <v>62789</v>
          </cell>
          <cell r="H301"/>
          <cell r="I301">
            <v>3617</v>
          </cell>
          <cell r="J301">
            <v>15246</v>
          </cell>
          <cell r="K301">
            <v>8967</v>
          </cell>
          <cell r="L301">
            <v>2083</v>
          </cell>
          <cell r="M301"/>
          <cell r="N301">
            <v>1777</v>
          </cell>
          <cell r="O301">
            <v>0</v>
          </cell>
          <cell r="P301">
            <v>0</v>
          </cell>
          <cell r="Q301">
            <v>7408</v>
          </cell>
          <cell r="R301"/>
          <cell r="S301">
            <v>21160</v>
          </cell>
          <cell r="T301">
            <v>-351</v>
          </cell>
          <cell r="U301">
            <v>20809</v>
          </cell>
        </row>
        <row r="302">
          <cell r="A302">
            <v>93151</v>
          </cell>
          <cell r="B302" t="str">
            <v>TOWN OF WALLACE</v>
          </cell>
          <cell r="C302">
            <v>3.4279999999999998E-4</v>
          </cell>
          <cell r="D302">
            <v>3.6539999999999999E-4</v>
          </cell>
          <cell r="E302">
            <v>156182</v>
          </cell>
          <cell r="F302">
            <v>775501</v>
          </cell>
          <cell r="G302">
            <v>523703</v>
          </cell>
          <cell r="H302"/>
          <cell r="I302">
            <v>30170</v>
          </cell>
          <cell r="J302">
            <v>127156</v>
          </cell>
          <cell r="K302">
            <v>74792</v>
          </cell>
          <cell r="L302">
            <v>3795</v>
          </cell>
          <cell r="M302"/>
          <cell r="N302">
            <v>14824</v>
          </cell>
          <cell r="O302">
            <v>0</v>
          </cell>
          <cell r="P302">
            <v>0</v>
          </cell>
          <cell r="Q302">
            <v>19989</v>
          </cell>
          <cell r="R302"/>
          <cell r="S302">
            <v>176489</v>
          </cell>
          <cell r="T302">
            <v>-4355</v>
          </cell>
          <cell r="U302">
            <v>172134</v>
          </cell>
        </row>
        <row r="303">
          <cell r="A303">
            <v>93157</v>
          </cell>
          <cell r="B303" t="str">
            <v>WALLACE ABC BD</v>
          </cell>
          <cell r="C303">
            <v>3.5999999999999998E-6</v>
          </cell>
          <cell r="D303">
            <v>3.8E-6</v>
          </cell>
          <cell r="E303">
            <v>6045</v>
          </cell>
          <cell r="F303">
            <v>8065</v>
          </cell>
          <cell r="G303">
            <v>5500</v>
          </cell>
          <cell r="H303"/>
          <cell r="I303">
            <v>317</v>
          </cell>
          <cell r="J303">
            <v>1336</v>
          </cell>
          <cell r="K303">
            <v>785</v>
          </cell>
          <cell r="L303">
            <v>6931</v>
          </cell>
          <cell r="M303"/>
          <cell r="N303">
            <v>156</v>
          </cell>
          <cell r="O303">
            <v>0</v>
          </cell>
          <cell r="P303">
            <v>0</v>
          </cell>
          <cell r="Q303">
            <v>340</v>
          </cell>
          <cell r="R303"/>
          <cell r="S303">
            <v>1853</v>
          </cell>
          <cell r="T303">
            <v>2783</v>
          </cell>
          <cell r="U303">
            <v>4636</v>
          </cell>
        </row>
        <row r="304">
          <cell r="A304">
            <v>93161</v>
          </cell>
          <cell r="B304" t="str">
            <v>TOWN OF ROSE HILL</v>
          </cell>
          <cell r="C304">
            <v>1.038E-4</v>
          </cell>
          <cell r="D304">
            <v>6.2500000000000001E-5</v>
          </cell>
          <cell r="E304">
            <v>47956</v>
          </cell>
          <cell r="F304">
            <v>132646</v>
          </cell>
          <cell r="G304">
            <v>158578</v>
          </cell>
          <cell r="H304"/>
          <cell r="I304">
            <v>9136</v>
          </cell>
          <cell r="J304">
            <v>38503</v>
          </cell>
          <cell r="K304">
            <v>22647</v>
          </cell>
          <cell r="L304">
            <v>35990</v>
          </cell>
          <cell r="M304"/>
          <cell r="N304">
            <v>4489</v>
          </cell>
          <cell r="O304">
            <v>0</v>
          </cell>
          <cell r="P304">
            <v>0</v>
          </cell>
          <cell r="Q304">
            <v>0</v>
          </cell>
          <cell r="R304"/>
          <cell r="S304">
            <v>53441</v>
          </cell>
          <cell r="T304">
            <v>13001</v>
          </cell>
          <cell r="U304">
            <v>66442</v>
          </cell>
        </row>
        <row r="305">
          <cell r="A305">
            <v>93171</v>
          </cell>
          <cell r="B305" t="str">
            <v>TOWN OF CALYPSO</v>
          </cell>
          <cell r="C305">
            <v>5.2000000000000002E-6</v>
          </cell>
          <cell r="D305">
            <v>5.8000000000000004E-6</v>
          </cell>
          <cell r="E305">
            <v>3889</v>
          </cell>
          <cell r="F305">
            <v>12310</v>
          </cell>
          <cell r="G305">
            <v>7944</v>
          </cell>
          <cell r="H305"/>
          <cell r="I305">
            <v>458</v>
          </cell>
          <cell r="J305">
            <v>1929</v>
          </cell>
          <cell r="K305">
            <v>1135</v>
          </cell>
          <cell r="L305">
            <v>1960</v>
          </cell>
          <cell r="M305"/>
          <cell r="N305">
            <v>225</v>
          </cell>
          <cell r="O305">
            <v>0</v>
          </cell>
          <cell r="P305">
            <v>0</v>
          </cell>
          <cell r="Q305">
            <v>0</v>
          </cell>
          <cell r="R305"/>
          <cell r="S305">
            <v>2677</v>
          </cell>
          <cell r="T305">
            <v>791</v>
          </cell>
          <cell r="U305">
            <v>3468</v>
          </cell>
        </row>
        <row r="306">
          <cell r="A306">
            <v>93181</v>
          </cell>
          <cell r="B306" t="str">
            <v>TOWN OF TEACHEY</v>
          </cell>
          <cell r="C306">
            <v>1.13E-5</v>
          </cell>
          <cell r="D306">
            <v>1.1E-5</v>
          </cell>
          <cell r="E306">
            <v>5393</v>
          </cell>
          <cell r="F306">
            <v>23346</v>
          </cell>
          <cell r="G306">
            <v>17263</v>
          </cell>
          <cell r="H306"/>
          <cell r="I306">
            <v>995</v>
          </cell>
          <cell r="J306">
            <v>4191</v>
          </cell>
          <cell r="K306">
            <v>2465</v>
          </cell>
          <cell r="L306">
            <v>772</v>
          </cell>
          <cell r="M306"/>
          <cell r="N306">
            <v>489</v>
          </cell>
          <cell r="O306">
            <v>0</v>
          </cell>
          <cell r="P306">
            <v>0</v>
          </cell>
          <cell r="Q306">
            <v>28</v>
          </cell>
          <cell r="R306"/>
          <cell r="S306">
            <v>5818</v>
          </cell>
          <cell r="T306">
            <v>412</v>
          </cell>
          <cell r="U306">
            <v>6230</v>
          </cell>
        </row>
        <row r="307">
          <cell r="A307">
            <v>93191</v>
          </cell>
          <cell r="B307" t="str">
            <v>TOWN OF MAGNOLIA</v>
          </cell>
          <cell r="C307">
            <v>2.4600000000000002E-5</v>
          </cell>
          <cell r="D307">
            <v>3.3000000000000003E-5</v>
          </cell>
          <cell r="E307">
            <v>16089</v>
          </cell>
          <cell r="F307">
            <v>70037</v>
          </cell>
          <cell r="G307">
            <v>37582</v>
          </cell>
          <cell r="H307"/>
          <cell r="I307">
            <v>2165</v>
          </cell>
          <cell r="J307">
            <v>9125</v>
          </cell>
          <cell r="K307">
            <v>5367</v>
          </cell>
          <cell r="L307">
            <v>1713</v>
          </cell>
          <cell r="M307"/>
          <cell r="N307">
            <v>1064</v>
          </cell>
          <cell r="O307">
            <v>0</v>
          </cell>
          <cell r="P307">
            <v>0</v>
          </cell>
          <cell r="Q307">
            <v>2443</v>
          </cell>
          <cell r="R307"/>
          <cell r="S307">
            <v>12665</v>
          </cell>
          <cell r="T307">
            <v>-169</v>
          </cell>
          <cell r="U307">
            <v>12496</v>
          </cell>
        </row>
        <row r="308">
          <cell r="A308">
            <v>93201</v>
          </cell>
          <cell r="B308" t="str">
            <v>DURHAM COUNTY</v>
          </cell>
          <cell r="C308">
            <v>1.5517E-2</v>
          </cell>
          <cell r="D308">
            <v>1.5819699999999999E-2</v>
          </cell>
          <cell r="E308">
            <v>7119270</v>
          </cell>
          <cell r="F308">
            <v>33574703</v>
          </cell>
          <cell r="G308">
            <v>23705678</v>
          </cell>
          <cell r="H308"/>
          <cell r="I308">
            <v>1365667</v>
          </cell>
          <cell r="J308">
            <v>5755768</v>
          </cell>
          <cell r="K308">
            <v>3385499</v>
          </cell>
          <cell r="L308">
            <v>809545</v>
          </cell>
          <cell r="M308"/>
          <cell r="N308">
            <v>671033</v>
          </cell>
          <cell r="O308">
            <v>0</v>
          </cell>
          <cell r="P308">
            <v>0</v>
          </cell>
          <cell r="Q308">
            <v>206420</v>
          </cell>
          <cell r="R308"/>
          <cell r="S308">
            <v>7988834</v>
          </cell>
          <cell r="T308">
            <v>397964</v>
          </cell>
          <cell r="U308">
            <v>8386798</v>
          </cell>
        </row>
        <row r="309">
          <cell r="A309">
            <v>93202</v>
          </cell>
          <cell r="B309" t="str">
            <v>PARKWOOD FIRE DEPARTMENT</v>
          </cell>
          <cell r="C309">
            <v>0</v>
          </cell>
          <cell r="D309">
            <v>0</v>
          </cell>
          <cell r="E309">
            <v>0</v>
          </cell>
          <cell r="F309">
            <v>0</v>
          </cell>
          <cell r="G309">
            <v>0</v>
          </cell>
          <cell r="H309"/>
          <cell r="I309">
            <v>0</v>
          </cell>
          <cell r="J309">
            <v>0</v>
          </cell>
          <cell r="K309">
            <v>0</v>
          </cell>
          <cell r="L309">
            <v>0</v>
          </cell>
          <cell r="M309"/>
          <cell r="N309">
            <v>0</v>
          </cell>
          <cell r="O309">
            <v>0</v>
          </cell>
          <cell r="P309">
            <v>0</v>
          </cell>
          <cell r="Q309">
            <v>212519</v>
          </cell>
          <cell r="R309"/>
          <cell r="S309">
            <v>0</v>
          </cell>
          <cell r="T309">
            <v>-109544</v>
          </cell>
          <cell r="U309">
            <v>-109544</v>
          </cell>
        </row>
        <row r="310">
          <cell r="A310">
            <v>93204</v>
          </cell>
          <cell r="B310" t="str">
            <v>DURHAM COUNTY ABC BOARD</v>
          </cell>
          <cell r="C310">
            <v>3.0279999999999999E-4</v>
          </cell>
          <cell r="D310">
            <v>2.9480000000000001E-4</v>
          </cell>
          <cell r="E310">
            <v>157546</v>
          </cell>
          <cell r="F310">
            <v>625664</v>
          </cell>
          <cell r="G310">
            <v>462595</v>
          </cell>
          <cell r="H310"/>
          <cell r="I310">
            <v>26650</v>
          </cell>
          <cell r="J310">
            <v>112319</v>
          </cell>
          <cell r="K310">
            <v>66065</v>
          </cell>
          <cell r="L310">
            <v>24167</v>
          </cell>
          <cell r="M310"/>
          <cell r="N310">
            <v>13095</v>
          </cell>
          <cell r="O310">
            <v>0</v>
          </cell>
          <cell r="P310">
            <v>0</v>
          </cell>
          <cell r="Q310">
            <v>9452</v>
          </cell>
          <cell r="R310"/>
          <cell r="S310">
            <v>155895</v>
          </cell>
          <cell r="T310">
            <v>782</v>
          </cell>
          <cell r="U310">
            <v>156677</v>
          </cell>
        </row>
        <row r="311">
          <cell r="A311">
            <v>93209</v>
          </cell>
          <cell r="B311" t="str">
            <v>ALLIANCE BEHAVIORAL HEALTHCRE</v>
          </cell>
          <cell r="C311">
            <v>4.6693999999999998E-3</v>
          </cell>
          <cell r="D311">
            <v>4.5113999999999996E-3</v>
          </cell>
          <cell r="E311">
            <v>2094525</v>
          </cell>
          <cell r="F311">
            <v>9574702</v>
          </cell>
          <cell r="G311">
            <v>7133550</v>
          </cell>
          <cell r="H311"/>
          <cell r="I311">
            <v>410959</v>
          </cell>
          <cell r="J311">
            <v>1732035</v>
          </cell>
          <cell r="K311">
            <v>1018770</v>
          </cell>
          <cell r="L311">
            <v>838336</v>
          </cell>
          <cell r="M311"/>
          <cell r="N311">
            <v>201928</v>
          </cell>
          <cell r="O311">
            <v>0</v>
          </cell>
          <cell r="P311">
            <v>0</v>
          </cell>
          <cell r="Q311">
            <v>0</v>
          </cell>
          <cell r="R311"/>
          <cell r="S311">
            <v>2404013</v>
          </cell>
          <cell r="T311">
            <v>551077</v>
          </cell>
          <cell r="U311">
            <v>2955090</v>
          </cell>
        </row>
        <row r="312">
          <cell r="A312">
            <v>93211</v>
          </cell>
          <cell r="B312" t="str">
            <v>CITY OF DURHAM</v>
          </cell>
          <cell r="C312">
            <v>2.0374099999999999E-2</v>
          </cell>
          <cell r="D312">
            <v>2.0456800000000001E-2</v>
          </cell>
          <cell r="E312">
            <v>9330077</v>
          </cell>
          <cell r="F312">
            <v>43416183</v>
          </cell>
          <cell r="G312">
            <v>31125981</v>
          </cell>
          <cell r="H312"/>
          <cell r="I312">
            <v>1793145</v>
          </cell>
          <cell r="J312">
            <v>7557426</v>
          </cell>
          <cell r="K312">
            <v>4445221</v>
          </cell>
          <cell r="L312">
            <v>0</v>
          </cell>
          <cell r="M312"/>
          <cell r="N312">
            <v>881078</v>
          </cell>
          <cell r="O312">
            <v>0</v>
          </cell>
          <cell r="P312">
            <v>0</v>
          </cell>
          <cell r="Q312">
            <v>991023</v>
          </cell>
          <cell r="R312"/>
          <cell r="S312">
            <v>10489483</v>
          </cell>
          <cell r="T312">
            <v>-507236</v>
          </cell>
          <cell r="U312">
            <v>9982247</v>
          </cell>
        </row>
        <row r="313">
          <cell r="A313">
            <v>93212</v>
          </cell>
          <cell r="B313" t="str">
            <v>DURHAM CONVENTION &amp; VISITORS BUREAU</v>
          </cell>
          <cell r="C313">
            <v>2.2130000000000001E-4</v>
          </cell>
          <cell r="D313">
            <v>2.052E-4</v>
          </cell>
          <cell r="E313">
            <v>193584</v>
          </cell>
          <cell r="F313">
            <v>435503</v>
          </cell>
          <cell r="G313">
            <v>338085</v>
          </cell>
          <cell r="H313"/>
          <cell r="I313">
            <v>19477</v>
          </cell>
          <cell r="J313">
            <v>82087</v>
          </cell>
          <cell r="K313">
            <v>48283</v>
          </cell>
          <cell r="L313">
            <v>158429</v>
          </cell>
          <cell r="M313"/>
          <cell r="N313">
            <v>9570</v>
          </cell>
          <cell r="O313">
            <v>0</v>
          </cell>
          <cell r="P313">
            <v>0</v>
          </cell>
          <cell r="Q313">
            <v>0</v>
          </cell>
          <cell r="R313"/>
          <cell r="S313">
            <v>113935</v>
          </cell>
          <cell r="T313">
            <v>53448</v>
          </cell>
          <cell r="U313">
            <v>167383</v>
          </cell>
        </row>
        <row r="314">
          <cell r="A314">
            <v>93219</v>
          </cell>
          <cell r="B314" t="str">
            <v>TRIANGLE J COUNCIL OF GOVERNMENTS</v>
          </cell>
          <cell r="C314">
            <v>2.6289999999999999E-4</v>
          </cell>
          <cell r="D314">
            <v>2.286E-4</v>
          </cell>
          <cell r="E314">
            <v>120179</v>
          </cell>
          <cell r="F314">
            <v>485166</v>
          </cell>
          <cell r="G314">
            <v>401638</v>
          </cell>
          <cell r="H314"/>
          <cell r="I314">
            <v>23138</v>
          </cell>
          <cell r="J314">
            <v>97518</v>
          </cell>
          <cell r="K314">
            <v>57360</v>
          </cell>
          <cell r="L314">
            <v>22706</v>
          </cell>
          <cell r="M314"/>
          <cell r="N314">
            <v>11369</v>
          </cell>
          <cell r="O314">
            <v>0</v>
          </cell>
          <cell r="P314">
            <v>0</v>
          </cell>
          <cell r="Q314">
            <v>9094</v>
          </cell>
          <cell r="R314"/>
          <cell r="S314">
            <v>135352</v>
          </cell>
          <cell r="T314">
            <v>1456</v>
          </cell>
          <cell r="U314">
            <v>136808</v>
          </cell>
        </row>
        <row r="315">
          <cell r="A315">
            <v>93301</v>
          </cell>
          <cell r="B315" t="str">
            <v>EDGECOMBE COUNTY</v>
          </cell>
          <cell r="C315">
            <v>2.5243000000000002E-3</v>
          </cell>
          <cell r="D315">
            <v>2.5330999999999999E-3</v>
          </cell>
          <cell r="E315">
            <v>1153746</v>
          </cell>
          <cell r="F315">
            <v>5376087</v>
          </cell>
          <cell r="G315">
            <v>3856431</v>
          </cell>
          <cell r="H315"/>
          <cell r="I315">
            <v>222166</v>
          </cell>
          <cell r="J315">
            <v>936346</v>
          </cell>
          <cell r="K315">
            <v>550752</v>
          </cell>
          <cell r="L315">
            <v>47371</v>
          </cell>
          <cell r="M315"/>
          <cell r="N315">
            <v>109163</v>
          </cell>
          <cell r="O315">
            <v>0</v>
          </cell>
          <cell r="P315">
            <v>0</v>
          </cell>
          <cell r="Q315">
            <v>61692</v>
          </cell>
          <cell r="R315"/>
          <cell r="S315">
            <v>1299621</v>
          </cell>
          <cell r="T315">
            <v>-19789</v>
          </cell>
          <cell r="U315">
            <v>1279832</v>
          </cell>
        </row>
        <row r="316">
          <cell r="A316">
            <v>93304</v>
          </cell>
          <cell r="B316" t="str">
            <v>EDGECOMBE COUNTY ABC BOARD</v>
          </cell>
          <cell r="C316">
            <v>3.0300000000000001E-5</v>
          </cell>
          <cell r="D316">
            <v>3.4400000000000003E-5</v>
          </cell>
          <cell r="E316">
            <v>18289</v>
          </cell>
          <cell r="F316">
            <v>73008</v>
          </cell>
          <cell r="G316">
            <v>46290</v>
          </cell>
          <cell r="H316"/>
          <cell r="I316">
            <v>2667</v>
          </cell>
          <cell r="J316">
            <v>11239</v>
          </cell>
          <cell r="K316">
            <v>6611</v>
          </cell>
          <cell r="L316">
            <v>9418</v>
          </cell>
          <cell r="M316"/>
          <cell r="N316">
            <v>1310</v>
          </cell>
          <cell r="O316">
            <v>0</v>
          </cell>
          <cell r="P316">
            <v>0</v>
          </cell>
          <cell r="Q316">
            <v>0</v>
          </cell>
          <cell r="R316"/>
          <cell r="S316">
            <v>15600</v>
          </cell>
          <cell r="T316">
            <v>5129</v>
          </cell>
          <cell r="U316">
            <v>20729</v>
          </cell>
        </row>
        <row r="317">
          <cell r="A317">
            <v>93305</v>
          </cell>
          <cell r="B317" t="str">
            <v>EDGECOMBE COUNTY MEMORIAL LIBRARY</v>
          </cell>
          <cell r="C317">
            <v>4.6999999999999997E-5</v>
          </cell>
          <cell r="D317">
            <v>4.9400000000000001E-5</v>
          </cell>
          <cell r="E317">
            <v>19565</v>
          </cell>
          <cell r="F317">
            <v>104843</v>
          </cell>
          <cell r="G317">
            <v>71803</v>
          </cell>
          <cell r="H317"/>
          <cell r="I317">
            <v>4137</v>
          </cell>
          <cell r="J317">
            <v>17434</v>
          </cell>
          <cell r="K317">
            <v>10254</v>
          </cell>
          <cell r="L317">
            <v>0</v>
          </cell>
          <cell r="M317"/>
          <cell r="N317">
            <v>2033</v>
          </cell>
          <cell r="O317">
            <v>0</v>
          </cell>
          <cell r="P317">
            <v>0</v>
          </cell>
          <cell r="Q317">
            <v>5631</v>
          </cell>
          <cell r="R317"/>
          <cell r="S317">
            <v>24198</v>
          </cell>
          <cell r="T317">
            <v>-1929</v>
          </cell>
          <cell r="U317">
            <v>22269</v>
          </cell>
        </row>
        <row r="318">
          <cell r="A318">
            <v>93309</v>
          </cell>
          <cell r="B318" t="str">
            <v>UPPER COASTAL PLAIN COUNCIL OF GOVERNMENTS</v>
          </cell>
          <cell r="C318">
            <v>1.63E-4</v>
          </cell>
          <cell r="D318">
            <v>1.716E-4</v>
          </cell>
          <cell r="E318">
            <v>89051</v>
          </cell>
          <cell r="F318">
            <v>364193</v>
          </cell>
          <cell r="G318">
            <v>249019</v>
          </cell>
          <cell r="H318"/>
          <cell r="I318">
            <v>14346</v>
          </cell>
          <cell r="J318">
            <v>60462</v>
          </cell>
          <cell r="K318">
            <v>35563</v>
          </cell>
          <cell r="L318">
            <v>22457</v>
          </cell>
          <cell r="M318"/>
          <cell r="N318">
            <v>7049</v>
          </cell>
          <cell r="O318">
            <v>0</v>
          </cell>
          <cell r="P318">
            <v>0</v>
          </cell>
          <cell r="Q318">
            <v>981</v>
          </cell>
          <cell r="R318"/>
          <cell r="S318">
            <v>83920</v>
          </cell>
          <cell r="T318">
            <v>7147</v>
          </cell>
          <cell r="U318">
            <v>91067</v>
          </cell>
        </row>
        <row r="319">
          <cell r="A319">
            <v>93311</v>
          </cell>
          <cell r="B319" t="str">
            <v>TOWN OF TARBORO</v>
          </cell>
          <cell r="C319">
            <v>1.1665E-3</v>
          </cell>
          <cell r="D319">
            <v>1.1567000000000001E-3</v>
          </cell>
          <cell r="E319">
            <v>529432</v>
          </cell>
          <cell r="F319">
            <v>2454905</v>
          </cell>
          <cell r="G319">
            <v>1782089</v>
          </cell>
          <cell r="H319"/>
          <cell r="I319">
            <v>102665</v>
          </cell>
          <cell r="J319">
            <v>432693</v>
          </cell>
          <cell r="K319">
            <v>254507</v>
          </cell>
          <cell r="L319">
            <v>1699</v>
          </cell>
          <cell r="M319"/>
          <cell r="N319">
            <v>50445</v>
          </cell>
          <cell r="O319">
            <v>0</v>
          </cell>
          <cell r="P319">
            <v>0</v>
          </cell>
          <cell r="Q319">
            <v>83745</v>
          </cell>
          <cell r="R319"/>
          <cell r="S319">
            <v>600566</v>
          </cell>
          <cell r="T319">
            <v>-37677</v>
          </cell>
          <cell r="U319">
            <v>562889</v>
          </cell>
        </row>
        <row r="320">
          <cell r="A320">
            <v>93317</v>
          </cell>
          <cell r="B320" t="str">
            <v>TARBORO REDEVELOPMENT COMMISSION</v>
          </cell>
          <cell r="C320">
            <v>5.0099999999999998E-5</v>
          </cell>
          <cell r="D320">
            <v>4.8099999999999997E-5</v>
          </cell>
          <cell r="E320">
            <v>21779</v>
          </cell>
          <cell r="F320">
            <v>102084</v>
          </cell>
          <cell r="G320">
            <v>76539</v>
          </cell>
          <cell r="H320"/>
          <cell r="I320">
            <v>4409</v>
          </cell>
          <cell r="J320">
            <v>18583</v>
          </cell>
          <cell r="K320">
            <v>10931</v>
          </cell>
          <cell r="L320">
            <v>805</v>
          </cell>
          <cell r="M320"/>
          <cell r="N320">
            <v>2167</v>
          </cell>
          <cell r="O320">
            <v>0</v>
          </cell>
          <cell r="P320">
            <v>0</v>
          </cell>
          <cell r="Q320">
            <v>277</v>
          </cell>
          <cell r="R320"/>
          <cell r="S320">
            <v>25794</v>
          </cell>
          <cell r="T320">
            <v>-23</v>
          </cell>
          <cell r="U320">
            <v>25771</v>
          </cell>
        </row>
        <row r="321">
          <cell r="A321">
            <v>93321</v>
          </cell>
          <cell r="B321" t="str">
            <v>CITY OF ROCKY MOUNT</v>
          </cell>
          <cell r="C321">
            <v>7.3600000000000002E-3</v>
          </cell>
          <cell r="D321">
            <v>7.4706E-3</v>
          </cell>
          <cell r="E321">
            <v>3205902</v>
          </cell>
          <cell r="F321">
            <v>15855116</v>
          </cell>
          <cell r="G321">
            <v>11244041</v>
          </cell>
          <cell r="H321"/>
          <cell r="I321">
            <v>647761</v>
          </cell>
          <cell r="J321">
            <v>2730067</v>
          </cell>
          <cell r="K321">
            <v>1605805</v>
          </cell>
          <cell r="L321">
            <v>0</v>
          </cell>
          <cell r="M321"/>
          <cell r="N321">
            <v>318283</v>
          </cell>
          <cell r="O321">
            <v>0</v>
          </cell>
          <cell r="P321">
            <v>0</v>
          </cell>
          <cell r="Q321">
            <v>681688</v>
          </cell>
          <cell r="R321"/>
          <cell r="S321">
            <v>3789252</v>
          </cell>
          <cell r="T321">
            <v>-330030</v>
          </cell>
          <cell r="U321">
            <v>3459222</v>
          </cell>
        </row>
        <row r="322">
          <cell r="A322">
            <v>93323</v>
          </cell>
          <cell r="B322" t="str">
            <v>ROCKY MOUNT-WILSON AIRPORT AUTHORITY</v>
          </cell>
          <cell r="C322">
            <v>2.19E-5</v>
          </cell>
          <cell r="D322">
            <v>1.0200000000000001E-5</v>
          </cell>
          <cell r="E322">
            <v>8923</v>
          </cell>
          <cell r="F322">
            <v>21648</v>
          </cell>
          <cell r="G322">
            <v>33457</v>
          </cell>
          <cell r="H322"/>
          <cell r="I322">
            <v>1927</v>
          </cell>
          <cell r="J322">
            <v>8123</v>
          </cell>
          <cell r="K322">
            <v>4778</v>
          </cell>
          <cell r="L322">
            <v>8607</v>
          </cell>
          <cell r="M322"/>
          <cell r="N322">
            <v>947</v>
          </cell>
          <cell r="O322">
            <v>0</v>
          </cell>
          <cell r="P322">
            <v>0</v>
          </cell>
          <cell r="Q322">
            <v>1100</v>
          </cell>
          <cell r="R322"/>
          <cell r="S322">
            <v>11275</v>
          </cell>
          <cell r="T322">
            <v>2519</v>
          </cell>
          <cell r="U322">
            <v>13794</v>
          </cell>
        </row>
        <row r="323">
          <cell r="A323">
            <v>93331</v>
          </cell>
          <cell r="B323" t="str">
            <v>TOWN OF PINETOPS</v>
          </cell>
          <cell r="C323">
            <v>1.208E-4</v>
          </cell>
          <cell r="D323">
            <v>1.3090000000000001E-4</v>
          </cell>
          <cell r="E323">
            <v>56936</v>
          </cell>
          <cell r="F323">
            <v>277814</v>
          </cell>
          <cell r="G323">
            <v>184549</v>
          </cell>
          <cell r="H323"/>
          <cell r="I323">
            <v>10632</v>
          </cell>
          <cell r="J323">
            <v>44809</v>
          </cell>
          <cell r="K323">
            <v>26356</v>
          </cell>
          <cell r="L323">
            <v>2512</v>
          </cell>
          <cell r="M323"/>
          <cell r="N323">
            <v>5224</v>
          </cell>
          <cell r="O323">
            <v>0</v>
          </cell>
          <cell r="P323">
            <v>0</v>
          </cell>
          <cell r="Q323">
            <v>11531</v>
          </cell>
          <cell r="R323"/>
          <cell r="S323">
            <v>62193</v>
          </cell>
          <cell r="T323">
            <v>-2506</v>
          </cell>
          <cell r="U323">
            <v>59687</v>
          </cell>
        </row>
        <row r="324">
          <cell r="A324">
            <v>93333</v>
          </cell>
          <cell r="B324" t="str">
            <v>ROCKY MT HOUSING AUTHORITY</v>
          </cell>
          <cell r="C324">
            <v>1.796E-4</v>
          </cell>
          <cell r="D324">
            <v>1.9990000000000001E-4</v>
          </cell>
          <cell r="E324">
            <v>190543</v>
          </cell>
          <cell r="F324">
            <v>424255</v>
          </cell>
          <cell r="G324">
            <v>274379</v>
          </cell>
          <cell r="H324"/>
          <cell r="I324">
            <v>15807</v>
          </cell>
          <cell r="J324">
            <v>66619</v>
          </cell>
          <cell r="K324">
            <v>39185</v>
          </cell>
          <cell r="L324">
            <v>194737</v>
          </cell>
          <cell r="M324"/>
          <cell r="N324">
            <v>7767</v>
          </cell>
          <cell r="O324">
            <v>0</v>
          </cell>
          <cell r="P324">
            <v>0</v>
          </cell>
          <cell r="Q324">
            <v>0</v>
          </cell>
          <cell r="R324"/>
          <cell r="S324">
            <v>92466</v>
          </cell>
          <cell r="T324">
            <v>74695</v>
          </cell>
          <cell r="U324">
            <v>167161</v>
          </cell>
        </row>
        <row r="325">
          <cell r="A325">
            <v>93341</v>
          </cell>
          <cell r="B325" t="str">
            <v>TOWN OF MACCLESFIELD</v>
          </cell>
          <cell r="C325">
            <v>2.34E-5</v>
          </cell>
          <cell r="D325">
            <v>2.73E-5</v>
          </cell>
          <cell r="E325">
            <v>12933</v>
          </cell>
          <cell r="F325">
            <v>57940</v>
          </cell>
          <cell r="G325">
            <v>35749</v>
          </cell>
          <cell r="H325"/>
          <cell r="I325">
            <v>2059</v>
          </cell>
          <cell r="J325">
            <v>8680</v>
          </cell>
          <cell r="K325">
            <v>5105</v>
          </cell>
          <cell r="L325">
            <v>1866</v>
          </cell>
          <cell r="M325"/>
          <cell r="N325">
            <v>1012</v>
          </cell>
          <cell r="O325">
            <v>0</v>
          </cell>
          <cell r="P325">
            <v>0</v>
          </cell>
          <cell r="Q325">
            <v>863</v>
          </cell>
          <cell r="R325"/>
          <cell r="S325">
            <v>12047</v>
          </cell>
          <cell r="T325">
            <v>708</v>
          </cell>
          <cell r="U325">
            <v>12755</v>
          </cell>
        </row>
        <row r="326">
          <cell r="A326">
            <v>93351</v>
          </cell>
          <cell r="B326" t="str">
            <v>TOWN OF PRINCEVILLE</v>
          </cell>
          <cell r="C326">
            <v>3.4E-5</v>
          </cell>
          <cell r="D326">
            <v>1.5999999999999999E-5</v>
          </cell>
          <cell r="E326">
            <v>16319</v>
          </cell>
          <cell r="F326">
            <v>33957</v>
          </cell>
          <cell r="G326">
            <v>51943</v>
          </cell>
          <cell r="H326"/>
          <cell r="I326">
            <v>2992</v>
          </cell>
          <cell r="J326">
            <v>12611</v>
          </cell>
          <cell r="K326">
            <v>7418</v>
          </cell>
          <cell r="L326">
            <v>18867</v>
          </cell>
          <cell r="M326"/>
          <cell r="N326">
            <v>1470</v>
          </cell>
          <cell r="O326">
            <v>0</v>
          </cell>
          <cell r="P326">
            <v>0</v>
          </cell>
          <cell r="Q326">
            <v>4169</v>
          </cell>
          <cell r="R326"/>
          <cell r="S326">
            <v>17505</v>
          </cell>
          <cell r="T326">
            <v>2906</v>
          </cell>
          <cell r="U326">
            <v>20411</v>
          </cell>
        </row>
        <row r="327">
          <cell r="A327">
            <v>93401</v>
          </cell>
          <cell r="B327" t="str">
            <v>FORSYTH COUNTY</v>
          </cell>
          <cell r="C327">
            <v>1.3834900000000001E-2</v>
          </cell>
          <cell r="D327">
            <v>1.37997E-2</v>
          </cell>
          <cell r="E327">
            <v>6356857</v>
          </cell>
          <cell r="F327">
            <v>29287586</v>
          </cell>
          <cell r="G327">
            <v>21135895</v>
          </cell>
          <cell r="H327"/>
          <cell r="I327">
            <v>1217623</v>
          </cell>
          <cell r="J327">
            <v>5131821</v>
          </cell>
          <cell r="K327">
            <v>3018498</v>
          </cell>
          <cell r="L327">
            <v>99926</v>
          </cell>
          <cell r="M327"/>
          <cell r="N327">
            <v>598290</v>
          </cell>
          <cell r="O327">
            <v>0</v>
          </cell>
          <cell r="P327">
            <v>0</v>
          </cell>
          <cell r="Q327">
            <v>186001</v>
          </cell>
          <cell r="R327"/>
          <cell r="S327">
            <v>7122815</v>
          </cell>
          <cell r="T327">
            <v>-76616</v>
          </cell>
          <cell r="U327">
            <v>7046199</v>
          </cell>
        </row>
        <row r="328">
          <cell r="A328">
            <v>93402</v>
          </cell>
          <cell r="B328" t="str">
            <v>AIRPORT COMMISSION OF FORSYTH COUNTY</v>
          </cell>
          <cell r="C328">
            <v>9.8800000000000003E-5</v>
          </cell>
          <cell r="D328">
            <v>9.2999999999999997E-5</v>
          </cell>
          <cell r="E328">
            <v>38604</v>
          </cell>
          <cell r="F328">
            <v>197377</v>
          </cell>
          <cell r="G328">
            <v>150939</v>
          </cell>
          <cell r="H328"/>
          <cell r="I328">
            <v>8695</v>
          </cell>
          <cell r="J328">
            <v>36648</v>
          </cell>
          <cell r="K328">
            <v>21556</v>
          </cell>
          <cell r="L328">
            <v>5545</v>
          </cell>
          <cell r="M328"/>
          <cell r="N328">
            <v>4273</v>
          </cell>
          <cell r="O328">
            <v>0</v>
          </cell>
          <cell r="P328">
            <v>0</v>
          </cell>
          <cell r="Q328">
            <v>3446</v>
          </cell>
          <cell r="R328"/>
          <cell r="S328">
            <v>50867</v>
          </cell>
          <cell r="T328">
            <v>3029</v>
          </cell>
          <cell r="U328">
            <v>53896</v>
          </cell>
        </row>
        <row r="329">
          <cell r="A329">
            <v>93406</v>
          </cell>
          <cell r="B329" t="str">
            <v>PIEDMONT TRIAD REGIONAL COUNCIL</v>
          </cell>
          <cell r="C329">
            <v>6.5059999999999998E-4</v>
          </cell>
          <cell r="D329">
            <v>7.1170000000000001E-4</v>
          </cell>
          <cell r="E329">
            <v>289720</v>
          </cell>
          <cell r="F329">
            <v>1510466</v>
          </cell>
          <cell r="G329">
            <v>993937</v>
          </cell>
          <cell r="H329"/>
          <cell r="I329">
            <v>57260</v>
          </cell>
          <cell r="J329">
            <v>241329</v>
          </cell>
          <cell r="K329">
            <v>141948</v>
          </cell>
          <cell r="L329">
            <v>26056</v>
          </cell>
          <cell r="M329"/>
          <cell r="N329">
            <v>28135</v>
          </cell>
          <cell r="O329">
            <v>0</v>
          </cell>
          <cell r="P329">
            <v>0</v>
          </cell>
          <cell r="Q329">
            <v>48133</v>
          </cell>
          <cell r="R329"/>
          <cell r="S329">
            <v>334958</v>
          </cell>
          <cell r="T329">
            <v>7011</v>
          </cell>
          <cell r="U329">
            <v>341969</v>
          </cell>
        </row>
        <row r="330">
          <cell r="A330">
            <v>93408</v>
          </cell>
          <cell r="B330" t="str">
            <v>CENTERPOINT HUMAN SERVICES</v>
          </cell>
          <cell r="C330">
            <v>0</v>
          </cell>
          <cell r="D330">
            <v>1.8967999999999999E-3</v>
          </cell>
          <cell r="E330">
            <v>73962</v>
          </cell>
          <cell r="F330">
            <v>4025645</v>
          </cell>
          <cell r="G330">
            <v>0</v>
          </cell>
          <cell r="H330"/>
          <cell r="I330">
            <v>0</v>
          </cell>
          <cell r="J330">
            <v>0</v>
          </cell>
          <cell r="K330">
            <v>0</v>
          </cell>
          <cell r="L330">
            <v>173575</v>
          </cell>
          <cell r="M330"/>
          <cell r="N330">
            <v>0</v>
          </cell>
          <cell r="O330">
            <v>0</v>
          </cell>
          <cell r="P330">
            <v>0</v>
          </cell>
          <cell r="Q330">
            <v>1605024</v>
          </cell>
          <cell r="R330"/>
          <cell r="S330">
            <v>0</v>
          </cell>
          <cell r="T330">
            <v>-292149</v>
          </cell>
          <cell r="U330">
            <v>-292149</v>
          </cell>
        </row>
        <row r="331">
          <cell r="A331">
            <v>93411</v>
          </cell>
          <cell r="B331" t="str">
            <v>CITY OF WINSTON-SALEM</v>
          </cell>
          <cell r="C331">
            <v>1.7454999999999998E-2</v>
          </cell>
          <cell r="D331">
            <v>1.73309E-2</v>
          </cell>
          <cell r="E331">
            <v>8222694</v>
          </cell>
          <cell r="F331">
            <v>36781976</v>
          </cell>
          <cell r="G331">
            <v>26666405</v>
          </cell>
          <cell r="H331"/>
          <cell r="I331">
            <v>1536232</v>
          </cell>
          <cell r="J331">
            <v>6474635</v>
          </cell>
          <cell r="K331">
            <v>3808332</v>
          </cell>
          <cell r="L331">
            <v>250711</v>
          </cell>
          <cell r="M331"/>
          <cell r="N331">
            <v>754841</v>
          </cell>
          <cell r="O331">
            <v>0</v>
          </cell>
          <cell r="P331">
            <v>0</v>
          </cell>
          <cell r="Q331">
            <v>594754</v>
          </cell>
          <cell r="R331"/>
          <cell r="S331">
            <v>8986602</v>
          </cell>
          <cell r="T331">
            <v>-306468</v>
          </cell>
          <cell r="U331">
            <v>8680134</v>
          </cell>
        </row>
        <row r="332">
          <cell r="A332">
            <v>93413</v>
          </cell>
          <cell r="B332" t="str">
            <v>WINSTON-SALEM HOUSING AUTHORITY</v>
          </cell>
          <cell r="C332">
            <v>7.7070000000000003E-4</v>
          </cell>
          <cell r="D332">
            <v>8.0130000000000002E-4</v>
          </cell>
          <cell r="E332">
            <v>378796</v>
          </cell>
          <cell r="F332">
            <v>1700627</v>
          </cell>
          <cell r="G332">
            <v>1177416</v>
          </cell>
          <cell r="H332"/>
          <cell r="I332">
            <v>67830</v>
          </cell>
          <cell r="J332">
            <v>285878</v>
          </cell>
          <cell r="K332">
            <v>168151</v>
          </cell>
          <cell r="L332">
            <v>0</v>
          </cell>
          <cell r="M332"/>
          <cell r="N332">
            <v>33329</v>
          </cell>
          <cell r="O332">
            <v>0</v>
          </cell>
          <cell r="P332">
            <v>0</v>
          </cell>
          <cell r="Q332">
            <v>35372</v>
          </cell>
          <cell r="R332"/>
          <cell r="S332">
            <v>396790</v>
          </cell>
          <cell r="T332">
            <v>-17507</v>
          </cell>
          <cell r="U332">
            <v>379283</v>
          </cell>
        </row>
        <row r="333">
          <cell r="A333">
            <v>93417</v>
          </cell>
          <cell r="B333" t="str">
            <v>TRIAD MUNICIPAL ABC BOARD</v>
          </cell>
          <cell r="C333">
            <v>3.4430000000000002E-4</v>
          </cell>
          <cell r="D333">
            <v>4.1130000000000002E-4</v>
          </cell>
          <cell r="E333">
            <v>172878</v>
          </cell>
          <cell r="F333">
            <v>872916</v>
          </cell>
          <cell r="G333">
            <v>525995</v>
          </cell>
          <cell r="H333"/>
          <cell r="I333">
            <v>30302</v>
          </cell>
          <cell r="J333">
            <v>127712</v>
          </cell>
          <cell r="K333">
            <v>75119</v>
          </cell>
          <cell r="L333">
            <v>15432</v>
          </cell>
          <cell r="M333"/>
          <cell r="N333">
            <v>14889</v>
          </cell>
          <cell r="O333">
            <v>0</v>
          </cell>
          <cell r="P333">
            <v>0</v>
          </cell>
          <cell r="Q333">
            <v>33069</v>
          </cell>
          <cell r="R333"/>
          <cell r="S333">
            <v>177261</v>
          </cell>
          <cell r="T333">
            <v>5883</v>
          </cell>
          <cell r="U333">
            <v>183144</v>
          </cell>
        </row>
        <row r="334">
          <cell r="A334">
            <v>93421</v>
          </cell>
          <cell r="B334" t="str">
            <v>TOWN OF KERNERSVILLE</v>
          </cell>
          <cell r="C334">
            <v>2.1294999999999999E-3</v>
          </cell>
          <cell r="D334">
            <v>2.1646E-3</v>
          </cell>
          <cell r="E334">
            <v>893357</v>
          </cell>
          <cell r="F334">
            <v>4594006</v>
          </cell>
          <cell r="G334">
            <v>3253286</v>
          </cell>
          <cell r="H334"/>
          <cell r="I334">
            <v>187419</v>
          </cell>
          <cell r="J334">
            <v>789902</v>
          </cell>
          <cell r="K334">
            <v>464614</v>
          </cell>
          <cell r="L334">
            <v>0</v>
          </cell>
          <cell r="M334"/>
          <cell r="N334">
            <v>92090</v>
          </cell>
          <cell r="O334">
            <v>0</v>
          </cell>
          <cell r="P334">
            <v>0</v>
          </cell>
          <cell r="Q334">
            <v>273225</v>
          </cell>
          <cell r="R334"/>
          <cell r="S334">
            <v>1096360</v>
          </cell>
          <cell r="T334">
            <v>-126565</v>
          </cell>
          <cell r="U334">
            <v>969795</v>
          </cell>
        </row>
        <row r="335">
          <cell r="A335">
            <v>93431</v>
          </cell>
          <cell r="B335" t="str">
            <v>TOWN OF RURAL HALL</v>
          </cell>
          <cell r="C335">
            <v>1.2689999999999999E-4</v>
          </cell>
          <cell r="D335">
            <v>1.127E-4</v>
          </cell>
          <cell r="E335">
            <v>61080</v>
          </cell>
          <cell r="F335">
            <v>239187</v>
          </cell>
          <cell r="G335">
            <v>193868</v>
          </cell>
          <cell r="H335"/>
          <cell r="I335">
            <v>11169</v>
          </cell>
          <cell r="J335">
            <v>47071</v>
          </cell>
          <cell r="K335">
            <v>27687</v>
          </cell>
          <cell r="L335">
            <v>12612</v>
          </cell>
          <cell r="M335"/>
          <cell r="N335">
            <v>5488</v>
          </cell>
          <cell r="O335">
            <v>0</v>
          </cell>
          <cell r="P335">
            <v>0</v>
          </cell>
          <cell r="Q335">
            <v>5397</v>
          </cell>
          <cell r="R335"/>
          <cell r="S335">
            <v>65334</v>
          </cell>
          <cell r="T335">
            <v>1734</v>
          </cell>
          <cell r="U335">
            <v>67068</v>
          </cell>
        </row>
        <row r="336">
          <cell r="A336">
            <v>93441</v>
          </cell>
          <cell r="B336" t="str">
            <v>VILLAGE OF CLEMMONS</v>
          </cell>
          <cell r="C336">
            <v>1.54E-4</v>
          </cell>
          <cell r="D336">
            <v>1.4970000000000001E-4</v>
          </cell>
          <cell r="E336">
            <v>77933</v>
          </cell>
          <cell r="F336">
            <v>317714</v>
          </cell>
          <cell r="G336">
            <v>235269</v>
          </cell>
          <cell r="H336"/>
          <cell r="I336">
            <v>13554</v>
          </cell>
          <cell r="J336">
            <v>57124</v>
          </cell>
          <cell r="K336">
            <v>33600</v>
          </cell>
          <cell r="L336">
            <v>30786</v>
          </cell>
          <cell r="M336"/>
          <cell r="N336">
            <v>6660</v>
          </cell>
          <cell r="O336">
            <v>0</v>
          </cell>
          <cell r="P336">
            <v>0</v>
          </cell>
          <cell r="Q336">
            <v>0</v>
          </cell>
          <cell r="R336"/>
          <cell r="S336">
            <v>79286</v>
          </cell>
          <cell r="T336">
            <v>14822</v>
          </cell>
          <cell r="U336">
            <v>94108</v>
          </cell>
        </row>
        <row r="337">
          <cell r="A337">
            <v>93442</v>
          </cell>
          <cell r="B337" t="str">
            <v>CLEMMONS FIRE DEPARTMENT</v>
          </cell>
          <cell r="C337">
            <v>1.505E-4</v>
          </cell>
          <cell r="D337">
            <v>1.3540000000000001E-4</v>
          </cell>
          <cell r="E337">
            <v>57507</v>
          </cell>
          <cell r="F337">
            <v>287364</v>
          </cell>
          <cell r="G337">
            <v>229922</v>
          </cell>
          <cell r="H337"/>
          <cell r="I337">
            <v>13246</v>
          </cell>
          <cell r="J337">
            <v>55826</v>
          </cell>
          <cell r="K337">
            <v>32836</v>
          </cell>
          <cell r="L337">
            <v>5191</v>
          </cell>
          <cell r="M337"/>
          <cell r="N337">
            <v>6508</v>
          </cell>
          <cell r="O337">
            <v>0</v>
          </cell>
          <cell r="P337">
            <v>0</v>
          </cell>
          <cell r="Q337">
            <v>20988</v>
          </cell>
          <cell r="R337"/>
          <cell r="S337">
            <v>77484</v>
          </cell>
          <cell r="T337">
            <v>-6353</v>
          </cell>
          <cell r="U337">
            <v>71131</v>
          </cell>
        </row>
        <row r="338">
          <cell r="A338">
            <v>93451</v>
          </cell>
          <cell r="B338" t="str">
            <v>TOWN OF LEWISVILLE</v>
          </cell>
          <cell r="C338">
            <v>7.0900000000000002E-5</v>
          </cell>
          <cell r="D338">
            <v>7.6899999999999999E-5</v>
          </cell>
          <cell r="E338">
            <v>41775</v>
          </cell>
          <cell r="F338">
            <v>163208</v>
          </cell>
          <cell r="G338">
            <v>108316</v>
          </cell>
          <cell r="H338"/>
          <cell r="I338">
            <v>6240</v>
          </cell>
          <cell r="J338">
            <v>26299</v>
          </cell>
          <cell r="K338">
            <v>15469</v>
          </cell>
          <cell r="L338">
            <v>16242</v>
          </cell>
          <cell r="M338"/>
          <cell r="N338">
            <v>3066</v>
          </cell>
          <cell r="O338">
            <v>0</v>
          </cell>
          <cell r="P338">
            <v>0</v>
          </cell>
          <cell r="Q338">
            <v>1492</v>
          </cell>
          <cell r="R338"/>
          <cell r="S338">
            <v>36502</v>
          </cell>
          <cell r="T338">
            <v>5181</v>
          </cell>
          <cell r="U338">
            <v>41683</v>
          </cell>
        </row>
        <row r="339">
          <cell r="A339">
            <v>93461</v>
          </cell>
          <cell r="B339" t="str">
            <v>TOWN OF WALKERTOWN</v>
          </cell>
          <cell r="C339">
            <v>1.66E-5</v>
          </cell>
          <cell r="D339">
            <v>1.7200000000000001E-5</v>
          </cell>
          <cell r="E339">
            <v>8264</v>
          </cell>
          <cell r="F339">
            <v>36504</v>
          </cell>
          <cell r="G339">
            <v>25360</v>
          </cell>
          <cell r="H339"/>
          <cell r="I339">
            <v>1461</v>
          </cell>
          <cell r="J339">
            <v>6157</v>
          </cell>
          <cell r="K339">
            <v>3622</v>
          </cell>
          <cell r="L339">
            <v>580</v>
          </cell>
          <cell r="M339"/>
          <cell r="N339">
            <v>718</v>
          </cell>
          <cell r="O339">
            <v>0</v>
          </cell>
          <cell r="P339">
            <v>0</v>
          </cell>
          <cell r="Q339">
            <v>0</v>
          </cell>
          <cell r="R339"/>
          <cell r="S339">
            <v>8546</v>
          </cell>
          <cell r="T339">
            <v>254</v>
          </cell>
          <cell r="U339">
            <v>8800</v>
          </cell>
        </row>
        <row r="340">
          <cell r="A340">
            <v>93471</v>
          </cell>
          <cell r="B340" t="str">
            <v>VILLAGE OF TOBACCOVILLE</v>
          </cell>
          <cell r="C340">
            <v>1.31E-5</v>
          </cell>
          <cell r="D340">
            <v>1.1800000000000001E-5</v>
          </cell>
          <cell r="E340">
            <v>8324</v>
          </cell>
          <cell r="F340">
            <v>25044</v>
          </cell>
          <cell r="G340">
            <v>20013</v>
          </cell>
          <cell r="H340"/>
          <cell r="I340">
            <v>1153</v>
          </cell>
          <cell r="J340">
            <v>4859</v>
          </cell>
          <cell r="K340">
            <v>2858</v>
          </cell>
          <cell r="L340">
            <v>4280</v>
          </cell>
          <cell r="M340"/>
          <cell r="N340">
            <v>567</v>
          </cell>
          <cell r="O340">
            <v>0</v>
          </cell>
          <cell r="P340">
            <v>0</v>
          </cell>
          <cell r="Q340">
            <v>63</v>
          </cell>
          <cell r="R340"/>
          <cell r="S340">
            <v>6744</v>
          </cell>
          <cell r="T340">
            <v>1243</v>
          </cell>
          <cell r="U340">
            <v>7987</v>
          </cell>
        </row>
        <row r="341">
          <cell r="A341">
            <v>93501</v>
          </cell>
          <cell r="B341" t="str">
            <v>FRANKLIN COUNTY</v>
          </cell>
          <cell r="C341">
            <v>3.6113999999999999E-3</v>
          </cell>
          <cell r="D341">
            <v>3.4039000000000001E-3</v>
          </cell>
          <cell r="E341">
            <v>1661033</v>
          </cell>
          <cell r="F341">
            <v>7224216</v>
          </cell>
          <cell r="G341">
            <v>5517219</v>
          </cell>
          <cell r="H341"/>
          <cell r="I341">
            <v>317843</v>
          </cell>
          <cell r="J341">
            <v>1339587</v>
          </cell>
          <cell r="K341">
            <v>787935</v>
          </cell>
          <cell r="L341">
            <v>233815</v>
          </cell>
          <cell r="M341"/>
          <cell r="N341">
            <v>156175</v>
          </cell>
          <cell r="O341">
            <v>0</v>
          </cell>
          <cell r="P341">
            <v>0</v>
          </cell>
          <cell r="Q341">
            <v>57589</v>
          </cell>
          <cell r="R341"/>
          <cell r="S341">
            <v>1859308</v>
          </cell>
          <cell r="T341">
            <v>88331</v>
          </cell>
          <cell r="U341">
            <v>1947639</v>
          </cell>
        </row>
        <row r="342">
          <cell r="A342">
            <v>93511</v>
          </cell>
          <cell r="B342" t="str">
            <v>TOWN OF FRANKLINTON</v>
          </cell>
          <cell r="C342">
            <v>8.8300000000000005E-5</v>
          </cell>
          <cell r="D342">
            <v>9.8999999999999994E-5</v>
          </cell>
          <cell r="E342">
            <v>45050</v>
          </cell>
          <cell r="F342">
            <v>210111</v>
          </cell>
          <cell r="G342">
            <v>134898</v>
          </cell>
          <cell r="H342"/>
          <cell r="I342">
            <v>7771</v>
          </cell>
          <cell r="J342">
            <v>32753</v>
          </cell>
          <cell r="K342">
            <v>19265</v>
          </cell>
          <cell r="L342">
            <v>2589</v>
          </cell>
          <cell r="M342"/>
          <cell r="N342">
            <v>3819</v>
          </cell>
          <cell r="O342">
            <v>0</v>
          </cell>
          <cell r="P342">
            <v>0</v>
          </cell>
          <cell r="Q342">
            <v>13801</v>
          </cell>
          <cell r="R342"/>
          <cell r="S342">
            <v>45461</v>
          </cell>
          <cell r="T342">
            <v>-2683</v>
          </cell>
          <cell r="U342">
            <v>42778</v>
          </cell>
        </row>
        <row r="343">
          <cell r="A343">
            <v>93517</v>
          </cell>
          <cell r="B343" t="str">
            <v>FRANKLINTON ABC BOARD</v>
          </cell>
          <cell r="C343">
            <v>6.0000000000000002E-6</v>
          </cell>
          <cell r="D343">
            <v>6.4999999999999996E-6</v>
          </cell>
          <cell r="E343">
            <v>4387</v>
          </cell>
          <cell r="F343">
            <v>13795</v>
          </cell>
          <cell r="G343">
            <v>9166</v>
          </cell>
          <cell r="H343"/>
          <cell r="I343">
            <v>528</v>
          </cell>
          <cell r="J343">
            <v>2226</v>
          </cell>
          <cell r="K343">
            <v>1309</v>
          </cell>
          <cell r="L343">
            <v>3133</v>
          </cell>
          <cell r="M343"/>
          <cell r="N343">
            <v>259</v>
          </cell>
          <cell r="O343">
            <v>0</v>
          </cell>
          <cell r="P343">
            <v>0</v>
          </cell>
          <cell r="Q343">
            <v>503</v>
          </cell>
          <cell r="R343"/>
          <cell r="S343">
            <v>3089</v>
          </cell>
          <cell r="T343">
            <v>771</v>
          </cell>
          <cell r="U343">
            <v>3860</v>
          </cell>
        </row>
        <row r="344">
          <cell r="A344">
            <v>93521</v>
          </cell>
          <cell r="B344" t="str">
            <v>TOWN OF LOUISBURG</v>
          </cell>
          <cell r="C344">
            <v>4.5649999999999998E-4</v>
          </cell>
          <cell r="D344">
            <v>5.6389999999999999E-4</v>
          </cell>
          <cell r="E344">
            <v>213305</v>
          </cell>
          <cell r="F344">
            <v>1196785</v>
          </cell>
          <cell r="G344">
            <v>697406</v>
          </cell>
          <cell r="H344"/>
          <cell r="I344">
            <v>40177</v>
          </cell>
          <cell r="J344">
            <v>169331</v>
          </cell>
          <cell r="K344">
            <v>99599</v>
          </cell>
          <cell r="L344">
            <v>7159</v>
          </cell>
          <cell r="M344"/>
          <cell r="N344">
            <v>19741</v>
          </cell>
          <cell r="O344">
            <v>0</v>
          </cell>
          <cell r="P344">
            <v>0</v>
          </cell>
          <cell r="Q344">
            <v>74583</v>
          </cell>
          <cell r="R344"/>
          <cell r="S344">
            <v>235026</v>
          </cell>
          <cell r="T344">
            <v>-19847</v>
          </cell>
          <cell r="U344">
            <v>215179</v>
          </cell>
        </row>
        <row r="345">
          <cell r="A345">
            <v>93527</v>
          </cell>
          <cell r="B345" t="str">
            <v>LOUISBURG ABC BOARD</v>
          </cell>
          <cell r="C345">
            <v>1.2099999999999999E-5</v>
          </cell>
          <cell r="D345">
            <v>5.4E-6</v>
          </cell>
          <cell r="E345">
            <v>9591</v>
          </cell>
          <cell r="F345">
            <v>11461</v>
          </cell>
          <cell r="G345">
            <v>18485</v>
          </cell>
          <cell r="H345"/>
          <cell r="I345">
            <v>1065</v>
          </cell>
          <cell r="J345">
            <v>4488</v>
          </cell>
          <cell r="K345">
            <v>2640</v>
          </cell>
          <cell r="L345">
            <v>15016</v>
          </cell>
          <cell r="M345"/>
          <cell r="N345">
            <v>523</v>
          </cell>
          <cell r="O345">
            <v>0</v>
          </cell>
          <cell r="P345">
            <v>0</v>
          </cell>
          <cell r="Q345">
            <v>0</v>
          </cell>
          <cell r="R345"/>
          <cell r="S345">
            <v>6230</v>
          </cell>
          <cell r="T345">
            <v>5872</v>
          </cell>
          <cell r="U345">
            <v>12102</v>
          </cell>
        </row>
        <row r="346">
          <cell r="A346">
            <v>93531</v>
          </cell>
          <cell r="B346" t="str">
            <v>TOWN OF BUNN</v>
          </cell>
          <cell r="C346">
            <v>1.7E-5</v>
          </cell>
          <cell r="D346">
            <v>2.4000000000000001E-5</v>
          </cell>
          <cell r="E346">
            <v>11624</v>
          </cell>
          <cell r="F346">
            <v>50936</v>
          </cell>
          <cell r="G346">
            <v>25971</v>
          </cell>
          <cell r="H346"/>
          <cell r="I346">
            <v>1496</v>
          </cell>
          <cell r="J346">
            <v>6306</v>
          </cell>
          <cell r="K346">
            <v>3709</v>
          </cell>
          <cell r="L346">
            <v>791</v>
          </cell>
          <cell r="M346"/>
          <cell r="N346">
            <v>735</v>
          </cell>
          <cell r="O346">
            <v>0</v>
          </cell>
          <cell r="P346">
            <v>0</v>
          </cell>
          <cell r="Q346">
            <v>2743</v>
          </cell>
          <cell r="R346"/>
          <cell r="S346">
            <v>8752</v>
          </cell>
          <cell r="T346">
            <v>-1210</v>
          </cell>
          <cell r="U346">
            <v>7542</v>
          </cell>
        </row>
        <row r="347">
          <cell r="A347">
            <v>93537</v>
          </cell>
          <cell r="B347" t="str">
            <v>ABC BOARD - TOWN OF BUNN</v>
          </cell>
          <cell r="C347">
            <v>1.1199999999999999E-5</v>
          </cell>
          <cell r="D347">
            <v>1.17E-5</v>
          </cell>
          <cell r="E347">
            <v>4064</v>
          </cell>
          <cell r="F347">
            <v>24831</v>
          </cell>
          <cell r="G347">
            <v>17110</v>
          </cell>
          <cell r="H347"/>
          <cell r="I347">
            <v>986</v>
          </cell>
          <cell r="J347">
            <v>4154</v>
          </cell>
          <cell r="K347">
            <v>2444</v>
          </cell>
          <cell r="L347">
            <v>0</v>
          </cell>
          <cell r="M347"/>
          <cell r="N347">
            <v>484</v>
          </cell>
          <cell r="O347">
            <v>0</v>
          </cell>
          <cell r="P347">
            <v>0</v>
          </cell>
          <cell r="Q347">
            <v>1898</v>
          </cell>
          <cell r="R347"/>
          <cell r="S347">
            <v>5766</v>
          </cell>
          <cell r="T347">
            <v>-575</v>
          </cell>
          <cell r="U347">
            <v>5191</v>
          </cell>
        </row>
        <row r="348">
          <cell r="A348">
            <v>93541</v>
          </cell>
          <cell r="B348" t="str">
            <v>TOWN OF YOUNGSVILLE</v>
          </cell>
          <cell r="C348">
            <v>1.0560000000000001E-4</v>
          </cell>
          <cell r="D348">
            <v>1.061E-4</v>
          </cell>
          <cell r="E348">
            <v>49276</v>
          </cell>
          <cell r="F348">
            <v>225180</v>
          </cell>
          <cell r="G348">
            <v>161328</v>
          </cell>
          <cell r="H348"/>
          <cell r="I348">
            <v>9294</v>
          </cell>
          <cell r="J348">
            <v>39171</v>
          </cell>
          <cell r="K348">
            <v>23040</v>
          </cell>
          <cell r="L348">
            <v>4560</v>
          </cell>
          <cell r="M348"/>
          <cell r="N348">
            <v>4567</v>
          </cell>
          <cell r="O348">
            <v>0</v>
          </cell>
          <cell r="P348">
            <v>0</v>
          </cell>
          <cell r="Q348">
            <v>781</v>
          </cell>
          <cell r="R348"/>
          <cell r="S348">
            <v>54368</v>
          </cell>
          <cell r="T348">
            <v>4003</v>
          </cell>
          <cell r="U348">
            <v>58371</v>
          </cell>
        </row>
        <row r="349">
          <cell r="A349">
            <v>93601</v>
          </cell>
          <cell r="B349" t="str">
            <v>GASTON COUNTY</v>
          </cell>
          <cell r="C349">
            <v>1.0721400000000001E-2</v>
          </cell>
          <cell r="D349">
            <v>1.1139899999999999E-2</v>
          </cell>
          <cell r="E349">
            <v>5038240</v>
          </cell>
          <cell r="F349">
            <v>23642600</v>
          </cell>
          <cell r="G349">
            <v>16379329</v>
          </cell>
          <cell r="H349"/>
          <cell r="I349">
            <v>943601</v>
          </cell>
          <cell r="J349">
            <v>3976921</v>
          </cell>
          <cell r="K349">
            <v>2339195</v>
          </cell>
          <cell r="L349">
            <v>65732</v>
          </cell>
          <cell r="M349"/>
          <cell r="N349">
            <v>463647</v>
          </cell>
          <cell r="O349">
            <v>0</v>
          </cell>
          <cell r="P349">
            <v>0</v>
          </cell>
          <cell r="Q349">
            <v>282932</v>
          </cell>
          <cell r="R349"/>
          <cell r="S349">
            <v>5519848</v>
          </cell>
          <cell r="T349">
            <v>-87424</v>
          </cell>
          <cell r="U349">
            <v>5432424</v>
          </cell>
        </row>
        <row r="350">
          <cell r="A350">
            <v>93602</v>
          </cell>
          <cell r="B350" t="str">
            <v>TOWN OF STANLEY</v>
          </cell>
          <cell r="C350">
            <v>1.7540000000000001E-4</v>
          </cell>
          <cell r="D350">
            <v>1.7200000000000001E-4</v>
          </cell>
          <cell r="E350">
            <v>82188</v>
          </cell>
          <cell r="F350">
            <v>365042</v>
          </cell>
          <cell r="G350">
            <v>267963</v>
          </cell>
          <cell r="H350"/>
          <cell r="I350">
            <v>15437</v>
          </cell>
          <cell r="J350">
            <v>65062</v>
          </cell>
          <cell r="K350">
            <v>38269</v>
          </cell>
          <cell r="L350">
            <v>4381</v>
          </cell>
          <cell r="M350"/>
          <cell r="N350">
            <v>7585</v>
          </cell>
          <cell r="O350">
            <v>0</v>
          </cell>
          <cell r="P350">
            <v>0</v>
          </cell>
          <cell r="Q350">
            <v>10262</v>
          </cell>
          <cell r="R350"/>
          <cell r="S350">
            <v>90304</v>
          </cell>
          <cell r="T350">
            <v>-2871</v>
          </cell>
          <cell r="U350">
            <v>87433</v>
          </cell>
        </row>
        <row r="351">
          <cell r="A351">
            <v>93609</v>
          </cell>
          <cell r="B351" t="str">
            <v>PARTNERS BEHAVIORAL HEALTH MANAGEMENT</v>
          </cell>
          <cell r="C351">
            <v>3.7629999999999999E-3</v>
          </cell>
          <cell r="D351">
            <v>3.0569E-3</v>
          </cell>
          <cell r="E351">
            <v>1743934</v>
          </cell>
          <cell r="F351">
            <v>6487766</v>
          </cell>
          <cell r="G351">
            <v>5748822</v>
          </cell>
          <cell r="H351"/>
          <cell r="I351">
            <v>331185</v>
          </cell>
          <cell r="J351">
            <v>1395821</v>
          </cell>
          <cell r="K351">
            <v>821011</v>
          </cell>
          <cell r="L351">
            <v>823315</v>
          </cell>
          <cell r="M351"/>
          <cell r="N351">
            <v>162731</v>
          </cell>
          <cell r="O351">
            <v>0</v>
          </cell>
          <cell r="P351">
            <v>0</v>
          </cell>
          <cell r="Q351">
            <v>0</v>
          </cell>
          <cell r="R351"/>
          <cell r="S351">
            <v>1937358</v>
          </cell>
          <cell r="T351">
            <v>360052</v>
          </cell>
          <cell r="U351">
            <v>2297410</v>
          </cell>
        </row>
        <row r="352">
          <cell r="A352">
            <v>93610</v>
          </cell>
          <cell r="B352" t="str">
            <v>TOWN OF MCADENVILLE</v>
          </cell>
          <cell r="C352">
            <v>1.33E-5</v>
          </cell>
          <cell r="D352">
            <v>6.4999999999999996E-6</v>
          </cell>
          <cell r="E352">
            <v>5846</v>
          </cell>
          <cell r="F352">
            <v>13795</v>
          </cell>
          <cell r="G352">
            <v>20319</v>
          </cell>
          <cell r="H352"/>
          <cell r="I352">
            <v>1171</v>
          </cell>
          <cell r="J352">
            <v>4933</v>
          </cell>
          <cell r="K352">
            <v>2902</v>
          </cell>
          <cell r="L352">
            <v>6303</v>
          </cell>
          <cell r="M352"/>
          <cell r="N352">
            <v>575</v>
          </cell>
          <cell r="O352">
            <v>0</v>
          </cell>
          <cell r="P352">
            <v>0</v>
          </cell>
          <cell r="Q352">
            <v>3373</v>
          </cell>
          <cell r="R352"/>
          <cell r="S352">
            <v>6847</v>
          </cell>
          <cell r="T352">
            <v>1242</v>
          </cell>
          <cell r="U352">
            <v>8089</v>
          </cell>
        </row>
        <row r="353">
          <cell r="A353">
            <v>93611</v>
          </cell>
          <cell r="B353" t="str">
            <v>CITY OF GASTONIA</v>
          </cell>
          <cell r="C353">
            <v>6.9544000000000003E-3</v>
          </cell>
          <cell r="D353">
            <v>6.9325000000000003E-3</v>
          </cell>
          <cell r="E353">
            <v>3250733</v>
          </cell>
          <cell r="F353">
            <v>14713087</v>
          </cell>
          <cell r="G353">
            <v>10624397</v>
          </cell>
          <cell r="H353"/>
          <cell r="I353">
            <v>612064</v>
          </cell>
          <cell r="J353">
            <v>2579617</v>
          </cell>
          <cell r="K353">
            <v>1517311</v>
          </cell>
          <cell r="L353">
            <v>61146</v>
          </cell>
          <cell r="M353"/>
          <cell r="N353">
            <v>300743</v>
          </cell>
          <cell r="O353">
            <v>0</v>
          </cell>
          <cell r="P353">
            <v>0</v>
          </cell>
          <cell r="Q353">
            <v>153061</v>
          </cell>
          <cell r="R353"/>
          <cell r="S353">
            <v>3580431</v>
          </cell>
          <cell r="T353">
            <v>-98066</v>
          </cell>
          <cell r="U353">
            <v>3482365</v>
          </cell>
        </row>
        <row r="354">
          <cell r="A354">
            <v>93617</v>
          </cell>
          <cell r="B354" t="str">
            <v>GASTONIA ABC BOARD</v>
          </cell>
          <cell r="C354">
            <v>8.2799999999999993E-5</v>
          </cell>
          <cell r="D354">
            <v>9.5000000000000005E-5</v>
          </cell>
          <cell r="E354">
            <v>49100</v>
          </cell>
          <cell r="F354">
            <v>201622</v>
          </cell>
          <cell r="G354">
            <v>126495</v>
          </cell>
          <cell r="H354"/>
          <cell r="I354">
            <v>7287</v>
          </cell>
          <cell r="J354">
            <v>30714</v>
          </cell>
          <cell r="K354">
            <v>18065</v>
          </cell>
          <cell r="L354">
            <v>19622</v>
          </cell>
          <cell r="M354"/>
          <cell r="N354">
            <v>3581</v>
          </cell>
          <cell r="O354">
            <v>0</v>
          </cell>
          <cell r="P354">
            <v>0</v>
          </cell>
          <cell r="Q354">
            <v>0</v>
          </cell>
          <cell r="R354"/>
          <cell r="S354">
            <v>42629</v>
          </cell>
          <cell r="T354">
            <v>10180</v>
          </cell>
          <cell r="U354">
            <v>52809</v>
          </cell>
        </row>
        <row r="355">
          <cell r="A355">
            <v>93618</v>
          </cell>
          <cell r="B355" t="str">
            <v>GASTON COUNTY ECONOMIC DEV. COMMISSION</v>
          </cell>
          <cell r="C355">
            <v>1.11E-5</v>
          </cell>
          <cell r="D355">
            <v>1.17E-5</v>
          </cell>
          <cell r="E355">
            <v>23982</v>
          </cell>
          <cell r="F355">
            <v>24831</v>
          </cell>
          <cell r="G355">
            <v>16958</v>
          </cell>
          <cell r="H355"/>
          <cell r="I355">
            <v>977</v>
          </cell>
          <cell r="J355">
            <v>4117</v>
          </cell>
          <cell r="K355">
            <v>2422</v>
          </cell>
          <cell r="L355">
            <v>33625</v>
          </cell>
          <cell r="M355"/>
          <cell r="N355">
            <v>480</v>
          </cell>
          <cell r="O355">
            <v>0</v>
          </cell>
          <cell r="P355">
            <v>0</v>
          </cell>
          <cell r="Q355">
            <v>0</v>
          </cell>
          <cell r="R355"/>
          <cell r="S355">
            <v>5715</v>
          </cell>
          <cell r="T355">
            <v>12182</v>
          </cell>
          <cell r="U355">
            <v>17897</v>
          </cell>
        </row>
        <row r="356">
          <cell r="A356">
            <v>93621</v>
          </cell>
          <cell r="B356" t="str">
            <v>CITY OF BELMONT</v>
          </cell>
          <cell r="C356">
            <v>9.5719999999999996E-4</v>
          </cell>
          <cell r="D356">
            <v>8.5320000000000003E-4</v>
          </cell>
          <cell r="E356">
            <v>412639</v>
          </cell>
          <cell r="F356">
            <v>1810776</v>
          </cell>
          <cell r="G356">
            <v>1462336</v>
          </cell>
          <cell r="H356"/>
          <cell r="I356">
            <v>84244</v>
          </cell>
          <cell r="J356">
            <v>355057</v>
          </cell>
          <cell r="K356">
            <v>208842</v>
          </cell>
          <cell r="L356">
            <v>48292</v>
          </cell>
          <cell r="M356"/>
          <cell r="N356">
            <v>41394</v>
          </cell>
          <cell r="O356">
            <v>0</v>
          </cell>
          <cell r="P356">
            <v>0</v>
          </cell>
          <cell r="Q356">
            <v>79767</v>
          </cell>
          <cell r="R356"/>
          <cell r="S356">
            <v>492809</v>
          </cell>
          <cell r="T356">
            <v>-26570</v>
          </cell>
          <cell r="U356">
            <v>466239</v>
          </cell>
        </row>
        <row r="357">
          <cell r="A357">
            <v>93623</v>
          </cell>
          <cell r="B357" t="str">
            <v>BELMONT HOUSING AUTHORITY</v>
          </cell>
          <cell r="C357">
            <v>1.2799999999999999E-5</v>
          </cell>
          <cell r="D357">
            <v>1.2500000000000001E-5</v>
          </cell>
          <cell r="E357">
            <v>8720</v>
          </cell>
          <cell r="F357">
            <v>26529</v>
          </cell>
          <cell r="G357">
            <v>19555</v>
          </cell>
          <cell r="H357"/>
          <cell r="I357">
            <v>1127</v>
          </cell>
          <cell r="J357">
            <v>4748</v>
          </cell>
          <cell r="K357">
            <v>2793</v>
          </cell>
          <cell r="L357">
            <v>5501</v>
          </cell>
          <cell r="M357"/>
          <cell r="N357">
            <v>554</v>
          </cell>
          <cell r="O357">
            <v>0</v>
          </cell>
          <cell r="P357">
            <v>0</v>
          </cell>
          <cell r="Q357">
            <v>1</v>
          </cell>
          <cell r="R357"/>
          <cell r="S357">
            <v>6590</v>
          </cell>
          <cell r="T357">
            <v>1908</v>
          </cell>
          <cell r="U357">
            <v>8498</v>
          </cell>
        </row>
        <row r="358">
          <cell r="A358">
            <v>93631</v>
          </cell>
          <cell r="B358" t="str">
            <v>TOWN OF CRAMERTON</v>
          </cell>
          <cell r="C358">
            <v>2.252E-4</v>
          </cell>
          <cell r="D358">
            <v>2.3440000000000001E-4</v>
          </cell>
          <cell r="E358">
            <v>100501</v>
          </cell>
          <cell r="F358">
            <v>497475</v>
          </cell>
          <cell r="G358">
            <v>344043</v>
          </cell>
          <cell r="H358"/>
          <cell r="I358">
            <v>19820</v>
          </cell>
          <cell r="J358">
            <v>83534</v>
          </cell>
          <cell r="K358">
            <v>49134</v>
          </cell>
          <cell r="L358">
            <v>435</v>
          </cell>
          <cell r="M358"/>
          <cell r="N358">
            <v>9739</v>
          </cell>
          <cell r="O358">
            <v>0</v>
          </cell>
          <cell r="P358">
            <v>0</v>
          </cell>
          <cell r="Q358">
            <v>20459</v>
          </cell>
          <cell r="R358"/>
          <cell r="S358">
            <v>115943</v>
          </cell>
          <cell r="T358">
            <v>-7001</v>
          </cell>
          <cell r="U358">
            <v>108942</v>
          </cell>
        </row>
        <row r="359">
          <cell r="A359">
            <v>93641</v>
          </cell>
          <cell r="B359" t="str">
            <v>CITY OF CHERRYVILLE</v>
          </cell>
          <cell r="C359">
            <v>4.0450000000000002E-4</v>
          </cell>
          <cell r="D359">
            <v>4.3550000000000001E-4</v>
          </cell>
          <cell r="E359">
            <v>197852</v>
          </cell>
          <cell r="F359">
            <v>924277</v>
          </cell>
          <cell r="G359">
            <v>617964</v>
          </cell>
          <cell r="H359"/>
          <cell r="I359">
            <v>35600</v>
          </cell>
          <cell r="J359">
            <v>150042</v>
          </cell>
          <cell r="K359">
            <v>88254</v>
          </cell>
          <cell r="L359">
            <v>14033</v>
          </cell>
          <cell r="M359"/>
          <cell r="N359">
            <v>17493</v>
          </cell>
          <cell r="O359">
            <v>0</v>
          </cell>
          <cell r="P359">
            <v>0</v>
          </cell>
          <cell r="Q359">
            <v>11062</v>
          </cell>
          <cell r="R359"/>
          <cell r="S359">
            <v>208254</v>
          </cell>
          <cell r="T359">
            <v>4772</v>
          </cell>
          <cell r="U359">
            <v>213026</v>
          </cell>
        </row>
        <row r="360">
          <cell r="A360">
            <v>93647</v>
          </cell>
          <cell r="B360" t="str">
            <v>CHERRYVILLE ABC BOARD</v>
          </cell>
          <cell r="C360">
            <v>6.0000000000000002E-6</v>
          </cell>
          <cell r="D360">
            <v>6.1E-6</v>
          </cell>
          <cell r="E360">
            <v>9062</v>
          </cell>
          <cell r="F360">
            <v>12946</v>
          </cell>
          <cell r="G360">
            <v>9166</v>
          </cell>
          <cell r="H360"/>
          <cell r="I360">
            <v>528</v>
          </cell>
          <cell r="J360">
            <v>2226</v>
          </cell>
          <cell r="K360">
            <v>1309</v>
          </cell>
          <cell r="L360">
            <v>12039</v>
          </cell>
          <cell r="M360"/>
          <cell r="N360">
            <v>259</v>
          </cell>
          <cell r="O360">
            <v>0</v>
          </cell>
          <cell r="P360">
            <v>0</v>
          </cell>
          <cell r="Q360">
            <v>0</v>
          </cell>
          <cell r="R360"/>
          <cell r="S360">
            <v>3089</v>
          </cell>
          <cell r="T360">
            <v>4642</v>
          </cell>
          <cell r="U360">
            <v>7731</v>
          </cell>
        </row>
        <row r="361">
          <cell r="A361">
            <v>93651</v>
          </cell>
          <cell r="B361" t="str">
            <v>TOWN OF DALLAS</v>
          </cell>
          <cell r="C361">
            <v>4.3800000000000002E-4</v>
          </cell>
          <cell r="D361">
            <v>4.282E-4</v>
          </cell>
          <cell r="E361">
            <v>185953</v>
          </cell>
          <cell r="F361">
            <v>908784</v>
          </cell>
          <cell r="G361">
            <v>669143</v>
          </cell>
          <cell r="H361"/>
          <cell r="I361">
            <v>38549</v>
          </cell>
          <cell r="J361">
            <v>162468</v>
          </cell>
          <cell r="K361">
            <v>95563</v>
          </cell>
          <cell r="L361">
            <v>5830</v>
          </cell>
          <cell r="M361"/>
          <cell r="N361">
            <v>18941</v>
          </cell>
          <cell r="O361">
            <v>0</v>
          </cell>
          <cell r="P361">
            <v>0</v>
          </cell>
          <cell r="Q361">
            <v>13910</v>
          </cell>
          <cell r="R361"/>
          <cell r="S361">
            <v>225502</v>
          </cell>
          <cell r="T361">
            <v>-1521</v>
          </cell>
          <cell r="U361">
            <v>223981</v>
          </cell>
        </row>
        <row r="362">
          <cell r="A362">
            <v>93661</v>
          </cell>
          <cell r="B362" t="str">
            <v>CITY OF LOWELL</v>
          </cell>
          <cell r="C362">
            <v>1.3410000000000001E-4</v>
          </cell>
          <cell r="D362">
            <v>1.3420000000000001E-4</v>
          </cell>
          <cell r="E362">
            <v>66084</v>
          </cell>
          <cell r="F362">
            <v>284817</v>
          </cell>
          <cell r="G362">
            <v>204868</v>
          </cell>
          <cell r="H362"/>
          <cell r="I362">
            <v>11802</v>
          </cell>
          <cell r="J362">
            <v>49742</v>
          </cell>
          <cell r="K362">
            <v>29258</v>
          </cell>
          <cell r="L362">
            <v>11769</v>
          </cell>
          <cell r="M362"/>
          <cell r="N362">
            <v>5799</v>
          </cell>
          <cell r="O362">
            <v>0</v>
          </cell>
          <cell r="P362">
            <v>0</v>
          </cell>
          <cell r="Q362">
            <v>0</v>
          </cell>
          <cell r="R362"/>
          <cell r="S362">
            <v>69041</v>
          </cell>
          <cell r="T362">
            <v>4842</v>
          </cell>
          <cell r="U362">
            <v>73883</v>
          </cell>
        </row>
        <row r="363">
          <cell r="A363">
            <v>93671</v>
          </cell>
          <cell r="B363" t="str">
            <v>BESSEMER CITY</v>
          </cell>
          <cell r="C363">
            <v>3.5530000000000002E-4</v>
          </cell>
          <cell r="D363">
            <v>3.6900000000000002E-4</v>
          </cell>
          <cell r="E363">
            <v>172672</v>
          </cell>
          <cell r="F363">
            <v>783142</v>
          </cell>
          <cell r="G363">
            <v>542800</v>
          </cell>
          <cell r="H363"/>
          <cell r="I363">
            <v>31270</v>
          </cell>
          <cell r="J363">
            <v>131793</v>
          </cell>
          <cell r="K363">
            <v>77519</v>
          </cell>
          <cell r="L363">
            <v>38666</v>
          </cell>
          <cell r="M363"/>
          <cell r="N363">
            <v>15365</v>
          </cell>
          <cell r="O363">
            <v>0</v>
          </cell>
          <cell r="P363">
            <v>0</v>
          </cell>
          <cell r="Q363">
            <v>2899</v>
          </cell>
          <cell r="R363"/>
          <cell r="S363">
            <v>182924</v>
          </cell>
          <cell r="T363">
            <v>28467</v>
          </cell>
          <cell r="U363">
            <v>211391</v>
          </cell>
        </row>
        <row r="364">
          <cell r="A364">
            <v>93677</v>
          </cell>
          <cell r="B364" t="str">
            <v>BESSEMER CITY A.B.C. BOARD</v>
          </cell>
          <cell r="C364">
            <v>0</v>
          </cell>
          <cell r="D364">
            <v>0</v>
          </cell>
          <cell r="E364">
            <v>0</v>
          </cell>
          <cell r="F364">
            <v>0</v>
          </cell>
          <cell r="G364">
            <v>0</v>
          </cell>
          <cell r="H364"/>
          <cell r="I364">
            <v>0</v>
          </cell>
          <cell r="J364">
            <v>0</v>
          </cell>
          <cell r="K364">
            <v>0</v>
          </cell>
          <cell r="L364">
            <v>0</v>
          </cell>
          <cell r="M364"/>
          <cell r="N364">
            <v>0</v>
          </cell>
          <cell r="O364">
            <v>0</v>
          </cell>
          <cell r="P364">
            <v>0</v>
          </cell>
          <cell r="Q364">
            <v>718</v>
          </cell>
          <cell r="R364"/>
          <cell r="S364">
            <v>0</v>
          </cell>
          <cell r="T364">
            <v>-725</v>
          </cell>
          <cell r="U364">
            <v>-725</v>
          </cell>
        </row>
        <row r="365">
          <cell r="A365">
            <v>93681</v>
          </cell>
          <cell r="B365" t="str">
            <v>TOWN OF RANLO</v>
          </cell>
          <cell r="C365">
            <v>1.1179999999999999E-4</v>
          </cell>
          <cell r="D365">
            <v>1.1010000000000001E-4</v>
          </cell>
          <cell r="E365">
            <v>48115</v>
          </cell>
          <cell r="F365">
            <v>233669</v>
          </cell>
          <cell r="G365">
            <v>170799</v>
          </cell>
          <cell r="H365"/>
          <cell r="I365">
            <v>9840</v>
          </cell>
          <cell r="J365">
            <v>41470</v>
          </cell>
          <cell r="K365">
            <v>24393</v>
          </cell>
          <cell r="L365">
            <v>264</v>
          </cell>
          <cell r="M365"/>
          <cell r="N365">
            <v>4835</v>
          </cell>
          <cell r="O365">
            <v>0</v>
          </cell>
          <cell r="P365">
            <v>0</v>
          </cell>
          <cell r="Q365">
            <v>12629</v>
          </cell>
          <cell r="R365"/>
          <cell r="S365">
            <v>57560</v>
          </cell>
          <cell r="T365">
            <v>-6498</v>
          </cell>
          <cell r="U365">
            <v>51062</v>
          </cell>
        </row>
        <row r="366">
          <cell r="A366">
            <v>93691</v>
          </cell>
          <cell r="B366" t="str">
            <v>CITY OF MOUNT HOLLY</v>
          </cell>
          <cell r="C366">
            <v>1.0858E-3</v>
          </cell>
          <cell r="D366">
            <v>1.1251E-3</v>
          </cell>
          <cell r="E366">
            <v>464182</v>
          </cell>
          <cell r="F366">
            <v>2387839</v>
          </cell>
          <cell r="G366">
            <v>1658802</v>
          </cell>
          <cell r="H366"/>
          <cell r="I366">
            <v>95562</v>
          </cell>
          <cell r="J366">
            <v>402759</v>
          </cell>
          <cell r="K366">
            <v>236900</v>
          </cell>
          <cell r="L366">
            <v>0</v>
          </cell>
          <cell r="M366"/>
          <cell r="N366">
            <v>46955</v>
          </cell>
          <cell r="O366">
            <v>0</v>
          </cell>
          <cell r="P366">
            <v>0</v>
          </cell>
          <cell r="Q366">
            <v>115438</v>
          </cell>
          <cell r="R366"/>
          <cell r="S366">
            <v>559018</v>
          </cell>
          <cell r="T366">
            <v>-42411</v>
          </cell>
          <cell r="U366">
            <v>516607</v>
          </cell>
        </row>
        <row r="367">
          <cell r="A367">
            <v>93701</v>
          </cell>
          <cell r="B367" t="str">
            <v>GATES COUNTY</v>
          </cell>
          <cell r="C367">
            <v>4.5800000000000002E-4</v>
          </cell>
          <cell r="D367">
            <v>4.6200000000000001E-4</v>
          </cell>
          <cell r="E367">
            <v>201820</v>
          </cell>
          <cell r="F367">
            <v>0</v>
          </cell>
          <cell r="G367">
            <v>699697</v>
          </cell>
          <cell r="H367"/>
          <cell r="I367">
            <v>40309</v>
          </cell>
          <cell r="J367">
            <v>169888</v>
          </cell>
          <cell r="K367">
            <v>99926</v>
          </cell>
          <cell r="L367">
            <v>7923</v>
          </cell>
          <cell r="M367"/>
          <cell r="N367">
            <v>19806</v>
          </cell>
          <cell r="O367">
            <v>0</v>
          </cell>
          <cell r="P367">
            <v>0</v>
          </cell>
          <cell r="Q367">
            <v>17631</v>
          </cell>
          <cell r="R367"/>
          <cell r="S367">
            <v>235799</v>
          </cell>
          <cell r="T367">
            <v>566</v>
          </cell>
          <cell r="U367">
            <v>236365</v>
          </cell>
        </row>
        <row r="368">
          <cell r="A368">
            <v>93704</v>
          </cell>
          <cell r="B368" t="str">
            <v>GATES COUNTY ABC BOARD</v>
          </cell>
          <cell r="C368">
            <v>3.0000000000000001E-6</v>
          </cell>
          <cell r="D368">
            <v>3.3000000000000002E-6</v>
          </cell>
          <cell r="E368">
            <v>1962</v>
          </cell>
          <cell r="F368">
            <v>7004</v>
          </cell>
          <cell r="G368">
            <v>4583</v>
          </cell>
          <cell r="H368"/>
          <cell r="I368">
            <v>264</v>
          </cell>
          <cell r="J368">
            <v>1113</v>
          </cell>
          <cell r="K368">
            <v>655</v>
          </cell>
          <cell r="L368">
            <v>578</v>
          </cell>
          <cell r="M368"/>
          <cell r="N368">
            <v>130</v>
          </cell>
          <cell r="O368">
            <v>0</v>
          </cell>
          <cell r="P368">
            <v>0</v>
          </cell>
          <cell r="Q368">
            <v>49</v>
          </cell>
          <cell r="R368"/>
          <cell r="S368">
            <v>1545</v>
          </cell>
          <cell r="T368">
            <v>136</v>
          </cell>
          <cell r="U368">
            <v>1681</v>
          </cell>
        </row>
        <row r="369">
          <cell r="A369">
            <v>93801</v>
          </cell>
          <cell r="B369" t="str">
            <v>GRAHAM COUNTY</v>
          </cell>
          <cell r="C369">
            <v>4.7889999999999999E-4</v>
          </cell>
          <cell r="D369">
            <v>5.4180000000000005E-4</v>
          </cell>
          <cell r="E369">
            <v>205984</v>
          </cell>
          <cell r="F369">
            <v>1149881</v>
          </cell>
          <cell r="G369">
            <v>731627</v>
          </cell>
          <cell r="H369"/>
          <cell r="I369">
            <v>42148</v>
          </cell>
          <cell r="J369">
            <v>177639</v>
          </cell>
          <cell r="K369">
            <v>104486</v>
          </cell>
          <cell r="L369">
            <v>113630</v>
          </cell>
          <cell r="M369"/>
          <cell r="N369">
            <v>20710</v>
          </cell>
          <cell r="O369">
            <v>0</v>
          </cell>
          <cell r="P369">
            <v>0</v>
          </cell>
          <cell r="Q369">
            <v>54734</v>
          </cell>
          <cell r="R369"/>
          <cell r="S369">
            <v>246559</v>
          </cell>
          <cell r="T369">
            <v>28052</v>
          </cell>
          <cell r="U369">
            <v>274611</v>
          </cell>
        </row>
        <row r="370">
          <cell r="A370">
            <v>93803</v>
          </cell>
          <cell r="B370" t="str">
            <v>GRAHAM CO HEALTH DEPT</v>
          </cell>
          <cell r="C370">
            <v>1.1900000000000001E-4</v>
          </cell>
          <cell r="D370">
            <v>1.4469999999999999E-4</v>
          </cell>
          <cell r="E370">
            <v>50573</v>
          </cell>
          <cell r="F370">
            <v>307102</v>
          </cell>
          <cell r="G370">
            <v>181799</v>
          </cell>
          <cell r="H370"/>
          <cell r="I370">
            <v>10473</v>
          </cell>
          <cell r="J370">
            <v>44141</v>
          </cell>
          <cell r="K370">
            <v>25963</v>
          </cell>
          <cell r="L370">
            <v>0</v>
          </cell>
          <cell r="M370"/>
          <cell r="N370">
            <v>5146</v>
          </cell>
          <cell r="O370">
            <v>0</v>
          </cell>
          <cell r="P370">
            <v>0</v>
          </cell>
          <cell r="Q370">
            <v>42594</v>
          </cell>
          <cell r="R370"/>
          <cell r="S370">
            <v>61266</v>
          </cell>
          <cell r="T370">
            <v>-17510</v>
          </cell>
          <cell r="U370">
            <v>43756</v>
          </cell>
        </row>
        <row r="371">
          <cell r="A371">
            <v>93806</v>
          </cell>
          <cell r="B371" t="str">
            <v>GRAHAM COUNTY DEPT OF S S</v>
          </cell>
          <cell r="C371">
            <v>9.3900000000000006E-5</v>
          </cell>
          <cell r="D371">
            <v>7.3700000000000002E-5</v>
          </cell>
          <cell r="E371">
            <v>41336</v>
          </cell>
          <cell r="F371">
            <v>156416</v>
          </cell>
          <cell r="G371">
            <v>143453</v>
          </cell>
          <cell r="H371"/>
          <cell r="I371">
            <v>8264</v>
          </cell>
          <cell r="J371">
            <v>34831</v>
          </cell>
          <cell r="K371">
            <v>20487</v>
          </cell>
          <cell r="L371">
            <v>13283</v>
          </cell>
          <cell r="M371"/>
          <cell r="N371">
            <v>4061</v>
          </cell>
          <cell r="O371">
            <v>0</v>
          </cell>
          <cell r="P371">
            <v>0</v>
          </cell>
          <cell r="Q371">
            <v>10049</v>
          </cell>
          <cell r="R371"/>
          <cell r="S371">
            <v>48344</v>
          </cell>
          <cell r="T371">
            <v>-6121</v>
          </cell>
          <cell r="U371">
            <v>42223</v>
          </cell>
        </row>
        <row r="372">
          <cell r="A372">
            <v>93821</v>
          </cell>
          <cell r="B372" t="str">
            <v>TOWN OF ROBBINSVILLE</v>
          </cell>
          <cell r="C372">
            <v>2.9899999999999998E-5</v>
          </cell>
          <cell r="D372">
            <v>5.7200000000000001E-5</v>
          </cell>
          <cell r="E372">
            <v>36177</v>
          </cell>
          <cell r="F372">
            <v>121398</v>
          </cell>
          <cell r="G372">
            <v>45679</v>
          </cell>
          <cell r="H372"/>
          <cell r="I372">
            <v>2632</v>
          </cell>
          <cell r="J372">
            <v>11090</v>
          </cell>
          <cell r="K372">
            <v>6524</v>
          </cell>
          <cell r="L372">
            <v>18424</v>
          </cell>
          <cell r="M372"/>
          <cell r="N372">
            <v>1293</v>
          </cell>
          <cell r="O372">
            <v>0</v>
          </cell>
          <cell r="P372">
            <v>0</v>
          </cell>
          <cell r="Q372">
            <v>343</v>
          </cell>
          <cell r="R372"/>
          <cell r="S372">
            <v>15394</v>
          </cell>
          <cell r="T372">
            <v>7633</v>
          </cell>
          <cell r="U372">
            <v>23027</v>
          </cell>
        </row>
        <row r="373">
          <cell r="A373">
            <v>93901</v>
          </cell>
          <cell r="B373" t="str">
            <v>GRANVILLE COUNTY</v>
          </cell>
          <cell r="C373">
            <v>1.7974E-3</v>
          </cell>
          <cell r="D373">
            <v>1.8059E-3</v>
          </cell>
          <cell r="E373">
            <v>887170</v>
          </cell>
          <cell r="F373">
            <v>3832725</v>
          </cell>
          <cell r="G373">
            <v>2745929</v>
          </cell>
          <cell r="H373"/>
          <cell r="I373">
            <v>158191</v>
          </cell>
          <cell r="J373">
            <v>666715</v>
          </cell>
          <cell r="K373">
            <v>392157</v>
          </cell>
          <cell r="L373">
            <v>89069</v>
          </cell>
          <cell r="M373"/>
          <cell r="N373">
            <v>77729</v>
          </cell>
          <cell r="O373">
            <v>0</v>
          </cell>
          <cell r="P373">
            <v>0</v>
          </cell>
          <cell r="Q373">
            <v>0</v>
          </cell>
          <cell r="R373"/>
          <cell r="S373">
            <v>925381</v>
          </cell>
          <cell r="T373">
            <v>32657</v>
          </cell>
          <cell r="U373">
            <v>958038</v>
          </cell>
        </row>
        <row r="374">
          <cell r="A374">
            <v>93904</v>
          </cell>
          <cell r="B374" t="str">
            <v>GRANVILLE CO ABC BD</v>
          </cell>
          <cell r="C374">
            <v>3.0000000000000001E-5</v>
          </cell>
          <cell r="D374">
            <v>2.4700000000000001E-5</v>
          </cell>
          <cell r="E374">
            <v>17302</v>
          </cell>
          <cell r="F374">
            <v>52422</v>
          </cell>
          <cell r="G374">
            <v>45832</v>
          </cell>
          <cell r="H374"/>
          <cell r="I374">
            <v>2640</v>
          </cell>
          <cell r="J374">
            <v>11128</v>
          </cell>
          <cell r="K374">
            <v>6545</v>
          </cell>
          <cell r="L374">
            <v>9710</v>
          </cell>
          <cell r="M374"/>
          <cell r="N374">
            <v>1297</v>
          </cell>
          <cell r="O374">
            <v>0</v>
          </cell>
          <cell r="P374">
            <v>0</v>
          </cell>
          <cell r="Q374">
            <v>28</v>
          </cell>
          <cell r="R374"/>
          <cell r="S374">
            <v>15445</v>
          </cell>
          <cell r="T374">
            <v>3144</v>
          </cell>
          <cell r="U374">
            <v>18589</v>
          </cell>
        </row>
        <row r="375">
          <cell r="A375">
            <v>93906</v>
          </cell>
          <cell r="B375" t="str">
            <v>GRANVILLE COUNTY HOSPITAL</v>
          </cell>
          <cell r="C375">
            <v>3.3882000000000001E-3</v>
          </cell>
          <cell r="D375">
            <v>3.4513E-3</v>
          </cell>
          <cell r="E375">
            <v>1486051</v>
          </cell>
          <cell r="F375">
            <v>7324815</v>
          </cell>
          <cell r="G375">
            <v>5176231</v>
          </cell>
          <cell r="H375"/>
          <cell r="I375">
            <v>298199</v>
          </cell>
          <cell r="J375">
            <v>1256796</v>
          </cell>
          <cell r="K375">
            <v>739237</v>
          </cell>
          <cell r="L375">
            <v>14983</v>
          </cell>
          <cell r="M375"/>
          <cell r="N375">
            <v>146523</v>
          </cell>
          <cell r="O375">
            <v>0</v>
          </cell>
          <cell r="P375">
            <v>0</v>
          </cell>
          <cell r="Q375">
            <v>222323</v>
          </cell>
          <cell r="R375"/>
          <cell r="S375">
            <v>1744394</v>
          </cell>
          <cell r="T375">
            <v>-70525</v>
          </cell>
          <cell r="U375">
            <v>1673869</v>
          </cell>
        </row>
        <row r="376">
          <cell r="A376">
            <v>93908</v>
          </cell>
          <cell r="B376" t="str">
            <v>GRANVILLE-VANCE PUBLIC HEALTH</v>
          </cell>
          <cell r="C376">
            <v>5.1219999999999998E-4</v>
          </cell>
          <cell r="D376">
            <v>5.0239999999999996E-4</v>
          </cell>
          <cell r="E376">
            <v>237114</v>
          </cell>
          <cell r="F376">
            <v>0</v>
          </cell>
          <cell r="G376">
            <v>782500</v>
          </cell>
          <cell r="H376"/>
          <cell r="I376">
            <v>45079</v>
          </cell>
          <cell r="J376">
            <v>189992</v>
          </cell>
          <cell r="K376">
            <v>111752</v>
          </cell>
          <cell r="L376">
            <v>12340</v>
          </cell>
          <cell r="M376"/>
          <cell r="N376">
            <v>22150</v>
          </cell>
          <cell r="O376">
            <v>0</v>
          </cell>
          <cell r="P376">
            <v>0</v>
          </cell>
          <cell r="Q376">
            <v>16479</v>
          </cell>
          <cell r="R376"/>
          <cell r="S376">
            <v>263703</v>
          </cell>
          <cell r="T376">
            <v>-2302</v>
          </cell>
          <cell r="U376">
            <v>261401</v>
          </cell>
        </row>
        <row r="377">
          <cell r="A377">
            <v>93910</v>
          </cell>
          <cell r="B377" t="str">
            <v>SOUTH GRANVILLE WATER AND SEWER AUTHORITY</v>
          </cell>
          <cell r="C377">
            <v>2.786E-4</v>
          </cell>
          <cell r="D377">
            <v>2.9129999999999998E-4</v>
          </cell>
          <cell r="E377">
            <v>117578</v>
          </cell>
          <cell r="F377">
            <v>618236</v>
          </cell>
          <cell r="G377">
            <v>425624</v>
          </cell>
          <cell r="H377"/>
          <cell r="I377">
            <v>24520</v>
          </cell>
          <cell r="J377">
            <v>103342</v>
          </cell>
          <cell r="K377">
            <v>60785</v>
          </cell>
          <cell r="L377">
            <v>0</v>
          </cell>
          <cell r="M377"/>
          <cell r="N377">
            <v>12048</v>
          </cell>
          <cell r="O377">
            <v>0</v>
          </cell>
          <cell r="P377">
            <v>0</v>
          </cell>
          <cell r="Q377">
            <v>34002</v>
          </cell>
          <cell r="R377"/>
          <cell r="S377">
            <v>143436</v>
          </cell>
          <cell r="T377">
            <v>-14513</v>
          </cell>
          <cell r="U377">
            <v>128923</v>
          </cell>
        </row>
        <row r="378">
          <cell r="A378">
            <v>93911</v>
          </cell>
          <cell r="B378" t="str">
            <v>CITY OF OXFORD</v>
          </cell>
          <cell r="C378">
            <v>6.3429999999999997E-4</v>
          </cell>
          <cell r="D378">
            <v>6.9890000000000002E-4</v>
          </cell>
          <cell r="E378">
            <v>301989</v>
          </cell>
          <cell r="F378">
            <v>1483300</v>
          </cell>
          <cell r="G378">
            <v>969035</v>
          </cell>
          <cell r="H378"/>
          <cell r="I378">
            <v>55825</v>
          </cell>
          <cell r="J378">
            <v>235283</v>
          </cell>
          <cell r="K378">
            <v>138392</v>
          </cell>
          <cell r="L378">
            <v>13175</v>
          </cell>
          <cell r="M378"/>
          <cell r="N378">
            <v>27430</v>
          </cell>
          <cell r="O378">
            <v>0</v>
          </cell>
          <cell r="P378">
            <v>0</v>
          </cell>
          <cell r="Q378">
            <v>54353</v>
          </cell>
          <cell r="R378"/>
          <cell r="S378">
            <v>326566</v>
          </cell>
          <cell r="T378">
            <v>-6922</v>
          </cell>
          <cell r="U378">
            <v>319644</v>
          </cell>
        </row>
        <row r="379">
          <cell r="A379">
            <v>93913</v>
          </cell>
          <cell r="B379" t="str">
            <v>OXFORD HOUSING AUTHORITY</v>
          </cell>
          <cell r="C379">
            <v>5.8799999999999999E-5</v>
          </cell>
          <cell r="D379">
            <v>6.2600000000000004E-5</v>
          </cell>
          <cell r="E379">
            <v>29910</v>
          </cell>
          <cell r="F379">
            <v>132858</v>
          </cell>
          <cell r="G379">
            <v>89830</v>
          </cell>
          <cell r="H379"/>
          <cell r="I379">
            <v>5175</v>
          </cell>
          <cell r="J379">
            <v>21810</v>
          </cell>
          <cell r="K379">
            <v>12829</v>
          </cell>
          <cell r="L379">
            <v>2902</v>
          </cell>
          <cell r="M379"/>
          <cell r="N379">
            <v>2543</v>
          </cell>
          <cell r="O379">
            <v>0</v>
          </cell>
          <cell r="P379">
            <v>0</v>
          </cell>
          <cell r="Q379">
            <v>1064</v>
          </cell>
          <cell r="R379"/>
          <cell r="S379">
            <v>30273</v>
          </cell>
          <cell r="T379">
            <v>476</v>
          </cell>
          <cell r="U379">
            <v>30749</v>
          </cell>
        </row>
        <row r="380">
          <cell r="A380">
            <v>93914</v>
          </cell>
          <cell r="B380" t="str">
            <v>TOWN OF STOVALL</v>
          </cell>
          <cell r="C380">
            <v>8.1000000000000004E-6</v>
          </cell>
          <cell r="D380">
            <v>9.0999999999999993E-6</v>
          </cell>
          <cell r="E380">
            <v>6536</v>
          </cell>
          <cell r="F380">
            <v>19313</v>
          </cell>
          <cell r="G380">
            <v>12375</v>
          </cell>
          <cell r="H380"/>
          <cell r="I380">
            <v>713</v>
          </cell>
          <cell r="J380">
            <v>3005</v>
          </cell>
          <cell r="K380">
            <v>1767</v>
          </cell>
          <cell r="L380">
            <v>3568</v>
          </cell>
          <cell r="M380"/>
          <cell r="N380">
            <v>350</v>
          </cell>
          <cell r="O380">
            <v>0</v>
          </cell>
          <cell r="P380">
            <v>0</v>
          </cell>
          <cell r="Q380">
            <v>0</v>
          </cell>
          <cell r="R380"/>
          <cell r="S380">
            <v>4170</v>
          </cell>
          <cell r="T380">
            <v>1520</v>
          </cell>
          <cell r="U380">
            <v>5690</v>
          </cell>
        </row>
        <row r="381">
          <cell r="A381">
            <v>93921</v>
          </cell>
          <cell r="B381" t="str">
            <v>CITY OF CREEDMOOR</v>
          </cell>
          <cell r="C381">
            <v>2.9020000000000001E-4</v>
          </cell>
          <cell r="D381">
            <v>2.7139999999999998E-4</v>
          </cell>
          <cell r="E381">
            <v>126884</v>
          </cell>
          <cell r="F381">
            <v>576002</v>
          </cell>
          <cell r="G381">
            <v>443345</v>
          </cell>
          <cell r="H381"/>
          <cell r="I381">
            <v>25541</v>
          </cell>
          <cell r="J381">
            <v>107645</v>
          </cell>
          <cell r="K381">
            <v>63316</v>
          </cell>
          <cell r="L381">
            <v>16222</v>
          </cell>
          <cell r="M381"/>
          <cell r="N381">
            <v>12550</v>
          </cell>
          <cell r="O381">
            <v>0</v>
          </cell>
          <cell r="P381">
            <v>0</v>
          </cell>
          <cell r="Q381">
            <v>5036</v>
          </cell>
          <cell r="R381"/>
          <cell r="S381">
            <v>149408</v>
          </cell>
          <cell r="T381">
            <v>6326</v>
          </cell>
          <cell r="U381">
            <v>155734</v>
          </cell>
        </row>
        <row r="382">
          <cell r="A382">
            <v>93931</v>
          </cell>
          <cell r="B382" t="str">
            <v>TOWN OF BUTNER</v>
          </cell>
          <cell r="C382">
            <v>5.0029999999999996E-4</v>
          </cell>
          <cell r="D382">
            <v>5.2260000000000002E-4</v>
          </cell>
          <cell r="E382">
            <v>212623</v>
          </cell>
          <cell r="F382">
            <v>1109132</v>
          </cell>
          <cell r="G382">
            <v>764320</v>
          </cell>
          <cell r="H382"/>
          <cell r="I382">
            <v>44032</v>
          </cell>
          <cell r="J382">
            <v>185578</v>
          </cell>
          <cell r="K382">
            <v>109155</v>
          </cell>
          <cell r="L382">
            <v>107572</v>
          </cell>
          <cell r="M382"/>
          <cell r="N382">
            <v>21635</v>
          </cell>
          <cell r="O382">
            <v>0</v>
          </cell>
          <cell r="P382">
            <v>0</v>
          </cell>
          <cell r="Q382">
            <v>39017</v>
          </cell>
          <cell r="R382"/>
          <cell r="S382">
            <v>257576</v>
          </cell>
          <cell r="T382">
            <v>79129</v>
          </cell>
          <cell r="U382">
            <v>336705</v>
          </cell>
        </row>
        <row r="383">
          <cell r="A383">
            <v>94001</v>
          </cell>
          <cell r="B383" t="str">
            <v>GREENE COUNTY</v>
          </cell>
          <cell r="C383">
            <v>9.209E-4</v>
          </cell>
          <cell r="D383">
            <v>9.0240000000000003E-4</v>
          </cell>
          <cell r="E383">
            <v>430503</v>
          </cell>
          <cell r="F383">
            <v>1915195</v>
          </cell>
          <cell r="G383">
            <v>1406880</v>
          </cell>
          <cell r="H383"/>
          <cell r="I383">
            <v>81049</v>
          </cell>
          <cell r="J383">
            <v>341592</v>
          </cell>
          <cell r="K383">
            <v>200922</v>
          </cell>
          <cell r="L383">
            <v>45532</v>
          </cell>
          <cell r="M383"/>
          <cell r="N383">
            <v>39824</v>
          </cell>
          <cell r="O383">
            <v>0</v>
          </cell>
          <cell r="P383">
            <v>0</v>
          </cell>
          <cell r="Q383">
            <v>27168</v>
          </cell>
          <cell r="R383"/>
          <cell r="S383">
            <v>474120</v>
          </cell>
          <cell r="T383">
            <v>-12411</v>
          </cell>
          <cell r="U383">
            <v>461709</v>
          </cell>
        </row>
        <row r="384">
          <cell r="A384">
            <v>94002</v>
          </cell>
          <cell r="B384" t="str">
            <v>MAURY SANITARY LAND DISTRICT</v>
          </cell>
          <cell r="C384">
            <v>7.0999999999999998E-6</v>
          </cell>
          <cell r="D384">
            <v>7.6000000000000001E-6</v>
          </cell>
          <cell r="E384">
            <v>4693</v>
          </cell>
          <cell r="F384">
            <v>16130</v>
          </cell>
          <cell r="G384">
            <v>10847</v>
          </cell>
          <cell r="H384"/>
          <cell r="I384">
            <v>625</v>
          </cell>
          <cell r="J384">
            <v>2633</v>
          </cell>
          <cell r="K384">
            <v>1549</v>
          </cell>
          <cell r="L384">
            <v>1428</v>
          </cell>
          <cell r="M384"/>
          <cell r="N384">
            <v>307</v>
          </cell>
          <cell r="O384">
            <v>0</v>
          </cell>
          <cell r="P384">
            <v>0</v>
          </cell>
          <cell r="Q384">
            <v>214</v>
          </cell>
          <cell r="R384"/>
          <cell r="S384">
            <v>3655</v>
          </cell>
          <cell r="T384">
            <v>237</v>
          </cell>
          <cell r="U384">
            <v>3892</v>
          </cell>
        </row>
        <row r="385">
          <cell r="A385">
            <v>94004</v>
          </cell>
          <cell r="B385" t="str">
            <v>GREENE COUNTY ABC BOARD</v>
          </cell>
          <cell r="C385">
            <v>7.3000000000000004E-6</v>
          </cell>
          <cell r="D385">
            <v>2.7999999999999999E-6</v>
          </cell>
          <cell r="E385">
            <v>4145</v>
          </cell>
          <cell r="F385">
            <v>5943</v>
          </cell>
          <cell r="G385">
            <v>11152</v>
          </cell>
          <cell r="H385"/>
          <cell r="I385">
            <v>642</v>
          </cell>
          <cell r="J385">
            <v>2708</v>
          </cell>
          <cell r="K385">
            <v>1593</v>
          </cell>
          <cell r="L385">
            <v>4768</v>
          </cell>
          <cell r="M385"/>
          <cell r="N385">
            <v>316</v>
          </cell>
          <cell r="O385">
            <v>0</v>
          </cell>
          <cell r="P385">
            <v>0</v>
          </cell>
          <cell r="Q385">
            <v>626</v>
          </cell>
          <cell r="R385"/>
          <cell r="S385">
            <v>3758</v>
          </cell>
          <cell r="T385">
            <v>706</v>
          </cell>
          <cell r="U385">
            <v>4464</v>
          </cell>
        </row>
        <row r="386">
          <cell r="A386">
            <v>94005</v>
          </cell>
          <cell r="B386" t="str">
            <v>NEUSE REGIONAL LIBRARY-GREENE COUNTY</v>
          </cell>
          <cell r="C386">
            <v>0</v>
          </cell>
          <cell r="D386">
            <v>5.4999999999999999E-6</v>
          </cell>
          <cell r="E386">
            <v>560</v>
          </cell>
          <cell r="F386">
            <v>11673</v>
          </cell>
          <cell r="G386">
            <v>0</v>
          </cell>
          <cell r="H386"/>
          <cell r="I386">
            <v>0</v>
          </cell>
          <cell r="J386">
            <v>0</v>
          </cell>
          <cell r="K386">
            <v>0</v>
          </cell>
          <cell r="L386">
            <v>0</v>
          </cell>
          <cell r="M386"/>
          <cell r="N386">
            <v>0</v>
          </cell>
          <cell r="O386">
            <v>0</v>
          </cell>
          <cell r="P386">
            <v>0</v>
          </cell>
          <cell r="Q386">
            <v>5864</v>
          </cell>
          <cell r="R386"/>
          <cell r="S386">
            <v>0</v>
          </cell>
          <cell r="T386">
            <v>-1984</v>
          </cell>
          <cell r="U386">
            <v>-1984</v>
          </cell>
        </row>
        <row r="387">
          <cell r="A387">
            <v>94011</v>
          </cell>
          <cell r="B387" t="str">
            <v>TOWN OF HOOKERTON</v>
          </cell>
          <cell r="C387">
            <v>2.3600000000000001E-5</v>
          </cell>
          <cell r="D387">
            <v>2.5599999999999999E-5</v>
          </cell>
          <cell r="E387">
            <v>9233</v>
          </cell>
          <cell r="F387">
            <v>54332</v>
          </cell>
          <cell r="G387">
            <v>36054</v>
          </cell>
          <cell r="H387"/>
          <cell r="I387">
            <v>2077</v>
          </cell>
          <cell r="J387">
            <v>8754</v>
          </cell>
          <cell r="K387">
            <v>5149</v>
          </cell>
          <cell r="L387">
            <v>3216</v>
          </cell>
          <cell r="M387"/>
          <cell r="N387">
            <v>1021</v>
          </cell>
          <cell r="O387">
            <v>0</v>
          </cell>
          <cell r="P387">
            <v>0</v>
          </cell>
          <cell r="Q387">
            <v>3156</v>
          </cell>
          <cell r="R387"/>
          <cell r="S387">
            <v>12150</v>
          </cell>
          <cell r="T387">
            <v>-16</v>
          </cell>
          <cell r="U387">
            <v>12134</v>
          </cell>
        </row>
        <row r="388">
          <cell r="A388">
            <v>94021</v>
          </cell>
          <cell r="B388" t="str">
            <v>TOWN OF SNOW HILL</v>
          </cell>
          <cell r="C388">
            <v>9.3399999999999993E-5</v>
          </cell>
          <cell r="D388">
            <v>8.1699999999999994E-5</v>
          </cell>
          <cell r="E388">
            <v>47346</v>
          </cell>
          <cell r="F388">
            <v>173395</v>
          </cell>
          <cell r="G388">
            <v>142689</v>
          </cell>
          <cell r="H388"/>
          <cell r="I388">
            <v>8220</v>
          </cell>
          <cell r="J388">
            <v>34645</v>
          </cell>
          <cell r="K388">
            <v>20378</v>
          </cell>
          <cell r="L388">
            <v>20025</v>
          </cell>
          <cell r="M388"/>
          <cell r="N388">
            <v>4039</v>
          </cell>
          <cell r="O388">
            <v>0</v>
          </cell>
          <cell r="P388">
            <v>0</v>
          </cell>
          <cell r="Q388">
            <v>0</v>
          </cell>
          <cell r="R388"/>
          <cell r="S388">
            <v>48086</v>
          </cell>
          <cell r="T388">
            <v>8567</v>
          </cell>
          <cell r="U388">
            <v>56653</v>
          </cell>
        </row>
        <row r="389">
          <cell r="A389">
            <v>94031</v>
          </cell>
          <cell r="B389" t="str">
            <v>TOWN OF WALSTONBURG</v>
          </cell>
          <cell r="C389">
            <v>5.4E-6</v>
          </cell>
          <cell r="D389">
            <v>8.1000000000000004E-6</v>
          </cell>
          <cell r="E389">
            <v>6800</v>
          </cell>
          <cell r="F389">
            <v>17191</v>
          </cell>
          <cell r="G389">
            <v>8250</v>
          </cell>
          <cell r="H389"/>
          <cell r="I389">
            <v>475</v>
          </cell>
          <cell r="J389">
            <v>2003</v>
          </cell>
          <cell r="K389">
            <v>1178</v>
          </cell>
          <cell r="L389">
            <v>7232</v>
          </cell>
          <cell r="M389"/>
          <cell r="N389">
            <v>234</v>
          </cell>
          <cell r="O389">
            <v>0</v>
          </cell>
          <cell r="P389">
            <v>0</v>
          </cell>
          <cell r="Q389">
            <v>41</v>
          </cell>
          <cell r="R389"/>
          <cell r="S389">
            <v>2780</v>
          </cell>
          <cell r="T389">
            <v>2829</v>
          </cell>
          <cell r="U389">
            <v>5609</v>
          </cell>
        </row>
        <row r="390">
          <cell r="A390">
            <v>94101</v>
          </cell>
          <cell r="B390" t="str">
            <v>GUILFORD COUNTY</v>
          </cell>
          <cell r="C390">
            <v>1.8321799999999999E-2</v>
          </cell>
          <cell r="D390">
            <v>1.85028E-2</v>
          </cell>
          <cell r="E390">
            <v>8515875</v>
          </cell>
          <cell r="F390">
            <v>39269140</v>
          </cell>
          <cell r="G390">
            <v>27990635</v>
          </cell>
          <cell r="H390"/>
          <cell r="I390">
            <v>1612520</v>
          </cell>
          <cell r="J390">
            <v>6796161</v>
          </cell>
          <cell r="K390">
            <v>3997450</v>
          </cell>
          <cell r="L390">
            <v>271577</v>
          </cell>
          <cell r="M390"/>
          <cell r="N390">
            <v>792326</v>
          </cell>
          <cell r="O390">
            <v>0</v>
          </cell>
          <cell r="P390">
            <v>0</v>
          </cell>
          <cell r="Q390">
            <v>721969</v>
          </cell>
          <cell r="R390"/>
          <cell r="S390">
            <v>9432869</v>
          </cell>
          <cell r="T390">
            <v>-270678</v>
          </cell>
          <cell r="U390">
            <v>9162191</v>
          </cell>
        </row>
        <row r="391">
          <cell r="A391">
            <v>94102</v>
          </cell>
          <cell r="B391" t="str">
            <v>GUIL-RAND FIRE DEPARTMENT</v>
          </cell>
          <cell r="C391">
            <v>2.965E-4</v>
          </cell>
          <cell r="D391">
            <v>2.7569999999999998E-4</v>
          </cell>
          <cell r="E391">
            <v>104557</v>
          </cell>
          <cell r="F391">
            <v>585128</v>
          </cell>
          <cell r="G391">
            <v>452970</v>
          </cell>
          <cell r="H391"/>
          <cell r="I391">
            <v>26095</v>
          </cell>
          <cell r="J391">
            <v>109981</v>
          </cell>
          <cell r="K391">
            <v>64690</v>
          </cell>
          <cell r="L391">
            <v>2570</v>
          </cell>
          <cell r="M391"/>
          <cell r="N391">
            <v>12822</v>
          </cell>
          <cell r="O391">
            <v>0</v>
          </cell>
          <cell r="P391">
            <v>0</v>
          </cell>
          <cell r="Q391">
            <v>36856</v>
          </cell>
          <cell r="R391"/>
          <cell r="S391">
            <v>152651</v>
          </cell>
          <cell r="T391">
            <v>-11311</v>
          </cell>
          <cell r="U391">
            <v>141340</v>
          </cell>
        </row>
        <row r="392">
          <cell r="A392">
            <v>94108</v>
          </cell>
          <cell r="B392" t="str">
            <v>PINECROFT-SEDGEFIELD FIRE DIST INC</v>
          </cell>
          <cell r="C392">
            <v>3.1389999999999999E-4</v>
          </cell>
          <cell r="D392">
            <v>3.1809999999999998E-4</v>
          </cell>
          <cell r="E392">
            <v>112936</v>
          </cell>
          <cell r="F392">
            <v>675115</v>
          </cell>
          <cell r="G392">
            <v>479552</v>
          </cell>
          <cell r="H392"/>
          <cell r="I392">
            <v>27627</v>
          </cell>
          <cell r="J392">
            <v>116436</v>
          </cell>
          <cell r="K392">
            <v>68487</v>
          </cell>
          <cell r="L392">
            <v>0</v>
          </cell>
          <cell r="M392"/>
          <cell r="N392">
            <v>13575</v>
          </cell>
          <cell r="O392">
            <v>0</v>
          </cell>
          <cell r="P392">
            <v>0</v>
          </cell>
          <cell r="Q392">
            <v>108607</v>
          </cell>
          <cell r="R392"/>
          <cell r="S392">
            <v>161610</v>
          </cell>
          <cell r="T392">
            <v>-47459</v>
          </cell>
          <cell r="U392">
            <v>114151</v>
          </cell>
        </row>
        <row r="393">
          <cell r="A393">
            <v>94109</v>
          </cell>
          <cell r="B393" t="str">
            <v>ALAMANCE COMM FIRE DIST</v>
          </cell>
          <cell r="C393">
            <v>9.09E-5</v>
          </cell>
          <cell r="D393">
            <v>1.0399999999999999E-4</v>
          </cell>
          <cell r="E393">
            <v>31710</v>
          </cell>
          <cell r="F393">
            <v>220723</v>
          </cell>
          <cell r="G393">
            <v>138870</v>
          </cell>
          <cell r="H393"/>
          <cell r="I393">
            <v>8000</v>
          </cell>
          <cell r="J393">
            <v>33718</v>
          </cell>
          <cell r="K393">
            <v>19833</v>
          </cell>
          <cell r="L393">
            <v>796</v>
          </cell>
          <cell r="M393"/>
          <cell r="N393">
            <v>3931</v>
          </cell>
          <cell r="O393">
            <v>0</v>
          </cell>
          <cell r="P393">
            <v>0</v>
          </cell>
          <cell r="Q393">
            <v>41294</v>
          </cell>
          <cell r="R393"/>
          <cell r="S393">
            <v>46799</v>
          </cell>
          <cell r="T393">
            <v>-12890</v>
          </cell>
          <cell r="U393">
            <v>33909</v>
          </cell>
        </row>
        <row r="394">
          <cell r="A394">
            <v>94111</v>
          </cell>
          <cell r="B394" t="str">
            <v>CITY OF GREENSBORO</v>
          </cell>
          <cell r="C394">
            <v>2.5682300000000002E-2</v>
          </cell>
          <cell r="D394">
            <v>2.5623300000000002E-2</v>
          </cell>
          <cell r="E394">
            <v>11270051</v>
          </cell>
          <cell r="F394">
            <v>54381226</v>
          </cell>
          <cell r="G394">
            <v>39235440</v>
          </cell>
          <cell r="H394"/>
          <cell r="I394">
            <v>2260325</v>
          </cell>
          <cell r="J394">
            <v>9526412</v>
          </cell>
          <cell r="K394">
            <v>5603364</v>
          </cell>
          <cell r="L394">
            <v>7528</v>
          </cell>
          <cell r="M394"/>
          <cell r="N394">
            <v>1110631</v>
          </cell>
          <cell r="O394">
            <v>0</v>
          </cell>
          <cell r="P394">
            <v>0</v>
          </cell>
          <cell r="Q394">
            <v>1491627</v>
          </cell>
          <cell r="R394"/>
          <cell r="S394">
            <v>13222378</v>
          </cell>
          <cell r="T394">
            <v>-524586</v>
          </cell>
          <cell r="U394">
            <v>12697792</v>
          </cell>
        </row>
        <row r="395">
          <cell r="A395">
            <v>94112</v>
          </cell>
          <cell r="B395" t="str">
            <v>PIEDMONT TRIAD REG WATER AUTH</v>
          </cell>
          <cell r="C395">
            <v>1.6699999999999999E-4</v>
          </cell>
          <cell r="D395">
            <v>1.6530000000000001E-4</v>
          </cell>
          <cell r="E395">
            <v>68640</v>
          </cell>
          <cell r="F395">
            <v>350822</v>
          </cell>
          <cell r="G395">
            <v>255130</v>
          </cell>
          <cell r="H395"/>
          <cell r="I395">
            <v>14698</v>
          </cell>
          <cell r="J395">
            <v>61946</v>
          </cell>
          <cell r="K395">
            <v>36436</v>
          </cell>
          <cell r="L395">
            <v>0</v>
          </cell>
          <cell r="M395"/>
          <cell r="N395">
            <v>7222</v>
          </cell>
          <cell r="O395">
            <v>0</v>
          </cell>
          <cell r="P395">
            <v>0</v>
          </cell>
          <cell r="Q395">
            <v>18973</v>
          </cell>
          <cell r="R395"/>
          <cell r="S395">
            <v>85979</v>
          </cell>
          <cell r="T395">
            <v>-8534</v>
          </cell>
          <cell r="U395">
            <v>77445</v>
          </cell>
        </row>
        <row r="396">
          <cell r="A396">
            <v>94117</v>
          </cell>
          <cell r="B396" t="str">
            <v>GREENSBORO ABC BD</v>
          </cell>
          <cell r="C396">
            <v>3.9809999999999997E-4</v>
          </cell>
          <cell r="D396">
            <v>4.0709999999999997E-4</v>
          </cell>
          <cell r="E396">
            <v>179744</v>
          </cell>
          <cell r="F396">
            <v>864003</v>
          </cell>
          <cell r="G396">
            <v>608187</v>
          </cell>
          <cell r="H396"/>
          <cell r="I396">
            <v>35037</v>
          </cell>
          <cell r="J396">
            <v>147669</v>
          </cell>
          <cell r="K396">
            <v>86857</v>
          </cell>
          <cell r="L396">
            <v>8133</v>
          </cell>
          <cell r="M396"/>
          <cell r="N396">
            <v>17216</v>
          </cell>
          <cell r="O396">
            <v>0</v>
          </cell>
          <cell r="P396">
            <v>0</v>
          </cell>
          <cell r="Q396">
            <v>15587</v>
          </cell>
          <cell r="R396"/>
          <cell r="S396">
            <v>204959</v>
          </cell>
          <cell r="T396">
            <v>-79</v>
          </cell>
          <cell r="U396">
            <v>204880</v>
          </cell>
        </row>
        <row r="397">
          <cell r="A397">
            <v>94118</v>
          </cell>
          <cell r="B397" t="str">
            <v>GUILFORD FIRE DISTRICT # 13 INC</v>
          </cell>
          <cell r="C397">
            <v>1.494E-4</v>
          </cell>
          <cell r="D397">
            <v>1.63E-4</v>
          </cell>
          <cell r="E397">
            <v>57233</v>
          </cell>
          <cell r="F397">
            <v>345941</v>
          </cell>
          <cell r="G397">
            <v>228242</v>
          </cell>
          <cell r="H397"/>
          <cell r="I397">
            <v>13149</v>
          </cell>
          <cell r="J397">
            <v>55417</v>
          </cell>
          <cell r="K397">
            <v>32596</v>
          </cell>
          <cell r="L397">
            <v>0</v>
          </cell>
          <cell r="M397"/>
          <cell r="N397">
            <v>6461</v>
          </cell>
          <cell r="O397">
            <v>0</v>
          </cell>
          <cell r="P397">
            <v>0</v>
          </cell>
          <cell r="Q397">
            <v>56599</v>
          </cell>
          <cell r="R397"/>
          <cell r="S397">
            <v>76918</v>
          </cell>
          <cell r="T397">
            <v>-24768</v>
          </cell>
          <cell r="U397">
            <v>52150</v>
          </cell>
        </row>
        <row r="398">
          <cell r="A398">
            <v>94121</v>
          </cell>
          <cell r="B398" t="str">
            <v>CITY OF HIGH POINT</v>
          </cell>
          <cell r="C398">
            <v>1.1246000000000001E-2</v>
          </cell>
          <cell r="D398">
            <v>1.12823E-2</v>
          </cell>
          <cell r="E398">
            <v>5240634</v>
          </cell>
          <cell r="F398">
            <v>23944820</v>
          </cell>
          <cell r="G398">
            <v>17180773</v>
          </cell>
          <cell r="H398"/>
          <cell r="I398">
            <v>989772</v>
          </cell>
          <cell r="J398">
            <v>4171512</v>
          </cell>
          <cell r="K398">
            <v>2453652</v>
          </cell>
          <cell r="L398">
            <v>65556</v>
          </cell>
          <cell r="M398"/>
          <cell r="N398">
            <v>486333</v>
          </cell>
          <cell r="O398">
            <v>0</v>
          </cell>
          <cell r="P398">
            <v>0</v>
          </cell>
          <cell r="Q398">
            <v>276825</v>
          </cell>
          <cell r="R398"/>
          <cell r="S398">
            <v>5789936</v>
          </cell>
          <cell r="T398">
            <v>-128084</v>
          </cell>
          <cell r="U398">
            <v>5661852</v>
          </cell>
        </row>
        <row r="399">
          <cell r="A399">
            <v>94127</v>
          </cell>
          <cell r="B399" t="str">
            <v>HIGH POINT ABC BD</v>
          </cell>
          <cell r="C399">
            <v>1.7310000000000001E-4</v>
          </cell>
          <cell r="D399">
            <v>1.528E-4</v>
          </cell>
          <cell r="E399">
            <v>70093</v>
          </cell>
          <cell r="F399">
            <v>324293</v>
          </cell>
          <cell r="G399">
            <v>264449</v>
          </cell>
          <cell r="H399"/>
          <cell r="I399">
            <v>15235</v>
          </cell>
          <cell r="J399">
            <v>64208</v>
          </cell>
          <cell r="K399">
            <v>37767</v>
          </cell>
          <cell r="L399">
            <v>8697</v>
          </cell>
          <cell r="M399"/>
          <cell r="N399">
            <v>7486</v>
          </cell>
          <cell r="O399">
            <v>0</v>
          </cell>
          <cell r="P399">
            <v>0</v>
          </cell>
          <cell r="Q399">
            <v>398</v>
          </cell>
          <cell r="R399"/>
          <cell r="S399">
            <v>89119</v>
          </cell>
          <cell r="T399">
            <v>2605</v>
          </cell>
          <cell r="U399">
            <v>91724</v>
          </cell>
        </row>
        <row r="400">
          <cell r="A400">
            <v>94131</v>
          </cell>
          <cell r="B400" t="str">
            <v>TOWN OF JAMESTOWN</v>
          </cell>
          <cell r="C400">
            <v>1.7479999999999999E-4</v>
          </cell>
          <cell r="D400">
            <v>2.0049999999999999E-4</v>
          </cell>
          <cell r="E400">
            <v>91156</v>
          </cell>
          <cell r="F400">
            <v>425528</v>
          </cell>
          <cell r="G400">
            <v>267046</v>
          </cell>
          <cell r="H400"/>
          <cell r="I400">
            <v>15384</v>
          </cell>
          <cell r="J400">
            <v>64840</v>
          </cell>
          <cell r="K400">
            <v>38138</v>
          </cell>
          <cell r="L400">
            <v>3004</v>
          </cell>
          <cell r="M400"/>
          <cell r="N400">
            <v>7559</v>
          </cell>
          <cell r="O400">
            <v>0</v>
          </cell>
          <cell r="P400">
            <v>0</v>
          </cell>
          <cell r="Q400">
            <v>9062</v>
          </cell>
          <cell r="R400"/>
          <cell r="S400">
            <v>89995</v>
          </cell>
          <cell r="T400">
            <v>-1148</v>
          </cell>
          <cell r="U400">
            <v>88847</v>
          </cell>
        </row>
        <row r="401">
          <cell r="A401">
            <v>94151</v>
          </cell>
          <cell r="B401" t="str">
            <v>TOWN OF GIBSONVILLE</v>
          </cell>
          <cell r="C401">
            <v>4.1590000000000003E-4</v>
          </cell>
          <cell r="D401">
            <v>4.2870000000000001E-4</v>
          </cell>
          <cell r="E401">
            <v>171244</v>
          </cell>
          <cell r="F401">
            <v>909845</v>
          </cell>
          <cell r="G401">
            <v>635380</v>
          </cell>
          <cell r="H401"/>
          <cell r="I401">
            <v>36604</v>
          </cell>
          <cell r="J401">
            <v>154271</v>
          </cell>
          <cell r="K401">
            <v>90741</v>
          </cell>
          <cell r="L401">
            <v>0</v>
          </cell>
          <cell r="M401"/>
          <cell r="N401">
            <v>17986</v>
          </cell>
          <cell r="O401">
            <v>0</v>
          </cell>
          <cell r="P401">
            <v>0</v>
          </cell>
          <cell r="Q401">
            <v>36672</v>
          </cell>
          <cell r="R401"/>
          <cell r="S401">
            <v>214124</v>
          </cell>
          <cell r="T401">
            <v>-12878</v>
          </cell>
          <cell r="U401">
            <v>201246</v>
          </cell>
        </row>
        <row r="402">
          <cell r="A402">
            <v>94157</v>
          </cell>
          <cell r="B402" t="str">
            <v>GIBSONVILLE ABC BOARD</v>
          </cell>
          <cell r="C402">
            <v>8.8999999999999995E-6</v>
          </cell>
          <cell r="D402">
            <v>9.3999999999999998E-6</v>
          </cell>
          <cell r="E402">
            <v>5186</v>
          </cell>
          <cell r="F402">
            <v>19950</v>
          </cell>
          <cell r="G402">
            <v>13597</v>
          </cell>
          <cell r="H402"/>
          <cell r="I402">
            <v>783</v>
          </cell>
          <cell r="J402">
            <v>3302</v>
          </cell>
          <cell r="K402">
            <v>1942</v>
          </cell>
          <cell r="L402">
            <v>3748</v>
          </cell>
          <cell r="M402"/>
          <cell r="N402">
            <v>385</v>
          </cell>
          <cell r="O402">
            <v>0</v>
          </cell>
          <cell r="P402">
            <v>0</v>
          </cell>
          <cell r="Q402">
            <v>0</v>
          </cell>
          <cell r="R402"/>
          <cell r="S402">
            <v>4582</v>
          </cell>
          <cell r="T402">
            <v>2084</v>
          </cell>
          <cell r="U402">
            <v>6666</v>
          </cell>
        </row>
        <row r="403">
          <cell r="A403">
            <v>94161</v>
          </cell>
          <cell r="B403" t="str">
            <v>TOWN OF OAK RIDGE</v>
          </cell>
          <cell r="C403">
            <v>5.1900000000000001E-5</v>
          </cell>
          <cell r="D403">
            <v>5.7899999999999998E-5</v>
          </cell>
          <cell r="E403">
            <v>24925</v>
          </cell>
          <cell r="F403">
            <v>122883</v>
          </cell>
          <cell r="G403">
            <v>79289</v>
          </cell>
          <cell r="H403"/>
          <cell r="I403">
            <v>4568</v>
          </cell>
          <cell r="J403">
            <v>19252</v>
          </cell>
          <cell r="K403">
            <v>11324</v>
          </cell>
          <cell r="L403">
            <v>5455</v>
          </cell>
          <cell r="M403"/>
          <cell r="N403">
            <v>2244</v>
          </cell>
          <cell r="O403">
            <v>0</v>
          </cell>
          <cell r="P403">
            <v>0</v>
          </cell>
          <cell r="Q403">
            <v>3144</v>
          </cell>
          <cell r="R403"/>
          <cell r="S403">
            <v>26720</v>
          </cell>
          <cell r="T403">
            <v>2302</v>
          </cell>
          <cell r="U403">
            <v>29022</v>
          </cell>
        </row>
        <row r="404">
          <cell r="A404">
            <v>94168</v>
          </cell>
          <cell r="B404" t="str">
            <v>COLFAX VOLUNTEER FIRE DEPARTMENT</v>
          </cell>
          <cell r="C404">
            <v>2.5899999999999999E-5</v>
          </cell>
          <cell r="D404">
            <v>3.4E-5</v>
          </cell>
          <cell r="E404">
            <v>14686</v>
          </cell>
          <cell r="F404">
            <v>72159</v>
          </cell>
          <cell r="G404">
            <v>39568</v>
          </cell>
          <cell r="H404"/>
          <cell r="I404">
            <v>2279</v>
          </cell>
          <cell r="J404">
            <v>9607</v>
          </cell>
          <cell r="K404">
            <v>5651</v>
          </cell>
          <cell r="L404">
            <v>0</v>
          </cell>
          <cell r="M404"/>
          <cell r="N404">
            <v>1120</v>
          </cell>
          <cell r="O404">
            <v>0</v>
          </cell>
          <cell r="P404">
            <v>0</v>
          </cell>
          <cell r="Q404">
            <v>11664</v>
          </cell>
          <cell r="R404"/>
          <cell r="S404">
            <v>13334</v>
          </cell>
          <cell r="T404">
            <v>-5442</v>
          </cell>
          <cell r="U404">
            <v>7892</v>
          </cell>
        </row>
        <row r="405">
          <cell r="A405">
            <v>94171</v>
          </cell>
          <cell r="B405" t="str">
            <v>TOWN OF SUMMERFIELD</v>
          </cell>
          <cell r="C405">
            <v>6.9800000000000003E-5</v>
          </cell>
          <cell r="D405">
            <v>5.5000000000000002E-5</v>
          </cell>
          <cell r="E405">
            <v>26828</v>
          </cell>
          <cell r="F405">
            <v>116728</v>
          </cell>
          <cell r="G405">
            <v>106635</v>
          </cell>
          <cell r="H405"/>
          <cell r="I405">
            <v>6143</v>
          </cell>
          <cell r="J405">
            <v>25891</v>
          </cell>
          <cell r="K405">
            <v>15229</v>
          </cell>
          <cell r="L405">
            <v>10026</v>
          </cell>
          <cell r="M405"/>
          <cell r="N405">
            <v>3019</v>
          </cell>
          <cell r="O405">
            <v>0</v>
          </cell>
          <cell r="P405">
            <v>0</v>
          </cell>
          <cell r="Q405">
            <v>862</v>
          </cell>
          <cell r="R405"/>
          <cell r="S405">
            <v>35936</v>
          </cell>
          <cell r="T405">
            <v>2780</v>
          </cell>
          <cell r="U405">
            <v>38716</v>
          </cell>
        </row>
        <row r="406">
          <cell r="A406">
            <v>94172</v>
          </cell>
          <cell r="B406" t="str">
            <v>SUMMERFIELD FIRE DISTRICT</v>
          </cell>
          <cell r="C406">
            <v>2.6289999999999999E-4</v>
          </cell>
          <cell r="D406">
            <v>2.6699999999999998E-4</v>
          </cell>
          <cell r="E406">
            <v>91553</v>
          </cell>
          <cell r="F406">
            <v>566663</v>
          </cell>
          <cell r="G406">
            <v>401638</v>
          </cell>
          <cell r="H406"/>
          <cell r="I406">
            <v>23138</v>
          </cell>
          <cell r="J406">
            <v>97518</v>
          </cell>
          <cell r="K406">
            <v>57360</v>
          </cell>
          <cell r="L406">
            <v>0</v>
          </cell>
          <cell r="M406"/>
          <cell r="N406">
            <v>11369</v>
          </cell>
          <cell r="O406">
            <v>0</v>
          </cell>
          <cell r="P406">
            <v>0</v>
          </cell>
          <cell r="Q406">
            <v>90059</v>
          </cell>
          <cell r="R406"/>
          <cell r="S406">
            <v>135352</v>
          </cell>
          <cell r="T406">
            <v>-41178</v>
          </cell>
          <cell r="U406">
            <v>94174</v>
          </cell>
        </row>
        <row r="407">
          <cell r="A407">
            <v>94201</v>
          </cell>
          <cell r="B407" t="str">
            <v>HALIFAX COUNTY</v>
          </cell>
          <cell r="C407">
            <v>3.3658999999999998E-3</v>
          </cell>
          <cell r="D407">
            <v>3.4813000000000001E-3</v>
          </cell>
          <cell r="E407">
            <v>1556105</v>
          </cell>
          <cell r="F407">
            <v>7388485</v>
          </cell>
          <cell r="G407">
            <v>5142163</v>
          </cell>
          <cell r="H407"/>
          <cell r="I407">
            <v>296236</v>
          </cell>
          <cell r="J407">
            <v>1248524</v>
          </cell>
          <cell r="K407">
            <v>734372</v>
          </cell>
          <cell r="L407">
            <v>37947</v>
          </cell>
          <cell r="M407"/>
          <cell r="N407">
            <v>145558</v>
          </cell>
          <cell r="O407">
            <v>0</v>
          </cell>
          <cell r="P407">
            <v>0</v>
          </cell>
          <cell r="Q407">
            <v>70514</v>
          </cell>
          <cell r="R407"/>
          <cell r="S407">
            <v>1732913</v>
          </cell>
          <cell r="T407">
            <v>-942</v>
          </cell>
          <cell r="U407">
            <v>1731971</v>
          </cell>
        </row>
        <row r="408">
          <cell r="A408">
            <v>94204</v>
          </cell>
          <cell r="B408" t="str">
            <v>HALIFAX COUNTY ABC BOARD</v>
          </cell>
          <cell r="C408">
            <v>2.5899999999999999E-5</v>
          </cell>
          <cell r="D408">
            <v>2.4899999999999999E-5</v>
          </cell>
          <cell r="E408">
            <v>17428</v>
          </cell>
          <cell r="F408">
            <v>52846</v>
          </cell>
          <cell r="G408">
            <v>39568</v>
          </cell>
          <cell r="H408"/>
          <cell r="I408">
            <v>2279</v>
          </cell>
          <cell r="J408">
            <v>9607</v>
          </cell>
          <cell r="K408">
            <v>5651</v>
          </cell>
          <cell r="L408">
            <v>12190</v>
          </cell>
          <cell r="M408"/>
          <cell r="N408">
            <v>1120</v>
          </cell>
          <cell r="O408">
            <v>0</v>
          </cell>
          <cell r="P408">
            <v>0</v>
          </cell>
          <cell r="Q408">
            <v>0</v>
          </cell>
          <cell r="R408"/>
          <cell r="S408">
            <v>13334</v>
          </cell>
          <cell r="T408">
            <v>4996</v>
          </cell>
          <cell r="U408">
            <v>18330</v>
          </cell>
        </row>
        <row r="409">
          <cell r="A409">
            <v>94205</v>
          </cell>
          <cell r="B409" t="str">
            <v>HALIFAX COUNTY TOURISM DEVELOPMENT AUTHORITY</v>
          </cell>
          <cell r="C409">
            <v>2.0699999999999998E-5</v>
          </cell>
          <cell r="D409">
            <v>2.6100000000000001E-5</v>
          </cell>
          <cell r="E409">
            <v>11902</v>
          </cell>
          <cell r="F409">
            <v>55393</v>
          </cell>
          <cell r="G409">
            <v>31624</v>
          </cell>
          <cell r="H409"/>
          <cell r="I409">
            <v>1822</v>
          </cell>
          <cell r="J409">
            <v>7678</v>
          </cell>
          <cell r="K409">
            <v>4516</v>
          </cell>
          <cell r="L409">
            <v>1652</v>
          </cell>
          <cell r="M409"/>
          <cell r="N409">
            <v>895</v>
          </cell>
          <cell r="O409">
            <v>0</v>
          </cell>
          <cell r="P409">
            <v>0</v>
          </cell>
          <cell r="Q409">
            <v>5048</v>
          </cell>
          <cell r="R409"/>
          <cell r="S409">
            <v>10657</v>
          </cell>
          <cell r="T409">
            <v>-3026</v>
          </cell>
          <cell r="U409">
            <v>7631</v>
          </cell>
        </row>
        <row r="410">
          <cell r="A410">
            <v>94209</v>
          </cell>
          <cell r="B410" t="str">
            <v>ROANOKE RAPIDS SANITARY DISTRICT</v>
          </cell>
          <cell r="C410">
            <v>3.4190000000000002E-4</v>
          </cell>
          <cell r="D410">
            <v>3.2909999999999998E-4</v>
          </cell>
          <cell r="E410">
            <v>157003</v>
          </cell>
          <cell r="F410">
            <v>698460</v>
          </cell>
          <cell r="G410">
            <v>522328</v>
          </cell>
          <cell r="H410"/>
          <cell r="I410">
            <v>30091</v>
          </cell>
          <cell r="J410">
            <v>126822</v>
          </cell>
          <cell r="K410">
            <v>74596</v>
          </cell>
          <cell r="L410">
            <v>23431</v>
          </cell>
          <cell r="M410"/>
          <cell r="N410">
            <v>14785</v>
          </cell>
          <cell r="O410">
            <v>0</v>
          </cell>
          <cell r="P410">
            <v>0</v>
          </cell>
          <cell r="Q410">
            <v>7196</v>
          </cell>
          <cell r="R410"/>
          <cell r="S410">
            <v>176025</v>
          </cell>
          <cell r="T410">
            <v>9128</v>
          </cell>
          <cell r="U410">
            <v>185153</v>
          </cell>
        </row>
        <row r="411">
          <cell r="A411">
            <v>94211</v>
          </cell>
          <cell r="B411" t="str">
            <v>TOWN OF ENFIELD</v>
          </cell>
          <cell r="C411">
            <v>1.3660000000000001E-4</v>
          </cell>
          <cell r="D411">
            <v>1.2400000000000001E-4</v>
          </cell>
          <cell r="E411">
            <v>61663</v>
          </cell>
          <cell r="F411">
            <v>263170</v>
          </cell>
          <cell r="G411">
            <v>208687</v>
          </cell>
          <cell r="H411"/>
          <cell r="I411">
            <v>12022</v>
          </cell>
          <cell r="J411">
            <v>50669</v>
          </cell>
          <cell r="K411">
            <v>29803</v>
          </cell>
          <cell r="L411">
            <v>7857</v>
          </cell>
          <cell r="M411"/>
          <cell r="N411">
            <v>5907</v>
          </cell>
          <cell r="O411">
            <v>0</v>
          </cell>
          <cell r="P411">
            <v>0</v>
          </cell>
          <cell r="Q411">
            <v>17326</v>
          </cell>
          <cell r="R411"/>
          <cell r="S411">
            <v>70328</v>
          </cell>
          <cell r="T411">
            <v>-11553</v>
          </cell>
          <cell r="U411">
            <v>58775</v>
          </cell>
        </row>
        <row r="412">
          <cell r="A412">
            <v>94221</v>
          </cell>
          <cell r="B412" t="str">
            <v>CITY OF ROANOKE RAPIDS</v>
          </cell>
          <cell r="C412">
            <v>1.0436E-3</v>
          </cell>
          <cell r="D412">
            <v>1.0705999999999999E-3</v>
          </cell>
          <cell r="E412">
            <v>459328</v>
          </cell>
          <cell r="F412">
            <v>2272172</v>
          </cell>
          <cell r="G412">
            <v>1594332</v>
          </cell>
          <cell r="H412"/>
          <cell r="I412">
            <v>91848</v>
          </cell>
          <cell r="J412">
            <v>387106</v>
          </cell>
          <cell r="K412">
            <v>227693</v>
          </cell>
          <cell r="L412">
            <v>63725</v>
          </cell>
          <cell r="M412"/>
          <cell r="N412">
            <v>45130</v>
          </cell>
          <cell r="O412">
            <v>0</v>
          </cell>
          <cell r="P412">
            <v>0</v>
          </cell>
          <cell r="Q412">
            <v>120971</v>
          </cell>
          <cell r="R412"/>
          <cell r="S412">
            <v>537291</v>
          </cell>
          <cell r="T412">
            <v>-24799</v>
          </cell>
          <cell r="U412">
            <v>512492</v>
          </cell>
        </row>
        <row r="413">
          <cell r="A413">
            <v>94231</v>
          </cell>
          <cell r="B413" t="str">
            <v>TOWN OF WELDON</v>
          </cell>
          <cell r="C413">
            <v>2.2609999999999999E-4</v>
          </cell>
          <cell r="D413">
            <v>2.1269999999999999E-4</v>
          </cell>
          <cell r="E413">
            <v>101171</v>
          </cell>
          <cell r="F413">
            <v>451421</v>
          </cell>
          <cell r="G413">
            <v>345418</v>
          </cell>
          <cell r="H413"/>
          <cell r="I413">
            <v>19899</v>
          </cell>
          <cell r="J413">
            <v>83868</v>
          </cell>
          <cell r="K413">
            <v>49330</v>
          </cell>
          <cell r="L413">
            <v>8354</v>
          </cell>
          <cell r="M413"/>
          <cell r="N413">
            <v>9778</v>
          </cell>
          <cell r="O413">
            <v>0</v>
          </cell>
          <cell r="P413">
            <v>0</v>
          </cell>
          <cell r="Q413">
            <v>6714</v>
          </cell>
          <cell r="R413"/>
          <cell r="S413">
            <v>116406</v>
          </cell>
          <cell r="T413">
            <v>-2799</v>
          </cell>
          <cell r="U413">
            <v>113607</v>
          </cell>
        </row>
        <row r="414">
          <cell r="A414">
            <v>94241</v>
          </cell>
          <cell r="B414" t="str">
            <v>TOWN OF SCOTLAND NECK</v>
          </cell>
          <cell r="C414">
            <v>1.2669999999999999E-4</v>
          </cell>
          <cell r="D414">
            <v>8.4099999999999998E-5</v>
          </cell>
          <cell r="E414">
            <v>53317</v>
          </cell>
          <cell r="F414">
            <v>178488</v>
          </cell>
          <cell r="G414">
            <v>193563</v>
          </cell>
          <cell r="H414"/>
          <cell r="I414">
            <v>11151</v>
          </cell>
          <cell r="J414">
            <v>46997</v>
          </cell>
          <cell r="K414">
            <v>27643</v>
          </cell>
          <cell r="L414">
            <v>26711</v>
          </cell>
          <cell r="M414"/>
          <cell r="N414">
            <v>5479</v>
          </cell>
          <cell r="O414">
            <v>0</v>
          </cell>
          <cell r="P414">
            <v>0</v>
          </cell>
          <cell r="Q414">
            <v>856</v>
          </cell>
          <cell r="R414"/>
          <cell r="S414">
            <v>65231</v>
          </cell>
          <cell r="T414">
            <v>6835</v>
          </cell>
          <cell r="U414">
            <v>72066</v>
          </cell>
        </row>
        <row r="415">
          <cell r="A415">
            <v>94251</v>
          </cell>
          <cell r="B415" t="str">
            <v>TOWN OF HOBGOOD</v>
          </cell>
          <cell r="C415">
            <v>1.95E-5</v>
          </cell>
          <cell r="D415">
            <v>1.4E-5</v>
          </cell>
          <cell r="E415">
            <v>8455</v>
          </cell>
          <cell r="F415">
            <v>29713</v>
          </cell>
          <cell r="G415">
            <v>29791</v>
          </cell>
          <cell r="H415"/>
          <cell r="I415">
            <v>1716</v>
          </cell>
          <cell r="J415">
            <v>7233</v>
          </cell>
          <cell r="K415">
            <v>4255</v>
          </cell>
          <cell r="L415">
            <v>3290</v>
          </cell>
          <cell r="M415"/>
          <cell r="N415">
            <v>843</v>
          </cell>
          <cell r="O415">
            <v>0</v>
          </cell>
          <cell r="P415">
            <v>0</v>
          </cell>
          <cell r="Q415">
            <v>6508</v>
          </cell>
          <cell r="R415"/>
          <cell r="S415">
            <v>10039</v>
          </cell>
          <cell r="T415">
            <v>-2297</v>
          </cell>
          <cell r="U415">
            <v>7742</v>
          </cell>
        </row>
        <row r="416">
          <cell r="A416">
            <v>94261</v>
          </cell>
          <cell r="B416" t="str">
            <v>TOWN OF LITTLETON</v>
          </cell>
          <cell r="C416">
            <v>3.9199999999999997E-5</v>
          </cell>
          <cell r="D416">
            <v>2.9499999999999999E-5</v>
          </cell>
          <cell r="E416">
            <v>18726</v>
          </cell>
          <cell r="F416">
            <v>62609</v>
          </cell>
          <cell r="G416">
            <v>59887</v>
          </cell>
          <cell r="H416"/>
          <cell r="I416">
            <v>3450</v>
          </cell>
          <cell r="J416">
            <v>14541</v>
          </cell>
          <cell r="K416">
            <v>8553</v>
          </cell>
          <cell r="L416">
            <v>15518</v>
          </cell>
          <cell r="M416"/>
          <cell r="N416">
            <v>1695</v>
          </cell>
          <cell r="O416">
            <v>0</v>
          </cell>
          <cell r="P416">
            <v>0</v>
          </cell>
          <cell r="Q416">
            <v>0</v>
          </cell>
          <cell r="R416"/>
          <cell r="S416">
            <v>20182</v>
          </cell>
          <cell r="T416">
            <v>5508</v>
          </cell>
          <cell r="U416">
            <v>25690</v>
          </cell>
        </row>
        <row r="417">
          <cell r="A417">
            <v>94301</v>
          </cell>
          <cell r="B417" t="str">
            <v>HARNETT COUNTY</v>
          </cell>
          <cell r="C417">
            <v>6.2988999999999996E-3</v>
          </cell>
          <cell r="D417">
            <v>6.0746999999999997E-3</v>
          </cell>
          <cell r="E417">
            <v>2799560</v>
          </cell>
          <cell r="F417">
            <v>12892548</v>
          </cell>
          <cell r="G417">
            <v>9622974</v>
          </cell>
          <cell r="H417"/>
          <cell r="I417">
            <v>554372</v>
          </cell>
          <cell r="J417">
            <v>2336470</v>
          </cell>
          <cell r="K417">
            <v>1374294</v>
          </cell>
          <cell r="L417">
            <v>85982</v>
          </cell>
          <cell r="M417"/>
          <cell r="N417">
            <v>272396</v>
          </cell>
          <cell r="O417">
            <v>0</v>
          </cell>
          <cell r="P417">
            <v>0</v>
          </cell>
          <cell r="Q417">
            <v>117980</v>
          </cell>
          <cell r="R417"/>
          <cell r="S417">
            <v>3242951</v>
          </cell>
          <cell r="T417">
            <v>-22710</v>
          </cell>
          <cell r="U417">
            <v>3220241</v>
          </cell>
        </row>
        <row r="418">
          <cell r="A418">
            <v>94311</v>
          </cell>
          <cell r="B418" t="str">
            <v>CITY OF DUNN</v>
          </cell>
          <cell r="C418">
            <v>7.8540000000000001E-4</v>
          </cell>
          <cell r="D418">
            <v>7.4399999999999998E-4</v>
          </cell>
          <cell r="E418">
            <v>355079</v>
          </cell>
          <cell r="F418">
            <v>1579017</v>
          </cell>
          <cell r="G418">
            <v>1199874</v>
          </cell>
          <cell r="H418"/>
          <cell r="I418">
            <v>69124</v>
          </cell>
          <cell r="J418">
            <v>291331</v>
          </cell>
          <cell r="K418">
            <v>171359</v>
          </cell>
          <cell r="L418">
            <v>26150</v>
          </cell>
          <cell r="M418"/>
          <cell r="N418">
            <v>33965</v>
          </cell>
          <cell r="O418">
            <v>0</v>
          </cell>
          <cell r="P418">
            <v>0</v>
          </cell>
          <cell r="Q418">
            <v>52115</v>
          </cell>
          <cell r="R418"/>
          <cell r="S418">
            <v>404358</v>
          </cell>
          <cell r="T418">
            <v>-13365</v>
          </cell>
          <cell r="U418">
            <v>390993</v>
          </cell>
        </row>
        <row r="419">
          <cell r="A419">
            <v>94313</v>
          </cell>
          <cell r="B419" t="str">
            <v>DUNN HOUSING AUTHORITY</v>
          </cell>
          <cell r="C419">
            <v>1.8700000000000001E-5</v>
          </cell>
          <cell r="D419">
            <v>2.0299999999999999E-5</v>
          </cell>
          <cell r="E419">
            <v>12663</v>
          </cell>
          <cell r="F419">
            <v>43083</v>
          </cell>
          <cell r="G419">
            <v>28568</v>
          </cell>
          <cell r="H419"/>
          <cell r="I419">
            <v>1646</v>
          </cell>
          <cell r="J419">
            <v>6936</v>
          </cell>
          <cell r="K419">
            <v>4080</v>
          </cell>
          <cell r="L419">
            <v>7421</v>
          </cell>
          <cell r="M419"/>
          <cell r="N419">
            <v>809</v>
          </cell>
          <cell r="O419">
            <v>0</v>
          </cell>
          <cell r="P419">
            <v>0</v>
          </cell>
          <cell r="Q419">
            <v>0</v>
          </cell>
          <cell r="R419"/>
          <cell r="S419">
            <v>9628</v>
          </cell>
          <cell r="T419">
            <v>3124</v>
          </cell>
          <cell r="U419">
            <v>12752</v>
          </cell>
        </row>
        <row r="420">
          <cell r="A420">
            <v>94317</v>
          </cell>
          <cell r="B420" t="str">
            <v>DUNN ABC BOARD</v>
          </cell>
          <cell r="C420">
            <v>1.2E-5</v>
          </cell>
          <cell r="D420">
            <v>1.2099999999999999E-5</v>
          </cell>
          <cell r="E420">
            <v>9618</v>
          </cell>
          <cell r="F420">
            <v>25680</v>
          </cell>
          <cell r="G420">
            <v>18333</v>
          </cell>
          <cell r="H420"/>
          <cell r="I420">
            <v>1056</v>
          </cell>
          <cell r="J420">
            <v>4451</v>
          </cell>
          <cell r="K420">
            <v>2618</v>
          </cell>
          <cell r="L420">
            <v>7663</v>
          </cell>
          <cell r="M420"/>
          <cell r="N420">
            <v>519</v>
          </cell>
          <cell r="O420">
            <v>0</v>
          </cell>
          <cell r="P420">
            <v>0</v>
          </cell>
          <cell r="Q420">
            <v>0</v>
          </cell>
          <cell r="R420"/>
          <cell r="S420">
            <v>6178</v>
          </cell>
          <cell r="T420">
            <v>3130</v>
          </cell>
          <cell r="U420">
            <v>9308</v>
          </cell>
        </row>
        <row r="421">
          <cell r="A421">
            <v>94321</v>
          </cell>
          <cell r="B421" t="str">
            <v>TOWN OF LILLINGTON</v>
          </cell>
          <cell r="C421">
            <v>2.7760000000000003E-4</v>
          </cell>
          <cell r="D421">
            <v>2.7070000000000002E-4</v>
          </cell>
          <cell r="E421">
            <v>115395</v>
          </cell>
          <cell r="F421">
            <v>574516</v>
          </cell>
          <cell r="G421">
            <v>424096</v>
          </cell>
          <cell r="H421"/>
          <cell r="I421">
            <v>24432</v>
          </cell>
          <cell r="J421">
            <v>102971</v>
          </cell>
          <cell r="K421">
            <v>60567</v>
          </cell>
          <cell r="L421">
            <v>1692</v>
          </cell>
          <cell r="M421"/>
          <cell r="N421">
            <v>12005</v>
          </cell>
          <cell r="O421">
            <v>0</v>
          </cell>
          <cell r="P421">
            <v>0</v>
          </cell>
          <cell r="Q421">
            <v>19924</v>
          </cell>
          <cell r="R421"/>
          <cell r="S421">
            <v>142921</v>
          </cell>
          <cell r="T421">
            <v>-5646</v>
          </cell>
          <cell r="U421">
            <v>137275</v>
          </cell>
        </row>
        <row r="422">
          <cell r="A422">
            <v>94331</v>
          </cell>
          <cell r="B422" t="str">
            <v>TOWN OF ERWIN</v>
          </cell>
          <cell r="C422">
            <v>1.3569999999999999E-4</v>
          </cell>
          <cell r="D422">
            <v>1.517E-4</v>
          </cell>
          <cell r="E422">
            <v>68284</v>
          </cell>
          <cell r="F422">
            <v>321958</v>
          </cell>
          <cell r="G422">
            <v>207312</v>
          </cell>
          <cell r="H422"/>
          <cell r="I422">
            <v>11943</v>
          </cell>
          <cell r="J422">
            <v>50336</v>
          </cell>
          <cell r="K422">
            <v>29607</v>
          </cell>
          <cell r="L422">
            <v>7715</v>
          </cell>
          <cell r="M422"/>
          <cell r="N422">
            <v>5868</v>
          </cell>
          <cell r="O422">
            <v>0</v>
          </cell>
          <cell r="P422">
            <v>0</v>
          </cell>
          <cell r="Q422">
            <v>10557</v>
          </cell>
          <cell r="R422"/>
          <cell r="S422">
            <v>69864</v>
          </cell>
          <cell r="T422">
            <v>2981</v>
          </cell>
          <cell r="U422">
            <v>72845</v>
          </cell>
        </row>
        <row r="423">
          <cell r="A423">
            <v>94341</v>
          </cell>
          <cell r="B423" t="str">
            <v>TOWN OF COATS</v>
          </cell>
          <cell r="C423">
            <v>9.4699999999999998E-5</v>
          </cell>
          <cell r="D423">
            <v>8.1000000000000004E-5</v>
          </cell>
          <cell r="E423">
            <v>38534</v>
          </cell>
          <cell r="F423">
            <v>171909</v>
          </cell>
          <cell r="G423">
            <v>144675</v>
          </cell>
          <cell r="H423"/>
          <cell r="I423">
            <v>8335</v>
          </cell>
          <cell r="J423">
            <v>35127</v>
          </cell>
          <cell r="K423">
            <v>20662</v>
          </cell>
          <cell r="L423">
            <v>5564</v>
          </cell>
          <cell r="M423"/>
          <cell r="N423">
            <v>4095</v>
          </cell>
          <cell r="O423">
            <v>0</v>
          </cell>
          <cell r="P423">
            <v>0</v>
          </cell>
          <cell r="Q423">
            <v>5713</v>
          </cell>
          <cell r="R423"/>
          <cell r="S423">
            <v>48756</v>
          </cell>
          <cell r="T423">
            <v>-1783</v>
          </cell>
          <cell r="U423">
            <v>46973</v>
          </cell>
        </row>
        <row r="424">
          <cell r="A424">
            <v>94347</v>
          </cell>
          <cell r="B424" t="str">
            <v>TOWN OF ANGIER ABC BOARD</v>
          </cell>
          <cell r="C424">
            <v>1.22E-5</v>
          </cell>
          <cell r="D424">
            <v>1.2300000000000001E-5</v>
          </cell>
          <cell r="E424">
            <v>8691</v>
          </cell>
          <cell r="F424">
            <v>26105</v>
          </cell>
          <cell r="G424">
            <v>18638</v>
          </cell>
          <cell r="H424"/>
          <cell r="I424">
            <v>1074</v>
          </cell>
          <cell r="J424">
            <v>4526</v>
          </cell>
          <cell r="K424">
            <v>2662</v>
          </cell>
          <cell r="L424">
            <v>4271</v>
          </cell>
          <cell r="M424"/>
          <cell r="N424">
            <v>528</v>
          </cell>
          <cell r="O424">
            <v>0</v>
          </cell>
          <cell r="P424">
            <v>0</v>
          </cell>
          <cell r="Q424">
            <v>0</v>
          </cell>
          <cell r="R424"/>
          <cell r="S424">
            <v>6281</v>
          </cell>
          <cell r="T424">
            <v>1892</v>
          </cell>
          <cell r="U424">
            <v>8173</v>
          </cell>
        </row>
        <row r="425">
          <cell r="A425">
            <v>94351</v>
          </cell>
          <cell r="B425" t="str">
            <v>TOWN OF ANGIER</v>
          </cell>
          <cell r="C425">
            <v>2.433E-4</v>
          </cell>
          <cell r="D425">
            <v>2.377E-4</v>
          </cell>
          <cell r="E425">
            <v>104639</v>
          </cell>
          <cell r="F425">
            <v>504479</v>
          </cell>
          <cell r="G425">
            <v>371695</v>
          </cell>
          <cell r="H425"/>
          <cell r="I425">
            <v>21413</v>
          </cell>
          <cell r="J425">
            <v>90248</v>
          </cell>
          <cell r="K425">
            <v>53083</v>
          </cell>
          <cell r="L425">
            <v>1592</v>
          </cell>
          <cell r="M425"/>
          <cell r="N425">
            <v>10522</v>
          </cell>
          <cell r="O425">
            <v>0</v>
          </cell>
          <cell r="P425">
            <v>0</v>
          </cell>
          <cell r="Q425">
            <v>4723</v>
          </cell>
          <cell r="R425"/>
          <cell r="S425">
            <v>125262</v>
          </cell>
          <cell r="T425">
            <v>-1683</v>
          </cell>
          <cell r="U425">
            <v>123579</v>
          </cell>
        </row>
        <row r="426">
          <cell r="A426">
            <v>94401</v>
          </cell>
          <cell r="B426" t="str">
            <v>HAYWOOD COUNTY</v>
          </cell>
          <cell r="C426">
            <v>3.2718000000000001E-3</v>
          </cell>
          <cell r="D426">
            <v>3.4548999999999999E-3</v>
          </cell>
          <cell r="E426">
            <v>1551159</v>
          </cell>
          <cell r="F426">
            <v>0</v>
          </cell>
          <cell r="G426">
            <v>4998404</v>
          </cell>
          <cell r="H426"/>
          <cell r="I426">
            <v>287954</v>
          </cell>
          <cell r="J426">
            <v>1213619</v>
          </cell>
          <cell r="K426">
            <v>713841</v>
          </cell>
          <cell r="L426">
            <v>20795</v>
          </cell>
          <cell r="M426"/>
          <cell r="N426">
            <v>141489</v>
          </cell>
          <cell r="O426">
            <v>0</v>
          </cell>
          <cell r="P426">
            <v>0</v>
          </cell>
          <cell r="Q426">
            <v>83776</v>
          </cell>
          <cell r="R426"/>
          <cell r="S426">
            <v>1684467</v>
          </cell>
          <cell r="T426">
            <v>-11283</v>
          </cell>
          <cell r="U426">
            <v>1673184</v>
          </cell>
        </row>
        <row r="427">
          <cell r="A427">
            <v>94402</v>
          </cell>
          <cell r="B427" t="str">
            <v>HAYWOOD MEDICAL CENTER</v>
          </cell>
          <cell r="C427">
            <v>0</v>
          </cell>
          <cell r="D427">
            <v>0</v>
          </cell>
          <cell r="E427">
            <v>0</v>
          </cell>
          <cell r="F427">
            <v>0</v>
          </cell>
          <cell r="G427">
            <v>0</v>
          </cell>
          <cell r="H427"/>
          <cell r="I427">
            <v>0</v>
          </cell>
          <cell r="J427">
            <v>0</v>
          </cell>
          <cell r="K427">
            <v>0</v>
          </cell>
          <cell r="L427">
            <v>0</v>
          </cell>
          <cell r="M427"/>
          <cell r="N427">
            <v>0</v>
          </cell>
          <cell r="O427">
            <v>0</v>
          </cell>
          <cell r="P427">
            <v>0</v>
          </cell>
          <cell r="Q427">
            <v>1774367</v>
          </cell>
          <cell r="R427"/>
          <cell r="S427">
            <v>0</v>
          </cell>
          <cell r="T427">
            <v>-1007431</v>
          </cell>
          <cell r="U427">
            <v>-1007431</v>
          </cell>
        </row>
        <row r="428">
          <cell r="A428">
            <v>94403</v>
          </cell>
          <cell r="B428" t="str">
            <v>HAYWOOD COUNTY TOURISM DEVELOPMENT AUTHORITY</v>
          </cell>
          <cell r="C428">
            <v>2.2099999999999998E-5</v>
          </cell>
          <cell r="D428">
            <v>0</v>
          </cell>
          <cell r="E428">
            <v>9904</v>
          </cell>
          <cell r="F428">
            <v>0</v>
          </cell>
          <cell r="G428">
            <v>33763</v>
          </cell>
          <cell r="H428"/>
          <cell r="I428">
            <v>1945</v>
          </cell>
          <cell r="J428">
            <v>8198</v>
          </cell>
          <cell r="K428">
            <v>4822</v>
          </cell>
          <cell r="L428">
            <v>14624</v>
          </cell>
          <cell r="M428"/>
          <cell r="N428">
            <v>956</v>
          </cell>
          <cell r="O428">
            <v>0</v>
          </cell>
          <cell r="P428">
            <v>0</v>
          </cell>
          <cell r="Q428">
            <v>0</v>
          </cell>
          <cell r="R428"/>
          <cell r="S428">
            <v>11378</v>
          </cell>
          <cell r="T428">
            <v>3656</v>
          </cell>
          <cell r="U428">
            <v>15034</v>
          </cell>
        </row>
        <row r="429">
          <cell r="A429">
            <v>94408</v>
          </cell>
          <cell r="B429" t="str">
            <v>JUNALUSKA SANITARY DISTRICT</v>
          </cell>
          <cell r="C429">
            <v>4.2400000000000001E-5</v>
          </cell>
          <cell r="D429">
            <v>4.0099999999999999E-5</v>
          </cell>
          <cell r="E429">
            <v>14750</v>
          </cell>
          <cell r="F429">
            <v>85106</v>
          </cell>
          <cell r="G429">
            <v>64775</v>
          </cell>
          <cell r="H429"/>
          <cell r="I429">
            <v>3732</v>
          </cell>
          <cell r="J429">
            <v>15728</v>
          </cell>
          <cell r="K429">
            <v>9251</v>
          </cell>
          <cell r="L429">
            <v>7577</v>
          </cell>
          <cell r="M429"/>
          <cell r="N429">
            <v>1834</v>
          </cell>
          <cell r="O429">
            <v>0</v>
          </cell>
          <cell r="P429">
            <v>0</v>
          </cell>
          <cell r="Q429">
            <v>4064</v>
          </cell>
          <cell r="R429"/>
          <cell r="S429">
            <v>21829</v>
          </cell>
          <cell r="T429">
            <v>382</v>
          </cell>
          <cell r="U429">
            <v>22211</v>
          </cell>
        </row>
        <row r="430">
          <cell r="A430">
            <v>94411</v>
          </cell>
          <cell r="B430" t="str">
            <v>TOWN OF WAYNESVILLE</v>
          </cell>
          <cell r="C430">
            <v>1.2672E-3</v>
          </cell>
          <cell r="D430">
            <v>1.1592E-3</v>
          </cell>
          <cell r="E430">
            <v>555106</v>
          </cell>
          <cell r="F430">
            <v>2460211</v>
          </cell>
          <cell r="G430">
            <v>1935931</v>
          </cell>
          <cell r="H430"/>
          <cell r="I430">
            <v>111528</v>
          </cell>
          <cell r="J430">
            <v>470046</v>
          </cell>
          <cell r="K430">
            <v>276478</v>
          </cell>
          <cell r="L430">
            <v>63511</v>
          </cell>
          <cell r="M430"/>
          <cell r="N430">
            <v>54800</v>
          </cell>
          <cell r="O430">
            <v>0</v>
          </cell>
          <cell r="P430">
            <v>0</v>
          </cell>
          <cell r="Q430">
            <v>4125</v>
          </cell>
          <cell r="R430"/>
          <cell r="S430">
            <v>652410</v>
          </cell>
          <cell r="T430">
            <v>18114</v>
          </cell>
          <cell r="U430">
            <v>670524</v>
          </cell>
        </row>
        <row r="431">
          <cell r="A431">
            <v>94412</v>
          </cell>
          <cell r="B431" t="str">
            <v>WAYNESVILLE ABC BOARD</v>
          </cell>
          <cell r="C431">
            <v>1.5099999999999999E-5</v>
          </cell>
          <cell r="D431">
            <v>1.63E-5</v>
          </cell>
          <cell r="E431">
            <v>13059</v>
          </cell>
          <cell r="F431">
            <v>34594</v>
          </cell>
          <cell r="G431">
            <v>23069</v>
          </cell>
          <cell r="H431"/>
          <cell r="I431">
            <v>1329</v>
          </cell>
          <cell r="J431">
            <v>5602</v>
          </cell>
          <cell r="K431">
            <v>3295</v>
          </cell>
          <cell r="L431">
            <v>12533</v>
          </cell>
          <cell r="M431"/>
          <cell r="N431">
            <v>653</v>
          </cell>
          <cell r="O431">
            <v>0</v>
          </cell>
          <cell r="P431">
            <v>0</v>
          </cell>
          <cell r="Q431">
            <v>0</v>
          </cell>
          <cell r="R431"/>
          <cell r="S431">
            <v>7774</v>
          </cell>
          <cell r="T431">
            <v>5893</v>
          </cell>
          <cell r="U431">
            <v>13667</v>
          </cell>
        </row>
        <row r="432">
          <cell r="A432">
            <v>94421</v>
          </cell>
          <cell r="B432" t="str">
            <v>TOWN OF MAGGIE VALLEY</v>
          </cell>
          <cell r="C432">
            <v>1.6679999999999999E-4</v>
          </cell>
          <cell r="D432">
            <v>1.6899999999999999E-4</v>
          </cell>
          <cell r="E432">
            <v>80768</v>
          </cell>
          <cell r="F432">
            <v>358675</v>
          </cell>
          <cell r="G432">
            <v>254824</v>
          </cell>
          <cell r="H432"/>
          <cell r="I432">
            <v>14680</v>
          </cell>
          <cell r="J432">
            <v>61871</v>
          </cell>
          <cell r="K432">
            <v>36392</v>
          </cell>
          <cell r="L432">
            <v>4157</v>
          </cell>
          <cell r="M432"/>
          <cell r="N432">
            <v>7213</v>
          </cell>
          <cell r="O432">
            <v>0</v>
          </cell>
          <cell r="P432">
            <v>0</v>
          </cell>
          <cell r="Q432">
            <v>6763</v>
          </cell>
          <cell r="R432"/>
          <cell r="S432">
            <v>85876</v>
          </cell>
          <cell r="T432">
            <v>-3870</v>
          </cell>
          <cell r="U432">
            <v>82006</v>
          </cell>
        </row>
        <row r="433">
          <cell r="A433">
            <v>94427</v>
          </cell>
          <cell r="B433" t="str">
            <v>MAGGIE VALLEY ABC BOARD</v>
          </cell>
          <cell r="C433">
            <v>1.5699999999999999E-5</v>
          </cell>
          <cell r="D433">
            <v>1.29E-5</v>
          </cell>
          <cell r="E433">
            <v>9340</v>
          </cell>
          <cell r="F433">
            <v>27378</v>
          </cell>
          <cell r="G433">
            <v>23985</v>
          </cell>
          <cell r="H433"/>
          <cell r="I433">
            <v>1382</v>
          </cell>
          <cell r="J433">
            <v>5824</v>
          </cell>
          <cell r="K433">
            <v>3425</v>
          </cell>
          <cell r="L433">
            <v>4090</v>
          </cell>
          <cell r="M433"/>
          <cell r="N433">
            <v>679</v>
          </cell>
          <cell r="O433">
            <v>0</v>
          </cell>
          <cell r="P433">
            <v>0</v>
          </cell>
          <cell r="Q433">
            <v>478</v>
          </cell>
          <cell r="R433"/>
          <cell r="S433">
            <v>8083</v>
          </cell>
          <cell r="T433">
            <v>943</v>
          </cell>
          <cell r="U433">
            <v>9026</v>
          </cell>
        </row>
        <row r="434">
          <cell r="A434">
            <v>94428</v>
          </cell>
          <cell r="B434" t="str">
            <v>MAGGIE VALLEY SANITARY DIST</v>
          </cell>
          <cell r="C434">
            <v>6.5199999999999999E-5</v>
          </cell>
          <cell r="D434">
            <v>7.4400000000000006E-5</v>
          </cell>
          <cell r="E434">
            <v>33460</v>
          </cell>
          <cell r="F434">
            <v>157902</v>
          </cell>
          <cell r="G434">
            <v>99608</v>
          </cell>
          <cell r="H434"/>
          <cell r="I434">
            <v>5738</v>
          </cell>
          <cell r="J434">
            <v>24185</v>
          </cell>
          <cell r="K434">
            <v>14225</v>
          </cell>
          <cell r="L434">
            <v>2315</v>
          </cell>
          <cell r="M434"/>
          <cell r="N434">
            <v>2820</v>
          </cell>
          <cell r="O434">
            <v>0</v>
          </cell>
          <cell r="P434">
            <v>0</v>
          </cell>
          <cell r="Q434">
            <v>3346</v>
          </cell>
          <cell r="R434"/>
          <cell r="S434">
            <v>33568</v>
          </cell>
          <cell r="T434">
            <v>366</v>
          </cell>
          <cell r="U434">
            <v>33934</v>
          </cell>
        </row>
        <row r="435">
          <cell r="A435">
            <v>94431</v>
          </cell>
          <cell r="B435" t="str">
            <v>TOWN OF CANTON</v>
          </cell>
          <cell r="C435">
            <v>4.2440000000000002E-4</v>
          </cell>
          <cell r="D435">
            <v>3.7589999999999998E-4</v>
          </cell>
          <cell r="E435">
            <v>293286</v>
          </cell>
          <cell r="F435">
            <v>797786</v>
          </cell>
          <cell r="G435">
            <v>648366</v>
          </cell>
          <cell r="H435"/>
          <cell r="I435">
            <v>37352</v>
          </cell>
          <cell r="J435">
            <v>157424</v>
          </cell>
          <cell r="K435">
            <v>92596</v>
          </cell>
          <cell r="L435">
            <v>210809</v>
          </cell>
          <cell r="M435"/>
          <cell r="N435">
            <v>18353</v>
          </cell>
          <cell r="O435">
            <v>0</v>
          </cell>
          <cell r="P435">
            <v>0</v>
          </cell>
          <cell r="Q435">
            <v>611</v>
          </cell>
          <cell r="R435"/>
          <cell r="S435">
            <v>218500</v>
          </cell>
          <cell r="T435">
            <v>68328</v>
          </cell>
          <cell r="U435">
            <v>286828</v>
          </cell>
        </row>
        <row r="436">
          <cell r="A436">
            <v>94437</v>
          </cell>
          <cell r="B436" t="str">
            <v>CANTON ABC BOARD</v>
          </cell>
          <cell r="C436">
            <v>1.5299999999999999E-5</v>
          </cell>
          <cell r="D436">
            <v>1.34E-5</v>
          </cell>
          <cell r="E436">
            <v>12848</v>
          </cell>
          <cell r="F436">
            <v>28439</v>
          </cell>
          <cell r="G436">
            <v>23374</v>
          </cell>
          <cell r="H436"/>
          <cell r="I436">
            <v>1347</v>
          </cell>
          <cell r="J436">
            <v>5675</v>
          </cell>
          <cell r="K436">
            <v>3338</v>
          </cell>
          <cell r="L436">
            <v>13868</v>
          </cell>
          <cell r="M436"/>
          <cell r="N436">
            <v>662</v>
          </cell>
          <cell r="O436">
            <v>0</v>
          </cell>
          <cell r="P436">
            <v>0</v>
          </cell>
          <cell r="Q436">
            <v>0</v>
          </cell>
          <cell r="R436"/>
          <cell r="S436">
            <v>7877</v>
          </cell>
          <cell r="T436">
            <v>5640</v>
          </cell>
          <cell r="U436">
            <v>13517</v>
          </cell>
        </row>
        <row r="437">
          <cell r="A437">
            <v>94501</v>
          </cell>
          <cell r="B437" t="str">
            <v>COUNTY OF HENDERSON</v>
          </cell>
          <cell r="C437">
            <v>5.6991000000000003E-3</v>
          </cell>
          <cell r="D437">
            <v>5.8474E-3</v>
          </cell>
          <cell r="E437">
            <v>2726192</v>
          </cell>
          <cell r="F437">
            <v>12410142</v>
          </cell>
          <cell r="G437">
            <v>8706646</v>
          </cell>
          <cell r="H437"/>
          <cell r="I437">
            <v>501583</v>
          </cell>
          <cell r="J437">
            <v>2113984</v>
          </cell>
          <cell r="K437">
            <v>1243430</v>
          </cell>
          <cell r="L437">
            <v>145440</v>
          </cell>
          <cell r="M437"/>
          <cell r="N437">
            <v>246458</v>
          </cell>
          <cell r="O437">
            <v>0</v>
          </cell>
          <cell r="P437">
            <v>0</v>
          </cell>
          <cell r="Q437">
            <v>11569</v>
          </cell>
          <cell r="R437"/>
          <cell r="S437">
            <v>2934147</v>
          </cell>
          <cell r="T437">
            <v>99795</v>
          </cell>
          <cell r="U437">
            <v>3033942</v>
          </cell>
        </row>
        <row r="438">
          <cell r="A438">
            <v>94511</v>
          </cell>
          <cell r="B438" t="str">
            <v>CITY OF HENDERSONVILLE</v>
          </cell>
          <cell r="C438">
            <v>1.8538999999999999E-3</v>
          </cell>
          <cell r="D438">
            <v>1.7432000000000001E-3</v>
          </cell>
          <cell r="E438">
            <v>773013</v>
          </cell>
          <cell r="F438">
            <v>3699654</v>
          </cell>
          <cell r="G438">
            <v>2832246</v>
          </cell>
          <cell r="H438"/>
          <cell r="I438">
            <v>163164</v>
          </cell>
          <cell r="J438">
            <v>687673</v>
          </cell>
          <cell r="K438">
            <v>404484</v>
          </cell>
          <cell r="L438">
            <v>155537</v>
          </cell>
          <cell r="M438"/>
          <cell r="N438">
            <v>80172</v>
          </cell>
          <cell r="O438">
            <v>0</v>
          </cell>
          <cell r="P438">
            <v>0</v>
          </cell>
          <cell r="Q438">
            <v>31633</v>
          </cell>
          <cell r="R438"/>
          <cell r="S438">
            <v>954469</v>
          </cell>
          <cell r="T438">
            <v>72914</v>
          </cell>
          <cell r="U438">
            <v>1027383</v>
          </cell>
        </row>
        <row r="439">
          <cell r="A439">
            <v>94512</v>
          </cell>
          <cell r="B439" t="str">
            <v>HENDERSONVILLE WATER COMMISSION</v>
          </cell>
          <cell r="C439">
            <v>0</v>
          </cell>
          <cell r="D439">
            <v>0</v>
          </cell>
          <cell r="E439">
            <v>0</v>
          </cell>
          <cell r="F439">
            <v>0</v>
          </cell>
          <cell r="G439">
            <v>0</v>
          </cell>
          <cell r="H439"/>
          <cell r="I439">
            <v>0</v>
          </cell>
          <cell r="J439">
            <v>0</v>
          </cell>
          <cell r="K439">
            <v>0</v>
          </cell>
          <cell r="L439">
            <v>0</v>
          </cell>
          <cell r="M439"/>
          <cell r="N439">
            <v>0</v>
          </cell>
          <cell r="O439">
            <v>0</v>
          </cell>
          <cell r="P439">
            <v>0</v>
          </cell>
          <cell r="Q439">
            <v>138579</v>
          </cell>
          <cell r="R439"/>
          <cell r="S439">
            <v>0</v>
          </cell>
          <cell r="T439">
            <v>-78713</v>
          </cell>
          <cell r="U439">
            <v>-78713</v>
          </cell>
        </row>
        <row r="440">
          <cell r="A440">
            <v>94517</v>
          </cell>
          <cell r="B440" t="str">
            <v>HENDERSONVILLE ABC BD</v>
          </cell>
          <cell r="C440">
            <v>4.7599999999999998E-5</v>
          </cell>
          <cell r="D440">
            <v>4.9599999999999999E-5</v>
          </cell>
          <cell r="E440">
            <v>31750</v>
          </cell>
          <cell r="F440">
            <v>105268</v>
          </cell>
          <cell r="G440">
            <v>72720</v>
          </cell>
          <cell r="H440"/>
          <cell r="I440">
            <v>4189</v>
          </cell>
          <cell r="J440">
            <v>17656</v>
          </cell>
          <cell r="K440">
            <v>10385</v>
          </cell>
          <cell r="L440">
            <v>18702</v>
          </cell>
          <cell r="M440"/>
          <cell r="N440">
            <v>2058</v>
          </cell>
          <cell r="O440">
            <v>0</v>
          </cell>
          <cell r="P440">
            <v>0</v>
          </cell>
          <cell r="Q440">
            <v>0</v>
          </cell>
          <cell r="R440"/>
          <cell r="S440">
            <v>24507</v>
          </cell>
          <cell r="T440">
            <v>9021</v>
          </cell>
          <cell r="U440">
            <v>33528</v>
          </cell>
        </row>
        <row r="441">
          <cell r="A441">
            <v>94521</v>
          </cell>
          <cell r="B441" t="str">
            <v>TOWN OF LAUREL PARK</v>
          </cell>
          <cell r="C441">
            <v>1.517E-4</v>
          </cell>
          <cell r="D441">
            <v>1.2410000000000001E-4</v>
          </cell>
          <cell r="E441">
            <v>61289</v>
          </cell>
          <cell r="F441">
            <v>263382</v>
          </cell>
          <cell r="G441">
            <v>231756</v>
          </cell>
          <cell r="H441"/>
          <cell r="I441">
            <v>13351</v>
          </cell>
          <cell r="J441">
            <v>56271</v>
          </cell>
          <cell r="K441">
            <v>33098</v>
          </cell>
          <cell r="L441">
            <v>15354</v>
          </cell>
          <cell r="M441"/>
          <cell r="N441">
            <v>6560</v>
          </cell>
          <cell r="O441">
            <v>0</v>
          </cell>
          <cell r="P441">
            <v>0</v>
          </cell>
          <cell r="Q441">
            <v>13856</v>
          </cell>
          <cell r="R441"/>
          <cell r="S441">
            <v>78102</v>
          </cell>
          <cell r="T441">
            <v>429</v>
          </cell>
          <cell r="U441">
            <v>78531</v>
          </cell>
        </row>
        <row r="442">
          <cell r="A442">
            <v>94527</v>
          </cell>
          <cell r="B442" t="str">
            <v>LAUREL PARK ABC BOARD</v>
          </cell>
          <cell r="C442">
            <v>5.4E-6</v>
          </cell>
          <cell r="D442">
            <v>6.3999999999999997E-6</v>
          </cell>
          <cell r="E442">
            <v>2382</v>
          </cell>
          <cell r="F442">
            <v>13583</v>
          </cell>
          <cell r="G442">
            <v>8250</v>
          </cell>
          <cell r="H442"/>
          <cell r="I442">
            <v>475</v>
          </cell>
          <cell r="J442">
            <v>2003</v>
          </cell>
          <cell r="K442">
            <v>1178</v>
          </cell>
          <cell r="L442">
            <v>308</v>
          </cell>
          <cell r="M442"/>
          <cell r="N442">
            <v>234</v>
          </cell>
          <cell r="O442">
            <v>0</v>
          </cell>
          <cell r="P442">
            <v>0</v>
          </cell>
          <cell r="Q442">
            <v>3369</v>
          </cell>
          <cell r="R442"/>
          <cell r="S442">
            <v>2780</v>
          </cell>
          <cell r="T442">
            <v>-953</v>
          </cell>
          <cell r="U442">
            <v>1827</v>
          </cell>
        </row>
        <row r="443">
          <cell r="A443">
            <v>94531</v>
          </cell>
          <cell r="B443" t="str">
            <v>THE VILLAGE OF FLAT ROCK</v>
          </cell>
          <cell r="C443">
            <v>1.5E-5</v>
          </cell>
          <cell r="D443">
            <v>1.5500000000000001E-5</v>
          </cell>
          <cell r="E443">
            <v>11396</v>
          </cell>
          <cell r="F443">
            <v>32896</v>
          </cell>
          <cell r="G443">
            <v>22916</v>
          </cell>
          <cell r="H443"/>
          <cell r="I443">
            <v>1320</v>
          </cell>
          <cell r="J443">
            <v>5564</v>
          </cell>
          <cell r="K443">
            <v>3273</v>
          </cell>
          <cell r="L443">
            <v>6665</v>
          </cell>
          <cell r="M443"/>
          <cell r="N443">
            <v>649</v>
          </cell>
          <cell r="O443">
            <v>0</v>
          </cell>
          <cell r="P443">
            <v>0</v>
          </cell>
          <cell r="Q443">
            <v>0</v>
          </cell>
          <cell r="R443"/>
          <cell r="S443">
            <v>7723</v>
          </cell>
          <cell r="T443">
            <v>2681</v>
          </cell>
          <cell r="U443">
            <v>10404</v>
          </cell>
        </row>
        <row r="444">
          <cell r="A444">
            <v>94532</v>
          </cell>
          <cell r="B444" t="str">
            <v>BLUE RIDGE FIRE DEPARTMENT</v>
          </cell>
          <cell r="C444">
            <v>8.7800000000000006E-5</v>
          </cell>
          <cell r="D444">
            <v>9.4099999999999997E-5</v>
          </cell>
          <cell r="E444">
            <v>45014</v>
          </cell>
          <cell r="F444">
            <v>199712</v>
          </cell>
          <cell r="G444">
            <v>134134</v>
          </cell>
          <cell r="H444"/>
          <cell r="I444">
            <v>7727</v>
          </cell>
          <cell r="J444">
            <v>32568</v>
          </cell>
          <cell r="K444">
            <v>19156</v>
          </cell>
          <cell r="L444">
            <v>0</v>
          </cell>
          <cell r="M444"/>
          <cell r="N444">
            <v>3797</v>
          </cell>
          <cell r="O444">
            <v>0</v>
          </cell>
          <cell r="P444">
            <v>0</v>
          </cell>
          <cell r="Q444">
            <v>10367</v>
          </cell>
          <cell r="R444"/>
          <cell r="S444">
            <v>45203</v>
          </cell>
          <cell r="T444">
            <v>-5525</v>
          </cell>
          <cell r="U444">
            <v>39678</v>
          </cell>
        </row>
        <row r="445">
          <cell r="A445">
            <v>94541</v>
          </cell>
          <cell r="B445" t="str">
            <v>TOWN OF FLETCHER</v>
          </cell>
          <cell r="C445">
            <v>2.9300000000000002E-4</v>
          </cell>
          <cell r="D445">
            <v>2.9839999999999999E-4</v>
          </cell>
          <cell r="E445">
            <v>124372</v>
          </cell>
          <cell r="F445">
            <v>633305</v>
          </cell>
          <cell r="G445">
            <v>447623</v>
          </cell>
          <cell r="H445"/>
          <cell r="I445">
            <v>25787</v>
          </cell>
          <cell r="J445">
            <v>108683</v>
          </cell>
          <cell r="K445">
            <v>63927</v>
          </cell>
          <cell r="L445">
            <v>0</v>
          </cell>
          <cell r="M445"/>
          <cell r="N445">
            <v>12671</v>
          </cell>
          <cell r="O445">
            <v>0</v>
          </cell>
          <cell r="P445">
            <v>0</v>
          </cell>
          <cell r="Q445">
            <v>27614</v>
          </cell>
          <cell r="R445"/>
          <cell r="S445">
            <v>150849</v>
          </cell>
          <cell r="T445">
            <v>-10625</v>
          </cell>
          <cell r="U445">
            <v>140224</v>
          </cell>
        </row>
        <row r="446">
          <cell r="A446">
            <v>94547</v>
          </cell>
          <cell r="B446" t="str">
            <v>FLETCHER ABC BOARD</v>
          </cell>
          <cell r="C446">
            <v>1.08E-5</v>
          </cell>
          <cell r="D446">
            <v>1.24E-5</v>
          </cell>
          <cell r="E446">
            <v>8019</v>
          </cell>
          <cell r="F446">
            <v>26317</v>
          </cell>
          <cell r="G446">
            <v>16499</v>
          </cell>
          <cell r="H446"/>
          <cell r="I446">
            <v>951</v>
          </cell>
          <cell r="J446">
            <v>4006</v>
          </cell>
          <cell r="K446">
            <v>2356</v>
          </cell>
          <cell r="L446">
            <v>2853</v>
          </cell>
          <cell r="M446"/>
          <cell r="N446">
            <v>467</v>
          </cell>
          <cell r="O446">
            <v>0</v>
          </cell>
          <cell r="P446">
            <v>0</v>
          </cell>
          <cell r="Q446">
            <v>0</v>
          </cell>
          <cell r="R446"/>
          <cell r="S446">
            <v>5560</v>
          </cell>
          <cell r="T446">
            <v>1000</v>
          </cell>
          <cell r="U446">
            <v>6560</v>
          </cell>
        </row>
        <row r="447">
          <cell r="A447">
            <v>94551</v>
          </cell>
          <cell r="B447" t="str">
            <v>TOWN OF MILLS RIVER</v>
          </cell>
          <cell r="C447">
            <v>4.1900000000000002E-5</v>
          </cell>
          <cell r="D447">
            <v>4.5899999999999998E-5</v>
          </cell>
          <cell r="E447">
            <v>24929</v>
          </cell>
          <cell r="F447">
            <v>97415</v>
          </cell>
          <cell r="G447">
            <v>64012</v>
          </cell>
          <cell r="H447"/>
          <cell r="I447">
            <v>3688</v>
          </cell>
          <cell r="J447">
            <v>15543</v>
          </cell>
          <cell r="K447">
            <v>9142</v>
          </cell>
          <cell r="L447">
            <v>11600</v>
          </cell>
          <cell r="M447"/>
          <cell r="N447">
            <v>1812</v>
          </cell>
          <cell r="O447">
            <v>0</v>
          </cell>
          <cell r="P447">
            <v>0</v>
          </cell>
          <cell r="Q447">
            <v>1576</v>
          </cell>
          <cell r="R447"/>
          <cell r="S447">
            <v>21572</v>
          </cell>
          <cell r="T447">
            <v>4116</v>
          </cell>
          <cell r="U447">
            <v>25688</v>
          </cell>
        </row>
        <row r="448">
          <cell r="A448">
            <v>94601</v>
          </cell>
          <cell r="B448" t="str">
            <v>HERTFORD COUNTY</v>
          </cell>
          <cell r="C448">
            <v>1.0602999999999999E-3</v>
          </cell>
          <cell r="D448">
            <v>1.0011E-3</v>
          </cell>
          <cell r="E448">
            <v>501425</v>
          </cell>
          <cell r="F448">
            <v>2124670</v>
          </cell>
          <cell r="G448">
            <v>1619845</v>
          </cell>
          <cell r="H448"/>
          <cell r="I448">
            <v>93318</v>
          </cell>
          <cell r="J448">
            <v>393300</v>
          </cell>
          <cell r="K448">
            <v>231336</v>
          </cell>
          <cell r="L448">
            <v>77480</v>
          </cell>
          <cell r="M448"/>
          <cell r="N448">
            <v>45853</v>
          </cell>
          <cell r="O448">
            <v>0</v>
          </cell>
          <cell r="P448">
            <v>0</v>
          </cell>
          <cell r="Q448">
            <v>2182</v>
          </cell>
          <cell r="R448"/>
          <cell r="S448">
            <v>545889</v>
          </cell>
          <cell r="T448">
            <v>21640</v>
          </cell>
          <cell r="U448">
            <v>567529</v>
          </cell>
        </row>
        <row r="449">
          <cell r="A449">
            <v>94604</v>
          </cell>
          <cell r="B449" t="str">
            <v>HERTFORD COUNTY ABC BOARD</v>
          </cell>
          <cell r="C449">
            <v>2.62E-5</v>
          </cell>
          <cell r="D449">
            <v>2.65E-5</v>
          </cell>
          <cell r="E449">
            <v>14408</v>
          </cell>
          <cell r="F449">
            <v>56242</v>
          </cell>
          <cell r="G449">
            <v>40026</v>
          </cell>
          <cell r="H449"/>
          <cell r="I449">
            <v>2306</v>
          </cell>
          <cell r="J449">
            <v>9718</v>
          </cell>
          <cell r="K449">
            <v>5716</v>
          </cell>
          <cell r="L449">
            <v>2471</v>
          </cell>
          <cell r="M449"/>
          <cell r="N449">
            <v>1133</v>
          </cell>
          <cell r="O449">
            <v>0</v>
          </cell>
          <cell r="P449">
            <v>0</v>
          </cell>
          <cell r="Q449">
            <v>26</v>
          </cell>
          <cell r="R449"/>
          <cell r="S449">
            <v>13489</v>
          </cell>
          <cell r="T449">
            <v>697</v>
          </cell>
          <cell r="U449">
            <v>14186</v>
          </cell>
        </row>
        <row r="450">
          <cell r="A450">
            <v>94606</v>
          </cell>
          <cell r="B450" t="str">
            <v>HERTFORD COUNTY PUBLIC HEALTH AUTHORITY</v>
          </cell>
          <cell r="C450">
            <v>2.3550000000000001E-4</v>
          </cell>
          <cell r="D450">
            <v>2.6229999999999998E-4</v>
          </cell>
          <cell r="E450">
            <v>106916</v>
          </cell>
          <cell r="F450">
            <v>556688</v>
          </cell>
          <cell r="G450">
            <v>359779</v>
          </cell>
          <cell r="H450"/>
          <cell r="I450">
            <v>20727</v>
          </cell>
          <cell r="J450">
            <v>87355</v>
          </cell>
          <cell r="K450">
            <v>51381</v>
          </cell>
          <cell r="L450">
            <v>0</v>
          </cell>
          <cell r="M450"/>
          <cell r="N450">
            <v>10184</v>
          </cell>
          <cell r="O450">
            <v>0</v>
          </cell>
          <cell r="P450">
            <v>0</v>
          </cell>
          <cell r="Q450">
            <v>51703</v>
          </cell>
          <cell r="R450"/>
          <cell r="S450">
            <v>121246</v>
          </cell>
          <cell r="T450">
            <v>-24169</v>
          </cell>
          <cell r="U450">
            <v>97077</v>
          </cell>
        </row>
        <row r="451">
          <cell r="A451">
            <v>94611</v>
          </cell>
          <cell r="B451" t="str">
            <v>TOWN OF AHOSKIE</v>
          </cell>
          <cell r="C451">
            <v>3.6850000000000001E-4</v>
          </cell>
          <cell r="D451">
            <v>4.4450000000000002E-4</v>
          </cell>
          <cell r="E451">
            <v>191641</v>
          </cell>
          <cell r="F451">
            <v>943378</v>
          </cell>
          <cell r="G451">
            <v>562966</v>
          </cell>
          <cell r="H451"/>
          <cell r="I451">
            <v>32432</v>
          </cell>
          <cell r="J451">
            <v>136689</v>
          </cell>
          <cell r="K451">
            <v>80399</v>
          </cell>
          <cell r="L451">
            <v>2567</v>
          </cell>
          <cell r="M451"/>
          <cell r="N451">
            <v>15936</v>
          </cell>
          <cell r="O451">
            <v>0</v>
          </cell>
          <cell r="P451">
            <v>0</v>
          </cell>
          <cell r="Q451">
            <v>35426</v>
          </cell>
          <cell r="R451"/>
          <cell r="S451">
            <v>189720</v>
          </cell>
          <cell r="T451">
            <v>-9323</v>
          </cell>
          <cell r="U451">
            <v>180397</v>
          </cell>
        </row>
        <row r="452">
          <cell r="A452">
            <v>94621</v>
          </cell>
          <cell r="B452" t="str">
            <v>TOWN OF MURFREESBORO</v>
          </cell>
          <cell r="C452">
            <v>9.7600000000000001E-5</v>
          </cell>
          <cell r="D452">
            <v>1.3119999999999999E-4</v>
          </cell>
          <cell r="E452">
            <v>66541</v>
          </cell>
          <cell r="F452">
            <v>278450</v>
          </cell>
          <cell r="G452">
            <v>149106</v>
          </cell>
          <cell r="H452"/>
          <cell r="I452">
            <v>8590</v>
          </cell>
          <cell r="J452">
            <v>36203</v>
          </cell>
          <cell r="K452">
            <v>21294</v>
          </cell>
          <cell r="L452">
            <v>6585</v>
          </cell>
          <cell r="M452"/>
          <cell r="N452">
            <v>4221</v>
          </cell>
          <cell r="O452">
            <v>0</v>
          </cell>
          <cell r="P452">
            <v>0</v>
          </cell>
          <cell r="Q452">
            <v>18055</v>
          </cell>
          <cell r="R452"/>
          <cell r="S452">
            <v>50249</v>
          </cell>
          <cell r="T452">
            <v>-1288</v>
          </cell>
          <cell r="U452">
            <v>48961</v>
          </cell>
        </row>
        <row r="453">
          <cell r="A453">
            <v>94631</v>
          </cell>
          <cell r="B453" t="str">
            <v>TOWN OF WINTON</v>
          </cell>
          <cell r="C453">
            <v>3.9100000000000002E-5</v>
          </cell>
          <cell r="D453">
            <v>3.9799999999999998E-5</v>
          </cell>
          <cell r="E453">
            <v>22453</v>
          </cell>
          <cell r="F453">
            <v>84469</v>
          </cell>
          <cell r="G453">
            <v>59734</v>
          </cell>
          <cell r="H453"/>
          <cell r="I453">
            <v>3441</v>
          </cell>
          <cell r="J453">
            <v>14504</v>
          </cell>
          <cell r="K453">
            <v>8531</v>
          </cell>
          <cell r="L453">
            <v>6569</v>
          </cell>
          <cell r="M453"/>
          <cell r="N453">
            <v>1691</v>
          </cell>
          <cell r="O453">
            <v>0</v>
          </cell>
          <cell r="P453">
            <v>0</v>
          </cell>
          <cell r="Q453">
            <v>0</v>
          </cell>
          <cell r="R453"/>
          <cell r="S453">
            <v>20130</v>
          </cell>
          <cell r="T453">
            <v>2517</v>
          </cell>
          <cell r="U453">
            <v>22647</v>
          </cell>
        </row>
        <row r="454">
          <cell r="A454">
            <v>94641</v>
          </cell>
          <cell r="B454" t="str">
            <v>TOWN OF COFIELD</v>
          </cell>
          <cell r="C454">
            <v>3.8999999999999999E-6</v>
          </cell>
          <cell r="D454">
            <v>4.6999999999999999E-6</v>
          </cell>
          <cell r="E454">
            <v>5004</v>
          </cell>
          <cell r="F454">
            <v>9975</v>
          </cell>
          <cell r="G454">
            <v>5958</v>
          </cell>
          <cell r="H454"/>
          <cell r="I454">
            <v>343</v>
          </cell>
          <cell r="J454">
            <v>1446</v>
          </cell>
          <cell r="K454">
            <v>851</v>
          </cell>
          <cell r="L454">
            <v>5156</v>
          </cell>
          <cell r="M454"/>
          <cell r="N454">
            <v>169</v>
          </cell>
          <cell r="O454">
            <v>0</v>
          </cell>
          <cell r="P454">
            <v>0</v>
          </cell>
          <cell r="Q454">
            <v>0</v>
          </cell>
          <cell r="R454"/>
          <cell r="S454">
            <v>2008</v>
          </cell>
          <cell r="T454">
            <v>2187</v>
          </cell>
          <cell r="U454">
            <v>4195</v>
          </cell>
        </row>
        <row r="455">
          <cell r="A455">
            <v>94701</v>
          </cell>
          <cell r="B455" t="str">
            <v>HOKE COUNTY</v>
          </cell>
          <cell r="C455">
            <v>2.5446000000000002E-3</v>
          </cell>
          <cell r="D455">
            <v>2.5636000000000001E-3</v>
          </cell>
          <cell r="E455">
            <v>1148600</v>
          </cell>
          <cell r="F455">
            <v>5440818</v>
          </cell>
          <cell r="G455">
            <v>3887444</v>
          </cell>
          <cell r="H455"/>
          <cell r="I455">
            <v>223953</v>
          </cell>
          <cell r="J455">
            <v>943877</v>
          </cell>
          <cell r="K455">
            <v>555181</v>
          </cell>
          <cell r="L455">
            <v>45251</v>
          </cell>
          <cell r="M455"/>
          <cell r="N455">
            <v>110041</v>
          </cell>
          <cell r="O455">
            <v>0</v>
          </cell>
          <cell r="P455">
            <v>0</v>
          </cell>
          <cell r="Q455">
            <v>103182</v>
          </cell>
          <cell r="R455"/>
          <cell r="S455">
            <v>1310072</v>
          </cell>
          <cell r="T455">
            <v>-2731</v>
          </cell>
          <cell r="U455">
            <v>1307341</v>
          </cell>
        </row>
        <row r="456">
          <cell r="A456">
            <v>94704</v>
          </cell>
          <cell r="B456" t="str">
            <v>HOKE COUNTY ABC BOARD</v>
          </cell>
          <cell r="C456">
            <v>9.5000000000000005E-6</v>
          </cell>
          <cell r="D456">
            <v>1.04E-5</v>
          </cell>
          <cell r="E456">
            <v>5070</v>
          </cell>
          <cell r="F456">
            <v>22072</v>
          </cell>
          <cell r="G456">
            <v>14513</v>
          </cell>
          <cell r="H456"/>
          <cell r="I456">
            <v>836</v>
          </cell>
          <cell r="J456">
            <v>3524</v>
          </cell>
          <cell r="K456">
            <v>2073</v>
          </cell>
          <cell r="L456">
            <v>77</v>
          </cell>
          <cell r="M456"/>
          <cell r="N456">
            <v>411</v>
          </cell>
          <cell r="O456">
            <v>0</v>
          </cell>
          <cell r="P456">
            <v>0</v>
          </cell>
          <cell r="Q456">
            <v>100</v>
          </cell>
          <cell r="R456"/>
          <cell r="S456">
            <v>4891</v>
          </cell>
          <cell r="T456">
            <v>38</v>
          </cell>
          <cell r="U456">
            <v>4929</v>
          </cell>
        </row>
        <row r="457">
          <cell r="A457">
            <v>94711</v>
          </cell>
          <cell r="B457" t="str">
            <v>TOWN OF RAEFORD</v>
          </cell>
          <cell r="C457">
            <v>3.3599999999999998E-4</v>
          </cell>
          <cell r="D457">
            <v>3.5110000000000002E-4</v>
          </cell>
          <cell r="E457">
            <v>165327</v>
          </cell>
          <cell r="F457">
            <v>745152</v>
          </cell>
          <cell r="G457">
            <v>513315</v>
          </cell>
          <cell r="H457"/>
          <cell r="I457">
            <v>29572</v>
          </cell>
          <cell r="J457">
            <v>124633</v>
          </cell>
          <cell r="K457">
            <v>73308</v>
          </cell>
          <cell r="L457">
            <v>9113</v>
          </cell>
          <cell r="M457"/>
          <cell r="N457">
            <v>14530</v>
          </cell>
          <cell r="O457">
            <v>0</v>
          </cell>
          <cell r="P457">
            <v>0</v>
          </cell>
          <cell r="Q457">
            <v>6693</v>
          </cell>
          <cell r="R457"/>
          <cell r="S457">
            <v>172988</v>
          </cell>
          <cell r="T457">
            <v>1163</v>
          </cell>
          <cell r="U457">
            <v>174151</v>
          </cell>
        </row>
        <row r="458">
          <cell r="A458">
            <v>94801</v>
          </cell>
          <cell r="B458" t="str">
            <v>HYDE COUNTY</v>
          </cell>
          <cell r="C458">
            <v>7.2440000000000004E-4</v>
          </cell>
          <cell r="D458">
            <v>7.6539999999999996E-4</v>
          </cell>
          <cell r="E458">
            <v>342416</v>
          </cell>
          <cell r="F458">
            <v>1624435</v>
          </cell>
          <cell r="G458">
            <v>1106683</v>
          </cell>
          <cell r="H458"/>
          <cell r="I458">
            <v>63755</v>
          </cell>
          <cell r="J458">
            <v>268704</v>
          </cell>
          <cell r="K458">
            <v>158050</v>
          </cell>
          <cell r="L458">
            <v>40380</v>
          </cell>
          <cell r="M458"/>
          <cell r="N458">
            <v>31327</v>
          </cell>
          <cell r="O458">
            <v>0</v>
          </cell>
          <cell r="P458">
            <v>0</v>
          </cell>
          <cell r="Q458">
            <v>19605</v>
          </cell>
          <cell r="R458"/>
          <cell r="S458">
            <v>372953</v>
          </cell>
          <cell r="T458">
            <v>17711</v>
          </cell>
          <cell r="U458">
            <v>390664</v>
          </cell>
        </row>
        <row r="459">
          <cell r="A459">
            <v>94804</v>
          </cell>
          <cell r="B459" t="str">
            <v>HYDE COUNTY ABC BOARD</v>
          </cell>
          <cell r="C459">
            <v>3.8E-6</v>
          </cell>
          <cell r="D459">
            <v>3.8E-6</v>
          </cell>
          <cell r="E459">
            <v>2740</v>
          </cell>
          <cell r="F459">
            <v>8065</v>
          </cell>
          <cell r="G459">
            <v>5805</v>
          </cell>
          <cell r="H459"/>
          <cell r="I459">
            <v>334</v>
          </cell>
          <cell r="J459">
            <v>1409</v>
          </cell>
          <cell r="K459">
            <v>829</v>
          </cell>
          <cell r="L459">
            <v>2556</v>
          </cell>
          <cell r="M459"/>
          <cell r="N459">
            <v>164</v>
          </cell>
          <cell r="O459">
            <v>0</v>
          </cell>
          <cell r="P459">
            <v>0</v>
          </cell>
          <cell r="Q459">
            <v>218</v>
          </cell>
          <cell r="R459"/>
          <cell r="S459">
            <v>1956</v>
          </cell>
          <cell r="T459">
            <v>1879</v>
          </cell>
          <cell r="U459">
            <v>3835</v>
          </cell>
        </row>
        <row r="460">
          <cell r="A460">
            <v>94812</v>
          </cell>
          <cell r="B460" t="str">
            <v>OCRACOKE SANITARY DIST</v>
          </cell>
          <cell r="C460">
            <v>3.3000000000000003E-5</v>
          </cell>
          <cell r="D460">
            <v>3.3500000000000001E-5</v>
          </cell>
          <cell r="E460">
            <v>19658</v>
          </cell>
          <cell r="F460">
            <v>71098</v>
          </cell>
          <cell r="G460">
            <v>50415</v>
          </cell>
          <cell r="H460"/>
          <cell r="I460">
            <v>2904</v>
          </cell>
          <cell r="J460">
            <v>12241</v>
          </cell>
          <cell r="K460">
            <v>7200</v>
          </cell>
          <cell r="L460">
            <v>10442</v>
          </cell>
          <cell r="M460"/>
          <cell r="N460">
            <v>1427</v>
          </cell>
          <cell r="O460">
            <v>0</v>
          </cell>
          <cell r="P460">
            <v>0</v>
          </cell>
          <cell r="Q460">
            <v>0</v>
          </cell>
          <cell r="R460"/>
          <cell r="S460">
            <v>16990</v>
          </cell>
          <cell r="T460">
            <v>4040</v>
          </cell>
          <cell r="U460">
            <v>21030</v>
          </cell>
        </row>
        <row r="461">
          <cell r="A461">
            <v>94901</v>
          </cell>
          <cell r="B461" t="str">
            <v>IREDELL COUNTY</v>
          </cell>
          <cell r="C461">
            <v>6.7841999999999998E-3</v>
          </cell>
          <cell r="D461">
            <v>7.0014999999999999E-3</v>
          </cell>
          <cell r="E461">
            <v>3201093</v>
          </cell>
          <cell r="F461">
            <v>14859529</v>
          </cell>
          <cell r="G461">
            <v>10364378</v>
          </cell>
          <cell r="H461"/>
          <cell r="I461">
            <v>597084</v>
          </cell>
          <cell r="J461">
            <v>2516484</v>
          </cell>
          <cell r="K461">
            <v>1480177</v>
          </cell>
          <cell r="L461">
            <v>16760</v>
          </cell>
          <cell r="M461"/>
          <cell r="N461">
            <v>293383</v>
          </cell>
          <cell r="O461">
            <v>0</v>
          </cell>
          <cell r="P461">
            <v>0</v>
          </cell>
          <cell r="Q461">
            <v>129476</v>
          </cell>
          <cell r="R461"/>
          <cell r="S461">
            <v>3492805</v>
          </cell>
          <cell r="T461">
            <v>-36324</v>
          </cell>
          <cell r="U461">
            <v>3456481</v>
          </cell>
        </row>
        <row r="462">
          <cell r="A462">
            <v>94908</v>
          </cell>
          <cell r="B462" t="str">
            <v>GREATER STATESVILLE DEVELOPMENT CORP</v>
          </cell>
          <cell r="C462">
            <v>7.7000000000000008E-6</v>
          </cell>
          <cell r="D462">
            <v>3.9799999999999998E-5</v>
          </cell>
          <cell r="E462">
            <v>7868</v>
          </cell>
          <cell r="F462">
            <v>84469</v>
          </cell>
          <cell r="G462">
            <v>11763</v>
          </cell>
          <cell r="H462"/>
          <cell r="I462">
            <v>678</v>
          </cell>
          <cell r="J462">
            <v>2857</v>
          </cell>
          <cell r="K462">
            <v>1680</v>
          </cell>
          <cell r="L462">
            <v>0</v>
          </cell>
          <cell r="M462"/>
          <cell r="N462">
            <v>333</v>
          </cell>
          <cell r="O462">
            <v>0</v>
          </cell>
          <cell r="P462">
            <v>0</v>
          </cell>
          <cell r="Q462">
            <v>21664</v>
          </cell>
          <cell r="R462"/>
          <cell r="S462">
            <v>3964</v>
          </cell>
          <cell r="T462">
            <v>-6783</v>
          </cell>
          <cell r="U462">
            <v>-2819</v>
          </cell>
        </row>
        <row r="463">
          <cell r="A463">
            <v>94911</v>
          </cell>
          <cell r="B463" t="str">
            <v>CITY OF STATESVILLE</v>
          </cell>
          <cell r="C463">
            <v>2.8311E-3</v>
          </cell>
          <cell r="D463">
            <v>2.7745999999999999E-3</v>
          </cell>
          <cell r="E463">
            <v>1295988</v>
          </cell>
          <cell r="F463">
            <v>5888631</v>
          </cell>
          <cell r="G463">
            <v>4325137</v>
          </cell>
          <cell r="H463"/>
          <cell r="I463">
            <v>249168</v>
          </cell>
          <cell r="J463">
            <v>1050149</v>
          </cell>
          <cell r="K463">
            <v>617689</v>
          </cell>
          <cell r="L463">
            <v>39747</v>
          </cell>
          <cell r="M463"/>
          <cell r="N463">
            <v>122431</v>
          </cell>
          <cell r="O463">
            <v>0</v>
          </cell>
          <cell r="P463">
            <v>0</v>
          </cell>
          <cell r="Q463">
            <v>40147</v>
          </cell>
          <cell r="R463"/>
          <cell r="S463">
            <v>1457575</v>
          </cell>
          <cell r="T463">
            <v>-7457</v>
          </cell>
          <cell r="U463">
            <v>1450118</v>
          </cell>
        </row>
        <row r="464">
          <cell r="A464">
            <v>94917</v>
          </cell>
          <cell r="B464" t="str">
            <v>STATESVILLE ABC BOARD</v>
          </cell>
          <cell r="C464">
            <v>3.5099999999999999E-5</v>
          </cell>
          <cell r="D464">
            <v>3.7400000000000001E-5</v>
          </cell>
          <cell r="E464">
            <v>27131</v>
          </cell>
          <cell r="F464">
            <v>79375</v>
          </cell>
          <cell r="G464">
            <v>53623</v>
          </cell>
          <cell r="H464"/>
          <cell r="I464">
            <v>3089</v>
          </cell>
          <cell r="J464">
            <v>13020</v>
          </cell>
          <cell r="K464">
            <v>7658</v>
          </cell>
          <cell r="L464">
            <v>16574</v>
          </cell>
          <cell r="M464"/>
          <cell r="N464">
            <v>1518</v>
          </cell>
          <cell r="O464">
            <v>0</v>
          </cell>
          <cell r="P464">
            <v>0</v>
          </cell>
          <cell r="Q464">
            <v>0</v>
          </cell>
          <cell r="R464"/>
          <cell r="S464">
            <v>18071</v>
          </cell>
          <cell r="T464">
            <v>7114</v>
          </cell>
          <cell r="U464">
            <v>25185</v>
          </cell>
        </row>
        <row r="465">
          <cell r="A465">
            <v>94921</v>
          </cell>
          <cell r="B465" t="str">
            <v>CITY OF MOORESVILLE</v>
          </cell>
          <cell r="C465">
            <v>3.9515000000000002E-3</v>
          </cell>
          <cell r="D465">
            <v>3.7063E-3</v>
          </cell>
          <cell r="E465">
            <v>1632572</v>
          </cell>
          <cell r="F465">
            <v>7866010</v>
          </cell>
          <cell r="G465">
            <v>6036797</v>
          </cell>
          <cell r="H465"/>
          <cell r="I465">
            <v>347775</v>
          </cell>
          <cell r="J465">
            <v>1465741</v>
          </cell>
          <cell r="K465">
            <v>862138</v>
          </cell>
          <cell r="L465">
            <v>19200</v>
          </cell>
          <cell r="M465"/>
          <cell r="N465">
            <v>170883</v>
          </cell>
          <cell r="O465">
            <v>0</v>
          </cell>
          <cell r="P465">
            <v>0</v>
          </cell>
          <cell r="Q465">
            <v>350239</v>
          </cell>
          <cell r="R465"/>
          <cell r="S465">
            <v>2034406</v>
          </cell>
          <cell r="T465">
            <v>-150626</v>
          </cell>
          <cell r="U465">
            <v>1883780</v>
          </cell>
        </row>
        <row r="466">
          <cell r="A466">
            <v>94923</v>
          </cell>
          <cell r="B466" t="str">
            <v>MOORESVILLE HOUSING AUTHORITY</v>
          </cell>
          <cell r="C466">
            <v>3.0700000000000001E-5</v>
          </cell>
          <cell r="D466">
            <v>2.4499999999999999E-5</v>
          </cell>
          <cell r="E466">
            <v>14810</v>
          </cell>
          <cell r="F466">
            <v>51997</v>
          </cell>
          <cell r="G466">
            <v>46901</v>
          </cell>
          <cell r="H466"/>
          <cell r="I466">
            <v>2702</v>
          </cell>
          <cell r="J466">
            <v>11387</v>
          </cell>
          <cell r="K466">
            <v>6698</v>
          </cell>
          <cell r="L466">
            <v>5727</v>
          </cell>
          <cell r="M466"/>
          <cell r="N466">
            <v>1328</v>
          </cell>
          <cell r="O466">
            <v>0</v>
          </cell>
          <cell r="P466">
            <v>0</v>
          </cell>
          <cell r="Q466">
            <v>86</v>
          </cell>
          <cell r="R466"/>
          <cell r="S466">
            <v>15806</v>
          </cell>
          <cell r="T466">
            <v>1556</v>
          </cell>
          <cell r="U466">
            <v>17362</v>
          </cell>
        </row>
        <row r="467">
          <cell r="A467">
            <v>94927</v>
          </cell>
          <cell r="B467" t="str">
            <v>MOORESVILLE ABC BOARD</v>
          </cell>
          <cell r="C467">
            <v>3.0599999999999998E-5</v>
          </cell>
          <cell r="D467">
            <v>3.3899999999999997E-5</v>
          </cell>
          <cell r="E467">
            <v>17353</v>
          </cell>
          <cell r="F467">
            <v>71947</v>
          </cell>
          <cell r="G467">
            <v>46748</v>
          </cell>
          <cell r="H467"/>
          <cell r="I467">
            <v>2693</v>
          </cell>
          <cell r="J467">
            <v>11350</v>
          </cell>
          <cell r="K467">
            <v>6676</v>
          </cell>
          <cell r="L467">
            <v>2683</v>
          </cell>
          <cell r="M467"/>
          <cell r="N467">
            <v>1323</v>
          </cell>
          <cell r="O467">
            <v>0</v>
          </cell>
          <cell r="P467">
            <v>0</v>
          </cell>
          <cell r="Q467">
            <v>26</v>
          </cell>
          <cell r="R467"/>
          <cell r="S467">
            <v>15754</v>
          </cell>
          <cell r="T467">
            <v>911</v>
          </cell>
          <cell r="U467">
            <v>16665</v>
          </cell>
        </row>
        <row r="468">
          <cell r="A468">
            <v>94931</v>
          </cell>
          <cell r="B468" t="str">
            <v>TOWN OF TROUTMAN</v>
          </cell>
          <cell r="C468">
            <v>2.163E-4</v>
          </cell>
          <cell r="D468">
            <v>2.1130000000000001E-4</v>
          </cell>
          <cell r="E468">
            <v>96302</v>
          </cell>
          <cell r="F468">
            <v>448449</v>
          </cell>
          <cell r="G468">
            <v>330446</v>
          </cell>
          <cell r="H468"/>
          <cell r="I468">
            <v>19037</v>
          </cell>
          <cell r="J468">
            <v>80233</v>
          </cell>
          <cell r="K468">
            <v>47192</v>
          </cell>
          <cell r="L468">
            <v>954</v>
          </cell>
          <cell r="M468"/>
          <cell r="N468">
            <v>9354</v>
          </cell>
          <cell r="O468">
            <v>0</v>
          </cell>
          <cell r="P468">
            <v>0</v>
          </cell>
          <cell r="Q468">
            <v>15740</v>
          </cell>
          <cell r="R468"/>
          <cell r="S468">
            <v>111361</v>
          </cell>
          <cell r="T468">
            <v>-7901</v>
          </cell>
          <cell r="U468">
            <v>103460</v>
          </cell>
        </row>
        <row r="469">
          <cell r="A469">
            <v>94941</v>
          </cell>
          <cell r="B469" t="str">
            <v>MI CONNECTION COMMUNICATIONS SYSTEM</v>
          </cell>
          <cell r="C469">
            <v>5.7879999999999997E-4</v>
          </cell>
          <cell r="D469">
            <v>5.2959999999999997E-4</v>
          </cell>
          <cell r="E469">
            <v>242954</v>
          </cell>
          <cell r="F469">
            <v>1123989</v>
          </cell>
          <cell r="G469">
            <v>884246</v>
          </cell>
          <cell r="H469"/>
          <cell r="I469">
            <v>50941</v>
          </cell>
          <cell r="J469">
            <v>214696</v>
          </cell>
          <cell r="K469">
            <v>126283</v>
          </cell>
          <cell r="L469">
            <v>68775</v>
          </cell>
          <cell r="M469"/>
          <cell r="N469">
            <v>25030</v>
          </cell>
          <cell r="O469">
            <v>0</v>
          </cell>
          <cell r="P469">
            <v>0</v>
          </cell>
          <cell r="Q469">
            <v>0</v>
          </cell>
          <cell r="R469"/>
          <cell r="S469">
            <v>297992</v>
          </cell>
          <cell r="T469">
            <v>46151</v>
          </cell>
          <cell r="U469">
            <v>344143</v>
          </cell>
        </row>
        <row r="470">
          <cell r="A470">
            <v>95001</v>
          </cell>
          <cell r="B470" t="str">
            <v>JACKSON COUNTY</v>
          </cell>
          <cell r="C470">
            <v>2.4867000000000001E-3</v>
          </cell>
          <cell r="D470">
            <v>2.3779000000000001E-3</v>
          </cell>
          <cell r="E470">
            <v>1196131</v>
          </cell>
          <cell r="F470">
            <v>5046700</v>
          </cell>
          <cell r="G470">
            <v>3798989</v>
          </cell>
          <cell r="H470"/>
          <cell r="I470">
            <v>218857</v>
          </cell>
          <cell r="J470">
            <v>922399</v>
          </cell>
          <cell r="K470">
            <v>542548</v>
          </cell>
          <cell r="L470">
            <v>176888</v>
          </cell>
          <cell r="M470"/>
          <cell r="N470">
            <v>107537</v>
          </cell>
          <cell r="O470">
            <v>0</v>
          </cell>
          <cell r="P470">
            <v>0</v>
          </cell>
          <cell r="Q470">
            <v>3991</v>
          </cell>
          <cell r="R470"/>
          <cell r="S470">
            <v>1280263</v>
          </cell>
          <cell r="T470">
            <v>51652</v>
          </cell>
          <cell r="U470">
            <v>1331915</v>
          </cell>
        </row>
        <row r="471">
          <cell r="A471">
            <v>95002</v>
          </cell>
          <cell r="B471" t="str">
            <v>TUCKASEIGEE WATER AUTHORITY</v>
          </cell>
          <cell r="C471">
            <v>1.907E-4</v>
          </cell>
          <cell r="D471">
            <v>2.0120000000000001E-4</v>
          </cell>
          <cell r="E471">
            <v>100854</v>
          </cell>
          <cell r="F471">
            <v>427014</v>
          </cell>
          <cell r="G471">
            <v>291337</v>
          </cell>
          <cell r="H471"/>
          <cell r="I471">
            <v>16784</v>
          </cell>
          <cell r="J471">
            <v>70737</v>
          </cell>
          <cell r="K471">
            <v>41607</v>
          </cell>
          <cell r="L471">
            <v>15647</v>
          </cell>
          <cell r="M471"/>
          <cell r="N471">
            <v>8247</v>
          </cell>
          <cell r="O471">
            <v>0</v>
          </cell>
          <cell r="P471">
            <v>0</v>
          </cell>
          <cell r="Q471">
            <v>0</v>
          </cell>
          <cell r="R471"/>
          <cell r="S471">
            <v>98181</v>
          </cell>
          <cell r="T471">
            <v>6293</v>
          </cell>
          <cell r="U471">
            <v>104474</v>
          </cell>
        </row>
        <row r="472">
          <cell r="A472">
            <v>95005</v>
          </cell>
          <cell r="B472" t="str">
            <v>FONTANA REGIONAL LIBRARY</v>
          </cell>
          <cell r="C472">
            <v>2.2949999999999999E-4</v>
          </cell>
          <cell r="D472">
            <v>2.3829999999999999E-4</v>
          </cell>
          <cell r="E472">
            <v>111067</v>
          </cell>
          <cell r="F472">
            <v>505752</v>
          </cell>
          <cell r="G472">
            <v>350612</v>
          </cell>
          <cell r="H472"/>
          <cell r="I472">
            <v>20199</v>
          </cell>
          <cell r="J472">
            <v>85129</v>
          </cell>
          <cell r="K472">
            <v>50072</v>
          </cell>
          <cell r="L472">
            <v>13727</v>
          </cell>
          <cell r="M472"/>
          <cell r="N472">
            <v>9925</v>
          </cell>
          <cell r="O472">
            <v>0</v>
          </cell>
          <cell r="P472">
            <v>0</v>
          </cell>
          <cell r="Q472">
            <v>1630</v>
          </cell>
          <cell r="R472"/>
          <cell r="S472">
            <v>118157</v>
          </cell>
          <cell r="T472">
            <v>9042</v>
          </cell>
          <cell r="U472">
            <v>127199</v>
          </cell>
        </row>
        <row r="473">
          <cell r="A473">
            <v>95008</v>
          </cell>
          <cell r="B473" t="str">
            <v>SOUTHWESTERN NC PLANNING &amp; ECON.DEV.COMMIS.</v>
          </cell>
          <cell r="C473">
            <v>1.1519999999999999E-4</v>
          </cell>
          <cell r="D473">
            <v>1.169E-4</v>
          </cell>
          <cell r="E473">
            <v>62834</v>
          </cell>
          <cell r="F473">
            <v>248101</v>
          </cell>
          <cell r="G473">
            <v>175994</v>
          </cell>
          <cell r="H473"/>
          <cell r="I473">
            <v>10139</v>
          </cell>
          <cell r="J473">
            <v>42731</v>
          </cell>
          <cell r="K473">
            <v>25134</v>
          </cell>
          <cell r="L473">
            <v>19189</v>
          </cell>
          <cell r="M473"/>
          <cell r="N473">
            <v>4982</v>
          </cell>
          <cell r="O473">
            <v>0</v>
          </cell>
          <cell r="P473">
            <v>0</v>
          </cell>
          <cell r="Q473">
            <v>6239</v>
          </cell>
          <cell r="R473"/>
          <cell r="S473">
            <v>59310</v>
          </cell>
          <cell r="T473">
            <v>9098</v>
          </cell>
          <cell r="U473">
            <v>68408</v>
          </cell>
        </row>
        <row r="474">
          <cell r="A474">
            <v>95009</v>
          </cell>
          <cell r="B474" t="str">
            <v>VAYA HEALTH</v>
          </cell>
          <cell r="C474">
            <v>4.2208999999999997E-3</v>
          </cell>
          <cell r="D474">
            <v>3.9902000000000002E-3</v>
          </cell>
          <cell r="E474">
            <v>1917856</v>
          </cell>
          <cell r="F474">
            <v>0</v>
          </cell>
          <cell r="G474">
            <v>6448366</v>
          </cell>
          <cell r="H474"/>
          <cell r="I474">
            <v>371486</v>
          </cell>
          <cell r="J474">
            <v>1565671</v>
          </cell>
          <cell r="K474">
            <v>920916</v>
          </cell>
          <cell r="L474">
            <v>897451</v>
          </cell>
          <cell r="M474"/>
          <cell r="N474">
            <v>182533</v>
          </cell>
          <cell r="O474">
            <v>0</v>
          </cell>
          <cell r="P474">
            <v>0</v>
          </cell>
          <cell r="Q474">
            <v>0</v>
          </cell>
          <cell r="R474"/>
          <cell r="S474">
            <v>2173105</v>
          </cell>
          <cell r="T474">
            <v>582135</v>
          </cell>
          <cell r="U474">
            <v>2755240</v>
          </cell>
        </row>
        <row r="475">
          <cell r="A475">
            <v>95011</v>
          </cell>
          <cell r="B475" t="str">
            <v>TOWN OF SYLVA</v>
          </cell>
          <cell r="C475">
            <v>1.8000000000000001E-4</v>
          </cell>
          <cell r="D475">
            <v>1.707E-4</v>
          </cell>
          <cell r="E475">
            <v>78934</v>
          </cell>
          <cell r="F475">
            <v>362283</v>
          </cell>
          <cell r="G475">
            <v>274990</v>
          </cell>
          <cell r="H475"/>
          <cell r="I475">
            <v>15842</v>
          </cell>
          <cell r="J475">
            <v>66768</v>
          </cell>
          <cell r="K475">
            <v>39272</v>
          </cell>
          <cell r="L475">
            <v>3275</v>
          </cell>
          <cell r="M475"/>
          <cell r="N475">
            <v>7784</v>
          </cell>
          <cell r="O475">
            <v>0</v>
          </cell>
          <cell r="P475">
            <v>0</v>
          </cell>
          <cell r="Q475">
            <v>8909</v>
          </cell>
          <cell r="R475"/>
          <cell r="S475">
            <v>92672</v>
          </cell>
          <cell r="T475">
            <v>-3840</v>
          </cell>
          <cell r="U475">
            <v>88832</v>
          </cell>
        </row>
        <row r="476">
          <cell r="A476">
            <v>95017</v>
          </cell>
          <cell r="B476" t="str">
            <v>JACKSON COUNTY ABC BOARD</v>
          </cell>
          <cell r="C476">
            <v>3.8800000000000001E-5</v>
          </cell>
          <cell r="D476">
            <v>3.5800000000000003E-5</v>
          </cell>
          <cell r="E476">
            <v>15330</v>
          </cell>
          <cell r="F476">
            <v>75980</v>
          </cell>
          <cell r="G476">
            <v>59276</v>
          </cell>
          <cell r="H476"/>
          <cell r="I476">
            <v>3415</v>
          </cell>
          <cell r="J476">
            <v>14392</v>
          </cell>
          <cell r="K476">
            <v>8465</v>
          </cell>
          <cell r="L476">
            <v>13339</v>
          </cell>
          <cell r="M476"/>
          <cell r="N476">
            <v>1678</v>
          </cell>
          <cell r="O476">
            <v>0</v>
          </cell>
          <cell r="P476">
            <v>0</v>
          </cell>
          <cell r="Q476">
            <v>0</v>
          </cell>
          <cell r="R476"/>
          <cell r="S476">
            <v>19976</v>
          </cell>
          <cell r="T476">
            <v>7635</v>
          </cell>
          <cell r="U476">
            <v>27611</v>
          </cell>
        </row>
        <row r="477">
          <cell r="A477">
            <v>95101</v>
          </cell>
          <cell r="B477" t="str">
            <v>JOHNSTON COUNTY</v>
          </cell>
          <cell r="C477">
            <v>8.3750999999999999E-3</v>
          </cell>
          <cell r="D477">
            <v>8.0955999999999997E-3</v>
          </cell>
          <cell r="E477">
            <v>3555097</v>
          </cell>
          <cell r="F477">
            <v>17181575</v>
          </cell>
          <cell r="G477">
            <v>12794833</v>
          </cell>
          <cell r="H477"/>
          <cell r="I477">
            <v>737101</v>
          </cell>
          <cell r="J477">
            <v>3106601</v>
          </cell>
          <cell r="K477">
            <v>1827279</v>
          </cell>
          <cell r="L477">
            <v>39562</v>
          </cell>
          <cell r="M477"/>
          <cell r="N477">
            <v>362181</v>
          </cell>
          <cell r="O477">
            <v>0</v>
          </cell>
          <cell r="P477">
            <v>0</v>
          </cell>
          <cell r="Q477">
            <v>114122</v>
          </cell>
          <cell r="R477"/>
          <cell r="S477">
            <v>4311870</v>
          </cell>
          <cell r="T477">
            <v>1978</v>
          </cell>
          <cell r="U477">
            <v>4313848</v>
          </cell>
        </row>
        <row r="478">
          <cell r="A478">
            <v>95103</v>
          </cell>
          <cell r="B478" t="str">
            <v>BENSON HOUSING AUTHORITY</v>
          </cell>
          <cell r="C478">
            <v>4.9100000000000001E-5</v>
          </cell>
          <cell r="D478">
            <v>6.02E-5</v>
          </cell>
          <cell r="E478">
            <v>33036</v>
          </cell>
          <cell r="F478">
            <v>127765</v>
          </cell>
          <cell r="G478">
            <v>75011</v>
          </cell>
          <cell r="H478"/>
          <cell r="I478">
            <v>4321</v>
          </cell>
          <cell r="J478">
            <v>18213</v>
          </cell>
          <cell r="K478">
            <v>10713</v>
          </cell>
          <cell r="L478">
            <v>24203</v>
          </cell>
          <cell r="M478"/>
          <cell r="N478">
            <v>2123</v>
          </cell>
          <cell r="O478">
            <v>0</v>
          </cell>
          <cell r="P478">
            <v>0</v>
          </cell>
          <cell r="Q478">
            <v>0</v>
          </cell>
          <cell r="R478"/>
          <cell r="S478">
            <v>25279</v>
          </cell>
          <cell r="T478">
            <v>18053</v>
          </cell>
          <cell r="U478">
            <v>43332</v>
          </cell>
        </row>
        <row r="479">
          <cell r="A479">
            <v>95104</v>
          </cell>
          <cell r="B479" t="str">
            <v>JOHNSTON COUNTY ABC BOARD</v>
          </cell>
          <cell r="C479">
            <v>1.02E-4</v>
          </cell>
          <cell r="D479">
            <v>1.011E-4</v>
          </cell>
          <cell r="E479">
            <v>55856</v>
          </cell>
          <cell r="F479">
            <v>214568</v>
          </cell>
          <cell r="G479">
            <v>155828</v>
          </cell>
          <cell r="H479"/>
          <cell r="I479">
            <v>8977</v>
          </cell>
          <cell r="J479">
            <v>37835</v>
          </cell>
          <cell r="K479">
            <v>22254</v>
          </cell>
          <cell r="L479">
            <v>19729</v>
          </cell>
          <cell r="M479"/>
          <cell r="N479">
            <v>4411</v>
          </cell>
          <cell r="O479">
            <v>0</v>
          </cell>
          <cell r="P479">
            <v>0</v>
          </cell>
          <cell r="Q479">
            <v>0</v>
          </cell>
          <cell r="R479"/>
          <cell r="S479">
            <v>52514</v>
          </cell>
          <cell r="T479">
            <v>8399</v>
          </cell>
          <cell r="U479">
            <v>60913</v>
          </cell>
        </row>
        <row r="480">
          <cell r="A480">
            <v>95105</v>
          </cell>
          <cell r="B480" t="str">
            <v>PUBLIC LIBRARY OF JOHNSTON CO AND SMITHFIELD</v>
          </cell>
          <cell r="C480">
            <v>6.1099999999999994E-5</v>
          </cell>
          <cell r="D480">
            <v>6.3700000000000003E-5</v>
          </cell>
          <cell r="E480">
            <v>33363</v>
          </cell>
          <cell r="F480">
            <v>135193</v>
          </cell>
          <cell r="G480">
            <v>93344</v>
          </cell>
          <cell r="H480"/>
          <cell r="I480">
            <v>5377</v>
          </cell>
          <cell r="J480">
            <v>22664</v>
          </cell>
          <cell r="K480">
            <v>13331</v>
          </cell>
          <cell r="L480">
            <v>8129</v>
          </cell>
          <cell r="M480"/>
          <cell r="N480">
            <v>2642</v>
          </cell>
          <cell r="O480">
            <v>0</v>
          </cell>
          <cell r="P480">
            <v>0</v>
          </cell>
          <cell r="Q480">
            <v>0</v>
          </cell>
          <cell r="R480"/>
          <cell r="S480">
            <v>31457</v>
          </cell>
          <cell r="T480">
            <v>4018</v>
          </cell>
          <cell r="U480">
            <v>35475</v>
          </cell>
        </row>
        <row r="481">
          <cell r="A481">
            <v>95106</v>
          </cell>
          <cell r="B481" t="str">
            <v>TOWN OF ARCHER LODGE</v>
          </cell>
          <cell r="C481">
            <v>1.2099999999999999E-5</v>
          </cell>
          <cell r="D481">
            <v>1.3900000000000001E-5</v>
          </cell>
          <cell r="E481">
            <v>5272</v>
          </cell>
          <cell r="F481">
            <v>29500</v>
          </cell>
          <cell r="G481">
            <v>18485</v>
          </cell>
          <cell r="H481"/>
          <cell r="I481">
            <v>1065</v>
          </cell>
          <cell r="J481">
            <v>4488</v>
          </cell>
          <cell r="K481">
            <v>2640</v>
          </cell>
          <cell r="L481">
            <v>4918</v>
          </cell>
          <cell r="M481"/>
          <cell r="N481">
            <v>523</v>
          </cell>
          <cell r="O481">
            <v>0</v>
          </cell>
          <cell r="P481">
            <v>0</v>
          </cell>
          <cell r="Q481">
            <v>1433</v>
          </cell>
          <cell r="R481"/>
          <cell r="S481">
            <v>6230</v>
          </cell>
          <cell r="T481">
            <v>2234</v>
          </cell>
          <cell r="U481">
            <v>8464</v>
          </cell>
        </row>
        <row r="482">
          <cell r="A482">
            <v>95110</v>
          </cell>
          <cell r="B482" t="str">
            <v>JOHNSTON HEALTH CENTER</v>
          </cell>
          <cell r="C482">
            <v>4.2902000000000001E-3</v>
          </cell>
          <cell r="D482">
            <v>4.4609000000000003E-3</v>
          </cell>
          <cell r="E482">
            <v>1965505</v>
          </cell>
          <cell r="F482">
            <v>9467524</v>
          </cell>
          <cell r="G482">
            <v>6554237</v>
          </cell>
          <cell r="H482"/>
          <cell r="I482">
            <v>377585</v>
          </cell>
          <cell r="J482">
            <v>1591377</v>
          </cell>
          <cell r="K482">
            <v>936036</v>
          </cell>
          <cell r="L482">
            <v>0</v>
          </cell>
          <cell r="M482"/>
          <cell r="N482">
            <v>185530</v>
          </cell>
          <cell r="O482">
            <v>0</v>
          </cell>
          <cell r="P482">
            <v>0</v>
          </cell>
          <cell r="Q482">
            <v>1097124</v>
          </cell>
          <cell r="R482"/>
          <cell r="S482">
            <v>2208784</v>
          </cell>
          <cell r="T482">
            <v>-636198</v>
          </cell>
          <cell r="U482">
            <v>1572586</v>
          </cell>
        </row>
        <row r="483">
          <cell r="A483">
            <v>95111</v>
          </cell>
          <cell r="B483" t="str">
            <v>TOWN OF SMITHFIELD</v>
          </cell>
          <cell r="C483">
            <v>1.0778999999999999E-3</v>
          </cell>
          <cell r="D483">
            <v>1.0709000000000001E-3</v>
          </cell>
          <cell r="E483">
            <v>470003</v>
          </cell>
          <cell r="F483">
            <v>2272809</v>
          </cell>
          <cell r="G483">
            <v>1646733</v>
          </cell>
          <cell r="H483"/>
          <cell r="I483">
            <v>94867</v>
          </cell>
          <cell r="J483">
            <v>399829</v>
          </cell>
          <cell r="K483">
            <v>235176</v>
          </cell>
          <cell r="L483">
            <v>0</v>
          </cell>
          <cell r="M483"/>
          <cell r="N483">
            <v>46614</v>
          </cell>
          <cell r="O483">
            <v>0</v>
          </cell>
          <cell r="P483">
            <v>0</v>
          </cell>
          <cell r="Q483">
            <v>120462</v>
          </cell>
          <cell r="R483"/>
          <cell r="S483">
            <v>554950</v>
          </cell>
          <cell r="T483">
            <v>-59518</v>
          </cell>
          <cell r="U483">
            <v>495432</v>
          </cell>
        </row>
        <row r="484">
          <cell r="A484">
            <v>95113</v>
          </cell>
          <cell r="B484" t="str">
            <v>SMITHFIELD HOUSING AUTHORITY</v>
          </cell>
          <cell r="C484">
            <v>4.6699999999999997E-5</v>
          </cell>
          <cell r="D484">
            <v>4.7500000000000003E-5</v>
          </cell>
          <cell r="E484">
            <v>66187</v>
          </cell>
          <cell r="F484">
            <v>100811</v>
          </cell>
          <cell r="G484">
            <v>71345</v>
          </cell>
          <cell r="H484"/>
          <cell r="I484">
            <v>4110</v>
          </cell>
          <cell r="J484">
            <v>17322</v>
          </cell>
          <cell r="K484">
            <v>10189</v>
          </cell>
          <cell r="L484">
            <v>82563</v>
          </cell>
          <cell r="M484"/>
          <cell r="N484">
            <v>2020</v>
          </cell>
          <cell r="O484">
            <v>0</v>
          </cell>
          <cell r="P484">
            <v>0</v>
          </cell>
          <cell r="Q484">
            <v>0</v>
          </cell>
          <cell r="R484"/>
          <cell r="S484">
            <v>24043</v>
          </cell>
          <cell r="T484">
            <v>31359</v>
          </cell>
          <cell r="U484">
            <v>55402</v>
          </cell>
        </row>
        <row r="485">
          <cell r="A485">
            <v>95121</v>
          </cell>
          <cell r="B485" t="str">
            <v>TOWN OF SELMA</v>
          </cell>
          <cell r="C485">
            <v>4.9770000000000001E-4</v>
          </cell>
          <cell r="D485">
            <v>4.9580000000000002E-4</v>
          </cell>
          <cell r="E485">
            <v>224754</v>
          </cell>
          <cell r="F485">
            <v>1052254</v>
          </cell>
          <cell r="G485">
            <v>760348</v>
          </cell>
          <cell r="H485"/>
          <cell r="I485">
            <v>43803</v>
          </cell>
          <cell r="J485">
            <v>184613</v>
          </cell>
          <cell r="K485">
            <v>108588</v>
          </cell>
          <cell r="L485">
            <v>12640</v>
          </cell>
          <cell r="M485"/>
          <cell r="N485">
            <v>21523</v>
          </cell>
          <cell r="O485">
            <v>0</v>
          </cell>
          <cell r="P485">
            <v>0</v>
          </cell>
          <cell r="Q485">
            <v>14371</v>
          </cell>
          <cell r="R485"/>
          <cell r="S485">
            <v>256238</v>
          </cell>
          <cell r="T485">
            <v>-7628</v>
          </cell>
          <cell r="U485">
            <v>248610</v>
          </cell>
        </row>
        <row r="486">
          <cell r="A486">
            <v>95122</v>
          </cell>
          <cell r="B486" t="str">
            <v>TOWN OF MICRO</v>
          </cell>
          <cell r="C486">
            <v>6.4999999999999996E-6</v>
          </cell>
          <cell r="D486">
            <v>2.7999999999999999E-6</v>
          </cell>
          <cell r="E486">
            <v>3103</v>
          </cell>
          <cell r="F486">
            <v>5943</v>
          </cell>
          <cell r="G486">
            <v>9930</v>
          </cell>
          <cell r="H486"/>
          <cell r="I486">
            <v>572</v>
          </cell>
          <cell r="J486">
            <v>2411</v>
          </cell>
          <cell r="K486">
            <v>1418</v>
          </cell>
          <cell r="L486">
            <v>3675</v>
          </cell>
          <cell r="M486"/>
          <cell r="N486">
            <v>281</v>
          </cell>
          <cell r="O486">
            <v>0</v>
          </cell>
          <cell r="P486">
            <v>0</v>
          </cell>
          <cell r="Q486">
            <v>0</v>
          </cell>
          <cell r="R486"/>
          <cell r="S486">
            <v>3346</v>
          </cell>
          <cell r="T486">
            <v>1103</v>
          </cell>
          <cell r="U486">
            <v>4449</v>
          </cell>
        </row>
        <row r="487">
          <cell r="A487">
            <v>95123</v>
          </cell>
          <cell r="B487" t="str">
            <v>SELMA HOUSING AUTHORITY</v>
          </cell>
          <cell r="C487">
            <v>5.7399999999999999E-5</v>
          </cell>
          <cell r="D487">
            <v>5.6700000000000003E-5</v>
          </cell>
          <cell r="E487">
            <v>29191</v>
          </cell>
          <cell r="F487">
            <v>120336</v>
          </cell>
          <cell r="G487">
            <v>87691</v>
          </cell>
          <cell r="H487"/>
          <cell r="I487">
            <v>5052</v>
          </cell>
          <cell r="J487">
            <v>21291</v>
          </cell>
          <cell r="K487">
            <v>12524</v>
          </cell>
          <cell r="L487">
            <v>8811</v>
          </cell>
          <cell r="M487"/>
          <cell r="N487">
            <v>2482</v>
          </cell>
          <cell r="O487">
            <v>0</v>
          </cell>
          <cell r="P487">
            <v>0</v>
          </cell>
          <cell r="Q487">
            <v>1459</v>
          </cell>
          <cell r="R487"/>
          <cell r="S487">
            <v>29552</v>
          </cell>
          <cell r="T487">
            <v>1830</v>
          </cell>
          <cell r="U487">
            <v>31382</v>
          </cell>
        </row>
        <row r="488">
          <cell r="A488">
            <v>95131</v>
          </cell>
          <cell r="B488" t="str">
            <v>TOWN OF CLAYTON</v>
          </cell>
          <cell r="C488">
            <v>1.6682999999999999E-3</v>
          </cell>
          <cell r="D488">
            <v>1.5451E-3</v>
          </cell>
          <cell r="E488">
            <v>749707</v>
          </cell>
          <cell r="F488">
            <v>3279220</v>
          </cell>
          <cell r="G488">
            <v>2548700</v>
          </cell>
          <cell r="H488"/>
          <cell r="I488">
            <v>146829</v>
          </cell>
          <cell r="J488">
            <v>618827</v>
          </cell>
          <cell r="K488">
            <v>363990</v>
          </cell>
          <cell r="L488">
            <v>105945</v>
          </cell>
          <cell r="M488"/>
          <cell r="N488">
            <v>72146</v>
          </cell>
          <cell r="O488">
            <v>0</v>
          </cell>
          <cell r="P488">
            <v>0</v>
          </cell>
          <cell r="Q488">
            <v>846</v>
          </cell>
          <cell r="R488"/>
          <cell r="S488">
            <v>858914</v>
          </cell>
          <cell r="T488">
            <v>33842</v>
          </cell>
          <cell r="U488">
            <v>892756</v>
          </cell>
        </row>
        <row r="489">
          <cell r="A489">
            <v>95141</v>
          </cell>
          <cell r="B489" t="str">
            <v>TOWN OF BENSON</v>
          </cell>
          <cell r="C489">
            <v>3.2220000000000003E-4</v>
          </cell>
          <cell r="D489">
            <v>3.1819999999999998E-4</v>
          </cell>
          <cell r="E489">
            <v>131053</v>
          </cell>
          <cell r="F489">
            <v>675327</v>
          </cell>
          <cell r="G489">
            <v>492232</v>
          </cell>
          <cell r="H489"/>
          <cell r="I489">
            <v>28357</v>
          </cell>
          <cell r="J489">
            <v>119515</v>
          </cell>
          <cell r="K489">
            <v>70298</v>
          </cell>
          <cell r="L489">
            <v>1251</v>
          </cell>
          <cell r="M489"/>
          <cell r="N489">
            <v>13934</v>
          </cell>
          <cell r="O489">
            <v>0</v>
          </cell>
          <cell r="P489">
            <v>0</v>
          </cell>
          <cell r="Q489">
            <v>29129</v>
          </cell>
          <cell r="R489"/>
          <cell r="S489">
            <v>165883</v>
          </cell>
          <cell r="T489">
            <v>-11233</v>
          </cell>
          <cell r="U489">
            <v>154650</v>
          </cell>
        </row>
        <row r="490">
          <cell r="A490">
            <v>95151</v>
          </cell>
          <cell r="B490" t="str">
            <v>TOWN OF FOUR OAKS</v>
          </cell>
          <cell r="C490">
            <v>1.092E-4</v>
          </cell>
          <cell r="D490">
            <v>1.158E-4</v>
          </cell>
          <cell r="E490">
            <v>46663</v>
          </cell>
          <cell r="F490">
            <v>245766</v>
          </cell>
          <cell r="G490">
            <v>166827</v>
          </cell>
          <cell r="H490"/>
          <cell r="I490">
            <v>9611</v>
          </cell>
          <cell r="J490">
            <v>40506</v>
          </cell>
          <cell r="K490">
            <v>23825</v>
          </cell>
          <cell r="L490">
            <v>364</v>
          </cell>
          <cell r="M490"/>
          <cell r="N490">
            <v>4722</v>
          </cell>
          <cell r="O490">
            <v>0</v>
          </cell>
          <cell r="P490">
            <v>0</v>
          </cell>
          <cell r="Q490">
            <v>10802</v>
          </cell>
          <cell r="R490"/>
          <cell r="S490">
            <v>56221</v>
          </cell>
          <cell r="T490">
            <v>-3332</v>
          </cell>
          <cell r="U490">
            <v>52889</v>
          </cell>
        </row>
        <row r="491">
          <cell r="A491">
            <v>95161</v>
          </cell>
          <cell r="B491" t="str">
            <v>TOWN OF PINE LEVEL</v>
          </cell>
          <cell r="C491">
            <v>6.8100000000000002E-5</v>
          </cell>
          <cell r="D491">
            <v>7.4800000000000002E-5</v>
          </cell>
          <cell r="E491">
            <v>38087</v>
          </cell>
          <cell r="F491">
            <v>158751</v>
          </cell>
          <cell r="G491">
            <v>104038</v>
          </cell>
          <cell r="H491"/>
          <cell r="I491">
            <v>5994</v>
          </cell>
          <cell r="J491">
            <v>25261</v>
          </cell>
          <cell r="K491">
            <v>14858</v>
          </cell>
          <cell r="L491">
            <v>5468</v>
          </cell>
          <cell r="M491"/>
          <cell r="N491">
            <v>2945</v>
          </cell>
          <cell r="O491">
            <v>0</v>
          </cell>
          <cell r="P491">
            <v>0</v>
          </cell>
          <cell r="Q491">
            <v>1353</v>
          </cell>
          <cell r="R491"/>
          <cell r="S491">
            <v>35061</v>
          </cell>
          <cell r="T491">
            <v>1287</v>
          </cell>
          <cell r="U491">
            <v>36348</v>
          </cell>
        </row>
        <row r="492">
          <cell r="A492">
            <v>95171</v>
          </cell>
          <cell r="B492" t="str">
            <v>TOWN OF KENLY</v>
          </cell>
          <cell r="C492">
            <v>1.0459999999999999E-4</v>
          </cell>
          <cell r="D492">
            <v>1.2300000000000001E-4</v>
          </cell>
          <cell r="E492">
            <v>53917</v>
          </cell>
          <cell r="F492">
            <v>261047</v>
          </cell>
          <cell r="G492">
            <v>159800</v>
          </cell>
          <cell r="H492"/>
          <cell r="I492">
            <v>9206</v>
          </cell>
          <cell r="J492">
            <v>38799</v>
          </cell>
          <cell r="K492">
            <v>22822</v>
          </cell>
          <cell r="L492">
            <v>6705</v>
          </cell>
          <cell r="M492"/>
          <cell r="N492">
            <v>4523</v>
          </cell>
          <cell r="O492">
            <v>0</v>
          </cell>
          <cell r="P492">
            <v>0</v>
          </cell>
          <cell r="Q492">
            <v>14987</v>
          </cell>
          <cell r="R492"/>
          <cell r="S492">
            <v>53853</v>
          </cell>
          <cell r="T492">
            <v>-3646</v>
          </cell>
          <cell r="U492">
            <v>50207</v>
          </cell>
        </row>
        <row r="493">
          <cell r="A493">
            <v>95181</v>
          </cell>
          <cell r="B493" t="str">
            <v>TOWN OF PRINCETON</v>
          </cell>
          <cell r="C493">
            <v>7.7100000000000004E-5</v>
          </cell>
          <cell r="D493">
            <v>7.7899999999999996E-5</v>
          </cell>
          <cell r="E493">
            <v>30099</v>
          </cell>
          <cell r="F493">
            <v>165330</v>
          </cell>
          <cell r="G493">
            <v>117787</v>
          </cell>
          <cell r="H493"/>
          <cell r="I493">
            <v>6786</v>
          </cell>
          <cell r="J493">
            <v>28599</v>
          </cell>
          <cell r="K493">
            <v>16822</v>
          </cell>
          <cell r="L493">
            <v>1069</v>
          </cell>
          <cell r="M493"/>
          <cell r="N493">
            <v>3334</v>
          </cell>
          <cell r="O493">
            <v>0</v>
          </cell>
          <cell r="P493">
            <v>0</v>
          </cell>
          <cell r="Q493">
            <v>9474</v>
          </cell>
          <cell r="R493"/>
          <cell r="S493">
            <v>39694</v>
          </cell>
          <cell r="T493">
            <v>-2444</v>
          </cell>
          <cell r="U493">
            <v>37250</v>
          </cell>
        </row>
        <row r="494">
          <cell r="A494">
            <v>95191</v>
          </cell>
          <cell r="B494" t="str">
            <v>TOWN OF WILSON'S MILLS</v>
          </cell>
          <cell r="C494">
            <v>5.3999999999999998E-5</v>
          </cell>
          <cell r="D494">
            <v>5.3999999999999998E-5</v>
          </cell>
          <cell r="E494">
            <v>31311</v>
          </cell>
          <cell r="F494">
            <v>114606</v>
          </cell>
          <cell r="G494">
            <v>82497</v>
          </cell>
          <cell r="H494"/>
          <cell r="I494">
            <v>4753</v>
          </cell>
          <cell r="J494">
            <v>20031</v>
          </cell>
          <cell r="K494">
            <v>11782</v>
          </cell>
          <cell r="L494">
            <v>12522</v>
          </cell>
          <cell r="M494"/>
          <cell r="N494">
            <v>2335</v>
          </cell>
          <cell r="O494">
            <v>0</v>
          </cell>
          <cell r="P494">
            <v>0</v>
          </cell>
          <cell r="Q494">
            <v>5293</v>
          </cell>
          <cell r="R494"/>
          <cell r="S494">
            <v>27802</v>
          </cell>
          <cell r="T494">
            <v>4438</v>
          </cell>
          <cell r="U494">
            <v>32240</v>
          </cell>
        </row>
        <row r="495">
          <cell r="A495">
            <v>95201</v>
          </cell>
          <cell r="B495" t="str">
            <v>JONES COUNTY</v>
          </cell>
          <cell r="C495">
            <v>7.0969999999999996E-4</v>
          </cell>
          <cell r="D495">
            <v>6.8329999999999997E-4</v>
          </cell>
          <cell r="E495">
            <v>303949</v>
          </cell>
          <cell r="F495">
            <v>1450192</v>
          </cell>
          <cell r="G495">
            <v>1084225</v>
          </cell>
          <cell r="H495"/>
          <cell r="I495">
            <v>62461</v>
          </cell>
          <cell r="J495">
            <v>263252</v>
          </cell>
          <cell r="K495">
            <v>154842</v>
          </cell>
          <cell r="L495">
            <v>6474</v>
          </cell>
          <cell r="M495"/>
          <cell r="N495">
            <v>30691</v>
          </cell>
          <cell r="O495">
            <v>0</v>
          </cell>
          <cell r="P495">
            <v>0</v>
          </cell>
          <cell r="Q495">
            <v>21158</v>
          </cell>
          <cell r="R495"/>
          <cell r="S495">
            <v>365385</v>
          </cell>
          <cell r="T495">
            <v>-9663</v>
          </cell>
          <cell r="U495">
            <v>355722</v>
          </cell>
        </row>
        <row r="496">
          <cell r="A496">
            <v>95204</v>
          </cell>
          <cell r="B496" t="str">
            <v>JONES COUNTY ABC BOARD</v>
          </cell>
          <cell r="C496">
            <v>1.26E-5</v>
          </cell>
          <cell r="D496">
            <v>1.1600000000000001E-5</v>
          </cell>
          <cell r="E496">
            <v>7226</v>
          </cell>
          <cell r="F496">
            <v>24619</v>
          </cell>
          <cell r="G496">
            <v>19249</v>
          </cell>
          <cell r="H496"/>
          <cell r="I496">
            <v>1109</v>
          </cell>
          <cell r="J496">
            <v>4674</v>
          </cell>
          <cell r="K496">
            <v>2749</v>
          </cell>
          <cell r="L496">
            <v>1824</v>
          </cell>
          <cell r="M496"/>
          <cell r="N496">
            <v>545</v>
          </cell>
          <cell r="O496">
            <v>0</v>
          </cell>
          <cell r="P496">
            <v>0</v>
          </cell>
          <cell r="Q496">
            <v>1143</v>
          </cell>
          <cell r="R496"/>
          <cell r="S496">
            <v>6487</v>
          </cell>
          <cell r="T496">
            <v>-195</v>
          </cell>
          <cell r="U496">
            <v>6292</v>
          </cell>
        </row>
        <row r="497">
          <cell r="A497">
            <v>95205</v>
          </cell>
          <cell r="B497" t="str">
            <v>NEUSE REGIONAL LIBRARY-JONES COUNTY</v>
          </cell>
          <cell r="C497">
            <v>4.5000000000000001E-6</v>
          </cell>
          <cell r="D497">
            <v>4.7999999999999998E-6</v>
          </cell>
          <cell r="E497">
            <v>2455</v>
          </cell>
          <cell r="F497">
            <v>10187</v>
          </cell>
          <cell r="G497">
            <v>6875</v>
          </cell>
          <cell r="H497"/>
          <cell r="I497">
            <v>396</v>
          </cell>
          <cell r="J497">
            <v>1669</v>
          </cell>
          <cell r="K497">
            <v>982</v>
          </cell>
          <cell r="L497">
            <v>605</v>
          </cell>
          <cell r="M497"/>
          <cell r="N497">
            <v>195</v>
          </cell>
          <cell r="O497">
            <v>0</v>
          </cell>
          <cell r="P497">
            <v>0</v>
          </cell>
          <cell r="Q497">
            <v>0</v>
          </cell>
          <cell r="R497"/>
          <cell r="S497">
            <v>2317</v>
          </cell>
          <cell r="T497">
            <v>311</v>
          </cell>
          <cell r="U497">
            <v>2628</v>
          </cell>
        </row>
        <row r="498">
          <cell r="A498">
            <v>95211</v>
          </cell>
          <cell r="B498" t="str">
            <v>TOWN OF POLLOCKSVILLE</v>
          </cell>
          <cell r="C498">
            <v>8.3999999999999992E-6</v>
          </cell>
          <cell r="D498">
            <v>9.2E-6</v>
          </cell>
          <cell r="E498">
            <v>4222</v>
          </cell>
          <cell r="F498">
            <v>19525</v>
          </cell>
          <cell r="G498">
            <v>12833</v>
          </cell>
          <cell r="H498"/>
          <cell r="I498">
            <v>739</v>
          </cell>
          <cell r="J498">
            <v>3115</v>
          </cell>
          <cell r="K498">
            <v>1833</v>
          </cell>
          <cell r="L498">
            <v>1455</v>
          </cell>
          <cell r="M498"/>
          <cell r="N498">
            <v>363</v>
          </cell>
          <cell r="O498">
            <v>0</v>
          </cell>
          <cell r="P498">
            <v>0</v>
          </cell>
          <cell r="Q498">
            <v>1231</v>
          </cell>
          <cell r="R498"/>
          <cell r="S498">
            <v>4325</v>
          </cell>
          <cell r="T498">
            <v>-523</v>
          </cell>
          <cell r="U498">
            <v>3802</v>
          </cell>
        </row>
        <row r="499">
          <cell r="A499">
            <v>95221</v>
          </cell>
          <cell r="B499" t="str">
            <v>TOWN OF MAYSVILLE</v>
          </cell>
          <cell r="C499">
            <v>4.4100000000000001E-5</v>
          </cell>
          <cell r="D499">
            <v>1.6900000000000001E-5</v>
          </cell>
          <cell r="E499">
            <v>20361</v>
          </cell>
          <cell r="F499">
            <v>35867</v>
          </cell>
          <cell r="G499">
            <v>67373</v>
          </cell>
          <cell r="H499"/>
          <cell r="I499">
            <v>3881</v>
          </cell>
          <cell r="J499">
            <v>16358</v>
          </cell>
          <cell r="K499">
            <v>9622</v>
          </cell>
          <cell r="L499">
            <v>21037</v>
          </cell>
          <cell r="M499"/>
          <cell r="N499">
            <v>1907</v>
          </cell>
          <cell r="O499">
            <v>0</v>
          </cell>
          <cell r="P499">
            <v>0</v>
          </cell>
          <cell r="Q499">
            <v>11299</v>
          </cell>
          <cell r="R499"/>
          <cell r="S499">
            <v>22705</v>
          </cell>
          <cell r="T499">
            <v>2535</v>
          </cell>
          <cell r="U499">
            <v>25240</v>
          </cell>
        </row>
        <row r="500">
          <cell r="A500">
            <v>95301</v>
          </cell>
          <cell r="B500" t="str">
            <v>LEE COUNTY</v>
          </cell>
          <cell r="C500">
            <v>2.3917999999999999E-3</v>
          </cell>
          <cell r="D500">
            <v>2.4063999999999999E-3</v>
          </cell>
          <cell r="E500">
            <v>1141657</v>
          </cell>
          <cell r="F500">
            <v>5107187</v>
          </cell>
          <cell r="G500">
            <v>3654008</v>
          </cell>
          <cell r="H500"/>
          <cell r="I500">
            <v>210505</v>
          </cell>
          <cell r="J500">
            <v>887197</v>
          </cell>
          <cell r="K500">
            <v>521843</v>
          </cell>
          <cell r="L500">
            <v>73478</v>
          </cell>
          <cell r="M500"/>
          <cell r="N500">
            <v>103433</v>
          </cell>
          <cell r="O500">
            <v>0</v>
          </cell>
          <cell r="P500">
            <v>0</v>
          </cell>
          <cell r="Q500">
            <v>11228</v>
          </cell>
          <cell r="R500"/>
          <cell r="S500">
            <v>1231404</v>
          </cell>
          <cell r="T500">
            <v>19362</v>
          </cell>
          <cell r="U500">
            <v>1250766</v>
          </cell>
        </row>
        <row r="501">
          <cell r="A501">
            <v>95311</v>
          </cell>
          <cell r="B501" t="str">
            <v>CITY OF SANFORD</v>
          </cell>
          <cell r="C501">
            <v>2.6873999999999999E-3</v>
          </cell>
          <cell r="D501">
            <v>2.6841999999999999E-3</v>
          </cell>
          <cell r="E501">
            <v>1275634</v>
          </cell>
          <cell r="F501">
            <v>5696772</v>
          </cell>
          <cell r="G501">
            <v>4105603</v>
          </cell>
          <cell r="H501"/>
          <cell r="I501">
            <v>236521</v>
          </cell>
          <cell r="J501">
            <v>996846</v>
          </cell>
          <cell r="K501">
            <v>586337</v>
          </cell>
          <cell r="L501">
            <v>41083</v>
          </cell>
          <cell r="M501"/>
          <cell r="N501">
            <v>116217</v>
          </cell>
          <cell r="O501">
            <v>0</v>
          </cell>
          <cell r="P501">
            <v>0</v>
          </cell>
          <cell r="Q501">
            <v>117171</v>
          </cell>
          <cell r="R501"/>
          <cell r="S501">
            <v>1383592</v>
          </cell>
          <cell r="T501">
            <v>-46704</v>
          </cell>
          <cell r="U501">
            <v>1336888</v>
          </cell>
        </row>
        <row r="502">
          <cell r="A502">
            <v>95317</v>
          </cell>
          <cell r="B502" t="str">
            <v>SANFORD ABC BOARD</v>
          </cell>
          <cell r="C502">
            <v>4.8900000000000003E-5</v>
          </cell>
          <cell r="D502">
            <v>5.1400000000000003E-5</v>
          </cell>
          <cell r="E502">
            <v>27511</v>
          </cell>
          <cell r="F502">
            <v>109088</v>
          </cell>
          <cell r="G502">
            <v>74706</v>
          </cell>
          <cell r="H502"/>
          <cell r="I502">
            <v>4304</v>
          </cell>
          <cell r="J502">
            <v>18138</v>
          </cell>
          <cell r="K502">
            <v>10669</v>
          </cell>
          <cell r="L502">
            <v>6328</v>
          </cell>
          <cell r="M502"/>
          <cell r="N502">
            <v>2115</v>
          </cell>
          <cell r="O502">
            <v>0</v>
          </cell>
          <cell r="P502">
            <v>0</v>
          </cell>
          <cell r="Q502">
            <v>38</v>
          </cell>
          <cell r="R502"/>
          <cell r="S502">
            <v>25176</v>
          </cell>
          <cell r="T502">
            <v>2474</v>
          </cell>
          <cell r="U502">
            <v>27650</v>
          </cell>
        </row>
        <row r="503">
          <cell r="A503">
            <v>95321</v>
          </cell>
          <cell r="B503" t="str">
            <v>TOWN OF BROADWAY</v>
          </cell>
          <cell r="C503">
            <v>4.71E-5</v>
          </cell>
          <cell r="D503">
            <v>5.7000000000000003E-5</v>
          </cell>
          <cell r="E503">
            <v>27222</v>
          </cell>
          <cell r="F503">
            <v>120973</v>
          </cell>
          <cell r="G503">
            <v>71956</v>
          </cell>
          <cell r="H503"/>
          <cell r="I503">
            <v>4145</v>
          </cell>
          <cell r="J503">
            <v>17471</v>
          </cell>
          <cell r="K503">
            <v>10276</v>
          </cell>
          <cell r="L503">
            <v>3087</v>
          </cell>
          <cell r="M503"/>
          <cell r="N503">
            <v>2037</v>
          </cell>
          <cell r="O503">
            <v>0</v>
          </cell>
          <cell r="P503">
            <v>0</v>
          </cell>
          <cell r="Q503">
            <v>2158</v>
          </cell>
          <cell r="R503"/>
          <cell r="S503">
            <v>24249</v>
          </cell>
          <cell r="T503">
            <v>1089</v>
          </cell>
          <cell r="U503">
            <v>25338</v>
          </cell>
        </row>
        <row r="504">
          <cell r="A504">
            <v>95401</v>
          </cell>
          <cell r="B504" t="str">
            <v>LENOIR COUNTY</v>
          </cell>
          <cell r="C504">
            <v>2.9992E-3</v>
          </cell>
          <cell r="D504">
            <v>2.9979999999999998E-3</v>
          </cell>
          <cell r="E504">
            <v>1351002</v>
          </cell>
          <cell r="F504">
            <v>6362760</v>
          </cell>
          <cell r="G504">
            <v>4581947</v>
          </cell>
          <cell r="H504"/>
          <cell r="I504">
            <v>263963</v>
          </cell>
          <cell r="J504">
            <v>1112502</v>
          </cell>
          <cell r="K504">
            <v>654365</v>
          </cell>
          <cell r="L504">
            <v>27695</v>
          </cell>
          <cell r="M504"/>
          <cell r="N504">
            <v>129700</v>
          </cell>
          <cell r="O504">
            <v>0</v>
          </cell>
          <cell r="P504">
            <v>0</v>
          </cell>
          <cell r="Q504">
            <v>19902</v>
          </cell>
          <cell r="R504"/>
          <cell r="S504">
            <v>1544120</v>
          </cell>
          <cell r="T504">
            <v>10089</v>
          </cell>
          <cell r="U504">
            <v>1554209</v>
          </cell>
        </row>
        <row r="505">
          <cell r="A505">
            <v>95404</v>
          </cell>
          <cell r="B505" t="str">
            <v>LENOIR COUNTY ABC BOARD</v>
          </cell>
          <cell r="C505">
            <v>5.3100000000000003E-5</v>
          </cell>
          <cell r="D505">
            <v>4.9799999999999998E-5</v>
          </cell>
          <cell r="E505">
            <v>22123</v>
          </cell>
          <cell r="F505">
            <v>105692</v>
          </cell>
          <cell r="G505">
            <v>81122</v>
          </cell>
          <cell r="H505"/>
          <cell r="I505">
            <v>4673</v>
          </cell>
          <cell r="J505">
            <v>19697</v>
          </cell>
          <cell r="K505">
            <v>11585</v>
          </cell>
          <cell r="L505">
            <v>5158</v>
          </cell>
          <cell r="M505"/>
          <cell r="N505">
            <v>2296</v>
          </cell>
          <cell r="O505">
            <v>0</v>
          </cell>
          <cell r="P505">
            <v>0</v>
          </cell>
          <cell r="Q505">
            <v>0</v>
          </cell>
          <cell r="R505"/>
          <cell r="S505">
            <v>27338</v>
          </cell>
          <cell r="T505">
            <v>1949</v>
          </cell>
          <cell r="U505">
            <v>29287</v>
          </cell>
        </row>
        <row r="506">
          <cell r="A506">
            <v>95405</v>
          </cell>
          <cell r="B506" t="str">
            <v>NEUSE REGIONAL LIBRARY</v>
          </cell>
          <cell r="C506">
            <v>1.84E-5</v>
          </cell>
          <cell r="D506">
            <v>1.84E-5</v>
          </cell>
          <cell r="E506">
            <v>17053</v>
          </cell>
          <cell r="F506">
            <v>39051</v>
          </cell>
          <cell r="G506">
            <v>28110</v>
          </cell>
          <cell r="H506"/>
          <cell r="I506">
            <v>1619</v>
          </cell>
          <cell r="J506">
            <v>6826</v>
          </cell>
          <cell r="K506">
            <v>4015</v>
          </cell>
          <cell r="L506">
            <v>15544</v>
          </cell>
          <cell r="M506"/>
          <cell r="N506">
            <v>796</v>
          </cell>
          <cell r="O506">
            <v>0</v>
          </cell>
          <cell r="P506">
            <v>0</v>
          </cell>
          <cell r="Q506">
            <v>0</v>
          </cell>
          <cell r="R506"/>
          <cell r="S506">
            <v>9473</v>
          </cell>
          <cell r="T506">
            <v>5475</v>
          </cell>
          <cell r="U506">
            <v>14948</v>
          </cell>
        </row>
        <row r="507">
          <cell r="A507">
            <v>95411</v>
          </cell>
          <cell r="B507" t="str">
            <v>CITY OF KINSTON</v>
          </cell>
          <cell r="C507">
            <v>2.2173000000000002E-3</v>
          </cell>
          <cell r="D507">
            <v>2.3272000000000002E-3</v>
          </cell>
          <cell r="E507">
            <v>1058017</v>
          </cell>
          <cell r="F507">
            <v>4939098</v>
          </cell>
          <cell r="G507">
            <v>3387420</v>
          </cell>
          <cell r="H507"/>
          <cell r="I507">
            <v>195147</v>
          </cell>
          <cell r="J507">
            <v>822470</v>
          </cell>
          <cell r="K507">
            <v>483771</v>
          </cell>
          <cell r="L507">
            <v>14015</v>
          </cell>
          <cell r="M507"/>
          <cell r="N507">
            <v>95887</v>
          </cell>
          <cell r="O507">
            <v>0</v>
          </cell>
          <cell r="P507">
            <v>0</v>
          </cell>
          <cell r="Q507">
            <v>60237</v>
          </cell>
          <cell r="R507"/>
          <cell r="S507">
            <v>1141564</v>
          </cell>
          <cell r="T507">
            <v>-23907</v>
          </cell>
          <cell r="U507">
            <v>1117657</v>
          </cell>
        </row>
        <row r="508">
          <cell r="A508">
            <v>95412</v>
          </cell>
          <cell r="B508" t="str">
            <v>GLOBAL TRANSPARK DEVELOPMENT COMM</v>
          </cell>
          <cell r="C508">
            <v>0</v>
          </cell>
          <cell r="D508">
            <v>0</v>
          </cell>
          <cell r="E508">
            <v>0</v>
          </cell>
          <cell r="F508">
            <v>0</v>
          </cell>
          <cell r="G508">
            <v>0</v>
          </cell>
          <cell r="H508"/>
          <cell r="I508">
            <v>0</v>
          </cell>
          <cell r="J508">
            <v>0</v>
          </cell>
          <cell r="K508">
            <v>0</v>
          </cell>
          <cell r="L508">
            <v>0</v>
          </cell>
          <cell r="M508"/>
          <cell r="N508">
            <v>0</v>
          </cell>
          <cell r="O508">
            <v>0</v>
          </cell>
          <cell r="P508">
            <v>0</v>
          </cell>
          <cell r="Q508">
            <v>27831</v>
          </cell>
          <cell r="R508"/>
          <cell r="S508">
            <v>0</v>
          </cell>
          <cell r="T508">
            <v>-18518</v>
          </cell>
          <cell r="U508">
            <v>-18518</v>
          </cell>
        </row>
        <row r="509">
          <cell r="A509">
            <v>95413</v>
          </cell>
          <cell r="B509" t="str">
            <v>HOUSING AUTH FOR THE CTY OF KINSTON</v>
          </cell>
          <cell r="C509">
            <v>2.5809999999999999E-4</v>
          </cell>
          <cell r="D509">
            <v>2.945E-4</v>
          </cell>
          <cell r="E509">
            <v>285392</v>
          </cell>
          <cell r="F509">
            <v>625028</v>
          </cell>
          <cell r="G509">
            <v>394305</v>
          </cell>
          <cell r="H509"/>
          <cell r="I509">
            <v>22716</v>
          </cell>
          <cell r="J509">
            <v>95737</v>
          </cell>
          <cell r="K509">
            <v>56312</v>
          </cell>
          <cell r="L509">
            <v>247679</v>
          </cell>
          <cell r="M509"/>
          <cell r="N509">
            <v>11162</v>
          </cell>
          <cell r="O509">
            <v>0</v>
          </cell>
          <cell r="P509">
            <v>0</v>
          </cell>
          <cell r="Q509">
            <v>9401</v>
          </cell>
          <cell r="R509"/>
          <cell r="S509">
            <v>132881</v>
          </cell>
          <cell r="T509">
            <v>77340</v>
          </cell>
          <cell r="U509">
            <v>210221</v>
          </cell>
        </row>
        <row r="510">
          <cell r="A510">
            <v>95415</v>
          </cell>
          <cell r="B510" t="str">
            <v>KINSTON-LENOIR CO PUB LIBRARY</v>
          </cell>
          <cell r="C510">
            <v>6.2899999999999997E-5</v>
          </cell>
          <cell r="D510">
            <v>7.9499999999999994E-5</v>
          </cell>
          <cell r="E510">
            <v>28158</v>
          </cell>
          <cell r="F510">
            <v>168726</v>
          </cell>
          <cell r="G510">
            <v>96094</v>
          </cell>
          <cell r="H510"/>
          <cell r="I510">
            <v>5536</v>
          </cell>
          <cell r="J510">
            <v>23331</v>
          </cell>
          <cell r="K510">
            <v>13724</v>
          </cell>
          <cell r="L510">
            <v>5301</v>
          </cell>
          <cell r="M510"/>
          <cell r="N510">
            <v>2720</v>
          </cell>
          <cell r="O510">
            <v>0</v>
          </cell>
          <cell r="P510">
            <v>0</v>
          </cell>
          <cell r="Q510">
            <v>16874</v>
          </cell>
          <cell r="R510"/>
          <cell r="S510">
            <v>32384</v>
          </cell>
          <cell r="T510">
            <v>-165</v>
          </cell>
          <cell r="U510">
            <v>32219</v>
          </cell>
        </row>
        <row r="511">
          <cell r="A511">
            <v>95421</v>
          </cell>
          <cell r="B511" t="str">
            <v>TOWN OF PINK HILL</v>
          </cell>
          <cell r="C511">
            <v>3.8699999999999999E-5</v>
          </cell>
          <cell r="D511">
            <v>3.9100000000000002E-5</v>
          </cell>
          <cell r="E511">
            <v>18385</v>
          </cell>
          <cell r="F511">
            <v>82983</v>
          </cell>
          <cell r="G511">
            <v>59123</v>
          </cell>
          <cell r="H511"/>
          <cell r="I511">
            <v>3406</v>
          </cell>
          <cell r="J511">
            <v>14355</v>
          </cell>
          <cell r="K511">
            <v>8444</v>
          </cell>
          <cell r="L511">
            <v>226</v>
          </cell>
          <cell r="M511"/>
          <cell r="N511">
            <v>1674</v>
          </cell>
          <cell r="O511">
            <v>0</v>
          </cell>
          <cell r="P511">
            <v>0</v>
          </cell>
          <cell r="Q511">
            <v>9353</v>
          </cell>
          <cell r="R511"/>
          <cell r="S511">
            <v>19924</v>
          </cell>
          <cell r="T511">
            <v>-4913</v>
          </cell>
          <cell r="U511">
            <v>15011</v>
          </cell>
        </row>
        <row r="512">
          <cell r="A512">
            <v>95431</v>
          </cell>
          <cell r="B512" t="str">
            <v>TOWN OF LAGRANGE</v>
          </cell>
          <cell r="C512">
            <v>1.5300000000000001E-4</v>
          </cell>
          <cell r="D512">
            <v>1.8009999999999999E-4</v>
          </cell>
          <cell r="E512">
            <v>61885</v>
          </cell>
          <cell r="F512">
            <v>382233</v>
          </cell>
          <cell r="G512">
            <v>233742</v>
          </cell>
          <cell r="H512"/>
          <cell r="I512">
            <v>13466</v>
          </cell>
          <cell r="J512">
            <v>56753</v>
          </cell>
          <cell r="K512">
            <v>33382</v>
          </cell>
          <cell r="L512">
            <v>224</v>
          </cell>
          <cell r="M512"/>
          <cell r="N512">
            <v>6616</v>
          </cell>
          <cell r="O512">
            <v>0</v>
          </cell>
          <cell r="P512">
            <v>0</v>
          </cell>
          <cell r="Q512">
            <v>34003</v>
          </cell>
          <cell r="R512"/>
          <cell r="S512">
            <v>78771</v>
          </cell>
          <cell r="T512">
            <v>-9919</v>
          </cell>
          <cell r="U512">
            <v>68852</v>
          </cell>
        </row>
        <row r="513">
          <cell r="A513">
            <v>95501</v>
          </cell>
          <cell r="B513" t="str">
            <v>LINCOLN COUNTY</v>
          </cell>
          <cell r="C513">
            <v>4.8764999999999998E-3</v>
          </cell>
          <cell r="D513">
            <v>4.7917999999999997E-3</v>
          </cell>
          <cell r="E513">
            <v>2104813</v>
          </cell>
          <cell r="F513">
            <v>10169805</v>
          </cell>
          <cell r="G513">
            <v>7449941</v>
          </cell>
          <cell r="H513"/>
          <cell r="I513">
            <v>429186</v>
          </cell>
          <cell r="J513">
            <v>1808855</v>
          </cell>
          <cell r="K513">
            <v>1063955</v>
          </cell>
          <cell r="L513">
            <v>31695</v>
          </cell>
          <cell r="M513"/>
          <cell r="N513">
            <v>210884</v>
          </cell>
          <cell r="O513">
            <v>0</v>
          </cell>
          <cell r="P513">
            <v>0</v>
          </cell>
          <cell r="Q513">
            <v>124610</v>
          </cell>
          <cell r="R513"/>
          <cell r="S513">
            <v>2510637</v>
          </cell>
          <cell r="T513">
            <v>-8646</v>
          </cell>
          <cell r="U513">
            <v>2501991</v>
          </cell>
        </row>
        <row r="514">
          <cell r="A514">
            <v>95504</v>
          </cell>
          <cell r="B514" t="str">
            <v>LINCOLN COUNTY ABC BOARD</v>
          </cell>
          <cell r="C514">
            <v>9.3999999999999998E-6</v>
          </cell>
          <cell r="D514">
            <v>8.8999999999999995E-6</v>
          </cell>
          <cell r="E514">
            <v>9297</v>
          </cell>
          <cell r="F514">
            <v>18889</v>
          </cell>
          <cell r="G514">
            <v>14361</v>
          </cell>
          <cell r="H514"/>
          <cell r="I514">
            <v>827</v>
          </cell>
          <cell r="J514">
            <v>3487</v>
          </cell>
          <cell r="K514">
            <v>2051</v>
          </cell>
          <cell r="L514">
            <v>7912</v>
          </cell>
          <cell r="M514"/>
          <cell r="N514">
            <v>407</v>
          </cell>
          <cell r="O514">
            <v>0</v>
          </cell>
          <cell r="P514">
            <v>0</v>
          </cell>
          <cell r="Q514">
            <v>0</v>
          </cell>
          <cell r="R514"/>
          <cell r="S514">
            <v>4840</v>
          </cell>
          <cell r="T514">
            <v>2952</v>
          </cell>
          <cell r="U514">
            <v>7792</v>
          </cell>
        </row>
        <row r="515">
          <cell r="A515">
            <v>95511</v>
          </cell>
          <cell r="B515" t="str">
            <v>CITY OF LINCOLNTON</v>
          </cell>
          <cell r="C515">
            <v>9.7460000000000005E-4</v>
          </cell>
          <cell r="D515">
            <v>9.6049999999999998E-4</v>
          </cell>
          <cell r="E515">
            <v>484188</v>
          </cell>
          <cell r="F515">
            <v>2038503</v>
          </cell>
          <cell r="G515">
            <v>1488919</v>
          </cell>
          <cell r="H515"/>
          <cell r="I515">
            <v>85776</v>
          </cell>
          <cell r="J515">
            <v>361511</v>
          </cell>
          <cell r="K515">
            <v>212638</v>
          </cell>
          <cell r="L515">
            <v>44242</v>
          </cell>
          <cell r="M515"/>
          <cell r="N515">
            <v>42147</v>
          </cell>
          <cell r="O515">
            <v>0</v>
          </cell>
          <cell r="P515">
            <v>0</v>
          </cell>
          <cell r="Q515">
            <v>52155</v>
          </cell>
          <cell r="R515"/>
          <cell r="S515">
            <v>501767</v>
          </cell>
          <cell r="T515">
            <v>-4607</v>
          </cell>
          <cell r="U515">
            <v>497160</v>
          </cell>
        </row>
        <row r="516">
          <cell r="A516">
            <v>95513</v>
          </cell>
          <cell r="B516" t="str">
            <v>LINCOLNTON HOUSING AUTHORITY</v>
          </cell>
          <cell r="C516">
            <v>4.6699999999999997E-5</v>
          </cell>
          <cell r="D516">
            <v>4.5500000000000001E-5</v>
          </cell>
          <cell r="E516">
            <v>31793</v>
          </cell>
          <cell r="F516">
            <v>96566</v>
          </cell>
          <cell r="G516">
            <v>71345</v>
          </cell>
          <cell r="H516"/>
          <cell r="I516">
            <v>4110</v>
          </cell>
          <cell r="J516">
            <v>17322</v>
          </cell>
          <cell r="K516">
            <v>10189</v>
          </cell>
          <cell r="L516">
            <v>21773</v>
          </cell>
          <cell r="M516"/>
          <cell r="N516">
            <v>2020</v>
          </cell>
          <cell r="O516">
            <v>0</v>
          </cell>
          <cell r="P516">
            <v>0</v>
          </cell>
          <cell r="Q516">
            <v>0</v>
          </cell>
          <cell r="R516"/>
          <cell r="S516">
            <v>24043</v>
          </cell>
          <cell r="T516">
            <v>9103</v>
          </cell>
          <cell r="U516">
            <v>33146</v>
          </cell>
        </row>
        <row r="517">
          <cell r="A517">
            <v>95517</v>
          </cell>
          <cell r="B517" t="str">
            <v>TOWN OF LINCOLNTON ABC BOARD</v>
          </cell>
          <cell r="C517">
            <v>2.4499999999999999E-5</v>
          </cell>
          <cell r="D517">
            <v>1.66E-5</v>
          </cell>
          <cell r="E517">
            <v>15695</v>
          </cell>
          <cell r="F517">
            <v>35231</v>
          </cell>
          <cell r="G517">
            <v>37429</v>
          </cell>
          <cell r="H517"/>
          <cell r="I517">
            <v>2156</v>
          </cell>
          <cell r="J517">
            <v>9087</v>
          </cell>
          <cell r="K517">
            <v>5345</v>
          </cell>
          <cell r="L517">
            <v>17989</v>
          </cell>
          <cell r="M517"/>
          <cell r="N517">
            <v>1060</v>
          </cell>
          <cell r="O517">
            <v>0</v>
          </cell>
          <cell r="P517">
            <v>0</v>
          </cell>
          <cell r="Q517">
            <v>0</v>
          </cell>
          <cell r="R517"/>
          <cell r="S517">
            <v>12614</v>
          </cell>
          <cell r="T517">
            <v>6544</v>
          </cell>
          <cell r="U517">
            <v>19158</v>
          </cell>
        </row>
        <row r="518">
          <cell r="A518">
            <v>95601</v>
          </cell>
          <cell r="B518" t="str">
            <v>MACON COUNTY</v>
          </cell>
          <cell r="C518">
            <v>2.6280000000000001E-3</v>
          </cell>
          <cell r="D518">
            <v>2.6592999999999999E-3</v>
          </cell>
          <cell r="E518">
            <v>1208853</v>
          </cell>
          <cell r="F518">
            <v>5643925</v>
          </cell>
          <cell r="G518">
            <v>4014856</v>
          </cell>
          <cell r="H518"/>
          <cell r="I518">
            <v>231293</v>
          </cell>
          <cell r="J518">
            <v>974812</v>
          </cell>
          <cell r="K518">
            <v>573377</v>
          </cell>
          <cell r="L518">
            <v>85590</v>
          </cell>
          <cell r="M518"/>
          <cell r="N518">
            <v>113648</v>
          </cell>
          <cell r="O518">
            <v>0</v>
          </cell>
          <cell r="P518">
            <v>0</v>
          </cell>
          <cell r="Q518">
            <v>19082</v>
          </cell>
          <cell r="R518"/>
          <cell r="S518">
            <v>1353010</v>
          </cell>
          <cell r="T518">
            <v>47697</v>
          </cell>
          <cell r="U518">
            <v>1400707</v>
          </cell>
        </row>
        <row r="519">
          <cell r="A519">
            <v>95611</v>
          </cell>
          <cell r="B519" t="str">
            <v>TOWN OF FRANKLIN</v>
          </cell>
          <cell r="C519">
            <v>4.0660000000000002E-4</v>
          </cell>
          <cell r="D519">
            <v>3.9540000000000002E-4</v>
          </cell>
          <cell r="E519">
            <v>186384</v>
          </cell>
          <cell r="F519">
            <v>839171</v>
          </cell>
          <cell r="G519">
            <v>621172</v>
          </cell>
          <cell r="H519"/>
          <cell r="I519">
            <v>35785</v>
          </cell>
          <cell r="J519">
            <v>150821</v>
          </cell>
          <cell r="K519">
            <v>88712</v>
          </cell>
          <cell r="L519">
            <v>8653</v>
          </cell>
          <cell r="M519"/>
          <cell r="N519">
            <v>17583</v>
          </cell>
          <cell r="O519">
            <v>0</v>
          </cell>
          <cell r="P519">
            <v>0</v>
          </cell>
          <cell r="Q519">
            <v>3649</v>
          </cell>
          <cell r="R519"/>
          <cell r="S519">
            <v>209336</v>
          </cell>
          <cell r="T519">
            <v>1212</v>
          </cell>
          <cell r="U519">
            <v>210548</v>
          </cell>
        </row>
        <row r="520">
          <cell r="A520">
            <v>95617</v>
          </cell>
          <cell r="B520" t="str">
            <v>HIGHLANDS ABC BOARD</v>
          </cell>
          <cell r="C520">
            <v>1.6399999999999999E-5</v>
          </cell>
          <cell r="D520">
            <v>1.6500000000000001E-5</v>
          </cell>
          <cell r="E520">
            <v>8201</v>
          </cell>
          <cell r="F520">
            <v>35019</v>
          </cell>
          <cell r="G520">
            <v>25055</v>
          </cell>
          <cell r="H520"/>
          <cell r="I520">
            <v>1443</v>
          </cell>
          <cell r="J520">
            <v>6084</v>
          </cell>
          <cell r="K520">
            <v>3578</v>
          </cell>
          <cell r="L520">
            <v>722</v>
          </cell>
          <cell r="M520"/>
          <cell r="N520">
            <v>709</v>
          </cell>
          <cell r="O520">
            <v>0</v>
          </cell>
          <cell r="P520">
            <v>0</v>
          </cell>
          <cell r="Q520">
            <v>1277</v>
          </cell>
          <cell r="R520"/>
          <cell r="S520">
            <v>8443</v>
          </cell>
          <cell r="T520">
            <v>-659</v>
          </cell>
          <cell r="U520">
            <v>7784</v>
          </cell>
        </row>
        <row r="521">
          <cell r="A521">
            <v>95621</v>
          </cell>
          <cell r="B521" t="str">
            <v>TOWN OF HIGHLANDS</v>
          </cell>
          <cell r="C521">
            <v>4.5360000000000002E-4</v>
          </cell>
          <cell r="D521">
            <v>4.8020000000000002E-4</v>
          </cell>
          <cell r="E521">
            <v>227836</v>
          </cell>
          <cell r="F521">
            <v>1019145</v>
          </cell>
          <cell r="G521">
            <v>692975</v>
          </cell>
          <cell r="H521"/>
          <cell r="I521">
            <v>39922</v>
          </cell>
          <cell r="J521">
            <v>168255</v>
          </cell>
          <cell r="K521">
            <v>98966</v>
          </cell>
          <cell r="L521">
            <v>3166</v>
          </cell>
          <cell r="M521"/>
          <cell r="N521">
            <v>19616</v>
          </cell>
          <cell r="O521">
            <v>0</v>
          </cell>
          <cell r="P521">
            <v>0</v>
          </cell>
          <cell r="Q521">
            <v>4423</v>
          </cell>
          <cell r="R521"/>
          <cell r="S521">
            <v>233533</v>
          </cell>
          <cell r="T521">
            <v>1481</v>
          </cell>
          <cell r="U521">
            <v>235014</v>
          </cell>
        </row>
        <row r="522">
          <cell r="A522">
            <v>95701</v>
          </cell>
          <cell r="B522" t="str">
            <v>MADISON COUNTY</v>
          </cell>
          <cell r="C522">
            <v>1.3747E-3</v>
          </cell>
          <cell r="D522">
            <v>1.291E-3</v>
          </cell>
          <cell r="E522">
            <v>600622</v>
          </cell>
          <cell r="F522">
            <v>2739934</v>
          </cell>
          <cell r="G522">
            <v>2100161</v>
          </cell>
          <cell r="H522"/>
          <cell r="I522">
            <v>120989</v>
          </cell>
          <cell r="J522">
            <v>509922</v>
          </cell>
          <cell r="K522">
            <v>299932</v>
          </cell>
          <cell r="L522">
            <v>62898</v>
          </cell>
          <cell r="M522"/>
          <cell r="N522">
            <v>59449</v>
          </cell>
          <cell r="O522">
            <v>0</v>
          </cell>
          <cell r="P522">
            <v>0</v>
          </cell>
          <cell r="Q522">
            <v>0</v>
          </cell>
          <cell r="R522"/>
          <cell r="S522">
            <v>707756</v>
          </cell>
          <cell r="T522">
            <v>28646</v>
          </cell>
          <cell r="U522">
            <v>736402</v>
          </cell>
        </row>
        <row r="523">
          <cell r="A523">
            <v>95711</v>
          </cell>
          <cell r="B523" t="str">
            <v>TOWN OF MARS HILL</v>
          </cell>
          <cell r="C523">
            <v>1.394E-4</v>
          </cell>
          <cell r="D523">
            <v>1.382E-4</v>
          </cell>
          <cell r="E523">
            <v>55785</v>
          </cell>
          <cell r="F523">
            <v>293307</v>
          </cell>
          <cell r="G523">
            <v>212965</v>
          </cell>
          <cell r="H523"/>
          <cell r="I523">
            <v>12269</v>
          </cell>
          <cell r="J523">
            <v>51708</v>
          </cell>
          <cell r="K523">
            <v>30414</v>
          </cell>
          <cell r="L523">
            <v>6056</v>
          </cell>
          <cell r="M523"/>
          <cell r="N523">
            <v>6028</v>
          </cell>
          <cell r="O523">
            <v>0</v>
          </cell>
          <cell r="P523">
            <v>0</v>
          </cell>
          <cell r="Q523">
            <v>5836</v>
          </cell>
          <cell r="R523"/>
          <cell r="S523">
            <v>71769</v>
          </cell>
          <cell r="T523">
            <v>1663</v>
          </cell>
          <cell r="U523">
            <v>73432</v>
          </cell>
        </row>
        <row r="524">
          <cell r="A524">
            <v>95721</v>
          </cell>
          <cell r="B524" t="str">
            <v>TOWN OF MARSHALL</v>
          </cell>
          <cell r="C524">
            <v>6.7600000000000003E-5</v>
          </cell>
          <cell r="D524">
            <v>6.6199999999999996E-5</v>
          </cell>
          <cell r="E524">
            <v>25093</v>
          </cell>
          <cell r="F524">
            <v>140499</v>
          </cell>
          <cell r="G524">
            <v>103274</v>
          </cell>
          <cell r="H524"/>
          <cell r="I524">
            <v>5950</v>
          </cell>
          <cell r="J524">
            <v>25075</v>
          </cell>
          <cell r="K524">
            <v>14749</v>
          </cell>
          <cell r="L524">
            <v>0</v>
          </cell>
          <cell r="M524"/>
          <cell r="N524">
            <v>2923</v>
          </cell>
          <cell r="O524">
            <v>0</v>
          </cell>
          <cell r="P524">
            <v>0</v>
          </cell>
          <cell r="Q524">
            <v>9622</v>
          </cell>
          <cell r="R524"/>
          <cell r="S524">
            <v>34803</v>
          </cell>
          <cell r="T524">
            <v>-4619</v>
          </cell>
          <cell r="U524">
            <v>30184</v>
          </cell>
        </row>
        <row r="525">
          <cell r="A525">
            <v>95733</v>
          </cell>
          <cell r="B525" t="str">
            <v>HOT SPRINGS HOUSING AUTHORITY</v>
          </cell>
          <cell r="C525">
            <v>1.5400000000000002E-5</v>
          </cell>
          <cell r="D525">
            <v>1.56E-5</v>
          </cell>
          <cell r="E525">
            <v>6898</v>
          </cell>
          <cell r="F525">
            <v>33108</v>
          </cell>
          <cell r="G525">
            <v>23527</v>
          </cell>
          <cell r="H525"/>
          <cell r="I525">
            <v>1355</v>
          </cell>
          <cell r="J525">
            <v>5712</v>
          </cell>
          <cell r="K525">
            <v>3360</v>
          </cell>
          <cell r="L525">
            <v>581</v>
          </cell>
          <cell r="M525"/>
          <cell r="N525">
            <v>666</v>
          </cell>
          <cell r="O525">
            <v>0</v>
          </cell>
          <cell r="P525">
            <v>0</v>
          </cell>
          <cell r="Q525">
            <v>464</v>
          </cell>
          <cell r="R525"/>
          <cell r="S525">
            <v>7929</v>
          </cell>
          <cell r="T525">
            <v>209</v>
          </cell>
          <cell r="U525">
            <v>8138</v>
          </cell>
        </row>
        <row r="526">
          <cell r="A526">
            <v>95801</v>
          </cell>
          <cell r="B526" t="str">
            <v>MARTIN COUNTY</v>
          </cell>
          <cell r="C526">
            <v>9.6310000000000005E-4</v>
          </cell>
          <cell r="D526">
            <v>8.9349999999999998E-4</v>
          </cell>
          <cell r="E526">
            <v>449779</v>
          </cell>
          <cell r="F526">
            <v>1896306</v>
          </cell>
          <cell r="G526">
            <v>1471350</v>
          </cell>
          <cell r="H526"/>
          <cell r="I526">
            <v>84763</v>
          </cell>
          <cell r="J526">
            <v>357246</v>
          </cell>
          <cell r="K526">
            <v>210129</v>
          </cell>
          <cell r="L526">
            <v>62205</v>
          </cell>
          <cell r="M526"/>
          <cell r="N526">
            <v>41649</v>
          </cell>
          <cell r="O526">
            <v>0</v>
          </cell>
          <cell r="P526">
            <v>0</v>
          </cell>
          <cell r="Q526">
            <v>4103</v>
          </cell>
          <cell r="R526"/>
          <cell r="S526">
            <v>495846</v>
          </cell>
          <cell r="T526">
            <v>14399</v>
          </cell>
          <cell r="U526">
            <v>510245</v>
          </cell>
        </row>
        <row r="527">
          <cell r="A527">
            <v>95802</v>
          </cell>
          <cell r="B527" t="str">
            <v>MARTIN CO TRAVEL &amp; TOURISM AUTH</v>
          </cell>
          <cell r="C527">
            <v>6.1E-6</v>
          </cell>
          <cell r="D527">
            <v>6.8000000000000001E-6</v>
          </cell>
          <cell r="E527">
            <v>5124</v>
          </cell>
          <cell r="F527">
            <v>14432</v>
          </cell>
          <cell r="G527">
            <v>9319</v>
          </cell>
          <cell r="H527"/>
          <cell r="I527">
            <v>537</v>
          </cell>
          <cell r="J527">
            <v>2263</v>
          </cell>
          <cell r="K527">
            <v>1331</v>
          </cell>
          <cell r="L527">
            <v>3297</v>
          </cell>
          <cell r="M527"/>
          <cell r="N527">
            <v>264</v>
          </cell>
          <cell r="O527">
            <v>0</v>
          </cell>
          <cell r="P527">
            <v>0</v>
          </cell>
          <cell r="Q527">
            <v>1248</v>
          </cell>
          <cell r="R527"/>
          <cell r="S527">
            <v>3141</v>
          </cell>
          <cell r="T527">
            <v>-81</v>
          </cell>
          <cell r="U527">
            <v>3060</v>
          </cell>
        </row>
        <row r="528">
          <cell r="A528">
            <v>95804</v>
          </cell>
          <cell r="B528" t="str">
            <v>MARTIN COUNTY ABC BOARD</v>
          </cell>
          <cell r="C528">
            <v>2.19E-5</v>
          </cell>
          <cell r="D528">
            <v>1.63E-5</v>
          </cell>
          <cell r="E528">
            <v>7566</v>
          </cell>
          <cell r="F528">
            <v>34594</v>
          </cell>
          <cell r="G528">
            <v>33457</v>
          </cell>
          <cell r="H528"/>
          <cell r="I528">
            <v>1927</v>
          </cell>
          <cell r="J528">
            <v>8123</v>
          </cell>
          <cell r="K528">
            <v>4778</v>
          </cell>
          <cell r="L528">
            <v>3631</v>
          </cell>
          <cell r="M528"/>
          <cell r="N528">
            <v>947</v>
          </cell>
          <cell r="O528">
            <v>0</v>
          </cell>
          <cell r="P528">
            <v>0</v>
          </cell>
          <cell r="Q528">
            <v>0</v>
          </cell>
          <cell r="R528"/>
          <cell r="S528">
            <v>11275</v>
          </cell>
          <cell r="T528">
            <v>1628</v>
          </cell>
          <cell r="U528">
            <v>12903</v>
          </cell>
        </row>
        <row r="529">
          <cell r="A529">
            <v>95811</v>
          </cell>
          <cell r="B529" t="str">
            <v>TOWN OF WILLIAMSTON</v>
          </cell>
          <cell r="C529">
            <v>5.3129999999999996E-4</v>
          </cell>
          <cell r="D529">
            <v>5.3410000000000003E-4</v>
          </cell>
          <cell r="E529">
            <v>243909</v>
          </cell>
          <cell r="F529">
            <v>1133539</v>
          </cell>
          <cell r="G529">
            <v>811679</v>
          </cell>
          <cell r="H529"/>
          <cell r="I529">
            <v>46760</v>
          </cell>
          <cell r="J529">
            <v>197076</v>
          </cell>
          <cell r="K529">
            <v>115919</v>
          </cell>
          <cell r="L529">
            <v>1678</v>
          </cell>
          <cell r="M529"/>
          <cell r="N529">
            <v>22976</v>
          </cell>
          <cell r="O529">
            <v>0</v>
          </cell>
          <cell r="P529">
            <v>0</v>
          </cell>
          <cell r="Q529">
            <v>5329</v>
          </cell>
          <cell r="R529"/>
          <cell r="S529">
            <v>273537</v>
          </cell>
          <cell r="T529">
            <v>-1501</v>
          </cell>
          <cell r="U529">
            <v>272036</v>
          </cell>
        </row>
        <row r="530">
          <cell r="A530">
            <v>95813</v>
          </cell>
          <cell r="B530" t="str">
            <v>WILLIAMSTON HOUSING AUTHORITY</v>
          </cell>
          <cell r="C530">
            <v>4.88E-5</v>
          </cell>
          <cell r="D530">
            <v>4.4400000000000002E-5</v>
          </cell>
          <cell r="E530">
            <v>63299</v>
          </cell>
          <cell r="F530">
            <v>94232</v>
          </cell>
          <cell r="G530">
            <v>74553</v>
          </cell>
          <cell r="H530"/>
          <cell r="I530">
            <v>4295</v>
          </cell>
          <cell r="J530">
            <v>18101</v>
          </cell>
          <cell r="K530">
            <v>10647</v>
          </cell>
          <cell r="L530">
            <v>72000</v>
          </cell>
          <cell r="M530"/>
          <cell r="N530">
            <v>2110</v>
          </cell>
          <cell r="O530">
            <v>0</v>
          </cell>
          <cell r="P530">
            <v>0</v>
          </cell>
          <cell r="Q530">
            <v>0</v>
          </cell>
          <cell r="R530"/>
          <cell r="S530">
            <v>25124</v>
          </cell>
          <cell r="T530">
            <v>24457</v>
          </cell>
          <cell r="U530">
            <v>49581</v>
          </cell>
        </row>
        <row r="531">
          <cell r="A531">
            <v>95821</v>
          </cell>
          <cell r="B531" t="str">
            <v>TOWN OF OAK CITY</v>
          </cell>
          <cell r="C531">
            <v>0</v>
          </cell>
          <cell r="D531">
            <v>1.7E-6</v>
          </cell>
          <cell r="E531">
            <v>610</v>
          </cell>
          <cell r="F531">
            <v>3608</v>
          </cell>
          <cell r="G531">
            <v>0</v>
          </cell>
          <cell r="H531"/>
          <cell r="I531">
            <v>0</v>
          </cell>
          <cell r="J531">
            <v>0</v>
          </cell>
          <cell r="K531">
            <v>0</v>
          </cell>
          <cell r="L531">
            <v>1293</v>
          </cell>
          <cell r="M531"/>
          <cell r="N531">
            <v>0</v>
          </cell>
          <cell r="O531">
            <v>0</v>
          </cell>
          <cell r="P531">
            <v>0</v>
          </cell>
          <cell r="Q531">
            <v>652</v>
          </cell>
          <cell r="R531"/>
          <cell r="S531">
            <v>0</v>
          </cell>
          <cell r="T531">
            <v>460</v>
          </cell>
          <cell r="U531">
            <v>460</v>
          </cell>
        </row>
        <row r="532">
          <cell r="A532">
            <v>95831</v>
          </cell>
          <cell r="B532" t="str">
            <v>TOWN OF HAMILTON</v>
          </cell>
          <cell r="C532">
            <v>1.6799999999999998E-5</v>
          </cell>
          <cell r="D532">
            <v>1.36E-5</v>
          </cell>
          <cell r="E532">
            <v>22034</v>
          </cell>
          <cell r="F532">
            <v>28864</v>
          </cell>
          <cell r="G532">
            <v>25666</v>
          </cell>
          <cell r="H532"/>
          <cell r="I532">
            <v>1479</v>
          </cell>
          <cell r="J532">
            <v>6232</v>
          </cell>
          <cell r="K532">
            <v>3665</v>
          </cell>
          <cell r="L532">
            <v>23962</v>
          </cell>
          <cell r="M532"/>
          <cell r="N532">
            <v>727</v>
          </cell>
          <cell r="O532">
            <v>0</v>
          </cell>
          <cell r="P532">
            <v>0</v>
          </cell>
          <cell r="Q532">
            <v>0</v>
          </cell>
          <cell r="R532"/>
          <cell r="S532">
            <v>8649</v>
          </cell>
          <cell r="T532">
            <v>8068</v>
          </cell>
          <cell r="U532">
            <v>16717</v>
          </cell>
        </row>
        <row r="533">
          <cell r="A533">
            <v>95841</v>
          </cell>
          <cell r="B533" t="str">
            <v>TOWN OF JAMESVILLE</v>
          </cell>
          <cell r="C533">
            <v>2.0999999999999999E-5</v>
          </cell>
          <cell r="D533">
            <v>2.1100000000000001E-5</v>
          </cell>
          <cell r="E533">
            <v>10805</v>
          </cell>
          <cell r="F533">
            <v>44781</v>
          </cell>
          <cell r="G533">
            <v>32082</v>
          </cell>
          <cell r="H533"/>
          <cell r="I533">
            <v>1848</v>
          </cell>
          <cell r="J533">
            <v>7790</v>
          </cell>
          <cell r="K533">
            <v>4582</v>
          </cell>
          <cell r="L533">
            <v>2103</v>
          </cell>
          <cell r="M533"/>
          <cell r="N533">
            <v>908</v>
          </cell>
          <cell r="O533">
            <v>0</v>
          </cell>
          <cell r="P533">
            <v>0</v>
          </cell>
          <cell r="Q533">
            <v>0</v>
          </cell>
          <cell r="R533"/>
          <cell r="S533">
            <v>10812</v>
          </cell>
          <cell r="T533">
            <v>817</v>
          </cell>
          <cell r="U533">
            <v>11629</v>
          </cell>
        </row>
        <row r="534">
          <cell r="A534">
            <v>95851</v>
          </cell>
          <cell r="B534" t="str">
            <v>TOWN OF ROBERSONVILLE</v>
          </cell>
          <cell r="C534">
            <v>1.327E-4</v>
          </cell>
          <cell r="D534">
            <v>1.3009999999999999E-4</v>
          </cell>
          <cell r="E534">
            <v>142459</v>
          </cell>
          <cell r="F534">
            <v>276116</v>
          </cell>
          <cell r="G534">
            <v>202729</v>
          </cell>
          <cell r="H534"/>
          <cell r="I534">
            <v>11679</v>
          </cell>
          <cell r="J534">
            <v>49223</v>
          </cell>
          <cell r="K534">
            <v>28952</v>
          </cell>
          <cell r="L534">
            <v>130637</v>
          </cell>
          <cell r="M534"/>
          <cell r="N534">
            <v>5739</v>
          </cell>
          <cell r="O534">
            <v>0</v>
          </cell>
          <cell r="P534">
            <v>0</v>
          </cell>
          <cell r="Q534">
            <v>4180</v>
          </cell>
          <cell r="R534"/>
          <cell r="S534">
            <v>68320</v>
          </cell>
          <cell r="T534">
            <v>39831</v>
          </cell>
          <cell r="U534">
            <v>108151</v>
          </cell>
        </row>
        <row r="535">
          <cell r="A535">
            <v>95853</v>
          </cell>
          <cell r="B535" t="str">
            <v>ROBERSONVILLE HOUSING AUTHORITY</v>
          </cell>
          <cell r="C535">
            <v>2.69E-5</v>
          </cell>
          <cell r="D535">
            <v>2.4000000000000001E-5</v>
          </cell>
          <cell r="E535">
            <v>14344</v>
          </cell>
          <cell r="F535">
            <v>50936</v>
          </cell>
          <cell r="G535">
            <v>41096</v>
          </cell>
          <cell r="H535"/>
          <cell r="I535">
            <v>2367</v>
          </cell>
          <cell r="J535">
            <v>9978</v>
          </cell>
          <cell r="K535">
            <v>5869</v>
          </cell>
          <cell r="L535">
            <v>8793</v>
          </cell>
          <cell r="M535"/>
          <cell r="N535">
            <v>1163</v>
          </cell>
          <cell r="O535">
            <v>0</v>
          </cell>
          <cell r="P535">
            <v>0</v>
          </cell>
          <cell r="Q535">
            <v>0</v>
          </cell>
          <cell r="R535"/>
          <cell r="S535">
            <v>13849</v>
          </cell>
          <cell r="T535">
            <v>3675</v>
          </cell>
          <cell r="U535">
            <v>17524</v>
          </cell>
        </row>
        <row r="536">
          <cell r="A536">
            <v>95901</v>
          </cell>
          <cell r="B536" t="str">
            <v>MCDOWELL COUNTY</v>
          </cell>
          <cell r="C536">
            <v>1.8714999999999999E-3</v>
          </cell>
          <cell r="D536">
            <v>1.8266999999999999E-3</v>
          </cell>
          <cell r="E536">
            <v>815702</v>
          </cell>
          <cell r="F536">
            <v>3876869</v>
          </cell>
          <cell r="G536">
            <v>2859134</v>
          </cell>
          <cell r="H536"/>
          <cell r="I536">
            <v>164713</v>
          </cell>
          <cell r="J536">
            <v>694201</v>
          </cell>
          <cell r="K536">
            <v>408324</v>
          </cell>
          <cell r="L536">
            <v>36652</v>
          </cell>
          <cell r="M536"/>
          <cell r="N536">
            <v>80933</v>
          </cell>
          <cell r="O536">
            <v>0</v>
          </cell>
          <cell r="P536">
            <v>0</v>
          </cell>
          <cell r="Q536">
            <v>13191</v>
          </cell>
          <cell r="R536"/>
          <cell r="S536">
            <v>963531</v>
          </cell>
          <cell r="T536">
            <v>28466</v>
          </cell>
          <cell r="U536">
            <v>991997</v>
          </cell>
        </row>
        <row r="537">
          <cell r="A537">
            <v>95908</v>
          </cell>
          <cell r="B537" t="str">
            <v>PLEASANT GARDEN FIRE DEPT</v>
          </cell>
          <cell r="C537">
            <v>7.2200000000000007E-5</v>
          </cell>
          <cell r="D537">
            <v>7.2000000000000002E-5</v>
          </cell>
          <cell r="E537">
            <v>24598</v>
          </cell>
          <cell r="F537">
            <v>152808</v>
          </cell>
          <cell r="G537">
            <v>110302</v>
          </cell>
          <cell r="H537"/>
          <cell r="I537">
            <v>6354</v>
          </cell>
          <cell r="J537">
            <v>26781</v>
          </cell>
          <cell r="K537">
            <v>15753</v>
          </cell>
          <cell r="L537">
            <v>0</v>
          </cell>
          <cell r="M537"/>
          <cell r="N537">
            <v>3122</v>
          </cell>
          <cell r="O537">
            <v>0</v>
          </cell>
          <cell r="P537">
            <v>0</v>
          </cell>
          <cell r="Q537">
            <v>22164</v>
          </cell>
          <cell r="R537"/>
          <cell r="S537">
            <v>37172</v>
          </cell>
          <cell r="T537">
            <v>-10736</v>
          </cell>
          <cell r="U537">
            <v>26436</v>
          </cell>
        </row>
        <row r="538">
          <cell r="A538">
            <v>95911</v>
          </cell>
          <cell r="B538" t="str">
            <v>TOWN OF MARION</v>
          </cell>
          <cell r="C538">
            <v>5.7450000000000003E-4</v>
          </cell>
          <cell r="D538">
            <v>5.6979999999999997E-4</v>
          </cell>
          <cell r="E538">
            <v>244845</v>
          </cell>
          <cell r="F538">
            <v>1209306</v>
          </cell>
          <cell r="G538">
            <v>877677</v>
          </cell>
          <cell r="H538"/>
          <cell r="I538">
            <v>50562</v>
          </cell>
          <cell r="J538">
            <v>213101</v>
          </cell>
          <cell r="K538">
            <v>125344</v>
          </cell>
          <cell r="L538">
            <v>2898</v>
          </cell>
          <cell r="M538"/>
          <cell r="N538">
            <v>24844</v>
          </cell>
          <cell r="O538">
            <v>0</v>
          </cell>
          <cell r="P538">
            <v>0</v>
          </cell>
          <cell r="Q538">
            <v>40952</v>
          </cell>
          <cell r="R538"/>
          <cell r="S538">
            <v>295778</v>
          </cell>
          <cell r="T538">
            <v>-14076</v>
          </cell>
          <cell r="U538">
            <v>281702</v>
          </cell>
        </row>
        <row r="539">
          <cell r="A539">
            <v>95917</v>
          </cell>
          <cell r="B539" t="str">
            <v>MARION ABC BOARD</v>
          </cell>
          <cell r="C539">
            <v>2.6699999999999998E-5</v>
          </cell>
          <cell r="D539">
            <v>2.2399999999999999E-5</v>
          </cell>
          <cell r="E539">
            <v>11001</v>
          </cell>
          <cell r="F539">
            <v>47540</v>
          </cell>
          <cell r="G539">
            <v>40790</v>
          </cell>
          <cell r="H539"/>
          <cell r="I539">
            <v>2350</v>
          </cell>
          <cell r="J539">
            <v>9904</v>
          </cell>
          <cell r="K539">
            <v>5825</v>
          </cell>
          <cell r="L539">
            <v>4378</v>
          </cell>
          <cell r="M539"/>
          <cell r="N539">
            <v>1155</v>
          </cell>
          <cell r="O539">
            <v>0</v>
          </cell>
          <cell r="P539">
            <v>0</v>
          </cell>
          <cell r="Q539">
            <v>501</v>
          </cell>
          <cell r="R539"/>
          <cell r="S539">
            <v>13746</v>
          </cell>
          <cell r="T539">
            <v>2216</v>
          </cell>
          <cell r="U539">
            <v>15962</v>
          </cell>
        </row>
        <row r="540">
          <cell r="A540">
            <v>95921</v>
          </cell>
          <cell r="B540" t="str">
            <v>TOWN OF OLD FORT</v>
          </cell>
          <cell r="C540">
            <v>4.7500000000000003E-5</v>
          </cell>
          <cell r="D540">
            <v>4.4700000000000002E-5</v>
          </cell>
          <cell r="E540">
            <v>19772</v>
          </cell>
          <cell r="F540">
            <v>94868</v>
          </cell>
          <cell r="G540">
            <v>72567</v>
          </cell>
          <cell r="H540"/>
          <cell r="I540">
            <v>4181</v>
          </cell>
          <cell r="J540">
            <v>17619</v>
          </cell>
          <cell r="K540">
            <v>10364</v>
          </cell>
          <cell r="L540">
            <v>3925</v>
          </cell>
          <cell r="M540"/>
          <cell r="N540">
            <v>2054</v>
          </cell>
          <cell r="O540">
            <v>0</v>
          </cell>
          <cell r="P540">
            <v>0</v>
          </cell>
          <cell r="Q540">
            <v>948</v>
          </cell>
          <cell r="R540"/>
          <cell r="S540">
            <v>24455</v>
          </cell>
          <cell r="T540">
            <v>526</v>
          </cell>
          <cell r="U540">
            <v>24981</v>
          </cell>
        </row>
        <row r="541">
          <cell r="A541">
            <v>96001</v>
          </cell>
          <cell r="B541" t="str">
            <v>MECKLENBURG COUNTY</v>
          </cell>
          <cell r="C541">
            <v>4.4386399999999999E-2</v>
          </cell>
          <cell r="D541">
            <v>4.43519E-2</v>
          </cell>
          <cell r="E541">
            <v>20012605</v>
          </cell>
          <cell r="F541">
            <v>94129590</v>
          </cell>
          <cell r="G541">
            <v>67810124</v>
          </cell>
          <cell r="H541"/>
          <cell r="I541">
            <v>3906491</v>
          </cell>
          <cell r="J541">
            <v>16464380</v>
          </cell>
          <cell r="K541">
            <v>9684225</v>
          </cell>
          <cell r="L541">
            <v>1457342</v>
          </cell>
          <cell r="M541"/>
          <cell r="N541">
            <v>1919490</v>
          </cell>
          <cell r="O541">
            <v>0</v>
          </cell>
          <cell r="P541">
            <v>0</v>
          </cell>
          <cell r="Q541">
            <v>477903</v>
          </cell>
          <cell r="R541"/>
          <cell r="S541">
            <v>22852072</v>
          </cell>
          <cell r="T541">
            <v>1208760</v>
          </cell>
          <cell r="U541">
            <v>24060832</v>
          </cell>
        </row>
        <row r="542">
          <cell r="A542">
            <v>96003</v>
          </cell>
          <cell r="B542" t="str">
            <v>CHARLOTTE HOUSING AUTHORITY</v>
          </cell>
          <cell r="C542">
            <v>1.6523E-3</v>
          </cell>
          <cell r="D542">
            <v>1.7309000000000001E-3</v>
          </cell>
          <cell r="E542">
            <v>743373</v>
          </cell>
          <cell r="F542">
            <v>3673550</v>
          </cell>
          <cell r="G542">
            <v>2524257</v>
          </cell>
          <cell r="H542"/>
          <cell r="I542">
            <v>145421</v>
          </cell>
          <cell r="J542">
            <v>612893</v>
          </cell>
          <cell r="K542">
            <v>360499</v>
          </cell>
          <cell r="L542">
            <v>3089</v>
          </cell>
          <cell r="M542"/>
          <cell r="N542">
            <v>71454</v>
          </cell>
          <cell r="O542">
            <v>0</v>
          </cell>
          <cell r="P542">
            <v>0</v>
          </cell>
          <cell r="Q542">
            <v>135978</v>
          </cell>
          <cell r="R542"/>
          <cell r="S542">
            <v>850677</v>
          </cell>
          <cell r="T542">
            <v>-56030</v>
          </cell>
          <cell r="U542">
            <v>794647</v>
          </cell>
        </row>
        <row r="543">
          <cell r="A543">
            <v>96004</v>
          </cell>
          <cell r="B543" t="str">
            <v>MECKLENBURG COUNTY ABC BOARD</v>
          </cell>
          <cell r="C543">
            <v>8.9439999999999995E-4</v>
          </cell>
          <cell r="D543">
            <v>8.7699999999999996E-4</v>
          </cell>
          <cell r="E543">
            <v>462352</v>
          </cell>
          <cell r="F543">
            <v>1861288</v>
          </cell>
          <cell r="G543">
            <v>1366395</v>
          </cell>
          <cell r="H543"/>
          <cell r="I543">
            <v>78717</v>
          </cell>
          <cell r="J543">
            <v>331762</v>
          </cell>
          <cell r="K543">
            <v>195140</v>
          </cell>
          <cell r="L543">
            <v>149546</v>
          </cell>
          <cell r="M543"/>
          <cell r="N543">
            <v>38678</v>
          </cell>
          <cell r="O543">
            <v>0</v>
          </cell>
          <cell r="P543">
            <v>0</v>
          </cell>
          <cell r="Q543">
            <v>0</v>
          </cell>
          <cell r="R543"/>
          <cell r="S543">
            <v>460476</v>
          </cell>
          <cell r="T543">
            <v>65505</v>
          </cell>
          <cell r="U543">
            <v>525981</v>
          </cell>
        </row>
        <row r="544">
          <cell r="A544">
            <v>96005</v>
          </cell>
          <cell r="B544" t="str">
            <v>CHARLOTTE MECKLENBURG PUBLIC LIBRARY</v>
          </cell>
          <cell r="C544">
            <v>2.6733999999999998E-3</v>
          </cell>
          <cell r="D544">
            <v>2.6457E-3</v>
          </cell>
          <cell r="E544">
            <v>1240290</v>
          </cell>
          <cell r="F544">
            <v>5615062</v>
          </cell>
          <cell r="G544">
            <v>4084215</v>
          </cell>
          <cell r="H544"/>
          <cell r="I544">
            <v>235289</v>
          </cell>
          <cell r="J544">
            <v>991653</v>
          </cell>
          <cell r="K544">
            <v>583282</v>
          </cell>
          <cell r="L544">
            <v>222285</v>
          </cell>
          <cell r="M544"/>
          <cell r="N544">
            <v>115611</v>
          </cell>
          <cell r="O544">
            <v>0</v>
          </cell>
          <cell r="P544">
            <v>0</v>
          </cell>
          <cell r="Q544">
            <v>0</v>
          </cell>
          <cell r="R544"/>
          <cell r="S544">
            <v>1376384</v>
          </cell>
          <cell r="T544">
            <v>159087</v>
          </cell>
          <cell r="U544">
            <v>1535471</v>
          </cell>
        </row>
        <row r="545">
          <cell r="A545">
            <v>96008</v>
          </cell>
          <cell r="B545" t="str">
            <v>MECKLENBURG EMER MED SVCS AGCY</v>
          </cell>
          <cell r="C545">
            <v>5.9955E-3</v>
          </cell>
          <cell r="D545">
            <v>5.9388000000000002E-3</v>
          </cell>
          <cell r="E545">
            <v>2075076</v>
          </cell>
          <cell r="F545">
            <v>12604123</v>
          </cell>
          <cell r="G545">
            <v>9159463</v>
          </cell>
          <cell r="H545"/>
          <cell r="I545">
            <v>527670</v>
          </cell>
          <cell r="J545">
            <v>2223929</v>
          </cell>
          <cell r="K545">
            <v>1308098</v>
          </cell>
          <cell r="L545">
            <v>0</v>
          </cell>
          <cell r="M545"/>
          <cell r="N545">
            <v>259275</v>
          </cell>
          <cell r="O545">
            <v>0</v>
          </cell>
          <cell r="P545">
            <v>0</v>
          </cell>
          <cell r="Q545">
            <v>767021</v>
          </cell>
          <cell r="R545"/>
          <cell r="S545">
            <v>3086747</v>
          </cell>
          <cell r="T545">
            <v>-274630</v>
          </cell>
          <cell r="U545">
            <v>2812117</v>
          </cell>
        </row>
        <row r="546">
          <cell r="A546">
            <v>96009</v>
          </cell>
          <cell r="B546" t="str">
            <v>CENTRALINA COUNCIL OF GOVERNMENTS</v>
          </cell>
          <cell r="C546">
            <v>3.7609999999999998E-4</v>
          </cell>
          <cell r="D546">
            <v>3.5980000000000002E-4</v>
          </cell>
          <cell r="E546">
            <v>192063</v>
          </cell>
          <cell r="F546">
            <v>763616</v>
          </cell>
          <cell r="G546">
            <v>574577</v>
          </cell>
          <cell r="H546"/>
          <cell r="I546">
            <v>33101</v>
          </cell>
          <cell r="J546">
            <v>139508</v>
          </cell>
          <cell r="K546">
            <v>82057</v>
          </cell>
          <cell r="L546">
            <v>33181</v>
          </cell>
          <cell r="M546"/>
          <cell r="N546">
            <v>16264</v>
          </cell>
          <cell r="O546">
            <v>0</v>
          </cell>
          <cell r="P546">
            <v>0</v>
          </cell>
          <cell r="Q546">
            <v>2595</v>
          </cell>
          <cell r="R546"/>
          <cell r="S546">
            <v>193633</v>
          </cell>
          <cell r="T546">
            <v>11508</v>
          </cell>
          <cell r="U546">
            <v>205141</v>
          </cell>
        </row>
        <row r="547">
          <cell r="A547">
            <v>96011</v>
          </cell>
          <cell r="B547" t="str">
            <v>CITY OF CHARLOTTE</v>
          </cell>
          <cell r="C547">
            <v>6.1150400000000001E-2</v>
          </cell>
          <cell r="D547">
            <v>6.0489000000000001E-2</v>
          </cell>
          <cell r="E547">
            <v>28379211</v>
          </cell>
          <cell r="F547">
            <v>128377922</v>
          </cell>
          <cell r="G547">
            <v>93420873</v>
          </cell>
          <cell r="H547"/>
          <cell r="I547">
            <v>5381908</v>
          </cell>
          <cell r="J547">
            <v>22682701</v>
          </cell>
          <cell r="K547">
            <v>13341794</v>
          </cell>
          <cell r="L547">
            <v>796221</v>
          </cell>
          <cell r="M547"/>
          <cell r="N547">
            <v>2644449</v>
          </cell>
          <cell r="O547">
            <v>0</v>
          </cell>
          <cell r="P547">
            <v>0</v>
          </cell>
          <cell r="Q547">
            <v>51460</v>
          </cell>
          <cell r="R547"/>
          <cell r="S547">
            <v>31482917</v>
          </cell>
          <cell r="T547">
            <v>212508</v>
          </cell>
          <cell r="U547">
            <v>31695425</v>
          </cell>
        </row>
        <row r="548">
          <cell r="A548">
            <v>96012</v>
          </cell>
          <cell r="B548" t="str">
            <v>CHARLOTTE REGIONAL VISITORS AUTHORITY</v>
          </cell>
          <cell r="C548">
            <v>2.4417000000000002E-3</v>
          </cell>
          <cell r="D548">
            <v>2.4095000000000002E-3</v>
          </cell>
          <cell r="E548">
            <v>1092788</v>
          </cell>
          <cell r="F548">
            <v>5113766</v>
          </cell>
          <cell r="G548">
            <v>3730241</v>
          </cell>
          <cell r="H548"/>
          <cell r="I548">
            <v>214896</v>
          </cell>
          <cell r="J548">
            <v>905707</v>
          </cell>
          <cell r="K548">
            <v>532730</v>
          </cell>
          <cell r="L548">
            <v>77080</v>
          </cell>
          <cell r="M548"/>
          <cell r="N548">
            <v>105591</v>
          </cell>
          <cell r="O548">
            <v>0</v>
          </cell>
          <cell r="P548">
            <v>0</v>
          </cell>
          <cell r="Q548">
            <v>937</v>
          </cell>
          <cell r="R548"/>
          <cell r="S548">
            <v>1257095</v>
          </cell>
          <cell r="T548">
            <v>35595</v>
          </cell>
          <cell r="U548">
            <v>1292690</v>
          </cell>
        </row>
        <row r="549">
          <cell r="A549">
            <v>96018</v>
          </cell>
          <cell r="B549" t="str">
            <v>CHARLOTTE FIREMEN'S RET SYS</v>
          </cell>
          <cell r="C549">
            <v>4.3600000000000003E-5</v>
          </cell>
          <cell r="D549">
            <v>3.6199999999999999E-5</v>
          </cell>
          <cell r="E549">
            <v>18035</v>
          </cell>
          <cell r="F549">
            <v>76829</v>
          </cell>
          <cell r="G549">
            <v>66609</v>
          </cell>
          <cell r="H549"/>
          <cell r="I549">
            <v>3837</v>
          </cell>
          <cell r="J549">
            <v>16173</v>
          </cell>
          <cell r="K549">
            <v>9513</v>
          </cell>
          <cell r="L549">
            <v>9704</v>
          </cell>
          <cell r="M549"/>
          <cell r="N549">
            <v>1885</v>
          </cell>
          <cell r="O549">
            <v>0</v>
          </cell>
          <cell r="P549">
            <v>0</v>
          </cell>
          <cell r="Q549">
            <v>0</v>
          </cell>
          <cell r="R549"/>
          <cell r="S549">
            <v>22447</v>
          </cell>
          <cell r="T549">
            <v>5913</v>
          </cell>
          <cell r="U549">
            <v>28360</v>
          </cell>
        </row>
        <row r="550">
          <cell r="A550">
            <v>96021</v>
          </cell>
          <cell r="B550" t="str">
            <v>TOWN OF PINEVILLE</v>
          </cell>
          <cell r="C550">
            <v>7.2090000000000001E-4</v>
          </cell>
          <cell r="D550">
            <v>8.5829999999999999E-4</v>
          </cell>
          <cell r="E550">
            <v>327690</v>
          </cell>
          <cell r="F550">
            <v>1821600</v>
          </cell>
          <cell r="G550">
            <v>1101336</v>
          </cell>
          <cell r="H550"/>
          <cell r="I550">
            <v>63447</v>
          </cell>
          <cell r="J550">
            <v>267406</v>
          </cell>
          <cell r="K550">
            <v>157286</v>
          </cell>
          <cell r="L550">
            <v>31959</v>
          </cell>
          <cell r="M550"/>
          <cell r="N550">
            <v>31175</v>
          </cell>
          <cell r="O550">
            <v>0</v>
          </cell>
          <cell r="P550">
            <v>0</v>
          </cell>
          <cell r="Q550">
            <v>119309</v>
          </cell>
          <cell r="R550"/>
          <cell r="S550">
            <v>371151</v>
          </cell>
          <cell r="T550">
            <v>-13869</v>
          </cell>
          <cell r="U550">
            <v>357282</v>
          </cell>
        </row>
        <row r="551">
          <cell r="A551">
            <v>96031</v>
          </cell>
          <cell r="B551" t="str">
            <v>TOWN OF MINT HILL</v>
          </cell>
          <cell r="C551">
            <v>8.2580000000000001E-4</v>
          </cell>
          <cell r="D551">
            <v>9.0189999999999997E-4</v>
          </cell>
          <cell r="E551">
            <v>325476</v>
          </cell>
          <cell r="F551">
            <v>1914134</v>
          </cell>
          <cell r="G551">
            <v>1261594</v>
          </cell>
          <cell r="H551"/>
          <cell r="I551">
            <v>72679</v>
          </cell>
          <cell r="J551">
            <v>306317</v>
          </cell>
          <cell r="K551">
            <v>180173</v>
          </cell>
          <cell r="L551">
            <v>0</v>
          </cell>
          <cell r="M551"/>
          <cell r="N551">
            <v>35712</v>
          </cell>
          <cell r="O551">
            <v>0</v>
          </cell>
          <cell r="P551">
            <v>0</v>
          </cell>
          <cell r="Q551">
            <v>179263</v>
          </cell>
          <cell r="R551"/>
          <cell r="S551">
            <v>425158</v>
          </cell>
          <cell r="T551">
            <v>-74461</v>
          </cell>
          <cell r="U551">
            <v>350697</v>
          </cell>
        </row>
        <row r="552">
          <cell r="A552">
            <v>96041</v>
          </cell>
          <cell r="B552" t="str">
            <v>TOWN OF HUNTERSVILLE</v>
          </cell>
          <cell r="C552">
            <v>1.7361E-3</v>
          </cell>
          <cell r="D552">
            <v>1.7323E-3</v>
          </cell>
          <cell r="E552">
            <v>721544</v>
          </cell>
          <cell r="F552">
            <v>3676521</v>
          </cell>
          <cell r="G552">
            <v>2652280</v>
          </cell>
          <cell r="H552"/>
          <cell r="I552">
            <v>152796</v>
          </cell>
          <cell r="J552">
            <v>643977</v>
          </cell>
          <cell r="K552">
            <v>378782</v>
          </cell>
          <cell r="L552">
            <v>0</v>
          </cell>
          <cell r="M552"/>
          <cell r="N552">
            <v>75078</v>
          </cell>
          <cell r="O552">
            <v>0</v>
          </cell>
          <cell r="P552">
            <v>0</v>
          </cell>
          <cell r="Q552">
            <v>139404</v>
          </cell>
          <cell r="R552"/>
          <cell r="S552">
            <v>893821</v>
          </cell>
          <cell r="T552">
            <v>-60075</v>
          </cell>
          <cell r="U552">
            <v>833746</v>
          </cell>
        </row>
        <row r="553">
          <cell r="A553">
            <v>96051</v>
          </cell>
          <cell r="B553" t="str">
            <v>TOWN OF CORNELIUS</v>
          </cell>
          <cell r="C553">
            <v>1.0062000000000001E-3</v>
          </cell>
          <cell r="D553">
            <v>1.0258000000000001E-3</v>
          </cell>
          <cell r="E553">
            <v>418346</v>
          </cell>
          <cell r="F553">
            <v>2177091</v>
          </cell>
          <cell r="G553">
            <v>1537195</v>
          </cell>
          <cell r="H553"/>
          <cell r="I553">
            <v>88557</v>
          </cell>
          <cell r="J553">
            <v>373233</v>
          </cell>
          <cell r="K553">
            <v>219533</v>
          </cell>
          <cell r="L553">
            <v>0</v>
          </cell>
          <cell r="M553"/>
          <cell r="N553">
            <v>43513</v>
          </cell>
          <cell r="O553">
            <v>0</v>
          </cell>
          <cell r="P553">
            <v>0</v>
          </cell>
          <cell r="Q553">
            <v>109605</v>
          </cell>
          <cell r="R553"/>
          <cell r="S553">
            <v>518036</v>
          </cell>
          <cell r="T553">
            <v>-44751</v>
          </cell>
          <cell r="U553">
            <v>473285</v>
          </cell>
        </row>
        <row r="554">
          <cell r="A554">
            <v>96061</v>
          </cell>
          <cell r="B554" t="str">
            <v>TOWN OF STALLINGS</v>
          </cell>
          <cell r="C554">
            <v>3.3950000000000001E-4</v>
          </cell>
          <cell r="D554">
            <v>3.0800000000000001E-4</v>
          </cell>
          <cell r="E554">
            <v>154988</v>
          </cell>
          <cell r="F554">
            <v>653679</v>
          </cell>
          <cell r="G554">
            <v>518662</v>
          </cell>
          <cell r="H554"/>
          <cell r="I554">
            <v>29880</v>
          </cell>
          <cell r="J554">
            <v>125932</v>
          </cell>
          <cell r="K554">
            <v>74072</v>
          </cell>
          <cell r="L554">
            <v>21868</v>
          </cell>
          <cell r="M554"/>
          <cell r="N554">
            <v>14682</v>
          </cell>
          <cell r="O554">
            <v>0</v>
          </cell>
          <cell r="P554">
            <v>0</v>
          </cell>
          <cell r="Q554">
            <v>7447</v>
          </cell>
          <cell r="R554"/>
          <cell r="S554">
            <v>174790</v>
          </cell>
          <cell r="T554">
            <v>2241</v>
          </cell>
          <cell r="U554">
            <v>177031</v>
          </cell>
        </row>
        <row r="555">
          <cell r="A555">
            <v>96071</v>
          </cell>
          <cell r="B555" t="str">
            <v>TOWN OF MATTHEWS</v>
          </cell>
          <cell r="C555">
            <v>1.1367E-3</v>
          </cell>
          <cell r="D555">
            <v>1.1280999999999999E-3</v>
          </cell>
          <cell r="E555">
            <v>554009</v>
          </cell>
          <cell r="F555">
            <v>2394206</v>
          </cell>
          <cell r="G555">
            <v>1736563</v>
          </cell>
          <cell r="H555"/>
          <cell r="I555">
            <v>100042</v>
          </cell>
          <cell r="J555">
            <v>421639</v>
          </cell>
          <cell r="K555">
            <v>248005</v>
          </cell>
          <cell r="L555">
            <v>72999</v>
          </cell>
          <cell r="M555"/>
          <cell r="N555">
            <v>49157</v>
          </cell>
          <cell r="O555">
            <v>0</v>
          </cell>
          <cell r="P555">
            <v>0</v>
          </cell>
          <cell r="Q555">
            <v>71715</v>
          </cell>
          <cell r="R555"/>
          <cell r="S555">
            <v>585223</v>
          </cell>
          <cell r="T555">
            <v>-1282</v>
          </cell>
          <cell r="U555">
            <v>583941</v>
          </cell>
        </row>
        <row r="556">
          <cell r="A556">
            <v>96081</v>
          </cell>
          <cell r="B556" t="str">
            <v>TOWN OF DAVIDSON</v>
          </cell>
          <cell r="C556">
            <v>5.0900000000000001E-4</v>
          </cell>
          <cell r="D556">
            <v>4.7820000000000002E-4</v>
          </cell>
          <cell r="E556">
            <v>211520</v>
          </cell>
          <cell r="F556">
            <v>1014901</v>
          </cell>
          <cell r="G556">
            <v>777611</v>
          </cell>
          <cell r="H556"/>
          <cell r="I556">
            <v>44798</v>
          </cell>
          <cell r="J556">
            <v>188805</v>
          </cell>
          <cell r="K556">
            <v>111054</v>
          </cell>
          <cell r="L556">
            <v>10640</v>
          </cell>
          <cell r="M556"/>
          <cell r="N556">
            <v>22012</v>
          </cell>
          <cell r="O556">
            <v>0</v>
          </cell>
          <cell r="P556">
            <v>0</v>
          </cell>
          <cell r="Q556">
            <v>4115</v>
          </cell>
          <cell r="R556"/>
          <cell r="S556">
            <v>262056</v>
          </cell>
          <cell r="T556">
            <v>5137</v>
          </cell>
          <cell r="U556">
            <v>267193</v>
          </cell>
        </row>
        <row r="557">
          <cell r="A557">
            <v>96101</v>
          </cell>
          <cell r="B557" t="str">
            <v>MITCHELL COUNTY</v>
          </cell>
          <cell r="C557">
            <v>7.6749999999999995E-4</v>
          </cell>
          <cell r="D557">
            <v>7.5860000000000001E-4</v>
          </cell>
          <cell r="E557">
            <v>371541</v>
          </cell>
          <cell r="F557">
            <v>1610003</v>
          </cell>
          <cell r="G557">
            <v>1172527</v>
          </cell>
          <cell r="H557"/>
          <cell r="I557">
            <v>67548</v>
          </cell>
          <cell r="J557">
            <v>284691</v>
          </cell>
          <cell r="K557">
            <v>167453</v>
          </cell>
          <cell r="L557">
            <v>39221</v>
          </cell>
          <cell r="M557"/>
          <cell r="N557">
            <v>33191</v>
          </cell>
          <cell r="O557">
            <v>0</v>
          </cell>
          <cell r="P557">
            <v>0</v>
          </cell>
          <cell r="Q557">
            <v>3498</v>
          </cell>
          <cell r="R557"/>
          <cell r="S557">
            <v>395143</v>
          </cell>
          <cell r="T557">
            <v>17230</v>
          </cell>
          <cell r="U557">
            <v>412373</v>
          </cell>
        </row>
        <row r="558">
          <cell r="A558">
            <v>96102</v>
          </cell>
          <cell r="B558" t="str">
            <v>MITCHELL SOIL &amp; WATER CONSERVATION DIST</v>
          </cell>
          <cell r="C558">
            <v>1.36E-5</v>
          </cell>
          <cell r="D558">
            <v>1.42E-5</v>
          </cell>
          <cell r="E558">
            <v>5078</v>
          </cell>
          <cell r="F558">
            <v>30137</v>
          </cell>
          <cell r="G558">
            <v>20777</v>
          </cell>
          <cell r="H558"/>
          <cell r="I558">
            <v>1197</v>
          </cell>
          <cell r="J558">
            <v>5045</v>
          </cell>
          <cell r="K558">
            <v>2967</v>
          </cell>
          <cell r="L558">
            <v>0</v>
          </cell>
          <cell r="M558"/>
          <cell r="N558">
            <v>588</v>
          </cell>
          <cell r="O558">
            <v>0</v>
          </cell>
          <cell r="P558">
            <v>0</v>
          </cell>
          <cell r="Q558">
            <v>3137</v>
          </cell>
          <cell r="R558"/>
          <cell r="S558">
            <v>7002</v>
          </cell>
          <cell r="T558">
            <v>-1435</v>
          </cell>
          <cell r="U558">
            <v>5567</v>
          </cell>
        </row>
        <row r="559">
          <cell r="A559">
            <v>96111</v>
          </cell>
          <cell r="B559" t="str">
            <v>TOWN OF SPRUCE PINE</v>
          </cell>
          <cell r="C559">
            <v>1.5349999999999999E-4</v>
          </cell>
          <cell r="D559">
            <v>1.6119999999999999E-4</v>
          </cell>
          <cell r="E559">
            <v>74819</v>
          </cell>
          <cell r="F559">
            <v>342120</v>
          </cell>
          <cell r="G559">
            <v>234505</v>
          </cell>
          <cell r="H559"/>
          <cell r="I559">
            <v>13510</v>
          </cell>
          <cell r="J559">
            <v>56938</v>
          </cell>
          <cell r="K559">
            <v>33491</v>
          </cell>
          <cell r="L559">
            <v>9403</v>
          </cell>
          <cell r="M559"/>
          <cell r="N559">
            <v>6638</v>
          </cell>
          <cell r="O559">
            <v>0</v>
          </cell>
          <cell r="P559">
            <v>0</v>
          </cell>
          <cell r="Q559">
            <v>1683</v>
          </cell>
          <cell r="R559"/>
          <cell r="S559">
            <v>79029</v>
          </cell>
          <cell r="T559">
            <v>6754</v>
          </cell>
          <cell r="U559">
            <v>85783</v>
          </cell>
        </row>
        <row r="560">
          <cell r="A560">
            <v>96121</v>
          </cell>
          <cell r="B560" t="str">
            <v>TOWN OF BAKERSVILLE</v>
          </cell>
          <cell r="C560">
            <v>2.2500000000000001E-5</v>
          </cell>
          <cell r="D560">
            <v>2.2099999999999998E-5</v>
          </cell>
          <cell r="E560">
            <v>9052</v>
          </cell>
          <cell r="F560">
            <v>46904</v>
          </cell>
          <cell r="G560">
            <v>34374</v>
          </cell>
          <cell r="H560"/>
          <cell r="I560">
            <v>1980</v>
          </cell>
          <cell r="J560">
            <v>8346</v>
          </cell>
          <cell r="K560">
            <v>4909</v>
          </cell>
          <cell r="L560">
            <v>397</v>
          </cell>
          <cell r="M560"/>
          <cell r="N560">
            <v>973</v>
          </cell>
          <cell r="O560">
            <v>0</v>
          </cell>
          <cell r="P560">
            <v>0</v>
          </cell>
          <cell r="Q560">
            <v>1764</v>
          </cell>
          <cell r="R560"/>
          <cell r="S560">
            <v>11584</v>
          </cell>
          <cell r="T560">
            <v>-946</v>
          </cell>
          <cell r="U560">
            <v>10638</v>
          </cell>
        </row>
        <row r="561">
          <cell r="A561">
            <v>96201</v>
          </cell>
          <cell r="B561" t="str">
            <v>MONTGOMERY COUNTY</v>
          </cell>
          <cell r="C561">
            <v>1.1788E-3</v>
          </cell>
          <cell r="D561">
            <v>1.2302999999999999E-3</v>
          </cell>
          <cell r="E561">
            <v>527645</v>
          </cell>
          <cell r="F561">
            <v>2611109</v>
          </cell>
          <cell r="G561">
            <v>1800880</v>
          </cell>
          <cell r="H561"/>
          <cell r="I561">
            <v>103747</v>
          </cell>
          <cell r="J561">
            <v>437256</v>
          </cell>
          <cell r="K561">
            <v>257191</v>
          </cell>
          <cell r="L561">
            <v>0</v>
          </cell>
          <cell r="M561"/>
          <cell r="N561">
            <v>50977</v>
          </cell>
          <cell r="O561">
            <v>0</v>
          </cell>
          <cell r="P561">
            <v>0</v>
          </cell>
          <cell r="Q561">
            <v>73119</v>
          </cell>
          <cell r="R561"/>
          <cell r="S561">
            <v>606898</v>
          </cell>
          <cell r="T561">
            <v>-23257</v>
          </cell>
          <cell r="U561">
            <v>583641</v>
          </cell>
        </row>
        <row r="562">
          <cell r="A562">
            <v>96204</v>
          </cell>
          <cell r="B562" t="str">
            <v>MONTGOMERY-MUNICIPAL ABC BOARD</v>
          </cell>
          <cell r="C562">
            <v>1.5099999999999999E-5</v>
          </cell>
          <cell r="D562">
            <v>1.5400000000000002E-5</v>
          </cell>
          <cell r="E562">
            <v>8503</v>
          </cell>
          <cell r="F562">
            <v>32684</v>
          </cell>
          <cell r="G562">
            <v>23069</v>
          </cell>
          <cell r="H562"/>
          <cell r="I562">
            <v>1329</v>
          </cell>
          <cell r="J562">
            <v>5602</v>
          </cell>
          <cell r="K562">
            <v>3295</v>
          </cell>
          <cell r="L562">
            <v>3517</v>
          </cell>
          <cell r="M562"/>
          <cell r="N562">
            <v>653</v>
          </cell>
          <cell r="O562">
            <v>0</v>
          </cell>
          <cell r="P562">
            <v>0</v>
          </cell>
          <cell r="Q562">
            <v>0</v>
          </cell>
          <cell r="R562"/>
          <cell r="S562">
            <v>7774</v>
          </cell>
          <cell r="T562">
            <v>1655</v>
          </cell>
          <cell r="U562">
            <v>9429</v>
          </cell>
        </row>
        <row r="563">
          <cell r="A563">
            <v>96211</v>
          </cell>
          <cell r="B563" t="str">
            <v>TOWN OF STAR</v>
          </cell>
          <cell r="C563">
            <v>2.62E-5</v>
          </cell>
          <cell r="D563">
            <v>3.0700000000000001E-5</v>
          </cell>
          <cell r="E563">
            <v>16678</v>
          </cell>
          <cell r="F563">
            <v>65156</v>
          </cell>
          <cell r="G563">
            <v>40026</v>
          </cell>
          <cell r="H563"/>
          <cell r="I563">
            <v>2306</v>
          </cell>
          <cell r="J563">
            <v>9718</v>
          </cell>
          <cell r="K563">
            <v>5716</v>
          </cell>
          <cell r="L563">
            <v>4494</v>
          </cell>
          <cell r="M563"/>
          <cell r="N563">
            <v>1133</v>
          </cell>
          <cell r="O563">
            <v>0</v>
          </cell>
          <cell r="P563">
            <v>0</v>
          </cell>
          <cell r="Q563">
            <v>4462</v>
          </cell>
          <cell r="R563"/>
          <cell r="S563">
            <v>13489</v>
          </cell>
          <cell r="T563">
            <v>-2681</v>
          </cell>
          <cell r="U563">
            <v>10808</v>
          </cell>
        </row>
        <row r="564">
          <cell r="A564">
            <v>96221</v>
          </cell>
          <cell r="B564" t="str">
            <v>TOWN OF TROY</v>
          </cell>
          <cell r="C564">
            <v>2.3350000000000001E-4</v>
          </cell>
          <cell r="D564">
            <v>2.287E-4</v>
          </cell>
          <cell r="E564">
            <v>98415</v>
          </cell>
          <cell r="F564">
            <v>485378</v>
          </cell>
          <cell r="G564">
            <v>356723</v>
          </cell>
          <cell r="H564"/>
          <cell r="I564">
            <v>20551</v>
          </cell>
          <cell r="J564">
            <v>86613</v>
          </cell>
          <cell r="K564">
            <v>50945</v>
          </cell>
          <cell r="L564">
            <v>2439</v>
          </cell>
          <cell r="M564"/>
          <cell r="N564">
            <v>10098</v>
          </cell>
          <cell r="O564">
            <v>0</v>
          </cell>
          <cell r="P564">
            <v>0</v>
          </cell>
          <cell r="Q564">
            <v>15042</v>
          </cell>
          <cell r="R564"/>
          <cell r="S564">
            <v>120216</v>
          </cell>
          <cell r="T564">
            <v>-3357</v>
          </cell>
          <cell r="U564">
            <v>116859</v>
          </cell>
        </row>
        <row r="565">
          <cell r="A565">
            <v>96231</v>
          </cell>
          <cell r="B565" t="str">
            <v>TOWN OF BISCOE</v>
          </cell>
          <cell r="C565">
            <v>1.3339999999999999E-4</v>
          </cell>
          <cell r="D565">
            <v>1.145E-4</v>
          </cell>
          <cell r="E565">
            <v>48595</v>
          </cell>
          <cell r="F565">
            <v>243007</v>
          </cell>
          <cell r="G565">
            <v>203798</v>
          </cell>
          <cell r="H565"/>
          <cell r="I565">
            <v>11741</v>
          </cell>
          <cell r="J565">
            <v>49482</v>
          </cell>
          <cell r="K565">
            <v>29105</v>
          </cell>
          <cell r="L565">
            <v>2554</v>
          </cell>
          <cell r="M565"/>
          <cell r="N565">
            <v>5769</v>
          </cell>
          <cell r="O565">
            <v>0</v>
          </cell>
          <cell r="P565">
            <v>0</v>
          </cell>
          <cell r="Q565">
            <v>14959</v>
          </cell>
          <cell r="R565"/>
          <cell r="S565">
            <v>68680</v>
          </cell>
          <cell r="T565">
            <v>-7094</v>
          </cell>
          <cell r="U565">
            <v>61586</v>
          </cell>
        </row>
        <row r="566">
          <cell r="A566">
            <v>96241</v>
          </cell>
          <cell r="B566" t="str">
            <v>TOWN OF CANDOR</v>
          </cell>
          <cell r="C566">
            <v>4.4700000000000002E-5</v>
          </cell>
          <cell r="D566">
            <v>4.6100000000000002E-5</v>
          </cell>
          <cell r="E566">
            <v>22791</v>
          </cell>
          <cell r="F566">
            <v>97840</v>
          </cell>
          <cell r="G566">
            <v>68289</v>
          </cell>
          <cell r="H566"/>
          <cell r="I566">
            <v>3934</v>
          </cell>
          <cell r="J566">
            <v>16580</v>
          </cell>
          <cell r="K566">
            <v>9753</v>
          </cell>
          <cell r="L566">
            <v>5027</v>
          </cell>
          <cell r="M566"/>
          <cell r="N566">
            <v>1933</v>
          </cell>
          <cell r="O566">
            <v>0</v>
          </cell>
          <cell r="P566">
            <v>0</v>
          </cell>
          <cell r="Q566">
            <v>4371</v>
          </cell>
          <cell r="R566"/>
          <cell r="S566">
            <v>23014</v>
          </cell>
          <cell r="T566">
            <v>2407</v>
          </cell>
          <cell r="U566">
            <v>25421</v>
          </cell>
        </row>
        <row r="567">
          <cell r="A567">
            <v>96251</v>
          </cell>
          <cell r="B567" t="str">
            <v>TOWN OF MOUNT GILEAD</v>
          </cell>
          <cell r="C567">
            <v>9.3999999999999994E-5</v>
          </cell>
          <cell r="D567">
            <v>7.7100000000000004E-5</v>
          </cell>
          <cell r="E567">
            <v>36737</v>
          </cell>
          <cell r="F567">
            <v>163632</v>
          </cell>
          <cell r="G567">
            <v>143606</v>
          </cell>
          <cell r="H567"/>
          <cell r="I567">
            <v>8273</v>
          </cell>
          <cell r="J567">
            <v>34868</v>
          </cell>
          <cell r="K567">
            <v>20509</v>
          </cell>
          <cell r="L567">
            <v>6198</v>
          </cell>
          <cell r="M567"/>
          <cell r="N567">
            <v>4065</v>
          </cell>
          <cell r="O567">
            <v>0</v>
          </cell>
          <cell r="P567">
            <v>0</v>
          </cell>
          <cell r="Q567">
            <v>16886</v>
          </cell>
          <cell r="R567"/>
          <cell r="S567">
            <v>48395</v>
          </cell>
          <cell r="T567">
            <v>-7102</v>
          </cell>
          <cell r="U567">
            <v>41293</v>
          </cell>
        </row>
        <row r="568">
          <cell r="A568">
            <v>96301</v>
          </cell>
          <cell r="B568" t="str">
            <v>MOORE COUNTY</v>
          </cell>
          <cell r="C568">
            <v>4.3712999999999998E-3</v>
          </cell>
          <cell r="D568">
            <v>4.3785999999999999E-3</v>
          </cell>
          <cell r="E568">
            <v>1938350</v>
          </cell>
          <cell r="F568">
            <v>9292856</v>
          </cell>
          <cell r="G568">
            <v>6678136</v>
          </cell>
          <cell r="H568"/>
          <cell r="I568">
            <v>384722</v>
          </cell>
          <cell r="J568">
            <v>1621460</v>
          </cell>
          <cell r="K568">
            <v>953730</v>
          </cell>
          <cell r="L568">
            <v>60786</v>
          </cell>
          <cell r="M568"/>
          <cell r="N568">
            <v>189037</v>
          </cell>
          <cell r="O568">
            <v>0</v>
          </cell>
          <cell r="P568">
            <v>0</v>
          </cell>
          <cell r="Q568">
            <v>160488</v>
          </cell>
          <cell r="R568"/>
          <cell r="S568">
            <v>2250538</v>
          </cell>
          <cell r="T568">
            <v>-27776</v>
          </cell>
          <cell r="U568">
            <v>2222762</v>
          </cell>
        </row>
        <row r="569">
          <cell r="A569">
            <v>96302</v>
          </cell>
          <cell r="B569" t="str">
            <v>TOWN OF TAYLORTOWN</v>
          </cell>
          <cell r="C569">
            <v>2.5199999999999999E-5</v>
          </cell>
          <cell r="D569">
            <v>1.9199999999999999E-5</v>
          </cell>
          <cell r="E569">
            <v>12121</v>
          </cell>
          <cell r="F569">
            <v>40749</v>
          </cell>
          <cell r="G569">
            <v>38499</v>
          </cell>
          <cell r="H569"/>
          <cell r="I569">
            <v>2218</v>
          </cell>
          <cell r="J569">
            <v>9347</v>
          </cell>
          <cell r="K569">
            <v>5498</v>
          </cell>
          <cell r="L569">
            <v>7399</v>
          </cell>
          <cell r="M569"/>
          <cell r="N569">
            <v>1090</v>
          </cell>
          <cell r="O569">
            <v>0</v>
          </cell>
          <cell r="P569">
            <v>0</v>
          </cell>
          <cell r="Q569">
            <v>0</v>
          </cell>
          <cell r="R569"/>
          <cell r="S569">
            <v>12974</v>
          </cell>
          <cell r="T569">
            <v>2631</v>
          </cell>
          <cell r="U569">
            <v>15605</v>
          </cell>
        </row>
        <row r="570">
          <cell r="A570">
            <v>96304</v>
          </cell>
          <cell r="B570" t="str">
            <v>MOORE COUNTY ABC BOARD</v>
          </cell>
          <cell r="C570">
            <v>4.5500000000000001E-5</v>
          </cell>
          <cell r="D570">
            <v>5.4599999999999999E-5</v>
          </cell>
          <cell r="E570">
            <v>27294</v>
          </cell>
          <cell r="F570">
            <v>115879</v>
          </cell>
          <cell r="G570">
            <v>69511</v>
          </cell>
          <cell r="H570"/>
          <cell r="I570">
            <v>4005</v>
          </cell>
          <cell r="J570">
            <v>16877</v>
          </cell>
          <cell r="K570">
            <v>9927</v>
          </cell>
          <cell r="L570">
            <v>5469</v>
          </cell>
          <cell r="M570"/>
          <cell r="N570">
            <v>1968</v>
          </cell>
          <cell r="O570">
            <v>0</v>
          </cell>
          <cell r="P570">
            <v>0</v>
          </cell>
          <cell r="Q570">
            <v>1092</v>
          </cell>
          <cell r="R570"/>
          <cell r="S570">
            <v>23425</v>
          </cell>
          <cell r="T570">
            <v>2085</v>
          </cell>
          <cell r="U570">
            <v>25510</v>
          </cell>
        </row>
        <row r="571">
          <cell r="A571">
            <v>96305</v>
          </cell>
          <cell r="B571" t="str">
            <v>MOORE COUNTY TOURISM DEVELOPMENT AUTHORITY</v>
          </cell>
          <cell r="C571">
            <v>4.5500000000000001E-5</v>
          </cell>
          <cell r="D571">
            <v>4.8199999999999999E-5</v>
          </cell>
          <cell r="E571">
            <v>30520</v>
          </cell>
          <cell r="F571">
            <v>102297</v>
          </cell>
          <cell r="G571">
            <v>69511</v>
          </cell>
          <cell r="H571"/>
          <cell r="I571">
            <v>4005</v>
          </cell>
          <cell r="J571">
            <v>16877</v>
          </cell>
          <cell r="K571">
            <v>9927</v>
          </cell>
          <cell r="L571">
            <v>13328</v>
          </cell>
          <cell r="M571"/>
          <cell r="N571">
            <v>1968</v>
          </cell>
          <cell r="O571">
            <v>0</v>
          </cell>
          <cell r="P571">
            <v>0</v>
          </cell>
          <cell r="Q571">
            <v>0</v>
          </cell>
          <cell r="R571"/>
          <cell r="S571">
            <v>23425</v>
          </cell>
          <cell r="T571">
            <v>4752</v>
          </cell>
          <cell r="U571">
            <v>28177</v>
          </cell>
        </row>
        <row r="572">
          <cell r="A572">
            <v>96310</v>
          </cell>
          <cell r="B572" t="str">
            <v>MOORE COUNTY AIRPORT AUTHORITY</v>
          </cell>
          <cell r="C572">
            <v>6.1099999999999994E-5</v>
          </cell>
          <cell r="D572">
            <v>4.88E-5</v>
          </cell>
          <cell r="E572">
            <v>26767</v>
          </cell>
          <cell r="F572">
            <v>103570</v>
          </cell>
          <cell r="G572">
            <v>93344</v>
          </cell>
          <cell r="H572"/>
          <cell r="I572">
            <v>5377</v>
          </cell>
          <cell r="J572">
            <v>22664</v>
          </cell>
          <cell r="K572">
            <v>13331</v>
          </cell>
          <cell r="L572">
            <v>10507</v>
          </cell>
          <cell r="M572"/>
          <cell r="N572">
            <v>2642</v>
          </cell>
          <cell r="O572">
            <v>0</v>
          </cell>
          <cell r="P572">
            <v>0</v>
          </cell>
          <cell r="Q572">
            <v>3055</v>
          </cell>
          <cell r="R572"/>
          <cell r="S572">
            <v>31457</v>
          </cell>
          <cell r="T572">
            <v>3506</v>
          </cell>
          <cell r="U572">
            <v>34963</v>
          </cell>
        </row>
        <row r="573">
          <cell r="A573">
            <v>96311</v>
          </cell>
          <cell r="B573" t="str">
            <v>TOWN OF SOUTHERN PINES</v>
          </cell>
          <cell r="C573">
            <v>1.3113000000000001E-3</v>
          </cell>
          <cell r="D573">
            <v>1.4082999999999999E-3</v>
          </cell>
          <cell r="E573">
            <v>595124</v>
          </cell>
          <cell r="F573">
            <v>2988884</v>
          </cell>
          <cell r="G573">
            <v>2003303</v>
          </cell>
          <cell r="H573"/>
          <cell r="I573">
            <v>115409</v>
          </cell>
          <cell r="J573">
            <v>486404</v>
          </cell>
          <cell r="K573">
            <v>286099</v>
          </cell>
          <cell r="L573">
            <v>11041</v>
          </cell>
          <cell r="M573"/>
          <cell r="N573">
            <v>56707</v>
          </cell>
          <cell r="O573">
            <v>0</v>
          </cell>
          <cell r="P573">
            <v>0</v>
          </cell>
          <cell r="Q573">
            <v>139297</v>
          </cell>
          <cell r="R573"/>
          <cell r="S573">
            <v>675115</v>
          </cell>
          <cell r="T573">
            <v>-33999</v>
          </cell>
          <cell r="U573">
            <v>641116</v>
          </cell>
        </row>
        <row r="574">
          <cell r="A574">
            <v>96312</v>
          </cell>
          <cell r="B574" t="str">
            <v>TOWN OF CAMERON</v>
          </cell>
          <cell r="C574">
            <v>1.5999999999999999E-5</v>
          </cell>
          <cell r="D574">
            <v>1.5999999999999999E-6</v>
          </cell>
          <cell r="E574">
            <v>4820</v>
          </cell>
          <cell r="F574">
            <v>3396</v>
          </cell>
          <cell r="G574">
            <v>24444</v>
          </cell>
          <cell r="H574"/>
          <cell r="I574">
            <v>1408</v>
          </cell>
          <cell r="J574">
            <v>5935</v>
          </cell>
          <cell r="K574">
            <v>3491</v>
          </cell>
          <cell r="L574">
            <v>7668</v>
          </cell>
          <cell r="M574"/>
          <cell r="N574">
            <v>692</v>
          </cell>
          <cell r="O574">
            <v>0</v>
          </cell>
          <cell r="P574">
            <v>0</v>
          </cell>
          <cell r="Q574">
            <v>1864</v>
          </cell>
          <cell r="R574"/>
          <cell r="S574">
            <v>8238</v>
          </cell>
          <cell r="T574">
            <v>374</v>
          </cell>
          <cell r="U574">
            <v>8612</v>
          </cell>
        </row>
        <row r="575">
          <cell r="A575">
            <v>96318</v>
          </cell>
          <cell r="B575" t="str">
            <v>SANDHILLS CENTER</v>
          </cell>
          <cell r="C575">
            <v>2.1684999999999999E-3</v>
          </cell>
          <cell r="D575">
            <v>1.7782E-3</v>
          </cell>
          <cell r="E575">
            <v>1061238</v>
          </cell>
          <cell r="F575">
            <v>3773936</v>
          </cell>
          <cell r="G575">
            <v>3312867</v>
          </cell>
          <cell r="H575"/>
          <cell r="I575">
            <v>190852</v>
          </cell>
          <cell r="J575">
            <v>804368</v>
          </cell>
          <cell r="K575">
            <v>473123</v>
          </cell>
          <cell r="L575">
            <v>7711758</v>
          </cell>
          <cell r="M575"/>
          <cell r="N575">
            <v>93777</v>
          </cell>
          <cell r="O575">
            <v>0</v>
          </cell>
          <cell r="P575">
            <v>0</v>
          </cell>
          <cell r="Q575">
            <v>0</v>
          </cell>
          <cell r="R575"/>
          <cell r="S575">
            <v>1116439</v>
          </cell>
          <cell r="T575">
            <v>2665103</v>
          </cell>
          <cell r="U575">
            <v>3781542</v>
          </cell>
        </row>
        <row r="576">
          <cell r="A576">
            <v>96321</v>
          </cell>
          <cell r="B576" t="str">
            <v>TOWN OF VASS</v>
          </cell>
          <cell r="C576">
            <v>3.6900000000000002E-5</v>
          </cell>
          <cell r="D576">
            <v>3.7400000000000001E-5</v>
          </cell>
          <cell r="E576">
            <v>18737</v>
          </cell>
          <cell r="F576">
            <v>79375</v>
          </cell>
          <cell r="G576">
            <v>56373</v>
          </cell>
          <cell r="H576"/>
          <cell r="I576">
            <v>3248</v>
          </cell>
          <cell r="J576">
            <v>13687</v>
          </cell>
          <cell r="K576">
            <v>8051</v>
          </cell>
          <cell r="L576">
            <v>1642</v>
          </cell>
          <cell r="M576"/>
          <cell r="N576">
            <v>1596</v>
          </cell>
          <cell r="O576">
            <v>0</v>
          </cell>
          <cell r="P576">
            <v>0</v>
          </cell>
          <cell r="Q576">
            <v>2449</v>
          </cell>
          <cell r="R576"/>
          <cell r="S576">
            <v>18998</v>
          </cell>
          <cell r="T576">
            <v>-489</v>
          </cell>
          <cell r="U576">
            <v>18509</v>
          </cell>
        </row>
        <row r="577">
          <cell r="A577">
            <v>96331</v>
          </cell>
          <cell r="B577" t="str">
            <v>TOWN OF ABERDEEN</v>
          </cell>
          <cell r="C577">
            <v>7.0850000000000004E-4</v>
          </cell>
          <cell r="D577">
            <v>7.1699999999999997E-4</v>
          </cell>
          <cell r="E577">
            <v>321182</v>
          </cell>
          <cell r="F577">
            <v>1521714</v>
          </cell>
          <cell r="G577">
            <v>1082392</v>
          </cell>
          <cell r="H577"/>
          <cell r="I577">
            <v>62356</v>
          </cell>
          <cell r="J577">
            <v>262806</v>
          </cell>
          <cell r="K577">
            <v>154581</v>
          </cell>
          <cell r="L577">
            <v>3107</v>
          </cell>
          <cell r="M577"/>
          <cell r="N577">
            <v>30639</v>
          </cell>
          <cell r="O577">
            <v>0</v>
          </cell>
          <cell r="P577">
            <v>0</v>
          </cell>
          <cell r="Q577">
            <v>53524</v>
          </cell>
          <cell r="R577"/>
          <cell r="S577">
            <v>364767</v>
          </cell>
          <cell r="T577">
            <v>-22322</v>
          </cell>
          <cell r="U577">
            <v>342445</v>
          </cell>
        </row>
        <row r="578">
          <cell r="A578">
            <v>96341</v>
          </cell>
          <cell r="B578" t="str">
            <v>TOWN OF ROBBINS</v>
          </cell>
          <cell r="C578">
            <v>8.3800000000000004E-5</v>
          </cell>
          <cell r="D578">
            <v>9.1600000000000004E-5</v>
          </cell>
          <cell r="E578">
            <v>35036</v>
          </cell>
          <cell r="F578">
            <v>194406</v>
          </cell>
          <cell r="G578">
            <v>128023</v>
          </cell>
          <cell r="H578"/>
          <cell r="I578">
            <v>7375</v>
          </cell>
          <cell r="J578">
            <v>31084</v>
          </cell>
          <cell r="K578">
            <v>18283</v>
          </cell>
          <cell r="L578">
            <v>8694</v>
          </cell>
          <cell r="M578"/>
          <cell r="N578">
            <v>3624</v>
          </cell>
          <cell r="O578">
            <v>0</v>
          </cell>
          <cell r="P578">
            <v>0</v>
          </cell>
          <cell r="Q578">
            <v>13544</v>
          </cell>
          <cell r="R578"/>
          <cell r="S578">
            <v>43144</v>
          </cell>
          <cell r="T578">
            <v>-3090</v>
          </cell>
          <cell r="U578">
            <v>40054</v>
          </cell>
        </row>
        <row r="579">
          <cell r="A579">
            <v>96351</v>
          </cell>
          <cell r="B579" t="str">
            <v>VILLAGE OF PINEHURST</v>
          </cell>
          <cell r="C579">
            <v>1.0616E-3</v>
          </cell>
          <cell r="D579">
            <v>1.0736000000000001E-3</v>
          </cell>
          <cell r="E579">
            <v>488441</v>
          </cell>
          <cell r="F579">
            <v>2278539</v>
          </cell>
          <cell r="G579">
            <v>1621831</v>
          </cell>
          <cell r="H579"/>
          <cell r="I579">
            <v>93432</v>
          </cell>
          <cell r="J579">
            <v>393782</v>
          </cell>
          <cell r="K579">
            <v>231620</v>
          </cell>
          <cell r="L579">
            <v>5421</v>
          </cell>
          <cell r="M579"/>
          <cell r="N579">
            <v>45909</v>
          </cell>
          <cell r="O579">
            <v>0</v>
          </cell>
          <cell r="P579">
            <v>0</v>
          </cell>
          <cell r="Q579">
            <v>28542</v>
          </cell>
          <cell r="R579"/>
          <cell r="S579">
            <v>546558</v>
          </cell>
          <cell r="T579">
            <v>-5218</v>
          </cell>
          <cell r="U579">
            <v>541340</v>
          </cell>
        </row>
        <row r="580">
          <cell r="A580">
            <v>96361</v>
          </cell>
          <cell r="B580" t="str">
            <v>TOWN OF PINEBLUFF</v>
          </cell>
          <cell r="C580">
            <v>5.5699999999999999E-5</v>
          </cell>
          <cell r="D580">
            <v>5.8900000000000002E-5</v>
          </cell>
          <cell r="E580">
            <v>24289</v>
          </cell>
          <cell r="F580">
            <v>125006</v>
          </cell>
          <cell r="G580">
            <v>85094</v>
          </cell>
          <cell r="H580"/>
          <cell r="I580">
            <v>4902</v>
          </cell>
          <cell r="J580">
            <v>20661</v>
          </cell>
          <cell r="K580">
            <v>12153</v>
          </cell>
          <cell r="L580">
            <v>3403</v>
          </cell>
          <cell r="M580"/>
          <cell r="N580">
            <v>2409</v>
          </cell>
          <cell r="O580">
            <v>0</v>
          </cell>
          <cell r="P580">
            <v>0</v>
          </cell>
          <cell r="Q580">
            <v>3423</v>
          </cell>
          <cell r="R580"/>
          <cell r="S580">
            <v>28677</v>
          </cell>
          <cell r="T580">
            <v>936</v>
          </cell>
          <cell r="U580">
            <v>29613</v>
          </cell>
        </row>
        <row r="581">
          <cell r="A581">
            <v>96371</v>
          </cell>
          <cell r="B581" t="str">
            <v>VILLAGE OF WHISPERING PINES</v>
          </cell>
          <cell r="C581">
            <v>1.5249999999999999E-4</v>
          </cell>
          <cell r="D581">
            <v>1.6359999999999999E-4</v>
          </cell>
          <cell r="E581">
            <v>67276</v>
          </cell>
          <cell r="F581">
            <v>347214</v>
          </cell>
          <cell r="G581">
            <v>232978</v>
          </cell>
          <cell r="H581"/>
          <cell r="I581">
            <v>13422</v>
          </cell>
          <cell r="J581">
            <v>56568</v>
          </cell>
          <cell r="K581">
            <v>33272</v>
          </cell>
          <cell r="L581">
            <v>1335</v>
          </cell>
          <cell r="M581"/>
          <cell r="N581">
            <v>6595</v>
          </cell>
          <cell r="O581">
            <v>0</v>
          </cell>
          <cell r="P581">
            <v>0</v>
          </cell>
          <cell r="Q581">
            <v>14966</v>
          </cell>
          <cell r="R581"/>
          <cell r="S581">
            <v>78514</v>
          </cell>
          <cell r="T581">
            <v>-3158</v>
          </cell>
          <cell r="U581">
            <v>75356</v>
          </cell>
        </row>
        <row r="582">
          <cell r="A582">
            <v>96381</v>
          </cell>
          <cell r="B582" t="str">
            <v>FOXFIRE VILLAGE</v>
          </cell>
          <cell r="C582">
            <v>3.2100000000000001E-5</v>
          </cell>
          <cell r="D582">
            <v>3.26E-5</v>
          </cell>
          <cell r="E582">
            <v>15357</v>
          </cell>
          <cell r="F582">
            <v>69188</v>
          </cell>
          <cell r="G582">
            <v>49040</v>
          </cell>
          <cell r="H582"/>
          <cell r="I582">
            <v>2825</v>
          </cell>
          <cell r="J582">
            <v>11907</v>
          </cell>
          <cell r="K582">
            <v>7004</v>
          </cell>
          <cell r="L582">
            <v>235</v>
          </cell>
          <cell r="M582"/>
          <cell r="N582">
            <v>1388</v>
          </cell>
          <cell r="O582">
            <v>0</v>
          </cell>
          <cell r="P582">
            <v>0</v>
          </cell>
          <cell r="Q582">
            <v>1858</v>
          </cell>
          <cell r="R582"/>
          <cell r="S582">
            <v>16526</v>
          </cell>
          <cell r="T582">
            <v>-1164</v>
          </cell>
          <cell r="U582">
            <v>15362</v>
          </cell>
        </row>
        <row r="583">
          <cell r="A583">
            <v>96391</v>
          </cell>
          <cell r="B583" t="str">
            <v>TOWN OF CARTHAGE</v>
          </cell>
          <cell r="C583">
            <v>2.029E-4</v>
          </cell>
          <cell r="D583">
            <v>1.807E-4</v>
          </cell>
          <cell r="E583">
            <v>74519</v>
          </cell>
          <cell r="F583">
            <v>383506</v>
          </cell>
          <cell r="G583">
            <v>309975</v>
          </cell>
          <cell r="H583"/>
          <cell r="I583">
            <v>17857</v>
          </cell>
          <cell r="J583">
            <v>75263</v>
          </cell>
          <cell r="K583">
            <v>44269</v>
          </cell>
          <cell r="L583">
            <v>9831</v>
          </cell>
          <cell r="M583"/>
          <cell r="N583">
            <v>8774</v>
          </cell>
          <cell r="O583">
            <v>0</v>
          </cell>
          <cell r="P583">
            <v>0</v>
          </cell>
          <cell r="Q583">
            <v>18208</v>
          </cell>
          <cell r="R583"/>
          <cell r="S583">
            <v>104462</v>
          </cell>
          <cell r="T583">
            <v>2008</v>
          </cell>
          <cell r="U583">
            <v>106470</v>
          </cell>
        </row>
        <row r="584">
          <cell r="A584">
            <v>96401</v>
          </cell>
          <cell r="B584" t="str">
            <v>NASH COUNTY</v>
          </cell>
          <cell r="C584">
            <v>4.5672000000000004E-3</v>
          </cell>
          <cell r="D584">
            <v>4.5900000000000003E-3</v>
          </cell>
          <cell r="E584">
            <v>2040109</v>
          </cell>
          <cell r="F584">
            <v>9741518</v>
          </cell>
          <cell r="G584">
            <v>6977416</v>
          </cell>
          <cell r="H584"/>
          <cell r="I584">
            <v>401964</v>
          </cell>
          <cell r="J584">
            <v>1694125</v>
          </cell>
          <cell r="K584">
            <v>996472</v>
          </cell>
          <cell r="L584">
            <v>15869</v>
          </cell>
          <cell r="M584"/>
          <cell r="N584">
            <v>197509</v>
          </cell>
          <cell r="O584">
            <v>0</v>
          </cell>
          <cell r="P584">
            <v>0</v>
          </cell>
          <cell r="Q584">
            <v>86285</v>
          </cell>
          <cell r="R584"/>
          <cell r="S584">
            <v>2351396</v>
          </cell>
          <cell r="T584">
            <v>-10848</v>
          </cell>
          <cell r="U584">
            <v>2340548</v>
          </cell>
        </row>
        <row r="585">
          <cell r="A585">
            <v>96404</v>
          </cell>
          <cell r="B585" t="str">
            <v>NASH COUNTY ABC BOARD</v>
          </cell>
          <cell r="C585">
            <v>1.026E-4</v>
          </cell>
          <cell r="D585">
            <v>9.8800000000000003E-5</v>
          </cell>
          <cell r="E585">
            <v>57855</v>
          </cell>
          <cell r="F585">
            <v>209687</v>
          </cell>
          <cell r="G585">
            <v>156744</v>
          </cell>
          <cell r="H585"/>
          <cell r="I585">
            <v>9030</v>
          </cell>
          <cell r="J585">
            <v>38058</v>
          </cell>
          <cell r="K585">
            <v>22385</v>
          </cell>
          <cell r="L585">
            <v>26983</v>
          </cell>
          <cell r="M585"/>
          <cell r="N585">
            <v>4437</v>
          </cell>
          <cell r="O585">
            <v>0</v>
          </cell>
          <cell r="P585">
            <v>0</v>
          </cell>
          <cell r="Q585">
            <v>0</v>
          </cell>
          <cell r="R585"/>
          <cell r="S585">
            <v>52823</v>
          </cell>
          <cell r="T585">
            <v>10540</v>
          </cell>
          <cell r="U585">
            <v>63363</v>
          </cell>
        </row>
        <row r="586">
          <cell r="A586">
            <v>96405</v>
          </cell>
          <cell r="B586" t="str">
            <v>BRASWELL MEMORIAL LIBRARY</v>
          </cell>
          <cell r="C586">
            <v>1.6139999999999999E-4</v>
          </cell>
          <cell r="D586">
            <v>1.7760000000000001E-4</v>
          </cell>
          <cell r="E586">
            <v>86618</v>
          </cell>
          <cell r="F586">
            <v>376927</v>
          </cell>
          <cell r="G586">
            <v>246574</v>
          </cell>
          <cell r="H586"/>
          <cell r="I586">
            <v>14205</v>
          </cell>
          <cell r="J586">
            <v>59869</v>
          </cell>
          <cell r="K586">
            <v>35214</v>
          </cell>
          <cell r="L586">
            <v>10221</v>
          </cell>
          <cell r="M586"/>
          <cell r="N586">
            <v>6980</v>
          </cell>
          <cell r="O586">
            <v>0</v>
          </cell>
          <cell r="P586">
            <v>0</v>
          </cell>
          <cell r="Q586">
            <v>2204</v>
          </cell>
          <cell r="R586"/>
          <cell r="S586">
            <v>83096</v>
          </cell>
          <cell r="T586">
            <v>4354</v>
          </cell>
          <cell r="U586">
            <v>87450</v>
          </cell>
        </row>
        <row r="587">
          <cell r="A587">
            <v>96411</v>
          </cell>
          <cell r="B587" t="str">
            <v>TOWN OF SPRING HOPE</v>
          </cell>
          <cell r="C587">
            <v>7.2299999999999996E-5</v>
          </cell>
          <cell r="D587">
            <v>5.66E-5</v>
          </cell>
          <cell r="E587">
            <v>28784</v>
          </cell>
          <cell r="F587">
            <v>120124</v>
          </cell>
          <cell r="G587">
            <v>110454</v>
          </cell>
          <cell r="H587"/>
          <cell r="I587">
            <v>6363</v>
          </cell>
          <cell r="J587">
            <v>26818</v>
          </cell>
          <cell r="K587">
            <v>15774</v>
          </cell>
          <cell r="L587">
            <v>12280</v>
          </cell>
          <cell r="M587"/>
          <cell r="N587">
            <v>3127</v>
          </cell>
          <cell r="O587">
            <v>0</v>
          </cell>
          <cell r="P587">
            <v>0</v>
          </cell>
          <cell r="Q587">
            <v>4004</v>
          </cell>
          <cell r="R587"/>
          <cell r="S587">
            <v>37223</v>
          </cell>
          <cell r="T587">
            <v>2528</v>
          </cell>
          <cell r="U587">
            <v>39751</v>
          </cell>
        </row>
        <row r="588">
          <cell r="A588">
            <v>96421</v>
          </cell>
          <cell r="B588" t="str">
            <v>TOWN OF NASHVILLE</v>
          </cell>
          <cell r="C588">
            <v>4.2529999999999998E-4</v>
          </cell>
          <cell r="D588">
            <v>4.2860000000000001E-4</v>
          </cell>
          <cell r="E588">
            <v>170404</v>
          </cell>
          <cell r="F588">
            <v>909633</v>
          </cell>
          <cell r="G588">
            <v>649741</v>
          </cell>
          <cell r="H588"/>
          <cell r="I588">
            <v>37431</v>
          </cell>
          <cell r="J588">
            <v>157758</v>
          </cell>
          <cell r="K588">
            <v>92792</v>
          </cell>
          <cell r="L588">
            <v>0</v>
          </cell>
          <cell r="M588"/>
          <cell r="N588">
            <v>18392</v>
          </cell>
          <cell r="O588">
            <v>0</v>
          </cell>
          <cell r="P588">
            <v>0</v>
          </cell>
          <cell r="Q588">
            <v>78762</v>
          </cell>
          <cell r="R588"/>
          <cell r="S588">
            <v>218963</v>
          </cell>
          <cell r="T588">
            <v>-35149</v>
          </cell>
          <cell r="U588">
            <v>183814</v>
          </cell>
        </row>
        <row r="589">
          <cell r="A589">
            <v>96431</v>
          </cell>
          <cell r="B589" t="str">
            <v>TOWN OF MIDDLESEX</v>
          </cell>
          <cell r="C589">
            <v>4.2799999999999997E-5</v>
          </cell>
          <cell r="D589">
            <v>5.6100000000000002E-5</v>
          </cell>
          <cell r="E589">
            <v>21290</v>
          </cell>
          <cell r="F589">
            <v>119063</v>
          </cell>
          <cell r="G589">
            <v>65387</v>
          </cell>
          <cell r="H589"/>
          <cell r="I589">
            <v>3767</v>
          </cell>
          <cell r="J589">
            <v>15876</v>
          </cell>
          <cell r="K589">
            <v>9338</v>
          </cell>
          <cell r="L589">
            <v>6277</v>
          </cell>
          <cell r="M589"/>
          <cell r="N589">
            <v>1851</v>
          </cell>
          <cell r="O589">
            <v>0</v>
          </cell>
          <cell r="P589">
            <v>0</v>
          </cell>
          <cell r="Q589">
            <v>10135</v>
          </cell>
          <cell r="R589"/>
          <cell r="S589">
            <v>22035</v>
          </cell>
          <cell r="T589">
            <v>-1596</v>
          </cell>
          <cell r="U589">
            <v>20439</v>
          </cell>
        </row>
        <row r="590">
          <cell r="A590">
            <v>96441</v>
          </cell>
          <cell r="B590" t="str">
            <v>TOWN OF WHITAKERS</v>
          </cell>
          <cell r="C590">
            <v>2.97E-5</v>
          </cell>
          <cell r="D590">
            <v>3.1199999999999999E-5</v>
          </cell>
          <cell r="E590">
            <v>18707</v>
          </cell>
          <cell r="F590">
            <v>66217</v>
          </cell>
          <cell r="G590">
            <v>45373</v>
          </cell>
          <cell r="H590"/>
          <cell r="I590">
            <v>2614</v>
          </cell>
          <cell r="J590">
            <v>11017</v>
          </cell>
          <cell r="K590">
            <v>6480</v>
          </cell>
          <cell r="L590">
            <v>7489</v>
          </cell>
          <cell r="M590"/>
          <cell r="N590">
            <v>1284</v>
          </cell>
          <cell r="O590">
            <v>0</v>
          </cell>
          <cell r="P590">
            <v>0</v>
          </cell>
          <cell r="Q590">
            <v>440</v>
          </cell>
          <cell r="R590"/>
          <cell r="S590">
            <v>15291</v>
          </cell>
          <cell r="T590">
            <v>2815</v>
          </cell>
          <cell r="U590">
            <v>18106</v>
          </cell>
        </row>
        <row r="591">
          <cell r="A591">
            <v>96451</v>
          </cell>
          <cell r="B591" t="str">
            <v>TOWN OF BAILEY</v>
          </cell>
          <cell r="C591">
            <v>2.0299999999999999E-5</v>
          </cell>
          <cell r="D591">
            <v>1.38E-5</v>
          </cell>
          <cell r="E591">
            <v>8566</v>
          </cell>
          <cell r="F591">
            <v>29288</v>
          </cell>
          <cell r="G591">
            <v>31013</v>
          </cell>
          <cell r="H591"/>
          <cell r="I591">
            <v>1787</v>
          </cell>
          <cell r="J591">
            <v>7530</v>
          </cell>
          <cell r="K591">
            <v>4429</v>
          </cell>
          <cell r="L591">
            <v>6431</v>
          </cell>
          <cell r="M591"/>
          <cell r="N591">
            <v>878</v>
          </cell>
          <cell r="O591">
            <v>0</v>
          </cell>
          <cell r="P591">
            <v>0</v>
          </cell>
          <cell r="Q591">
            <v>1319</v>
          </cell>
          <cell r="R591"/>
          <cell r="S591">
            <v>10451</v>
          </cell>
          <cell r="T591">
            <v>994</v>
          </cell>
          <cell r="U591">
            <v>11445</v>
          </cell>
        </row>
        <row r="592">
          <cell r="A592">
            <v>96461</v>
          </cell>
          <cell r="B592" t="str">
            <v>TOWN OF SHARPSBURG</v>
          </cell>
          <cell r="C592">
            <v>1.361E-4</v>
          </cell>
          <cell r="D592">
            <v>1.3410000000000001E-4</v>
          </cell>
          <cell r="E592">
            <v>63932</v>
          </cell>
          <cell r="F592">
            <v>284605</v>
          </cell>
          <cell r="G592">
            <v>207923</v>
          </cell>
          <cell r="H592"/>
          <cell r="I592">
            <v>11978</v>
          </cell>
          <cell r="J592">
            <v>50484</v>
          </cell>
          <cell r="K592">
            <v>29694</v>
          </cell>
          <cell r="L592">
            <v>6504</v>
          </cell>
          <cell r="M592"/>
          <cell r="N592">
            <v>5886</v>
          </cell>
          <cell r="O592">
            <v>0</v>
          </cell>
          <cell r="P592">
            <v>0</v>
          </cell>
          <cell r="Q592">
            <v>18452</v>
          </cell>
          <cell r="R592"/>
          <cell r="S592">
            <v>70070</v>
          </cell>
          <cell r="T592">
            <v>-3923</v>
          </cell>
          <cell r="U592">
            <v>66147</v>
          </cell>
        </row>
        <row r="593">
          <cell r="A593">
            <v>96501</v>
          </cell>
          <cell r="B593" t="str">
            <v>NEW HANOVER COUNTY</v>
          </cell>
          <cell r="C593">
            <v>1.44739E-2</v>
          </cell>
          <cell r="D593">
            <v>1.4156999999999999E-2</v>
          </cell>
          <cell r="E593">
            <v>6399556</v>
          </cell>
          <cell r="F593">
            <v>30045897</v>
          </cell>
          <cell r="G593">
            <v>22112110</v>
          </cell>
          <cell r="H593"/>
          <cell r="I593">
            <v>1273862</v>
          </cell>
          <cell r="J593">
            <v>5368847</v>
          </cell>
          <cell r="K593">
            <v>3157916</v>
          </cell>
          <cell r="L593">
            <v>365065</v>
          </cell>
          <cell r="M593"/>
          <cell r="N593">
            <v>625924</v>
          </cell>
          <cell r="O593">
            <v>0</v>
          </cell>
          <cell r="P593">
            <v>0</v>
          </cell>
          <cell r="Q593">
            <v>292930</v>
          </cell>
          <cell r="R593"/>
          <cell r="S593">
            <v>7451801</v>
          </cell>
          <cell r="T593">
            <v>150498</v>
          </cell>
          <cell r="U593">
            <v>7602299</v>
          </cell>
        </row>
        <row r="594">
          <cell r="A594">
            <v>96502</v>
          </cell>
          <cell r="B594" t="str">
            <v>NEW HANOVER AIRPORT AUTH</v>
          </cell>
          <cell r="C594">
            <v>4.2440000000000002E-4</v>
          </cell>
          <cell r="D594">
            <v>4.2309999999999998E-4</v>
          </cell>
          <cell r="E594">
            <v>198105</v>
          </cell>
          <cell r="F594">
            <v>897960</v>
          </cell>
          <cell r="G594">
            <v>648366</v>
          </cell>
          <cell r="H594"/>
          <cell r="I594">
            <v>37352</v>
          </cell>
          <cell r="J594">
            <v>157424</v>
          </cell>
          <cell r="K594">
            <v>92596</v>
          </cell>
          <cell r="L594">
            <v>39317</v>
          </cell>
          <cell r="M594"/>
          <cell r="N594">
            <v>18353</v>
          </cell>
          <cell r="O594">
            <v>0</v>
          </cell>
          <cell r="P594">
            <v>0</v>
          </cell>
          <cell r="Q594">
            <v>0</v>
          </cell>
          <cell r="R594"/>
          <cell r="S594">
            <v>218500</v>
          </cell>
          <cell r="T594">
            <v>23185</v>
          </cell>
          <cell r="U594">
            <v>241685</v>
          </cell>
        </row>
        <row r="595">
          <cell r="A595">
            <v>96503</v>
          </cell>
          <cell r="B595" t="str">
            <v>WILMINGTON HOUSING AUTHORITY</v>
          </cell>
          <cell r="C595">
            <v>3.0039999999999998E-4</v>
          </cell>
          <cell r="D595">
            <v>3.3700000000000001E-4</v>
          </cell>
          <cell r="E595">
            <v>293863</v>
          </cell>
          <cell r="F595">
            <v>0</v>
          </cell>
          <cell r="G595">
            <v>458928</v>
          </cell>
          <cell r="H595"/>
          <cell r="I595">
            <v>26439</v>
          </cell>
          <cell r="J595">
            <v>111428</v>
          </cell>
          <cell r="K595">
            <v>65541</v>
          </cell>
          <cell r="L595">
            <v>240013</v>
          </cell>
          <cell r="M595"/>
          <cell r="N595">
            <v>12991</v>
          </cell>
          <cell r="O595">
            <v>0</v>
          </cell>
          <cell r="P595">
            <v>0</v>
          </cell>
          <cell r="Q595">
            <v>14874</v>
          </cell>
          <cell r="R595"/>
          <cell r="S595">
            <v>154659</v>
          </cell>
          <cell r="T595">
            <v>71167</v>
          </cell>
          <cell r="U595">
            <v>225826</v>
          </cell>
        </row>
        <row r="596">
          <cell r="A596">
            <v>96504</v>
          </cell>
          <cell r="B596" t="str">
            <v>NEW HANOVER COUNTY ABC BOARD</v>
          </cell>
          <cell r="C596">
            <v>4.1760000000000001E-4</v>
          </cell>
          <cell r="D596">
            <v>3.6039999999999998E-4</v>
          </cell>
          <cell r="E596">
            <v>189892</v>
          </cell>
          <cell r="F596">
            <v>764890</v>
          </cell>
          <cell r="G596">
            <v>637977</v>
          </cell>
          <cell r="H596"/>
          <cell r="I596">
            <v>36753</v>
          </cell>
          <cell r="J596">
            <v>154902</v>
          </cell>
          <cell r="K596">
            <v>91112</v>
          </cell>
          <cell r="L596">
            <v>44166</v>
          </cell>
          <cell r="M596"/>
          <cell r="N596">
            <v>18059</v>
          </cell>
          <cell r="O596">
            <v>0</v>
          </cell>
          <cell r="P596">
            <v>0</v>
          </cell>
          <cell r="Q596">
            <v>4428</v>
          </cell>
          <cell r="R596"/>
          <cell r="S596">
            <v>214999</v>
          </cell>
          <cell r="T596">
            <v>11523</v>
          </cell>
          <cell r="U596">
            <v>226522</v>
          </cell>
        </row>
        <row r="597">
          <cell r="A597">
            <v>96507</v>
          </cell>
          <cell r="B597" t="str">
            <v>CAPE FEAR PUBLIC UTILITY AUTHORITY</v>
          </cell>
          <cell r="C597">
            <v>2.2147E-3</v>
          </cell>
          <cell r="D597">
            <v>2.2604999999999999E-3</v>
          </cell>
          <cell r="E597">
            <v>1026624</v>
          </cell>
          <cell r="F597">
            <v>4797538</v>
          </cell>
          <cell r="G597">
            <v>3383448</v>
          </cell>
          <cell r="H597"/>
          <cell r="I597">
            <v>194918</v>
          </cell>
          <cell r="J597">
            <v>821505</v>
          </cell>
          <cell r="K597">
            <v>483203</v>
          </cell>
          <cell r="L597">
            <v>115759</v>
          </cell>
          <cell r="M597"/>
          <cell r="N597">
            <v>95775</v>
          </cell>
          <cell r="O597">
            <v>0</v>
          </cell>
          <cell r="P597">
            <v>0</v>
          </cell>
          <cell r="Q597">
            <v>22795</v>
          </cell>
          <cell r="R597"/>
          <cell r="S597">
            <v>1140225</v>
          </cell>
          <cell r="T597">
            <v>58867</v>
          </cell>
          <cell r="U597">
            <v>1199092</v>
          </cell>
        </row>
        <row r="598">
          <cell r="A598">
            <v>96508</v>
          </cell>
          <cell r="B598" t="str">
            <v>LOWER CAPE FEAR WATER &amp; SEWER AUTH</v>
          </cell>
          <cell r="C598">
            <v>8.6000000000000007E-6</v>
          </cell>
          <cell r="D598">
            <v>9.7999999999999993E-6</v>
          </cell>
          <cell r="E598">
            <v>11086</v>
          </cell>
          <cell r="F598">
            <v>20799</v>
          </cell>
          <cell r="G598">
            <v>13138</v>
          </cell>
          <cell r="H598"/>
          <cell r="I598">
            <v>757</v>
          </cell>
          <cell r="J598">
            <v>3190</v>
          </cell>
          <cell r="K598">
            <v>1876</v>
          </cell>
          <cell r="L598">
            <v>11113</v>
          </cell>
          <cell r="M598"/>
          <cell r="N598">
            <v>372</v>
          </cell>
          <cell r="O598">
            <v>0</v>
          </cell>
          <cell r="P598">
            <v>0</v>
          </cell>
          <cell r="Q598">
            <v>0</v>
          </cell>
          <cell r="R598"/>
          <cell r="S598">
            <v>4428</v>
          </cell>
          <cell r="T598">
            <v>4402</v>
          </cell>
          <cell r="U598">
            <v>8830</v>
          </cell>
        </row>
        <row r="599">
          <cell r="A599">
            <v>96511</v>
          </cell>
          <cell r="B599" t="str">
            <v>TOWN OF WRIGHTSVILLE BEACH</v>
          </cell>
          <cell r="C599">
            <v>6.2069999999999996E-4</v>
          </cell>
          <cell r="D599">
            <v>6.221E-4</v>
          </cell>
          <cell r="E599">
            <v>276057</v>
          </cell>
          <cell r="F599">
            <v>1320305</v>
          </cell>
          <cell r="G599">
            <v>948258</v>
          </cell>
          <cell r="H599"/>
          <cell r="I599">
            <v>54628</v>
          </cell>
          <cell r="J599">
            <v>230238</v>
          </cell>
          <cell r="K599">
            <v>135424</v>
          </cell>
          <cell r="L599">
            <v>0</v>
          </cell>
          <cell r="M599"/>
          <cell r="N599">
            <v>26842</v>
          </cell>
          <cell r="O599">
            <v>0</v>
          </cell>
          <cell r="P599">
            <v>0</v>
          </cell>
          <cell r="Q599">
            <v>95843</v>
          </cell>
          <cell r="R599"/>
          <cell r="S599">
            <v>319564</v>
          </cell>
          <cell r="T599">
            <v>-49396</v>
          </cell>
          <cell r="U599">
            <v>270168</v>
          </cell>
        </row>
        <row r="600">
          <cell r="A600">
            <v>96512</v>
          </cell>
          <cell r="B600" t="str">
            <v>CAPE FEAR PUBLIC TRANSPORTATION AUTHORITY</v>
          </cell>
          <cell r="C600">
            <v>1.5119999999999999E-4</v>
          </cell>
          <cell r="D600">
            <v>1.7000000000000001E-4</v>
          </cell>
          <cell r="E600">
            <v>72715</v>
          </cell>
          <cell r="F600">
            <v>360797</v>
          </cell>
          <cell r="G600">
            <v>230992</v>
          </cell>
          <cell r="H600"/>
          <cell r="I600">
            <v>13307</v>
          </cell>
          <cell r="J600">
            <v>56085</v>
          </cell>
          <cell r="K600">
            <v>32989</v>
          </cell>
          <cell r="L600">
            <v>5578</v>
          </cell>
          <cell r="M600"/>
          <cell r="N600">
            <v>6539</v>
          </cell>
          <cell r="O600">
            <v>0</v>
          </cell>
          <cell r="P600">
            <v>0</v>
          </cell>
          <cell r="Q600">
            <v>9964</v>
          </cell>
          <cell r="R600"/>
          <cell r="S600">
            <v>77844</v>
          </cell>
          <cell r="T600">
            <v>198</v>
          </cell>
          <cell r="U600">
            <v>78042</v>
          </cell>
        </row>
        <row r="601">
          <cell r="A601">
            <v>96521</v>
          </cell>
          <cell r="B601" t="str">
            <v>TOWN OF CAROLINA BEACH</v>
          </cell>
          <cell r="C601">
            <v>9.881E-4</v>
          </cell>
          <cell r="D601">
            <v>9.4240000000000003E-4</v>
          </cell>
          <cell r="E601">
            <v>408178</v>
          </cell>
          <cell r="F601">
            <v>2000089</v>
          </cell>
          <cell r="G601">
            <v>1509543</v>
          </cell>
          <cell r="H601"/>
          <cell r="I601">
            <v>86964</v>
          </cell>
          <cell r="J601">
            <v>366519</v>
          </cell>
          <cell r="K601">
            <v>215584</v>
          </cell>
          <cell r="L601">
            <v>30024</v>
          </cell>
          <cell r="M601"/>
          <cell r="N601">
            <v>42730</v>
          </cell>
          <cell r="O601">
            <v>0</v>
          </cell>
          <cell r="P601">
            <v>0</v>
          </cell>
          <cell r="Q601">
            <v>25241</v>
          </cell>
          <cell r="R601"/>
          <cell r="S601">
            <v>508717</v>
          </cell>
          <cell r="T601">
            <v>6710</v>
          </cell>
          <cell r="U601">
            <v>515427</v>
          </cell>
        </row>
        <row r="602">
          <cell r="A602">
            <v>96531</v>
          </cell>
          <cell r="B602" t="str">
            <v>CITY OF WILMINGTON</v>
          </cell>
          <cell r="C602">
            <v>8.5845000000000001E-3</v>
          </cell>
          <cell r="D602">
            <v>8.6088999999999992E-3</v>
          </cell>
          <cell r="E602">
            <v>3779881</v>
          </cell>
          <cell r="F602">
            <v>18270970</v>
          </cell>
          <cell r="G602">
            <v>13114738</v>
          </cell>
          <cell r="H602"/>
          <cell r="I602">
            <v>755530</v>
          </cell>
          <cell r="J602">
            <v>3184274</v>
          </cell>
          <cell r="K602">
            <v>1872966</v>
          </cell>
          <cell r="L602">
            <v>48765</v>
          </cell>
          <cell r="M602"/>
          <cell r="N602">
            <v>371237</v>
          </cell>
          <cell r="O602">
            <v>0</v>
          </cell>
          <cell r="P602">
            <v>0</v>
          </cell>
          <cell r="Q602">
            <v>418860</v>
          </cell>
          <cell r="R602"/>
          <cell r="S602">
            <v>4419678</v>
          </cell>
          <cell r="T602">
            <v>-117601</v>
          </cell>
          <cell r="U602">
            <v>4302077</v>
          </cell>
        </row>
        <row r="603">
          <cell r="A603">
            <v>96541</v>
          </cell>
          <cell r="B603" t="str">
            <v>TOWN OF KURE BEACH</v>
          </cell>
          <cell r="C603">
            <v>3.5950000000000001E-4</v>
          </cell>
          <cell r="D603">
            <v>3.3169999999999999E-4</v>
          </cell>
          <cell r="E603">
            <v>156792</v>
          </cell>
          <cell r="F603">
            <v>703979</v>
          </cell>
          <cell r="G603">
            <v>549216</v>
          </cell>
          <cell r="H603"/>
          <cell r="I603">
            <v>31640</v>
          </cell>
          <cell r="J603">
            <v>133350</v>
          </cell>
          <cell r="K603">
            <v>78436</v>
          </cell>
          <cell r="L603">
            <v>24801</v>
          </cell>
          <cell r="M603"/>
          <cell r="N603">
            <v>15547</v>
          </cell>
          <cell r="O603">
            <v>0</v>
          </cell>
          <cell r="P603">
            <v>0</v>
          </cell>
          <cell r="Q603">
            <v>0</v>
          </cell>
          <cell r="R603"/>
          <cell r="S603">
            <v>185086</v>
          </cell>
          <cell r="T603">
            <v>13028</v>
          </cell>
          <cell r="U603">
            <v>198114</v>
          </cell>
        </row>
        <row r="604">
          <cell r="A604">
            <v>96601</v>
          </cell>
          <cell r="B604" t="str">
            <v>NORTHAMPTON COUNTY</v>
          </cell>
          <cell r="C604">
            <v>1.8169E-3</v>
          </cell>
          <cell r="D604">
            <v>1.8416000000000001E-3</v>
          </cell>
          <cell r="E604">
            <v>878872</v>
          </cell>
          <cell r="F604">
            <v>3908492</v>
          </cell>
          <cell r="G604">
            <v>2775720</v>
          </cell>
          <cell r="H604"/>
          <cell r="I604">
            <v>159907</v>
          </cell>
          <cell r="J604">
            <v>673948</v>
          </cell>
          <cell r="K604">
            <v>396411</v>
          </cell>
          <cell r="L604">
            <v>50154</v>
          </cell>
          <cell r="M604"/>
          <cell r="N604">
            <v>78572</v>
          </cell>
          <cell r="O604">
            <v>0</v>
          </cell>
          <cell r="P604">
            <v>0</v>
          </cell>
          <cell r="Q604">
            <v>4139</v>
          </cell>
          <cell r="R604"/>
          <cell r="S604">
            <v>935420</v>
          </cell>
          <cell r="T604">
            <v>30132</v>
          </cell>
          <cell r="U604">
            <v>965552</v>
          </cell>
        </row>
        <row r="605">
          <cell r="A605">
            <v>96604</v>
          </cell>
          <cell r="B605" t="str">
            <v>NORTHAMPTON COUNTY ABC BOARD</v>
          </cell>
          <cell r="C605">
            <v>7.6000000000000001E-6</v>
          </cell>
          <cell r="D605">
            <v>7.9000000000000006E-6</v>
          </cell>
          <cell r="E605">
            <v>5011</v>
          </cell>
          <cell r="F605">
            <v>16766</v>
          </cell>
          <cell r="G605">
            <v>11611</v>
          </cell>
          <cell r="H605"/>
          <cell r="I605">
            <v>669</v>
          </cell>
          <cell r="J605">
            <v>2819</v>
          </cell>
          <cell r="K605">
            <v>1658</v>
          </cell>
          <cell r="L605">
            <v>2027</v>
          </cell>
          <cell r="M605"/>
          <cell r="N605">
            <v>329</v>
          </cell>
          <cell r="O605">
            <v>0</v>
          </cell>
          <cell r="P605">
            <v>0</v>
          </cell>
          <cell r="Q605">
            <v>70</v>
          </cell>
          <cell r="R605"/>
          <cell r="S605">
            <v>3913</v>
          </cell>
          <cell r="T605">
            <v>799</v>
          </cell>
          <cell r="U605">
            <v>4712</v>
          </cell>
        </row>
        <row r="606">
          <cell r="A606">
            <v>96611</v>
          </cell>
          <cell r="B606" t="str">
            <v>TOWN OF RICH SQUARE</v>
          </cell>
          <cell r="C606">
            <v>2.83E-5</v>
          </cell>
          <cell r="D606">
            <v>3.29E-5</v>
          </cell>
          <cell r="E606">
            <v>12016</v>
          </cell>
          <cell r="F606">
            <v>69825</v>
          </cell>
          <cell r="G606">
            <v>43235</v>
          </cell>
          <cell r="H606"/>
          <cell r="I606">
            <v>2491</v>
          </cell>
          <cell r="J606">
            <v>10498</v>
          </cell>
          <cell r="K606">
            <v>6174</v>
          </cell>
          <cell r="L606">
            <v>1561</v>
          </cell>
          <cell r="M606"/>
          <cell r="N606">
            <v>1224</v>
          </cell>
          <cell r="O606">
            <v>0</v>
          </cell>
          <cell r="P606">
            <v>0</v>
          </cell>
          <cell r="Q606">
            <v>4284</v>
          </cell>
          <cell r="R606"/>
          <cell r="S606">
            <v>14570</v>
          </cell>
          <cell r="T606">
            <v>112</v>
          </cell>
          <cell r="U606">
            <v>14682</v>
          </cell>
        </row>
        <row r="607">
          <cell r="A607">
            <v>96612</v>
          </cell>
          <cell r="B607" t="str">
            <v>CHOANOKE PUBLIC TRANSPORTATION AUTH</v>
          </cell>
          <cell r="C607">
            <v>6.3299999999999994E-5</v>
          </cell>
          <cell r="D607">
            <v>6.3899999999999995E-5</v>
          </cell>
          <cell r="E607">
            <v>32834</v>
          </cell>
          <cell r="F607">
            <v>135617</v>
          </cell>
          <cell r="G607">
            <v>96705</v>
          </cell>
          <cell r="H607"/>
          <cell r="I607">
            <v>5571</v>
          </cell>
          <cell r="J607">
            <v>23480</v>
          </cell>
          <cell r="K607">
            <v>13811</v>
          </cell>
          <cell r="L607">
            <v>7699</v>
          </cell>
          <cell r="M607"/>
          <cell r="N607">
            <v>2737</v>
          </cell>
          <cell r="O607">
            <v>0</v>
          </cell>
          <cell r="P607">
            <v>0</v>
          </cell>
          <cell r="Q607">
            <v>658</v>
          </cell>
          <cell r="R607"/>
          <cell r="S607">
            <v>32590</v>
          </cell>
          <cell r="T607">
            <v>2270</v>
          </cell>
          <cell r="U607">
            <v>34860</v>
          </cell>
        </row>
        <row r="608">
          <cell r="A608">
            <v>96621</v>
          </cell>
          <cell r="B608" t="str">
            <v>TOWN OF WOODLAND</v>
          </cell>
          <cell r="C608">
            <v>2.5999999999999998E-5</v>
          </cell>
          <cell r="D608">
            <v>2.65E-5</v>
          </cell>
          <cell r="E608">
            <v>13235</v>
          </cell>
          <cell r="F608">
            <v>56242</v>
          </cell>
          <cell r="G608">
            <v>39721</v>
          </cell>
          <cell r="H608"/>
          <cell r="I608">
            <v>2288</v>
          </cell>
          <cell r="J608">
            <v>9644</v>
          </cell>
          <cell r="K608">
            <v>5673</v>
          </cell>
          <cell r="L608">
            <v>1435</v>
          </cell>
          <cell r="M608"/>
          <cell r="N608">
            <v>1124</v>
          </cell>
          <cell r="O608">
            <v>0</v>
          </cell>
          <cell r="P608">
            <v>0</v>
          </cell>
          <cell r="Q608">
            <v>4828</v>
          </cell>
          <cell r="R608"/>
          <cell r="S608">
            <v>13386</v>
          </cell>
          <cell r="T608">
            <v>-2281</v>
          </cell>
          <cell r="U608">
            <v>11105</v>
          </cell>
        </row>
        <row r="609">
          <cell r="A609">
            <v>96631</v>
          </cell>
          <cell r="B609" t="str">
            <v>TOWN OF GARYSBURG</v>
          </cell>
          <cell r="C609">
            <v>2.51E-5</v>
          </cell>
          <cell r="D609">
            <v>2.5899999999999999E-5</v>
          </cell>
          <cell r="E609">
            <v>11905</v>
          </cell>
          <cell r="F609">
            <v>54968</v>
          </cell>
          <cell r="G609">
            <v>38346</v>
          </cell>
          <cell r="H609"/>
          <cell r="I609">
            <v>2209</v>
          </cell>
          <cell r="J609">
            <v>9311</v>
          </cell>
          <cell r="K609">
            <v>5476</v>
          </cell>
          <cell r="L609">
            <v>3375</v>
          </cell>
          <cell r="M609"/>
          <cell r="N609">
            <v>1085</v>
          </cell>
          <cell r="O609">
            <v>0</v>
          </cell>
          <cell r="P609">
            <v>0</v>
          </cell>
          <cell r="Q609">
            <v>345</v>
          </cell>
          <cell r="R609"/>
          <cell r="S609">
            <v>12923</v>
          </cell>
          <cell r="T609">
            <v>2192</v>
          </cell>
          <cell r="U609">
            <v>15115</v>
          </cell>
        </row>
        <row r="610">
          <cell r="A610">
            <v>96641</v>
          </cell>
          <cell r="B610" t="str">
            <v>TOWN OF CONWAY</v>
          </cell>
          <cell r="C610">
            <v>3.2199999999999997E-5</v>
          </cell>
          <cell r="D610">
            <v>2.6999999999999999E-5</v>
          </cell>
          <cell r="E610">
            <v>20865</v>
          </cell>
          <cell r="F610">
            <v>57303</v>
          </cell>
          <cell r="G610">
            <v>49193</v>
          </cell>
          <cell r="H610"/>
          <cell r="I610">
            <v>2834</v>
          </cell>
          <cell r="J610">
            <v>11944</v>
          </cell>
          <cell r="K610">
            <v>7025</v>
          </cell>
          <cell r="L610">
            <v>15380</v>
          </cell>
          <cell r="M610"/>
          <cell r="N610">
            <v>1392</v>
          </cell>
          <cell r="O610">
            <v>0</v>
          </cell>
          <cell r="P610">
            <v>0</v>
          </cell>
          <cell r="Q610">
            <v>0</v>
          </cell>
          <cell r="R610"/>
          <cell r="S610">
            <v>16578</v>
          </cell>
          <cell r="T610">
            <v>5934</v>
          </cell>
          <cell r="U610">
            <v>22512</v>
          </cell>
        </row>
        <row r="611">
          <cell r="A611">
            <v>96651</v>
          </cell>
          <cell r="B611" t="str">
            <v>TOWN OF GASTON</v>
          </cell>
          <cell r="C611">
            <v>1.7399999999999999E-5</v>
          </cell>
          <cell r="D611">
            <v>1.9400000000000001E-5</v>
          </cell>
          <cell r="E611">
            <v>11419</v>
          </cell>
          <cell r="F611">
            <v>41173</v>
          </cell>
          <cell r="G611">
            <v>26582</v>
          </cell>
          <cell r="H611"/>
          <cell r="I611">
            <v>1531</v>
          </cell>
          <cell r="J611">
            <v>6454</v>
          </cell>
          <cell r="K611">
            <v>3796</v>
          </cell>
          <cell r="L611">
            <v>1983</v>
          </cell>
          <cell r="M611"/>
          <cell r="N611">
            <v>752</v>
          </cell>
          <cell r="O611">
            <v>0</v>
          </cell>
          <cell r="P611">
            <v>0</v>
          </cell>
          <cell r="Q611">
            <v>1305</v>
          </cell>
          <cell r="R611"/>
          <cell r="S611">
            <v>8958</v>
          </cell>
          <cell r="T611">
            <v>-364</v>
          </cell>
          <cell r="U611">
            <v>8594</v>
          </cell>
        </row>
        <row r="612">
          <cell r="A612">
            <v>96661</v>
          </cell>
          <cell r="B612" t="str">
            <v>TOWN OF JACKSON</v>
          </cell>
          <cell r="C612">
            <v>1.9700000000000001E-5</v>
          </cell>
          <cell r="D612">
            <v>1.9000000000000001E-5</v>
          </cell>
          <cell r="E612">
            <v>10400</v>
          </cell>
          <cell r="F612">
            <v>40324</v>
          </cell>
          <cell r="G612">
            <v>30096</v>
          </cell>
          <cell r="H612"/>
          <cell r="I612">
            <v>1734</v>
          </cell>
          <cell r="J612">
            <v>7308</v>
          </cell>
          <cell r="K612">
            <v>4298</v>
          </cell>
          <cell r="L612">
            <v>5449</v>
          </cell>
          <cell r="M612"/>
          <cell r="N612">
            <v>852</v>
          </cell>
          <cell r="O612">
            <v>0</v>
          </cell>
          <cell r="P612">
            <v>0</v>
          </cell>
          <cell r="Q612">
            <v>0</v>
          </cell>
          <cell r="R612"/>
          <cell r="S612">
            <v>10142</v>
          </cell>
          <cell r="T612">
            <v>2525</v>
          </cell>
          <cell r="U612">
            <v>12667</v>
          </cell>
        </row>
        <row r="613">
          <cell r="A613">
            <v>96671</v>
          </cell>
          <cell r="B613" t="str">
            <v>TOWN OF SEVERN</v>
          </cell>
          <cell r="C613">
            <v>1.49E-5</v>
          </cell>
          <cell r="D613">
            <v>1.5500000000000001E-5</v>
          </cell>
          <cell r="E613">
            <v>8400</v>
          </cell>
          <cell r="F613">
            <v>32896</v>
          </cell>
          <cell r="G613">
            <v>22763</v>
          </cell>
          <cell r="H613"/>
          <cell r="I613">
            <v>1311</v>
          </cell>
          <cell r="J613">
            <v>5527</v>
          </cell>
          <cell r="K613">
            <v>3251</v>
          </cell>
          <cell r="L613">
            <v>8612</v>
          </cell>
          <cell r="M613"/>
          <cell r="N613">
            <v>644</v>
          </cell>
          <cell r="O613">
            <v>0</v>
          </cell>
          <cell r="P613">
            <v>0</v>
          </cell>
          <cell r="Q613">
            <v>208</v>
          </cell>
          <cell r="R613"/>
          <cell r="S613">
            <v>7671</v>
          </cell>
          <cell r="T613">
            <v>3620</v>
          </cell>
          <cell r="U613">
            <v>11291</v>
          </cell>
        </row>
        <row r="614">
          <cell r="A614">
            <v>96681</v>
          </cell>
          <cell r="B614" t="str">
            <v>TOWN OF SEABOARD</v>
          </cell>
          <cell r="C614">
            <v>1.7499999999999998E-5</v>
          </cell>
          <cell r="D614">
            <v>3.4799999999999999E-5</v>
          </cell>
          <cell r="E614">
            <v>12179</v>
          </cell>
          <cell r="F614">
            <v>73857</v>
          </cell>
          <cell r="G614">
            <v>26735</v>
          </cell>
          <cell r="H614"/>
          <cell r="I614">
            <v>1540</v>
          </cell>
          <cell r="J614">
            <v>6491</v>
          </cell>
          <cell r="K614">
            <v>3818</v>
          </cell>
          <cell r="L614">
            <v>12682</v>
          </cell>
          <cell r="M614"/>
          <cell r="N614">
            <v>757</v>
          </cell>
          <cell r="O614">
            <v>0</v>
          </cell>
          <cell r="P614">
            <v>0</v>
          </cell>
          <cell r="Q614">
            <v>9027</v>
          </cell>
          <cell r="R614"/>
          <cell r="S614">
            <v>9010</v>
          </cell>
          <cell r="T614">
            <v>3129</v>
          </cell>
          <cell r="U614">
            <v>12139</v>
          </cell>
        </row>
        <row r="615">
          <cell r="A615">
            <v>96701</v>
          </cell>
          <cell r="B615" t="str">
            <v>ONSLOW COUNTY</v>
          </cell>
          <cell r="C615">
            <v>8.4206000000000003E-3</v>
          </cell>
          <cell r="D615">
            <v>7.7850000000000003E-3</v>
          </cell>
          <cell r="E615">
            <v>3657208</v>
          </cell>
          <cell r="F615">
            <v>16522378</v>
          </cell>
          <cell r="G615">
            <v>12864344</v>
          </cell>
          <cell r="H615"/>
          <cell r="I615">
            <v>741105</v>
          </cell>
          <cell r="J615">
            <v>3123478</v>
          </cell>
          <cell r="K615">
            <v>1837207</v>
          </cell>
          <cell r="L615">
            <v>445953</v>
          </cell>
          <cell r="M615"/>
          <cell r="N615">
            <v>364149</v>
          </cell>
          <cell r="O615">
            <v>0</v>
          </cell>
          <cell r="P615">
            <v>0</v>
          </cell>
          <cell r="Q615">
            <v>51464</v>
          </cell>
          <cell r="R615"/>
          <cell r="S615">
            <v>4335295</v>
          </cell>
          <cell r="T615">
            <v>139565</v>
          </cell>
          <cell r="U615">
            <v>4474860</v>
          </cell>
        </row>
        <row r="616">
          <cell r="A616">
            <v>96704</v>
          </cell>
          <cell r="B616" t="str">
            <v>ONSLOW COUNTY ABC BOARD</v>
          </cell>
          <cell r="C616">
            <v>1.7259999999999999E-4</v>
          </cell>
          <cell r="D616">
            <v>1.5330000000000001E-4</v>
          </cell>
          <cell r="E616">
            <v>92320</v>
          </cell>
          <cell r="F616">
            <v>325354</v>
          </cell>
          <cell r="G616">
            <v>263685</v>
          </cell>
          <cell r="H616"/>
          <cell r="I616">
            <v>15191</v>
          </cell>
          <cell r="J616">
            <v>64023</v>
          </cell>
          <cell r="K616">
            <v>37658</v>
          </cell>
          <cell r="L616">
            <v>28813</v>
          </cell>
          <cell r="M616"/>
          <cell r="N616">
            <v>7464</v>
          </cell>
          <cell r="O616">
            <v>0</v>
          </cell>
          <cell r="P616">
            <v>0</v>
          </cell>
          <cell r="Q616">
            <v>0</v>
          </cell>
          <cell r="R616"/>
          <cell r="S616">
            <v>88862</v>
          </cell>
          <cell r="T616">
            <v>9625</v>
          </cell>
          <cell r="U616">
            <v>98487</v>
          </cell>
        </row>
        <row r="617">
          <cell r="A617">
            <v>96708</v>
          </cell>
          <cell r="B617" t="str">
            <v>ONSLOW WATER &amp; SEWER AUTHORITY</v>
          </cell>
          <cell r="C617">
            <v>9.031E-4</v>
          </cell>
          <cell r="D617">
            <v>8.4590000000000002E-4</v>
          </cell>
          <cell r="E617">
            <v>441727</v>
          </cell>
          <cell r="F617">
            <v>1795283</v>
          </cell>
          <cell r="G617">
            <v>1379687</v>
          </cell>
          <cell r="H617"/>
          <cell r="I617">
            <v>79483</v>
          </cell>
          <cell r="J617">
            <v>334989</v>
          </cell>
          <cell r="K617">
            <v>197038</v>
          </cell>
          <cell r="L617">
            <v>93931</v>
          </cell>
          <cell r="M617"/>
          <cell r="N617">
            <v>39055</v>
          </cell>
          <cell r="O617">
            <v>0</v>
          </cell>
          <cell r="P617">
            <v>0</v>
          </cell>
          <cell r="Q617">
            <v>19895</v>
          </cell>
          <cell r="R617"/>
          <cell r="S617">
            <v>464956</v>
          </cell>
          <cell r="T617">
            <v>29117</v>
          </cell>
          <cell r="U617">
            <v>494073</v>
          </cell>
        </row>
        <row r="618">
          <cell r="A618">
            <v>96711</v>
          </cell>
          <cell r="B618" t="str">
            <v>CITY OF JACKSONVILLE</v>
          </cell>
          <cell r="C618">
            <v>4.0464000000000003E-3</v>
          </cell>
          <cell r="D618">
            <v>4.4140000000000004E-3</v>
          </cell>
          <cell r="E618">
            <v>1869918</v>
          </cell>
          <cell r="F618">
            <v>9367987</v>
          </cell>
          <cell r="G618">
            <v>6181778</v>
          </cell>
          <cell r="H618"/>
          <cell r="I618">
            <v>356128</v>
          </cell>
          <cell r="J618">
            <v>1500943</v>
          </cell>
          <cell r="K618">
            <v>882844</v>
          </cell>
          <cell r="L618">
            <v>10323</v>
          </cell>
          <cell r="M618"/>
          <cell r="N618">
            <v>174987</v>
          </cell>
          <cell r="O618">
            <v>0</v>
          </cell>
          <cell r="P618">
            <v>0</v>
          </cell>
          <cell r="Q618">
            <v>468550</v>
          </cell>
          <cell r="R618"/>
          <cell r="S618">
            <v>2083265</v>
          </cell>
          <cell r="T618">
            <v>-165088</v>
          </cell>
          <cell r="U618">
            <v>1918177</v>
          </cell>
        </row>
        <row r="619">
          <cell r="A619">
            <v>96721</v>
          </cell>
          <cell r="B619" t="str">
            <v>TOWN OF SWANSBORO</v>
          </cell>
          <cell r="C619">
            <v>2.1379999999999999E-4</v>
          </cell>
          <cell r="D619">
            <v>1.9780000000000001E-4</v>
          </cell>
          <cell r="E619">
            <v>96163</v>
          </cell>
          <cell r="F619">
            <v>419798</v>
          </cell>
          <cell r="G619">
            <v>326627</v>
          </cell>
          <cell r="H619"/>
          <cell r="I619">
            <v>18817</v>
          </cell>
          <cell r="J619">
            <v>79305</v>
          </cell>
          <cell r="K619">
            <v>46647</v>
          </cell>
          <cell r="L619">
            <v>14615</v>
          </cell>
          <cell r="M619"/>
          <cell r="N619">
            <v>9246</v>
          </cell>
          <cell r="O619">
            <v>0</v>
          </cell>
          <cell r="P619">
            <v>0</v>
          </cell>
          <cell r="Q619">
            <v>25539</v>
          </cell>
          <cell r="R619"/>
          <cell r="S619">
            <v>110074</v>
          </cell>
          <cell r="T619">
            <v>-1269</v>
          </cell>
          <cell r="U619">
            <v>108805</v>
          </cell>
        </row>
        <row r="620">
          <cell r="A620">
            <v>96731</v>
          </cell>
          <cell r="B620" t="str">
            <v>TOWN OF HOLLY RIDGE</v>
          </cell>
          <cell r="C620">
            <v>1.697E-4</v>
          </cell>
          <cell r="D620">
            <v>1.5090000000000001E-4</v>
          </cell>
          <cell r="E620">
            <v>72356</v>
          </cell>
          <cell r="F620">
            <v>320260</v>
          </cell>
          <cell r="G620">
            <v>259255</v>
          </cell>
          <cell r="H620"/>
          <cell r="I620">
            <v>14935</v>
          </cell>
          <cell r="J620">
            <v>62947</v>
          </cell>
          <cell r="K620">
            <v>37025</v>
          </cell>
          <cell r="L620">
            <v>20951</v>
          </cell>
          <cell r="M620"/>
          <cell r="N620">
            <v>7339</v>
          </cell>
          <cell r="O620">
            <v>0</v>
          </cell>
          <cell r="P620">
            <v>0</v>
          </cell>
          <cell r="Q620">
            <v>6</v>
          </cell>
          <cell r="R620"/>
          <cell r="S620">
            <v>87369</v>
          </cell>
          <cell r="T620">
            <v>7300</v>
          </cell>
          <cell r="U620">
            <v>94669</v>
          </cell>
        </row>
        <row r="621">
          <cell r="A621">
            <v>96733</v>
          </cell>
          <cell r="B621" t="str">
            <v>HOLLY RIDGE HOUSING AUTHORITY</v>
          </cell>
          <cell r="C621">
            <v>7.3000000000000004E-6</v>
          </cell>
          <cell r="D621">
            <v>9.2E-6</v>
          </cell>
          <cell r="E621">
            <v>4279</v>
          </cell>
          <cell r="F621">
            <v>19525</v>
          </cell>
          <cell r="G621">
            <v>11152</v>
          </cell>
          <cell r="H621"/>
          <cell r="I621">
            <v>642</v>
          </cell>
          <cell r="J621">
            <v>2708</v>
          </cell>
          <cell r="K621">
            <v>1593</v>
          </cell>
          <cell r="L621">
            <v>3988</v>
          </cell>
          <cell r="M621"/>
          <cell r="N621">
            <v>316</v>
          </cell>
          <cell r="O621">
            <v>0</v>
          </cell>
          <cell r="P621">
            <v>0</v>
          </cell>
          <cell r="Q621">
            <v>1209</v>
          </cell>
          <cell r="R621"/>
          <cell r="S621">
            <v>3758</v>
          </cell>
          <cell r="T621">
            <v>1574</v>
          </cell>
          <cell r="U621">
            <v>5332</v>
          </cell>
        </row>
        <row r="622">
          <cell r="A622">
            <v>96741</v>
          </cell>
          <cell r="B622" t="str">
            <v>TOWN OF RICHLANDS</v>
          </cell>
          <cell r="C622">
            <v>9.0799999999999998E-5</v>
          </cell>
          <cell r="D622">
            <v>9.2399999999999996E-5</v>
          </cell>
          <cell r="E622">
            <v>41448</v>
          </cell>
          <cell r="F622">
            <v>196104</v>
          </cell>
          <cell r="G622">
            <v>138717</v>
          </cell>
          <cell r="H622"/>
          <cell r="I622">
            <v>7991</v>
          </cell>
          <cell r="J622">
            <v>33681</v>
          </cell>
          <cell r="K622">
            <v>19811</v>
          </cell>
          <cell r="L622">
            <v>4204</v>
          </cell>
          <cell r="M622"/>
          <cell r="N622">
            <v>3927</v>
          </cell>
          <cell r="O622">
            <v>0</v>
          </cell>
          <cell r="P622">
            <v>0</v>
          </cell>
          <cell r="Q622">
            <v>2410</v>
          </cell>
          <cell r="R622"/>
          <cell r="S622">
            <v>46748</v>
          </cell>
          <cell r="T622">
            <v>2215</v>
          </cell>
          <cell r="U622">
            <v>48963</v>
          </cell>
        </row>
        <row r="623">
          <cell r="A623">
            <v>96751</v>
          </cell>
          <cell r="B623" t="str">
            <v>TOWN OF N TOPSAIL BEACH</v>
          </cell>
          <cell r="C623">
            <v>2.5809999999999999E-4</v>
          </cell>
          <cell r="D623">
            <v>2.6120000000000001E-4</v>
          </cell>
          <cell r="E623">
            <v>115660</v>
          </cell>
          <cell r="F623">
            <v>554354</v>
          </cell>
          <cell r="G623">
            <v>394305</v>
          </cell>
          <cell r="H623"/>
          <cell r="I623">
            <v>22716</v>
          </cell>
          <cell r="J623">
            <v>95737</v>
          </cell>
          <cell r="K623">
            <v>56312</v>
          </cell>
          <cell r="L623">
            <v>10810</v>
          </cell>
          <cell r="M623"/>
          <cell r="N623">
            <v>11162</v>
          </cell>
          <cell r="O623">
            <v>0</v>
          </cell>
          <cell r="P623">
            <v>0</v>
          </cell>
          <cell r="Q623">
            <v>31380</v>
          </cell>
          <cell r="R623"/>
          <cell r="S623">
            <v>132881</v>
          </cell>
          <cell r="T623">
            <v>-737</v>
          </cell>
          <cell r="U623">
            <v>132144</v>
          </cell>
        </row>
        <row r="624">
          <cell r="A624">
            <v>96801</v>
          </cell>
          <cell r="B624" t="str">
            <v>ORANGE COUNTY</v>
          </cell>
          <cell r="C624">
            <v>7.5814000000000003E-3</v>
          </cell>
          <cell r="D624">
            <v>7.8463999999999999E-3</v>
          </cell>
          <cell r="E624">
            <v>3611120</v>
          </cell>
          <cell r="F624">
            <v>16652689</v>
          </cell>
          <cell r="G624">
            <v>11582279</v>
          </cell>
          <cell r="H624"/>
          <cell r="I624">
            <v>667247</v>
          </cell>
          <cell r="J624">
            <v>2812192</v>
          </cell>
          <cell r="K624">
            <v>1654110</v>
          </cell>
          <cell r="L624">
            <v>406857</v>
          </cell>
          <cell r="M624"/>
          <cell r="N624">
            <v>327858</v>
          </cell>
          <cell r="O624">
            <v>0</v>
          </cell>
          <cell r="P624">
            <v>0</v>
          </cell>
          <cell r="Q624">
            <v>73178</v>
          </cell>
          <cell r="R624"/>
          <cell r="S624">
            <v>3903238</v>
          </cell>
          <cell r="T624">
            <v>217480</v>
          </cell>
          <cell r="U624">
            <v>4120718</v>
          </cell>
        </row>
        <row r="625">
          <cell r="A625">
            <v>96804</v>
          </cell>
          <cell r="B625" t="str">
            <v>ORANGE COUNTY ABC BOARD</v>
          </cell>
          <cell r="C625">
            <v>2.654E-4</v>
          </cell>
          <cell r="D625">
            <v>2.4230000000000001E-4</v>
          </cell>
          <cell r="E625">
            <v>109175</v>
          </cell>
          <cell r="F625">
            <v>514242</v>
          </cell>
          <cell r="G625">
            <v>405458</v>
          </cell>
          <cell r="H625"/>
          <cell r="I625">
            <v>23358</v>
          </cell>
          <cell r="J625">
            <v>98446</v>
          </cell>
          <cell r="K625">
            <v>57905</v>
          </cell>
          <cell r="L625">
            <v>7601</v>
          </cell>
          <cell r="M625"/>
          <cell r="N625">
            <v>11477</v>
          </cell>
          <cell r="O625">
            <v>0</v>
          </cell>
          <cell r="P625">
            <v>0</v>
          </cell>
          <cell r="Q625">
            <v>2044</v>
          </cell>
          <cell r="R625"/>
          <cell r="S625">
            <v>136640</v>
          </cell>
          <cell r="T625">
            <v>2424</v>
          </cell>
          <cell r="U625">
            <v>139064</v>
          </cell>
        </row>
        <row r="626">
          <cell r="A626">
            <v>96808</v>
          </cell>
          <cell r="B626" t="str">
            <v>ORANGE WATER AND SEWER AUTHORITY</v>
          </cell>
          <cell r="C626">
            <v>1.2711000000000001E-3</v>
          </cell>
          <cell r="D626">
            <v>1.2882E-3</v>
          </cell>
          <cell r="E626">
            <v>593249</v>
          </cell>
          <cell r="F626">
            <v>2733992</v>
          </cell>
          <cell r="G626">
            <v>1941889</v>
          </cell>
          <cell r="H626"/>
          <cell r="I626">
            <v>111871</v>
          </cell>
          <cell r="J626">
            <v>471493</v>
          </cell>
          <cell r="K626">
            <v>277329</v>
          </cell>
          <cell r="L626">
            <v>42529</v>
          </cell>
          <cell r="M626"/>
          <cell r="N626">
            <v>54969</v>
          </cell>
          <cell r="O626">
            <v>0</v>
          </cell>
          <cell r="P626">
            <v>0</v>
          </cell>
          <cell r="Q626">
            <v>3699</v>
          </cell>
          <cell r="R626"/>
          <cell r="S626">
            <v>654418</v>
          </cell>
          <cell r="T626">
            <v>23633</v>
          </cell>
          <cell r="U626">
            <v>678051</v>
          </cell>
        </row>
        <row r="627">
          <cell r="A627">
            <v>96811</v>
          </cell>
          <cell r="B627" t="str">
            <v>TOWN OF CHAPEL HILL</v>
          </cell>
          <cell r="C627">
            <v>6.0096999999999998E-3</v>
          </cell>
          <cell r="D627">
            <v>5.9861999999999997E-3</v>
          </cell>
          <cell r="E627">
            <v>2786025</v>
          </cell>
          <cell r="F627">
            <v>12704722</v>
          </cell>
          <cell r="G627">
            <v>9181157</v>
          </cell>
          <cell r="H627"/>
          <cell r="I627">
            <v>528920</v>
          </cell>
          <cell r="J627">
            <v>2229197</v>
          </cell>
          <cell r="K627">
            <v>1311196</v>
          </cell>
          <cell r="L627">
            <v>37410</v>
          </cell>
          <cell r="M627"/>
          <cell r="N627">
            <v>259889</v>
          </cell>
          <cell r="O627">
            <v>0</v>
          </cell>
          <cell r="P627">
            <v>0</v>
          </cell>
          <cell r="Q627">
            <v>53500</v>
          </cell>
          <cell r="R627"/>
          <cell r="S627">
            <v>3094058</v>
          </cell>
          <cell r="T627">
            <v>-23369</v>
          </cell>
          <cell r="U627">
            <v>3070689</v>
          </cell>
        </row>
        <row r="628">
          <cell r="A628">
            <v>96821</v>
          </cell>
          <cell r="B628" t="str">
            <v>TOWN OF CARRBORO</v>
          </cell>
          <cell r="C628">
            <v>1.3247000000000001E-3</v>
          </cell>
          <cell r="D628">
            <v>1.3630999999999999E-3</v>
          </cell>
          <cell r="E628">
            <v>603956</v>
          </cell>
          <cell r="F628">
            <v>2892955</v>
          </cell>
          <cell r="G628">
            <v>2023775</v>
          </cell>
          <cell r="H628"/>
          <cell r="I628">
            <v>116588</v>
          </cell>
          <cell r="J628">
            <v>491375</v>
          </cell>
          <cell r="K628">
            <v>289023</v>
          </cell>
          <cell r="L628">
            <v>0</v>
          </cell>
          <cell r="M628"/>
          <cell r="N628">
            <v>57287</v>
          </cell>
          <cell r="O628">
            <v>0</v>
          </cell>
          <cell r="P628">
            <v>0</v>
          </cell>
          <cell r="Q628">
            <v>134629</v>
          </cell>
          <cell r="R628"/>
          <cell r="S628">
            <v>682014</v>
          </cell>
          <cell r="T628">
            <v>-54878</v>
          </cell>
          <cell r="U628">
            <v>627136</v>
          </cell>
        </row>
        <row r="629">
          <cell r="A629">
            <v>96831</v>
          </cell>
          <cell r="B629" t="str">
            <v>TOWN OF HILLSBOROUGH</v>
          </cell>
          <cell r="C629">
            <v>9.1929999999999996E-4</v>
          </cell>
          <cell r="D629">
            <v>9.2400000000000002E-4</v>
          </cell>
          <cell r="E629">
            <v>426593</v>
          </cell>
          <cell r="F629">
            <v>1961038</v>
          </cell>
          <cell r="G629">
            <v>1404436</v>
          </cell>
          <cell r="H629"/>
          <cell r="I629">
            <v>80909</v>
          </cell>
          <cell r="J629">
            <v>340998</v>
          </cell>
          <cell r="K629">
            <v>200573</v>
          </cell>
          <cell r="L629">
            <v>37726</v>
          </cell>
          <cell r="M629"/>
          <cell r="N629">
            <v>39755</v>
          </cell>
          <cell r="O629">
            <v>0</v>
          </cell>
          <cell r="P629">
            <v>0</v>
          </cell>
          <cell r="Q629">
            <v>0</v>
          </cell>
          <cell r="R629"/>
          <cell r="S629">
            <v>473296</v>
          </cell>
          <cell r="T629">
            <v>19380</v>
          </cell>
          <cell r="U629">
            <v>492676</v>
          </cell>
        </row>
        <row r="630">
          <cell r="A630">
            <v>96901</v>
          </cell>
          <cell r="B630" t="str">
            <v>PAMLICO COUNTY</v>
          </cell>
          <cell r="C630">
            <v>8.9820000000000004E-4</v>
          </cell>
          <cell r="D630">
            <v>8.1610000000000005E-4</v>
          </cell>
          <cell r="E630">
            <v>411770</v>
          </cell>
          <cell r="F630">
            <v>1732038</v>
          </cell>
          <cell r="G630">
            <v>1372201</v>
          </cell>
          <cell r="H630"/>
          <cell r="I630">
            <v>79051</v>
          </cell>
          <cell r="J630">
            <v>333172</v>
          </cell>
          <cell r="K630">
            <v>195969</v>
          </cell>
          <cell r="L630">
            <v>85745</v>
          </cell>
          <cell r="M630"/>
          <cell r="N630">
            <v>38843</v>
          </cell>
          <cell r="O630">
            <v>0</v>
          </cell>
          <cell r="P630">
            <v>0</v>
          </cell>
          <cell r="Q630">
            <v>0</v>
          </cell>
          <cell r="R630"/>
          <cell r="S630">
            <v>462433</v>
          </cell>
          <cell r="T630">
            <v>28927</v>
          </cell>
          <cell r="U630">
            <v>491360</v>
          </cell>
        </row>
        <row r="631">
          <cell r="A631">
            <v>96911</v>
          </cell>
          <cell r="B631" t="str">
            <v>TOWN OF BAYBORO</v>
          </cell>
          <cell r="C631">
            <v>2.3999999999999999E-6</v>
          </cell>
          <cell r="D631">
            <v>3.7000000000000002E-6</v>
          </cell>
          <cell r="E631">
            <v>1942</v>
          </cell>
          <cell r="F631">
            <v>7853</v>
          </cell>
          <cell r="G631">
            <v>3667</v>
          </cell>
          <cell r="H631"/>
          <cell r="I631">
            <v>211</v>
          </cell>
          <cell r="J631">
            <v>890</v>
          </cell>
          <cell r="K631">
            <v>524</v>
          </cell>
          <cell r="L631">
            <v>2464</v>
          </cell>
          <cell r="M631"/>
          <cell r="N631">
            <v>104</v>
          </cell>
          <cell r="O631">
            <v>0</v>
          </cell>
          <cell r="P631">
            <v>0</v>
          </cell>
          <cell r="Q631">
            <v>2953</v>
          </cell>
          <cell r="R631"/>
          <cell r="S631">
            <v>1236</v>
          </cell>
          <cell r="T631">
            <v>521</v>
          </cell>
          <cell r="U631">
            <v>1757</v>
          </cell>
        </row>
        <row r="632">
          <cell r="A632">
            <v>96912</v>
          </cell>
          <cell r="B632" t="str">
            <v>TOWN OF ORIENTAL</v>
          </cell>
          <cell r="C632">
            <v>6.0099999999999997E-5</v>
          </cell>
          <cell r="D632">
            <v>6.0999999999999999E-5</v>
          </cell>
          <cell r="E632">
            <v>24610</v>
          </cell>
          <cell r="F632">
            <v>129462</v>
          </cell>
          <cell r="G632">
            <v>91816</v>
          </cell>
          <cell r="H632"/>
          <cell r="I632">
            <v>5289</v>
          </cell>
          <cell r="J632">
            <v>22293</v>
          </cell>
          <cell r="K632">
            <v>13113</v>
          </cell>
          <cell r="L632">
            <v>4325</v>
          </cell>
          <cell r="M632"/>
          <cell r="N632">
            <v>2599</v>
          </cell>
          <cell r="O632">
            <v>0</v>
          </cell>
          <cell r="P632">
            <v>0</v>
          </cell>
          <cell r="Q632">
            <v>3739</v>
          </cell>
          <cell r="R632"/>
          <cell r="S632">
            <v>30942</v>
          </cell>
          <cell r="T632">
            <v>2307</v>
          </cell>
          <cell r="U632">
            <v>33249</v>
          </cell>
        </row>
        <row r="633">
          <cell r="A633">
            <v>96918</v>
          </cell>
          <cell r="B633" t="str">
            <v>BAY RIVER METRO SEWERAGE DISTRICT</v>
          </cell>
          <cell r="C633">
            <v>3.8000000000000002E-5</v>
          </cell>
          <cell r="D633">
            <v>4.0500000000000002E-5</v>
          </cell>
          <cell r="E633">
            <v>20289</v>
          </cell>
          <cell r="F633">
            <v>85955</v>
          </cell>
          <cell r="G633">
            <v>58053</v>
          </cell>
          <cell r="H633"/>
          <cell r="I633">
            <v>3344</v>
          </cell>
          <cell r="J633">
            <v>14095</v>
          </cell>
          <cell r="K633">
            <v>8291</v>
          </cell>
          <cell r="L633">
            <v>7713</v>
          </cell>
          <cell r="M633"/>
          <cell r="N633">
            <v>1643</v>
          </cell>
          <cell r="O633">
            <v>0</v>
          </cell>
          <cell r="P633">
            <v>0</v>
          </cell>
          <cell r="Q633">
            <v>884</v>
          </cell>
          <cell r="R633"/>
          <cell r="S633">
            <v>19564</v>
          </cell>
          <cell r="T633">
            <v>5648</v>
          </cell>
          <cell r="U633">
            <v>25212</v>
          </cell>
        </row>
        <row r="634">
          <cell r="A634">
            <v>97001</v>
          </cell>
          <cell r="B634" t="str">
            <v>PASQUOTANK COUNTY</v>
          </cell>
          <cell r="C634">
            <v>1.3778E-3</v>
          </cell>
          <cell r="D634">
            <v>1.3641E-3</v>
          </cell>
          <cell r="E634">
            <v>710694</v>
          </cell>
          <cell r="F634">
            <v>2895077</v>
          </cell>
          <cell r="G634">
            <v>2104897</v>
          </cell>
          <cell r="H634"/>
          <cell r="I634">
            <v>121262</v>
          </cell>
          <cell r="J634">
            <v>511071</v>
          </cell>
          <cell r="K634">
            <v>300608</v>
          </cell>
          <cell r="L634">
            <v>148744</v>
          </cell>
          <cell r="M634"/>
          <cell r="N634">
            <v>59583</v>
          </cell>
          <cell r="O634">
            <v>0</v>
          </cell>
          <cell r="P634">
            <v>0</v>
          </cell>
          <cell r="Q634">
            <v>11523</v>
          </cell>
          <cell r="R634"/>
          <cell r="S634">
            <v>709352</v>
          </cell>
          <cell r="T634">
            <v>36360</v>
          </cell>
          <cell r="U634">
            <v>745712</v>
          </cell>
        </row>
        <row r="635">
          <cell r="A635">
            <v>97002</v>
          </cell>
          <cell r="B635" t="str">
            <v>PASQUOTANK-CAMDEN AMBULANCE SERVICE</v>
          </cell>
          <cell r="C635">
            <v>5.2610000000000005E-4</v>
          </cell>
          <cell r="D635">
            <v>4.6589999999999999E-4</v>
          </cell>
          <cell r="E635">
            <v>182319</v>
          </cell>
          <cell r="F635">
            <v>988796</v>
          </cell>
          <cell r="G635">
            <v>803735</v>
          </cell>
          <cell r="H635"/>
          <cell r="I635">
            <v>46303</v>
          </cell>
          <cell r="J635">
            <v>195148</v>
          </cell>
          <cell r="K635">
            <v>114784</v>
          </cell>
          <cell r="L635">
            <v>16832</v>
          </cell>
          <cell r="M635"/>
          <cell r="N635">
            <v>22751</v>
          </cell>
          <cell r="O635">
            <v>0</v>
          </cell>
          <cell r="P635">
            <v>0</v>
          </cell>
          <cell r="Q635">
            <v>7002</v>
          </cell>
          <cell r="R635"/>
          <cell r="S635">
            <v>270859</v>
          </cell>
          <cell r="T635">
            <v>10025</v>
          </cell>
          <cell r="U635">
            <v>280884</v>
          </cell>
        </row>
        <row r="636">
          <cell r="A636">
            <v>97004</v>
          </cell>
          <cell r="B636" t="str">
            <v>PASQUOTANK CO ABC BOARD</v>
          </cell>
          <cell r="C636">
            <v>9.7999999999999993E-6</v>
          </cell>
          <cell r="D636">
            <v>1.0900000000000001E-5</v>
          </cell>
          <cell r="E636">
            <v>8257</v>
          </cell>
          <cell r="F636">
            <v>23133</v>
          </cell>
          <cell r="G636">
            <v>14972</v>
          </cell>
          <cell r="H636"/>
          <cell r="I636">
            <v>863</v>
          </cell>
          <cell r="J636">
            <v>3635</v>
          </cell>
          <cell r="K636">
            <v>2138</v>
          </cell>
          <cell r="L636">
            <v>4225</v>
          </cell>
          <cell r="M636"/>
          <cell r="N636">
            <v>424</v>
          </cell>
          <cell r="O636">
            <v>0</v>
          </cell>
          <cell r="P636">
            <v>0</v>
          </cell>
          <cell r="Q636">
            <v>0</v>
          </cell>
          <cell r="R636"/>
          <cell r="S636">
            <v>5045</v>
          </cell>
          <cell r="T636">
            <v>1862</v>
          </cell>
          <cell r="U636">
            <v>6907</v>
          </cell>
        </row>
        <row r="637">
          <cell r="A637">
            <v>97005</v>
          </cell>
          <cell r="B637" t="str">
            <v>EAST ALBEMARLE REGIONAL LIBRARY</v>
          </cell>
          <cell r="C637">
            <v>2.83E-5</v>
          </cell>
          <cell r="D637">
            <v>1.42E-5</v>
          </cell>
          <cell r="E637">
            <v>15092</v>
          </cell>
          <cell r="F637">
            <v>30137</v>
          </cell>
          <cell r="G637">
            <v>43235</v>
          </cell>
          <cell r="H637"/>
          <cell r="I637">
            <v>2491</v>
          </cell>
          <cell r="J637">
            <v>10498</v>
          </cell>
          <cell r="K637">
            <v>6174</v>
          </cell>
          <cell r="L637">
            <v>13129</v>
          </cell>
          <cell r="M637"/>
          <cell r="N637">
            <v>1224</v>
          </cell>
          <cell r="O637">
            <v>0</v>
          </cell>
          <cell r="P637">
            <v>0</v>
          </cell>
          <cell r="Q637">
            <v>1368</v>
          </cell>
          <cell r="R637"/>
          <cell r="S637">
            <v>14570</v>
          </cell>
          <cell r="T637">
            <v>3211</v>
          </cell>
          <cell r="U637">
            <v>17781</v>
          </cell>
        </row>
        <row r="638">
          <cell r="A638">
            <v>97008</v>
          </cell>
          <cell r="B638" t="str">
            <v>ALBEMARLE DISTRICT JAIL COMMISSION</v>
          </cell>
          <cell r="C638">
            <v>2.8659999999999997E-4</v>
          </cell>
          <cell r="D638">
            <v>2.7530000000000002E-4</v>
          </cell>
          <cell r="E638">
            <v>128453</v>
          </cell>
          <cell r="F638">
            <v>584279</v>
          </cell>
          <cell r="G638">
            <v>437845</v>
          </cell>
          <cell r="H638"/>
          <cell r="I638">
            <v>25224</v>
          </cell>
          <cell r="J638">
            <v>106309</v>
          </cell>
          <cell r="K638">
            <v>62530</v>
          </cell>
          <cell r="L638">
            <v>12387</v>
          </cell>
          <cell r="M638"/>
          <cell r="N638">
            <v>12394</v>
          </cell>
          <cell r="O638">
            <v>0</v>
          </cell>
          <cell r="P638">
            <v>0</v>
          </cell>
          <cell r="Q638">
            <v>3127</v>
          </cell>
          <cell r="R638"/>
          <cell r="S638">
            <v>147554</v>
          </cell>
          <cell r="T638">
            <v>7175</v>
          </cell>
          <cell r="U638">
            <v>154729</v>
          </cell>
        </row>
        <row r="639">
          <cell r="A639">
            <v>97010</v>
          </cell>
          <cell r="B639" t="str">
            <v>ALBEMARLE HOSPITAL AUTHORITY</v>
          </cell>
          <cell r="C639">
            <v>0</v>
          </cell>
          <cell r="D639">
            <v>0</v>
          </cell>
          <cell r="E639">
            <v>0</v>
          </cell>
          <cell r="F639">
            <v>0</v>
          </cell>
          <cell r="G639">
            <v>0</v>
          </cell>
          <cell r="H639"/>
          <cell r="I639">
            <v>0</v>
          </cell>
          <cell r="J639">
            <v>0</v>
          </cell>
          <cell r="K639">
            <v>0</v>
          </cell>
          <cell r="L639">
            <v>0</v>
          </cell>
          <cell r="M639"/>
          <cell r="N639">
            <v>0</v>
          </cell>
          <cell r="O639">
            <v>0</v>
          </cell>
          <cell r="P639">
            <v>0</v>
          </cell>
          <cell r="Q639">
            <v>2056902</v>
          </cell>
          <cell r="R639"/>
          <cell r="S639">
            <v>0</v>
          </cell>
          <cell r="T639">
            <v>-1282454</v>
          </cell>
          <cell r="U639">
            <v>-1282454</v>
          </cell>
        </row>
        <row r="640">
          <cell r="A640">
            <v>97011</v>
          </cell>
          <cell r="B640" t="str">
            <v>ELIZABETH CITY</v>
          </cell>
          <cell r="C640">
            <v>1.9166999999999999E-3</v>
          </cell>
          <cell r="D640">
            <v>1.9522999999999999E-3</v>
          </cell>
          <cell r="E640">
            <v>907458</v>
          </cell>
          <cell r="F640">
            <v>4143435</v>
          </cell>
          <cell r="G640">
            <v>2928187</v>
          </cell>
          <cell r="H640"/>
          <cell r="I640">
            <v>168691</v>
          </cell>
          <cell r="J640">
            <v>710967</v>
          </cell>
          <cell r="K640">
            <v>418186</v>
          </cell>
          <cell r="L640">
            <v>0</v>
          </cell>
          <cell r="M640"/>
          <cell r="N640">
            <v>82888</v>
          </cell>
          <cell r="O640">
            <v>0</v>
          </cell>
          <cell r="P640">
            <v>0</v>
          </cell>
          <cell r="Q640">
            <v>92552</v>
          </cell>
          <cell r="R640"/>
          <cell r="S640">
            <v>986801</v>
          </cell>
          <cell r="T640">
            <v>-38711</v>
          </cell>
          <cell r="U640">
            <v>948090</v>
          </cell>
        </row>
        <row r="641">
          <cell r="A641">
            <v>97012</v>
          </cell>
          <cell r="B641" t="str">
            <v>ELIZABETH CITY-PASQUOTANK CO AIRPORT AUTH</v>
          </cell>
          <cell r="C641">
            <v>2.9499999999999999E-5</v>
          </cell>
          <cell r="D641">
            <v>2.4499999999999999E-5</v>
          </cell>
          <cell r="E641">
            <v>12375</v>
          </cell>
          <cell r="F641">
            <v>51997</v>
          </cell>
          <cell r="G641">
            <v>45068</v>
          </cell>
          <cell r="H641"/>
          <cell r="I641">
            <v>2596</v>
          </cell>
          <cell r="J641">
            <v>10942</v>
          </cell>
          <cell r="K641">
            <v>6436</v>
          </cell>
          <cell r="L641">
            <v>4949</v>
          </cell>
          <cell r="M641"/>
          <cell r="N641">
            <v>1276</v>
          </cell>
          <cell r="O641">
            <v>0</v>
          </cell>
          <cell r="P641">
            <v>0</v>
          </cell>
          <cell r="Q641">
            <v>1149</v>
          </cell>
          <cell r="R641"/>
          <cell r="S641">
            <v>15188</v>
          </cell>
          <cell r="T641">
            <v>752</v>
          </cell>
          <cell r="U641">
            <v>15940</v>
          </cell>
        </row>
        <row r="642">
          <cell r="A642">
            <v>97013</v>
          </cell>
          <cell r="B642" t="str">
            <v>ELIZABETH CITY PASQUOTANK COUNTY TDA</v>
          </cell>
          <cell r="C642">
            <v>1.8199999999999999E-5</v>
          </cell>
          <cell r="D642">
            <v>2.0699999999999998E-5</v>
          </cell>
          <cell r="E642">
            <v>11433</v>
          </cell>
          <cell r="F642">
            <v>43932</v>
          </cell>
          <cell r="G642">
            <v>27805</v>
          </cell>
          <cell r="H642"/>
          <cell r="I642">
            <v>1602</v>
          </cell>
          <cell r="J642">
            <v>6751</v>
          </cell>
          <cell r="K642">
            <v>3971</v>
          </cell>
          <cell r="L642">
            <v>6233</v>
          </cell>
          <cell r="M642"/>
          <cell r="N642">
            <v>787</v>
          </cell>
          <cell r="O642">
            <v>0</v>
          </cell>
          <cell r="P642">
            <v>0</v>
          </cell>
          <cell r="Q642">
            <v>431</v>
          </cell>
          <cell r="R642"/>
          <cell r="S642">
            <v>9370</v>
          </cell>
          <cell r="T642">
            <v>2046</v>
          </cell>
          <cell r="U642">
            <v>11416</v>
          </cell>
        </row>
        <row r="643">
          <cell r="A643">
            <v>97015</v>
          </cell>
          <cell r="B643" t="str">
            <v>PASQUOTANK-CAMDEN LIBRARY</v>
          </cell>
          <cell r="C643">
            <v>4.1499999999999999E-5</v>
          </cell>
          <cell r="D643">
            <v>5.3699999999999997E-5</v>
          </cell>
          <cell r="E643">
            <v>23036</v>
          </cell>
          <cell r="F643">
            <v>113969</v>
          </cell>
          <cell r="G643">
            <v>63401</v>
          </cell>
          <cell r="H643"/>
          <cell r="I643">
            <v>3652</v>
          </cell>
          <cell r="J643">
            <v>15394</v>
          </cell>
          <cell r="K643">
            <v>9054</v>
          </cell>
          <cell r="L643">
            <v>4608</v>
          </cell>
          <cell r="M643"/>
          <cell r="N643">
            <v>1795</v>
          </cell>
          <cell r="O643">
            <v>0</v>
          </cell>
          <cell r="P643">
            <v>0</v>
          </cell>
          <cell r="Q643">
            <v>5783</v>
          </cell>
          <cell r="R643"/>
          <cell r="S643">
            <v>21366</v>
          </cell>
          <cell r="T643">
            <v>26</v>
          </cell>
          <cell r="U643">
            <v>21392</v>
          </cell>
        </row>
        <row r="644">
          <cell r="A644">
            <v>97018</v>
          </cell>
          <cell r="B644" t="str">
            <v>ELIZABETH CTY-PASQUOTANK CO INDUSTRL DEVELOPMENT C</v>
          </cell>
          <cell r="C644">
            <v>8.6000000000000007E-6</v>
          </cell>
          <cell r="D644">
            <v>9.3999999999999998E-6</v>
          </cell>
          <cell r="E644">
            <v>8135</v>
          </cell>
          <cell r="F644">
            <v>19950</v>
          </cell>
          <cell r="G644">
            <v>13138</v>
          </cell>
          <cell r="H644"/>
          <cell r="I644">
            <v>757</v>
          </cell>
          <cell r="J644">
            <v>3190</v>
          </cell>
          <cell r="K644">
            <v>1876</v>
          </cell>
          <cell r="L644">
            <v>6833</v>
          </cell>
          <cell r="M644"/>
          <cell r="N644">
            <v>372</v>
          </cell>
          <cell r="O644">
            <v>0</v>
          </cell>
          <cell r="P644">
            <v>0</v>
          </cell>
          <cell r="Q644">
            <v>0</v>
          </cell>
          <cell r="R644"/>
          <cell r="S644">
            <v>4428</v>
          </cell>
          <cell r="T644">
            <v>2806</v>
          </cell>
          <cell r="U644">
            <v>7234</v>
          </cell>
        </row>
        <row r="645">
          <cell r="A645">
            <v>97101</v>
          </cell>
          <cell r="B645" t="str">
            <v>PENDER COUNTY</v>
          </cell>
          <cell r="C645">
            <v>2.5790000000000001E-3</v>
          </cell>
          <cell r="D645">
            <v>2.6029E-3</v>
          </cell>
          <cell r="E645">
            <v>1208500</v>
          </cell>
          <cell r="F645">
            <v>5524226</v>
          </cell>
          <cell r="G645">
            <v>3939998</v>
          </cell>
          <cell r="H645"/>
          <cell r="I645">
            <v>226980</v>
          </cell>
          <cell r="J645">
            <v>956636</v>
          </cell>
          <cell r="K645">
            <v>562686</v>
          </cell>
          <cell r="L645">
            <v>22549</v>
          </cell>
          <cell r="M645"/>
          <cell r="N645">
            <v>111529</v>
          </cell>
          <cell r="O645">
            <v>0</v>
          </cell>
          <cell r="P645">
            <v>0</v>
          </cell>
          <cell r="Q645">
            <v>6937</v>
          </cell>
          <cell r="R645"/>
          <cell r="S645">
            <v>1327783</v>
          </cell>
          <cell r="T645">
            <v>3541</v>
          </cell>
          <cell r="U645">
            <v>1331324</v>
          </cell>
        </row>
        <row r="646">
          <cell r="A646">
            <v>97104</v>
          </cell>
          <cell r="B646" t="str">
            <v>PENDER COUNTY ABC BOARD</v>
          </cell>
          <cell r="C646">
            <v>5.4299999999999998E-5</v>
          </cell>
          <cell r="D646">
            <v>5.6799999999999998E-5</v>
          </cell>
          <cell r="E646">
            <v>29147</v>
          </cell>
          <cell r="F646">
            <v>120549</v>
          </cell>
          <cell r="G646">
            <v>82955</v>
          </cell>
          <cell r="H646"/>
          <cell r="I646">
            <v>4779</v>
          </cell>
          <cell r="J646">
            <v>20142</v>
          </cell>
          <cell r="K646">
            <v>11847</v>
          </cell>
          <cell r="L646">
            <v>11700</v>
          </cell>
          <cell r="M646"/>
          <cell r="N646">
            <v>2348</v>
          </cell>
          <cell r="O646">
            <v>0</v>
          </cell>
          <cell r="P646">
            <v>0</v>
          </cell>
          <cell r="Q646">
            <v>0</v>
          </cell>
          <cell r="R646"/>
          <cell r="S646">
            <v>27956</v>
          </cell>
          <cell r="T646">
            <v>6133</v>
          </cell>
          <cell r="U646">
            <v>34089</v>
          </cell>
        </row>
        <row r="647">
          <cell r="A647">
            <v>97111</v>
          </cell>
          <cell r="B647" t="str">
            <v>TOWN OF BURGAW</v>
          </cell>
          <cell r="C647">
            <v>2.8200000000000002E-4</v>
          </cell>
          <cell r="D647">
            <v>2.7099999999999997E-4</v>
          </cell>
          <cell r="E647">
            <v>108871</v>
          </cell>
          <cell r="F647">
            <v>575153</v>
          </cell>
          <cell r="G647">
            <v>430818</v>
          </cell>
          <cell r="H647"/>
          <cell r="I647">
            <v>24819</v>
          </cell>
          <cell r="J647">
            <v>104603</v>
          </cell>
          <cell r="K647">
            <v>61527</v>
          </cell>
          <cell r="L647">
            <v>7621</v>
          </cell>
          <cell r="M647"/>
          <cell r="N647">
            <v>12195</v>
          </cell>
          <cell r="O647">
            <v>0</v>
          </cell>
          <cell r="P647">
            <v>0</v>
          </cell>
          <cell r="Q647">
            <v>20335</v>
          </cell>
          <cell r="R647"/>
          <cell r="S647">
            <v>145186</v>
          </cell>
          <cell r="T647">
            <v>-1416</v>
          </cell>
          <cell r="U647">
            <v>143770</v>
          </cell>
        </row>
        <row r="648">
          <cell r="A648">
            <v>97121</v>
          </cell>
          <cell r="B648" t="str">
            <v>TOWN OF TOPSAIL BEACH</v>
          </cell>
          <cell r="C648">
            <v>1.3640000000000001E-4</v>
          </cell>
          <cell r="D648">
            <v>1.2070000000000001E-4</v>
          </cell>
          <cell r="E648">
            <v>66522</v>
          </cell>
          <cell r="F648">
            <v>256166</v>
          </cell>
          <cell r="G648">
            <v>208381</v>
          </cell>
          <cell r="H648"/>
          <cell r="I648">
            <v>12005</v>
          </cell>
          <cell r="J648">
            <v>50595</v>
          </cell>
          <cell r="K648">
            <v>29760</v>
          </cell>
          <cell r="L648">
            <v>13649</v>
          </cell>
          <cell r="M648"/>
          <cell r="N648">
            <v>5899</v>
          </cell>
          <cell r="O648">
            <v>0</v>
          </cell>
          <cell r="P648">
            <v>0</v>
          </cell>
          <cell r="Q648">
            <v>10026</v>
          </cell>
          <cell r="R648"/>
          <cell r="S648">
            <v>70225</v>
          </cell>
          <cell r="T648">
            <v>-1103</v>
          </cell>
          <cell r="U648">
            <v>69122</v>
          </cell>
        </row>
        <row r="649">
          <cell r="A649">
            <v>97131</v>
          </cell>
          <cell r="B649" t="str">
            <v>TOWN OF SURF CITY</v>
          </cell>
          <cell r="C649">
            <v>7.358E-4</v>
          </cell>
          <cell r="D649">
            <v>6.2969999999999996E-4</v>
          </cell>
          <cell r="E649">
            <v>280483</v>
          </cell>
          <cell r="F649">
            <v>1336434</v>
          </cell>
          <cell r="G649">
            <v>1124099</v>
          </cell>
          <cell r="H649"/>
          <cell r="I649">
            <v>64758</v>
          </cell>
          <cell r="J649">
            <v>272933</v>
          </cell>
          <cell r="K649">
            <v>160537</v>
          </cell>
          <cell r="L649">
            <v>29703</v>
          </cell>
          <cell r="M649"/>
          <cell r="N649">
            <v>31820</v>
          </cell>
          <cell r="O649">
            <v>0</v>
          </cell>
          <cell r="P649">
            <v>0</v>
          </cell>
          <cell r="Q649">
            <v>2383</v>
          </cell>
          <cell r="R649"/>
          <cell r="S649">
            <v>378822</v>
          </cell>
          <cell r="T649">
            <v>7857</v>
          </cell>
          <cell r="U649">
            <v>386679</v>
          </cell>
        </row>
        <row r="650">
          <cell r="A650">
            <v>97201</v>
          </cell>
          <cell r="B650" t="str">
            <v>PERQUIMANS COUNTY</v>
          </cell>
          <cell r="C650">
            <v>5.2689999999999996E-4</v>
          </cell>
          <cell r="D650">
            <v>4.9439999999999998E-4</v>
          </cell>
          <cell r="E650">
            <v>248232</v>
          </cell>
          <cell r="F650">
            <v>1049282</v>
          </cell>
          <cell r="G650">
            <v>804957</v>
          </cell>
          <cell r="H650"/>
          <cell r="I650">
            <v>46373</v>
          </cell>
          <cell r="J650">
            <v>195445</v>
          </cell>
          <cell r="K650">
            <v>114959</v>
          </cell>
          <cell r="L650">
            <v>43529</v>
          </cell>
          <cell r="M650"/>
          <cell r="N650">
            <v>22786</v>
          </cell>
          <cell r="O650">
            <v>0</v>
          </cell>
          <cell r="P650">
            <v>0</v>
          </cell>
          <cell r="Q650">
            <v>1877</v>
          </cell>
          <cell r="R650"/>
          <cell r="S650">
            <v>271271</v>
          </cell>
          <cell r="T650">
            <v>10950</v>
          </cell>
          <cell r="U650">
            <v>282221</v>
          </cell>
        </row>
        <row r="651">
          <cell r="A651">
            <v>97211</v>
          </cell>
          <cell r="B651" t="str">
            <v>TOWN OF HERTFORD</v>
          </cell>
          <cell r="C651">
            <v>1.5980000000000001E-4</v>
          </cell>
          <cell r="D651">
            <v>1.4119999999999999E-4</v>
          </cell>
          <cell r="E651">
            <v>74902</v>
          </cell>
          <cell r="F651">
            <v>299674</v>
          </cell>
          <cell r="G651">
            <v>244130</v>
          </cell>
          <cell r="H651"/>
          <cell r="I651">
            <v>14064</v>
          </cell>
          <cell r="J651">
            <v>59275</v>
          </cell>
          <cell r="K651">
            <v>34865</v>
          </cell>
          <cell r="L651">
            <v>16009</v>
          </cell>
          <cell r="M651"/>
          <cell r="N651">
            <v>6911</v>
          </cell>
          <cell r="O651">
            <v>0</v>
          </cell>
          <cell r="P651">
            <v>0</v>
          </cell>
          <cell r="Q651">
            <v>12120</v>
          </cell>
          <cell r="R651"/>
          <cell r="S651">
            <v>82272</v>
          </cell>
          <cell r="T651">
            <v>347</v>
          </cell>
          <cell r="U651">
            <v>82619</v>
          </cell>
        </row>
        <row r="652">
          <cell r="A652">
            <v>97213</v>
          </cell>
          <cell r="B652" t="str">
            <v>HERTFORD HOUSING AUTH</v>
          </cell>
          <cell r="C652">
            <v>3.9100000000000002E-5</v>
          </cell>
          <cell r="D652">
            <v>3.8300000000000003E-5</v>
          </cell>
          <cell r="E652">
            <v>24680</v>
          </cell>
          <cell r="F652">
            <v>81285</v>
          </cell>
          <cell r="G652">
            <v>59734</v>
          </cell>
          <cell r="H652"/>
          <cell r="I652">
            <v>3441</v>
          </cell>
          <cell r="J652">
            <v>14504</v>
          </cell>
          <cell r="K652">
            <v>8531</v>
          </cell>
          <cell r="L652">
            <v>6715</v>
          </cell>
          <cell r="M652"/>
          <cell r="N652">
            <v>1691</v>
          </cell>
          <cell r="O652">
            <v>0</v>
          </cell>
          <cell r="P652">
            <v>0</v>
          </cell>
          <cell r="Q652">
            <v>495</v>
          </cell>
          <cell r="R652"/>
          <cell r="S652">
            <v>20130</v>
          </cell>
          <cell r="T652">
            <v>2057</v>
          </cell>
          <cell r="U652">
            <v>22187</v>
          </cell>
        </row>
        <row r="653">
          <cell r="A653">
            <v>97217</v>
          </cell>
          <cell r="B653" t="str">
            <v>TOWN OF HERTFORD ABC BOARD</v>
          </cell>
          <cell r="C653">
            <v>4.6E-6</v>
          </cell>
          <cell r="D653">
            <v>4.8999999999999997E-6</v>
          </cell>
          <cell r="E653">
            <v>6890</v>
          </cell>
          <cell r="F653">
            <v>10399</v>
          </cell>
          <cell r="G653">
            <v>7028</v>
          </cell>
          <cell r="H653"/>
          <cell r="I653">
            <v>405</v>
          </cell>
          <cell r="J653">
            <v>1706</v>
          </cell>
          <cell r="K653">
            <v>1004</v>
          </cell>
          <cell r="L653">
            <v>8215</v>
          </cell>
          <cell r="M653"/>
          <cell r="N653">
            <v>199</v>
          </cell>
          <cell r="O653">
            <v>0</v>
          </cell>
          <cell r="P653">
            <v>0</v>
          </cell>
          <cell r="Q653">
            <v>0</v>
          </cell>
          <cell r="R653"/>
          <cell r="S653">
            <v>2368</v>
          </cell>
          <cell r="T653">
            <v>3286</v>
          </cell>
          <cell r="U653">
            <v>5654</v>
          </cell>
        </row>
        <row r="654">
          <cell r="A654">
            <v>97221</v>
          </cell>
          <cell r="B654" t="str">
            <v>TOWN OF WINFALL</v>
          </cell>
          <cell r="C654">
            <v>7.1999999999999997E-6</v>
          </cell>
          <cell r="D654">
            <v>6.1999999999999999E-6</v>
          </cell>
          <cell r="E654">
            <v>7778</v>
          </cell>
          <cell r="F654">
            <v>13158</v>
          </cell>
          <cell r="G654">
            <v>11000</v>
          </cell>
          <cell r="H654"/>
          <cell r="I654">
            <v>634</v>
          </cell>
          <cell r="J654">
            <v>2670</v>
          </cell>
          <cell r="K654">
            <v>1571</v>
          </cell>
          <cell r="L654">
            <v>8086</v>
          </cell>
          <cell r="M654"/>
          <cell r="N654">
            <v>311</v>
          </cell>
          <cell r="O654">
            <v>0</v>
          </cell>
          <cell r="P654">
            <v>0</v>
          </cell>
          <cell r="Q654">
            <v>0</v>
          </cell>
          <cell r="R654"/>
          <cell r="S654">
            <v>3707</v>
          </cell>
          <cell r="T654">
            <v>3119</v>
          </cell>
          <cell r="U654">
            <v>6826</v>
          </cell>
        </row>
        <row r="655">
          <cell r="A655">
            <v>97301</v>
          </cell>
          <cell r="B655" t="str">
            <v>PERSON COUNTY</v>
          </cell>
          <cell r="C655">
            <v>2.5135999999999999E-3</v>
          </cell>
          <cell r="D655">
            <v>2.5742E-3</v>
          </cell>
          <cell r="E655">
            <v>1186932</v>
          </cell>
          <cell r="F655">
            <v>5463315</v>
          </cell>
          <cell r="G655">
            <v>3840085</v>
          </cell>
          <cell r="H655"/>
          <cell r="I655">
            <v>221224</v>
          </cell>
          <cell r="J655">
            <v>932377</v>
          </cell>
          <cell r="K655">
            <v>548417</v>
          </cell>
          <cell r="L655">
            <v>23710</v>
          </cell>
          <cell r="M655"/>
          <cell r="N655">
            <v>108701</v>
          </cell>
          <cell r="O655">
            <v>0</v>
          </cell>
          <cell r="P655">
            <v>0</v>
          </cell>
          <cell r="Q655">
            <v>56463</v>
          </cell>
          <cell r="R655"/>
          <cell r="S655">
            <v>1294112</v>
          </cell>
          <cell r="T655">
            <v>-10667</v>
          </cell>
          <cell r="U655">
            <v>1283445</v>
          </cell>
        </row>
        <row r="656">
          <cell r="A656">
            <v>97304</v>
          </cell>
          <cell r="B656" t="str">
            <v>PERSON CO ABC BD</v>
          </cell>
          <cell r="C656">
            <v>1.6799999999999998E-5</v>
          </cell>
          <cell r="D656">
            <v>1.7600000000000001E-5</v>
          </cell>
          <cell r="E656">
            <v>13382</v>
          </cell>
          <cell r="F656">
            <v>37353</v>
          </cell>
          <cell r="G656">
            <v>25666</v>
          </cell>
          <cell r="H656"/>
          <cell r="I656">
            <v>1479</v>
          </cell>
          <cell r="J656">
            <v>6232</v>
          </cell>
          <cell r="K656">
            <v>3665</v>
          </cell>
          <cell r="L656">
            <v>8739</v>
          </cell>
          <cell r="M656"/>
          <cell r="N656">
            <v>727</v>
          </cell>
          <cell r="O656">
            <v>0</v>
          </cell>
          <cell r="P656">
            <v>0</v>
          </cell>
          <cell r="Q656">
            <v>0</v>
          </cell>
          <cell r="R656"/>
          <cell r="S656">
            <v>8649</v>
          </cell>
          <cell r="T656">
            <v>3503</v>
          </cell>
          <cell r="U656">
            <v>12152</v>
          </cell>
        </row>
        <row r="657">
          <cell r="A657">
            <v>97311</v>
          </cell>
          <cell r="B657" t="str">
            <v>CITY OF ROXBORO</v>
          </cell>
          <cell r="C657">
            <v>9.1799999999999998E-4</v>
          </cell>
          <cell r="D657">
            <v>9.5E-4</v>
          </cell>
          <cell r="E657">
            <v>407124</v>
          </cell>
          <cell r="F657">
            <v>2016218</v>
          </cell>
          <cell r="G657">
            <v>1402450</v>
          </cell>
          <cell r="H657"/>
          <cell r="I657">
            <v>80794</v>
          </cell>
          <cell r="J657">
            <v>340516</v>
          </cell>
          <cell r="K657">
            <v>200289</v>
          </cell>
          <cell r="L657">
            <v>0</v>
          </cell>
          <cell r="M657"/>
          <cell r="N657">
            <v>39699</v>
          </cell>
          <cell r="O657">
            <v>0</v>
          </cell>
          <cell r="P657">
            <v>0</v>
          </cell>
          <cell r="Q657">
            <v>96844</v>
          </cell>
          <cell r="R657"/>
          <cell r="S657">
            <v>472627</v>
          </cell>
          <cell r="T657">
            <v>-42048</v>
          </cell>
          <cell r="U657">
            <v>430579</v>
          </cell>
        </row>
        <row r="658">
          <cell r="A658">
            <v>97401</v>
          </cell>
          <cell r="B658" t="str">
            <v>PITT COUNTY</v>
          </cell>
          <cell r="C658">
            <v>7.1303E-3</v>
          </cell>
          <cell r="D658">
            <v>6.9633000000000004E-3</v>
          </cell>
          <cell r="E658">
            <v>3322669</v>
          </cell>
          <cell r="F658">
            <v>14778455</v>
          </cell>
          <cell r="G658">
            <v>10893123</v>
          </cell>
          <cell r="H658"/>
          <cell r="I658">
            <v>627545</v>
          </cell>
          <cell r="J658">
            <v>2644864</v>
          </cell>
          <cell r="K658">
            <v>1555689</v>
          </cell>
          <cell r="L658">
            <v>151378</v>
          </cell>
          <cell r="M658"/>
          <cell r="N658">
            <v>308350</v>
          </cell>
          <cell r="O658">
            <v>0</v>
          </cell>
          <cell r="P658">
            <v>0</v>
          </cell>
          <cell r="Q658">
            <v>83194</v>
          </cell>
          <cell r="R658"/>
          <cell r="S658">
            <v>3670992</v>
          </cell>
          <cell r="T658">
            <v>-21617</v>
          </cell>
          <cell r="U658">
            <v>3649375</v>
          </cell>
        </row>
        <row r="659">
          <cell r="A659">
            <v>97402</v>
          </cell>
          <cell r="B659" t="str">
            <v>PITT-GREENVILLE CONV &amp; VISTORS</v>
          </cell>
          <cell r="C659">
            <v>4.8000000000000001E-5</v>
          </cell>
          <cell r="D659">
            <v>4.4700000000000002E-5</v>
          </cell>
          <cell r="E659">
            <v>25207</v>
          </cell>
          <cell r="F659">
            <v>94868</v>
          </cell>
          <cell r="G659">
            <v>73331</v>
          </cell>
          <cell r="H659"/>
          <cell r="I659">
            <v>4225</v>
          </cell>
          <cell r="J659">
            <v>17804</v>
          </cell>
          <cell r="K659">
            <v>10473</v>
          </cell>
          <cell r="L659">
            <v>15704</v>
          </cell>
          <cell r="M659"/>
          <cell r="N659">
            <v>2076</v>
          </cell>
          <cell r="O659">
            <v>0</v>
          </cell>
          <cell r="P659">
            <v>0</v>
          </cell>
          <cell r="Q659">
            <v>0</v>
          </cell>
          <cell r="R659"/>
          <cell r="S659">
            <v>24713</v>
          </cell>
          <cell r="T659">
            <v>5283</v>
          </cell>
          <cell r="U659">
            <v>29996</v>
          </cell>
        </row>
        <row r="660">
          <cell r="A660">
            <v>97404</v>
          </cell>
          <cell r="B660" t="str">
            <v>PITT COUNTY ABC BOARD</v>
          </cell>
          <cell r="C660">
            <v>2.1010000000000001E-4</v>
          </cell>
          <cell r="D660">
            <v>2.1049999999999999E-4</v>
          </cell>
          <cell r="E660">
            <v>84649</v>
          </cell>
          <cell r="F660">
            <v>446752</v>
          </cell>
          <cell r="G660">
            <v>320975</v>
          </cell>
          <cell r="H660"/>
          <cell r="I660">
            <v>18491</v>
          </cell>
          <cell r="J660">
            <v>77933</v>
          </cell>
          <cell r="K660">
            <v>45840</v>
          </cell>
          <cell r="L660">
            <v>983</v>
          </cell>
          <cell r="M660"/>
          <cell r="N660">
            <v>9086</v>
          </cell>
          <cell r="O660">
            <v>0</v>
          </cell>
          <cell r="P660">
            <v>0</v>
          </cell>
          <cell r="Q660">
            <v>21173</v>
          </cell>
          <cell r="R660"/>
          <cell r="S660">
            <v>108169</v>
          </cell>
          <cell r="T660">
            <v>-6084</v>
          </cell>
          <cell r="U660">
            <v>102085</v>
          </cell>
        </row>
        <row r="661">
          <cell r="A661">
            <v>97405</v>
          </cell>
          <cell r="B661" t="str">
            <v>SHEPPARD MEMORIAL LIBRARY</v>
          </cell>
          <cell r="C661">
            <v>1.091E-4</v>
          </cell>
          <cell r="D661">
            <v>1.087E-4</v>
          </cell>
          <cell r="E661">
            <v>65706</v>
          </cell>
          <cell r="F661">
            <v>230698</v>
          </cell>
          <cell r="G661">
            <v>166675</v>
          </cell>
          <cell r="H661"/>
          <cell r="I661">
            <v>9602</v>
          </cell>
          <cell r="J661">
            <v>40468</v>
          </cell>
          <cell r="K661">
            <v>23803</v>
          </cell>
          <cell r="L661">
            <v>26973</v>
          </cell>
          <cell r="M661"/>
          <cell r="N661">
            <v>4718</v>
          </cell>
          <cell r="O661">
            <v>0</v>
          </cell>
          <cell r="P661">
            <v>0</v>
          </cell>
          <cell r="Q661">
            <v>4890</v>
          </cell>
          <cell r="R661"/>
          <cell r="S661">
            <v>56169</v>
          </cell>
          <cell r="T661">
            <v>4747</v>
          </cell>
          <cell r="U661">
            <v>60916</v>
          </cell>
        </row>
        <row r="662">
          <cell r="A662">
            <v>97408</v>
          </cell>
          <cell r="B662" t="str">
            <v>CONTENNEA METROPOLITAN SEWERAGE DIST</v>
          </cell>
          <cell r="C662">
            <v>4.4499999999999997E-5</v>
          </cell>
          <cell r="D662">
            <v>4.9299999999999999E-5</v>
          </cell>
          <cell r="E662">
            <v>27499</v>
          </cell>
          <cell r="F662">
            <v>104631</v>
          </cell>
          <cell r="G662">
            <v>67984</v>
          </cell>
          <cell r="H662"/>
          <cell r="I662">
            <v>3916</v>
          </cell>
          <cell r="J662">
            <v>16507</v>
          </cell>
          <cell r="K662">
            <v>9709</v>
          </cell>
          <cell r="L662">
            <v>7648</v>
          </cell>
          <cell r="M662"/>
          <cell r="N662">
            <v>1924</v>
          </cell>
          <cell r="O662">
            <v>0</v>
          </cell>
          <cell r="P662">
            <v>0</v>
          </cell>
          <cell r="Q662">
            <v>0</v>
          </cell>
          <cell r="R662"/>
          <cell r="S662">
            <v>22911</v>
          </cell>
          <cell r="T662">
            <v>2984</v>
          </cell>
          <cell r="U662">
            <v>25895</v>
          </cell>
        </row>
        <row r="663">
          <cell r="A663">
            <v>97411</v>
          </cell>
          <cell r="B663" t="str">
            <v>CITY OF GREENVILLE</v>
          </cell>
          <cell r="C663">
            <v>6.6379000000000004E-3</v>
          </cell>
          <cell r="D663">
            <v>6.7269000000000001E-3</v>
          </cell>
          <cell r="E663">
            <v>2979173</v>
          </cell>
          <cell r="F663">
            <v>14276735</v>
          </cell>
          <cell r="G663">
            <v>10140873</v>
          </cell>
          <cell r="H663"/>
          <cell r="I663">
            <v>584208</v>
          </cell>
          <cell r="J663">
            <v>2462217</v>
          </cell>
          <cell r="K663">
            <v>1448257</v>
          </cell>
          <cell r="L663">
            <v>0</v>
          </cell>
          <cell r="M663"/>
          <cell r="N663">
            <v>287056</v>
          </cell>
          <cell r="O663">
            <v>0</v>
          </cell>
          <cell r="P663">
            <v>0</v>
          </cell>
          <cell r="Q663">
            <v>679489</v>
          </cell>
          <cell r="R663"/>
          <cell r="S663">
            <v>3417483</v>
          </cell>
          <cell r="T663">
            <v>-317873</v>
          </cell>
          <cell r="U663">
            <v>3099610</v>
          </cell>
        </row>
        <row r="664">
          <cell r="A664">
            <v>97412</v>
          </cell>
          <cell r="B664" t="str">
            <v>GREENVILLE UTILITIES COMMISSION</v>
          </cell>
          <cell r="C664">
            <v>4.5082000000000004E-3</v>
          </cell>
          <cell r="D664">
            <v>4.424E-3</v>
          </cell>
          <cell r="E664">
            <v>2155644</v>
          </cell>
          <cell r="F664">
            <v>9389210</v>
          </cell>
          <cell r="G664">
            <v>6887281</v>
          </cell>
          <cell r="H664"/>
          <cell r="I664">
            <v>396771</v>
          </cell>
          <cell r="J664">
            <v>1672240</v>
          </cell>
          <cell r="K664">
            <v>983599</v>
          </cell>
          <cell r="L664">
            <v>229685</v>
          </cell>
          <cell r="M664"/>
          <cell r="N664">
            <v>194957</v>
          </cell>
          <cell r="O664">
            <v>0</v>
          </cell>
          <cell r="P664">
            <v>0</v>
          </cell>
          <cell r="Q664">
            <v>0</v>
          </cell>
          <cell r="R664"/>
          <cell r="S664">
            <v>2321020</v>
          </cell>
          <cell r="T664">
            <v>85525</v>
          </cell>
          <cell r="U664">
            <v>2406545</v>
          </cell>
        </row>
        <row r="665">
          <cell r="A665">
            <v>97413</v>
          </cell>
          <cell r="B665" t="str">
            <v>GREENVILLE HOUSING AUTHORITY</v>
          </cell>
          <cell r="C665">
            <v>2.6570000000000001E-4</v>
          </cell>
          <cell r="D665">
            <v>2.7910000000000001E-4</v>
          </cell>
          <cell r="E665">
            <v>140809</v>
          </cell>
          <cell r="F665">
            <v>592344</v>
          </cell>
          <cell r="G665">
            <v>405916</v>
          </cell>
          <cell r="H665"/>
          <cell r="I665">
            <v>23385</v>
          </cell>
          <cell r="J665">
            <v>98557</v>
          </cell>
          <cell r="K665">
            <v>57970</v>
          </cell>
          <cell r="L665">
            <v>7437</v>
          </cell>
          <cell r="M665"/>
          <cell r="N665">
            <v>11490</v>
          </cell>
          <cell r="O665">
            <v>0</v>
          </cell>
          <cell r="P665">
            <v>0</v>
          </cell>
          <cell r="Q665">
            <v>5304</v>
          </cell>
          <cell r="R665"/>
          <cell r="S665">
            <v>136794</v>
          </cell>
          <cell r="T665">
            <v>-2913</v>
          </cell>
          <cell r="U665">
            <v>133881</v>
          </cell>
        </row>
        <row r="666">
          <cell r="A666">
            <v>97421</v>
          </cell>
          <cell r="B666" t="str">
            <v>TOWN OF FARMVILLE</v>
          </cell>
          <cell r="C666">
            <v>4.2890000000000002E-4</v>
          </cell>
          <cell r="D666">
            <v>4.1120000000000002E-4</v>
          </cell>
          <cell r="E666">
            <v>192261</v>
          </cell>
          <cell r="F666">
            <v>872704</v>
          </cell>
          <cell r="G666">
            <v>655240</v>
          </cell>
          <cell r="H666"/>
          <cell r="I666">
            <v>37748</v>
          </cell>
          <cell r="J666">
            <v>159093</v>
          </cell>
          <cell r="K666">
            <v>93577</v>
          </cell>
          <cell r="L666">
            <v>8155</v>
          </cell>
          <cell r="M666"/>
          <cell r="N666">
            <v>18548</v>
          </cell>
          <cell r="O666">
            <v>0</v>
          </cell>
          <cell r="P666">
            <v>0</v>
          </cell>
          <cell r="Q666">
            <v>24127</v>
          </cell>
          <cell r="R666"/>
          <cell r="S666">
            <v>220817</v>
          </cell>
          <cell r="T666">
            <v>-14066</v>
          </cell>
          <cell r="U666">
            <v>206751</v>
          </cell>
        </row>
        <row r="667">
          <cell r="A667">
            <v>97423</v>
          </cell>
          <cell r="B667" t="str">
            <v>FARMVILLE HOUSING AUTHORITY</v>
          </cell>
          <cell r="C667">
            <v>4.3600000000000003E-5</v>
          </cell>
          <cell r="D667">
            <v>4.5800000000000002E-5</v>
          </cell>
          <cell r="E667">
            <v>42976</v>
          </cell>
          <cell r="F667">
            <v>97203</v>
          </cell>
          <cell r="G667">
            <v>66609</v>
          </cell>
          <cell r="H667"/>
          <cell r="I667">
            <v>3837</v>
          </cell>
          <cell r="J667">
            <v>16173</v>
          </cell>
          <cell r="K667">
            <v>9513</v>
          </cell>
          <cell r="L667">
            <v>35421</v>
          </cell>
          <cell r="M667"/>
          <cell r="N667">
            <v>1885</v>
          </cell>
          <cell r="O667">
            <v>0</v>
          </cell>
          <cell r="P667">
            <v>0</v>
          </cell>
          <cell r="Q667">
            <v>0</v>
          </cell>
          <cell r="R667"/>
          <cell r="S667">
            <v>22447</v>
          </cell>
          <cell r="T667">
            <v>12225</v>
          </cell>
          <cell r="U667">
            <v>34672</v>
          </cell>
        </row>
        <row r="668">
          <cell r="A668">
            <v>97431</v>
          </cell>
          <cell r="B668" t="str">
            <v>TOWN OF GRIFTON</v>
          </cell>
          <cell r="C668">
            <v>8.5599999999999994E-5</v>
          </cell>
          <cell r="D668">
            <v>8.5199999999999997E-5</v>
          </cell>
          <cell r="E668">
            <v>44546</v>
          </cell>
          <cell r="F668">
            <v>180823</v>
          </cell>
          <cell r="G668">
            <v>130773</v>
          </cell>
          <cell r="H668"/>
          <cell r="I668">
            <v>7534</v>
          </cell>
          <cell r="J668">
            <v>31751</v>
          </cell>
          <cell r="K668">
            <v>18676</v>
          </cell>
          <cell r="L668">
            <v>6440</v>
          </cell>
          <cell r="M668"/>
          <cell r="N668">
            <v>3702</v>
          </cell>
          <cell r="O668">
            <v>0</v>
          </cell>
          <cell r="P668">
            <v>0</v>
          </cell>
          <cell r="Q668">
            <v>0</v>
          </cell>
          <cell r="R668"/>
          <cell r="S668">
            <v>44071</v>
          </cell>
          <cell r="T668">
            <v>2026</v>
          </cell>
          <cell r="U668">
            <v>46097</v>
          </cell>
        </row>
        <row r="669">
          <cell r="A669">
            <v>97441</v>
          </cell>
          <cell r="B669" t="str">
            <v>TOWN OF BETHEL</v>
          </cell>
          <cell r="C669">
            <v>7.5799999999999999E-5</v>
          </cell>
          <cell r="D669">
            <v>7.0500000000000006E-5</v>
          </cell>
          <cell r="E669">
            <v>25244</v>
          </cell>
          <cell r="F669">
            <v>149625</v>
          </cell>
          <cell r="G669">
            <v>115801</v>
          </cell>
          <cell r="H669"/>
          <cell r="I669">
            <v>6671</v>
          </cell>
          <cell r="J669">
            <v>28117</v>
          </cell>
          <cell r="K669">
            <v>16538</v>
          </cell>
          <cell r="L669">
            <v>202</v>
          </cell>
          <cell r="M669"/>
          <cell r="N669">
            <v>3278</v>
          </cell>
          <cell r="O669">
            <v>0</v>
          </cell>
          <cell r="P669">
            <v>0</v>
          </cell>
          <cell r="Q669">
            <v>7671</v>
          </cell>
          <cell r="R669"/>
          <cell r="S669">
            <v>39025</v>
          </cell>
          <cell r="T669">
            <v>-2235</v>
          </cell>
          <cell r="U669">
            <v>36790</v>
          </cell>
        </row>
        <row r="670">
          <cell r="A670">
            <v>97451</v>
          </cell>
          <cell r="B670" t="str">
            <v>TOWN OF WINTERVILLE</v>
          </cell>
          <cell r="C670">
            <v>5.5820000000000002E-4</v>
          </cell>
          <cell r="D670">
            <v>6.1039999999999998E-4</v>
          </cell>
          <cell r="E670">
            <v>245214</v>
          </cell>
          <cell r="F670">
            <v>1295473</v>
          </cell>
          <cell r="G670">
            <v>852775</v>
          </cell>
          <cell r="H670"/>
          <cell r="I670">
            <v>49128</v>
          </cell>
          <cell r="J670">
            <v>207055</v>
          </cell>
          <cell r="K670">
            <v>121788</v>
          </cell>
          <cell r="L670">
            <v>19770</v>
          </cell>
          <cell r="M670"/>
          <cell r="N670">
            <v>24139</v>
          </cell>
          <cell r="O670">
            <v>0</v>
          </cell>
          <cell r="P670">
            <v>0</v>
          </cell>
          <cell r="Q670">
            <v>47630</v>
          </cell>
          <cell r="R670"/>
          <cell r="S670">
            <v>287386</v>
          </cell>
          <cell r="T670">
            <v>-2772</v>
          </cell>
          <cell r="U670">
            <v>284614</v>
          </cell>
        </row>
        <row r="671">
          <cell r="A671">
            <v>97461</v>
          </cell>
          <cell r="B671" t="str">
            <v>TOWN OF AYDEN</v>
          </cell>
          <cell r="C671">
            <v>5.5650000000000003E-4</v>
          </cell>
          <cell r="D671">
            <v>5.1869999999999998E-4</v>
          </cell>
          <cell r="E671">
            <v>228350</v>
          </cell>
          <cell r="F671">
            <v>1100855</v>
          </cell>
          <cell r="G671">
            <v>850178</v>
          </cell>
          <cell r="H671"/>
          <cell r="I671">
            <v>48978</v>
          </cell>
          <cell r="J671">
            <v>206424</v>
          </cell>
          <cell r="K671">
            <v>121417</v>
          </cell>
          <cell r="L671">
            <v>5855</v>
          </cell>
          <cell r="M671"/>
          <cell r="N671">
            <v>24066</v>
          </cell>
          <cell r="O671">
            <v>0</v>
          </cell>
          <cell r="P671">
            <v>0</v>
          </cell>
          <cell r="Q671">
            <v>31609</v>
          </cell>
          <cell r="R671"/>
          <cell r="S671">
            <v>286511</v>
          </cell>
          <cell r="T671">
            <v>-11321</v>
          </cell>
          <cell r="U671">
            <v>275190</v>
          </cell>
        </row>
        <row r="672">
          <cell r="A672">
            <v>97463</v>
          </cell>
          <cell r="B672" t="str">
            <v>AYDEN HOUSING AUTHORITY</v>
          </cell>
          <cell r="C672">
            <v>4.1100000000000003E-5</v>
          </cell>
          <cell r="D672">
            <v>5.0099999999999998E-5</v>
          </cell>
          <cell r="E672">
            <v>16312</v>
          </cell>
          <cell r="F672">
            <v>106329</v>
          </cell>
          <cell r="G672">
            <v>62789</v>
          </cell>
          <cell r="H672"/>
          <cell r="I672">
            <v>3617</v>
          </cell>
          <cell r="J672">
            <v>15246</v>
          </cell>
          <cell r="K672">
            <v>8967</v>
          </cell>
          <cell r="L672">
            <v>1420</v>
          </cell>
          <cell r="M672"/>
          <cell r="N672">
            <v>1777</v>
          </cell>
          <cell r="O672">
            <v>0</v>
          </cell>
          <cell r="P672">
            <v>0</v>
          </cell>
          <cell r="Q672">
            <v>12499</v>
          </cell>
          <cell r="R672"/>
          <cell r="S672">
            <v>21160</v>
          </cell>
          <cell r="T672">
            <v>-2447</v>
          </cell>
          <cell r="U672">
            <v>18713</v>
          </cell>
        </row>
        <row r="673">
          <cell r="A673">
            <v>97471</v>
          </cell>
          <cell r="B673" t="str">
            <v>TOWN OF GRIMESLAND</v>
          </cell>
          <cell r="C673">
            <v>1.22E-5</v>
          </cell>
          <cell r="D673">
            <v>1.27E-5</v>
          </cell>
          <cell r="E673">
            <v>10247</v>
          </cell>
          <cell r="F673">
            <v>26954</v>
          </cell>
          <cell r="G673">
            <v>18638</v>
          </cell>
          <cell r="H673"/>
          <cell r="I673">
            <v>1074</v>
          </cell>
          <cell r="J673">
            <v>4526</v>
          </cell>
          <cell r="K673">
            <v>2662</v>
          </cell>
          <cell r="L673">
            <v>6770</v>
          </cell>
          <cell r="M673"/>
          <cell r="N673">
            <v>528</v>
          </cell>
          <cell r="O673">
            <v>0</v>
          </cell>
          <cell r="P673">
            <v>0</v>
          </cell>
          <cell r="Q673">
            <v>0</v>
          </cell>
          <cell r="R673"/>
          <cell r="S673">
            <v>6281</v>
          </cell>
          <cell r="T673">
            <v>2621</v>
          </cell>
          <cell r="U673">
            <v>8902</v>
          </cell>
        </row>
        <row r="674">
          <cell r="A674">
            <v>97481</v>
          </cell>
          <cell r="B674" t="str">
            <v>VILLAGE OF SIMPSON</v>
          </cell>
          <cell r="C674">
            <v>9.9000000000000001E-6</v>
          </cell>
          <cell r="D674">
            <v>1.63E-5</v>
          </cell>
          <cell r="E674">
            <v>6015</v>
          </cell>
          <cell r="F674">
            <v>34594</v>
          </cell>
          <cell r="G674">
            <v>15124</v>
          </cell>
          <cell r="H674"/>
          <cell r="I674">
            <v>871</v>
          </cell>
          <cell r="J674">
            <v>3672</v>
          </cell>
          <cell r="K674">
            <v>2160</v>
          </cell>
          <cell r="L674">
            <v>3592</v>
          </cell>
          <cell r="M674"/>
          <cell r="N674">
            <v>428</v>
          </cell>
          <cell r="O674">
            <v>0</v>
          </cell>
          <cell r="P674">
            <v>0</v>
          </cell>
          <cell r="Q674">
            <v>3115</v>
          </cell>
          <cell r="R674"/>
          <cell r="S674">
            <v>5097</v>
          </cell>
          <cell r="T674">
            <v>1594</v>
          </cell>
          <cell r="U674">
            <v>6691</v>
          </cell>
        </row>
        <row r="675">
          <cell r="A675">
            <v>97491</v>
          </cell>
          <cell r="B675" t="str">
            <v>FOUNTAIN, TOWN OF</v>
          </cell>
          <cell r="C675">
            <v>0</v>
          </cell>
          <cell r="D675">
            <v>0</v>
          </cell>
          <cell r="E675">
            <v>0</v>
          </cell>
          <cell r="F675">
            <v>0</v>
          </cell>
          <cell r="G675">
            <v>0</v>
          </cell>
          <cell r="H675"/>
          <cell r="I675">
            <v>0</v>
          </cell>
          <cell r="J675">
            <v>0</v>
          </cell>
          <cell r="K675">
            <v>0</v>
          </cell>
          <cell r="L675">
            <v>0</v>
          </cell>
          <cell r="M675"/>
          <cell r="N675">
            <v>0</v>
          </cell>
          <cell r="O675">
            <v>0</v>
          </cell>
          <cell r="P675">
            <v>0</v>
          </cell>
          <cell r="Q675">
            <v>7849</v>
          </cell>
          <cell r="R675"/>
          <cell r="S675">
            <v>0</v>
          </cell>
          <cell r="T675">
            <v>-4941</v>
          </cell>
          <cell r="U675">
            <v>-4941</v>
          </cell>
        </row>
        <row r="676">
          <cell r="A676">
            <v>97501</v>
          </cell>
          <cell r="B676" t="str">
            <v>POLK COUNTY</v>
          </cell>
          <cell r="C676">
            <v>1.1000999999999999E-3</v>
          </cell>
          <cell r="D676">
            <v>9.6730000000000004E-4</v>
          </cell>
          <cell r="E676">
            <v>517522</v>
          </cell>
          <cell r="F676">
            <v>2052935</v>
          </cell>
          <cell r="G676">
            <v>1680648</v>
          </cell>
          <cell r="H676"/>
          <cell r="I676">
            <v>96821</v>
          </cell>
          <cell r="J676">
            <v>408064</v>
          </cell>
          <cell r="K676">
            <v>240020</v>
          </cell>
          <cell r="L676">
            <v>125050</v>
          </cell>
          <cell r="M676"/>
          <cell r="N676">
            <v>47574</v>
          </cell>
          <cell r="O676">
            <v>0</v>
          </cell>
          <cell r="P676">
            <v>0</v>
          </cell>
          <cell r="Q676">
            <v>0</v>
          </cell>
          <cell r="R676"/>
          <cell r="S676">
            <v>566380</v>
          </cell>
          <cell r="T676">
            <v>44629</v>
          </cell>
          <cell r="U676">
            <v>611009</v>
          </cell>
        </row>
        <row r="677">
          <cell r="A677">
            <v>97511</v>
          </cell>
          <cell r="B677" t="str">
            <v>TOWN OF TRYON</v>
          </cell>
          <cell r="C677">
            <v>2.3450000000000001E-4</v>
          </cell>
          <cell r="D677">
            <v>2.3220000000000001E-4</v>
          </cell>
          <cell r="E677">
            <v>112044</v>
          </cell>
          <cell r="F677">
            <v>492806</v>
          </cell>
          <cell r="G677">
            <v>358251</v>
          </cell>
          <cell r="H677"/>
          <cell r="I677">
            <v>20639</v>
          </cell>
          <cell r="J677">
            <v>86984</v>
          </cell>
          <cell r="K677">
            <v>51163</v>
          </cell>
          <cell r="L677">
            <v>12835</v>
          </cell>
          <cell r="M677"/>
          <cell r="N677">
            <v>10141</v>
          </cell>
          <cell r="O677">
            <v>0</v>
          </cell>
          <cell r="P677">
            <v>0</v>
          </cell>
          <cell r="Q677">
            <v>844</v>
          </cell>
          <cell r="R677"/>
          <cell r="S677">
            <v>120731</v>
          </cell>
          <cell r="T677">
            <v>3795</v>
          </cell>
          <cell r="U677">
            <v>124526</v>
          </cell>
        </row>
        <row r="678">
          <cell r="A678">
            <v>97521</v>
          </cell>
          <cell r="B678" t="str">
            <v>TOWN OF COLUMBUS</v>
          </cell>
          <cell r="C678">
            <v>1.2870000000000001E-4</v>
          </cell>
          <cell r="D678">
            <v>1.293E-4</v>
          </cell>
          <cell r="E678">
            <v>56688</v>
          </cell>
          <cell r="F678">
            <v>274418</v>
          </cell>
          <cell r="G678">
            <v>196618</v>
          </cell>
          <cell r="H678"/>
          <cell r="I678">
            <v>11327</v>
          </cell>
          <cell r="J678">
            <v>47739</v>
          </cell>
          <cell r="K678">
            <v>28080</v>
          </cell>
          <cell r="L678">
            <v>2190</v>
          </cell>
          <cell r="M678"/>
          <cell r="N678">
            <v>5566</v>
          </cell>
          <cell r="O678">
            <v>0</v>
          </cell>
          <cell r="P678">
            <v>0</v>
          </cell>
          <cell r="Q678">
            <v>14589</v>
          </cell>
          <cell r="R678"/>
          <cell r="S678">
            <v>66260</v>
          </cell>
          <cell r="T678">
            <v>-3628</v>
          </cell>
          <cell r="U678">
            <v>62632</v>
          </cell>
        </row>
        <row r="679">
          <cell r="A679">
            <v>97531</v>
          </cell>
          <cell r="B679" t="str">
            <v>CITY OF SALUDA</v>
          </cell>
          <cell r="C679">
            <v>4.32E-5</v>
          </cell>
          <cell r="D679">
            <v>3.6300000000000001E-5</v>
          </cell>
          <cell r="E679">
            <v>25035</v>
          </cell>
          <cell r="F679">
            <v>77041</v>
          </cell>
          <cell r="G679">
            <v>65998</v>
          </cell>
          <cell r="H679"/>
          <cell r="I679">
            <v>3802</v>
          </cell>
          <cell r="J679">
            <v>16025</v>
          </cell>
          <cell r="K679">
            <v>9425</v>
          </cell>
          <cell r="L679">
            <v>11185</v>
          </cell>
          <cell r="M679"/>
          <cell r="N679">
            <v>1868</v>
          </cell>
          <cell r="O679">
            <v>0</v>
          </cell>
          <cell r="P679">
            <v>0</v>
          </cell>
          <cell r="Q679">
            <v>9052</v>
          </cell>
          <cell r="R679"/>
          <cell r="S679">
            <v>22241</v>
          </cell>
          <cell r="T679">
            <v>-2508</v>
          </cell>
          <cell r="U679">
            <v>19733</v>
          </cell>
        </row>
        <row r="680">
          <cell r="A680">
            <v>97601</v>
          </cell>
          <cell r="B680" t="str">
            <v>RANDOLPH COUNTY</v>
          </cell>
          <cell r="C680">
            <v>5.1672000000000003E-3</v>
          </cell>
          <cell r="D680">
            <v>4.7808E-3</v>
          </cell>
          <cell r="E680">
            <v>2287000</v>
          </cell>
          <cell r="F680">
            <v>10146459</v>
          </cell>
          <cell r="G680">
            <v>7894050</v>
          </cell>
          <cell r="H680"/>
          <cell r="I680">
            <v>454770</v>
          </cell>
          <cell r="J680">
            <v>1916685</v>
          </cell>
          <cell r="K680">
            <v>1127380</v>
          </cell>
          <cell r="L680">
            <v>190925</v>
          </cell>
          <cell r="M680"/>
          <cell r="N680">
            <v>223456</v>
          </cell>
          <cell r="O680">
            <v>0</v>
          </cell>
          <cell r="P680">
            <v>0</v>
          </cell>
          <cell r="Q680">
            <v>91443</v>
          </cell>
          <cell r="R680"/>
          <cell r="S680">
            <v>2660302</v>
          </cell>
          <cell r="T680">
            <v>1665</v>
          </cell>
          <cell r="U680">
            <v>2661967</v>
          </cell>
        </row>
        <row r="681">
          <cell r="A681">
            <v>97607</v>
          </cell>
          <cell r="B681" t="str">
            <v>ASHEBORO ABC BOARD</v>
          </cell>
          <cell r="C681">
            <v>2.3200000000000001E-5</v>
          </cell>
          <cell r="D681">
            <v>1.9199999999999999E-5</v>
          </cell>
          <cell r="E681">
            <v>17255</v>
          </cell>
          <cell r="F681">
            <v>40749</v>
          </cell>
          <cell r="G681">
            <v>35443</v>
          </cell>
          <cell r="H681"/>
          <cell r="I681">
            <v>2042</v>
          </cell>
          <cell r="J681">
            <v>8605</v>
          </cell>
          <cell r="K681">
            <v>5062</v>
          </cell>
          <cell r="L681">
            <v>13349</v>
          </cell>
          <cell r="M681"/>
          <cell r="N681">
            <v>1003</v>
          </cell>
          <cell r="O681">
            <v>0</v>
          </cell>
          <cell r="P681">
            <v>0</v>
          </cell>
          <cell r="Q681">
            <v>0</v>
          </cell>
          <cell r="R681"/>
          <cell r="S681">
            <v>11944</v>
          </cell>
          <cell r="T681">
            <v>5427</v>
          </cell>
          <cell r="U681">
            <v>17371</v>
          </cell>
        </row>
        <row r="682">
          <cell r="A682">
            <v>97611</v>
          </cell>
          <cell r="B682" t="str">
            <v>CITY OF ASHEBORO</v>
          </cell>
          <cell r="C682">
            <v>2.4767999999999999E-3</v>
          </cell>
          <cell r="D682">
            <v>2.5750999999999999E-3</v>
          </cell>
          <cell r="E682">
            <v>1108488</v>
          </cell>
          <cell r="F682">
            <v>5465225</v>
          </cell>
          <cell r="G682">
            <v>3783864</v>
          </cell>
          <cell r="H682"/>
          <cell r="I682">
            <v>217986</v>
          </cell>
          <cell r="J682">
            <v>918727</v>
          </cell>
          <cell r="K682">
            <v>540388</v>
          </cell>
          <cell r="L682">
            <v>0</v>
          </cell>
          <cell r="M682"/>
          <cell r="N682">
            <v>107109</v>
          </cell>
          <cell r="O682">
            <v>0</v>
          </cell>
          <cell r="P682">
            <v>0</v>
          </cell>
          <cell r="Q682">
            <v>276084</v>
          </cell>
          <cell r="R682"/>
          <cell r="S682">
            <v>1275166</v>
          </cell>
          <cell r="T682">
            <v>-116051</v>
          </cell>
          <cell r="U682">
            <v>1159115</v>
          </cell>
        </row>
        <row r="683">
          <cell r="A683">
            <v>97613</v>
          </cell>
          <cell r="B683" t="str">
            <v>ASHEBORO HOUSING AUTH</v>
          </cell>
          <cell r="C683">
            <v>1.1629999999999999E-4</v>
          </cell>
          <cell r="D683">
            <v>1.2459999999999999E-4</v>
          </cell>
          <cell r="E683">
            <v>60157</v>
          </cell>
          <cell r="F683">
            <v>264443</v>
          </cell>
          <cell r="G683">
            <v>177674</v>
          </cell>
          <cell r="H683"/>
          <cell r="I683">
            <v>10236</v>
          </cell>
          <cell r="J683">
            <v>43140</v>
          </cell>
          <cell r="K683">
            <v>25374</v>
          </cell>
          <cell r="L683">
            <v>3969</v>
          </cell>
          <cell r="M683"/>
          <cell r="N683">
            <v>5029</v>
          </cell>
          <cell r="O683">
            <v>0</v>
          </cell>
          <cell r="P683">
            <v>0</v>
          </cell>
          <cell r="Q683">
            <v>3579</v>
          </cell>
          <cell r="R683"/>
          <cell r="S683">
            <v>59876</v>
          </cell>
          <cell r="T683">
            <v>-543</v>
          </cell>
          <cell r="U683">
            <v>59333</v>
          </cell>
        </row>
        <row r="684">
          <cell r="A684">
            <v>97621</v>
          </cell>
          <cell r="B684" t="str">
            <v>CITY OF RANDLEMAN</v>
          </cell>
          <cell r="C684">
            <v>4.5179999999999998E-4</v>
          </cell>
          <cell r="D684">
            <v>4.7429999999999998E-4</v>
          </cell>
          <cell r="E684">
            <v>179047</v>
          </cell>
          <cell r="F684">
            <v>1006623</v>
          </cell>
          <cell r="G684">
            <v>690225</v>
          </cell>
          <cell r="H684"/>
          <cell r="I684">
            <v>39763</v>
          </cell>
          <cell r="J684">
            <v>167588</v>
          </cell>
          <cell r="K684">
            <v>98574</v>
          </cell>
          <cell r="L684">
            <v>15836</v>
          </cell>
          <cell r="M684"/>
          <cell r="N684">
            <v>19538</v>
          </cell>
          <cell r="O684">
            <v>0</v>
          </cell>
          <cell r="P684">
            <v>0</v>
          </cell>
          <cell r="Q684">
            <v>70017</v>
          </cell>
          <cell r="R684"/>
          <cell r="S684">
            <v>232607</v>
          </cell>
          <cell r="T684">
            <v>-11992</v>
          </cell>
          <cell r="U684">
            <v>220615</v>
          </cell>
        </row>
        <row r="685">
          <cell r="A685">
            <v>97623</v>
          </cell>
          <cell r="B685" t="str">
            <v>CITY OF RANDLEMAN HOUSING AUTHORITY</v>
          </cell>
          <cell r="C685">
            <v>2.9499999999999999E-5</v>
          </cell>
          <cell r="D685">
            <v>2.9200000000000002E-5</v>
          </cell>
          <cell r="E685">
            <v>11113</v>
          </cell>
          <cell r="F685">
            <v>61972</v>
          </cell>
          <cell r="G685">
            <v>45068</v>
          </cell>
          <cell r="H685"/>
          <cell r="I685">
            <v>2596</v>
          </cell>
          <cell r="J685">
            <v>10942</v>
          </cell>
          <cell r="K685">
            <v>6436</v>
          </cell>
          <cell r="L685">
            <v>6505</v>
          </cell>
          <cell r="M685"/>
          <cell r="N685">
            <v>1276</v>
          </cell>
          <cell r="O685">
            <v>0</v>
          </cell>
          <cell r="P685">
            <v>0</v>
          </cell>
          <cell r="Q685">
            <v>1742</v>
          </cell>
          <cell r="R685"/>
          <cell r="S685">
            <v>15188</v>
          </cell>
          <cell r="T685">
            <v>3252</v>
          </cell>
          <cell r="U685">
            <v>18440</v>
          </cell>
        </row>
        <row r="686">
          <cell r="A686">
            <v>97627</v>
          </cell>
          <cell r="B686" t="str">
            <v>CITY OF RANDLEMAN ABC BOARD</v>
          </cell>
          <cell r="C686">
            <v>9.7000000000000003E-6</v>
          </cell>
          <cell r="D686">
            <v>1.0200000000000001E-5</v>
          </cell>
          <cell r="E686">
            <v>5008</v>
          </cell>
          <cell r="F686">
            <v>21648</v>
          </cell>
          <cell r="G686">
            <v>14819</v>
          </cell>
          <cell r="H686"/>
          <cell r="I686">
            <v>854</v>
          </cell>
          <cell r="J686">
            <v>3599</v>
          </cell>
          <cell r="K686">
            <v>2116</v>
          </cell>
          <cell r="L686">
            <v>714</v>
          </cell>
          <cell r="M686"/>
          <cell r="N686">
            <v>419</v>
          </cell>
          <cell r="O686">
            <v>0</v>
          </cell>
          <cell r="P686">
            <v>0</v>
          </cell>
          <cell r="Q686">
            <v>1008</v>
          </cell>
          <cell r="R686"/>
          <cell r="S686">
            <v>4994</v>
          </cell>
          <cell r="T686">
            <v>-190</v>
          </cell>
          <cell r="U686">
            <v>4804</v>
          </cell>
        </row>
        <row r="687">
          <cell r="A687">
            <v>97631</v>
          </cell>
          <cell r="B687" t="str">
            <v>TOWN OF LIBERTY</v>
          </cell>
          <cell r="C687">
            <v>2.051E-4</v>
          </cell>
          <cell r="D687">
            <v>2.009E-4</v>
          </cell>
          <cell r="E687">
            <v>85999</v>
          </cell>
          <cell r="F687">
            <v>426377</v>
          </cell>
          <cell r="G687">
            <v>313336</v>
          </cell>
          <cell r="H687"/>
          <cell r="I687">
            <v>18051</v>
          </cell>
          <cell r="J687">
            <v>76078</v>
          </cell>
          <cell r="K687">
            <v>44749</v>
          </cell>
          <cell r="L687">
            <v>9311</v>
          </cell>
          <cell r="M687"/>
          <cell r="N687">
            <v>8870</v>
          </cell>
          <cell r="O687">
            <v>0</v>
          </cell>
          <cell r="P687">
            <v>0</v>
          </cell>
          <cell r="Q687">
            <v>3711</v>
          </cell>
          <cell r="R687"/>
          <cell r="S687">
            <v>105595</v>
          </cell>
          <cell r="T687">
            <v>4564</v>
          </cell>
          <cell r="U687">
            <v>110159</v>
          </cell>
        </row>
        <row r="688">
          <cell r="A688">
            <v>97637</v>
          </cell>
          <cell r="B688" t="str">
            <v>LIBERTY ABC BOARD</v>
          </cell>
          <cell r="C688">
            <v>4.3000000000000003E-6</v>
          </cell>
          <cell r="D688">
            <v>4.7999999999999998E-6</v>
          </cell>
          <cell r="E688">
            <v>3072</v>
          </cell>
          <cell r="F688">
            <v>10187</v>
          </cell>
          <cell r="G688">
            <v>6569</v>
          </cell>
          <cell r="H688"/>
          <cell r="I688">
            <v>378</v>
          </cell>
          <cell r="J688">
            <v>1595</v>
          </cell>
          <cell r="K688">
            <v>938</v>
          </cell>
          <cell r="L688">
            <v>944</v>
          </cell>
          <cell r="M688"/>
          <cell r="N688">
            <v>186</v>
          </cell>
          <cell r="O688">
            <v>0</v>
          </cell>
          <cell r="P688">
            <v>0</v>
          </cell>
          <cell r="Q688">
            <v>30</v>
          </cell>
          <cell r="R688"/>
          <cell r="S688">
            <v>2214</v>
          </cell>
          <cell r="T688">
            <v>380</v>
          </cell>
          <cell r="U688">
            <v>2594</v>
          </cell>
        </row>
        <row r="689">
          <cell r="A689">
            <v>97641</v>
          </cell>
          <cell r="B689" t="str">
            <v>TOWN OF RAMSEUR</v>
          </cell>
          <cell r="C689">
            <v>6.8899999999999994E-5</v>
          </cell>
          <cell r="D689">
            <v>6.9999999999999994E-5</v>
          </cell>
          <cell r="E689">
            <v>35027</v>
          </cell>
          <cell r="F689">
            <v>148563</v>
          </cell>
          <cell r="G689">
            <v>105260</v>
          </cell>
          <cell r="H689"/>
          <cell r="I689">
            <v>6064</v>
          </cell>
          <cell r="J689">
            <v>25557</v>
          </cell>
          <cell r="K689">
            <v>15033</v>
          </cell>
          <cell r="L689">
            <v>13063</v>
          </cell>
          <cell r="M689"/>
          <cell r="N689">
            <v>2980</v>
          </cell>
          <cell r="O689">
            <v>0</v>
          </cell>
          <cell r="P689">
            <v>0</v>
          </cell>
          <cell r="Q689">
            <v>2889</v>
          </cell>
          <cell r="R689"/>
          <cell r="S689">
            <v>35473</v>
          </cell>
          <cell r="T689">
            <v>2041</v>
          </cell>
          <cell r="U689">
            <v>37514</v>
          </cell>
        </row>
        <row r="690">
          <cell r="A690">
            <v>97651</v>
          </cell>
          <cell r="B690" t="str">
            <v>CITY OF ARCHDALE</v>
          </cell>
          <cell r="C690">
            <v>5.1979999999999995E-4</v>
          </cell>
          <cell r="D690">
            <v>5.1579999999999996E-4</v>
          </cell>
          <cell r="E690">
            <v>222466</v>
          </cell>
          <cell r="F690">
            <v>1094700</v>
          </cell>
          <cell r="G690">
            <v>794110</v>
          </cell>
          <cell r="H690"/>
          <cell r="I690">
            <v>45748</v>
          </cell>
          <cell r="J690">
            <v>192810</v>
          </cell>
          <cell r="K690">
            <v>113410</v>
          </cell>
          <cell r="L690">
            <v>2621</v>
          </cell>
          <cell r="M690"/>
          <cell r="N690">
            <v>22479</v>
          </cell>
          <cell r="O690">
            <v>0</v>
          </cell>
          <cell r="P690">
            <v>0</v>
          </cell>
          <cell r="Q690">
            <v>43572</v>
          </cell>
          <cell r="R690"/>
          <cell r="S690">
            <v>267616</v>
          </cell>
          <cell r="T690">
            <v>-19628</v>
          </cell>
          <cell r="U690">
            <v>247988</v>
          </cell>
        </row>
        <row r="691">
          <cell r="A691">
            <v>97661</v>
          </cell>
          <cell r="B691" t="str">
            <v>CITY OF TRINITY</v>
          </cell>
          <cell r="C691">
            <v>5.1600000000000001E-5</v>
          </cell>
          <cell r="D691">
            <v>4.3900000000000003E-5</v>
          </cell>
          <cell r="E691">
            <v>24366</v>
          </cell>
          <cell r="F691">
            <v>93171</v>
          </cell>
          <cell r="G691">
            <v>78831</v>
          </cell>
          <cell r="H691"/>
          <cell r="I691">
            <v>4541</v>
          </cell>
          <cell r="J691">
            <v>19140</v>
          </cell>
          <cell r="K691">
            <v>11258</v>
          </cell>
          <cell r="L691">
            <v>13582</v>
          </cell>
          <cell r="M691"/>
          <cell r="N691">
            <v>2231</v>
          </cell>
          <cell r="O691">
            <v>0</v>
          </cell>
          <cell r="P691">
            <v>0</v>
          </cell>
          <cell r="Q691">
            <v>1913</v>
          </cell>
          <cell r="R691"/>
          <cell r="S691">
            <v>26566</v>
          </cell>
          <cell r="T691">
            <v>4861</v>
          </cell>
          <cell r="U691">
            <v>31427</v>
          </cell>
        </row>
        <row r="692">
          <cell r="A692">
            <v>97701</v>
          </cell>
          <cell r="B692" t="str">
            <v>RICHMOND COUNTY</v>
          </cell>
          <cell r="C692">
            <v>2.4975000000000002E-3</v>
          </cell>
          <cell r="D692">
            <v>2.5081000000000001E-3</v>
          </cell>
          <cell r="E692">
            <v>1156152</v>
          </cell>
          <cell r="F692">
            <v>5323028</v>
          </cell>
          <cell r="G692">
            <v>3815488</v>
          </cell>
          <cell r="H692"/>
          <cell r="I692">
            <v>219807</v>
          </cell>
          <cell r="J692">
            <v>926405</v>
          </cell>
          <cell r="K692">
            <v>544905</v>
          </cell>
          <cell r="L692">
            <v>22724</v>
          </cell>
          <cell r="M692"/>
          <cell r="N692">
            <v>108004</v>
          </cell>
          <cell r="O692">
            <v>0</v>
          </cell>
          <cell r="P692">
            <v>0</v>
          </cell>
          <cell r="Q692">
            <v>8673</v>
          </cell>
          <cell r="R692"/>
          <cell r="S692">
            <v>1285823</v>
          </cell>
          <cell r="T692">
            <v>670</v>
          </cell>
          <cell r="U692">
            <v>1286493</v>
          </cell>
        </row>
        <row r="693">
          <cell r="A693">
            <v>97705</v>
          </cell>
          <cell r="B693" t="str">
            <v>SANDHILL REGIONAL LIBRARY</v>
          </cell>
          <cell r="C693">
            <v>4.7700000000000001E-5</v>
          </cell>
          <cell r="D693">
            <v>6.41E-5</v>
          </cell>
          <cell r="E693">
            <v>22209</v>
          </cell>
          <cell r="F693">
            <v>136042</v>
          </cell>
          <cell r="G693">
            <v>72872</v>
          </cell>
          <cell r="H693"/>
          <cell r="I693">
            <v>4198</v>
          </cell>
          <cell r="J693">
            <v>17694</v>
          </cell>
          <cell r="K693">
            <v>10407</v>
          </cell>
          <cell r="L693">
            <v>5558</v>
          </cell>
          <cell r="M693"/>
          <cell r="N693">
            <v>2063</v>
          </cell>
          <cell r="O693">
            <v>0</v>
          </cell>
          <cell r="P693">
            <v>0</v>
          </cell>
          <cell r="Q693">
            <v>13023</v>
          </cell>
          <cell r="R693"/>
          <cell r="S693">
            <v>24558</v>
          </cell>
          <cell r="T693">
            <v>105</v>
          </cell>
          <cell r="U693">
            <v>24663</v>
          </cell>
        </row>
        <row r="694">
          <cell r="A694">
            <v>97711</v>
          </cell>
          <cell r="B694" t="str">
            <v>CITY OF ROCKINGHAM</v>
          </cell>
          <cell r="C694">
            <v>9.0879999999999997E-4</v>
          </cell>
          <cell r="D694">
            <v>9.3789999999999998E-4</v>
          </cell>
          <cell r="E694">
            <v>424324</v>
          </cell>
          <cell r="F694">
            <v>1990538</v>
          </cell>
          <cell r="G694">
            <v>1388395</v>
          </cell>
          <cell r="H694"/>
          <cell r="I694">
            <v>79984</v>
          </cell>
          <cell r="J694">
            <v>337104</v>
          </cell>
          <cell r="K694">
            <v>198282</v>
          </cell>
          <cell r="L694">
            <v>9966</v>
          </cell>
          <cell r="M694"/>
          <cell r="N694">
            <v>39301</v>
          </cell>
          <cell r="O694">
            <v>0</v>
          </cell>
          <cell r="P694">
            <v>0</v>
          </cell>
          <cell r="Q694">
            <v>31902</v>
          </cell>
          <cell r="R694"/>
          <cell r="S694">
            <v>467890</v>
          </cell>
          <cell r="T694">
            <v>-1258</v>
          </cell>
          <cell r="U694">
            <v>466632</v>
          </cell>
        </row>
        <row r="695">
          <cell r="A695">
            <v>97713</v>
          </cell>
          <cell r="B695" t="str">
            <v>ROCKINGHAM HOUSING AUTHORITY</v>
          </cell>
          <cell r="C695">
            <v>4.1199999999999999E-5</v>
          </cell>
          <cell r="D695">
            <v>5.3699999999999997E-5</v>
          </cell>
          <cell r="E695">
            <v>17328</v>
          </cell>
          <cell r="F695">
            <v>113969</v>
          </cell>
          <cell r="G695">
            <v>62942</v>
          </cell>
          <cell r="H695"/>
          <cell r="I695">
            <v>3626</v>
          </cell>
          <cell r="J695">
            <v>15283</v>
          </cell>
          <cell r="K695">
            <v>8989</v>
          </cell>
          <cell r="L695">
            <v>927</v>
          </cell>
          <cell r="M695"/>
          <cell r="N695">
            <v>1782</v>
          </cell>
          <cell r="O695">
            <v>0</v>
          </cell>
          <cell r="P695">
            <v>0</v>
          </cell>
          <cell r="Q695">
            <v>16932</v>
          </cell>
          <cell r="R695"/>
          <cell r="S695">
            <v>21212</v>
          </cell>
          <cell r="T695">
            <v>-4802</v>
          </cell>
          <cell r="U695">
            <v>16410</v>
          </cell>
        </row>
        <row r="696">
          <cell r="A696">
            <v>97717</v>
          </cell>
          <cell r="B696" t="str">
            <v>HAMLET ABC BOARD</v>
          </cell>
          <cell r="C696">
            <v>4.6999999999999999E-6</v>
          </cell>
          <cell r="D696">
            <v>7.5000000000000002E-6</v>
          </cell>
          <cell r="E696">
            <v>2478</v>
          </cell>
          <cell r="F696">
            <v>15918</v>
          </cell>
          <cell r="G696">
            <v>7180</v>
          </cell>
          <cell r="H696"/>
          <cell r="I696">
            <v>414</v>
          </cell>
          <cell r="J696">
            <v>1743</v>
          </cell>
          <cell r="K696">
            <v>1025</v>
          </cell>
          <cell r="L696">
            <v>1078</v>
          </cell>
          <cell r="M696"/>
          <cell r="N696">
            <v>203</v>
          </cell>
          <cell r="O696">
            <v>0</v>
          </cell>
          <cell r="P696">
            <v>0</v>
          </cell>
          <cell r="Q696">
            <v>3394</v>
          </cell>
          <cell r="R696"/>
          <cell r="S696">
            <v>2420</v>
          </cell>
          <cell r="T696">
            <v>-1550</v>
          </cell>
          <cell r="U696">
            <v>870</v>
          </cell>
        </row>
        <row r="697">
          <cell r="A697">
            <v>97721</v>
          </cell>
          <cell r="B697" t="str">
            <v>CITY OF HAMLET</v>
          </cell>
          <cell r="C697">
            <v>5.6599999999999999E-4</v>
          </cell>
          <cell r="D697">
            <v>5.7249999999999998E-4</v>
          </cell>
          <cell r="E697">
            <v>255785</v>
          </cell>
          <cell r="F697">
            <v>1215037</v>
          </cell>
          <cell r="G697">
            <v>864691</v>
          </cell>
          <cell r="H697"/>
          <cell r="I697">
            <v>49814</v>
          </cell>
          <cell r="J697">
            <v>209948</v>
          </cell>
          <cell r="K697">
            <v>123490</v>
          </cell>
          <cell r="L697">
            <v>13608</v>
          </cell>
          <cell r="M697"/>
          <cell r="N697">
            <v>24477</v>
          </cell>
          <cell r="O697">
            <v>0</v>
          </cell>
          <cell r="P697">
            <v>0</v>
          </cell>
          <cell r="Q697">
            <v>31303</v>
          </cell>
          <cell r="R697"/>
          <cell r="S697">
            <v>291402</v>
          </cell>
          <cell r="T697">
            <v>-9026</v>
          </cell>
          <cell r="U697">
            <v>282376</v>
          </cell>
        </row>
        <row r="698">
          <cell r="A698">
            <v>97727</v>
          </cell>
          <cell r="B698" t="str">
            <v>CITY OF ROCKINGHAM ABC BOARD</v>
          </cell>
          <cell r="C698">
            <v>2.27E-5</v>
          </cell>
          <cell r="D698">
            <v>2.37E-5</v>
          </cell>
          <cell r="E698">
            <v>10992</v>
          </cell>
          <cell r="F698">
            <v>50299</v>
          </cell>
          <cell r="G698">
            <v>34679</v>
          </cell>
          <cell r="H698"/>
          <cell r="I698">
            <v>1998</v>
          </cell>
          <cell r="J698">
            <v>8420</v>
          </cell>
          <cell r="K698">
            <v>4953</v>
          </cell>
          <cell r="L698">
            <v>0</v>
          </cell>
          <cell r="M698"/>
          <cell r="N698">
            <v>982</v>
          </cell>
          <cell r="O698">
            <v>0</v>
          </cell>
          <cell r="P698">
            <v>0</v>
          </cell>
          <cell r="Q698">
            <v>2260</v>
          </cell>
          <cell r="R698"/>
          <cell r="S698">
            <v>11687</v>
          </cell>
          <cell r="T698">
            <v>-1260</v>
          </cell>
          <cell r="U698">
            <v>10427</v>
          </cell>
        </row>
        <row r="699">
          <cell r="A699">
            <v>97731</v>
          </cell>
          <cell r="B699" t="str">
            <v>TOWN OF ELLERBE</v>
          </cell>
          <cell r="C699">
            <v>3.5500000000000002E-5</v>
          </cell>
          <cell r="D699">
            <v>3.7100000000000001E-5</v>
          </cell>
          <cell r="E699">
            <v>18460</v>
          </cell>
          <cell r="F699">
            <v>78739</v>
          </cell>
          <cell r="G699">
            <v>54234</v>
          </cell>
          <cell r="H699"/>
          <cell r="I699">
            <v>3124</v>
          </cell>
          <cell r="J699">
            <v>13168</v>
          </cell>
          <cell r="K699">
            <v>7745</v>
          </cell>
          <cell r="L699">
            <v>6361</v>
          </cell>
          <cell r="M699"/>
          <cell r="N699">
            <v>1535</v>
          </cell>
          <cell r="O699">
            <v>0</v>
          </cell>
          <cell r="P699">
            <v>0</v>
          </cell>
          <cell r="Q699">
            <v>0</v>
          </cell>
          <cell r="R699"/>
          <cell r="S699">
            <v>18277</v>
          </cell>
          <cell r="T699">
            <v>2961</v>
          </cell>
          <cell r="U699">
            <v>21238</v>
          </cell>
        </row>
        <row r="700">
          <cell r="A700">
            <v>97801</v>
          </cell>
          <cell r="B700" t="str">
            <v>ROBESON COUNTY</v>
          </cell>
          <cell r="C700">
            <v>6.9303000000000003E-3</v>
          </cell>
          <cell r="D700">
            <v>7.3343000000000002E-3</v>
          </cell>
          <cell r="E700">
            <v>3179609</v>
          </cell>
          <cell r="F700">
            <v>0</v>
          </cell>
          <cell r="G700">
            <v>10587579</v>
          </cell>
          <cell r="H700"/>
          <cell r="I700">
            <v>609943</v>
          </cell>
          <cell r="J700">
            <v>2570677</v>
          </cell>
          <cell r="K700">
            <v>1512053</v>
          </cell>
          <cell r="L700">
            <v>27764</v>
          </cell>
          <cell r="M700"/>
          <cell r="N700">
            <v>299701</v>
          </cell>
          <cell r="O700">
            <v>0</v>
          </cell>
          <cell r="P700">
            <v>0</v>
          </cell>
          <cell r="Q700">
            <v>406805</v>
          </cell>
          <cell r="R700"/>
          <cell r="S700">
            <v>3568023</v>
          </cell>
          <cell r="T700">
            <v>-97576</v>
          </cell>
          <cell r="U700">
            <v>3470447</v>
          </cell>
        </row>
        <row r="701">
          <cell r="A701">
            <v>97802</v>
          </cell>
          <cell r="B701" t="str">
            <v>LUMBER RIVER COUNCIL OF GOVERNMENTS</v>
          </cell>
          <cell r="C701">
            <v>1.5300000000000001E-4</v>
          </cell>
          <cell r="D701">
            <v>1.8120000000000001E-4</v>
          </cell>
          <cell r="E701">
            <v>76715</v>
          </cell>
          <cell r="F701">
            <v>384567</v>
          </cell>
          <cell r="G701">
            <v>233742</v>
          </cell>
          <cell r="H701"/>
          <cell r="I701">
            <v>13466</v>
          </cell>
          <cell r="J701">
            <v>56753</v>
          </cell>
          <cell r="K701">
            <v>33382</v>
          </cell>
          <cell r="L701">
            <v>9696</v>
          </cell>
          <cell r="M701"/>
          <cell r="N701">
            <v>6616</v>
          </cell>
          <cell r="O701">
            <v>0</v>
          </cell>
          <cell r="P701">
            <v>0</v>
          </cell>
          <cell r="Q701">
            <v>28235</v>
          </cell>
          <cell r="R701"/>
          <cell r="S701">
            <v>78771</v>
          </cell>
          <cell r="T701">
            <v>-1176</v>
          </cell>
          <cell r="U701">
            <v>77595</v>
          </cell>
        </row>
        <row r="702">
          <cell r="A702">
            <v>97803</v>
          </cell>
          <cell r="B702" t="str">
            <v>ROBESON COUNTY HOUSING AUTHORITY</v>
          </cell>
          <cell r="C702">
            <v>7.5300000000000001E-5</v>
          </cell>
          <cell r="D702">
            <v>7.9099999999999998E-5</v>
          </cell>
          <cell r="E702">
            <v>38231</v>
          </cell>
          <cell r="F702">
            <v>167877</v>
          </cell>
          <cell r="G702">
            <v>115038</v>
          </cell>
          <cell r="H702"/>
          <cell r="I702">
            <v>6627</v>
          </cell>
          <cell r="J702">
            <v>27931</v>
          </cell>
          <cell r="K702">
            <v>16429</v>
          </cell>
          <cell r="L702">
            <v>5581</v>
          </cell>
          <cell r="M702"/>
          <cell r="N702">
            <v>3256</v>
          </cell>
          <cell r="O702">
            <v>0</v>
          </cell>
          <cell r="P702">
            <v>0</v>
          </cell>
          <cell r="Q702">
            <v>1522</v>
          </cell>
          <cell r="R702"/>
          <cell r="S702">
            <v>38768</v>
          </cell>
          <cell r="T702">
            <v>3424</v>
          </cell>
          <cell r="U702">
            <v>42192</v>
          </cell>
        </row>
        <row r="703">
          <cell r="A703">
            <v>97805</v>
          </cell>
          <cell r="B703" t="str">
            <v>ROBESON COUNTY PUBLIC LIBRARY</v>
          </cell>
          <cell r="C703">
            <v>7.9400000000000006E-5</v>
          </cell>
          <cell r="D703">
            <v>8.2600000000000002E-5</v>
          </cell>
          <cell r="E703">
            <v>39471</v>
          </cell>
          <cell r="F703">
            <v>175305</v>
          </cell>
          <cell r="G703">
            <v>121301</v>
          </cell>
          <cell r="H703"/>
          <cell r="I703">
            <v>6988</v>
          </cell>
          <cell r="J703">
            <v>29452</v>
          </cell>
          <cell r="K703">
            <v>17323</v>
          </cell>
          <cell r="L703">
            <v>9711</v>
          </cell>
          <cell r="M703"/>
          <cell r="N703">
            <v>3434</v>
          </cell>
          <cell r="O703">
            <v>0</v>
          </cell>
          <cell r="P703">
            <v>0</v>
          </cell>
          <cell r="Q703">
            <v>226</v>
          </cell>
          <cell r="R703"/>
          <cell r="S703">
            <v>40879</v>
          </cell>
          <cell r="T703">
            <v>3824</v>
          </cell>
          <cell r="U703">
            <v>44703</v>
          </cell>
        </row>
        <row r="704">
          <cell r="A704">
            <v>97811</v>
          </cell>
          <cell r="B704" t="str">
            <v>CITY OF LUMBERTON</v>
          </cell>
          <cell r="C704">
            <v>2.4172E-3</v>
          </cell>
          <cell r="D704">
            <v>2.4088E-3</v>
          </cell>
          <cell r="E704">
            <v>1101270</v>
          </cell>
          <cell r="F704">
            <v>5112281</v>
          </cell>
          <cell r="G704">
            <v>3692812</v>
          </cell>
          <cell r="H704"/>
          <cell r="I704">
            <v>212740</v>
          </cell>
          <cell r="J704">
            <v>896619</v>
          </cell>
          <cell r="K704">
            <v>527385</v>
          </cell>
          <cell r="L704">
            <v>0</v>
          </cell>
          <cell r="M704"/>
          <cell r="N704">
            <v>104532</v>
          </cell>
          <cell r="O704">
            <v>0</v>
          </cell>
          <cell r="P704">
            <v>0</v>
          </cell>
          <cell r="Q704">
            <v>164062</v>
          </cell>
          <cell r="R704"/>
          <cell r="S704">
            <v>1244481</v>
          </cell>
          <cell r="T704">
            <v>-73272</v>
          </cell>
          <cell r="U704">
            <v>1171209</v>
          </cell>
        </row>
        <row r="705">
          <cell r="A705">
            <v>97817</v>
          </cell>
          <cell r="B705" t="str">
            <v>LUMBERTON ABC BOARD</v>
          </cell>
          <cell r="C705">
            <v>2.2200000000000001E-5</v>
          </cell>
          <cell r="D705">
            <v>3.9999999999999998E-6</v>
          </cell>
          <cell r="E705">
            <v>14127</v>
          </cell>
          <cell r="F705">
            <v>8489</v>
          </cell>
          <cell r="G705">
            <v>33915</v>
          </cell>
          <cell r="H705"/>
          <cell r="I705">
            <v>1954</v>
          </cell>
          <cell r="J705">
            <v>8235</v>
          </cell>
          <cell r="K705">
            <v>4844</v>
          </cell>
          <cell r="L705">
            <v>18101</v>
          </cell>
          <cell r="M705"/>
          <cell r="N705">
            <v>960</v>
          </cell>
          <cell r="O705">
            <v>0</v>
          </cell>
          <cell r="P705">
            <v>0</v>
          </cell>
          <cell r="Q705">
            <v>2418</v>
          </cell>
          <cell r="R705"/>
          <cell r="S705">
            <v>11430</v>
          </cell>
          <cell r="T705">
            <v>3916</v>
          </cell>
          <cell r="U705">
            <v>15346</v>
          </cell>
        </row>
        <row r="706">
          <cell r="A706">
            <v>97818</v>
          </cell>
          <cell r="B706" t="str">
            <v>LUMBERTON AIRPORT COMM</v>
          </cell>
          <cell r="C706">
            <v>2.1999999999999999E-5</v>
          </cell>
          <cell r="D706">
            <v>2.12E-5</v>
          </cell>
          <cell r="E706">
            <v>9809</v>
          </cell>
          <cell r="F706">
            <v>44994</v>
          </cell>
          <cell r="G706">
            <v>33610</v>
          </cell>
          <cell r="H706"/>
          <cell r="I706">
            <v>1936</v>
          </cell>
          <cell r="J706">
            <v>8160</v>
          </cell>
          <cell r="K706">
            <v>4800</v>
          </cell>
          <cell r="L706">
            <v>6200</v>
          </cell>
          <cell r="M706"/>
          <cell r="N706">
            <v>951</v>
          </cell>
          <cell r="O706">
            <v>0</v>
          </cell>
          <cell r="P706">
            <v>0</v>
          </cell>
          <cell r="Q706">
            <v>2136</v>
          </cell>
          <cell r="R706"/>
          <cell r="S706">
            <v>11327</v>
          </cell>
          <cell r="T706">
            <v>134</v>
          </cell>
          <cell r="U706">
            <v>11461</v>
          </cell>
        </row>
        <row r="707">
          <cell r="A707">
            <v>97821</v>
          </cell>
          <cell r="B707" t="str">
            <v>TOWN OF FAIRMONT</v>
          </cell>
          <cell r="C707">
            <v>1.126E-4</v>
          </cell>
          <cell r="D707">
            <v>1.1620000000000001E-4</v>
          </cell>
          <cell r="E707">
            <v>61404</v>
          </cell>
          <cell r="F707">
            <v>246615</v>
          </cell>
          <cell r="G707">
            <v>172022</v>
          </cell>
          <cell r="H707"/>
          <cell r="I707">
            <v>9910</v>
          </cell>
          <cell r="J707">
            <v>41767</v>
          </cell>
          <cell r="K707">
            <v>24567</v>
          </cell>
          <cell r="L707">
            <v>5355</v>
          </cell>
          <cell r="M707"/>
          <cell r="N707">
            <v>4869</v>
          </cell>
          <cell r="O707">
            <v>0</v>
          </cell>
          <cell r="P707">
            <v>0</v>
          </cell>
          <cell r="Q707">
            <v>16228</v>
          </cell>
          <cell r="R707"/>
          <cell r="S707">
            <v>57971</v>
          </cell>
          <cell r="T707">
            <v>-9342</v>
          </cell>
          <cell r="U707">
            <v>48629</v>
          </cell>
        </row>
        <row r="708">
          <cell r="A708">
            <v>97823</v>
          </cell>
          <cell r="B708" t="str">
            <v>FAIRMONT HOUSING AUTHORITY</v>
          </cell>
          <cell r="C708">
            <v>2.3300000000000001E-5</v>
          </cell>
          <cell r="D708">
            <v>2.4600000000000002E-5</v>
          </cell>
          <cell r="E708">
            <v>13092</v>
          </cell>
          <cell r="F708">
            <v>52209</v>
          </cell>
          <cell r="G708">
            <v>35596</v>
          </cell>
          <cell r="H708"/>
          <cell r="I708">
            <v>2051</v>
          </cell>
          <cell r="J708">
            <v>8642</v>
          </cell>
          <cell r="K708">
            <v>5084</v>
          </cell>
          <cell r="L708">
            <v>1711</v>
          </cell>
          <cell r="M708"/>
          <cell r="N708">
            <v>1008</v>
          </cell>
          <cell r="O708">
            <v>0</v>
          </cell>
          <cell r="P708">
            <v>0</v>
          </cell>
          <cell r="Q708">
            <v>591</v>
          </cell>
          <cell r="R708"/>
          <cell r="S708">
            <v>11996</v>
          </cell>
          <cell r="T708">
            <v>-77</v>
          </cell>
          <cell r="U708">
            <v>11919</v>
          </cell>
        </row>
        <row r="709">
          <cell r="A709">
            <v>97831</v>
          </cell>
          <cell r="B709" t="str">
            <v>TOWN OF ST PAULS</v>
          </cell>
          <cell r="C709">
            <v>1.7009999999999999E-4</v>
          </cell>
          <cell r="D709">
            <v>1.482E-4</v>
          </cell>
          <cell r="E709">
            <v>78813</v>
          </cell>
          <cell r="F709">
            <v>314530</v>
          </cell>
          <cell r="G709">
            <v>259866</v>
          </cell>
          <cell r="H709"/>
          <cell r="I709">
            <v>14971</v>
          </cell>
          <cell r="J709">
            <v>63096</v>
          </cell>
          <cell r="K709">
            <v>37112</v>
          </cell>
          <cell r="L709">
            <v>15261</v>
          </cell>
          <cell r="M709"/>
          <cell r="N709">
            <v>7356</v>
          </cell>
          <cell r="O709">
            <v>0</v>
          </cell>
          <cell r="P709">
            <v>0</v>
          </cell>
          <cell r="Q709">
            <v>8418</v>
          </cell>
          <cell r="R709"/>
          <cell r="S709">
            <v>87575</v>
          </cell>
          <cell r="T709">
            <v>-2075</v>
          </cell>
          <cell r="U709">
            <v>85500</v>
          </cell>
        </row>
        <row r="710">
          <cell r="A710">
            <v>97837</v>
          </cell>
          <cell r="B710" t="str">
            <v>ST PAUL'S BRD OF ALCOHOLIC CTL</v>
          </cell>
          <cell r="C710">
            <v>1.0200000000000001E-5</v>
          </cell>
          <cell r="D710">
            <v>8.8000000000000004E-6</v>
          </cell>
          <cell r="E710">
            <v>6053</v>
          </cell>
          <cell r="F710">
            <v>18677</v>
          </cell>
          <cell r="G710">
            <v>15583</v>
          </cell>
          <cell r="H710"/>
          <cell r="I710">
            <v>898</v>
          </cell>
          <cell r="J710">
            <v>3784</v>
          </cell>
          <cell r="K710">
            <v>2225</v>
          </cell>
          <cell r="L710">
            <v>3302</v>
          </cell>
          <cell r="M710"/>
          <cell r="N710">
            <v>441</v>
          </cell>
          <cell r="O710">
            <v>0</v>
          </cell>
          <cell r="P710">
            <v>0</v>
          </cell>
          <cell r="Q710">
            <v>214</v>
          </cell>
          <cell r="R710"/>
          <cell r="S710">
            <v>5251</v>
          </cell>
          <cell r="T710">
            <v>1260</v>
          </cell>
          <cell r="U710">
            <v>6511</v>
          </cell>
        </row>
        <row r="711">
          <cell r="A711">
            <v>97840</v>
          </cell>
          <cell r="B711" t="str">
            <v>TOWN OF MAXTON</v>
          </cell>
          <cell r="C711">
            <v>1.3190000000000001E-4</v>
          </cell>
          <cell r="D711">
            <v>1.403E-4</v>
          </cell>
          <cell r="E711">
            <v>107784</v>
          </cell>
          <cell r="F711">
            <v>297764</v>
          </cell>
          <cell r="G711">
            <v>201507</v>
          </cell>
          <cell r="H711"/>
          <cell r="I711">
            <v>11609</v>
          </cell>
          <cell r="J711">
            <v>48926</v>
          </cell>
          <cell r="K711">
            <v>28778</v>
          </cell>
          <cell r="L711">
            <v>76227</v>
          </cell>
          <cell r="M711"/>
          <cell r="N711">
            <v>5704</v>
          </cell>
          <cell r="O711">
            <v>0</v>
          </cell>
          <cell r="P711">
            <v>0</v>
          </cell>
          <cell r="Q711">
            <v>964</v>
          </cell>
          <cell r="R711"/>
          <cell r="S711">
            <v>67908</v>
          </cell>
          <cell r="T711">
            <v>27073</v>
          </cell>
          <cell r="U711">
            <v>94981</v>
          </cell>
        </row>
        <row r="712">
          <cell r="A712">
            <v>97841</v>
          </cell>
          <cell r="B712" t="str">
            <v>TOWN OF PARKTON</v>
          </cell>
          <cell r="C712">
            <v>1.31E-5</v>
          </cell>
          <cell r="D712">
            <v>1.45E-5</v>
          </cell>
          <cell r="E712">
            <v>6425</v>
          </cell>
          <cell r="F712">
            <v>30774</v>
          </cell>
          <cell r="G712">
            <v>20013</v>
          </cell>
          <cell r="H712"/>
          <cell r="I712">
            <v>1153</v>
          </cell>
          <cell r="J712">
            <v>4859</v>
          </cell>
          <cell r="K712">
            <v>2858</v>
          </cell>
          <cell r="L712">
            <v>410</v>
          </cell>
          <cell r="M712"/>
          <cell r="N712">
            <v>567</v>
          </cell>
          <cell r="O712">
            <v>0</v>
          </cell>
          <cell r="P712">
            <v>0</v>
          </cell>
          <cell r="Q712">
            <v>4768</v>
          </cell>
          <cell r="R712"/>
          <cell r="S712">
            <v>6744</v>
          </cell>
          <cell r="T712">
            <v>-3859</v>
          </cell>
          <cell r="U712">
            <v>2885</v>
          </cell>
        </row>
        <row r="713">
          <cell r="A713">
            <v>97847</v>
          </cell>
          <cell r="B713" t="str">
            <v>MAXTON ABC BOARD</v>
          </cell>
          <cell r="C713">
            <v>2.0999999999999998E-6</v>
          </cell>
          <cell r="D713">
            <v>2.2000000000000001E-6</v>
          </cell>
          <cell r="E713">
            <v>2259</v>
          </cell>
          <cell r="F713">
            <v>4669</v>
          </cell>
          <cell r="G713">
            <v>3208</v>
          </cell>
          <cell r="H713"/>
          <cell r="I713">
            <v>185</v>
          </cell>
          <cell r="J713">
            <v>779</v>
          </cell>
          <cell r="K713">
            <v>458</v>
          </cell>
          <cell r="L713">
            <v>1433</v>
          </cell>
          <cell r="M713"/>
          <cell r="N713">
            <v>91</v>
          </cell>
          <cell r="O713">
            <v>0</v>
          </cell>
          <cell r="P713">
            <v>0</v>
          </cell>
          <cell r="Q713">
            <v>72</v>
          </cell>
          <cell r="R713"/>
          <cell r="S713">
            <v>1081</v>
          </cell>
          <cell r="T713">
            <v>355</v>
          </cell>
          <cell r="U713">
            <v>1436</v>
          </cell>
        </row>
        <row r="714">
          <cell r="A714">
            <v>97851</v>
          </cell>
          <cell r="B714" t="str">
            <v>TOWN OF PEMBROKE</v>
          </cell>
          <cell r="C714">
            <v>2.7799999999999998E-4</v>
          </cell>
          <cell r="D714">
            <v>2.7460000000000001E-4</v>
          </cell>
          <cell r="E714">
            <v>116408</v>
          </cell>
          <cell r="F714">
            <v>582793</v>
          </cell>
          <cell r="G714">
            <v>424707</v>
          </cell>
          <cell r="H714"/>
          <cell r="I714">
            <v>24467</v>
          </cell>
          <cell r="J714">
            <v>103120</v>
          </cell>
          <cell r="K714">
            <v>60654</v>
          </cell>
          <cell r="L714">
            <v>1448</v>
          </cell>
          <cell r="M714"/>
          <cell r="N714">
            <v>12022</v>
          </cell>
          <cell r="O714">
            <v>0</v>
          </cell>
          <cell r="P714">
            <v>0</v>
          </cell>
          <cell r="Q714">
            <v>12710</v>
          </cell>
          <cell r="R714"/>
          <cell r="S714">
            <v>143127</v>
          </cell>
          <cell r="T714">
            <v>-2512</v>
          </cell>
          <cell r="U714">
            <v>140615</v>
          </cell>
        </row>
        <row r="715">
          <cell r="A715">
            <v>97853</v>
          </cell>
          <cell r="B715" t="str">
            <v>PEMBROKE HOUSING AUTHORITY</v>
          </cell>
          <cell r="C715">
            <v>1.0289999999999999E-4</v>
          </cell>
          <cell r="D715">
            <v>9.1600000000000004E-5</v>
          </cell>
          <cell r="E715">
            <v>44043</v>
          </cell>
          <cell r="F715">
            <v>194406</v>
          </cell>
          <cell r="G715">
            <v>157203</v>
          </cell>
          <cell r="H715"/>
          <cell r="I715">
            <v>9056</v>
          </cell>
          <cell r="J715">
            <v>38169</v>
          </cell>
          <cell r="K715">
            <v>22451</v>
          </cell>
          <cell r="L715">
            <v>8759</v>
          </cell>
          <cell r="M715"/>
          <cell r="N715">
            <v>4450</v>
          </cell>
          <cell r="O715">
            <v>0</v>
          </cell>
          <cell r="P715">
            <v>0</v>
          </cell>
          <cell r="Q715">
            <v>9750</v>
          </cell>
          <cell r="R715"/>
          <cell r="S715">
            <v>52977</v>
          </cell>
          <cell r="T715">
            <v>429</v>
          </cell>
          <cell r="U715">
            <v>53406</v>
          </cell>
        </row>
        <row r="716">
          <cell r="A716">
            <v>97861</v>
          </cell>
          <cell r="B716" t="str">
            <v>TOWN OF ROWLAND</v>
          </cell>
          <cell r="C716">
            <v>6.7000000000000002E-5</v>
          </cell>
          <cell r="D716">
            <v>6.8499999999999998E-5</v>
          </cell>
          <cell r="E716">
            <v>27517</v>
          </cell>
          <cell r="F716">
            <v>145380</v>
          </cell>
          <cell r="G716">
            <v>102357</v>
          </cell>
          <cell r="H716"/>
          <cell r="I716">
            <v>5897</v>
          </cell>
          <cell r="J716">
            <v>24852</v>
          </cell>
          <cell r="K716">
            <v>14618</v>
          </cell>
          <cell r="L716">
            <v>1771</v>
          </cell>
          <cell r="M716"/>
          <cell r="N716">
            <v>2897</v>
          </cell>
          <cell r="O716">
            <v>0</v>
          </cell>
          <cell r="P716">
            <v>0</v>
          </cell>
          <cell r="Q716">
            <v>7954</v>
          </cell>
          <cell r="R716"/>
          <cell r="S716">
            <v>34495</v>
          </cell>
          <cell r="T716">
            <v>-3725</v>
          </cell>
          <cell r="U716">
            <v>30770</v>
          </cell>
        </row>
        <row r="717">
          <cell r="A717">
            <v>97871</v>
          </cell>
          <cell r="B717" t="str">
            <v>TOWN OF RED SPRINGS</v>
          </cell>
          <cell r="C717">
            <v>2.9930000000000001E-4</v>
          </cell>
          <cell r="D717">
            <v>3.1500000000000001E-4</v>
          </cell>
          <cell r="E717">
            <v>273654</v>
          </cell>
          <cell r="F717">
            <v>668536</v>
          </cell>
          <cell r="G717">
            <v>457247</v>
          </cell>
          <cell r="H717"/>
          <cell r="I717">
            <v>26342</v>
          </cell>
          <cell r="J717">
            <v>111020</v>
          </cell>
          <cell r="K717">
            <v>65301</v>
          </cell>
          <cell r="L717">
            <v>217143</v>
          </cell>
          <cell r="M717"/>
          <cell r="N717">
            <v>12943</v>
          </cell>
          <cell r="O717">
            <v>0</v>
          </cell>
          <cell r="P717">
            <v>0</v>
          </cell>
          <cell r="Q717">
            <v>0</v>
          </cell>
          <cell r="R717"/>
          <cell r="S717">
            <v>154093</v>
          </cell>
          <cell r="T717">
            <v>79417</v>
          </cell>
          <cell r="U717">
            <v>233510</v>
          </cell>
        </row>
        <row r="718">
          <cell r="A718">
            <v>97877</v>
          </cell>
          <cell r="B718" t="str">
            <v>RED SPRINGS ABC BOARD</v>
          </cell>
          <cell r="C718">
            <v>1.9E-6</v>
          </cell>
          <cell r="D718">
            <v>2.2000000000000001E-6</v>
          </cell>
          <cell r="E718">
            <v>2104</v>
          </cell>
          <cell r="F718">
            <v>4669</v>
          </cell>
          <cell r="G718">
            <v>2903</v>
          </cell>
          <cell r="H718"/>
          <cell r="I718">
            <v>167</v>
          </cell>
          <cell r="J718">
            <v>705</v>
          </cell>
          <cell r="K718">
            <v>415</v>
          </cell>
          <cell r="L718">
            <v>1638</v>
          </cell>
          <cell r="M718"/>
          <cell r="N718">
            <v>82</v>
          </cell>
          <cell r="O718">
            <v>0</v>
          </cell>
          <cell r="P718">
            <v>0</v>
          </cell>
          <cell r="Q718">
            <v>0</v>
          </cell>
          <cell r="R718"/>
          <cell r="S718">
            <v>978</v>
          </cell>
          <cell r="T718">
            <v>648</v>
          </cell>
          <cell r="U718">
            <v>1626</v>
          </cell>
        </row>
        <row r="719">
          <cell r="A719">
            <v>97901</v>
          </cell>
          <cell r="B719" t="str">
            <v>ROCKINGHAM COUNTY</v>
          </cell>
          <cell r="C719">
            <v>4.2658000000000001E-3</v>
          </cell>
          <cell r="D719">
            <v>4.3616999999999996E-3</v>
          </cell>
          <cell r="E719">
            <v>2091024</v>
          </cell>
          <cell r="F719">
            <v>9256989</v>
          </cell>
          <cell r="G719">
            <v>6516961</v>
          </cell>
          <cell r="H719"/>
          <cell r="I719">
            <v>375437</v>
          </cell>
          <cell r="J719">
            <v>1582326</v>
          </cell>
          <cell r="K719">
            <v>930712</v>
          </cell>
          <cell r="L719">
            <v>88360</v>
          </cell>
          <cell r="M719"/>
          <cell r="N719">
            <v>184475</v>
          </cell>
          <cell r="O719">
            <v>0</v>
          </cell>
          <cell r="P719">
            <v>0</v>
          </cell>
          <cell r="Q719">
            <v>14865</v>
          </cell>
          <cell r="R719"/>
          <cell r="S719">
            <v>2196222</v>
          </cell>
          <cell r="T719">
            <v>35112</v>
          </cell>
          <cell r="U719">
            <v>2231334</v>
          </cell>
        </row>
        <row r="720">
          <cell r="A720">
            <v>97911</v>
          </cell>
          <cell r="B720" t="str">
            <v>CITY OF REIDSVILLE</v>
          </cell>
          <cell r="C720">
            <v>1.3005E-3</v>
          </cell>
          <cell r="D720">
            <v>1.3190000000000001E-3</v>
          </cell>
          <cell r="E720">
            <v>613265</v>
          </cell>
          <cell r="F720">
            <v>2799360</v>
          </cell>
          <cell r="G720">
            <v>1986804</v>
          </cell>
          <cell r="H720"/>
          <cell r="I720">
            <v>114458</v>
          </cell>
          <cell r="J720">
            <v>482398</v>
          </cell>
          <cell r="K720">
            <v>283743</v>
          </cell>
          <cell r="L720">
            <v>31167</v>
          </cell>
          <cell r="M720"/>
          <cell r="N720">
            <v>56240</v>
          </cell>
          <cell r="O720">
            <v>0</v>
          </cell>
          <cell r="P720">
            <v>0</v>
          </cell>
          <cell r="Q720">
            <v>28435</v>
          </cell>
          <cell r="R720"/>
          <cell r="S720">
            <v>669555</v>
          </cell>
          <cell r="T720">
            <v>10548</v>
          </cell>
          <cell r="U720">
            <v>680103</v>
          </cell>
        </row>
        <row r="721">
          <cell r="A721">
            <v>97913</v>
          </cell>
          <cell r="B721" t="str">
            <v>THE NEW REIDSVILLE HOUSING AUTH</v>
          </cell>
          <cell r="C721">
            <v>3.5899999999999998E-5</v>
          </cell>
          <cell r="D721">
            <v>3.7400000000000001E-5</v>
          </cell>
          <cell r="E721">
            <v>27559</v>
          </cell>
          <cell r="F721">
            <v>79375</v>
          </cell>
          <cell r="G721">
            <v>54845</v>
          </cell>
          <cell r="H721"/>
          <cell r="I721">
            <v>3160</v>
          </cell>
          <cell r="J721">
            <v>13317</v>
          </cell>
          <cell r="K721">
            <v>7833</v>
          </cell>
          <cell r="L721">
            <v>15616</v>
          </cell>
          <cell r="M721"/>
          <cell r="N721">
            <v>1552</v>
          </cell>
          <cell r="O721">
            <v>0</v>
          </cell>
          <cell r="P721">
            <v>0</v>
          </cell>
          <cell r="Q721">
            <v>0</v>
          </cell>
          <cell r="R721"/>
          <cell r="S721">
            <v>18483</v>
          </cell>
          <cell r="T721">
            <v>5369</v>
          </cell>
          <cell r="U721">
            <v>23852</v>
          </cell>
        </row>
        <row r="722">
          <cell r="A722">
            <v>97917</v>
          </cell>
          <cell r="B722" t="str">
            <v>REIDSVILLE ABC BOARD</v>
          </cell>
          <cell r="C722">
            <v>2.0999999999999999E-5</v>
          </cell>
          <cell r="D722">
            <v>1.98E-5</v>
          </cell>
          <cell r="E722">
            <v>13419</v>
          </cell>
          <cell r="F722">
            <v>42022</v>
          </cell>
          <cell r="G722">
            <v>32082</v>
          </cell>
          <cell r="H722"/>
          <cell r="I722">
            <v>1848</v>
          </cell>
          <cell r="J722">
            <v>7790</v>
          </cell>
          <cell r="K722">
            <v>4582</v>
          </cell>
          <cell r="L722">
            <v>7811</v>
          </cell>
          <cell r="M722"/>
          <cell r="N722">
            <v>908</v>
          </cell>
          <cell r="O722">
            <v>0</v>
          </cell>
          <cell r="P722">
            <v>0</v>
          </cell>
          <cell r="Q722">
            <v>0</v>
          </cell>
          <cell r="R722"/>
          <cell r="S722">
            <v>10812</v>
          </cell>
          <cell r="T722">
            <v>3168</v>
          </cell>
          <cell r="U722">
            <v>13980</v>
          </cell>
        </row>
        <row r="723">
          <cell r="A723">
            <v>97921</v>
          </cell>
          <cell r="B723" t="str">
            <v>TOWN OF MAYODAN</v>
          </cell>
          <cell r="C723">
            <v>2.1699999999999999E-4</v>
          </cell>
          <cell r="D723">
            <v>2.2169999999999999E-4</v>
          </cell>
          <cell r="E723">
            <v>103163</v>
          </cell>
          <cell r="F723">
            <v>470522</v>
          </cell>
          <cell r="G723">
            <v>331516</v>
          </cell>
          <cell r="H723"/>
          <cell r="I723">
            <v>19098</v>
          </cell>
          <cell r="J723">
            <v>80493</v>
          </cell>
          <cell r="K723">
            <v>47345</v>
          </cell>
          <cell r="L723">
            <v>11562</v>
          </cell>
          <cell r="M723"/>
          <cell r="N723">
            <v>9384</v>
          </cell>
          <cell r="O723">
            <v>0</v>
          </cell>
          <cell r="P723">
            <v>0</v>
          </cell>
          <cell r="Q723">
            <v>5992</v>
          </cell>
          <cell r="R723"/>
          <cell r="S723">
            <v>111721</v>
          </cell>
          <cell r="T723">
            <v>3241</v>
          </cell>
          <cell r="U723">
            <v>114962</v>
          </cell>
        </row>
        <row r="724">
          <cell r="A724">
            <v>97931</v>
          </cell>
          <cell r="B724" t="str">
            <v>TOWN OF STONEVILLE</v>
          </cell>
          <cell r="C724">
            <v>7.0199999999999999E-5</v>
          </cell>
          <cell r="D724">
            <v>6.1600000000000007E-5</v>
          </cell>
          <cell r="E724">
            <v>31939</v>
          </cell>
          <cell r="F724">
            <v>130736</v>
          </cell>
          <cell r="G724">
            <v>107246</v>
          </cell>
          <cell r="H724"/>
          <cell r="I724">
            <v>6178</v>
          </cell>
          <cell r="J724">
            <v>26039</v>
          </cell>
          <cell r="K724">
            <v>15316</v>
          </cell>
          <cell r="L724">
            <v>18162</v>
          </cell>
          <cell r="M724"/>
          <cell r="N724">
            <v>3036</v>
          </cell>
          <cell r="O724">
            <v>0</v>
          </cell>
          <cell r="P724">
            <v>0</v>
          </cell>
          <cell r="Q724">
            <v>7492</v>
          </cell>
          <cell r="R724"/>
          <cell r="S724">
            <v>36142</v>
          </cell>
          <cell r="T724">
            <v>2117</v>
          </cell>
          <cell r="U724">
            <v>38259</v>
          </cell>
        </row>
        <row r="725">
          <cell r="A725">
            <v>97941</v>
          </cell>
          <cell r="B725" t="str">
            <v>TOWN OF MADISON</v>
          </cell>
          <cell r="C725">
            <v>2.0479999999999999E-4</v>
          </cell>
          <cell r="D725">
            <v>2.3330000000000001E-4</v>
          </cell>
          <cell r="E725">
            <v>106970</v>
          </cell>
          <cell r="F725">
            <v>495141</v>
          </cell>
          <cell r="G725">
            <v>312878</v>
          </cell>
          <cell r="H725"/>
          <cell r="I725">
            <v>18025</v>
          </cell>
          <cell r="J725">
            <v>75967</v>
          </cell>
          <cell r="K725">
            <v>44683</v>
          </cell>
          <cell r="L725">
            <v>17999</v>
          </cell>
          <cell r="M725"/>
          <cell r="N725">
            <v>8857</v>
          </cell>
          <cell r="O725">
            <v>0</v>
          </cell>
          <cell r="P725">
            <v>0</v>
          </cell>
          <cell r="Q725">
            <v>8897</v>
          </cell>
          <cell r="R725"/>
          <cell r="S725">
            <v>105440</v>
          </cell>
          <cell r="T725">
            <v>7001</v>
          </cell>
          <cell r="U725">
            <v>112441</v>
          </cell>
        </row>
        <row r="726">
          <cell r="A726">
            <v>97947</v>
          </cell>
          <cell r="B726" t="str">
            <v>MADISON ABC BOARD</v>
          </cell>
          <cell r="C726">
            <v>1.3900000000000001E-5</v>
          </cell>
          <cell r="D726">
            <v>1.5500000000000001E-5</v>
          </cell>
          <cell r="E726">
            <v>11471</v>
          </cell>
          <cell r="F726">
            <v>32896</v>
          </cell>
          <cell r="G726">
            <v>21235</v>
          </cell>
          <cell r="H726"/>
          <cell r="I726">
            <v>1223</v>
          </cell>
          <cell r="J726">
            <v>5156</v>
          </cell>
          <cell r="K726">
            <v>3033</v>
          </cell>
          <cell r="L726">
            <v>9518</v>
          </cell>
          <cell r="M726"/>
          <cell r="N726">
            <v>601</v>
          </cell>
          <cell r="O726">
            <v>0</v>
          </cell>
          <cell r="P726">
            <v>0</v>
          </cell>
          <cell r="Q726">
            <v>306</v>
          </cell>
          <cell r="R726"/>
          <cell r="S726">
            <v>7156</v>
          </cell>
          <cell r="T726">
            <v>3116</v>
          </cell>
          <cell r="U726">
            <v>10272</v>
          </cell>
        </row>
        <row r="727">
          <cell r="A727">
            <v>97948</v>
          </cell>
          <cell r="B727" t="str">
            <v>MADISON-MAYODAN RECREATION COMM</v>
          </cell>
          <cell r="C727">
            <v>2.2099999999999998E-5</v>
          </cell>
          <cell r="D727">
            <v>3.5200000000000002E-5</v>
          </cell>
          <cell r="E727">
            <v>10840</v>
          </cell>
          <cell r="F727">
            <v>74706</v>
          </cell>
          <cell r="G727">
            <v>33763</v>
          </cell>
          <cell r="H727"/>
          <cell r="I727">
            <v>1945</v>
          </cell>
          <cell r="J727">
            <v>8198</v>
          </cell>
          <cell r="K727">
            <v>4822</v>
          </cell>
          <cell r="L727">
            <v>1909</v>
          </cell>
          <cell r="M727"/>
          <cell r="N727">
            <v>956</v>
          </cell>
          <cell r="O727">
            <v>0</v>
          </cell>
          <cell r="P727">
            <v>0</v>
          </cell>
          <cell r="Q727">
            <v>8330</v>
          </cell>
          <cell r="R727"/>
          <cell r="S727">
            <v>11378</v>
          </cell>
          <cell r="T727">
            <v>-972</v>
          </cell>
          <cell r="U727">
            <v>10406</v>
          </cell>
        </row>
        <row r="728">
          <cell r="A728">
            <v>97951</v>
          </cell>
          <cell r="B728" t="str">
            <v>CITY OF EDEN</v>
          </cell>
          <cell r="C728">
            <v>1.2440999999999999E-3</v>
          </cell>
          <cell r="D728">
            <v>1.2497000000000001E-3</v>
          </cell>
          <cell r="E728">
            <v>597832</v>
          </cell>
          <cell r="F728">
            <v>2652282</v>
          </cell>
          <cell r="G728">
            <v>1900640</v>
          </cell>
          <cell r="H728"/>
          <cell r="I728">
            <v>109494</v>
          </cell>
          <cell r="J728">
            <v>461477</v>
          </cell>
          <cell r="K728">
            <v>271438</v>
          </cell>
          <cell r="L728">
            <v>31864</v>
          </cell>
          <cell r="M728"/>
          <cell r="N728">
            <v>53801</v>
          </cell>
          <cell r="O728">
            <v>0</v>
          </cell>
          <cell r="P728">
            <v>0</v>
          </cell>
          <cell r="Q728">
            <v>7067</v>
          </cell>
          <cell r="R728"/>
          <cell r="S728">
            <v>640517</v>
          </cell>
          <cell r="T728">
            <v>4295</v>
          </cell>
          <cell r="U728">
            <v>644812</v>
          </cell>
        </row>
        <row r="729">
          <cell r="A729">
            <v>97957</v>
          </cell>
          <cell r="B729" t="str">
            <v>EDEN ABC BOARD</v>
          </cell>
          <cell r="C729">
            <v>1.8700000000000001E-5</v>
          </cell>
          <cell r="D729">
            <v>1.9599999999999999E-5</v>
          </cell>
          <cell r="E729">
            <v>12857</v>
          </cell>
          <cell r="F729">
            <v>41598</v>
          </cell>
          <cell r="G729">
            <v>28568</v>
          </cell>
          <cell r="H729"/>
          <cell r="I729">
            <v>1646</v>
          </cell>
          <cell r="J729">
            <v>6936</v>
          </cell>
          <cell r="K729">
            <v>4080</v>
          </cell>
          <cell r="L729">
            <v>4456</v>
          </cell>
          <cell r="M729"/>
          <cell r="N729">
            <v>809</v>
          </cell>
          <cell r="O729">
            <v>0</v>
          </cell>
          <cell r="P729">
            <v>0</v>
          </cell>
          <cell r="Q729">
            <v>1123</v>
          </cell>
          <cell r="R729"/>
          <cell r="S729">
            <v>9628</v>
          </cell>
          <cell r="T729">
            <v>620</v>
          </cell>
          <cell r="U729">
            <v>10248</v>
          </cell>
        </row>
        <row r="730">
          <cell r="A730">
            <v>98001</v>
          </cell>
          <cell r="B730" t="str">
            <v>ROWAN COUNTY</v>
          </cell>
          <cell r="C730">
            <v>5.1148000000000001E-3</v>
          </cell>
          <cell r="D730">
            <v>4.9659999999999999E-3</v>
          </cell>
          <cell r="E730">
            <v>2367016</v>
          </cell>
          <cell r="F730">
            <v>10539516</v>
          </cell>
          <cell r="G730">
            <v>7813998</v>
          </cell>
          <cell r="H730"/>
          <cell r="I730">
            <v>450159</v>
          </cell>
          <cell r="J730">
            <v>1897248</v>
          </cell>
          <cell r="K730">
            <v>1115947</v>
          </cell>
          <cell r="L730">
            <v>181889</v>
          </cell>
          <cell r="M730"/>
          <cell r="N730">
            <v>221190</v>
          </cell>
          <cell r="O730">
            <v>0</v>
          </cell>
          <cell r="P730">
            <v>0</v>
          </cell>
          <cell r="Q730">
            <v>0</v>
          </cell>
          <cell r="R730"/>
          <cell r="S730">
            <v>2633324</v>
          </cell>
          <cell r="T730">
            <v>81305</v>
          </cell>
          <cell r="U730">
            <v>2714629</v>
          </cell>
        </row>
        <row r="731">
          <cell r="A731">
            <v>98002</v>
          </cell>
          <cell r="B731" t="str">
            <v>ROWAN CONVENTION &amp; VISTORS BUREAU</v>
          </cell>
          <cell r="C731">
            <v>6.7000000000000002E-6</v>
          </cell>
          <cell r="D731">
            <v>7.3000000000000004E-6</v>
          </cell>
          <cell r="E731">
            <v>4126</v>
          </cell>
          <cell r="F731">
            <v>15493</v>
          </cell>
          <cell r="G731">
            <v>10236</v>
          </cell>
          <cell r="H731"/>
          <cell r="I731">
            <v>590</v>
          </cell>
          <cell r="J731">
            <v>2485</v>
          </cell>
          <cell r="K731">
            <v>1462</v>
          </cell>
          <cell r="L731">
            <v>1007</v>
          </cell>
          <cell r="M731"/>
          <cell r="N731">
            <v>290</v>
          </cell>
          <cell r="O731">
            <v>0</v>
          </cell>
          <cell r="P731">
            <v>0</v>
          </cell>
          <cell r="Q731">
            <v>6492</v>
          </cell>
          <cell r="R731"/>
          <cell r="S731">
            <v>3449</v>
          </cell>
          <cell r="T731">
            <v>-6219</v>
          </cell>
          <cell r="U731">
            <v>-2770</v>
          </cell>
        </row>
        <row r="732">
          <cell r="A732">
            <v>98003</v>
          </cell>
          <cell r="B732" t="str">
            <v>ROWAN CO HOUSING AUTHORITY</v>
          </cell>
          <cell r="C732">
            <v>7.9599999999999997E-5</v>
          </cell>
          <cell r="D732">
            <v>8.1600000000000005E-5</v>
          </cell>
          <cell r="E732">
            <v>70274</v>
          </cell>
          <cell r="F732">
            <v>173183</v>
          </cell>
          <cell r="G732">
            <v>121607</v>
          </cell>
          <cell r="H732"/>
          <cell r="I732">
            <v>7006</v>
          </cell>
          <cell r="J732">
            <v>29526</v>
          </cell>
          <cell r="K732">
            <v>17367</v>
          </cell>
          <cell r="L732">
            <v>54986</v>
          </cell>
          <cell r="M732"/>
          <cell r="N732">
            <v>3442</v>
          </cell>
          <cell r="O732">
            <v>0</v>
          </cell>
          <cell r="P732">
            <v>0</v>
          </cell>
          <cell r="Q732">
            <v>0</v>
          </cell>
          <cell r="R732"/>
          <cell r="S732">
            <v>40982</v>
          </cell>
          <cell r="T732">
            <v>18634</v>
          </cell>
          <cell r="U732">
            <v>59616</v>
          </cell>
        </row>
        <row r="733">
          <cell r="A733">
            <v>98004</v>
          </cell>
          <cell r="B733" t="str">
            <v>ROWAN COUNTY ABC BOARD</v>
          </cell>
          <cell r="C733">
            <v>1.182E-4</v>
          </cell>
          <cell r="D733">
            <v>1.209E-4</v>
          </cell>
          <cell r="E733">
            <v>78050</v>
          </cell>
          <cell r="F733">
            <v>256590</v>
          </cell>
          <cell r="G733">
            <v>180577</v>
          </cell>
          <cell r="H733"/>
          <cell r="I733">
            <v>10403</v>
          </cell>
          <cell r="J733">
            <v>43844</v>
          </cell>
          <cell r="K733">
            <v>25789</v>
          </cell>
          <cell r="L733">
            <v>36575</v>
          </cell>
          <cell r="M733"/>
          <cell r="N733">
            <v>5112</v>
          </cell>
          <cell r="O733">
            <v>0</v>
          </cell>
          <cell r="P733">
            <v>0</v>
          </cell>
          <cell r="Q733">
            <v>0</v>
          </cell>
          <cell r="R733"/>
          <cell r="S733">
            <v>60855</v>
          </cell>
          <cell r="T733">
            <v>14190</v>
          </cell>
          <cell r="U733">
            <v>75045</v>
          </cell>
        </row>
        <row r="734">
          <cell r="A734">
            <v>98008</v>
          </cell>
          <cell r="B734" t="str">
            <v>ROWAN CO SOIL &amp; WATER CONV DIST</v>
          </cell>
          <cell r="C734">
            <v>7.9999999999999996E-6</v>
          </cell>
          <cell r="D734">
            <v>7.7999999999999999E-6</v>
          </cell>
          <cell r="E734">
            <v>3537</v>
          </cell>
          <cell r="F734">
            <v>16554</v>
          </cell>
          <cell r="G734">
            <v>12222</v>
          </cell>
          <cell r="H734"/>
          <cell r="I734">
            <v>704</v>
          </cell>
          <cell r="J734">
            <v>2967</v>
          </cell>
          <cell r="K734">
            <v>1745</v>
          </cell>
          <cell r="L734">
            <v>25</v>
          </cell>
          <cell r="M734"/>
          <cell r="N734">
            <v>346</v>
          </cell>
          <cell r="O734">
            <v>0</v>
          </cell>
          <cell r="P734">
            <v>0</v>
          </cell>
          <cell r="Q734">
            <v>804</v>
          </cell>
          <cell r="R734"/>
          <cell r="S734">
            <v>4119</v>
          </cell>
          <cell r="T734">
            <v>-490</v>
          </cell>
          <cell r="U734">
            <v>3629</v>
          </cell>
        </row>
        <row r="735">
          <cell r="A735">
            <v>98011</v>
          </cell>
          <cell r="B735" t="str">
            <v>CITY OF SALISBURY</v>
          </cell>
          <cell r="C735">
            <v>3.1578999999999999E-3</v>
          </cell>
          <cell r="D735">
            <v>3.1795E-3</v>
          </cell>
          <cell r="E735">
            <v>1430082</v>
          </cell>
          <cell r="F735">
            <v>6747964</v>
          </cell>
          <cell r="G735">
            <v>4824396</v>
          </cell>
          <cell r="H735"/>
          <cell r="I735">
            <v>277930</v>
          </cell>
          <cell r="J735">
            <v>1171370</v>
          </cell>
          <cell r="K735">
            <v>688991</v>
          </cell>
          <cell r="L735">
            <v>0</v>
          </cell>
          <cell r="M735"/>
          <cell r="N735">
            <v>136563</v>
          </cell>
          <cell r="O735">
            <v>0</v>
          </cell>
          <cell r="P735">
            <v>0</v>
          </cell>
          <cell r="Q735">
            <v>315025</v>
          </cell>
          <cell r="R735"/>
          <cell r="S735">
            <v>1625826</v>
          </cell>
          <cell r="T735">
            <v>-146862</v>
          </cell>
          <cell r="U735">
            <v>1478964</v>
          </cell>
        </row>
        <row r="736">
          <cell r="A736">
            <v>98013</v>
          </cell>
          <cell r="B736" t="str">
            <v>HOUSING AUTH OF THE CTY OF SALISBURY</v>
          </cell>
          <cell r="C736">
            <v>1.415E-4</v>
          </cell>
          <cell r="D736">
            <v>1.426E-4</v>
          </cell>
          <cell r="E736">
            <v>138521</v>
          </cell>
          <cell r="F736">
            <v>302645</v>
          </cell>
          <cell r="G736">
            <v>216173</v>
          </cell>
          <cell r="H736"/>
          <cell r="I736">
            <v>12454</v>
          </cell>
          <cell r="J736">
            <v>52487</v>
          </cell>
          <cell r="K736">
            <v>30872</v>
          </cell>
          <cell r="L736">
            <v>126104</v>
          </cell>
          <cell r="M736"/>
          <cell r="N736">
            <v>6119</v>
          </cell>
          <cell r="O736">
            <v>0</v>
          </cell>
          <cell r="P736">
            <v>0</v>
          </cell>
          <cell r="Q736">
            <v>2073</v>
          </cell>
          <cell r="R736"/>
          <cell r="S736">
            <v>72850</v>
          </cell>
          <cell r="T736">
            <v>41784</v>
          </cell>
          <cell r="U736">
            <v>114634</v>
          </cell>
        </row>
        <row r="737">
          <cell r="A737">
            <v>98021</v>
          </cell>
          <cell r="B737" t="str">
            <v>TOWN OF EAST SPENCER</v>
          </cell>
          <cell r="C737">
            <v>8.6199999999999995E-5</v>
          </cell>
          <cell r="D737">
            <v>7.5099999999999996E-5</v>
          </cell>
          <cell r="E737">
            <v>28536</v>
          </cell>
          <cell r="F737">
            <v>159387</v>
          </cell>
          <cell r="G737">
            <v>131690</v>
          </cell>
          <cell r="H737"/>
          <cell r="I737">
            <v>7587</v>
          </cell>
          <cell r="J737">
            <v>31975</v>
          </cell>
          <cell r="K737">
            <v>18807</v>
          </cell>
          <cell r="L737">
            <v>13468</v>
          </cell>
          <cell r="M737"/>
          <cell r="N737">
            <v>3728</v>
          </cell>
          <cell r="O737">
            <v>0</v>
          </cell>
          <cell r="P737">
            <v>0</v>
          </cell>
          <cell r="Q737">
            <v>2708</v>
          </cell>
          <cell r="R737"/>
          <cell r="S737">
            <v>44380</v>
          </cell>
          <cell r="T737">
            <v>6479</v>
          </cell>
          <cell r="U737">
            <v>50859</v>
          </cell>
        </row>
        <row r="738">
          <cell r="A738">
            <v>98023</v>
          </cell>
          <cell r="B738" t="str">
            <v>EAST SPENCER HOUSING AUTHORITY</v>
          </cell>
          <cell r="C738">
            <v>1.43E-5</v>
          </cell>
          <cell r="D738">
            <v>1.45E-5</v>
          </cell>
          <cell r="E738">
            <v>6869</v>
          </cell>
          <cell r="F738">
            <v>30774</v>
          </cell>
          <cell r="G738">
            <v>21846</v>
          </cell>
          <cell r="H738"/>
          <cell r="I738">
            <v>1259</v>
          </cell>
          <cell r="J738">
            <v>5305</v>
          </cell>
          <cell r="K738">
            <v>3120</v>
          </cell>
          <cell r="L738">
            <v>109</v>
          </cell>
          <cell r="M738"/>
          <cell r="N738">
            <v>618</v>
          </cell>
          <cell r="O738">
            <v>0</v>
          </cell>
          <cell r="P738">
            <v>0</v>
          </cell>
          <cell r="Q738">
            <v>5220</v>
          </cell>
          <cell r="R738"/>
          <cell r="S738">
            <v>7362</v>
          </cell>
          <cell r="T738">
            <v>-2611</v>
          </cell>
          <cell r="U738">
            <v>4751</v>
          </cell>
        </row>
        <row r="739">
          <cell r="A739">
            <v>98031</v>
          </cell>
          <cell r="B739" t="str">
            <v>TOWN OF SPENCER</v>
          </cell>
          <cell r="C739">
            <v>1.537E-4</v>
          </cell>
          <cell r="D739">
            <v>1.5530000000000001E-4</v>
          </cell>
          <cell r="E739">
            <v>67740</v>
          </cell>
          <cell r="F739">
            <v>329599</v>
          </cell>
          <cell r="G739">
            <v>234811</v>
          </cell>
          <cell r="H739"/>
          <cell r="I739">
            <v>13527</v>
          </cell>
          <cell r="J739">
            <v>57012</v>
          </cell>
          <cell r="K739">
            <v>33534</v>
          </cell>
          <cell r="L739">
            <v>4651</v>
          </cell>
          <cell r="M739"/>
          <cell r="N739">
            <v>6647</v>
          </cell>
          <cell r="O739">
            <v>0</v>
          </cell>
          <cell r="P739">
            <v>0</v>
          </cell>
          <cell r="Q739">
            <v>9184</v>
          </cell>
          <cell r="R739"/>
          <cell r="S739">
            <v>79132</v>
          </cell>
          <cell r="T739">
            <v>-1401</v>
          </cell>
          <cell r="U739">
            <v>77731</v>
          </cell>
        </row>
        <row r="740">
          <cell r="A740">
            <v>98041</v>
          </cell>
          <cell r="B740" t="str">
            <v>TOWN OF CHINA GROVE</v>
          </cell>
          <cell r="C740">
            <v>1.9230000000000001E-4</v>
          </cell>
          <cell r="D740">
            <v>1.6559999999999999E-4</v>
          </cell>
          <cell r="E740">
            <v>80474</v>
          </cell>
          <cell r="F740">
            <v>351459</v>
          </cell>
          <cell r="G740">
            <v>293781</v>
          </cell>
          <cell r="H740"/>
          <cell r="I740">
            <v>16925</v>
          </cell>
          <cell r="J740">
            <v>71330</v>
          </cell>
          <cell r="K740">
            <v>41956</v>
          </cell>
          <cell r="L740">
            <v>17154</v>
          </cell>
          <cell r="M740"/>
          <cell r="N740">
            <v>8316</v>
          </cell>
          <cell r="O740">
            <v>0</v>
          </cell>
          <cell r="P740">
            <v>0</v>
          </cell>
          <cell r="Q740">
            <v>5779</v>
          </cell>
          <cell r="R740"/>
          <cell r="S740">
            <v>99005</v>
          </cell>
          <cell r="T740">
            <v>943</v>
          </cell>
          <cell r="U740">
            <v>99948</v>
          </cell>
        </row>
        <row r="741">
          <cell r="A741">
            <v>98051</v>
          </cell>
          <cell r="B741" t="str">
            <v>TOWN OF LANDIS</v>
          </cell>
          <cell r="C741">
            <v>2.8019999999999998E-4</v>
          </cell>
          <cell r="D741">
            <v>3.0019999999999998E-4</v>
          </cell>
          <cell r="E741">
            <v>136145</v>
          </cell>
          <cell r="F741">
            <v>637125</v>
          </cell>
          <cell r="G741">
            <v>428068</v>
          </cell>
          <cell r="H741"/>
          <cell r="I741">
            <v>24661</v>
          </cell>
          <cell r="J741">
            <v>103936</v>
          </cell>
          <cell r="K741">
            <v>61134</v>
          </cell>
          <cell r="L741">
            <v>21691</v>
          </cell>
          <cell r="M741"/>
          <cell r="N741">
            <v>12117</v>
          </cell>
          <cell r="O741">
            <v>0</v>
          </cell>
          <cell r="P741">
            <v>0</v>
          </cell>
          <cell r="Q741">
            <v>7516</v>
          </cell>
          <cell r="R741"/>
          <cell r="S741">
            <v>144259</v>
          </cell>
          <cell r="T741">
            <v>7566</v>
          </cell>
          <cell r="U741">
            <v>151825</v>
          </cell>
        </row>
        <row r="742">
          <cell r="A742">
            <v>98061</v>
          </cell>
          <cell r="B742" t="str">
            <v>TOWN OF GRANITE QUARRY</v>
          </cell>
          <cell r="C742">
            <v>1.0670000000000001E-4</v>
          </cell>
          <cell r="D742">
            <v>9.9099999999999996E-5</v>
          </cell>
          <cell r="E742">
            <v>47390</v>
          </cell>
          <cell r="F742">
            <v>210323</v>
          </cell>
          <cell r="G742">
            <v>163008</v>
          </cell>
          <cell r="H742"/>
          <cell r="I742">
            <v>9391</v>
          </cell>
          <cell r="J742">
            <v>39579</v>
          </cell>
          <cell r="K742">
            <v>23280</v>
          </cell>
          <cell r="L742">
            <v>3820</v>
          </cell>
          <cell r="M742"/>
          <cell r="N742">
            <v>4614</v>
          </cell>
          <cell r="O742">
            <v>0</v>
          </cell>
          <cell r="P742">
            <v>0</v>
          </cell>
          <cell r="Q742">
            <v>17433</v>
          </cell>
          <cell r="R742"/>
          <cell r="S742">
            <v>54934</v>
          </cell>
          <cell r="T742">
            <v>-6260</v>
          </cell>
          <cell r="U742">
            <v>48674</v>
          </cell>
        </row>
        <row r="743">
          <cell r="A743">
            <v>98071</v>
          </cell>
          <cell r="B743" t="str">
            <v>TOWN OF ROCKWELL</v>
          </cell>
          <cell r="C743">
            <v>4.0099999999999999E-5</v>
          </cell>
          <cell r="D743">
            <v>3.4400000000000003E-5</v>
          </cell>
          <cell r="E743">
            <v>28233</v>
          </cell>
          <cell r="F743">
            <v>73008</v>
          </cell>
          <cell r="G743">
            <v>61262</v>
          </cell>
          <cell r="H743"/>
          <cell r="I743">
            <v>3529</v>
          </cell>
          <cell r="J743">
            <v>14874</v>
          </cell>
          <cell r="K743">
            <v>8749</v>
          </cell>
          <cell r="L743">
            <v>18505</v>
          </cell>
          <cell r="M743"/>
          <cell r="N743">
            <v>1734</v>
          </cell>
          <cell r="O743">
            <v>0</v>
          </cell>
          <cell r="P743">
            <v>0</v>
          </cell>
          <cell r="Q743">
            <v>1200</v>
          </cell>
          <cell r="R743"/>
          <cell r="S743">
            <v>20645</v>
          </cell>
          <cell r="T743">
            <v>4654</v>
          </cell>
          <cell r="U743">
            <v>25299</v>
          </cell>
        </row>
        <row r="744">
          <cell r="A744">
            <v>98081</v>
          </cell>
          <cell r="B744" t="str">
            <v>TOWN OF FAITH</v>
          </cell>
          <cell r="C744">
            <v>1.8300000000000001E-5</v>
          </cell>
          <cell r="D744">
            <v>1.9400000000000001E-5</v>
          </cell>
          <cell r="E744">
            <v>7556</v>
          </cell>
          <cell r="F744">
            <v>41173</v>
          </cell>
          <cell r="G744">
            <v>27957</v>
          </cell>
          <cell r="H744"/>
          <cell r="I744">
            <v>1611</v>
          </cell>
          <cell r="J744">
            <v>6788</v>
          </cell>
          <cell r="K744">
            <v>3993</v>
          </cell>
          <cell r="L744">
            <v>0</v>
          </cell>
          <cell r="M744"/>
          <cell r="N744">
            <v>791</v>
          </cell>
          <cell r="O744">
            <v>0</v>
          </cell>
          <cell r="P744">
            <v>0</v>
          </cell>
          <cell r="Q744">
            <v>4207</v>
          </cell>
          <cell r="R744"/>
          <cell r="S744">
            <v>9422</v>
          </cell>
          <cell r="T744">
            <v>-1896</v>
          </cell>
          <cell r="U744">
            <v>7526</v>
          </cell>
        </row>
        <row r="745">
          <cell r="A745">
            <v>98091</v>
          </cell>
          <cell r="B745" t="str">
            <v>TOWN OF CLEVELAND</v>
          </cell>
          <cell r="C745">
            <v>4.7500000000000003E-5</v>
          </cell>
          <cell r="D745">
            <v>5.0899999999999997E-5</v>
          </cell>
          <cell r="E745">
            <v>25241</v>
          </cell>
          <cell r="F745">
            <v>108027</v>
          </cell>
          <cell r="G745">
            <v>72567</v>
          </cell>
          <cell r="H745"/>
          <cell r="I745">
            <v>4181</v>
          </cell>
          <cell r="J745">
            <v>17619</v>
          </cell>
          <cell r="K745">
            <v>10364</v>
          </cell>
          <cell r="L745">
            <v>1261</v>
          </cell>
          <cell r="M745"/>
          <cell r="N745">
            <v>2054</v>
          </cell>
          <cell r="O745">
            <v>0</v>
          </cell>
          <cell r="P745">
            <v>0</v>
          </cell>
          <cell r="Q745">
            <v>807</v>
          </cell>
          <cell r="R745"/>
          <cell r="S745">
            <v>24455</v>
          </cell>
          <cell r="T745">
            <v>-295</v>
          </cell>
          <cell r="U745">
            <v>24160</v>
          </cell>
        </row>
        <row r="746">
          <cell r="A746">
            <v>98101</v>
          </cell>
          <cell r="B746" t="str">
            <v>RUTHERFORD COUNTY</v>
          </cell>
          <cell r="C746">
            <v>2.8706999999999999E-3</v>
          </cell>
          <cell r="D746">
            <v>2.7642999999999999E-3</v>
          </cell>
          <cell r="E746">
            <v>1210234</v>
          </cell>
          <cell r="F746">
            <v>5866771</v>
          </cell>
          <cell r="G746">
            <v>4385634</v>
          </cell>
          <cell r="H746"/>
          <cell r="I746">
            <v>252653</v>
          </cell>
          <cell r="J746">
            <v>1064838</v>
          </cell>
          <cell r="K746">
            <v>626329</v>
          </cell>
          <cell r="L746">
            <v>37308</v>
          </cell>
          <cell r="M746"/>
          <cell r="N746">
            <v>124143</v>
          </cell>
          <cell r="O746">
            <v>0</v>
          </cell>
          <cell r="P746">
            <v>0</v>
          </cell>
          <cell r="Q746">
            <v>32438</v>
          </cell>
          <cell r="R746"/>
          <cell r="S746">
            <v>1477963</v>
          </cell>
          <cell r="T746">
            <v>14286</v>
          </cell>
          <cell r="U746">
            <v>1492249</v>
          </cell>
        </row>
        <row r="747">
          <cell r="A747">
            <v>98102</v>
          </cell>
          <cell r="B747" t="str">
            <v>BROAD RIVER WATER AUTHORITY</v>
          </cell>
          <cell r="C747">
            <v>1.5809999999999999E-4</v>
          </cell>
          <cell r="D747">
            <v>1.683E-4</v>
          </cell>
          <cell r="E747">
            <v>71621</v>
          </cell>
          <cell r="F747">
            <v>357189</v>
          </cell>
          <cell r="G747">
            <v>241533</v>
          </cell>
          <cell r="H747"/>
          <cell r="I747">
            <v>13915</v>
          </cell>
          <cell r="J747">
            <v>58644</v>
          </cell>
          <cell r="K747">
            <v>34494</v>
          </cell>
          <cell r="L747">
            <v>0</v>
          </cell>
          <cell r="M747"/>
          <cell r="N747">
            <v>6837</v>
          </cell>
          <cell r="O747">
            <v>0</v>
          </cell>
          <cell r="P747">
            <v>0</v>
          </cell>
          <cell r="Q747">
            <v>14329</v>
          </cell>
          <cell r="R747"/>
          <cell r="S747">
            <v>81397</v>
          </cell>
          <cell r="T747">
            <v>-5584</v>
          </cell>
          <cell r="U747">
            <v>75813</v>
          </cell>
        </row>
        <row r="748">
          <cell r="A748">
            <v>98103</v>
          </cell>
          <cell r="B748" t="str">
            <v>RUTHERFORD POLK MCDOWELL DIST BRD OF HEALTH</v>
          </cell>
          <cell r="C748">
            <v>5.4410000000000005E-4</v>
          </cell>
          <cell r="D748">
            <v>5.3600000000000002E-4</v>
          </cell>
          <cell r="E748">
            <v>255161</v>
          </cell>
          <cell r="F748">
            <v>1137572</v>
          </cell>
          <cell r="G748">
            <v>831234</v>
          </cell>
          <cell r="H748"/>
          <cell r="I748">
            <v>47887</v>
          </cell>
          <cell r="J748">
            <v>201824</v>
          </cell>
          <cell r="K748">
            <v>118712</v>
          </cell>
          <cell r="L748">
            <v>9730</v>
          </cell>
          <cell r="M748"/>
          <cell r="N748">
            <v>23530</v>
          </cell>
          <cell r="O748">
            <v>0</v>
          </cell>
          <cell r="P748">
            <v>0</v>
          </cell>
          <cell r="Q748">
            <v>27055</v>
          </cell>
          <cell r="R748"/>
          <cell r="S748">
            <v>280127</v>
          </cell>
          <cell r="T748">
            <v>-17051</v>
          </cell>
          <cell r="U748">
            <v>263076</v>
          </cell>
        </row>
        <row r="749">
          <cell r="A749">
            <v>98107</v>
          </cell>
          <cell r="B749" t="str">
            <v>FOREST CITY ABC BOARD 168</v>
          </cell>
          <cell r="C749">
            <v>1.08E-5</v>
          </cell>
          <cell r="D749">
            <v>1.08E-5</v>
          </cell>
          <cell r="E749">
            <v>9242</v>
          </cell>
          <cell r="F749">
            <v>22921</v>
          </cell>
          <cell r="G749">
            <v>16499</v>
          </cell>
          <cell r="H749"/>
          <cell r="I749">
            <v>951</v>
          </cell>
          <cell r="J749">
            <v>4006</v>
          </cell>
          <cell r="K749">
            <v>2356</v>
          </cell>
          <cell r="L749">
            <v>8237</v>
          </cell>
          <cell r="M749"/>
          <cell r="N749">
            <v>467</v>
          </cell>
          <cell r="O749">
            <v>0</v>
          </cell>
          <cell r="P749">
            <v>0</v>
          </cell>
          <cell r="Q749">
            <v>0</v>
          </cell>
          <cell r="R749"/>
          <cell r="S749">
            <v>5560</v>
          </cell>
          <cell r="T749">
            <v>3467</v>
          </cell>
          <cell r="U749">
            <v>9027</v>
          </cell>
        </row>
        <row r="750">
          <cell r="A750">
            <v>98109</v>
          </cell>
          <cell r="B750" t="str">
            <v>ISOTHERMAL PLANNING AND DEV COMM</v>
          </cell>
          <cell r="C750">
            <v>1.573E-4</v>
          </cell>
          <cell r="D750">
            <v>1.4660000000000001E-4</v>
          </cell>
          <cell r="E750">
            <v>76016</v>
          </cell>
          <cell r="F750">
            <v>311134</v>
          </cell>
          <cell r="G750">
            <v>240311</v>
          </cell>
          <cell r="H750"/>
          <cell r="I750">
            <v>13844</v>
          </cell>
          <cell r="J750">
            <v>58348</v>
          </cell>
          <cell r="K750">
            <v>34320</v>
          </cell>
          <cell r="L750">
            <v>12163</v>
          </cell>
          <cell r="M750"/>
          <cell r="N750">
            <v>6802</v>
          </cell>
          <cell r="O750">
            <v>0</v>
          </cell>
          <cell r="P750">
            <v>0</v>
          </cell>
          <cell r="Q750">
            <v>24551</v>
          </cell>
          <cell r="R750"/>
          <cell r="S750">
            <v>80985</v>
          </cell>
          <cell r="T750">
            <v>-7590</v>
          </cell>
          <cell r="U750">
            <v>73395</v>
          </cell>
        </row>
        <row r="751">
          <cell r="A751">
            <v>98111</v>
          </cell>
          <cell r="B751" t="str">
            <v>TOWN OF FOREST CITY</v>
          </cell>
          <cell r="C751">
            <v>1.0143000000000001E-3</v>
          </cell>
          <cell r="D751">
            <v>1.0191E-3</v>
          </cell>
          <cell r="E751">
            <v>432530</v>
          </cell>
          <cell r="F751">
            <v>2162872</v>
          </cell>
          <cell r="G751">
            <v>1549569</v>
          </cell>
          <cell r="H751"/>
          <cell r="I751">
            <v>89270</v>
          </cell>
          <cell r="J751">
            <v>376238</v>
          </cell>
          <cell r="K751">
            <v>221300</v>
          </cell>
          <cell r="L751">
            <v>0</v>
          </cell>
          <cell r="M751"/>
          <cell r="N751">
            <v>43863</v>
          </cell>
          <cell r="O751">
            <v>0</v>
          </cell>
          <cell r="P751">
            <v>0</v>
          </cell>
          <cell r="Q751">
            <v>66610</v>
          </cell>
          <cell r="R751"/>
          <cell r="S751">
            <v>522206</v>
          </cell>
          <cell r="T751">
            <v>-21506</v>
          </cell>
          <cell r="U751">
            <v>500700</v>
          </cell>
        </row>
        <row r="752">
          <cell r="A752">
            <v>98113</v>
          </cell>
          <cell r="B752" t="str">
            <v>FOREST CITY HOUSING AUTHORITY</v>
          </cell>
          <cell r="C752">
            <v>4.6199999999999998E-5</v>
          </cell>
          <cell r="D752">
            <v>3.8999999999999999E-5</v>
          </cell>
          <cell r="E752">
            <v>23492</v>
          </cell>
          <cell r="F752">
            <v>82771</v>
          </cell>
          <cell r="G752">
            <v>70581</v>
          </cell>
          <cell r="H752"/>
          <cell r="I752">
            <v>4066</v>
          </cell>
          <cell r="J752">
            <v>17137</v>
          </cell>
          <cell r="K752">
            <v>10080</v>
          </cell>
          <cell r="L752">
            <v>11739</v>
          </cell>
          <cell r="M752"/>
          <cell r="N752">
            <v>1998</v>
          </cell>
          <cell r="O752">
            <v>0</v>
          </cell>
          <cell r="P752">
            <v>0</v>
          </cell>
          <cell r="Q752">
            <v>0</v>
          </cell>
          <cell r="R752"/>
          <cell r="S752">
            <v>23786</v>
          </cell>
          <cell r="T752">
            <v>4647</v>
          </cell>
          <cell r="U752">
            <v>28433</v>
          </cell>
        </row>
        <row r="753">
          <cell r="A753">
            <v>98121</v>
          </cell>
          <cell r="B753" t="str">
            <v>TOWN OF SPINDALE</v>
          </cell>
          <cell r="C753">
            <v>2.0100000000000001E-4</v>
          </cell>
          <cell r="D753">
            <v>2.2910000000000001E-4</v>
          </cell>
          <cell r="E753">
            <v>89370</v>
          </cell>
          <cell r="F753">
            <v>486227</v>
          </cell>
          <cell r="G753">
            <v>307072</v>
          </cell>
          <cell r="H753"/>
          <cell r="I753">
            <v>17690</v>
          </cell>
          <cell r="J753">
            <v>74558</v>
          </cell>
          <cell r="K753">
            <v>43854</v>
          </cell>
          <cell r="L753">
            <v>2134</v>
          </cell>
          <cell r="M753"/>
          <cell r="N753">
            <v>8692</v>
          </cell>
          <cell r="O753">
            <v>0</v>
          </cell>
          <cell r="P753">
            <v>0</v>
          </cell>
          <cell r="Q753">
            <v>25239</v>
          </cell>
          <cell r="R753"/>
          <cell r="S753">
            <v>103484</v>
          </cell>
          <cell r="T753">
            <v>-5712</v>
          </cell>
          <cell r="U753">
            <v>97772</v>
          </cell>
        </row>
        <row r="754">
          <cell r="A754">
            <v>98131</v>
          </cell>
          <cell r="B754" t="str">
            <v>TOWN OF LAKE LURE</v>
          </cell>
          <cell r="C754">
            <v>2.5230000000000001E-4</v>
          </cell>
          <cell r="D754">
            <v>2.9569999999999998E-4</v>
          </cell>
          <cell r="E754">
            <v>119697</v>
          </cell>
          <cell r="F754">
            <v>627574</v>
          </cell>
          <cell r="G754">
            <v>385445</v>
          </cell>
          <cell r="H754"/>
          <cell r="I754">
            <v>22205</v>
          </cell>
          <cell r="J754">
            <v>93586</v>
          </cell>
          <cell r="K754">
            <v>55047</v>
          </cell>
          <cell r="L754">
            <v>0</v>
          </cell>
          <cell r="M754"/>
          <cell r="N754">
            <v>10911</v>
          </cell>
          <cell r="O754">
            <v>0</v>
          </cell>
          <cell r="P754">
            <v>0</v>
          </cell>
          <cell r="Q754">
            <v>53749</v>
          </cell>
          <cell r="R754"/>
          <cell r="S754">
            <v>129895</v>
          </cell>
          <cell r="T754">
            <v>-23653</v>
          </cell>
          <cell r="U754">
            <v>106242</v>
          </cell>
        </row>
        <row r="755">
          <cell r="A755">
            <v>98141</v>
          </cell>
          <cell r="B755" t="str">
            <v>TOWN OF RUTHERFORDTON</v>
          </cell>
          <cell r="C755">
            <v>3.0360000000000001E-4</v>
          </cell>
          <cell r="D755">
            <v>2.9030000000000001E-4</v>
          </cell>
          <cell r="E755">
            <v>133558</v>
          </cell>
          <cell r="F755">
            <v>616114</v>
          </cell>
          <cell r="G755">
            <v>463817</v>
          </cell>
          <cell r="H755"/>
          <cell r="I755">
            <v>26720</v>
          </cell>
          <cell r="J755">
            <v>112616</v>
          </cell>
          <cell r="K755">
            <v>66239</v>
          </cell>
          <cell r="L755">
            <v>5226</v>
          </cell>
          <cell r="M755"/>
          <cell r="N755">
            <v>13129</v>
          </cell>
          <cell r="O755">
            <v>0</v>
          </cell>
          <cell r="P755">
            <v>0</v>
          </cell>
          <cell r="Q755">
            <v>22375</v>
          </cell>
          <cell r="R755"/>
          <cell r="S755">
            <v>156307</v>
          </cell>
          <cell r="T755">
            <v>-11630</v>
          </cell>
          <cell r="U755">
            <v>144677</v>
          </cell>
        </row>
        <row r="756">
          <cell r="A756">
            <v>98147</v>
          </cell>
          <cell r="B756" t="str">
            <v>TOWN OF RUTHERFORDTON ABC BRD</v>
          </cell>
          <cell r="C756">
            <v>1.29E-5</v>
          </cell>
          <cell r="D756">
            <v>1.29E-5</v>
          </cell>
          <cell r="E756">
            <v>9893</v>
          </cell>
          <cell r="F756">
            <v>27378</v>
          </cell>
          <cell r="G756">
            <v>19708</v>
          </cell>
          <cell r="H756"/>
          <cell r="I756">
            <v>1135</v>
          </cell>
          <cell r="J756">
            <v>4785</v>
          </cell>
          <cell r="K756">
            <v>2815</v>
          </cell>
          <cell r="L756">
            <v>8231</v>
          </cell>
          <cell r="M756"/>
          <cell r="N756">
            <v>558</v>
          </cell>
          <cell r="O756">
            <v>0</v>
          </cell>
          <cell r="P756">
            <v>0</v>
          </cell>
          <cell r="Q756">
            <v>0</v>
          </cell>
          <cell r="R756"/>
          <cell r="S756">
            <v>6641</v>
          </cell>
          <cell r="T756">
            <v>3295</v>
          </cell>
          <cell r="U756">
            <v>9936</v>
          </cell>
        </row>
        <row r="757">
          <cell r="A757">
            <v>98161</v>
          </cell>
          <cell r="B757" t="str">
            <v>TOWN OF ELLENBORO</v>
          </cell>
          <cell r="C757">
            <v>7.3000000000000004E-6</v>
          </cell>
          <cell r="D757">
            <v>7.4000000000000003E-6</v>
          </cell>
          <cell r="E757">
            <v>5046</v>
          </cell>
          <cell r="F757">
            <v>15705</v>
          </cell>
          <cell r="G757">
            <v>11152</v>
          </cell>
          <cell r="H757"/>
          <cell r="I757">
            <v>642</v>
          </cell>
          <cell r="J757">
            <v>2708</v>
          </cell>
          <cell r="K757">
            <v>1593</v>
          </cell>
          <cell r="L757">
            <v>2689</v>
          </cell>
          <cell r="M757"/>
          <cell r="N757">
            <v>316</v>
          </cell>
          <cell r="O757">
            <v>0</v>
          </cell>
          <cell r="P757">
            <v>0</v>
          </cell>
          <cell r="Q757">
            <v>0</v>
          </cell>
          <cell r="R757"/>
          <cell r="S757">
            <v>3758</v>
          </cell>
          <cell r="T757">
            <v>1075</v>
          </cell>
          <cell r="U757">
            <v>4833</v>
          </cell>
        </row>
        <row r="758">
          <cell r="A758">
            <v>98201</v>
          </cell>
          <cell r="B758" t="str">
            <v>SAMPSON COUNTY</v>
          </cell>
          <cell r="C758">
            <v>3.1664000000000002E-3</v>
          </cell>
          <cell r="D758">
            <v>3.0368999999999999E-3</v>
          </cell>
          <cell r="E758">
            <v>1424604</v>
          </cell>
          <cell r="F758">
            <v>6445319</v>
          </cell>
          <cell r="G758">
            <v>4837382</v>
          </cell>
          <cell r="H758"/>
          <cell r="I758">
            <v>278678</v>
          </cell>
          <cell r="J758">
            <v>1174522</v>
          </cell>
          <cell r="K758">
            <v>690845</v>
          </cell>
          <cell r="L758">
            <v>63594</v>
          </cell>
          <cell r="M758"/>
          <cell r="N758">
            <v>136931</v>
          </cell>
          <cell r="O758">
            <v>0</v>
          </cell>
          <cell r="P758">
            <v>0</v>
          </cell>
          <cell r="Q758">
            <v>39608</v>
          </cell>
          <cell r="R758"/>
          <cell r="S758">
            <v>1630202</v>
          </cell>
          <cell r="T758">
            <v>-5370</v>
          </cell>
          <cell r="U758">
            <v>1624832</v>
          </cell>
        </row>
        <row r="759">
          <cell r="A759">
            <v>98205</v>
          </cell>
          <cell r="B759" t="str">
            <v>J C HOLIDAY MEM LIBRARY</v>
          </cell>
          <cell r="C759">
            <v>4.6799999999999999E-5</v>
          </cell>
          <cell r="D759">
            <v>5.13E-5</v>
          </cell>
          <cell r="E759">
            <v>23505</v>
          </cell>
          <cell r="F759">
            <v>108876</v>
          </cell>
          <cell r="G759">
            <v>71497</v>
          </cell>
          <cell r="H759"/>
          <cell r="I759">
            <v>4119</v>
          </cell>
          <cell r="J759">
            <v>17359</v>
          </cell>
          <cell r="K759">
            <v>10211</v>
          </cell>
          <cell r="L759">
            <v>1985</v>
          </cell>
          <cell r="M759"/>
          <cell r="N759">
            <v>2024</v>
          </cell>
          <cell r="O759">
            <v>0</v>
          </cell>
          <cell r="P759">
            <v>0</v>
          </cell>
          <cell r="Q759">
            <v>2510</v>
          </cell>
          <cell r="R759"/>
          <cell r="S759">
            <v>24095</v>
          </cell>
          <cell r="T759">
            <v>-141</v>
          </cell>
          <cell r="U759">
            <v>23954</v>
          </cell>
        </row>
        <row r="760">
          <cell r="A760">
            <v>98211</v>
          </cell>
          <cell r="B760" t="str">
            <v>CITY OF CLINTON</v>
          </cell>
          <cell r="C760">
            <v>8.6689999999999998E-4</v>
          </cell>
          <cell r="D760">
            <v>9.1609999999999999E-4</v>
          </cell>
          <cell r="E760">
            <v>365218</v>
          </cell>
          <cell r="F760">
            <v>1944271</v>
          </cell>
          <cell r="G760">
            <v>1324383</v>
          </cell>
          <cell r="H760"/>
          <cell r="I760">
            <v>76297</v>
          </cell>
          <cell r="J760">
            <v>321561</v>
          </cell>
          <cell r="K760">
            <v>189140</v>
          </cell>
          <cell r="L760">
            <v>0</v>
          </cell>
          <cell r="M760"/>
          <cell r="N760">
            <v>37489</v>
          </cell>
          <cell r="O760">
            <v>0</v>
          </cell>
          <cell r="P760">
            <v>0</v>
          </cell>
          <cell r="Q760">
            <v>136830</v>
          </cell>
          <cell r="R760"/>
          <cell r="S760">
            <v>446318</v>
          </cell>
          <cell r="T760">
            <v>-50136</v>
          </cell>
          <cell r="U760">
            <v>396182</v>
          </cell>
        </row>
        <row r="761">
          <cell r="A761">
            <v>98218</v>
          </cell>
          <cell r="B761" t="str">
            <v>CLINTON ABC BOARD</v>
          </cell>
          <cell r="C761">
            <v>1.3200000000000001E-5</v>
          </cell>
          <cell r="D761">
            <v>1.0200000000000001E-5</v>
          </cell>
          <cell r="E761">
            <v>5829</v>
          </cell>
          <cell r="F761">
            <v>21648</v>
          </cell>
          <cell r="G761">
            <v>20166</v>
          </cell>
          <cell r="H761"/>
          <cell r="I761">
            <v>1162</v>
          </cell>
          <cell r="J761">
            <v>4896</v>
          </cell>
          <cell r="K761">
            <v>2880</v>
          </cell>
          <cell r="L761">
            <v>1827</v>
          </cell>
          <cell r="M761"/>
          <cell r="N761">
            <v>571</v>
          </cell>
          <cell r="O761">
            <v>0</v>
          </cell>
          <cell r="P761">
            <v>0</v>
          </cell>
          <cell r="Q761">
            <v>1072</v>
          </cell>
          <cell r="R761"/>
          <cell r="S761">
            <v>6796</v>
          </cell>
          <cell r="T761">
            <v>-336</v>
          </cell>
          <cell r="U761">
            <v>6460</v>
          </cell>
        </row>
        <row r="762">
          <cell r="A762">
            <v>98221</v>
          </cell>
          <cell r="B762" t="str">
            <v>TOWN OF SALEMBURG</v>
          </cell>
          <cell r="C762">
            <v>1.8899999999999999E-5</v>
          </cell>
          <cell r="D762">
            <v>1.6799999999999998E-5</v>
          </cell>
          <cell r="E762">
            <v>9739</v>
          </cell>
          <cell r="F762">
            <v>35655</v>
          </cell>
          <cell r="G762">
            <v>28874</v>
          </cell>
          <cell r="H762"/>
          <cell r="I762">
            <v>1663</v>
          </cell>
          <cell r="J762">
            <v>7011</v>
          </cell>
          <cell r="K762">
            <v>4124</v>
          </cell>
          <cell r="L762">
            <v>4593</v>
          </cell>
          <cell r="M762"/>
          <cell r="N762">
            <v>817</v>
          </cell>
          <cell r="O762">
            <v>0</v>
          </cell>
          <cell r="P762">
            <v>0</v>
          </cell>
          <cell r="Q762">
            <v>0</v>
          </cell>
          <cell r="R762"/>
          <cell r="S762">
            <v>9731</v>
          </cell>
          <cell r="T762">
            <v>1469</v>
          </cell>
          <cell r="U762">
            <v>11200</v>
          </cell>
        </row>
        <row r="763">
          <cell r="A763">
            <v>98231</v>
          </cell>
          <cell r="B763" t="str">
            <v>TOWN OF NEWTON GROVE</v>
          </cell>
          <cell r="C763">
            <v>2.2799999999999999E-5</v>
          </cell>
          <cell r="D763">
            <v>3.1999999999999999E-5</v>
          </cell>
          <cell r="E763">
            <v>11487</v>
          </cell>
          <cell r="F763">
            <v>67915</v>
          </cell>
          <cell r="G763">
            <v>34832</v>
          </cell>
          <cell r="H763"/>
          <cell r="I763">
            <v>2007</v>
          </cell>
          <cell r="J763">
            <v>8457</v>
          </cell>
          <cell r="K763">
            <v>4975</v>
          </cell>
          <cell r="L763">
            <v>1705</v>
          </cell>
          <cell r="M763"/>
          <cell r="N763">
            <v>986</v>
          </cell>
          <cell r="O763">
            <v>0</v>
          </cell>
          <cell r="P763">
            <v>0</v>
          </cell>
          <cell r="Q763">
            <v>9632</v>
          </cell>
          <cell r="R763"/>
          <cell r="S763">
            <v>11738</v>
          </cell>
          <cell r="T763">
            <v>-3592</v>
          </cell>
          <cell r="U763">
            <v>8146</v>
          </cell>
        </row>
        <row r="764">
          <cell r="A764">
            <v>98237</v>
          </cell>
          <cell r="B764" t="str">
            <v>ROSEBORO ABC BOARD</v>
          </cell>
          <cell r="C764">
            <v>5.9000000000000003E-6</v>
          </cell>
          <cell r="D764">
            <v>2.7E-6</v>
          </cell>
          <cell r="E764">
            <v>4385</v>
          </cell>
          <cell r="F764">
            <v>5730</v>
          </cell>
          <cell r="G764">
            <v>9014</v>
          </cell>
          <cell r="H764"/>
          <cell r="I764">
            <v>519</v>
          </cell>
          <cell r="J764">
            <v>2188</v>
          </cell>
          <cell r="K764">
            <v>1287</v>
          </cell>
          <cell r="L764">
            <v>5034</v>
          </cell>
          <cell r="M764"/>
          <cell r="N764">
            <v>255</v>
          </cell>
          <cell r="O764">
            <v>0</v>
          </cell>
          <cell r="P764">
            <v>0</v>
          </cell>
          <cell r="Q764">
            <v>0</v>
          </cell>
          <cell r="R764"/>
          <cell r="S764">
            <v>3038</v>
          </cell>
          <cell r="T764">
            <v>1666</v>
          </cell>
          <cell r="U764">
            <v>4704</v>
          </cell>
        </row>
        <row r="765">
          <cell r="A765">
            <v>98241</v>
          </cell>
          <cell r="B765" t="str">
            <v>TOWN OF GARLAND</v>
          </cell>
          <cell r="C765">
            <v>1.5099999999999999E-5</v>
          </cell>
          <cell r="D765">
            <v>1.98E-5</v>
          </cell>
          <cell r="E765">
            <v>8388</v>
          </cell>
          <cell r="F765">
            <v>42022</v>
          </cell>
          <cell r="G765">
            <v>23069</v>
          </cell>
          <cell r="H765"/>
          <cell r="I765">
            <v>1329</v>
          </cell>
          <cell r="J765">
            <v>5602</v>
          </cell>
          <cell r="K765">
            <v>3295</v>
          </cell>
          <cell r="L765">
            <v>5512</v>
          </cell>
          <cell r="M765"/>
          <cell r="N765">
            <v>653</v>
          </cell>
          <cell r="O765">
            <v>0</v>
          </cell>
          <cell r="P765">
            <v>0</v>
          </cell>
          <cell r="Q765">
            <v>2200</v>
          </cell>
          <cell r="R765"/>
          <cell r="S765">
            <v>7774</v>
          </cell>
          <cell r="T765">
            <v>2564</v>
          </cell>
          <cell r="U765">
            <v>10338</v>
          </cell>
        </row>
        <row r="766">
          <cell r="A766">
            <v>98251</v>
          </cell>
          <cell r="B766" t="str">
            <v>TOWN OF TURKEY</v>
          </cell>
          <cell r="C766">
            <v>3.0000000000000001E-6</v>
          </cell>
          <cell r="D766">
            <v>3.1E-6</v>
          </cell>
          <cell r="E766">
            <v>2206</v>
          </cell>
          <cell r="F766">
            <v>6579</v>
          </cell>
          <cell r="G766">
            <v>4583</v>
          </cell>
          <cell r="H766"/>
          <cell r="I766">
            <v>264</v>
          </cell>
          <cell r="J766">
            <v>1113</v>
          </cell>
          <cell r="K766">
            <v>655</v>
          </cell>
          <cell r="L766">
            <v>1375</v>
          </cell>
          <cell r="M766"/>
          <cell r="N766">
            <v>130</v>
          </cell>
          <cell r="O766">
            <v>0</v>
          </cell>
          <cell r="P766">
            <v>0</v>
          </cell>
          <cell r="Q766">
            <v>0</v>
          </cell>
          <cell r="R766"/>
          <cell r="S766">
            <v>1545</v>
          </cell>
          <cell r="T766">
            <v>561</v>
          </cell>
          <cell r="U766">
            <v>2106</v>
          </cell>
        </row>
        <row r="767">
          <cell r="A767">
            <v>98261</v>
          </cell>
          <cell r="B767" t="str">
            <v>TOWN OF ROSEBORO</v>
          </cell>
          <cell r="C767">
            <v>3.3200000000000001E-5</v>
          </cell>
          <cell r="D767">
            <v>2.97E-5</v>
          </cell>
          <cell r="E767">
            <v>16865</v>
          </cell>
          <cell r="F767">
            <v>63033</v>
          </cell>
          <cell r="G767">
            <v>50720</v>
          </cell>
          <cell r="H767"/>
          <cell r="I767">
            <v>2922</v>
          </cell>
          <cell r="J767">
            <v>12315</v>
          </cell>
          <cell r="K767">
            <v>7244</v>
          </cell>
          <cell r="L767">
            <v>6546</v>
          </cell>
          <cell r="M767"/>
          <cell r="N767">
            <v>1436</v>
          </cell>
          <cell r="O767">
            <v>0</v>
          </cell>
          <cell r="P767">
            <v>0</v>
          </cell>
          <cell r="Q767">
            <v>4922</v>
          </cell>
          <cell r="R767"/>
          <cell r="S767">
            <v>17093</v>
          </cell>
          <cell r="T767">
            <v>793</v>
          </cell>
          <cell r="U767">
            <v>17886</v>
          </cell>
        </row>
        <row r="768">
          <cell r="A768">
            <v>98271</v>
          </cell>
          <cell r="B768" t="str">
            <v>TOWN OF AUTRYVILLE</v>
          </cell>
          <cell r="C768">
            <v>5.1000000000000003E-6</v>
          </cell>
          <cell r="D768">
            <v>4.5000000000000001E-6</v>
          </cell>
          <cell r="E768">
            <v>2676</v>
          </cell>
          <cell r="F768">
            <v>9551</v>
          </cell>
          <cell r="G768">
            <v>7791</v>
          </cell>
          <cell r="H768"/>
          <cell r="I768">
            <v>449</v>
          </cell>
          <cell r="J768">
            <v>1891</v>
          </cell>
          <cell r="K768">
            <v>1113</v>
          </cell>
          <cell r="L768">
            <v>3229</v>
          </cell>
          <cell r="M768"/>
          <cell r="N768">
            <v>221</v>
          </cell>
          <cell r="O768">
            <v>0</v>
          </cell>
          <cell r="P768">
            <v>0</v>
          </cell>
          <cell r="Q768">
            <v>0</v>
          </cell>
          <cell r="R768"/>
          <cell r="S768">
            <v>2626</v>
          </cell>
          <cell r="T768">
            <v>1560</v>
          </cell>
          <cell r="U768">
            <v>4186</v>
          </cell>
        </row>
        <row r="769">
          <cell r="A769">
            <v>98301</v>
          </cell>
          <cell r="B769" t="str">
            <v>SCOTLAND COUNTY</v>
          </cell>
          <cell r="C769">
            <v>1.7542E-3</v>
          </cell>
          <cell r="D769">
            <v>1.7776999999999999E-3</v>
          </cell>
          <cell r="E769">
            <v>825878</v>
          </cell>
          <cell r="F769">
            <v>3772875</v>
          </cell>
          <cell r="G769">
            <v>2679932</v>
          </cell>
          <cell r="H769"/>
          <cell r="I769">
            <v>154389</v>
          </cell>
          <cell r="J769">
            <v>650690</v>
          </cell>
          <cell r="K769">
            <v>382731</v>
          </cell>
          <cell r="L769">
            <v>51704</v>
          </cell>
          <cell r="M769"/>
          <cell r="N769">
            <v>75860</v>
          </cell>
          <cell r="O769">
            <v>0</v>
          </cell>
          <cell r="P769">
            <v>0</v>
          </cell>
          <cell r="Q769">
            <v>7816</v>
          </cell>
          <cell r="R769"/>
          <cell r="S769">
            <v>903139</v>
          </cell>
          <cell r="T769">
            <v>17344</v>
          </cell>
          <cell r="U769">
            <v>920483</v>
          </cell>
        </row>
        <row r="770">
          <cell r="A770">
            <v>98304</v>
          </cell>
          <cell r="B770" t="str">
            <v>SCOTLAND COUNTY ABC BOARD</v>
          </cell>
          <cell r="C770">
            <v>2.0999999999999999E-5</v>
          </cell>
          <cell r="D770">
            <v>2.2900000000000001E-5</v>
          </cell>
          <cell r="E770">
            <v>12751</v>
          </cell>
          <cell r="F770">
            <v>48601</v>
          </cell>
          <cell r="G770">
            <v>32082</v>
          </cell>
          <cell r="H770"/>
          <cell r="I770">
            <v>1848</v>
          </cell>
          <cell r="J770">
            <v>7790</v>
          </cell>
          <cell r="K770">
            <v>4582</v>
          </cell>
          <cell r="L770">
            <v>2290</v>
          </cell>
          <cell r="M770"/>
          <cell r="N770">
            <v>908</v>
          </cell>
          <cell r="O770">
            <v>0</v>
          </cell>
          <cell r="P770">
            <v>0</v>
          </cell>
          <cell r="Q770">
            <v>0</v>
          </cell>
          <cell r="R770"/>
          <cell r="S770">
            <v>10812</v>
          </cell>
          <cell r="T770">
            <v>818</v>
          </cell>
          <cell r="U770">
            <v>11630</v>
          </cell>
        </row>
        <row r="771">
          <cell r="A771">
            <v>98308</v>
          </cell>
          <cell r="B771" t="str">
            <v>LAURINBURG-MAXTON AIRPORT COMMISSION</v>
          </cell>
          <cell r="C771">
            <v>2.37E-5</v>
          </cell>
          <cell r="D771">
            <v>2.55E-5</v>
          </cell>
          <cell r="E771">
            <v>15363</v>
          </cell>
          <cell r="F771">
            <v>54120</v>
          </cell>
          <cell r="G771">
            <v>36207</v>
          </cell>
          <cell r="H771"/>
          <cell r="I771">
            <v>2086</v>
          </cell>
          <cell r="J771">
            <v>8791</v>
          </cell>
          <cell r="K771">
            <v>5171</v>
          </cell>
          <cell r="L771">
            <v>7272</v>
          </cell>
          <cell r="M771"/>
          <cell r="N771">
            <v>1025</v>
          </cell>
          <cell r="O771">
            <v>0</v>
          </cell>
          <cell r="P771">
            <v>0</v>
          </cell>
          <cell r="Q771">
            <v>0</v>
          </cell>
          <cell r="R771"/>
          <cell r="S771">
            <v>12202</v>
          </cell>
          <cell r="T771">
            <v>3390</v>
          </cell>
          <cell r="U771">
            <v>15592</v>
          </cell>
        </row>
        <row r="772">
          <cell r="A772">
            <v>98311</v>
          </cell>
          <cell r="B772" t="str">
            <v>CITY OF LAURINBURG</v>
          </cell>
          <cell r="C772">
            <v>1.1536000000000001E-3</v>
          </cell>
          <cell r="D772">
            <v>1.1441999999999999E-3</v>
          </cell>
          <cell r="E772">
            <v>462217</v>
          </cell>
          <cell r="F772">
            <v>2428376</v>
          </cell>
          <cell r="G772">
            <v>1762381</v>
          </cell>
          <cell r="H772"/>
          <cell r="I772">
            <v>101529</v>
          </cell>
          <cell r="J772">
            <v>427908</v>
          </cell>
          <cell r="K772">
            <v>251692</v>
          </cell>
          <cell r="L772">
            <v>12653</v>
          </cell>
          <cell r="M772"/>
          <cell r="N772">
            <v>49887</v>
          </cell>
          <cell r="O772">
            <v>0</v>
          </cell>
          <cell r="P772">
            <v>0</v>
          </cell>
          <cell r="Q772">
            <v>98661</v>
          </cell>
          <cell r="R772"/>
          <cell r="S772">
            <v>593924</v>
          </cell>
          <cell r="T772">
            <v>-18424</v>
          </cell>
          <cell r="U772">
            <v>575500</v>
          </cell>
        </row>
        <row r="773">
          <cell r="A773">
            <v>98313</v>
          </cell>
          <cell r="B773" t="str">
            <v>LAURINBURG HOUSING AUTHORITY</v>
          </cell>
          <cell r="C773">
            <v>2.3560000000000001E-4</v>
          </cell>
          <cell r="D773">
            <v>2.4240000000000001E-4</v>
          </cell>
          <cell r="E773">
            <v>259158</v>
          </cell>
          <cell r="F773">
            <v>514454</v>
          </cell>
          <cell r="G773">
            <v>359932</v>
          </cell>
          <cell r="H773"/>
          <cell r="I773">
            <v>20735</v>
          </cell>
          <cell r="J773">
            <v>87392</v>
          </cell>
          <cell r="K773">
            <v>51403</v>
          </cell>
          <cell r="L773">
            <v>233571</v>
          </cell>
          <cell r="M773"/>
          <cell r="N773">
            <v>10189</v>
          </cell>
          <cell r="O773">
            <v>0</v>
          </cell>
          <cell r="P773">
            <v>0</v>
          </cell>
          <cell r="Q773">
            <v>59</v>
          </cell>
          <cell r="R773"/>
          <cell r="S773">
            <v>121297</v>
          </cell>
          <cell r="T773">
            <v>77966</v>
          </cell>
          <cell r="U773">
            <v>199263</v>
          </cell>
        </row>
        <row r="774">
          <cell r="A774">
            <v>98321</v>
          </cell>
          <cell r="B774" t="str">
            <v>TOWN OF WAGRAM</v>
          </cell>
          <cell r="C774">
            <v>2.05E-5</v>
          </cell>
          <cell r="D774">
            <v>2.1399999999999998E-5</v>
          </cell>
          <cell r="E774">
            <v>10270</v>
          </cell>
          <cell r="F774">
            <v>45418</v>
          </cell>
          <cell r="G774">
            <v>31318</v>
          </cell>
          <cell r="H774"/>
          <cell r="I774">
            <v>1804</v>
          </cell>
          <cell r="J774">
            <v>7604</v>
          </cell>
          <cell r="K774">
            <v>4473</v>
          </cell>
          <cell r="L774">
            <v>1639</v>
          </cell>
          <cell r="M774"/>
          <cell r="N774">
            <v>887</v>
          </cell>
          <cell r="O774">
            <v>0</v>
          </cell>
          <cell r="P774">
            <v>0</v>
          </cell>
          <cell r="Q774">
            <v>3066</v>
          </cell>
          <cell r="R774"/>
          <cell r="S774">
            <v>10554</v>
          </cell>
          <cell r="T774">
            <v>472</v>
          </cell>
          <cell r="U774">
            <v>11026</v>
          </cell>
        </row>
        <row r="775">
          <cell r="A775">
            <v>98331</v>
          </cell>
          <cell r="B775" t="str">
            <v>TOWN OF GIBSON</v>
          </cell>
          <cell r="C775">
            <v>9.7999999999999993E-6</v>
          </cell>
          <cell r="D775">
            <v>1.03E-5</v>
          </cell>
          <cell r="E775">
            <v>6281</v>
          </cell>
          <cell r="F775">
            <v>21860</v>
          </cell>
          <cell r="G775">
            <v>14972</v>
          </cell>
          <cell r="H775"/>
          <cell r="I775">
            <v>863</v>
          </cell>
          <cell r="J775">
            <v>3635</v>
          </cell>
          <cell r="K775">
            <v>2138</v>
          </cell>
          <cell r="L775">
            <v>3035</v>
          </cell>
          <cell r="M775"/>
          <cell r="N775">
            <v>424</v>
          </cell>
          <cell r="O775">
            <v>0</v>
          </cell>
          <cell r="P775">
            <v>0</v>
          </cell>
          <cell r="Q775">
            <v>132</v>
          </cell>
          <cell r="R775"/>
          <cell r="S775">
            <v>5045</v>
          </cell>
          <cell r="T775">
            <v>972</v>
          </cell>
          <cell r="U775">
            <v>6017</v>
          </cell>
        </row>
        <row r="776">
          <cell r="A776">
            <v>98401</v>
          </cell>
          <cell r="B776" t="str">
            <v>STANLY COUNTY</v>
          </cell>
          <cell r="C776">
            <v>2.7655000000000002E-3</v>
          </cell>
          <cell r="D776">
            <v>2.7567999999999998E-3</v>
          </cell>
          <cell r="E776">
            <v>1399311</v>
          </cell>
          <cell r="F776">
            <v>5850853</v>
          </cell>
          <cell r="G776">
            <v>4224918</v>
          </cell>
          <cell r="H776"/>
          <cell r="I776">
            <v>243394</v>
          </cell>
          <cell r="J776">
            <v>1025815</v>
          </cell>
          <cell r="K776">
            <v>603377</v>
          </cell>
          <cell r="L776">
            <v>168129</v>
          </cell>
          <cell r="M776"/>
          <cell r="N776">
            <v>119594</v>
          </cell>
          <cell r="O776">
            <v>0</v>
          </cell>
          <cell r="P776">
            <v>0</v>
          </cell>
          <cell r="Q776">
            <v>6292</v>
          </cell>
          <cell r="R776"/>
          <cell r="S776">
            <v>1423801</v>
          </cell>
          <cell r="T776">
            <v>58759</v>
          </cell>
          <cell r="U776">
            <v>1482560</v>
          </cell>
        </row>
        <row r="777">
          <cell r="A777">
            <v>98404</v>
          </cell>
          <cell r="B777" t="str">
            <v>LOCUST ABC BOARD</v>
          </cell>
          <cell r="C777">
            <v>1.52E-5</v>
          </cell>
          <cell r="D777">
            <v>0</v>
          </cell>
          <cell r="E777">
            <v>5852</v>
          </cell>
          <cell r="F777">
            <v>0</v>
          </cell>
          <cell r="G777">
            <v>23221</v>
          </cell>
          <cell r="H777"/>
          <cell r="I777">
            <v>1338</v>
          </cell>
          <cell r="J777">
            <v>5638</v>
          </cell>
          <cell r="K777">
            <v>3316</v>
          </cell>
          <cell r="L777">
            <v>9290</v>
          </cell>
          <cell r="M777"/>
          <cell r="N777">
            <v>657</v>
          </cell>
          <cell r="O777">
            <v>0</v>
          </cell>
          <cell r="P777">
            <v>0</v>
          </cell>
          <cell r="Q777">
            <v>0</v>
          </cell>
          <cell r="R777"/>
          <cell r="S777">
            <v>7826</v>
          </cell>
          <cell r="T777">
            <v>2323</v>
          </cell>
          <cell r="U777">
            <v>10149</v>
          </cell>
        </row>
        <row r="778">
          <cell r="A778">
            <v>98411</v>
          </cell>
          <cell r="B778" t="str">
            <v>CITY OF ALBEMARLE</v>
          </cell>
          <cell r="C778">
            <v>1.9816E-3</v>
          </cell>
          <cell r="D778">
            <v>2.0076999999999998E-3</v>
          </cell>
          <cell r="E778">
            <v>869964</v>
          </cell>
          <cell r="F778">
            <v>4261012</v>
          </cell>
          <cell r="G778">
            <v>3027336</v>
          </cell>
          <cell r="H778"/>
          <cell r="I778">
            <v>174403</v>
          </cell>
          <cell r="J778">
            <v>735040</v>
          </cell>
          <cell r="K778">
            <v>432345</v>
          </cell>
          <cell r="L778">
            <v>3986</v>
          </cell>
          <cell r="M778"/>
          <cell r="N778">
            <v>85694</v>
          </cell>
          <cell r="O778">
            <v>0</v>
          </cell>
          <cell r="P778">
            <v>0</v>
          </cell>
          <cell r="Q778">
            <v>73699</v>
          </cell>
          <cell r="R778"/>
          <cell r="S778">
            <v>1020215</v>
          </cell>
          <cell r="T778">
            <v>-19116</v>
          </cell>
          <cell r="U778">
            <v>1001099</v>
          </cell>
        </row>
        <row r="779">
          <cell r="A779">
            <v>98414</v>
          </cell>
          <cell r="B779" t="str">
            <v>VILLAGE OF MISENHEIMER</v>
          </cell>
          <cell r="C779">
            <v>3.8500000000000001E-5</v>
          </cell>
          <cell r="D779">
            <v>4.3600000000000003E-5</v>
          </cell>
          <cell r="E779">
            <v>7367</v>
          </cell>
          <cell r="F779">
            <v>0</v>
          </cell>
          <cell r="G779">
            <v>58818</v>
          </cell>
          <cell r="H779"/>
          <cell r="I779">
            <v>3389</v>
          </cell>
          <cell r="J779">
            <v>14282</v>
          </cell>
          <cell r="K779">
            <v>8399</v>
          </cell>
          <cell r="L779">
            <v>14474</v>
          </cell>
          <cell r="M779"/>
          <cell r="N779">
            <v>1665</v>
          </cell>
          <cell r="O779">
            <v>0</v>
          </cell>
          <cell r="P779">
            <v>0</v>
          </cell>
          <cell r="Q779">
            <v>24505</v>
          </cell>
          <cell r="R779"/>
          <cell r="S779">
            <v>19821</v>
          </cell>
          <cell r="T779">
            <v>-3841</v>
          </cell>
          <cell r="U779">
            <v>15980</v>
          </cell>
        </row>
        <row r="780">
          <cell r="A780">
            <v>98417</v>
          </cell>
          <cell r="B780" t="str">
            <v>ALBEMARLE ABC BOARD</v>
          </cell>
          <cell r="C780">
            <v>2.2900000000000001E-5</v>
          </cell>
          <cell r="D780">
            <v>2.4899999999999999E-5</v>
          </cell>
          <cell r="E780">
            <v>14126</v>
          </cell>
          <cell r="F780">
            <v>0</v>
          </cell>
          <cell r="G780">
            <v>34985</v>
          </cell>
          <cell r="H780"/>
          <cell r="I780">
            <v>2015</v>
          </cell>
          <cell r="J780">
            <v>8494</v>
          </cell>
          <cell r="K780">
            <v>4996</v>
          </cell>
          <cell r="L780">
            <v>2511</v>
          </cell>
          <cell r="M780"/>
          <cell r="N780">
            <v>990</v>
          </cell>
          <cell r="O780">
            <v>0</v>
          </cell>
          <cell r="P780">
            <v>0</v>
          </cell>
          <cell r="Q780">
            <v>424</v>
          </cell>
          <cell r="R780"/>
          <cell r="S780">
            <v>11790</v>
          </cell>
          <cell r="T780">
            <v>315</v>
          </cell>
          <cell r="U780">
            <v>12105</v>
          </cell>
        </row>
        <row r="781">
          <cell r="A781">
            <v>98421</v>
          </cell>
          <cell r="B781" t="str">
            <v>TOWN OF NORWOOD</v>
          </cell>
          <cell r="C781">
            <v>8.2700000000000004E-5</v>
          </cell>
          <cell r="D781">
            <v>1.0840000000000001E-4</v>
          </cell>
          <cell r="E781">
            <v>44396</v>
          </cell>
          <cell r="F781">
            <v>0</v>
          </cell>
          <cell r="G781">
            <v>126343</v>
          </cell>
          <cell r="H781"/>
          <cell r="I781">
            <v>7279</v>
          </cell>
          <cell r="J781">
            <v>30676</v>
          </cell>
          <cell r="K781">
            <v>18043</v>
          </cell>
          <cell r="L781">
            <v>5132</v>
          </cell>
          <cell r="M781"/>
          <cell r="N781">
            <v>3576</v>
          </cell>
          <cell r="O781">
            <v>0</v>
          </cell>
          <cell r="P781">
            <v>0</v>
          </cell>
          <cell r="Q781">
            <v>12725</v>
          </cell>
          <cell r="R781"/>
          <cell r="S781">
            <v>42578</v>
          </cell>
          <cell r="T781">
            <v>-911</v>
          </cell>
          <cell r="U781">
            <v>41667</v>
          </cell>
        </row>
        <row r="782">
          <cell r="A782">
            <v>98427</v>
          </cell>
          <cell r="B782" t="str">
            <v>NORWOOD ABC BD</v>
          </cell>
          <cell r="C782">
            <v>3.9999999999999998E-6</v>
          </cell>
          <cell r="D782">
            <v>4.6E-6</v>
          </cell>
          <cell r="E782">
            <v>3231</v>
          </cell>
          <cell r="F782">
            <v>0</v>
          </cell>
          <cell r="G782">
            <v>6111</v>
          </cell>
          <cell r="H782"/>
          <cell r="I782">
            <v>352</v>
          </cell>
          <cell r="J782">
            <v>1484</v>
          </cell>
          <cell r="K782">
            <v>873</v>
          </cell>
          <cell r="L782">
            <v>1351</v>
          </cell>
          <cell r="M782"/>
          <cell r="N782">
            <v>173</v>
          </cell>
          <cell r="O782">
            <v>0</v>
          </cell>
          <cell r="P782">
            <v>0</v>
          </cell>
          <cell r="Q782">
            <v>0</v>
          </cell>
          <cell r="R782"/>
          <cell r="S782">
            <v>2059</v>
          </cell>
          <cell r="T782">
            <v>487</v>
          </cell>
          <cell r="U782">
            <v>2546</v>
          </cell>
        </row>
        <row r="783">
          <cell r="A783">
            <v>98431</v>
          </cell>
          <cell r="B783" t="str">
            <v>CITY OF LOCUST</v>
          </cell>
          <cell r="C783">
            <v>2.0589999999999999E-4</v>
          </cell>
          <cell r="D783">
            <v>2.0010000000000001E-4</v>
          </cell>
          <cell r="E783">
            <v>78482</v>
          </cell>
          <cell r="F783">
            <v>0</v>
          </cell>
          <cell r="G783">
            <v>314558</v>
          </cell>
          <cell r="H783"/>
          <cell r="I783">
            <v>18121</v>
          </cell>
          <cell r="J783">
            <v>76375</v>
          </cell>
          <cell r="K783">
            <v>44923</v>
          </cell>
          <cell r="L783">
            <v>1246</v>
          </cell>
          <cell r="M783"/>
          <cell r="N783">
            <v>8904</v>
          </cell>
          <cell r="O783">
            <v>0</v>
          </cell>
          <cell r="P783">
            <v>0</v>
          </cell>
          <cell r="Q783">
            <v>24844</v>
          </cell>
          <cell r="R783"/>
          <cell r="S783">
            <v>106006</v>
          </cell>
          <cell r="T783">
            <v>-7635</v>
          </cell>
          <cell r="U783">
            <v>98371</v>
          </cell>
        </row>
        <row r="784">
          <cell r="A784">
            <v>98441</v>
          </cell>
          <cell r="B784" t="str">
            <v>TOWN OF OAKBORO</v>
          </cell>
          <cell r="C784">
            <v>8.2700000000000004E-5</v>
          </cell>
          <cell r="D784">
            <v>9.1000000000000003E-5</v>
          </cell>
          <cell r="E784">
            <v>35572</v>
          </cell>
          <cell r="F784">
            <v>0</v>
          </cell>
          <cell r="G784">
            <v>126343</v>
          </cell>
          <cell r="H784"/>
          <cell r="I784">
            <v>7279</v>
          </cell>
          <cell r="J784">
            <v>30676</v>
          </cell>
          <cell r="K784">
            <v>18043</v>
          </cell>
          <cell r="L784">
            <v>570</v>
          </cell>
          <cell r="M784"/>
          <cell r="N784">
            <v>3576</v>
          </cell>
          <cell r="O784">
            <v>0</v>
          </cell>
          <cell r="P784">
            <v>0</v>
          </cell>
          <cell r="Q784">
            <v>22406</v>
          </cell>
          <cell r="R784"/>
          <cell r="S784">
            <v>42578</v>
          </cell>
          <cell r="T784">
            <v>-8026</v>
          </cell>
          <cell r="U784">
            <v>34552</v>
          </cell>
        </row>
        <row r="785">
          <cell r="A785">
            <v>98451</v>
          </cell>
          <cell r="B785" t="str">
            <v>TOWN OF BADIN</v>
          </cell>
          <cell r="C785">
            <v>5.7000000000000003E-5</v>
          </cell>
          <cell r="D785">
            <v>5.6199999999999997E-5</v>
          </cell>
          <cell r="E785">
            <v>26132</v>
          </cell>
          <cell r="F785">
            <v>0</v>
          </cell>
          <cell r="G785">
            <v>87080</v>
          </cell>
          <cell r="H785"/>
          <cell r="I785">
            <v>5017</v>
          </cell>
          <cell r="J785">
            <v>21143</v>
          </cell>
          <cell r="K785">
            <v>12436</v>
          </cell>
          <cell r="L785">
            <v>508</v>
          </cell>
          <cell r="M785"/>
          <cell r="N785">
            <v>2465</v>
          </cell>
          <cell r="O785">
            <v>0</v>
          </cell>
          <cell r="P785">
            <v>0</v>
          </cell>
          <cell r="Q785">
            <v>1478</v>
          </cell>
          <cell r="R785"/>
          <cell r="S785">
            <v>29346</v>
          </cell>
          <cell r="T785">
            <v>-530</v>
          </cell>
          <cell r="U785">
            <v>28816</v>
          </cell>
        </row>
        <row r="786">
          <cell r="A786">
            <v>98481</v>
          </cell>
          <cell r="B786" t="str">
            <v>TOWN OF STANFIELD</v>
          </cell>
          <cell r="C786">
            <v>6.3899999999999995E-5</v>
          </cell>
          <cell r="D786">
            <v>6.7700000000000006E-5</v>
          </cell>
          <cell r="E786">
            <v>27198</v>
          </cell>
          <cell r="F786">
            <v>0</v>
          </cell>
          <cell r="G786">
            <v>97621</v>
          </cell>
          <cell r="H786"/>
          <cell r="I786">
            <v>5624</v>
          </cell>
          <cell r="J786">
            <v>23703</v>
          </cell>
          <cell r="K786">
            <v>13942</v>
          </cell>
          <cell r="L786">
            <v>1545</v>
          </cell>
          <cell r="M786"/>
          <cell r="N786">
            <v>2763</v>
          </cell>
          <cell r="O786">
            <v>0</v>
          </cell>
          <cell r="P786">
            <v>0</v>
          </cell>
          <cell r="Q786">
            <v>5772</v>
          </cell>
          <cell r="R786"/>
          <cell r="S786">
            <v>32899</v>
          </cell>
          <cell r="T786">
            <v>-35</v>
          </cell>
          <cell r="U786">
            <v>32864</v>
          </cell>
        </row>
        <row r="787">
          <cell r="A787">
            <v>98501</v>
          </cell>
          <cell r="B787" t="str">
            <v>STOKES COUNTY</v>
          </cell>
          <cell r="C787">
            <v>1.6022E-3</v>
          </cell>
          <cell r="D787">
            <v>1.5690999999999999E-3</v>
          </cell>
          <cell r="E787">
            <v>760833</v>
          </cell>
          <cell r="F787">
            <v>0</v>
          </cell>
          <cell r="G787">
            <v>2447718</v>
          </cell>
          <cell r="H787"/>
          <cell r="I787">
            <v>141011</v>
          </cell>
          <cell r="J787">
            <v>594309</v>
          </cell>
          <cell r="K787">
            <v>349568</v>
          </cell>
          <cell r="L787">
            <v>75098</v>
          </cell>
          <cell r="M787"/>
          <cell r="N787">
            <v>69287</v>
          </cell>
          <cell r="O787">
            <v>0</v>
          </cell>
          <cell r="P787">
            <v>0</v>
          </cell>
          <cell r="Q787">
            <v>2932</v>
          </cell>
          <cell r="R787"/>
          <cell r="S787">
            <v>824883</v>
          </cell>
          <cell r="T787">
            <v>19182</v>
          </cell>
          <cell r="U787">
            <v>844065</v>
          </cell>
        </row>
        <row r="788">
          <cell r="A788">
            <v>98511</v>
          </cell>
          <cell r="B788" t="str">
            <v>TOWN OF WALNUT COVE</v>
          </cell>
          <cell r="C788">
            <v>4.8000000000000001E-5</v>
          </cell>
          <cell r="D788">
            <v>4.5800000000000002E-5</v>
          </cell>
          <cell r="E788">
            <v>23435</v>
          </cell>
          <cell r="F788">
            <v>0</v>
          </cell>
          <cell r="G788">
            <v>73331</v>
          </cell>
          <cell r="H788"/>
          <cell r="I788">
            <v>4225</v>
          </cell>
          <cell r="J788">
            <v>17804</v>
          </cell>
          <cell r="K788">
            <v>10473</v>
          </cell>
          <cell r="L788">
            <v>5918</v>
          </cell>
          <cell r="M788"/>
          <cell r="N788">
            <v>2076</v>
          </cell>
          <cell r="O788">
            <v>0</v>
          </cell>
          <cell r="P788">
            <v>0</v>
          </cell>
          <cell r="Q788">
            <v>11919</v>
          </cell>
          <cell r="R788"/>
          <cell r="S788">
            <v>24713</v>
          </cell>
          <cell r="T788">
            <v>-9378</v>
          </cell>
          <cell r="U788">
            <v>15335</v>
          </cell>
        </row>
        <row r="789">
          <cell r="A789">
            <v>98517</v>
          </cell>
          <cell r="B789" t="str">
            <v>WALNUT COVE ABC BOARD</v>
          </cell>
          <cell r="C789">
            <v>2.3E-6</v>
          </cell>
          <cell r="D789">
            <v>2.6000000000000001E-6</v>
          </cell>
          <cell r="E789">
            <v>2484</v>
          </cell>
          <cell r="F789">
            <v>0</v>
          </cell>
          <cell r="G789">
            <v>3514</v>
          </cell>
          <cell r="H789"/>
          <cell r="I789">
            <v>202</v>
          </cell>
          <cell r="J789">
            <v>854</v>
          </cell>
          <cell r="K789">
            <v>502</v>
          </cell>
          <cell r="L789">
            <v>1623</v>
          </cell>
          <cell r="M789"/>
          <cell r="N789">
            <v>99</v>
          </cell>
          <cell r="O789">
            <v>0</v>
          </cell>
          <cell r="P789">
            <v>0</v>
          </cell>
          <cell r="Q789">
            <v>0</v>
          </cell>
          <cell r="R789"/>
          <cell r="S789">
            <v>1184</v>
          </cell>
          <cell r="T789">
            <v>589</v>
          </cell>
          <cell r="U789">
            <v>1773</v>
          </cell>
        </row>
        <row r="790">
          <cell r="A790">
            <v>98521</v>
          </cell>
          <cell r="B790" t="str">
            <v>CITY OF KING</v>
          </cell>
          <cell r="C790">
            <v>6.6180000000000004E-4</v>
          </cell>
          <cell r="D790">
            <v>5.7059999999999999E-4</v>
          </cell>
          <cell r="E790">
            <v>270882</v>
          </cell>
          <cell r="F790">
            <v>0</v>
          </cell>
          <cell r="G790">
            <v>1011047</v>
          </cell>
          <cell r="H790"/>
          <cell r="I790">
            <v>58246</v>
          </cell>
          <cell r="J790">
            <v>245484</v>
          </cell>
          <cell r="K790">
            <v>144392</v>
          </cell>
          <cell r="L790">
            <v>34795</v>
          </cell>
          <cell r="M790"/>
          <cell r="N790">
            <v>28620</v>
          </cell>
          <cell r="O790">
            <v>0</v>
          </cell>
          <cell r="P790">
            <v>0</v>
          </cell>
          <cell r="Q790">
            <v>43967</v>
          </cell>
          <cell r="R790"/>
          <cell r="S790">
            <v>340724</v>
          </cell>
          <cell r="T790">
            <v>-10201</v>
          </cell>
          <cell r="U790">
            <v>330523</v>
          </cell>
        </row>
        <row r="791">
          <cell r="A791">
            <v>98601</v>
          </cell>
          <cell r="B791" t="str">
            <v>SURRY COUNTY</v>
          </cell>
          <cell r="C791">
            <v>3.4148E-3</v>
          </cell>
          <cell r="D791">
            <v>3.5065999999999999E-3</v>
          </cell>
          <cell r="E791">
            <v>1494584</v>
          </cell>
          <cell r="F791">
            <v>0</v>
          </cell>
          <cell r="G791">
            <v>5216869</v>
          </cell>
          <cell r="H791"/>
          <cell r="I791">
            <v>300540</v>
          </cell>
          <cell r="J791">
            <v>1266662</v>
          </cell>
          <cell r="K791">
            <v>745041</v>
          </cell>
          <cell r="L791">
            <v>0</v>
          </cell>
          <cell r="M791"/>
          <cell r="N791">
            <v>147673</v>
          </cell>
          <cell r="O791">
            <v>0</v>
          </cell>
          <cell r="P791">
            <v>0</v>
          </cell>
          <cell r="Q791">
            <v>216693</v>
          </cell>
          <cell r="R791"/>
          <cell r="S791">
            <v>1758089</v>
          </cell>
          <cell r="T791">
            <v>-93549</v>
          </cell>
          <cell r="U791">
            <v>1664540</v>
          </cell>
        </row>
        <row r="792">
          <cell r="A792">
            <v>98604</v>
          </cell>
          <cell r="B792" t="str">
            <v>YADKIN VALLEY ABC BOARD</v>
          </cell>
          <cell r="C792">
            <v>1.34E-5</v>
          </cell>
          <cell r="D792">
            <v>1.59E-5</v>
          </cell>
          <cell r="E792">
            <v>7588</v>
          </cell>
          <cell r="F792">
            <v>0</v>
          </cell>
          <cell r="G792">
            <v>20471</v>
          </cell>
          <cell r="H792"/>
          <cell r="I792">
            <v>1179</v>
          </cell>
          <cell r="J792">
            <v>4970</v>
          </cell>
          <cell r="K792">
            <v>2924</v>
          </cell>
          <cell r="L792">
            <v>8946</v>
          </cell>
          <cell r="M792"/>
          <cell r="N792">
            <v>579</v>
          </cell>
          <cell r="O792">
            <v>0</v>
          </cell>
          <cell r="P792">
            <v>0</v>
          </cell>
          <cell r="Q792">
            <v>5504</v>
          </cell>
          <cell r="R792"/>
          <cell r="S792">
            <v>6899</v>
          </cell>
          <cell r="T792">
            <v>2137</v>
          </cell>
          <cell r="U792">
            <v>9036</v>
          </cell>
        </row>
        <row r="793">
          <cell r="A793">
            <v>98607</v>
          </cell>
          <cell r="B793" t="str">
            <v>PILOT MOUNTAIN ABC BOARD</v>
          </cell>
          <cell r="C793">
            <v>5.9000000000000003E-6</v>
          </cell>
          <cell r="D793">
            <v>5.9000000000000003E-6</v>
          </cell>
          <cell r="E793">
            <v>2774</v>
          </cell>
          <cell r="F793">
            <v>0</v>
          </cell>
          <cell r="G793">
            <v>9014</v>
          </cell>
          <cell r="H793"/>
          <cell r="I793">
            <v>519</v>
          </cell>
          <cell r="J793">
            <v>2188</v>
          </cell>
          <cell r="K793">
            <v>1287</v>
          </cell>
          <cell r="L793">
            <v>52</v>
          </cell>
          <cell r="M793"/>
          <cell r="N793">
            <v>255</v>
          </cell>
          <cell r="O793">
            <v>0</v>
          </cell>
          <cell r="P793">
            <v>0</v>
          </cell>
          <cell r="Q793">
            <v>1474</v>
          </cell>
          <cell r="R793"/>
          <cell r="S793">
            <v>3038</v>
          </cell>
          <cell r="T793">
            <v>-861</v>
          </cell>
          <cell r="U793">
            <v>2177</v>
          </cell>
        </row>
        <row r="794">
          <cell r="A794">
            <v>98608</v>
          </cell>
          <cell r="B794" t="str">
            <v>YADKIN VALLEY SEWER AUTHORITY</v>
          </cell>
          <cell r="C794">
            <v>4.9200000000000003E-5</v>
          </cell>
          <cell r="D794">
            <v>4.2299999999999998E-5</v>
          </cell>
          <cell r="E794">
            <v>20059</v>
          </cell>
          <cell r="F794">
            <v>0</v>
          </cell>
          <cell r="G794">
            <v>75164</v>
          </cell>
          <cell r="H794"/>
          <cell r="I794">
            <v>4330</v>
          </cell>
          <cell r="J794">
            <v>18250</v>
          </cell>
          <cell r="K794">
            <v>10734</v>
          </cell>
          <cell r="L794">
            <v>6529</v>
          </cell>
          <cell r="M794"/>
          <cell r="N794">
            <v>2128</v>
          </cell>
          <cell r="O794">
            <v>0</v>
          </cell>
          <cell r="P794">
            <v>0</v>
          </cell>
          <cell r="Q794">
            <v>5369</v>
          </cell>
          <cell r="R794"/>
          <cell r="S794">
            <v>25330</v>
          </cell>
          <cell r="T794">
            <v>1217</v>
          </cell>
          <cell r="U794">
            <v>26547</v>
          </cell>
        </row>
        <row r="795">
          <cell r="A795">
            <v>98611</v>
          </cell>
          <cell r="B795" t="str">
            <v>TOWN OF PILOT MOUNTAIN</v>
          </cell>
          <cell r="C795">
            <v>8.6899999999999998E-5</v>
          </cell>
          <cell r="D795">
            <v>8.6700000000000007E-5</v>
          </cell>
          <cell r="E795">
            <v>49931</v>
          </cell>
          <cell r="F795">
            <v>0</v>
          </cell>
          <cell r="G795">
            <v>132759</v>
          </cell>
          <cell r="H795"/>
          <cell r="I795">
            <v>7648</v>
          </cell>
          <cell r="J795">
            <v>32235</v>
          </cell>
          <cell r="K795">
            <v>18960</v>
          </cell>
          <cell r="L795">
            <v>10690</v>
          </cell>
          <cell r="M795"/>
          <cell r="N795">
            <v>3758</v>
          </cell>
          <cell r="O795">
            <v>0</v>
          </cell>
          <cell r="P795">
            <v>0</v>
          </cell>
          <cell r="Q795">
            <v>9519</v>
          </cell>
          <cell r="R795"/>
          <cell r="S795">
            <v>44740</v>
          </cell>
          <cell r="T795">
            <v>910</v>
          </cell>
          <cell r="U795">
            <v>45650</v>
          </cell>
        </row>
        <row r="796">
          <cell r="A796">
            <v>98621</v>
          </cell>
          <cell r="B796" t="str">
            <v>TOWN OF DOBSON</v>
          </cell>
          <cell r="C796">
            <v>1.314E-4</v>
          </cell>
          <cell r="D796">
            <v>1.3239999999999999E-4</v>
          </cell>
          <cell r="E796">
            <v>55891</v>
          </cell>
          <cell r="F796">
            <v>0</v>
          </cell>
          <cell r="G796">
            <v>200743</v>
          </cell>
          <cell r="H796"/>
          <cell r="I796">
            <v>11565</v>
          </cell>
          <cell r="J796">
            <v>48740</v>
          </cell>
          <cell r="K796">
            <v>28669</v>
          </cell>
          <cell r="L796">
            <v>473</v>
          </cell>
          <cell r="M796"/>
          <cell r="N796">
            <v>5682</v>
          </cell>
          <cell r="O796">
            <v>0</v>
          </cell>
          <cell r="P796">
            <v>0</v>
          </cell>
          <cell r="Q796">
            <v>10727</v>
          </cell>
          <cell r="R796"/>
          <cell r="S796">
            <v>67651</v>
          </cell>
          <cell r="T796">
            <v>-3535</v>
          </cell>
          <cell r="U796">
            <v>64116</v>
          </cell>
        </row>
        <row r="797">
          <cell r="A797">
            <v>98627</v>
          </cell>
          <cell r="B797" t="str">
            <v>DOBSON ABC BD</v>
          </cell>
          <cell r="C797">
            <v>8.6999999999999997E-6</v>
          </cell>
          <cell r="D797">
            <v>9.3999999999999998E-6</v>
          </cell>
          <cell r="E797">
            <v>3354</v>
          </cell>
          <cell r="F797">
            <v>0</v>
          </cell>
          <cell r="G797">
            <v>13291</v>
          </cell>
          <cell r="H797"/>
          <cell r="I797">
            <v>766</v>
          </cell>
          <cell r="J797">
            <v>3227</v>
          </cell>
          <cell r="K797">
            <v>1898</v>
          </cell>
          <cell r="L797">
            <v>316</v>
          </cell>
          <cell r="M797"/>
          <cell r="N797">
            <v>376</v>
          </cell>
          <cell r="O797">
            <v>0</v>
          </cell>
          <cell r="P797">
            <v>0</v>
          </cell>
          <cell r="Q797">
            <v>1098</v>
          </cell>
          <cell r="R797"/>
          <cell r="S797">
            <v>4479</v>
          </cell>
          <cell r="T797">
            <v>-220</v>
          </cell>
          <cell r="U797">
            <v>4259</v>
          </cell>
        </row>
        <row r="798">
          <cell r="A798">
            <v>98631</v>
          </cell>
          <cell r="B798" t="str">
            <v>CITY OF MOUNT AIRY</v>
          </cell>
          <cell r="C798">
            <v>1.0051999999999999E-3</v>
          </cell>
          <cell r="D798">
            <v>1.0415000000000001E-3</v>
          </cell>
          <cell r="E798">
            <v>466623</v>
          </cell>
          <cell r="F798">
            <v>0</v>
          </cell>
          <cell r="G798">
            <v>1535667</v>
          </cell>
          <cell r="H798"/>
          <cell r="I798">
            <v>88469</v>
          </cell>
          <cell r="J798">
            <v>372862</v>
          </cell>
          <cell r="K798">
            <v>219315</v>
          </cell>
          <cell r="L798">
            <v>0</v>
          </cell>
          <cell r="M798"/>
          <cell r="N798">
            <v>43470</v>
          </cell>
          <cell r="O798">
            <v>0</v>
          </cell>
          <cell r="P798">
            <v>0</v>
          </cell>
          <cell r="Q798">
            <v>102113</v>
          </cell>
          <cell r="R798"/>
          <cell r="S798">
            <v>517521</v>
          </cell>
          <cell r="T798">
            <v>-41744</v>
          </cell>
          <cell r="U798">
            <v>475777</v>
          </cell>
        </row>
        <row r="799">
          <cell r="A799">
            <v>98637</v>
          </cell>
          <cell r="B799" t="str">
            <v>MOUNT AIRY ALCOHOLIC BOARD OF CONTROL</v>
          </cell>
          <cell r="C799">
            <v>2.0800000000000001E-5</v>
          </cell>
          <cell r="D799">
            <v>2.2200000000000001E-5</v>
          </cell>
          <cell r="E799">
            <v>15729</v>
          </cell>
          <cell r="F799">
            <v>0</v>
          </cell>
          <cell r="G799">
            <v>31777</v>
          </cell>
          <cell r="H799"/>
          <cell r="I799">
            <v>1831</v>
          </cell>
          <cell r="J799">
            <v>7715</v>
          </cell>
          <cell r="K799">
            <v>4538</v>
          </cell>
          <cell r="L799">
            <v>8386</v>
          </cell>
          <cell r="M799"/>
          <cell r="N799">
            <v>899</v>
          </cell>
          <cell r="O799">
            <v>0</v>
          </cell>
          <cell r="P799">
            <v>0</v>
          </cell>
          <cell r="Q799">
            <v>0</v>
          </cell>
          <cell r="R799"/>
          <cell r="S799">
            <v>10709</v>
          </cell>
          <cell r="T799">
            <v>3206</v>
          </cell>
          <cell r="U799">
            <v>13915</v>
          </cell>
        </row>
        <row r="800">
          <cell r="A800">
            <v>98641</v>
          </cell>
          <cell r="B800" t="str">
            <v>TOWN OF ELKIN</v>
          </cell>
          <cell r="C800">
            <v>2.965E-4</v>
          </cell>
          <cell r="D800">
            <v>3.0019999999999998E-4</v>
          </cell>
          <cell r="E800">
            <v>140670</v>
          </cell>
          <cell r="F800">
            <v>0</v>
          </cell>
          <cell r="G800">
            <v>452970</v>
          </cell>
          <cell r="H800"/>
          <cell r="I800">
            <v>26095</v>
          </cell>
          <cell r="J800">
            <v>109981</v>
          </cell>
          <cell r="K800">
            <v>64690</v>
          </cell>
          <cell r="L800">
            <v>3407</v>
          </cell>
          <cell r="M800"/>
          <cell r="N800">
            <v>12822</v>
          </cell>
          <cell r="O800">
            <v>0</v>
          </cell>
          <cell r="P800">
            <v>0</v>
          </cell>
          <cell r="Q800">
            <v>7840</v>
          </cell>
          <cell r="R800"/>
          <cell r="S800">
            <v>152651</v>
          </cell>
          <cell r="T800">
            <v>-183</v>
          </cell>
          <cell r="U800">
            <v>152468</v>
          </cell>
        </row>
        <row r="801">
          <cell r="A801">
            <v>98701</v>
          </cell>
          <cell r="B801" t="str">
            <v>SWAIN COUNTY</v>
          </cell>
          <cell r="C801">
            <v>1.1333999999999999E-3</v>
          </cell>
          <cell r="D801">
            <v>1.1793000000000001E-3</v>
          </cell>
          <cell r="E801">
            <v>514113</v>
          </cell>
          <cell r="F801">
            <v>2502870</v>
          </cell>
          <cell r="G801">
            <v>1731521</v>
          </cell>
          <cell r="H801"/>
          <cell r="I801">
            <v>99752</v>
          </cell>
          <cell r="J801">
            <v>420415</v>
          </cell>
          <cell r="K801">
            <v>247285</v>
          </cell>
          <cell r="L801">
            <v>3431</v>
          </cell>
          <cell r="M801"/>
          <cell r="N801">
            <v>49014</v>
          </cell>
          <cell r="O801">
            <v>0</v>
          </cell>
          <cell r="P801">
            <v>0</v>
          </cell>
          <cell r="Q801">
            <v>66380</v>
          </cell>
          <cell r="R801"/>
          <cell r="S801">
            <v>583524</v>
          </cell>
          <cell r="T801">
            <v>-25976</v>
          </cell>
          <cell r="U801">
            <v>557548</v>
          </cell>
        </row>
        <row r="802">
          <cell r="A802">
            <v>98711</v>
          </cell>
          <cell r="B802" t="str">
            <v>TOWN OF BRYSON CITY</v>
          </cell>
          <cell r="C802">
            <v>1.8369999999999999E-4</v>
          </cell>
          <cell r="D802">
            <v>1.8039999999999999E-4</v>
          </cell>
          <cell r="E802">
            <v>70342</v>
          </cell>
          <cell r="F802">
            <v>382869</v>
          </cell>
          <cell r="G802">
            <v>280643</v>
          </cell>
          <cell r="H802"/>
          <cell r="I802">
            <v>16168</v>
          </cell>
          <cell r="J802">
            <v>68140</v>
          </cell>
          <cell r="K802">
            <v>40080</v>
          </cell>
          <cell r="L802">
            <v>1238</v>
          </cell>
          <cell r="M802"/>
          <cell r="N802">
            <v>7944</v>
          </cell>
          <cell r="O802">
            <v>0</v>
          </cell>
          <cell r="P802">
            <v>0</v>
          </cell>
          <cell r="Q802">
            <v>16374</v>
          </cell>
          <cell r="R802"/>
          <cell r="S802">
            <v>94577</v>
          </cell>
          <cell r="T802">
            <v>-4053</v>
          </cell>
          <cell r="U802">
            <v>90524</v>
          </cell>
        </row>
        <row r="803">
          <cell r="A803">
            <v>98717</v>
          </cell>
          <cell r="B803" t="str">
            <v>BRYSON CITY ABC BOARD</v>
          </cell>
          <cell r="C803">
            <v>2.1100000000000001E-5</v>
          </cell>
          <cell r="D803">
            <v>1.8600000000000001E-5</v>
          </cell>
          <cell r="E803">
            <v>8759</v>
          </cell>
          <cell r="F803">
            <v>39475</v>
          </cell>
          <cell r="G803">
            <v>32235</v>
          </cell>
          <cell r="H803"/>
          <cell r="I803">
            <v>1857</v>
          </cell>
          <cell r="J803">
            <v>7827</v>
          </cell>
          <cell r="K803">
            <v>4604</v>
          </cell>
          <cell r="L803">
            <v>1439</v>
          </cell>
          <cell r="M803"/>
          <cell r="N803">
            <v>912</v>
          </cell>
          <cell r="O803">
            <v>0</v>
          </cell>
          <cell r="P803">
            <v>0</v>
          </cell>
          <cell r="Q803">
            <v>534</v>
          </cell>
          <cell r="R803"/>
          <cell r="S803">
            <v>10863</v>
          </cell>
          <cell r="T803">
            <v>247</v>
          </cell>
          <cell r="U803">
            <v>11110</v>
          </cell>
        </row>
        <row r="804">
          <cell r="A804">
            <v>98801</v>
          </cell>
          <cell r="B804" t="str">
            <v>TRANSYLVANIA COUNTY</v>
          </cell>
          <cell r="C804">
            <v>2.2859E-3</v>
          </cell>
          <cell r="D804">
            <v>2.1771999999999998E-3</v>
          </cell>
          <cell r="E804">
            <v>1067051</v>
          </cell>
          <cell r="F804">
            <v>4620748</v>
          </cell>
          <cell r="G804">
            <v>3492222</v>
          </cell>
          <cell r="H804"/>
          <cell r="I804">
            <v>201184</v>
          </cell>
          <cell r="J804">
            <v>847916</v>
          </cell>
          <cell r="K804">
            <v>498738</v>
          </cell>
          <cell r="L804">
            <v>146068</v>
          </cell>
          <cell r="M804"/>
          <cell r="N804">
            <v>98854</v>
          </cell>
          <cell r="O804">
            <v>0</v>
          </cell>
          <cell r="P804">
            <v>0</v>
          </cell>
          <cell r="Q804">
            <v>0</v>
          </cell>
          <cell r="R804"/>
          <cell r="S804">
            <v>1176882</v>
          </cell>
          <cell r="T804">
            <v>55567</v>
          </cell>
          <cell r="U804">
            <v>1232449</v>
          </cell>
        </row>
        <row r="805">
          <cell r="A805">
            <v>98811</v>
          </cell>
          <cell r="B805" t="str">
            <v>CITY OF BREVARD</v>
          </cell>
          <cell r="C805">
            <v>6.5160000000000001E-4</v>
          </cell>
          <cell r="D805">
            <v>7.1120000000000005E-4</v>
          </cell>
          <cell r="E805">
            <v>323262</v>
          </cell>
          <cell r="F805">
            <v>1509405</v>
          </cell>
          <cell r="G805">
            <v>995464</v>
          </cell>
          <cell r="H805"/>
          <cell r="I805">
            <v>57348</v>
          </cell>
          <cell r="J805">
            <v>241700</v>
          </cell>
          <cell r="K805">
            <v>142166</v>
          </cell>
          <cell r="L805">
            <v>16975</v>
          </cell>
          <cell r="M805"/>
          <cell r="N805">
            <v>28178</v>
          </cell>
          <cell r="O805">
            <v>0</v>
          </cell>
          <cell r="P805">
            <v>0</v>
          </cell>
          <cell r="Q805">
            <v>46894</v>
          </cell>
          <cell r="R805"/>
          <cell r="S805">
            <v>335472</v>
          </cell>
          <cell r="T805">
            <v>-312</v>
          </cell>
          <cell r="U805">
            <v>335160</v>
          </cell>
        </row>
        <row r="806">
          <cell r="A806">
            <v>98817</v>
          </cell>
          <cell r="B806" t="str">
            <v>BREVARD ABC BOARD</v>
          </cell>
          <cell r="C806">
            <v>2.5199999999999999E-5</v>
          </cell>
          <cell r="D806">
            <v>2.34E-5</v>
          </cell>
          <cell r="E806">
            <v>14663</v>
          </cell>
          <cell r="F806">
            <v>49663</v>
          </cell>
          <cell r="G806">
            <v>38499</v>
          </cell>
          <cell r="H806"/>
          <cell r="I806">
            <v>2218</v>
          </cell>
          <cell r="J806">
            <v>9347</v>
          </cell>
          <cell r="K806">
            <v>5498</v>
          </cell>
          <cell r="L806">
            <v>3862</v>
          </cell>
          <cell r="M806"/>
          <cell r="N806">
            <v>1090</v>
          </cell>
          <cell r="O806">
            <v>0</v>
          </cell>
          <cell r="P806">
            <v>0</v>
          </cell>
          <cell r="Q806">
            <v>2179</v>
          </cell>
          <cell r="R806"/>
          <cell r="S806">
            <v>12974</v>
          </cell>
          <cell r="T806">
            <v>-1216</v>
          </cell>
          <cell r="U806">
            <v>11758</v>
          </cell>
        </row>
        <row r="807">
          <cell r="A807">
            <v>98901</v>
          </cell>
          <cell r="B807" t="str">
            <v>TYRRELL COUNTY</v>
          </cell>
          <cell r="C807">
            <v>3.5050000000000001E-4</v>
          </cell>
          <cell r="D807">
            <v>3.392E-4</v>
          </cell>
          <cell r="E807">
            <v>159126</v>
          </cell>
          <cell r="F807">
            <v>719896</v>
          </cell>
          <cell r="G807">
            <v>535467</v>
          </cell>
          <cell r="H807"/>
          <cell r="I807">
            <v>30848</v>
          </cell>
          <cell r="J807">
            <v>130012</v>
          </cell>
          <cell r="K807">
            <v>76472</v>
          </cell>
          <cell r="L807">
            <v>7505</v>
          </cell>
          <cell r="M807"/>
          <cell r="N807">
            <v>15157</v>
          </cell>
          <cell r="O807">
            <v>0</v>
          </cell>
          <cell r="P807">
            <v>0</v>
          </cell>
          <cell r="Q807">
            <v>2530</v>
          </cell>
          <cell r="R807"/>
          <cell r="S807">
            <v>180453</v>
          </cell>
          <cell r="T807">
            <v>975</v>
          </cell>
          <cell r="U807">
            <v>181428</v>
          </cell>
        </row>
        <row r="808">
          <cell r="A808">
            <v>98904</v>
          </cell>
          <cell r="B808" t="str">
            <v>TYRRELL CO ABC BOARD</v>
          </cell>
          <cell r="C808">
            <v>2.7999999999999999E-6</v>
          </cell>
          <cell r="D808">
            <v>5.2000000000000002E-6</v>
          </cell>
          <cell r="E808">
            <v>1608</v>
          </cell>
          <cell r="F808">
            <v>11036</v>
          </cell>
          <cell r="G808">
            <v>4278</v>
          </cell>
          <cell r="H808"/>
          <cell r="I808">
            <v>246</v>
          </cell>
          <cell r="J808">
            <v>1039</v>
          </cell>
          <cell r="K808">
            <v>611</v>
          </cell>
          <cell r="L808">
            <v>365</v>
          </cell>
          <cell r="M808"/>
          <cell r="N808">
            <v>121</v>
          </cell>
          <cell r="O808">
            <v>0</v>
          </cell>
          <cell r="P808">
            <v>0</v>
          </cell>
          <cell r="Q808">
            <v>1887</v>
          </cell>
          <cell r="R808"/>
          <cell r="S808">
            <v>1442</v>
          </cell>
          <cell r="T808">
            <v>-315</v>
          </cell>
          <cell r="U808">
            <v>1127</v>
          </cell>
        </row>
        <row r="809">
          <cell r="A809">
            <v>98911</v>
          </cell>
          <cell r="B809" t="str">
            <v>TOWN OF COLUMBIA</v>
          </cell>
          <cell r="C809">
            <v>2.7900000000000001E-5</v>
          </cell>
          <cell r="D809">
            <v>2.8600000000000001E-5</v>
          </cell>
          <cell r="E809">
            <v>17945</v>
          </cell>
          <cell r="F809">
            <v>60699</v>
          </cell>
          <cell r="G809">
            <v>42623</v>
          </cell>
          <cell r="H809"/>
          <cell r="I809">
            <v>2456</v>
          </cell>
          <cell r="J809">
            <v>10349</v>
          </cell>
          <cell r="K809">
            <v>6087</v>
          </cell>
          <cell r="L809">
            <v>12780</v>
          </cell>
          <cell r="M809"/>
          <cell r="N809">
            <v>1207</v>
          </cell>
          <cell r="O809">
            <v>0</v>
          </cell>
          <cell r="P809">
            <v>0</v>
          </cell>
          <cell r="Q809">
            <v>0</v>
          </cell>
          <cell r="R809"/>
          <cell r="S809">
            <v>14364</v>
          </cell>
          <cell r="T809">
            <v>5565</v>
          </cell>
          <cell r="U809">
            <v>19929</v>
          </cell>
        </row>
        <row r="810">
          <cell r="A810">
            <v>99001</v>
          </cell>
          <cell r="B810" t="str">
            <v>UNION COUNTY</v>
          </cell>
          <cell r="C810">
            <v>8.0949000000000004E-3</v>
          </cell>
          <cell r="D810">
            <v>7.8098999999999998E-3</v>
          </cell>
          <cell r="E810">
            <v>3574723</v>
          </cell>
          <cell r="F810">
            <v>16575224</v>
          </cell>
          <cell r="G810">
            <v>12366765</v>
          </cell>
          <cell r="H810"/>
          <cell r="I810">
            <v>712440</v>
          </cell>
          <cell r="J810">
            <v>3002666</v>
          </cell>
          <cell r="K810">
            <v>1766145</v>
          </cell>
          <cell r="L810">
            <v>355732</v>
          </cell>
          <cell r="M810"/>
          <cell r="N810">
            <v>350064</v>
          </cell>
          <cell r="O810">
            <v>0</v>
          </cell>
          <cell r="P810">
            <v>0</v>
          </cell>
          <cell r="Q810">
            <v>0</v>
          </cell>
          <cell r="R810"/>
          <cell r="S810">
            <v>4167611</v>
          </cell>
          <cell r="T810">
            <v>186049</v>
          </cell>
          <cell r="U810">
            <v>4353660</v>
          </cell>
        </row>
        <row r="811">
          <cell r="A811">
            <v>99011</v>
          </cell>
          <cell r="B811" t="str">
            <v>CITY OF MONROE</v>
          </cell>
          <cell r="C811">
            <v>3.8736999999999999E-3</v>
          </cell>
          <cell r="D811">
            <v>3.9039000000000001E-3</v>
          </cell>
          <cell r="E811">
            <v>1767797</v>
          </cell>
          <cell r="F811">
            <v>8285384</v>
          </cell>
          <cell r="G811">
            <v>5917941</v>
          </cell>
          <cell r="H811"/>
          <cell r="I811">
            <v>340928</v>
          </cell>
          <cell r="J811">
            <v>1436883</v>
          </cell>
          <cell r="K811">
            <v>845164</v>
          </cell>
          <cell r="L811">
            <v>0</v>
          </cell>
          <cell r="M811"/>
          <cell r="N811">
            <v>167518</v>
          </cell>
          <cell r="O811">
            <v>0</v>
          </cell>
          <cell r="P811">
            <v>0</v>
          </cell>
          <cell r="Q811">
            <v>396289</v>
          </cell>
          <cell r="R811"/>
          <cell r="S811">
            <v>1994351</v>
          </cell>
          <cell r="T811">
            <v>-212974</v>
          </cell>
          <cell r="U811">
            <v>1781377</v>
          </cell>
        </row>
        <row r="812">
          <cell r="A812">
            <v>99013</v>
          </cell>
          <cell r="B812" t="str">
            <v>CITY OF MONROE HOUSING AUTHORITY</v>
          </cell>
          <cell r="C812">
            <v>5.5999999999999999E-5</v>
          </cell>
          <cell r="D812">
            <v>6.02E-5</v>
          </cell>
          <cell r="E812">
            <v>27133</v>
          </cell>
          <cell r="F812">
            <v>127765</v>
          </cell>
          <cell r="G812">
            <v>85552</v>
          </cell>
          <cell r="H812"/>
          <cell r="I812">
            <v>4929</v>
          </cell>
          <cell r="J812">
            <v>20773</v>
          </cell>
          <cell r="K812">
            <v>12218</v>
          </cell>
          <cell r="L812">
            <v>10</v>
          </cell>
          <cell r="M812"/>
          <cell r="N812">
            <v>2422</v>
          </cell>
          <cell r="O812">
            <v>0</v>
          </cell>
          <cell r="P812">
            <v>0</v>
          </cell>
          <cell r="Q812">
            <v>8046</v>
          </cell>
          <cell r="R812"/>
          <cell r="S812">
            <v>28831</v>
          </cell>
          <cell r="T812">
            <v>-2790</v>
          </cell>
          <cell r="U812">
            <v>26041</v>
          </cell>
        </row>
        <row r="813">
          <cell r="A813">
            <v>99014</v>
          </cell>
          <cell r="B813" t="str">
            <v>INDIAN TRAIL ABC BOARD</v>
          </cell>
          <cell r="C813">
            <v>2.0100000000000001E-5</v>
          </cell>
          <cell r="D813">
            <v>2.4199999999999999E-5</v>
          </cell>
          <cell r="E813">
            <v>13999</v>
          </cell>
          <cell r="F813">
            <v>51361</v>
          </cell>
          <cell r="G813">
            <v>30707</v>
          </cell>
          <cell r="H813"/>
          <cell r="I813">
            <v>1769</v>
          </cell>
          <cell r="J813">
            <v>7456</v>
          </cell>
          <cell r="K813">
            <v>4385</v>
          </cell>
          <cell r="L813">
            <v>12703</v>
          </cell>
          <cell r="M813"/>
          <cell r="N813">
            <v>869</v>
          </cell>
          <cell r="O813">
            <v>0</v>
          </cell>
          <cell r="P813">
            <v>0</v>
          </cell>
          <cell r="Q813">
            <v>0</v>
          </cell>
          <cell r="R813"/>
          <cell r="S813">
            <v>10348</v>
          </cell>
          <cell r="T813">
            <v>4335</v>
          </cell>
          <cell r="U813">
            <v>14683</v>
          </cell>
        </row>
        <row r="814">
          <cell r="A814">
            <v>99017</v>
          </cell>
          <cell r="B814" t="str">
            <v>MONROE ABC BOARD</v>
          </cell>
          <cell r="C814">
            <v>5.13E-5</v>
          </cell>
          <cell r="D814">
            <v>4.6999999999999997E-5</v>
          </cell>
          <cell r="E814">
            <v>25055</v>
          </cell>
          <cell r="F814">
            <v>99750</v>
          </cell>
          <cell r="G814">
            <v>78372</v>
          </cell>
          <cell r="H814"/>
          <cell r="I814">
            <v>4515</v>
          </cell>
          <cell r="J814">
            <v>19029</v>
          </cell>
          <cell r="K814">
            <v>11193</v>
          </cell>
          <cell r="L814">
            <v>8072</v>
          </cell>
          <cell r="M814"/>
          <cell r="N814">
            <v>2218</v>
          </cell>
          <cell r="O814">
            <v>0</v>
          </cell>
          <cell r="P814">
            <v>0</v>
          </cell>
          <cell r="Q814">
            <v>3306</v>
          </cell>
          <cell r="R814"/>
          <cell r="S814">
            <v>26411</v>
          </cell>
          <cell r="T814">
            <v>-629</v>
          </cell>
          <cell r="U814">
            <v>25782</v>
          </cell>
        </row>
        <row r="815">
          <cell r="A815">
            <v>99021</v>
          </cell>
          <cell r="B815" t="str">
            <v>TOWN OF MARSHVILLE</v>
          </cell>
          <cell r="C815">
            <v>1.5249999999999999E-4</v>
          </cell>
          <cell r="D815">
            <v>1.3420000000000001E-4</v>
          </cell>
          <cell r="E815">
            <v>64601</v>
          </cell>
          <cell r="F815">
            <v>284817</v>
          </cell>
          <cell r="G815">
            <v>232978</v>
          </cell>
          <cell r="H815"/>
          <cell r="I815">
            <v>13422</v>
          </cell>
          <cell r="J815">
            <v>56568</v>
          </cell>
          <cell r="K815">
            <v>33272</v>
          </cell>
          <cell r="L815">
            <v>11565</v>
          </cell>
          <cell r="M815"/>
          <cell r="N815">
            <v>6595</v>
          </cell>
          <cell r="O815">
            <v>0</v>
          </cell>
          <cell r="P815">
            <v>0</v>
          </cell>
          <cell r="Q815">
            <v>728</v>
          </cell>
          <cell r="R815"/>
          <cell r="S815">
            <v>78514</v>
          </cell>
          <cell r="T815">
            <v>3978</v>
          </cell>
          <cell r="U815">
            <v>82492</v>
          </cell>
        </row>
        <row r="816">
          <cell r="A816">
            <v>99022</v>
          </cell>
          <cell r="B816" t="str">
            <v>TOWN OF MINERAL SPRINGS</v>
          </cell>
          <cell r="C816">
            <v>1.08E-5</v>
          </cell>
          <cell r="D816">
            <v>1.1800000000000001E-5</v>
          </cell>
          <cell r="E816">
            <v>11386</v>
          </cell>
          <cell r="F816">
            <v>25044</v>
          </cell>
          <cell r="G816">
            <v>16499</v>
          </cell>
          <cell r="H816"/>
          <cell r="I816">
            <v>951</v>
          </cell>
          <cell r="J816">
            <v>4006</v>
          </cell>
          <cell r="K816">
            <v>2356</v>
          </cell>
          <cell r="L816">
            <v>8944</v>
          </cell>
          <cell r="M816"/>
          <cell r="N816">
            <v>467</v>
          </cell>
          <cell r="O816">
            <v>0</v>
          </cell>
          <cell r="P816">
            <v>0</v>
          </cell>
          <cell r="Q816">
            <v>132</v>
          </cell>
          <cell r="R816"/>
          <cell r="S816">
            <v>5560</v>
          </cell>
          <cell r="T816">
            <v>2896</v>
          </cell>
          <cell r="U816">
            <v>8456</v>
          </cell>
        </row>
        <row r="817">
          <cell r="A817">
            <v>99031</v>
          </cell>
          <cell r="B817" t="str">
            <v>TOWN OF WINGATE</v>
          </cell>
          <cell r="C817">
            <v>1.518E-4</v>
          </cell>
          <cell r="D817">
            <v>1.5970000000000001E-4</v>
          </cell>
          <cell r="E817">
            <v>59833</v>
          </cell>
          <cell r="F817">
            <v>338937</v>
          </cell>
          <cell r="G817">
            <v>231908</v>
          </cell>
          <cell r="H817"/>
          <cell r="I817">
            <v>13360</v>
          </cell>
          <cell r="J817">
            <v>56308</v>
          </cell>
          <cell r="K817">
            <v>33120</v>
          </cell>
          <cell r="L817">
            <v>2845</v>
          </cell>
          <cell r="M817"/>
          <cell r="N817">
            <v>6565</v>
          </cell>
          <cell r="O817">
            <v>0</v>
          </cell>
          <cell r="P817">
            <v>0</v>
          </cell>
          <cell r="Q817">
            <v>23907</v>
          </cell>
          <cell r="R817"/>
          <cell r="S817">
            <v>78153</v>
          </cell>
          <cell r="T817">
            <v>-11727</v>
          </cell>
          <cell r="U817">
            <v>66426</v>
          </cell>
        </row>
        <row r="818">
          <cell r="A818">
            <v>99041</v>
          </cell>
          <cell r="B818" t="str">
            <v>TOWN OF WAXHAW</v>
          </cell>
          <cell r="C818">
            <v>6.3500000000000004E-4</v>
          </cell>
          <cell r="D818">
            <v>5.6289999999999997E-4</v>
          </cell>
          <cell r="E818">
            <v>254000</v>
          </cell>
          <cell r="F818">
            <v>1194662</v>
          </cell>
          <cell r="G818">
            <v>970104</v>
          </cell>
          <cell r="H818"/>
          <cell r="I818">
            <v>55887</v>
          </cell>
          <cell r="J818">
            <v>235543</v>
          </cell>
          <cell r="K818">
            <v>138544</v>
          </cell>
          <cell r="L818">
            <v>52920</v>
          </cell>
          <cell r="M818"/>
          <cell r="N818">
            <v>27461</v>
          </cell>
          <cell r="O818">
            <v>0</v>
          </cell>
          <cell r="P818">
            <v>0</v>
          </cell>
          <cell r="Q818">
            <v>0</v>
          </cell>
          <cell r="R818"/>
          <cell r="S818">
            <v>326926</v>
          </cell>
          <cell r="T818">
            <v>28997</v>
          </cell>
          <cell r="U818">
            <v>355923</v>
          </cell>
        </row>
        <row r="819">
          <cell r="A819">
            <v>99047</v>
          </cell>
          <cell r="B819" t="str">
            <v>WAXHAW ABC BOARD</v>
          </cell>
          <cell r="C819">
            <v>1.42E-5</v>
          </cell>
          <cell r="D819">
            <v>9.2E-6</v>
          </cell>
          <cell r="E819">
            <v>7761</v>
          </cell>
          <cell r="F819">
            <v>19525</v>
          </cell>
          <cell r="G819">
            <v>21694</v>
          </cell>
          <cell r="H819"/>
          <cell r="I819">
            <v>1250</v>
          </cell>
          <cell r="J819">
            <v>5267</v>
          </cell>
          <cell r="K819">
            <v>3098</v>
          </cell>
          <cell r="L819">
            <v>6410</v>
          </cell>
          <cell r="M819"/>
          <cell r="N819">
            <v>614</v>
          </cell>
          <cell r="O819">
            <v>0</v>
          </cell>
          <cell r="P819">
            <v>0</v>
          </cell>
          <cell r="Q819">
            <v>0</v>
          </cell>
          <cell r="R819"/>
          <cell r="S819">
            <v>7311</v>
          </cell>
          <cell r="T819">
            <v>2345</v>
          </cell>
          <cell r="U819">
            <v>9656</v>
          </cell>
        </row>
        <row r="820">
          <cell r="A820">
            <v>99051</v>
          </cell>
          <cell r="B820" t="str">
            <v>TOWN OF INDIAN TRAIL</v>
          </cell>
          <cell r="C820">
            <v>3.5359999999999998E-4</v>
          </cell>
          <cell r="D820">
            <v>3.3349999999999997E-4</v>
          </cell>
          <cell r="E820">
            <v>142317</v>
          </cell>
          <cell r="F820">
            <v>707799</v>
          </cell>
          <cell r="G820">
            <v>540203</v>
          </cell>
          <cell r="H820"/>
          <cell r="I820">
            <v>31121</v>
          </cell>
          <cell r="J820">
            <v>131162</v>
          </cell>
          <cell r="K820">
            <v>77148</v>
          </cell>
          <cell r="L820">
            <v>11433</v>
          </cell>
          <cell r="M820"/>
          <cell r="N820">
            <v>15291</v>
          </cell>
          <cell r="O820">
            <v>0</v>
          </cell>
          <cell r="P820">
            <v>0</v>
          </cell>
          <cell r="Q820">
            <v>2536</v>
          </cell>
          <cell r="R820"/>
          <cell r="S820">
            <v>182049</v>
          </cell>
          <cell r="T820">
            <v>4776</v>
          </cell>
          <cell r="U820">
            <v>186825</v>
          </cell>
        </row>
        <row r="821">
          <cell r="A821">
            <v>99061</v>
          </cell>
          <cell r="B821" t="str">
            <v>TOWN OF UNIONVILLE</v>
          </cell>
          <cell r="C821">
            <v>8.1000000000000004E-6</v>
          </cell>
          <cell r="D821">
            <v>8.3999999999999992E-6</v>
          </cell>
          <cell r="E821">
            <v>7897</v>
          </cell>
          <cell r="F821">
            <v>17828</v>
          </cell>
          <cell r="G821">
            <v>12375</v>
          </cell>
          <cell r="H821"/>
          <cell r="I821">
            <v>713</v>
          </cell>
          <cell r="J821">
            <v>3005</v>
          </cell>
          <cell r="K821">
            <v>1767</v>
          </cell>
          <cell r="L821">
            <v>7276</v>
          </cell>
          <cell r="M821"/>
          <cell r="N821">
            <v>350</v>
          </cell>
          <cell r="O821">
            <v>0</v>
          </cell>
          <cell r="P821">
            <v>0</v>
          </cell>
          <cell r="Q821">
            <v>0</v>
          </cell>
          <cell r="R821"/>
          <cell r="S821">
            <v>4170</v>
          </cell>
          <cell r="T821">
            <v>2674</v>
          </cell>
          <cell r="U821">
            <v>6844</v>
          </cell>
        </row>
        <row r="822">
          <cell r="A822">
            <v>99071</v>
          </cell>
          <cell r="B822" t="str">
            <v>TOWN OF WEDDINGTON</v>
          </cell>
          <cell r="C822">
            <v>3.04E-5</v>
          </cell>
          <cell r="D822">
            <v>3.0499999999999999E-5</v>
          </cell>
          <cell r="E822">
            <v>15062</v>
          </cell>
          <cell r="F822">
            <v>64731</v>
          </cell>
          <cell r="G822">
            <v>46443</v>
          </cell>
          <cell r="H822"/>
          <cell r="I822">
            <v>2676</v>
          </cell>
          <cell r="J822">
            <v>11277</v>
          </cell>
          <cell r="K822">
            <v>6633</v>
          </cell>
          <cell r="L822">
            <v>818</v>
          </cell>
          <cell r="M822"/>
          <cell r="N822">
            <v>1315</v>
          </cell>
          <cell r="O822">
            <v>0</v>
          </cell>
          <cell r="P822">
            <v>0</v>
          </cell>
          <cell r="Q822">
            <v>2093</v>
          </cell>
          <cell r="R822"/>
          <cell r="S822">
            <v>15651</v>
          </cell>
          <cell r="T822">
            <v>-1107</v>
          </cell>
          <cell r="U822">
            <v>14544</v>
          </cell>
        </row>
        <row r="823">
          <cell r="A823">
            <v>99081</v>
          </cell>
          <cell r="B823" t="str">
            <v>VILLAGE OF MARVIN</v>
          </cell>
          <cell r="C823">
            <v>1.1E-5</v>
          </cell>
          <cell r="D823">
            <v>2.9600000000000001E-5</v>
          </cell>
          <cell r="E823">
            <v>10195</v>
          </cell>
          <cell r="F823">
            <v>62821</v>
          </cell>
          <cell r="G823">
            <v>16805</v>
          </cell>
          <cell r="H823"/>
          <cell r="I823">
            <v>968</v>
          </cell>
          <cell r="J823">
            <v>4081</v>
          </cell>
          <cell r="K823">
            <v>2400</v>
          </cell>
          <cell r="L823">
            <v>3587</v>
          </cell>
          <cell r="M823"/>
          <cell r="N823">
            <v>476</v>
          </cell>
          <cell r="O823">
            <v>0</v>
          </cell>
          <cell r="P823">
            <v>0</v>
          </cell>
          <cell r="Q823">
            <v>13215</v>
          </cell>
          <cell r="R823"/>
          <cell r="S823">
            <v>5663</v>
          </cell>
          <cell r="T823">
            <v>-2898</v>
          </cell>
          <cell r="U823">
            <v>2765</v>
          </cell>
        </row>
        <row r="824">
          <cell r="A824">
            <v>99091</v>
          </cell>
          <cell r="B824" t="str">
            <v>VILLAGE OF WESLEY CHAPEL</v>
          </cell>
          <cell r="C824">
            <v>3.9999999999999998E-6</v>
          </cell>
          <cell r="D824">
            <v>4.1999999999999996E-6</v>
          </cell>
          <cell r="E824">
            <v>4831</v>
          </cell>
          <cell r="F824">
            <v>8914</v>
          </cell>
          <cell r="G824">
            <v>6111</v>
          </cell>
          <cell r="H824"/>
          <cell r="I824">
            <v>352</v>
          </cell>
          <cell r="J824">
            <v>1484</v>
          </cell>
          <cell r="K824">
            <v>873</v>
          </cell>
          <cell r="L824">
            <v>4105</v>
          </cell>
          <cell r="M824"/>
          <cell r="N824">
            <v>173</v>
          </cell>
          <cell r="O824">
            <v>0</v>
          </cell>
          <cell r="P824">
            <v>0</v>
          </cell>
          <cell r="Q824">
            <v>3232</v>
          </cell>
          <cell r="R824"/>
          <cell r="S824">
            <v>2059</v>
          </cell>
          <cell r="T824">
            <v>-1926</v>
          </cell>
          <cell r="U824">
            <v>133</v>
          </cell>
        </row>
        <row r="825">
          <cell r="A825">
            <v>99101</v>
          </cell>
          <cell r="B825" t="str">
            <v>VANCE COUNTY</v>
          </cell>
          <cell r="C825">
            <v>2.1724000000000001E-3</v>
          </cell>
          <cell r="D825">
            <v>2.0087999999999998E-3</v>
          </cell>
          <cell r="E825">
            <v>914274</v>
          </cell>
          <cell r="F825">
            <v>4263347</v>
          </cell>
          <cell r="G825">
            <v>3318825</v>
          </cell>
          <cell r="H825"/>
          <cell r="I825">
            <v>191195</v>
          </cell>
          <cell r="J825">
            <v>805815</v>
          </cell>
          <cell r="K825">
            <v>473974</v>
          </cell>
          <cell r="L825">
            <v>48335</v>
          </cell>
          <cell r="M825"/>
          <cell r="N825">
            <v>93945</v>
          </cell>
          <cell r="O825">
            <v>0</v>
          </cell>
          <cell r="P825">
            <v>0</v>
          </cell>
          <cell r="Q825">
            <v>44900</v>
          </cell>
          <cell r="R825"/>
          <cell r="S825">
            <v>1118447</v>
          </cell>
          <cell r="T825">
            <v>-14151</v>
          </cell>
          <cell r="U825">
            <v>1104296</v>
          </cell>
        </row>
        <row r="826">
          <cell r="A826">
            <v>99104</v>
          </cell>
          <cell r="B826" t="str">
            <v>VANCE COUNTY ABC BD</v>
          </cell>
          <cell r="C826">
            <v>3.3500000000000001E-5</v>
          </cell>
          <cell r="D826">
            <v>3.4799999999999999E-5</v>
          </cell>
          <cell r="E826">
            <v>22874</v>
          </cell>
          <cell r="F826">
            <v>73857</v>
          </cell>
          <cell r="G826">
            <v>51179</v>
          </cell>
          <cell r="H826"/>
          <cell r="I826">
            <v>2948</v>
          </cell>
          <cell r="J826">
            <v>12426</v>
          </cell>
          <cell r="K826">
            <v>7309</v>
          </cell>
          <cell r="L826">
            <v>15217</v>
          </cell>
          <cell r="M826"/>
          <cell r="N826">
            <v>1449</v>
          </cell>
          <cell r="O826">
            <v>0</v>
          </cell>
          <cell r="P826">
            <v>0</v>
          </cell>
          <cell r="Q826">
            <v>0</v>
          </cell>
          <cell r="R826"/>
          <cell r="S826">
            <v>17247</v>
          </cell>
          <cell r="T826">
            <v>6167</v>
          </cell>
          <cell r="U826">
            <v>23414</v>
          </cell>
        </row>
        <row r="827">
          <cell r="A827">
            <v>99109</v>
          </cell>
          <cell r="B827" t="str">
            <v>KERR-TAR REGIONAL COUNCIL OF GOVTS</v>
          </cell>
          <cell r="C827">
            <v>1.2339999999999999E-4</v>
          </cell>
          <cell r="D827">
            <v>1.1849999999999999E-4</v>
          </cell>
          <cell r="E827">
            <v>56338</v>
          </cell>
          <cell r="F827">
            <v>251497</v>
          </cell>
          <cell r="G827">
            <v>188521</v>
          </cell>
          <cell r="H827"/>
          <cell r="I827">
            <v>10861</v>
          </cell>
          <cell r="J827">
            <v>45773</v>
          </cell>
          <cell r="K827">
            <v>26923</v>
          </cell>
          <cell r="L827">
            <v>6454</v>
          </cell>
          <cell r="M827"/>
          <cell r="N827">
            <v>5336</v>
          </cell>
          <cell r="O827">
            <v>0</v>
          </cell>
          <cell r="P827">
            <v>0</v>
          </cell>
          <cell r="Q827">
            <v>14208</v>
          </cell>
          <cell r="R827"/>
          <cell r="S827">
            <v>63532</v>
          </cell>
          <cell r="T827">
            <v>-5391</v>
          </cell>
          <cell r="U827">
            <v>58141</v>
          </cell>
        </row>
        <row r="828">
          <cell r="A828">
            <v>99110</v>
          </cell>
          <cell r="B828" t="str">
            <v>KERR AREA TRANSPORTATION AUTHORITY</v>
          </cell>
          <cell r="C828">
            <v>1.7670000000000001E-4</v>
          </cell>
          <cell r="D828">
            <v>1.8369999999999999E-4</v>
          </cell>
          <cell r="E828">
            <v>119963</v>
          </cell>
          <cell r="F828">
            <v>389873</v>
          </cell>
          <cell r="G828">
            <v>269949</v>
          </cell>
          <cell r="H828"/>
          <cell r="I828">
            <v>15552</v>
          </cell>
          <cell r="J828">
            <v>65544</v>
          </cell>
          <cell r="K828">
            <v>38552</v>
          </cell>
          <cell r="L828">
            <v>69046</v>
          </cell>
          <cell r="M828"/>
          <cell r="N828">
            <v>7641</v>
          </cell>
          <cell r="O828">
            <v>0</v>
          </cell>
          <cell r="P828">
            <v>0</v>
          </cell>
          <cell r="Q828">
            <v>0</v>
          </cell>
          <cell r="R828"/>
          <cell r="S828">
            <v>90973</v>
          </cell>
          <cell r="T828">
            <v>27602</v>
          </cell>
          <cell r="U828">
            <v>118575</v>
          </cell>
        </row>
        <row r="829">
          <cell r="A829">
            <v>99111</v>
          </cell>
          <cell r="B829" t="str">
            <v>CITY OF HENDERSON</v>
          </cell>
          <cell r="C829">
            <v>1.2618E-3</v>
          </cell>
          <cell r="D829">
            <v>1.2757000000000001E-3</v>
          </cell>
          <cell r="E829">
            <v>543583</v>
          </cell>
          <cell r="F829">
            <v>2707463</v>
          </cell>
          <cell r="G829">
            <v>1927681</v>
          </cell>
          <cell r="H829"/>
          <cell r="I829">
            <v>111052</v>
          </cell>
          <cell r="J829">
            <v>468043</v>
          </cell>
          <cell r="K829">
            <v>275300</v>
          </cell>
          <cell r="L829">
            <v>0</v>
          </cell>
          <cell r="M829"/>
          <cell r="N829">
            <v>54567</v>
          </cell>
          <cell r="O829">
            <v>0</v>
          </cell>
          <cell r="P829">
            <v>0</v>
          </cell>
          <cell r="Q829">
            <v>143900</v>
          </cell>
          <cell r="R829"/>
          <cell r="S829">
            <v>649630</v>
          </cell>
          <cell r="T829">
            <v>-68554</v>
          </cell>
          <cell r="U829">
            <v>581076</v>
          </cell>
        </row>
        <row r="830">
          <cell r="A830">
            <v>99201</v>
          </cell>
          <cell r="B830" t="str">
            <v>WAKE COUNTY</v>
          </cell>
          <cell r="C830">
            <v>3.3297199999999999E-2</v>
          </cell>
          <cell r="D830">
            <v>3.22145E-2</v>
          </cell>
          <cell r="E830">
            <v>15084487</v>
          </cell>
          <cell r="F830">
            <v>68369961</v>
          </cell>
          <cell r="G830">
            <v>50868898</v>
          </cell>
          <cell r="H830"/>
          <cell r="I830">
            <v>2930520</v>
          </cell>
          <cell r="J830">
            <v>12351030</v>
          </cell>
          <cell r="K830">
            <v>7264783</v>
          </cell>
          <cell r="L830">
            <v>1320745</v>
          </cell>
          <cell r="M830"/>
          <cell r="N830">
            <v>1439937</v>
          </cell>
          <cell r="O830">
            <v>0</v>
          </cell>
          <cell r="P830">
            <v>0</v>
          </cell>
          <cell r="Q830">
            <v>241517</v>
          </cell>
          <cell r="R830"/>
          <cell r="S830">
            <v>17142864</v>
          </cell>
          <cell r="T830">
            <v>242815</v>
          </cell>
          <cell r="U830">
            <v>17385679</v>
          </cell>
        </row>
        <row r="831">
          <cell r="A831">
            <v>99202</v>
          </cell>
          <cell r="B831" t="str">
            <v>TOWN OF HOLLY SPRINGS</v>
          </cell>
          <cell r="C831">
            <v>2.5855000000000001E-3</v>
          </cell>
          <cell r="D831">
            <v>2.5138000000000001E-3</v>
          </cell>
          <cell r="E831">
            <v>1072068</v>
          </cell>
          <cell r="F831">
            <v>5335126</v>
          </cell>
          <cell r="G831">
            <v>3949928</v>
          </cell>
          <cell r="H831"/>
          <cell r="I831">
            <v>227552</v>
          </cell>
          <cell r="J831">
            <v>959048</v>
          </cell>
          <cell r="K831">
            <v>564104</v>
          </cell>
          <cell r="L831">
            <v>0</v>
          </cell>
          <cell r="M831"/>
          <cell r="N831">
            <v>111810</v>
          </cell>
          <cell r="O831">
            <v>0</v>
          </cell>
          <cell r="P831">
            <v>0</v>
          </cell>
          <cell r="Q831">
            <v>184130</v>
          </cell>
          <cell r="R831"/>
          <cell r="S831">
            <v>1331129</v>
          </cell>
          <cell r="T831">
            <v>-73084</v>
          </cell>
          <cell r="U831">
            <v>1258045</v>
          </cell>
        </row>
        <row r="832">
          <cell r="A832">
            <v>99203</v>
          </cell>
          <cell r="B832" t="str">
            <v>TOWN OF ROLESVILLE</v>
          </cell>
          <cell r="C832">
            <v>3.0410000000000002E-4</v>
          </cell>
          <cell r="D832">
            <v>3.1990000000000002E-4</v>
          </cell>
          <cell r="E832">
            <v>126936</v>
          </cell>
          <cell r="F832">
            <v>678935</v>
          </cell>
          <cell r="G832">
            <v>464581</v>
          </cell>
          <cell r="H832"/>
          <cell r="I832">
            <v>26764</v>
          </cell>
          <cell r="J832">
            <v>112801</v>
          </cell>
          <cell r="K832">
            <v>66349</v>
          </cell>
          <cell r="L832">
            <v>24433</v>
          </cell>
          <cell r="M832"/>
          <cell r="N832">
            <v>13151</v>
          </cell>
          <cell r="O832">
            <v>0</v>
          </cell>
          <cell r="P832">
            <v>0</v>
          </cell>
          <cell r="Q832">
            <v>20730</v>
          </cell>
          <cell r="R832"/>
          <cell r="S832">
            <v>156564</v>
          </cell>
          <cell r="T832">
            <v>11213</v>
          </cell>
          <cell r="U832">
            <v>167777</v>
          </cell>
        </row>
        <row r="833">
          <cell r="A833">
            <v>99204</v>
          </cell>
          <cell r="B833" t="str">
            <v>WAKE COUNTY ABC BOARD</v>
          </cell>
          <cell r="C833">
            <v>8.3549999999999998E-4</v>
          </cell>
          <cell r="D833">
            <v>7.4910000000000005E-4</v>
          </cell>
          <cell r="E833">
            <v>375261</v>
          </cell>
          <cell r="F833">
            <v>1589841</v>
          </cell>
          <cell r="G833">
            <v>1276413</v>
          </cell>
          <cell r="H833"/>
          <cell r="I833">
            <v>73533</v>
          </cell>
          <cell r="J833">
            <v>309914</v>
          </cell>
          <cell r="K833">
            <v>182289</v>
          </cell>
          <cell r="L833">
            <v>108607</v>
          </cell>
          <cell r="M833"/>
          <cell r="N833">
            <v>36131</v>
          </cell>
          <cell r="O833">
            <v>0</v>
          </cell>
          <cell r="P833">
            <v>0</v>
          </cell>
          <cell r="Q833">
            <v>0</v>
          </cell>
          <cell r="R833"/>
          <cell r="S833">
            <v>430152</v>
          </cell>
          <cell r="T833">
            <v>37657</v>
          </cell>
          <cell r="U833">
            <v>467809</v>
          </cell>
        </row>
        <row r="834">
          <cell r="A834">
            <v>99206</v>
          </cell>
          <cell r="B834" t="str">
            <v>TOWN OF MORRISVILLE</v>
          </cell>
          <cell r="C834">
            <v>1.6957999999999999E-3</v>
          </cell>
          <cell r="D834">
            <v>1.6665E-3</v>
          </cell>
          <cell r="E834">
            <v>1210225</v>
          </cell>
          <cell r="F834">
            <v>3536871</v>
          </cell>
          <cell r="G834">
            <v>2590713</v>
          </cell>
          <cell r="H834"/>
          <cell r="I834">
            <v>149249</v>
          </cell>
          <cell r="J834">
            <v>629028</v>
          </cell>
          <cell r="K834">
            <v>369990</v>
          </cell>
          <cell r="L834">
            <v>641271</v>
          </cell>
          <cell r="M834"/>
          <cell r="N834">
            <v>73335</v>
          </cell>
          <cell r="O834">
            <v>0</v>
          </cell>
          <cell r="P834">
            <v>0</v>
          </cell>
          <cell r="Q834">
            <v>6741</v>
          </cell>
          <cell r="R834"/>
          <cell r="S834">
            <v>873072</v>
          </cell>
          <cell r="T834">
            <v>209066</v>
          </cell>
          <cell r="U834">
            <v>1082138</v>
          </cell>
        </row>
        <row r="835">
          <cell r="A835">
            <v>99207</v>
          </cell>
          <cell r="B835" t="str">
            <v>WAKE COUNTY HOUSING AUTHORITY</v>
          </cell>
          <cell r="C835">
            <v>1.3329999999999999E-4</v>
          </cell>
          <cell r="D835">
            <v>1.3430000000000001E-4</v>
          </cell>
          <cell r="E835">
            <v>175075</v>
          </cell>
          <cell r="F835">
            <v>0</v>
          </cell>
          <cell r="G835">
            <v>203645</v>
          </cell>
          <cell r="H835"/>
          <cell r="I835">
            <v>11732</v>
          </cell>
          <cell r="J835">
            <v>49445</v>
          </cell>
          <cell r="K835">
            <v>29083</v>
          </cell>
          <cell r="L835">
            <v>145724</v>
          </cell>
          <cell r="M835"/>
          <cell r="N835">
            <v>5765</v>
          </cell>
          <cell r="O835">
            <v>0</v>
          </cell>
          <cell r="P835">
            <v>0</v>
          </cell>
          <cell r="Q835">
            <v>0</v>
          </cell>
          <cell r="R835"/>
          <cell r="S835">
            <v>68629</v>
          </cell>
          <cell r="T835">
            <v>46901</v>
          </cell>
          <cell r="U835">
            <v>115530</v>
          </cell>
        </row>
        <row r="836">
          <cell r="A836">
            <v>99208</v>
          </cell>
          <cell r="B836" t="str">
            <v>BAYLEAF FIRE DEPARTMENT</v>
          </cell>
          <cell r="C836">
            <v>1.4569999999999999E-4</v>
          </cell>
          <cell r="D836">
            <v>1.3669999999999999E-4</v>
          </cell>
          <cell r="E836">
            <v>57804</v>
          </cell>
          <cell r="F836">
            <v>290123</v>
          </cell>
          <cell r="G836">
            <v>222589</v>
          </cell>
          <cell r="H836"/>
          <cell r="I836">
            <v>12823</v>
          </cell>
          <cell r="J836">
            <v>54045</v>
          </cell>
          <cell r="K836">
            <v>31789</v>
          </cell>
          <cell r="L836">
            <v>0</v>
          </cell>
          <cell r="M836"/>
          <cell r="N836">
            <v>6301</v>
          </cell>
          <cell r="O836">
            <v>0</v>
          </cell>
          <cell r="P836">
            <v>0</v>
          </cell>
          <cell r="Q836">
            <v>38521</v>
          </cell>
          <cell r="R836"/>
          <cell r="S836">
            <v>75013</v>
          </cell>
          <cell r="T836">
            <v>-20543</v>
          </cell>
          <cell r="U836">
            <v>54470</v>
          </cell>
        </row>
        <row r="837">
          <cell r="A837">
            <v>99210</v>
          </cell>
          <cell r="B837" t="str">
            <v>ELECTRICITIES OF NC</v>
          </cell>
          <cell r="C837">
            <v>1.5943999999999999E-3</v>
          </cell>
          <cell r="D837">
            <v>1.5945E-3</v>
          </cell>
          <cell r="E837">
            <v>789521</v>
          </cell>
          <cell r="F837">
            <v>3384063</v>
          </cell>
          <cell r="G837">
            <v>2435802</v>
          </cell>
          <cell r="H837"/>
          <cell r="I837">
            <v>140325</v>
          </cell>
          <cell r="J837">
            <v>591415</v>
          </cell>
          <cell r="K837">
            <v>347866</v>
          </cell>
          <cell r="L837">
            <v>99237</v>
          </cell>
          <cell r="M837"/>
          <cell r="N837">
            <v>68950</v>
          </cell>
          <cell r="O837">
            <v>0</v>
          </cell>
          <cell r="P837">
            <v>0</v>
          </cell>
          <cell r="Q837">
            <v>0</v>
          </cell>
          <cell r="R837"/>
          <cell r="S837">
            <v>820867</v>
          </cell>
          <cell r="T837">
            <v>39106</v>
          </cell>
          <cell r="U837">
            <v>859973</v>
          </cell>
        </row>
        <row r="838">
          <cell r="A838">
            <v>99211</v>
          </cell>
          <cell r="B838" t="str">
            <v>CITY OF RALEIGH</v>
          </cell>
          <cell r="C838">
            <v>3.7100599999999997E-2</v>
          </cell>
          <cell r="D838">
            <v>3.8233999999999997E-2</v>
          </cell>
          <cell r="E838">
            <v>16957539</v>
          </cell>
          <cell r="F838">
            <v>81145356</v>
          </cell>
          <cell r="G838">
            <v>56679440</v>
          </cell>
          <cell r="H838"/>
          <cell r="I838">
            <v>3265261</v>
          </cell>
          <cell r="J838">
            <v>13761837</v>
          </cell>
          <cell r="K838">
            <v>8094609</v>
          </cell>
          <cell r="L838">
            <v>0</v>
          </cell>
          <cell r="M838"/>
          <cell r="N838">
            <v>1604415</v>
          </cell>
          <cell r="O838">
            <v>0</v>
          </cell>
          <cell r="P838">
            <v>0</v>
          </cell>
          <cell r="Q838">
            <v>1838947</v>
          </cell>
          <cell r="R838"/>
          <cell r="S838">
            <v>19101021</v>
          </cell>
          <cell r="T838">
            <v>-724653</v>
          </cell>
          <cell r="U838">
            <v>18376368</v>
          </cell>
        </row>
        <row r="839">
          <cell r="A839">
            <v>99212</v>
          </cell>
          <cell r="B839" t="str">
            <v>DURHAM HWY FIRE PROTECTION ASSOC</v>
          </cell>
          <cell r="C839">
            <v>8.14E-5</v>
          </cell>
          <cell r="D839">
            <v>7.4400000000000006E-5</v>
          </cell>
          <cell r="E839">
            <v>31805</v>
          </cell>
          <cell r="F839">
            <v>157902</v>
          </cell>
          <cell r="G839">
            <v>124357</v>
          </cell>
          <cell r="H839"/>
          <cell r="I839">
            <v>7164</v>
          </cell>
          <cell r="J839">
            <v>30194</v>
          </cell>
          <cell r="K839">
            <v>17760</v>
          </cell>
          <cell r="L839">
            <v>242</v>
          </cell>
          <cell r="M839"/>
          <cell r="N839">
            <v>3520</v>
          </cell>
          <cell r="O839">
            <v>0</v>
          </cell>
          <cell r="P839">
            <v>0</v>
          </cell>
          <cell r="Q839">
            <v>34044</v>
          </cell>
          <cell r="R839"/>
          <cell r="S839">
            <v>41908</v>
          </cell>
          <cell r="T839">
            <v>-15261</v>
          </cell>
          <cell r="U839">
            <v>26647</v>
          </cell>
        </row>
        <row r="840">
          <cell r="A840">
            <v>99213</v>
          </cell>
          <cell r="B840" t="str">
            <v>CITY OF RALEIGH HOUSING AUTHORITY</v>
          </cell>
          <cell r="C840">
            <v>7.5159999999999995E-4</v>
          </cell>
          <cell r="D840">
            <v>8.0730000000000005E-4</v>
          </cell>
          <cell r="E840">
            <v>353817</v>
          </cell>
          <cell r="F840">
            <v>1713361</v>
          </cell>
          <cell r="G840">
            <v>1148237</v>
          </cell>
          <cell r="H840"/>
          <cell r="I840">
            <v>66149</v>
          </cell>
          <cell r="J840">
            <v>278793</v>
          </cell>
          <cell r="K840">
            <v>163984</v>
          </cell>
          <cell r="L840">
            <v>6057</v>
          </cell>
          <cell r="M840"/>
          <cell r="N840">
            <v>32503</v>
          </cell>
          <cell r="O840">
            <v>0</v>
          </cell>
          <cell r="P840">
            <v>0</v>
          </cell>
          <cell r="Q840">
            <v>45468</v>
          </cell>
          <cell r="R840"/>
          <cell r="S840">
            <v>386957</v>
          </cell>
          <cell r="T840">
            <v>-10310</v>
          </cell>
          <cell r="U840">
            <v>376647</v>
          </cell>
        </row>
        <row r="841">
          <cell r="A841">
            <v>99218</v>
          </cell>
          <cell r="B841" t="str">
            <v>RALEIGH-DURHAM AIRPORT AUTHORITY</v>
          </cell>
          <cell r="C841">
            <v>3.1162E-3</v>
          </cell>
          <cell r="D841">
            <v>3.1227999999999998E-3</v>
          </cell>
          <cell r="E841">
            <v>1493014</v>
          </cell>
          <cell r="F841">
            <v>6627628</v>
          </cell>
          <cell r="G841">
            <v>4760690</v>
          </cell>
          <cell r="H841"/>
          <cell r="I841">
            <v>274260</v>
          </cell>
          <cell r="J841">
            <v>1155902</v>
          </cell>
          <cell r="K841">
            <v>679893</v>
          </cell>
          <cell r="L841">
            <v>179789</v>
          </cell>
          <cell r="M841"/>
          <cell r="N841">
            <v>134760</v>
          </cell>
          <cell r="O841">
            <v>0</v>
          </cell>
          <cell r="P841">
            <v>0</v>
          </cell>
          <cell r="Q841">
            <v>0</v>
          </cell>
          <cell r="R841"/>
          <cell r="S841">
            <v>1604357</v>
          </cell>
          <cell r="T841">
            <v>66860</v>
          </cell>
          <cell r="U841">
            <v>1671217</v>
          </cell>
        </row>
        <row r="842">
          <cell r="A842">
            <v>99221</v>
          </cell>
          <cell r="B842" t="str">
            <v>TOWN OF CARY</v>
          </cell>
          <cell r="C842">
            <v>1.27709E-2</v>
          </cell>
          <cell r="D842">
            <v>1.3092700000000001E-2</v>
          </cell>
          <cell r="E842">
            <v>5876509</v>
          </cell>
          <cell r="F842">
            <v>27787095</v>
          </cell>
          <cell r="G842">
            <v>19510398</v>
          </cell>
          <cell r="H842"/>
          <cell r="I842">
            <v>1123980</v>
          </cell>
          <cell r="J842">
            <v>4737148</v>
          </cell>
          <cell r="K842">
            <v>2786355</v>
          </cell>
          <cell r="L842">
            <v>0</v>
          </cell>
          <cell r="M842"/>
          <cell r="N842">
            <v>552278</v>
          </cell>
          <cell r="O842">
            <v>0</v>
          </cell>
          <cell r="P842">
            <v>0</v>
          </cell>
          <cell r="Q842">
            <v>687802</v>
          </cell>
          <cell r="R842"/>
          <cell r="S842">
            <v>6575021</v>
          </cell>
          <cell r="T842">
            <v>-271922</v>
          </cell>
          <cell r="U842">
            <v>6303099</v>
          </cell>
        </row>
        <row r="843">
          <cell r="A843">
            <v>99222</v>
          </cell>
          <cell r="B843" t="str">
            <v>CENTENNIAL AUTHORITY</v>
          </cell>
          <cell r="C843">
            <v>3.9100000000000002E-5</v>
          </cell>
          <cell r="D843">
            <v>4.0099999999999999E-5</v>
          </cell>
          <cell r="E843">
            <v>15446</v>
          </cell>
          <cell r="F843">
            <v>85106</v>
          </cell>
          <cell r="G843">
            <v>59734</v>
          </cell>
          <cell r="H843"/>
          <cell r="I843">
            <v>3441</v>
          </cell>
          <cell r="J843">
            <v>14504</v>
          </cell>
          <cell r="K843">
            <v>8531</v>
          </cell>
          <cell r="L843">
            <v>2307</v>
          </cell>
          <cell r="M843"/>
          <cell r="N843">
            <v>1691</v>
          </cell>
          <cell r="O843">
            <v>0</v>
          </cell>
          <cell r="P843">
            <v>0</v>
          </cell>
          <cell r="Q843">
            <v>3585</v>
          </cell>
          <cell r="R843"/>
          <cell r="S843">
            <v>20130</v>
          </cell>
          <cell r="T843">
            <v>281</v>
          </cell>
          <cell r="U843">
            <v>20411</v>
          </cell>
        </row>
        <row r="844">
          <cell r="A844">
            <v>99231</v>
          </cell>
          <cell r="B844" t="str">
            <v>TOWN OF WENDELL</v>
          </cell>
          <cell r="C844">
            <v>3.7179999999999998E-4</v>
          </cell>
          <cell r="D844">
            <v>3.7869999999999999E-4</v>
          </cell>
          <cell r="E844">
            <v>156904</v>
          </cell>
          <cell r="F844">
            <v>803728</v>
          </cell>
          <cell r="G844">
            <v>568007</v>
          </cell>
          <cell r="H844"/>
          <cell r="I844">
            <v>32722</v>
          </cell>
          <cell r="J844">
            <v>137913</v>
          </cell>
          <cell r="K844">
            <v>81119</v>
          </cell>
          <cell r="L844">
            <v>0</v>
          </cell>
          <cell r="M844"/>
          <cell r="N844">
            <v>16078</v>
          </cell>
          <cell r="O844">
            <v>0</v>
          </cell>
          <cell r="P844">
            <v>0</v>
          </cell>
          <cell r="Q844">
            <v>31773</v>
          </cell>
          <cell r="R844"/>
          <cell r="S844">
            <v>191419</v>
          </cell>
          <cell r="T844">
            <v>-14995</v>
          </cell>
          <cell r="U844">
            <v>176424</v>
          </cell>
        </row>
        <row r="845">
          <cell r="A845">
            <v>99241</v>
          </cell>
          <cell r="B845" t="str">
            <v>TOWN OF ZEBULON</v>
          </cell>
          <cell r="C845">
            <v>5.5329999999999995E-4</v>
          </cell>
          <cell r="D845">
            <v>5.6039999999999996E-4</v>
          </cell>
          <cell r="E845">
            <v>226042</v>
          </cell>
          <cell r="F845">
            <v>1189357</v>
          </cell>
          <cell r="G845">
            <v>845289</v>
          </cell>
          <cell r="H845"/>
          <cell r="I845">
            <v>48696</v>
          </cell>
          <cell r="J845">
            <v>205238</v>
          </cell>
          <cell r="K845">
            <v>120719</v>
          </cell>
          <cell r="L845">
            <v>0</v>
          </cell>
          <cell r="M845"/>
          <cell r="N845">
            <v>23927</v>
          </cell>
          <cell r="O845">
            <v>0</v>
          </cell>
          <cell r="P845">
            <v>0</v>
          </cell>
          <cell r="Q845">
            <v>103885</v>
          </cell>
          <cell r="R845"/>
          <cell r="S845">
            <v>284863</v>
          </cell>
          <cell r="T845">
            <v>-52289</v>
          </cell>
          <cell r="U845">
            <v>232574</v>
          </cell>
        </row>
        <row r="846">
          <cell r="A846">
            <v>99251</v>
          </cell>
          <cell r="B846" t="str">
            <v>TOWN OF GARNER</v>
          </cell>
          <cell r="C846">
            <v>1.6069000000000001E-3</v>
          </cell>
          <cell r="D846">
            <v>1.6521000000000001E-3</v>
          </cell>
          <cell r="E846">
            <v>745408</v>
          </cell>
          <cell r="F846">
            <v>3506310</v>
          </cell>
          <cell r="G846">
            <v>2454898</v>
          </cell>
          <cell r="H846"/>
          <cell r="I846">
            <v>141425</v>
          </cell>
          <cell r="J846">
            <v>596053</v>
          </cell>
          <cell r="K846">
            <v>350593</v>
          </cell>
          <cell r="L846">
            <v>2758</v>
          </cell>
          <cell r="M846"/>
          <cell r="N846">
            <v>69490</v>
          </cell>
          <cell r="O846">
            <v>0</v>
          </cell>
          <cell r="P846">
            <v>0</v>
          </cell>
          <cell r="Q846">
            <v>31200</v>
          </cell>
          <cell r="R846"/>
          <cell r="S846">
            <v>827303</v>
          </cell>
          <cell r="T846">
            <v>-11932</v>
          </cell>
          <cell r="U846">
            <v>815371</v>
          </cell>
        </row>
        <row r="847">
          <cell r="A847">
            <v>99252</v>
          </cell>
          <cell r="B847" t="str">
            <v>GARNER FIRE DEPT</v>
          </cell>
          <cell r="C847">
            <v>6.1269999999999999E-4</v>
          </cell>
          <cell r="D847">
            <v>5.8279999999999996E-4</v>
          </cell>
          <cell r="E847">
            <v>212386</v>
          </cell>
          <cell r="F847">
            <v>1236897</v>
          </cell>
          <cell r="G847">
            <v>936036</v>
          </cell>
          <cell r="H847"/>
          <cell r="I847">
            <v>53924</v>
          </cell>
          <cell r="J847">
            <v>227271</v>
          </cell>
          <cell r="K847">
            <v>133679</v>
          </cell>
          <cell r="L847">
            <v>0</v>
          </cell>
          <cell r="M847"/>
          <cell r="N847">
            <v>26496</v>
          </cell>
          <cell r="O847">
            <v>0</v>
          </cell>
          <cell r="P847">
            <v>0</v>
          </cell>
          <cell r="Q847">
            <v>202059</v>
          </cell>
          <cell r="R847"/>
          <cell r="S847">
            <v>315445</v>
          </cell>
          <cell r="T847">
            <v>-85968</v>
          </cell>
          <cell r="U847">
            <v>229477</v>
          </cell>
        </row>
        <row r="848">
          <cell r="A848">
            <v>99261</v>
          </cell>
          <cell r="B848" t="str">
            <v>TOWN OF FUQUAY-VARINA</v>
          </cell>
          <cell r="C848">
            <v>1.9938E-3</v>
          </cell>
          <cell r="D848">
            <v>1.9145E-3</v>
          </cell>
          <cell r="E848">
            <v>808835</v>
          </cell>
          <cell r="F848">
            <v>4063210</v>
          </cell>
          <cell r="G848">
            <v>3045974</v>
          </cell>
          <cell r="H848"/>
          <cell r="I848">
            <v>175476</v>
          </cell>
          <cell r="J848">
            <v>739566</v>
          </cell>
          <cell r="K848">
            <v>435007</v>
          </cell>
          <cell r="L848">
            <v>0</v>
          </cell>
          <cell r="M848"/>
          <cell r="N848">
            <v>86222</v>
          </cell>
          <cell r="O848">
            <v>0</v>
          </cell>
          <cell r="P848">
            <v>0</v>
          </cell>
          <cell r="Q848">
            <v>148472</v>
          </cell>
          <cell r="R848"/>
          <cell r="S848">
            <v>1026496</v>
          </cell>
          <cell r="T848">
            <v>-69364</v>
          </cell>
          <cell r="U848">
            <v>957132</v>
          </cell>
        </row>
        <row r="849">
          <cell r="A849">
            <v>99271</v>
          </cell>
          <cell r="B849" t="str">
            <v>TOWN OF APEX</v>
          </cell>
          <cell r="C849">
            <v>4.0137000000000003E-3</v>
          </cell>
          <cell r="D849">
            <v>3.9248E-3</v>
          </cell>
          <cell r="E849">
            <v>1751675</v>
          </cell>
          <cell r="F849">
            <v>8329740</v>
          </cell>
          <cell r="G849">
            <v>6131822</v>
          </cell>
          <cell r="H849"/>
          <cell r="I849">
            <v>353250</v>
          </cell>
          <cell r="J849">
            <v>1488814</v>
          </cell>
          <cell r="K849">
            <v>875709</v>
          </cell>
          <cell r="L849">
            <v>0</v>
          </cell>
          <cell r="M849"/>
          <cell r="N849">
            <v>173572</v>
          </cell>
          <cell r="O849">
            <v>0</v>
          </cell>
          <cell r="P849">
            <v>0</v>
          </cell>
          <cell r="Q849">
            <v>122792</v>
          </cell>
          <cell r="R849"/>
          <cell r="S849">
            <v>2066429</v>
          </cell>
          <cell r="T849">
            <v>-45302</v>
          </cell>
          <cell r="U849">
            <v>2021127</v>
          </cell>
        </row>
        <row r="850">
          <cell r="A850">
            <v>99281</v>
          </cell>
          <cell r="B850" t="str">
            <v>TOWN OF WAKE FOREST</v>
          </cell>
          <cell r="C850">
            <v>2.2918999999999999E-3</v>
          </cell>
          <cell r="D850">
            <v>2.2824E-3</v>
          </cell>
          <cell r="E850">
            <v>984780</v>
          </cell>
          <cell r="F850">
            <v>4844017</v>
          </cell>
          <cell r="G850">
            <v>3501388</v>
          </cell>
          <cell r="H850"/>
          <cell r="I850">
            <v>201712</v>
          </cell>
          <cell r="J850">
            <v>850141</v>
          </cell>
          <cell r="K850">
            <v>500047</v>
          </cell>
          <cell r="L850">
            <v>6743</v>
          </cell>
          <cell r="M850"/>
          <cell r="N850">
            <v>99113</v>
          </cell>
          <cell r="O850">
            <v>0</v>
          </cell>
          <cell r="P850">
            <v>0</v>
          </cell>
          <cell r="Q850">
            <v>128585</v>
          </cell>
          <cell r="R850"/>
          <cell r="S850">
            <v>1179971</v>
          </cell>
          <cell r="T850">
            <v>-37280</v>
          </cell>
          <cell r="U850">
            <v>1142691</v>
          </cell>
        </row>
        <row r="851">
          <cell r="A851">
            <v>99291</v>
          </cell>
          <cell r="B851" t="str">
            <v>TOWN OF KNIGHTDALE</v>
          </cell>
          <cell r="C851">
            <v>7.3499999999999998E-4</v>
          </cell>
          <cell r="D851">
            <v>7.7260000000000002E-4</v>
          </cell>
          <cell r="E851">
            <v>299576</v>
          </cell>
          <cell r="F851">
            <v>1639716</v>
          </cell>
          <cell r="G851">
            <v>1122876</v>
          </cell>
          <cell r="H851"/>
          <cell r="I851">
            <v>64688</v>
          </cell>
          <cell r="J851">
            <v>272636</v>
          </cell>
          <cell r="K851">
            <v>160362</v>
          </cell>
          <cell r="L851">
            <v>0</v>
          </cell>
          <cell r="M851"/>
          <cell r="N851">
            <v>31785</v>
          </cell>
          <cell r="O851">
            <v>0</v>
          </cell>
          <cell r="P851">
            <v>0</v>
          </cell>
          <cell r="Q851">
            <v>137813</v>
          </cell>
          <cell r="R851"/>
          <cell r="S851">
            <v>378410</v>
          </cell>
          <cell r="T851">
            <v>-55575</v>
          </cell>
          <cell r="U851">
            <v>322835</v>
          </cell>
        </row>
        <row r="852">
          <cell r="A852">
            <v>99301</v>
          </cell>
          <cell r="B852" t="str">
            <v>WARREN COUNTY</v>
          </cell>
          <cell r="C852">
            <v>1.7879E-3</v>
          </cell>
          <cell r="D852">
            <v>1.8458000000000001E-3</v>
          </cell>
          <cell r="E852">
            <v>788880</v>
          </cell>
          <cell r="F852">
            <v>3917406</v>
          </cell>
          <cell r="G852">
            <v>2731416</v>
          </cell>
          <cell r="H852"/>
          <cell r="I852">
            <v>157355</v>
          </cell>
          <cell r="J852">
            <v>663191</v>
          </cell>
          <cell r="K852">
            <v>390084</v>
          </cell>
          <cell r="L852">
            <v>67408</v>
          </cell>
          <cell r="M852"/>
          <cell r="N852">
            <v>77318</v>
          </cell>
          <cell r="O852">
            <v>0</v>
          </cell>
          <cell r="P852">
            <v>0</v>
          </cell>
          <cell r="Q852">
            <v>65062</v>
          </cell>
          <cell r="R852"/>
          <cell r="S852">
            <v>920490</v>
          </cell>
          <cell r="T852">
            <v>38686</v>
          </cell>
          <cell r="U852">
            <v>959176</v>
          </cell>
        </row>
        <row r="853">
          <cell r="A853">
            <v>99304</v>
          </cell>
          <cell r="B853" t="str">
            <v>WARREN COUNTY ABC BOARD</v>
          </cell>
          <cell r="C853">
            <v>9.2E-6</v>
          </cell>
          <cell r="D853">
            <v>9.9000000000000001E-6</v>
          </cell>
          <cell r="E853">
            <v>7554</v>
          </cell>
          <cell r="F853">
            <v>21011</v>
          </cell>
          <cell r="G853">
            <v>14055</v>
          </cell>
          <cell r="H853"/>
          <cell r="I853">
            <v>810</v>
          </cell>
          <cell r="J853">
            <v>3412</v>
          </cell>
          <cell r="K853">
            <v>2007</v>
          </cell>
          <cell r="L853">
            <v>4659</v>
          </cell>
          <cell r="M853"/>
          <cell r="N853">
            <v>398</v>
          </cell>
          <cell r="O853">
            <v>0</v>
          </cell>
          <cell r="P853">
            <v>0</v>
          </cell>
          <cell r="Q853">
            <v>248</v>
          </cell>
          <cell r="R853"/>
          <cell r="S853">
            <v>4737</v>
          </cell>
          <cell r="T853">
            <v>1371</v>
          </cell>
          <cell r="U853">
            <v>6108</v>
          </cell>
        </row>
        <row r="854">
          <cell r="A854">
            <v>99311</v>
          </cell>
          <cell r="B854" t="str">
            <v>TOWN OF NORLINA</v>
          </cell>
          <cell r="C854">
            <v>5.4299999999999998E-5</v>
          </cell>
          <cell r="D854">
            <v>5.7599999999999997E-5</v>
          </cell>
          <cell r="E854">
            <v>25361</v>
          </cell>
          <cell r="F854">
            <v>122246</v>
          </cell>
          <cell r="G854">
            <v>82955</v>
          </cell>
          <cell r="H854"/>
          <cell r="I854">
            <v>4779</v>
          </cell>
          <cell r="J854">
            <v>20142</v>
          </cell>
          <cell r="K854">
            <v>11847</v>
          </cell>
          <cell r="L854">
            <v>0</v>
          </cell>
          <cell r="M854"/>
          <cell r="N854">
            <v>2348</v>
          </cell>
          <cell r="O854">
            <v>0</v>
          </cell>
          <cell r="P854">
            <v>0</v>
          </cell>
          <cell r="Q854">
            <v>6758</v>
          </cell>
          <cell r="R854"/>
          <cell r="S854">
            <v>27956</v>
          </cell>
          <cell r="T854">
            <v>-3216</v>
          </cell>
          <cell r="U854">
            <v>24740</v>
          </cell>
        </row>
        <row r="855">
          <cell r="A855">
            <v>99321</v>
          </cell>
          <cell r="B855" t="str">
            <v>TOWN OF WARRENTON</v>
          </cell>
          <cell r="C855">
            <v>1.1E-4</v>
          </cell>
          <cell r="D855">
            <v>1.1909999999999999E-4</v>
          </cell>
          <cell r="E855">
            <v>98498</v>
          </cell>
          <cell r="F855">
            <v>252770</v>
          </cell>
          <cell r="G855">
            <v>168050</v>
          </cell>
          <cell r="H855"/>
          <cell r="I855">
            <v>9681</v>
          </cell>
          <cell r="J855">
            <v>40803</v>
          </cell>
          <cell r="K855">
            <v>24000</v>
          </cell>
          <cell r="L855">
            <v>96146</v>
          </cell>
          <cell r="M855"/>
          <cell r="N855">
            <v>4757</v>
          </cell>
          <cell r="O855">
            <v>0</v>
          </cell>
          <cell r="P855">
            <v>0</v>
          </cell>
          <cell r="Q855">
            <v>0</v>
          </cell>
          <cell r="R855"/>
          <cell r="S855">
            <v>56633</v>
          </cell>
          <cell r="T855">
            <v>41980</v>
          </cell>
          <cell r="U855">
            <v>98613</v>
          </cell>
        </row>
        <row r="856">
          <cell r="A856">
            <v>99401</v>
          </cell>
          <cell r="B856" t="str">
            <v>WASHINGTON COUNTY</v>
          </cell>
          <cell r="C856">
            <v>9.2389999999999996E-4</v>
          </cell>
          <cell r="D856">
            <v>9.3869999999999999E-4</v>
          </cell>
          <cell r="E856">
            <v>414565</v>
          </cell>
          <cell r="F856">
            <v>1992236</v>
          </cell>
          <cell r="G856">
            <v>1411463</v>
          </cell>
          <cell r="H856"/>
          <cell r="I856">
            <v>81313</v>
          </cell>
          <cell r="J856">
            <v>342705</v>
          </cell>
          <cell r="K856">
            <v>201577</v>
          </cell>
          <cell r="L856">
            <v>34240</v>
          </cell>
          <cell r="M856"/>
          <cell r="N856">
            <v>39954</v>
          </cell>
          <cell r="O856">
            <v>0</v>
          </cell>
          <cell r="P856">
            <v>0</v>
          </cell>
          <cell r="Q856">
            <v>17589</v>
          </cell>
          <cell r="R856"/>
          <cell r="S856">
            <v>475664</v>
          </cell>
          <cell r="T856">
            <v>22297</v>
          </cell>
          <cell r="U856">
            <v>497961</v>
          </cell>
        </row>
        <row r="857">
          <cell r="A857">
            <v>99404</v>
          </cell>
          <cell r="B857" t="str">
            <v>WASHINGTON COUNTY ABC BOARD</v>
          </cell>
          <cell r="C857">
            <v>9.3999999999999998E-6</v>
          </cell>
          <cell r="D857">
            <v>9.5999999999999996E-6</v>
          </cell>
          <cell r="E857">
            <v>5393</v>
          </cell>
          <cell r="F857">
            <v>20374</v>
          </cell>
          <cell r="G857">
            <v>14361</v>
          </cell>
          <cell r="H857"/>
          <cell r="I857">
            <v>827</v>
          </cell>
          <cell r="J857">
            <v>3487</v>
          </cell>
          <cell r="K857">
            <v>2051</v>
          </cell>
          <cell r="L857">
            <v>1334</v>
          </cell>
          <cell r="M857"/>
          <cell r="N857">
            <v>407</v>
          </cell>
          <cell r="O857">
            <v>0</v>
          </cell>
          <cell r="P857">
            <v>0</v>
          </cell>
          <cell r="Q857">
            <v>0</v>
          </cell>
          <cell r="R857"/>
          <cell r="S857">
            <v>4840</v>
          </cell>
          <cell r="T857">
            <v>466</v>
          </cell>
          <cell r="U857">
            <v>5306</v>
          </cell>
        </row>
        <row r="858">
          <cell r="A858">
            <v>99405</v>
          </cell>
          <cell r="B858" t="str">
            <v>PETTIGREW REGIONAL LIBRARY</v>
          </cell>
          <cell r="C858">
            <v>6.2700000000000006E-5</v>
          </cell>
          <cell r="D858">
            <v>5.8100000000000003E-5</v>
          </cell>
          <cell r="E858">
            <v>37798</v>
          </cell>
          <cell r="F858">
            <v>123308</v>
          </cell>
          <cell r="G858">
            <v>95788</v>
          </cell>
          <cell r="H858"/>
          <cell r="I858">
            <v>5518</v>
          </cell>
          <cell r="J858">
            <v>23258</v>
          </cell>
          <cell r="K858">
            <v>13680</v>
          </cell>
          <cell r="L858">
            <v>18380</v>
          </cell>
          <cell r="M858"/>
          <cell r="N858">
            <v>2711</v>
          </cell>
          <cell r="O858">
            <v>0</v>
          </cell>
          <cell r="P858">
            <v>0</v>
          </cell>
          <cell r="Q858">
            <v>336</v>
          </cell>
          <cell r="R858"/>
          <cell r="S858">
            <v>32281</v>
          </cell>
          <cell r="T858">
            <v>6084</v>
          </cell>
          <cell r="U858">
            <v>38365</v>
          </cell>
        </row>
        <row r="859">
          <cell r="A859">
            <v>99411</v>
          </cell>
          <cell r="B859" t="str">
            <v>TOWN OF PLYMOUTH</v>
          </cell>
          <cell r="C859">
            <v>1.583E-4</v>
          </cell>
          <cell r="D859">
            <v>1.2510000000000001E-4</v>
          </cell>
          <cell r="E859">
            <v>75833</v>
          </cell>
          <cell r="F859">
            <v>265504</v>
          </cell>
          <cell r="G859">
            <v>241839</v>
          </cell>
          <cell r="H859"/>
          <cell r="I859">
            <v>13932</v>
          </cell>
          <cell r="J859">
            <v>58719</v>
          </cell>
          <cell r="K859">
            <v>34538</v>
          </cell>
          <cell r="L859">
            <v>41924</v>
          </cell>
          <cell r="M859"/>
          <cell r="N859">
            <v>6846</v>
          </cell>
          <cell r="O859">
            <v>0</v>
          </cell>
          <cell r="P859">
            <v>0</v>
          </cell>
          <cell r="Q859">
            <v>4400</v>
          </cell>
          <cell r="R859"/>
          <cell r="S859">
            <v>81500</v>
          </cell>
          <cell r="T859">
            <v>8626</v>
          </cell>
          <cell r="U859">
            <v>90126</v>
          </cell>
        </row>
        <row r="860">
          <cell r="A860">
            <v>99413</v>
          </cell>
          <cell r="B860" t="str">
            <v>PLYMOUTH HOUSING AUTHORITY</v>
          </cell>
          <cell r="C860">
            <v>3.1099999999999997E-5</v>
          </cell>
          <cell r="D860">
            <v>2.76E-5</v>
          </cell>
          <cell r="E860">
            <v>18530</v>
          </cell>
          <cell r="F860">
            <v>58576</v>
          </cell>
          <cell r="G860">
            <v>47512</v>
          </cell>
          <cell r="H860"/>
          <cell r="I860">
            <v>2737</v>
          </cell>
          <cell r="J860">
            <v>11536</v>
          </cell>
          <cell r="K860">
            <v>6785</v>
          </cell>
          <cell r="L860">
            <v>5754</v>
          </cell>
          <cell r="M860"/>
          <cell r="N860">
            <v>1345</v>
          </cell>
          <cell r="O860">
            <v>0</v>
          </cell>
          <cell r="P860">
            <v>0</v>
          </cell>
          <cell r="Q860">
            <v>3024</v>
          </cell>
          <cell r="R860"/>
          <cell r="S860">
            <v>16012</v>
          </cell>
          <cell r="T860">
            <v>202</v>
          </cell>
          <cell r="U860">
            <v>16214</v>
          </cell>
        </row>
        <row r="861">
          <cell r="A861">
            <v>99421</v>
          </cell>
          <cell r="B861" t="str">
            <v>TOWN OF ROPER</v>
          </cell>
          <cell r="C861">
            <v>1.04E-5</v>
          </cell>
          <cell r="D861">
            <v>1.5E-5</v>
          </cell>
          <cell r="E861">
            <v>6211</v>
          </cell>
          <cell r="F861">
            <v>31835</v>
          </cell>
          <cell r="G861">
            <v>15888</v>
          </cell>
          <cell r="H861"/>
          <cell r="I861">
            <v>915</v>
          </cell>
          <cell r="J861">
            <v>3858</v>
          </cell>
          <cell r="K861">
            <v>2269</v>
          </cell>
          <cell r="L861">
            <v>764</v>
          </cell>
          <cell r="M861"/>
          <cell r="N861">
            <v>450</v>
          </cell>
          <cell r="O861">
            <v>0</v>
          </cell>
          <cell r="P861">
            <v>0</v>
          </cell>
          <cell r="Q861">
            <v>5440</v>
          </cell>
          <cell r="R861"/>
          <cell r="S861">
            <v>5354</v>
          </cell>
          <cell r="T861">
            <v>-1116</v>
          </cell>
          <cell r="U861">
            <v>4238</v>
          </cell>
        </row>
        <row r="862">
          <cell r="A862">
            <v>99431</v>
          </cell>
          <cell r="B862" t="str">
            <v>TOWN OF CRESWELL</v>
          </cell>
          <cell r="C862">
            <v>2.2200000000000001E-5</v>
          </cell>
          <cell r="D862">
            <v>2.16E-5</v>
          </cell>
          <cell r="E862">
            <v>7581</v>
          </cell>
          <cell r="F862">
            <v>45842</v>
          </cell>
          <cell r="G862">
            <v>33915</v>
          </cell>
          <cell r="H862"/>
          <cell r="I862">
            <v>1954</v>
          </cell>
          <cell r="J862">
            <v>8235</v>
          </cell>
          <cell r="K862">
            <v>4844</v>
          </cell>
          <cell r="L862">
            <v>1071</v>
          </cell>
          <cell r="M862"/>
          <cell r="N862">
            <v>960</v>
          </cell>
          <cell r="O862">
            <v>0</v>
          </cell>
          <cell r="P862">
            <v>0</v>
          </cell>
          <cell r="Q862">
            <v>3001</v>
          </cell>
          <cell r="R862"/>
          <cell r="S862">
            <v>11430</v>
          </cell>
          <cell r="T862">
            <v>119</v>
          </cell>
          <cell r="U862">
            <v>11549</v>
          </cell>
        </row>
        <row r="863">
          <cell r="A863">
            <v>99501</v>
          </cell>
          <cell r="B863" t="str">
            <v>WATAUGA COUNTY</v>
          </cell>
          <cell r="C863">
            <v>1.6785000000000001E-3</v>
          </cell>
          <cell r="D863">
            <v>1.7390000000000001E-3</v>
          </cell>
          <cell r="E863">
            <v>794395</v>
          </cell>
          <cell r="F863">
            <v>3690741</v>
          </cell>
          <cell r="G863">
            <v>2564283</v>
          </cell>
          <cell r="H863"/>
          <cell r="I863">
            <v>147726</v>
          </cell>
          <cell r="J863">
            <v>622611</v>
          </cell>
          <cell r="K863">
            <v>366215</v>
          </cell>
          <cell r="L863">
            <v>3764</v>
          </cell>
          <cell r="M863"/>
          <cell r="N863">
            <v>72587</v>
          </cell>
          <cell r="O863">
            <v>0</v>
          </cell>
          <cell r="P863">
            <v>0</v>
          </cell>
          <cell r="Q863">
            <v>21505</v>
          </cell>
          <cell r="R863"/>
          <cell r="S863">
            <v>864166</v>
          </cell>
          <cell r="T863">
            <v>-3415</v>
          </cell>
          <cell r="U863">
            <v>860751</v>
          </cell>
        </row>
        <row r="864">
          <cell r="A864">
            <v>99502</v>
          </cell>
          <cell r="B864" t="str">
            <v>REGION D COUNCIL OF GOVERNMENTS</v>
          </cell>
          <cell r="C864">
            <v>1.373E-4</v>
          </cell>
          <cell r="D864">
            <v>1.3779999999999999E-4</v>
          </cell>
          <cell r="E864">
            <v>65831</v>
          </cell>
          <cell r="F864">
            <v>292458</v>
          </cell>
          <cell r="G864">
            <v>209756</v>
          </cell>
          <cell r="H864"/>
          <cell r="I864">
            <v>12084</v>
          </cell>
          <cell r="J864">
            <v>50929</v>
          </cell>
          <cell r="K864">
            <v>29956</v>
          </cell>
          <cell r="L864">
            <v>21393</v>
          </cell>
          <cell r="M864"/>
          <cell r="N864">
            <v>5938</v>
          </cell>
          <cell r="O864">
            <v>0</v>
          </cell>
          <cell r="P864">
            <v>0</v>
          </cell>
          <cell r="Q864">
            <v>71</v>
          </cell>
          <cell r="R864"/>
          <cell r="S864">
            <v>70688</v>
          </cell>
          <cell r="T864">
            <v>9456</v>
          </cell>
          <cell r="U864">
            <v>80144</v>
          </cell>
        </row>
        <row r="865">
          <cell r="A865">
            <v>99508</v>
          </cell>
          <cell r="B865" t="str">
            <v>BLOWING ROCK TOURISM DEVELOPMENT AUTHORITY</v>
          </cell>
          <cell r="C865">
            <v>2.2099999999999998E-5</v>
          </cell>
          <cell r="D865">
            <v>2.1699999999999999E-5</v>
          </cell>
          <cell r="E865">
            <v>9857</v>
          </cell>
          <cell r="F865">
            <v>46055</v>
          </cell>
          <cell r="G865">
            <v>33763</v>
          </cell>
          <cell r="H865"/>
          <cell r="I865">
            <v>1945</v>
          </cell>
          <cell r="J865">
            <v>8198</v>
          </cell>
          <cell r="K865">
            <v>4822</v>
          </cell>
          <cell r="L865">
            <v>37</v>
          </cell>
          <cell r="M865"/>
          <cell r="N865">
            <v>956</v>
          </cell>
          <cell r="O865">
            <v>0</v>
          </cell>
          <cell r="P865">
            <v>0</v>
          </cell>
          <cell r="Q865">
            <v>1571</v>
          </cell>
          <cell r="R865"/>
          <cell r="S865">
            <v>11378</v>
          </cell>
          <cell r="T865">
            <v>-984</v>
          </cell>
          <cell r="U865">
            <v>10394</v>
          </cell>
        </row>
        <row r="866">
          <cell r="A866">
            <v>99509</v>
          </cell>
          <cell r="B866" t="str">
            <v>WATAUGA COUNTY DISTRICT U TDA</v>
          </cell>
          <cell r="C866">
            <v>2.76E-5</v>
          </cell>
          <cell r="D866">
            <v>2.8900000000000001E-5</v>
          </cell>
          <cell r="E866">
            <v>11410</v>
          </cell>
          <cell r="F866">
            <v>61335</v>
          </cell>
          <cell r="G866">
            <v>42165</v>
          </cell>
          <cell r="H866"/>
          <cell r="I866">
            <v>2429</v>
          </cell>
          <cell r="J866">
            <v>10238</v>
          </cell>
          <cell r="K866">
            <v>6022</v>
          </cell>
          <cell r="L866">
            <v>0</v>
          </cell>
          <cell r="M866"/>
          <cell r="N866">
            <v>1194</v>
          </cell>
          <cell r="O866">
            <v>0</v>
          </cell>
          <cell r="P866">
            <v>0</v>
          </cell>
          <cell r="Q866">
            <v>6512</v>
          </cell>
          <cell r="R866"/>
          <cell r="S866">
            <v>14210</v>
          </cell>
          <cell r="T866">
            <v>-4301</v>
          </cell>
          <cell r="U866">
            <v>9909</v>
          </cell>
        </row>
        <row r="867">
          <cell r="A867">
            <v>99511</v>
          </cell>
          <cell r="B867" t="str">
            <v>TOWN OF BOONE</v>
          </cell>
          <cell r="C867">
            <v>1.4048999999999999E-3</v>
          </cell>
          <cell r="D867">
            <v>1.3638000000000001E-3</v>
          </cell>
          <cell r="E867">
            <v>579707</v>
          </cell>
          <cell r="F867">
            <v>2894440</v>
          </cell>
          <cell r="G867">
            <v>2146298</v>
          </cell>
          <cell r="H867"/>
          <cell r="I867">
            <v>123647</v>
          </cell>
          <cell r="J867">
            <v>521124</v>
          </cell>
          <cell r="K867">
            <v>306521</v>
          </cell>
          <cell r="L867">
            <v>4500</v>
          </cell>
          <cell r="M867"/>
          <cell r="N867">
            <v>60755</v>
          </cell>
          <cell r="O867">
            <v>0</v>
          </cell>
          <cell r="P867">
            <v>0</v>
          </cell>
          <cell r="Q867">
            <v>85381</v>
          </cell>
          <cell r="R867"/>
          <cell r="S867">
            <v>723304</v>
          </cell>
          <cell r="T867">
            <v>-30654</v>
          </cell>
          <cell r="U867">
            <v>692650</v>
          </cell>
        </row>
        <row r="868">
          <cell r="A868">
            <v>99521</v>
          </cell>
          <cell r="B868" t="str">
            <v>TOWN OF BLOWING ROCK</v>
          </cell>
          <cell r="C868">
            <v>4.2700000000000002E-4</v>
          </cell>
          <cell r="D868">
            <v>4.0180000000000001E-4</v>
          </cell>
          <cell r="E868">
            <v>176536</v>
          </cell>
          <cell r="F868">
            <v>852754</v>
          </cell>
          <cell r="G868">
            <v>652338</v>
          </cell>
          <cell r="H868"/>
          <cell r="I868">
            <v>37581</v>
          </cell>
          <cell r="J868">
            <v>158389</v>
          </cell>
          <cell r="K868">
            <v>93163</v>
          </cell>
          <cell r="L868">
            <v>2015</v>
          </cell>
          <cell r="M868"/>
          <cell r="N868">
            <v>18466</v>
          </cell>
          <cell r="O868">
            <v>0</v>
          </cell>
          <cell r="P868">
            <v>0</v>
          </cell>
          <cell r="Q868">
            <v>15563</v>
          </cell>
          <cell r="R868"/>
          <cell r="S868">
            <v>219838</v>
          </cell>
          <cell r="T868">
            <v>-5081</v>
          </cell>
          <cell r="U868">
            <v>214757</v>
          </cell>
        </row>
        <row r="869">
          <cell r="A869">
            <v>99527</v>
          </cell>
          <cell r="B869" t="str">
            <v>BLOWING ROCK ABC BD</v>
          </cell>
          <cell r="C869">
            <v>1.19E-5</v>
          </cell>
          <cell r="D869">
            <v>1.2099999999999999E-5</v>
          </cell>
          <cell r="E869">
            <v>5941</v>
          </cell>
          <cell r="F869">
            <v>25680</v>
          </cell>
          <cell r="G869">
            <v>18180</v>
          </cell>
          <cell r="H869"/>
          <cell r="I869">
            <v>1047</v>
          </cell>
          <cell r="J869">
            <v>4414</v>
          </cell>
          <cell r="K869">
            <v>2596</v>
          </cell>
          <cell r="L869">
            <v>1124</v>
          </cell>
          <cell r="M869"/>
          <cell r="N869">
            <v>515</v>
          </cell>
          <cell r="O869">
            <v>0</v>
          </cell>
          <cell r="P869">
            <v>0</v>
          </cell>
          <cell r="Q869">
            <v>0</v>
          </cell>
          <cell r="R869"/>
          <cell r="S869">
            <v>6127</v>
          </cell>
          <cell r="T869">
            <v>591</v>
          </cell>
          <cell r="U869">
            <v>6718</v>
          </cell>
        </row>
        <row r="870">
          <cell r="A870">
            <v>99531</v>
          </cell>
          <cell r="B870" t="str">
            <v>TOWN OF SEVEN DEVILS</v>
          </cell>
          <cell r="C870">
            <v>9.3499999999999996E-5</v>
          </cell>
          <cell r="D870">
            <v>8.7600000000000002E-5</v>
          </cell>
          <cell r="E870">
            <v>72390</v>
          </cell>
          <cell r="F870">
            <v>185917</v>
          </cell>
          <cell r="G870">
            <v>142842</v>
          </cell>
          <cell r="H870"/>
          <cell r="I870">
            <v>8229</v>
          </cell>
          <cell r="J870">
            <v>34683</v>
          </cell>
          <cell r="K870">
            <v>20400</v>
          </cell>
          <cell r="L870">
            <v>55453</v>
          </cell>
          <cell r="M870"/>
          <cell r="N870">
            <v>4043</v>
          </cell>
          <cell r="O870">
            <v>0</v>
          </cell>
          <cell r="P870">
            <v>0</v>
          </cell>
          <cell r="Q870">
            <v>0</v>
          </cell>
          <cell r="R870"/>
          <cell r="S870">
            <v>48138</v>
          </cell>
          <cell r="T870">
            <v>18721</v>
          </cell>
          <cell r="U870">
            <v>66859</v>
          </cell>
        </row>
        <row r="871">
          <cell r="A871">
            <v>99601</v>
          </cell>
          <cell r="B871" t="str">
            <v>WAYNE COUNTY</v>
          </cell>
          <cell r="C871">
            <v>5.7812000000000002E-3</v>
          </cell>
          <cell r="D871">
            <v>5.2824999999999999E-3</v>
          </cell>
          <cell r="E871">
            <v>2548954</v>
          </cell>
          <cell r="F871">
            <v>11211235</v>
          </cell>
          <cell r="G871">
            <v>8832072</v>
          </cell>
          <cell r="H871"/>
          <cell r="I871">
            <v>508809</v>
          </cell>
          <cell r="J871">
            <v>2144438</v>
          </cell>
          <cell r="K871">
            <v>1261342</v>
          </cell>
          <cell r="L871">
            <v>289372</v>
          </cell>
          <cell r="M871"/>
          <cell r="N871">
            <v>250008</v>
          </cell>
          <cell r="O871">
            <v>0</v>
          </cell>
          <cell r="P871">
            <v>0</v>
          </cell>
          <cell r="Q871">
            <v>73071</v>
          </cell>
          <cell r="R871"/>
          <cell r="S871">
            <v>2976416</v>
          </cell>
          <cell r="T871">
            <v>55175</v>
          </cell>
          <cell r="U871">
            <v>3031591</v>
          </cell>
        </row>
        <row r="872">
          <cell r="A872">
            <v>99602</v>
          </cell>
          <cell r="B872" t="str">
            <v>FORK TOWNSHIP SANITARY DIST</v>
          </cell>
          <cell r="C872">
            <v>6.19E-5</v>
          </cell>
          <cell r="D872">
            <v>5.1700000000000003E-5</v>
          </cell>
          <cell r="E872">
            <v>28151</v>
          </cell>
          <cell r="F872">
            <v>109725</v>
          </cell>
          <cell r="G872">
            <v>94566</v>
          </cell>
          <cell r="H872"/>
          <cell r="I872">
            <v>5448</v>
          </cell>
          <cell r="J872">
            <v>22961</v>
          </cell>
          <cell r="K872">
            <v>13505</v>
          </cell>
          <cell r="L872">
            <v>10306</v>
          </cell>
          <cell r="M872"/>
          <cell r="N872">
            <v>2677</v>
          </cell>
          <cell r="O872">
            <v>0</v>
          </cell>
          <cell r="P872">
            <v>0</v>
          </cell>
          <cell r="Q872">
            <v>2067</v>
          </cell>
          <cell r="R872"/>
          <cell r="S872">
            <v>31869</v>
          </cell>
          <cell r="T872">
            <v>1298</v>
          </cell>
          <cell r="U872">
            <v>33167</v>
          </cell>
        </row>
        <row r="873">
          <cell r="A873">
            <v>99603</v>
          </cell>
          <cell r="B873" t="str">
            <v>EASTERN CAROLINA REG'L HOUSING AUTH</v>
          </cell>
          <cell r="C873">
            <v>1.615E-4</v>
          </cell>
          <cell r="D873">
            <v>1.4219999999999999E-4</v>
          </cell>
          <cell r="E873">
            <v>87237</v>
          </cell>
          <cell r="F873">
            <v>301796</v>
          </cell>
          <cell r="G873">
            <v>246727</v>
          </cell>
          <cell r="H873"/>
          <cell r="I873">
            <v>14214</v>
          </cell>
          <cell r="J873">
            <v>59905</v>
          </cell>
          <cell r="K873">
            <v>35236</v>
          </cell>
          <cell r="L873">
            <v>95435</v>
          </cell>
          <cell r="M873"/>
          <cell r="N873">
            <v>6984</v>
          </cell>
          <cell r="O873">
            <v>0</v>
          </cell>
          <cell r="P873">
            <v>0</v>
          </cell>
          <cell r="Q873">
            <v>0</v>
          </cell>
          <cell r="R873"/>
          <cell r="S873">
            <v>83147</v>
          </cell>
          <cell r="T873">
            <v>37380</v>
          </cell>
          <cell r="U873">
            <v>120527</v>
          </cell>
        </row>
        <row r="874">
          <cell r="A874">
            <v>99604</v>
          </cell>
          <cell r="B874" t="str">
            <v>WAYNE COUNTY ABC BOARD</v>
          </cell>
          <cell r="C874">
            <v>1.009E-4</v>
          </cell>
          <cell r="D874">
            <v>9.6899999999999997E-5</v>
          </cell>
          <cell r="E874">
            <v>52378</v>
          </cell>
          <cell r="F874">
            <v>205654</v>
          </cell>
          <cell r="G874">
            <v>154147</v>
          </cell>
          <cell r="H874"/>
          <cell r="I874">
            <v>8880</v>
          </cell>
          <cell r="J874">
            <v>37427</v>
          </cell>
          <cell r="K874">
            <v>22014</v>
          </cell>
          <cell r="L874">
            <v>20530</v>
          </cell>
          <cell r="M874"/>
          <cell r="N874">
            <v>4363</v>
          </cell>
          <cell r="O874">
            <v>0</v>
          </cell>
          <cell r="P874">
            <v>0</v>
          </cell>
          <cell r="Q874">
            <v>0</v>
          </cell>
          <cell r="R874"/>
          <cell r="S874">
            <v>51948</v>
          </cell>
          <cell r="T874">
            <v>9479</v>
          </cell>
          <cell r="U874">
            <v>61427</v>
          </cell>
        </row>
        <row r="875">
          <cell r="A875">
            <v>99609</v>
          </cell>
          <cell r="B875" t="str">
            <v>SOUTHERN WAYNE SANITARY DISTRICT</v>
          </cell>
          <cell r="C875">
            <v>1.52E-5</v>
          </cell>
          <cell r="D875">
            <v>2.0999999999999999E-5</v>
          </cell>
          <cell r="E875">
            <v>9935</v>
          </cell>
          <cell r="F875">
            <v>44569</v>
          </cell>
          <cell r="G875">
            <v>23221</v>
          </cell>
          <cell r="H875"/>
          <cell r="I875">
            <v>1338</v>
          </cell>
          <cell r="J875">
            <v>5638</v>
          </cell>
          <cell r="K875">
            <v>3316</v>
          </cell>
          <cell r="L875">
            <v>3555</v>
          </cell>
          <cell r="M875"/>
          <cell r="N875">
            <v>657</v>
          </cell>
          <cell r="O875">
            <v>0</v>
          </cell>
          <cell r="P875">
            <v>0</v>
          </cell>
          <cell r="Q875">
            <v>1523</v>
          </cell>
          <cell r="R875"/>
          <cell r="S875">
            <v>7826</v>
          </cell>
          <cell r="T875">
            <v>1693</v>
          </cell>
          <cell r="U875">
            <v>9519</v>
          </cell>
        </row>
        <row r="876">
          <cell r="A876">
            <v>99610</v>
          </cell>
          <cell r="B876" t="str">
            <v>EASTERN WAYNE SANITARY DIST</v>
          </cell>
          <cell r="C876">
            <v>1.9440000000000001E-4</v>
          </cell>
          <cell r="D876">
            <v>1.9440000000000001E-4</v>
          </cell>
          <cell r="E876">
            <v>85100</v>
          </cell>
          <cell r="F876">
            <v>412582</v>
          </cell>
          <cell r="G876">
            <v>296989</v>
          </cell>
          <cell r="H876"/>
          <cell r="I876">
            <v>17109</v>
          </cell>
          <cell r="J876">
            <v>72109</v>
          </cell>
          <cell r="K876">
            <v>42414</v>
          </cell>
          <cell r="L876">
            <v>2712</v>
          </cell>
          <cell r="M876"/>
          <cell r="N876">
            <v>8407</v>
          </cell>
          <cell r="O876">
            <v>0</v>
          </cell>
          <cell r="P876">
            <v>0</v>
          </cell>
          <cell r="Q876">
            <v>4164</v>
          </cell>
          <cell r="R876"/>
          <cell r="S876">
            <v>100086</v>
          </cell>
          <cell r="T876">
            <v>576</v>
          </cell>
          <cell r="U876">
            <v>100662</v>
          </cell>
        </row>
        <row r="877">
          <cell r="A877">
            <v>99611</v>
          </cell>
          <cell r="B877" t="str">
            <v>CITY OF GOLDSBORO</v>
          </cell>
          <cell r="C877">
            <v>3.1959000000000002E-3</v>
          </cell>
          <cell r="D877">
            <v>3.1495999999999998E-3</v>
          </cell>
          <cell r="E877">
            <v>1474037</v>
          </cell>
          <cell r="F877">
            <v>6684506</v>
          </cell>
          <cell r="G877">
            <v>4882450</v>
          </cell>
          <cell r="H877"/>
          <cell r="I877">
            <v>281274</v>
          </cell>
          <cell r="J877">
            <v>1185465</v>
          </cell>
          <cell r="K877">
            <v>697281</v>
          </cell>
          <cell r="L877">
            <v>36523</v>
          </cell>
          <cell r="M877"/>
          <cell r="N877">
            <v>138207</v>
          </cell>
          <cell r="O877">
            <v>0</v>
          </cell>
          <cell r="P877">
            <v>0</v>
          </cell>
          <cell r="Q877">
            <v>197702</v>
          </cell>
          <cell r="R877"/>
          <cell r="S877">
            <v>1645390</v>
          </cell>
          <cell r="T877">
            <v>-88518</v>
          </cell>
          <cell r="U877">
            <v>1556872</v>
          </cell>
        </row>
        <row r="878">
          <cell r="A878">
            <v>99613</v>
          </cell>
          <cell r="B878" t="str">
            <v>HOUSING AUTHORITY OF GOLDSBORO</v>
          </cell>
          <cell r="C878">
            <v>3.2909999999999998E-4</v>
          </cell>
          <cell r="D878">
            <v>3.369E-4</v>
          </cell>
          <cell r="E878">
            <v>310915</v>
          </cell>
          <cell r="F878">
            <v>715015</v>
          </cell>
          <cell r="G878">
            <v>502774</v>
          </cell>
          <cell r="H878"/>
          <cell r="I878">
            <v>28964</v>
          </cell>
          <cell r="J878">
            <v>122074</v>
          </cell>
          <cell r="K878">
            <v>71803</v>
          </cell>
          <cell r="L878">
            <v>283917</v>
          </cell>
          <cell r="M878"/>
          <cell r="N878">
            <v>14232</v>
          </cell>
          <cell r="O878">
            <v>0</v>
          </cell>
          <cell r="P878">
            <v>0</v>
          </cell>
          <cell r="Q878">
            <v>0</v>
          </cell>
          <cell r="R878"/>
          <cell r="S878">
            <v>169435</v>
          </cell>
          <cell r="T878">
            <v>96572</v>
          </cell>
          <cell r="U878">
            <v>266007</v>
          </cell>
        </row>
        <row r="879">
          <cell r="A879">
            <v>99621</v>
          </cell>
          <cell r="B879" t="str">
            <v>TOWN OF MOUNT OLIVE</v>
          </cell>
          <cell r="C879">
            <v>3.7060000000000001E-4</v>
          </cell>
          <cell r="D879">
            <v>3.2850000000000002E-4</v>
          </cell>
          <cell r="E879">
            <v>166448</v>
          </cell>
          <cell r="F879">
            <v>697187</v>
          </cell>
          <cell r="G879">
            <v>566174</v>
          </cell>
          <cell r="H879"/>
          <cell r="I879">
            <v>32617</v>
          </cell>
          <cell r="J879">
            <v>137468</v>
          </cell>
          <cell r="K879">
            <v>80858</v>
          </cell>
          <cell r="L879">
            <v>42182</v>
          </cell>
          <cell r="M879"/>
          <cell r="N879">
            <v>16027</v>
          </cell>
          <cell r="O879">
            <v>0</v>
          </cell>
          <cell r="P879">
            <v>0</v>
          </cell>
          <cell r="Q879">
            <v>4670</v>
          </cell>
          <cell r="R879"/>
          <cell r="S879">
            <v>190801</v>
          </cell>
          <cell r="T879">
            <v>12829</v>
          </cell>
          <cell r="U879">
            <v>203630</v>
          </cell>
        </row>
        <row r="880">
          <cell r="A880">
            <v>99623</v>
          </cell>
          <cell r="B880" t="str">
            <v>MT OLIVE HOUSING AUTHORITY</v>
          </cell>
          <cell r="C880">
            <v>2.6400000000000001E-5</v>
          </cell>
          <cell r="D880">
            <v>2.9200000000000002E-5</v>
          </cell>
          <cell r="E880">
            <v>11103</v>
          </cell>
          <cell r="F880">
            <v>61972</v>
          </cell>
          <cell r="G880">
            <v>40332</v>
          </cell>
          <cell r="H880"/>
          <cell r="I880">
            <v>2323</v>
          </cell>
          <cell r="J880">
            <v>9793</v>
          </cell>
          <cell r="K880">
            <v>5760</v>
          </cell>
          <cell r="L880">
            <v>2450</v>
          </cell>
          <cell r="M880"/>
          <cell r="N880">
            <v>1142</v>
          </cell>
          <cell r="O880">
            <v>0</v>
          </cell>
          <cell r="P880">
            <v>0</v>
          </cell>
          <cell r="Q880">
            <v>2848</v>
          </cell>
          <cell r="R880"/>
          <cell r="S880">
            <v>13592</v>
          </cell>
          <cell r="T880">
            <v>317</v>
          </cell>
          <cell r="U880">
            <v>13909</v>
          </cell>
        </row>
        <row r="881">
          <cell r="A881">
            <v>99631</v>
          </cell>
          <cell r="B881" t="str">
            <v>TOWN OF FREMONT</v>
          </cell>
          <cell r="C881">
            <v>1.102E-4</v>
          </cell>
          <cell r="D881">
            <v>1.0340000000000001E-4</v>
          </cell>
          <cell r="E881">
            <v>46231</v>
          </cell>
          <cell r="F881">
            <v>219449</v>
          </cell>
          <cell r="G881">
            <v>168355</v>
          </cell>
          <cell r="H881"/>
          <cell r="I881">
            <v>9699</v>
          </cell>
          <cell r="J881">
            <v>40877</v>
          </cell>
          <cell r="K881">
            <v>24043</v>
          </cell>
          <cell r="L881">
            <v>1071</v>
          </cell>
          <cell r="M881"/>
          <cell r="N881">
            <v>4766</v>
          </cell>
          <cell r="O881">
            <v>0</v>
          </cell>
          <cell r="P881">
            <v>0</v>
          </cell>
          <cell r="Q881">
            <v>5159</v>
          </cell>
          <cell r="R881"/>
          <cell r="S881">
            <v>56736</v>
          </cell>
          <cell r="T881">
            <v>-3954</v>
          </cell>
          <cell r="U881">
            <v>52782</v>
          </cell>
        </row>
        <row r="882">
          <cell r="A882">
            <v>99651</v>
          </cell>
          <cell r="B882" t="str">
            <v>TOWN OF PIKEVILLE</v>
          </cell>
          <cell r="C882">
            <v>6.7199999999999994E-5</v>
          </cell>
          <cell r="D882">
            <v>6.7100000000000005E-5</v>
          </cell>
          <cell r="E882">
            <v>30231</v>
          </cell>
          <cell r="F882">
            <v>142409</v>
          </cell>
          <cell r="G882">
            <v>102663</v>
          </cell>
          <cell r="H882"/>
          <cell r="I882">
            <v>5914</v>
          </cell>
          <cell r="J882">
            <v>24927</v>
          </cell>
          <cell r="K882">
            <v>14662</v>
          </cell>
          <cell r="L882">
            <v>5944</v>
          </cell>
          <cell r="M882"/>
          <cell r="N882">
            <v>2906</v>
          </cell>
          <cell r="O882">
            <v>0</v>
          </cell>
          <cell r="P882">
            <v>0</v>
          </cell>
          <cell r="Q882">
            <v>1841</v>
          </cell>
          <cell r="R882"/>
          <cell r="S882">
            <v>34598</v>
          </cell>
          <cell r="T882">
            <v>1312</v>
          </cell>
          <cell r="U882">
            <v>35910</v>
          </cell>
        </row>
        <row r="883">
          <cell r="A883">
            <v>99661</v>
          </cell>
          <cell r="B883" t="str">
            <v>VILLAGE OF WALNUT CREEK</v>
          </cell>
          <cell r="C883">
            <v>3.26E-5</v>
          </cell>
          <cell r="D883">
            <v>3.5500000000000002E-5</v>
          </cell>
          <cell r="E883">
            <v>34513</v>
          </cell>
          <cell r="F883">
            <v>75343</v>
          </cell>
          <cell r="G883">
            <v>49804</v>
          </cell>
          <cell r="H883"/>
          <cell r="I883">
            <v>2869</v>
          </cell>
          <cell r="J883">
            <v>12092</v>
          </cell>
          <cell r="K883">
            <v>7113</v>
          </cell>
          <cell r="L883">
            <v>34726</v>
          </cell>
          <cell r="M883"/>
          <cell r="N883">
            <v>1410</v>
          </cell>
          <cell r="O883">
            <v>0</v>
          </cell>
          <cell r="P883">
            <v>0</v>
          </cell>
          <cell r="Q883">
            <v>0</v>
          </cell>
          <cell r="R883"/>
          <cell r="S883">
            <v>16784</v>
          </cell>
          <cell r="T883">
            <v>12838</v>
          </cell>
          <cell r="U883">
            <v>29622</v>
          </cell>
        </row>
        <row r="884">
          <cell r="A884">
            <v>99701</v>
          </cell>
          <cell r="B884" t="str">
            <v>WILKES COUNTY</v>
          </cell>
          <cell r="C884">
            <v>2.9190000000000002E-3</v>
          </cell>
          <cell r="D884">
            <v>2.8774E-3</v>
          </cell>
          <cell r="E884">
            <v>1295371</v>
          </cell>
          <cell r="F884">
            <v>6106807</v>
          </cell>
          <cell r="G884">
            <v>4459423</v>
          </cell>
          <cell r="H884"/>
          <cell r="I884">
            <v>256904</v>
          </cell>
          <cell r="J884">
            <v>1082754</v>
          </cell>
          <cell r="K884">
            <v>636867</v>
          </cell>
          <cell r="L884">
            <v>21162</v>
          </cell>
          <cell r="M884"/>
          <cell r="N884">
            <v>126232</v>
          </cell>
          <cell r="O884">
            <v>0</v>
          </cell>
          <cell r="P884">
            <v>0</v>
          </cell>
          <cell r="Q884">
            <v>17651</v>
          </cell>
          <cell r="R884"/>
          <cell r="S884">
            <v>1502830</v>
          </cell>
          <cell r="T884">
            <v>-1976</v>
          </cell>
          <cell r="U884">
            <v>1500854</v>
          </cell>
        </row>
        <row r="885">
          <cell r="A885">
            <v>99705</v>
          </cell>
          <cell r="B885" t="str">
            <v>APPALACHIAN REGIONAL LIBRARY</v>
          </cell>
          <cell r="C885">
            <v>1.7229999999999999E-4</v>
          </cell>
          <cell r="D885">
            <v>1.7259999999999999E-4</v>
          </cell>
          <cell r="E885">
            <v>85451</v>
          </cell>
          <cell r="F885">
            <v>366315</v>
          </cell>
          <cell r="G885">
            <v>263227</v>
          </cell>
          <cell r="H885"/>
          <cell r="I885">
            <v>15164</v>
          </cell>
          <cell r="J885">
            <v>63911</v>
          </cell>
          <cell r="K885">
            <v>37592</v>
          </cell>
          <cell r="L885">
            <v>10978</v>
          </cell>
          <cell r="M885"/>
          <cell r="N885">
            <v>7451</v>
          </cell>
          <cell r="O885">
            <v>0</v>
          </cell>
          <cell r="P885">
            <v>0</v>
          </cell>
          <cell r="Q885">
            <v>544</v>
          </cell>
          <cell r="R885"/>
          <cell r="S885">
            <v>88708</v>
          </cell>
          <cell r="T885">
            <v>5913</v>
          </cell>
          <cell r="U885">
            <v>94621</v>
          </cell>
        </row>
        <row r="886">
          <cell r="A886">
            <v>99711</v>
          </cell>
          <cell r="B886" t="str">
            <v>TOWN OF N WILKESBORO</v>
          </cell>
          <cell r="C886">
            <v>4.5459999999999999E-4</v>
          </cell>
          <cell r="D886">
            <v>4.3540000000000001E-4</v>
          </cell>
          <cell r="E886">
            <v>209494</v>
          </cell>
          <cell r="F886">
            <v>924065</v>
          </cell>
          <cell r="G886">
            <v>694503</v>
          </cell>
          <cell r="H886"/>
          <cell r="I886">
            <v>40010</v>
          </cell>
          <cell r="J886">
            <v>168626</v>
          </cell>
          <cell r="K886">
            <v>99185</v>
          </cell>
          <cell r="L886">
            <v>14449</v>
          </cell>
          <cell r="M886"/>
          <cell r="N886">
            <v>19659</v>
          </cell>
          <cell r="O886">
            <v>0</v>
          </cell>
          <cell r="P886">
            <v>0</v>
          </cell>
          <cell r="Q886">
            <v>10625</v>
          </cell>
          <cell r="R886"/>
          <cell r="S886">
            <v>234048</v>
          </cell>
          <cell r="T886">
            <v>-1042</v>
          </cell>
          <cell r="U886">
            <v>233006</v>
          </cell>
        </row>
        <row r="887">
          <cell r="A887">
            <v>99717</v>
          </cell>
          <cell r="B887" t="str">
            <v>TOWN OF N WILKESBORO ABC BOARD</v>
          </cell>
          <cell r="C887">
            <v>2.19E-5</v>
          </cell>
          <cell r="D887">
            <v>2.3200000000000001E-5</v>
          </cell>
          <cell r="E887">
            <v>8060</v>
          </cell>
          <cell r="F887">
            <v>49238</v>
          </cell>
          <cell r="G887">
            <v>33457</v>
          </cell>
          <cell r="H887"/>
          <cell r="I887">
            <v>1927</v>
          </cell>
          <cell r="J887">
            <v>8123</v>
          </cell>
          <cell r="K887">
            <v>4778</v>
          </cell>
          <cell r="L887">
            <v>0</v>
          </cell>
          <cell r="M887"/>
          <cell r="N887">
            <v>947</v>
          </cell>
          <cell r="O887">
            <v>0</v>
          </cell>
          <cell r="P887">
            <v>0</v>
          </cell>
          <cell r="Q887">
            <v>3936</v>
          </cell>
          <cell r="R887"/>
          <cell r="S887">
            <v>11275</v>
          </cell>
          <cell r="T887">
            <v>-1270</v>
          </cell>
          <cell r="U887">
            <v>10005</v>
          </cell>
        </row>
        <row r="888">
          <cell r="A888">
            <v>99721</v>
          </cell>
          <cell r="B888" t="str">
            <v>TOWN OF WILKESBORO</v>
          </cell>
          <cell r="C888">
            <v>5.7779999999999995E-4</v>
          </cell>
          <cell r="D888">
            <v>6.2449999999999995E-4</v>
          </cell>
          <cell r="E888">
            <v>252725</v>
          </cell>
          <cell r="F888">
            <v>1325398</v>
          </cell>
          <cell r="G888">
            <v>882718</v>
          </cell>
          <cell r="H888"/>
          <cell r="I888">
            <v>50853</v>
          </cell>
          <cell r="J888">
            <v>214325</v>
          </cell>
          <cell r="K888">
            <v>126064</v>
          </cell>
          <cell r="L888">
            <v>0</v>
          </cell>
          <cell r="M888"/>
          <cell r="N888">
            <v>24987</v>
          </cell>
          <cell r="O888">
            <v>0</v>
          </cell>
          <cell r="P888">
            <v>0</v>
          </cell>
          <cell r="Q888">
            <v>48789</v>
          </cell>
          <cell r="R888"/>
          <cell r="S888">
            <v>297477</v>
          </cell>
          <cell r="T888">
            <v>-14223</v>
          </cell>
          <cell r="U888">
            <v>283254</v>
          </cell>
        </row>
        <row r="889">
          <cell r="A889">
            <v>99727</v>
          </cell>
          <cell r="B889" t="str">
            <v>WILKESBORO ABC BOARD</v>
          </cell>
          <cell r="C889">
            <v>2.3900000000000002E-5</v>
          </cell>
          <cell r="D889">
            <v>2.5299999999999998E-5</v>
          </cell>
          <cell r="E889">
            <v>46315</v>
          </cell>
          <cell r="F889">
            <v>53695</v>
          </cell>
          <cell r="G889">
            <v>36513</v>
          </cell>
          <cell r="H889"/>
          <cell r="I889">
            <v>2103</v>
          </cell>
          <cell r="J889">
            <v>8865</v>
          </cell>
          <cell r="K889">
            <v>5215</v>
          </cell>
          <cell r="L889">
            <v>59484</v>
          </cell>
          <cell r="M889"/>
          <cell r="N889">
            <v>1034</v>
          </cell>
          <cell r="O889">
            <v>0</v>
          </cell>
          <cell r="P889">
            <v>0</v>
          </cell>
          <cell r="Q889">
            <v>0</v>
          </cell>
          <cell r="R889"/>
          <cell r="S889">
            <v>12305</v>
          </cell>
          <cell r="T889">
            <v>20983</v>
          </cell>
          <cell r="U889">
            <v>33288</v>
          </cell>
        </row>
        <row r="890">
          <cell r="A890">
            <v>99801</v>
          </cell>
          <cell r="B890" t="str">
            <v>WILSON COUNTY</v>
          </cell>
          <cell r="C890">
            <v>5.1866000000000004E-3</v>
          </cell>
          <cell r="D890">
            <v>5.1954999999999996E-3</v>
          </cell>
          <cell r="E890">
            <v>2259452</v>
          </cell>
          <cell r="F890">
            <v>11026591</v>
          </cell>
          <cell r="G890">
            <v>7923688</v>
          </cell>
          <cell r="H890"/>
          <cell r="I890">
            <v>456478</v>
          </cell>
          <cell r="J890">
            <v>1923881</v>
          </cell>
          <cell r="K890">
            <v>1131612</v>
          </cell>
          <cell r="L890">
            <v>17042</v>
          </cell>
          <cell r="M890"/>
          <cell r="N890">
            <v>224295</v>
          </cell>
          <cell r="O890">
            <v>0</v>
          </cell>
          <cell r="P890">
            <v>0</v>
          </cell>
          <cell r="Q890">
            <v>150042</v>
          </cell>
          <cell r="R890"/>
          <cell r="S890">
            <v>2670290</v>
          </cell>
          <cell r="T890">
            <v>-29556</v>
          </cell>
          <cell r="U890">
            <v>2640734</v>
          </cell>
        </row>
        <row r="891">
          <cell r="A891">
            <v>99802</v>
          </cell>
          <cell r="B891" t="str">
            <v>WILSON COUNTY TOURISM DEVELOPMENT AUTH</v>
          </cell>
          <cell r="C891">
            <v>6.0000000000000002E-6</v>
          </cell>
          <cell r="D891">
            <v>6.4999999999999996E-6</v>
          </cell>
          <cell r="E891">
            <v>4581</v>
          </cell>
          <cell r="F891">
            <v>13795</v>
          </cell>
          <cell r="G891">
            <v>9166</v>
          </cell>
          <cell r="H891"/>
          <cell r="I891">
            <v>528</v>
          </cell>
          <cell r="J891">
            <v>2226</v>
          </cell>
          <cell r="K891">
            <v>1309</v>
          </cell>
          <cell r="L891">
            <v>1378</v>
          </cell>
          <cell r="M891"/>
          <cell r="N891">
            <v>259</v>
          </cell>
          <cell r="O891">
            <v>0</v>
          </cell>
          <cell r="P891">
            <v>0</v>
          </cell>
          <cell r="Q891">
            <v>53</v>
          </cell>
          <cell r="R891"/>
          <cell r="S891">
            <v>3089</v>
          </cell>
          <cell r="T891">
            <v>334</v>
          </cell>
          <cell r="U891">
            <v>3423</v>
          </cell>
        </row>
        <row r="892">
          <cell r="A892">
            <v>99804</v>
          </cell>
          <cell r="B892" t="str">
            <v>WILSON COUNTY ABC BOARD</v>
          </cell>
          <cell r="C892">
            <v>9.0500000000000004E-5</v>
          </cell>
          <cell r="D892">
            <v>8.6600000000000004E-5</v>
          </cell>
          <cell r="E892">
            <v>46756</v>
          </cell>
          <cell r="F892">
            <v>183794</v>
          </cell>
          <cell r="G892">
            <v>138259</v>
          </cell>
          <cell r="H892"/>
          <cell r="I892">
            <v>7965</v>
          </cell>
          <cell r="J892">
            <v>33569</v>
          </cell>
          <cell r="K892">
            <v>19745</v>
          </cell>
          <cell r="L892">
            <v>13689</v>
          </cell>
          <cell r="M892"/>
          <cell r="N892">
            <v>3914</v>
          </cell>
          <cell r="O892">
            <v>0</v>
          </cell>
          <cell r="P892">
            <v>0</v>
          </cell>
          <cell r="Q892">
            <v>0</v>
          </cell>
          <cell r="R892"/>
          <cell r="S892">
            <v>46593</v>
          </cell>
          <cell r="T892">
            <v>4917</v>
          </cell>
          <cell r="U892">
            <v>51510</v>
          </cell>
        </row>
        <row r="893">
          <cell r="A893">
            <v>99811</v>
          </cell>
          <cell r="B893" t="str">
            <v>CITY OF WILSON</v>
          </cell>
          <cell r="C893">
            <v>6.7026999999999998E-3</v>
          </cell>
          <cell r="D893">
            <v>6.8415000000000004E-3</v>
          </cell>
          <cell r="E893">
            <v>2884356</v>
          </cell>
          <cell r="F893">
            <v>14519955</v>
          </cell>
          <cell r="G893">
            <v>10239869</v>
          </cell>
          <cell r="H893"/>
          <cell r="I893">
            <v>589911</v>
          </cell>
          <cell r="J893">
            <v>2486253</v>
          </cell>
          <cell r="K893">
            <v>1462395</v>
          </cell>
          <cell r="L893">
            <v>0</v>
          </cell>
          <cell r="M893"/>
          <cell r="N893">
            <v>289858</v>
          </cell>
          <cell r="O893">
            <v>0</v>
          </cell>
          <cell r="P893">
            <v>0</v>
          </cell>
          <cell r="Q893">
            <v>598680</v>
          </cell>
          <cell r="R893"/>
          <cell r="S893">
            <v>3450845</v>
          </cell>
          <cell r="T893">
            <v>-236953</v>
          </cell>
          <cell r="U893">
            <v>3213892</v>
          </cell>
        </row>
        <row r="894">
          <cell r="A894">
            <v>99812</v>
          </cell>
          <cell r="B894" t="str">
            <v>WILSON ECONOMIC DEV COUNCIL</v>
          </cell>
          <cell r="C894">
            <v>2.2099999999999998E-5</v>
          </cell>
          <cell r="D894">
            <v>2.5599999999999999E-5</v>
          </cell>
          <cell r="E894">
            <v>20069</v>
          </cell>
          <cell r="F894">
            <v>54332</v>
          </cell>
          <cell r="G894">
            <v>33763</v>
          </cell>
          <cell r="H894"/>
          <cell r="I894">
            <v>1945</v>
          </cell>
          <cell r="J894">
            <v>8198</v>
          </cell>
          <cell r="K894">
            <v>4822</v>
          </cell>
          <cell r="L894">
            <v>11652</v>
          </cell>
          <cell r="M894"/>
          <cell r="N894">
            <v>956</v>
          </cell>
          <cell r="O894">
            <v>0</v>
          </cell>
          <cell r="P894">
            <v>0</v>
          </cell>
          <cell r="Q894">
            <v>0</v>
          </cell>
          <cell r="R894"/>
          <cell r="S894">
            <v>11378</v>
          </cell>
          <cell r="T894">
            <v>4237</v>
          </cell>
          <cell r="U894">
            <v>15615</v>
          </cell>
        </row>
        <row r="895">
          <cell r="A895">
            <v>99818</v>
          </cell>
          <cell r="B895" t="str">
            <v>CITY OF WILSON CEMETERY COMMISSION</v>
          </cell>
          <cell r="C895">
            <v>3.1600000000000002E-5</v>
          </cell>
          <cell r="D895">
            <v>3.7700000000000002E-5</v>
          </cell>
          <cell r="E895">
            <v>14370</v>
          </cell>
          <cell r="F895">
            <v>80012</v>
          </cell>
          <cell r="G895">
            <v>48276</v>
          </cell>
          <cell r="H895"/>
          <cell r="I895">
            <v>2781</v>
          </cell>
          <cell r="J895">
            <v>11722</v>
          </cell>
          <cell r="K895">
            <v>6894</v>
          </cell>
          <cell r="L895">
            <v>3054</v>
          </cell>
          <cell r="M895"/>
          <cell r="N895">
            <v>1367</v>
          </cell>
          <cell r="O895">
            <v>0</v>
          </cell>
          <cell r="P895">
            <v>0</v>
          </cell>
          <cell r="Q895">
            <v>6414</v>
          </cell>
          <cell r="R895"/>
          <cell r="S895">
            <v>16269</v>
          </cell>
          <cell r="T895">
            <v>695</v>
          </cell>
          <cell r="U895">
            <v>16964</v>
          </cell>
        </row>
        <row r="896">
          <cell r="A896">
            <v>99821</v>
          </cell>
          <cell r="B896" t="str">
            <v>TOWN OF STANTONSBURG</v>
          </cell>
          <cell r="C896">
            <v>9.1100000000000005E-5</v>
          </cell>
          <cell r="D896">
            <v>8.2899999999999996E-5</v>
          </cell>
          <cell r="E896">
            <v>48801</v>
          </cell>
          <cell r="F896">
            <v>175942</v>
          </cell>
          <cell r="G896">
            <v>139176</v>
          </cell>
          <cell r="H896"/>
          <cell r="I896">
            <v>8018</v>
          </cell>
          <cell r="J896">
            <v>33792</v>
          </cell>
          <cell r="K896">
            <v>19876</v>
          </cell>
          <cell r="L896">
            <v>21459</v>
          </cell>
          <cell r="M896"/>
          <cell r="N896">
            <v>3940</v>
          </cell>
          <cell r="O896">
            <v>0</v>
          </cell>
          <cell r="P896">
            <v>0</v>
          </cell>
          <cell r="Q896">
            <v>555</v>
          </cell>
          <cell r="R896"/>
          <cell r="S896">
            <v>46902</v>
          </cell>
          <cell r="T896">
            <v>9955</v>
          </cell>
          <cell r="U896">
            <v>56857</v>
          </cell>
        </row>
        <row r="897">
          <cell r="A897">
            <v>99831</v>
          </cell>
          <cell r="B897" t="str">
            <v>TOWN OF BLACK CREEK</v>
          </cell>
          <cell r="C897">
            <v>6.3299999999999994E-5</v>
          </cell>
          <cell r="D897">
            <v>5.5899999999999997E-5</v>
          </cell>
          <cell r="E897">
            <v>28274</v>
          </cell>
          <cell r="F897">
            <v>118639</v>
          </cell>
          <cell r="G897">
            <v>96705</v>
          </cell>
          <cell r="H897"/>
          <cell r="I897">
            <v>5571</v>
          </cell>
          <cell r="J897">
            <v>23480</v>
          </cell>
          <cell r="K897">
            <v>13811</v>
          </cell>
          <cell r="L897">
            <v>7030</v>
          </cell>
          <cell r="M897"/>
          <cell r="N897">
            <v>2737</v>
          </cell>
          <cell r="O897">
            <v>0</v>
          </cell>
          <cell r="P897">
            <v>0</v>
          </cell>
          <cell r="Q897">
            <v>564</v>
          </cell>
          <cell r="R897"/>
          <cell r="S897">
            <v>32590</v>
          </cell>
          <cell r="T897">
            <v>1906</v>
          </cell>
          <cell r="U897">
            <v>34496</v>
          </cell>
        </row>
        <row r="898">
          <cell r="A898">
            <v>99841</v>
          </cell>
          <cell r="B898" t="str">
            <v>TOWN OF LUCAMA</v>
          </cell>
          <cell r="C898">
            <v>4.3399999999999998E-5</v>
          </cell>
          <cell r="D898">
            <v>4.6E-5</v>
          </cell>
          <cell r="E898">
            <v>19338</v>
          </cell>
          <cell r="F898">
            <v>97627</v>
          </cell>
          <cell r="G898">
            <v>66303</v>
          </cell>
          <cell r="H898"/>
          <cell r="I898">
            <v>3820</v>
          </cell>
          <cell r="J898">
            <v>16098</v>
          </cell>
          <cell r="K898">
            <v>9469</v>
          </cell>
          <cell r="L898">
            <v>1271</v>
          </cell>
          <cell r="M898"/>
          <cell r="N898">
            <v>1877</v>
          </cell>
          <cell r="O898">
            <v>0</v>
          </cell>
          <cell r="P898">
            <v>0</v>
          </cell>
          <cell r="Q898">
            <v>4060</v>
          </cell>
          <cell r="R898"/>
          <cell r="S898">
            <v>22344</v>
          </cell>
          <cell r="T898">
            <v>-1214</v>
          </cell>
          <cell r="U898">
            <v>21130</v>
          </cell>
        </row>
        <row r="899">
          <cell r="A899">
            <v>99851</v>
          </cell>
          <cell r="B899" t="str">
            <v>TOWN OF ELM CITY</v>
          </cell>
          <cell r="C899">
            <v>2.23E-5</v>
          </cell>
          <cell r="D899">
            <v>2.1999999999999999E-5</v>
          </cell>
          <cell r="E899">
            <v>7302</v>
          </cell>
          <cell r="F899">
            <v>46691</v>
          </cell>
          <cell r="G899">
            <v>34068</v>
          </cell>
          <cell r="H899"/>
          <cell r="I899">
            <v>1963</v>
          </cell>
          <cell r="J899">
            <v>8272</v>
          </cell>
          <cell r="K899">
            <v>4865</v>
          </cell>
          <cell r="L899">
            <v>142</v>
          </cell>
          <cell r="M899"/>
          <cell r="N899">
            <v>964</v>
          </cell>
          <cell r="O899">
            <v>0</v>
          </cell>
          <cell r="P899">
            <v>0</v>
          </cell>
          <cell r="Q899">
            <v>3191</v>
          </cell>
          <cell r="R899"/>
          <cell r="S899">
            <v>11481</v>
          </cell>
          <cell r="T899">
            <v>-847</v>
          </cell>
          <cell r="U899">
            <v>10634</v>
          </cell>
        </row>
        <row r="900">
          <cell r="A900">
            <v>99901</v>
          </cell>
          <cell r="B900" t="str">
            <v>YADKIN COUNTY</v>
          </cell>
          <cell r="C900">
            <v>1.6707E-3</v>
          </cell>
          <cell r="D900">
            <v>1.6371999999999999E-3</v>
          </cell>
          <cell r="E900">
            <v>760400</v>
          </cell>
          <cell r="F900">
            <v>3474687</v>
          </cell>
          <cell r="G900">
            <v>2552367</v>
          </cell>
          <cell r="H900"/>
          <cell r="I900">
            <v>147040</v>
          </cell>
          <cell r="J900">
            <v>619718</v>
          </cell>
          <cell r="K900">
            <v>364513</v>
          </cell>
          <cell r="L900">
            <v>63407</v>
          </cell>
          <cell r="M900"/>
          <cell r="N900">
            <v>72249</v>
          </cell>
          <cell r="O900">
            <v>0</v>
          </cell>
          <cell r="P900">
            <v>0</v>
          </cell>
          <cell r="Q900">
            <v>12021</v>
          </cell>
          <cell r="R900"/>
          <cell r="S900">
            <v>860150</v>
          </cell>
          <cell r="T900">
            <v>13114</v>
          </cell>
          <cell r="U900">
            <v>873264</v>
          </cell>
        </row>
        <row r="901">
          <cell r="A901">
            <v>99911</v>
          </cell>
          <cell r="B901" t="str">
            <v>TOWN OF YADKINVILLE</v>
          </cell>
          <cell r="C901">
            <v>2.5980000000000003E-4</v>
          </cell>
          <cell r="D901">
            <v>2.5520000000000002E-4</v>
          </cell>
          <cell r="E901">
            <v>122066</v>
          </cell>
          <cell r="F901">
            <v>541620</v>
          </cell>
          <cell r="G901">
            <v>396902</v>
          </cell>
          <cell r="H901"/>
          <cell r="I901">
            <v>22865</v>
          </cell>
          <cell r="J901">
            <v>96368</v>
          </cell>
          <cell r="K901">
            <v>56683</v>
          </cell>
          <cell r="L901">
            <v>7168</v>
          </cell>
          <cell r="M901"/>
          <cell r="N901">
            <v>11235</v>
          </cell>
          <cell r="O901">
            <v>0</v>
          </cell>
          <cell r="P901">
            <v>0</v>
          </cell>
          <cell r="Q901">
            <v>12661</v>
          </cell>
          <cell r="R901"/>
          <cell r="S901">
            <v>133756</v>
          </cell>
          <cell r="T901">
            <v>-5521</v>
          </cell>
          <cell r="U901">
            <v>128235</v>
          </cell>
        </row>
        <row r="902">
          <cell r="A902">
            <v>99921</v>
          </cell>
          <cell r="B902" t="str">
            <v>TOWN OF JONESVILLE</v>
          </cell>
          <cell r="C902">
            <v>1.506E-4</v>
          </cell>
          <cell r="D902">
            <v>1.5129999999999999E-4</v>
          </cell>
          <cell r="E902">
            <v>65165</v>
          </cell>
          <cell r="F902">
            <v>321109</v>
          </cell>
          <cell r="G902">
            <v>230075</v>
          </cell>
          <cell r="H902"/>
          <cell r="I902">
            <v>13254</v>
          </cell>
          <cell r="J902">
            <v>55863</v>
          </cell>
          <cell r="K902">
            <v>32858</v>
          </cell>
          <cell r="L902">
            <v>3258</v>
          </cell>
          <cell r="M902"/>
          <cell r="N902">
            <v>6513</v>
          </cell>
          <cell r="O902">
            <v>0</v>
          </cell>
          <cell r="P902">
            <v>0</v>
          </cell>
          <cell r="Q902">
            <v>7306</v>
          </cell>
          <cell r="R902"/>
          <cell r="S902">
            <v>77536</v>
          </cell>
          <cell r="T902">
            <v>-3057</v>
          </cell>
          <cell r="U902">
            <v>74479</v>
          </cell>
        </row>
        <row r="903">
          <cell r="A903">
            <v>99931</v>
          </cell>
          <cell r="B903" t="str">
            <v>TOWN OF EAST BEND</v>
          </cell>
          <cell r="C903">
            <v>1.5800000000000001E-5</v>
          </cell>
          <cell r="D903">
            <v>2.51E-5</v>
          </cell>
          <cell r="E903">
            <v>8881</v>
          </cell>
          <cell r="F903">
            <v>53271</v>
          </cell>
          <cell r="G903">
            <v>24138</v>
          </cell>
          <cell r="H903"/>
          <cell r="I903">
            <v>1391</v>
          </cell>
          <cell r="J903">
            <v>5860</v>
          </cell>
          <cell r="K903">
            <v>3447</v>
          </cell>
          <cell r="L903">
            <v>0</v>
          </cell>
          <cell r="M903"/>
          <cell r="N903">
            <v>683</v>
          </cell>
          <cell r="O903">
            <v>0</v>
          </cell>
          <cell r="P903">
            <v>0</v>
          </cell>
          <cell r="Q903">
            <v>8477</v>
          </cell>
          <cell r="R903"/>
          <cell r="S903">
            <v>8135</v>
          </cell>
          <cell r="T903">
            <v>-3271</v>
          </cell>
          <cell r="U903">
            <v>4864</v>
          </cell>
        </row>
        <row r="904">
          <cell r="A904">
            <v>99941</v>
          </cell>
          <cell r="B904" t="str">
            <v>TOWN OF BOONVILLE</v>
          </cell>
          <cell r="C904">
            <v>7.5400000000000003E-5</v>
          </cell>
          <cell r="D904">
            <v>7.8200000000000003E-5</v>
          </cell>
          <cell r="E904">
            <v>32663</v>
          </cell>
          <cell r="F904">
            <v>165967</v>
          </cell>
          <cell r="G904">
            <v>115190</v>
          </cell>
          <cell r="H904"/>
          <cell r="I904">
            <v>6636</v>
          </cell>
          <cell r="J904">
            <v>27969</v>
          </cell>
          <cell r="K904">
            <v>16451</v>
          </cell>
          <cell r="L904">
            <v>0</v>
          </cell>
          <cell r="M904"/>
          <cell r="N904">
            <v>3261</v>
          </cell>
          <cell r="O904">
            <v>0</v>
          </cell>
          <cell r="P904">
            <v>0</v>
          </cell>
          <cell r="Q904">
            <v>11647</v>
          </cell>
          <cell r="R904"/>
          <cell r="S904">
            <v>38819</v>
          </cell>
          <cell r="T904">
            <v>-4535</v>
          </cell>
          <cell r="U904">
            <v>34284</v>
          </cell>
        </row>
        <row r="905">
          <cell r="A905">
            <v>99991</v>
          </cell>
          <cell r="B905" t="str">
            <v>N C ASSOC OF CO COMMISSIONERS</v>
          </cell>
          <cell r="C905">
            <v>5.3450000000000004E-4</v>
          </cell>
          <cell r="D905">
            <v>5.6990000000000003E-4</v>
          </cell>
          <cell r="E905">
            <v>239781</v>
          </cell>
          <cell r="F905">
            <v>1209519</v>
          </cell>
          <cell r="G905">
            <v>816568</v>
          </cell>
          <cell r="H905"/>
          <cell r="I905">
            <v>47042</v>
          </cell>
          <cell r="J905">
            <v>198264</v>
          </cell>
          <cell r="K905">
            <v>116617</v>
          </cell>
          <cell r="L905">
            <v>28891</v>
          </cell>
          <cell r="M905"/>
          <cell r="N905">
            <v>23114</v>
          </cell>
          <cell r="O905">
            <v>0</v>
          </cell>
          <cell r="P905">
            <v>0</v>
          </cell>
          <cell r="Q905">
            <v>28214</v>
          </cell>
          <cell r="R905"/>
          <cell r="S905">
            <v>275184</v>
          </cell>
          <cell r="T905">
            <v>12361</v>
          </cell>
          <cell r="U905">
            <v>287545</v>
          </cell>
        </row>
        <row r="906">
          <cell r="A906">
            <v>99999</v>
          </cell>
          <cell r="B906" t="str">
            <v>N C LEAGUE OF MUNICIPALITIES</v>
          </cell>
          <cell r="C906">
            <v>8.7509999999999997E-4</v>
          </cell>
          <cell r="D906">
            <v>1.0101000000000001E-3</v>
          </cell>
          <cell r="E906">
            <v>509176</v>
          </cell>
          <cell r="F906">
            <v>2143771</v>
          </cell>
          <cell r="G906">
            <v>1336910</v>
          </cell>
          <cell r="H906"/>
          <cell r="I906">
            <v>77018</v>
          </cell>
          <cell r="J906">
            <v>324603</v>
          </cell>
          <cell r="K906">
            <v>190929</v>
          </cell>
          <cell r="L906">
            <v>77711</v>
          </cell>
          <cell r="M906"/>
          <cell r="N906">
            <v>37844</v>
          </cell>
          <cell r="O906">
            <v>0</v>
          </cell>
          <cell r="P906">
            <v>0</v>
          </cell>
          <cell r="Q906">
            <v>26259</v>
          </cell>
          <cell r="R906"/>
          <cell r="S906">
            <v>450540</v>
          </cell>
          <cell r="T906">
            <v>10651</v>
          </cell>
          <cell r="U906">
            <v>461191</v>
          </cell>
        </row>
        <row r="907">
          <cell r="A907"/>
          <cell r="B907"/>
          <cell r="C907"/>
          <cell r="D907"/>
          <cell r="E907"/>
          <cell r="F907"/>
          <cell r="G907"/>
          <cell r="H907"/>
          <cell r="I907"/>
          <cell r="J907"/>
          <cell r="K907"/>
          <cell r="L907"/>
          <cell r="M907"/>
          <cell r="N907"/>
          <cell r="O907"/>
          <cell r="P907"/>
          <cell r="Q907"/>
          <cell r="R907"/>
          <cell r="S907"/>
          <cell r="T907"/>
          <cell r="U907"/>
        </row>
        <row r="908">
          <cell r="A908" t="str">
            <v>9xxxy</v>
          </cell>
          <cell r="B908" t="str">
            <v>Carolina County</v>
          </cell>
          <cell r="C908">
            <v>2.6581E-3</v>
          </cell>
          <cell r="D908">
            <v>2.3587E-3</v>
          </cell>
          <cell r="E908">
            <v>1110621</v>
          </cell>
          <cell r="F908">
            <v>5005952</v>
          </cell>
          <cell r="G908">
            <v>4060841</v>
          </cell>
          <cell r="H908"/>
          <cell r="I908">
            <v>233942</v>
          </cell>
          <cell r="J908">
            <v>985977</v>
          </cell>
          <cell r="K908">
            <v>579944</v>
          </cell>
          <cell r="L908">
            <v>130818</v>
          </cell>
          <cell r="M908"/>
          <cell r="N908">
            <v>114950</v>
          </cell>
          <cell r="O908"/>
          <cell r="P908">
            <v>0</v>
          </cell>
          <cell r="Q908">
            <v>31847</v>
          </cell>
          <cell r="R908"/>
          <cell r="S908">
            <v>1368507</v>
          </cell>
          <cell r="T908">
            <v>33872</v>
          </cell>
          <cell r="U908">
            <v>1402379</v>
          </cell>
        </row>
        <row r="909">
          <cell r="A909"/>
          <cell r="B909"/>
          <cell r="C909">
            <v>1</v>
          </cell>
          <cell r="D909">
            <v>1</v>
          </cell>
          <cell r="E909">
            <v>459076658</v>
          </cell>
          <cell r="F909">
            <v>2063974821</v>
          </cell>
          <cell r="G909">
            <v>1527723006</v>
          </cell>
          <cell r="H909"/>
          <cell r="I909">
            <v>88010998</v>
          </cell>
          <cell r="J909">
            <v>370932998</v>
          </cell>
          <cell r="K909">
            <v>218179990</v>
          </cell>
          <cell r="L909">
            <v>44399345</v>
          </cell>
          <cell r="M909"/>
          <cell r="N909">
            <v>43245007</v>
          </cell>
          <cell r="O909">
            <v>0</v>
          </cell>
          <cell r="P909">
            <v>0</v>
          </cell>
          <cell r="Q909">
            <v>44399369</v>
          </cell>
          <cell r="R909"/>
          <cell r="S909">
            <v>514844016</v>
          </cell>
          <cell r="T909">
            <v>36</v>
          </cell>
          <cell r="U909">
            <v>514844052</v>
          </cell>
        </row>
        <row r="910">
          <cell r="A910"/>
          <cell r="B910"/>
          <cell r="C910"/>
          <cell r="D910"/>
          <cell r="E910"/>
          <cell r="F910"/>
          <cell r="G910"/>
          <cell r="H910"/>
          <cell r="I910"/>
          <cell r="J910"/>
          <cell r="K910"/>
          <cell r="L910"/>
          <cell r="M910"/>
          <cell r="N910"/>
          <cell r="O910"/>
          <cell r="P910"/>
          <cell r="Q910"/>
          <cell r="R910"/>
          <cell r="S910"/>
          <cell r="T910"/>
          <cell r="U910"/>
        </row>
        <row r="911">
          <cell r="A911"/>
          <cell r="B911"/>
          <cell r="C911"/>
          <cell r="D911"/>
          <cell r="E911"/>
          <cell r="F911"/>
          <cell r="G911"/>
          <cell r="H911"/>
          <cell r="I911"/>
          <cell r="J911"/>
          <cell r="K911"/>
          <cell r="L911"/>
          <cell r="M911"/>
          <cell r="N911"/>
          <cell r="O911"/>
          <cell r="P911"/>
          <cell r="Q911"/>
          <cell r="R911"/>
          <cell r="S911"/>
          <cell r="T911"/>
          <cell r="U911"/>
        </row>
        <row r="912">
          <cell r="B912" t="str">
            <v>No additional agency chosen</v>
          </cell>
          <cell r="C912" t="str">
            <v>N/A</v>
          </cell>
        </row>
        <row r="913">
          <cell r="B913" t="str">
            <v>Aberdeen</v>
          </cell>
          <cell r="C913">
            <v>96331</v>
          </cell>
        </row>
        <row r="914">
          <cell r="B914" t="str">
            <v>Ahoskie</v>
          </cell>
          <cell r="C914">
            <v>94611</v>
          </cell>
        </row>
        <row r="915">
          <cell r="B915" t="str">
            <v>Airport Commission Of Forsyth County</v>
          </cell>
          <cell r="C915">
            <v>93402</v>
          </cell>
        </row>
        <row r="916">
          <cell r="B916" t="str">
            <v>Alamance</v>
          </cell>
          <cell r="C916">
            <v>90151</v>
          </cell>
        </row>
        <row r="917">
          <cell r="B917" t="str">
            <v>Alamance Comm Fire Dist</v>
          </cell>
          <cell r="C917">
            <v>94109</v>
          </cell>
        </row>
        <row r="918">
          <cell r="B918" t="str">
            <v>Alamance County</v>
          </cell>
          <cell r="C918">
            <v>90101</v>
          </cell>
        </row>
        <row r="919">
          <cell r="B919" t="str">
            <v>Alamance Municipal ABC Board</v>
          </cell>
          <cell r="C919">
            <v>90117</v>
          </cell>
        </row>
        <row r="920">
          <cell r="B920" t="str">
            <v>Albemarle</v>
          </cell>
          <cell r="C920">
            <v>98411</v>
          </cell>
        </row>
        <row r="921">
          <cell r="B921" t="str">
            <v>Albemarle ABC Board</v>
          </cell>
          <cell r="C921">
            <v>98417</v>
          </cell>
        </row>
        <row r="922">
          <cell r="B922" t="str">
            <v>Albemarle District Jail Commission</v>
          </cell>
          <cell r="C922">
            <v>97008</v>
          </cell>
        </row>
        <row r="923">
          <cell r="B923" t="str">
            <v>Albemarle Hospital Authority</v>
          </cell>
          <cell r="C923">
            <v>97010</v>
          </cell>
        </row>
        <row r="924">
          <cell r="B924" t="str">
            <v>Albemarle Regional Health Services</v>
          </cell>
          <cell r="C924">
            <v>90096</v>
          </cell>
        </row>
        <row r="925">
          <cell r="B925" t="str">
            <v>Albemarle Regional Library</v>
          </cell>
          <cell r="C925">
            <v>90805</v>
          </cell>
        </row>
        <row r="926">
          <cell r="B926" t="str">
            <v>Albemarle Regnl Planning &amp; Development Comm</v>
          </cell>
          <cell r="C926">
            <v>92109</v>
          </cell>
        </row>
        <row r="927">
          <cell r="B927" t="str">
            <v>Alexander County</v>
          </cell>
          <cell r="C927">
            <v>90201</v>
          </cell>
        </row>
        <row r="928">
          <cell r="B928" t="str">
            <v>Alexander County Dept Of S S</v>
          </cell>
          <cell r="C928">
            <v>90206</v>
          </cell>
        </row>
        <row r="929">
          <cell r="B929" t="str">
            <v>Alexander County Health Dept</v>
          </cell>
          <cell r="C929">
            <v>90203</v>
          </cell>
        </row>
        <row r="930">
          <cell r="B930" t="str">
            <v>Alexander County Public Library</v>
          </cell>
          <cell r="C930">
            <v>90205</v>
          </cell>
        </row>
        <row r="931">
          <cell r="B931" t="str">
            <v>Alleghany County</v>
          </cell>
          <cell r="C931">
            <v>90301</v>
          </cell>
        </row>
        <row r="932">
          <cell r="B932" t="str">
            <v>Alliance Behavioral Healthcre</v>
          </cell>
          <cell r="C932">
            <v>93209</v>
          </cell>
        </row>
        <row r="933">
          <cell r="B933" t="str">
            <v>Andrews</v>
          </cell>
          <cell r="C933">
            <v>92021</v>
          </cell>
        </row>
        <row r="934">
          <cell r="B934" t="str">
            <v>Angier</v>
          </cell>
          <cell r="C934">
            <v>94351</v>
          </cell>
        </row>
        <row r="935">
          <cell r="B935" t="str">
            <v>Angier ABC Board</v>
          </cell>
          <cell r="C935">
            <v>94347</v>
          </cell>
        </row>
        <row r="936">
          <cell r="B936" t="str">
            <v>Anson County</v>
          </cell>
          <cell r="C936">
            <v>90401</v>
          </cell>
        </row>
        <row r="937">
          <cell r="B937" t="str">
            <v>Ansonville</v>
          </cell>
          <cell r="C937">
            <v>90451</v>
          </cell>
        </row>
        <row r="938">
          <cell r="B938" t="str">
            <v>Apex</v>
          </cell>
          <cell r="C938">
            <v>99271</v>
          </cell>
        </row>
        <row r="939">
          <cell r="B939" t="str">
            <v>Appalachian District Health Dept</v>
          </cell>
          <cell r="C939">
            <v>90099</v>
          </cell>
        </row>
        <row r="940">
          <cell r="B940" t="str">
            <v>Appalachian Regional Library</v>
          </cell>
          <cell r="C940">
            <v>99705</v>
          </cell>
        </row>
        <row r="941">
          <cell r="B941" t="str">
            <v>Archdale</v>
          </cell>
          <cell r="C941">
            <v>97651</v>
          </cell>
        </row>
        <row r="942">
          <cell r="B942" t="str">
            <v>Archer Lodge</v>
          </cell>
          <cell r="C942">
            <v>95106</v>
          </cell>
        </row>
        <row r="943">
          <cell r="B943" t="str">
            <v>Ashe County</v>
          </cell>
          <cell r="C943">
            <v>90501</v>
          </cell>
        </row>
        <row r="944">
          <cell r="B944" t="str">
            <v>Asheboro</v>
          </cell>
          <cell r="C944">
            <v>97611</v>
          </cell>
        </row>
        <row r="945">
          <cell r="B945" t="str">
            <v>Asheboro ABC Board</v>
          </cell>
          <cell r="C945">
            <v>97607</v>
          </cell>
        </row>
        <row r="946">
          <cell r="B946" t="str">
            <v>Asheboro Housing Auth</v>
          </cell>
          <cell r="C946">
            <v>97613</v>
          </cell>
        </row>
        <row r="947">
          <cell r="B947" t="str">
            <v>Asheville</v>
          </cell>
          <cell r="C947">
            <v>91121</v>
          </cell>
        </row>
        <row r="948">
          <cell r="B948" t="str">
            <v>Asheville ABC Board</v>
          </cell>
          <cell r="C948">
            <v>91127</v>
          </cell>
        </row>
        <row r="949">
          <cell r="B949" t="str">
            <v>Asheville Regional Airport Authority</v>
          </cell>
          <cell r="C949">
            <v>91128</v>
          </cell>
        </row>
        <row r="950">
          <cell r="B950" t="str">
            <v>Atlantic Beach</v>
          </cell>
          <cell r="C950">
            <v>91681</v>
          </cell>
        </row>
        <row r="951">
          <cell r="B951" t="str">
            <v>Aulander</v>
          </cell>
          <cell r="C951">
            <v>90811</v>
          </cell>
        </row>
        <row r="952">
          <cell r="B952" t="str">
            <v>Aurora</v>
          </cell>
          <cell r="C952">
            <v>90721</v>
          </cell>
        </row>
        <row r="953">
          <cell r="B953" t="str">
            <v>Autryville</v>
          </cell>
          <cell r="C953">
            <v>98271</v>
          </cell>
        </row>
        <row r="954">
          <cell r="B954" t="str">
            <v>Avery County</v>
          </cell>
          <cell r="C954">
            <v>90601</v>
          </cell>
        </row>
        <row r="955">
          <cell r="B955" t="str">
            <v>Avery County Fire Commission</v>
          </cell>
          <cell r="C955">
            <v>90602</v>
          </cell>
        </row>
        <row r="956">
          <cell r="B956" t="str">
            <v>Avery-Mitchell-Yancey Reg Library</v>
          </cell>
          <cell r="C956">
            <v>90605</v>
          </cell>
        </row>
        <row r="957">
          <cell r="B957" t="str">
            <v>Ayden</v>
          </cell>
          <cell r="C957">
            <v>97461</v>
          </cell>
        </row>
        <row r="958">
          <cell r="B958" t="str">
            <v>Ayden Housing Authority</v>
          </cell>
          <cell r="C958">
            <v>97463</v>
          </cell>
        </row>
        <row r="959">
          <cell r="B959" t="str">
            <v>B H M Regional Library</v>
          </cell>
          <cell r="C959">
            <v>90705</v>
          </cell>
        </row>
        <row r="960">
          <cell r="B960" t="str">
            <v>Badin</v>
          </cell>
          <cell r="C960">
            <v>98451</v>
          </cell>
        </row>
        <row r="961">
          <cell r="B961" t="str">
            <v>Bailey</v>
          </cell>
          <cell r="C961">
            <v>96451</v>
          </cell>
        </row>
        <row r="962">
          <cell r="B962" t="str">
            <v>Bakersville</v>
          </cell>
          <cell r="C962">
            <v>96121</v>
          </cell>
        </row>
        <row r="963">
          <cell r="B963" t="str">
            <v>Bald Head Island</v>
          </cell>
          <cell r="C963">
            <v>91091</v>
          </cell>
        </row>
        <row r="964">
          <cell r="B964" t="str">
            <v>Banner Elk</v>
          </cell>
          <cell r="C964">
            <v>90611</v>
          </cell>
        </row>
        <row r="965">
          <cell r="B965" t="str">
            <v>Bay River Metro Sewerage District</v>
          </cell>
          <cell r="C965">
            <v>96918</v>
          </cell>
        </row>
        <row r="966">
          <cell r="B966" t="str">
            <v>Bayboro</v>
          </cell>
          <cell r="C966">
            <v>96911</v>
          </cell>
        </row>
        <row r="967">
          <cell r="B967" t="str">
            <v>Bayleaf Fire Department</v>
          </cell>
          <cell r="C967">
            <v>99208</v>
          </cell>
        </row>
        <row r="968">
          <cell r="B968" t="str">
            <v>Beaufort</v>
          </cell>
          <cell r="C968">
            <v>91631</v>
          </cell>
        </row>
        <row r="969">
          <cell r="B969" t="str">
            <v>Beaufort County</v>
          </cell>
          <cell r="C969">
            <v>90701</v>
          </cell>
        </row>
        <row r="970">
          <cell r="B970" t="str">
            <v>Beaufort County ABC Board</v>
          </cell>
          <cell r="C970">
            <v>90704</v>
          </cell>
        </row>
        <row r="971">
          <cell r="B971" t="str">
            <v>Beaufort Housing Auth</v>
          </cell>
          <cell r="C971">
            <v>91633</v>
          </cell>
        </row>
        <row r="972">
          <cell r="B972" t="str">
            <v>Beech Mountain</v>
          </cell>
          <cell r="C972">
            <v>90631</v>
          </cell>
        </row>
        <row r="973">
          <cell r="B973" t="str">
            <v>Belhaven</v>
          </cell>
          <cell r="C973">
            <v>90731</v>
          </cell>
        </row>
        <row r="974">
          <cell r="B974" t="str">
            <v>Belmont</v>
          </cell>
          <cell r="C974">
            <v>93621</v>
          </cell>
        </row>
        <row r="975">
          <cell r="B975" t="str">
            <v>Belmont Housing Authority</v>
          </cell>
          <cell r="C975">
            <v>93623</v>
          </cell>
        </row>
        <row r="976">
          <cell r="B976" t="str">
            <v>Belville</v>
          </cell>
          <cell r="C976">
            <v>91020</v>
          </cell>
        </row>
        <row r="977">
          <cell r="B977" t="str">
            <v>Benson</v>
          </cell>
          <cell r="C977">
            <v>95141</v>
          </cell>
        </row>
        <row r="978">
          <cell r="B978" t="str">
            <v>Benson Housing Authority</v>
          </cell>
          <cell r="C978">
            <v>95103</v>
          </cell>
        </row>
        <row r="979">
          <cell r="B979" t="str">
            <v>Bermuda Run</v>
          </cell>
          <cell r="C979">
            <v>93021</v>
          </cell>
        </row>
        <row r="980">
          <cell r="B980" t="str">
            <v>Bertie County</v>
          </cell>
          <cell r="C980">
            <v>90801</v>
          </cell>
        </row>
        <row r="981">
          <cell r="B981" t="str">
            <v>Bertie County ABC Board</v>
          </cell>
          <cell r="C981">
            <v>90804</v>
          </cell>
        </row>
        <row r="982">
          <cell r="B982" t="str">
            <v>Bertie-Martin Regional Jail Comm</v>
          </cell>
          <cell r="C982">
            <v>90808</v>
          </cell>
        </row>
        <row r="983">
          <cell r="B983" t="str">
            <v>Bessemer City</v>
          </cell>
          <cell r="C983">
            <v>93671</v>
          </cell>
        </row>
        <row r="984">
          <cell r="B984" t="str">
            <v>Bessemer City ABC Board</v>
          </cell>
          <cell r="C984">
            <v>93677</v>
          </cell>
        </row>
        <row r="985">
          <cell r="B985" t="str">
            <v>Bethel</v>
          </cell>
          <cell r="C985">
            <v>97441</v>
          </cell>
        </row>
        <row r="986">
          <cell r="B986" t="str">
            <v>Beulaville</v>
          </cell>
          <cell r="C986">
            <v>93111</v>
          </cell>
        </row>
        <row r="987">
          <cell r="B987" t="str">
            <v>Biltmore Forest</v>
          </cell>
          <cell r="C987">
            <v>91111</v>
          </cell>
        </row>
        <row r="988">
          <cell r="B988" t="str">
            <v>Biscoe</v>
          </cell>
          <cell r="C988">
            <v>96231</v>
          </cell>
        </row>
        <row r="989">
          <cell r="B989" t="str">
            <v>Black Creek</v>
          </cell>
          <cell r="C989">
            <v>99831</v>
          </cell>
        </row>
        <row r="990">
          <cell r="B990" t="str">
            <v>Black Mountain</v>
          </cell>
          <cell r="C990">
            <v>91151</v>
          </cell>
        </row>
        <row r="991">
          <cell r="B991" t="str">
            <v>Black Mtn ABC Board</v>
          </cell>
          <cell r="C991">
            <v>91154</v>
          </cell>
        </row>
        <row r="992">
          <cell r="B992" t="str">
            <v>Bladen County</v>
          </cell>
          <cell r="C992">
            <v>90901</v>
          </cell>
        </row>
        <row r="993">
          <cell r="B993" t="str">
            <v>Bladenboro</v>
          </cell>
          <cell r="C993">
            <v>90941</v>
          </cell>
        </row>
        <row r="994">
          <cell r="B994" t="str">
            <v>Blowing Rock</v>
          </cell>
          <cell r="C994">
            <v>99521</v>
          </cell>
        </row>
        <row r="995">
          <cell r="B995" t="str">
            <v>Blowing Rock ABC Bd</v>
          </cell>
          <cell r="C995">
            <v>99527</v>
          </cell>
        </row>
        <row r="996">
          <cell r="B996" t="str">
            <v>Blowing Rock Tourism Development Authority</v>
          </cell>
          <cell r="C996">
            <v>99508</v>
          </cell>
        </row>
        <row r="997">
          <cell r="B997" t="str">
            <v>Blue Ridge Fire Department</v>
          </cell>
          <cell r="C997">
            <v>94532</v>
          </cell>
        </row>
        <row r="998">
          <cell r="B998" t="str">
            <v>Boiling Sprg Lakes</v>
          </cell>
          <cell r="C998">
            <v>91071</v>
          </cell>
        </row>
        <row r="999">
          <cell r="B999" t="str">
            <v>Boiling Spring Lakes ABC Board</v>
          </cell>
          <cell r="C999">
            <v>91077</v>
          </cell>
        </row>
        <row r="1000">
          <cell r="B1000" t="str">
            <v>Boiling Springs</v>
          </cell>
          <cell r="C1000">
            <v>92331</v>
          </cell>
        </row>
        <row r="1001">
          <cell r="B1001" t="str">
            <v>Bolton</v>
          </cell>
          <cell r="C1001">
            <v>92414</v>
          </cell>
        </row>
        <row r="1002">
          <cell r="B1002" t="str">
            <v>Boone</v>
          </cell>
          <cell r="C1002">
            <v>99511</v>
          </cell>
        </row>
        <row r="1003">
          <cell r="B1003" t="str">
            <v>Boonville</v>
          </cell>
          <cell r="C1003">
            <v>99941</v>
          </cell>
        </row>
        <row r="1004">
          <cell r="B1004" t="str">
            <v>Braswell Memorial Library</v>
          </cell>
          <cell r="C1004">
            <v>96405</v>
          </cell>
        </row>
        <row r="1005">
          <cell r="B1005" t="str">
            <v>Brevard</v>
          </cell>
          <cell r="C1005">
            <v>98811</v>
          </cell>
        </row>
        <row r="1006">
          <cell r="B1006" t="str">
            <v>Brevard ABC Board</v>
          </cell>
          <cell r="C1006">
            <v>98817</v>
          </cell>
        </row>
        <row r="1007">
          <cell r="B1007" t="str">
            <v>Bridgeton</v>
          </cell>
          <cell r="C1007">
            <v>92561</v>
          </cell>
        </row>
        <row r="1008">
          <cell r="B1008" t="str">
            <v>Broad River Water Authority</v>
          </cell>
          <cell r="C1008">
            <v>98102</v>
          </cell>
        </row>
        <row r="1009">
          <cell r="B1009" t="str">
            <v>Broadway</v>
          </cell>
          <cell r="C1009">
            <v>95321</v>
          </cell>
        </row>
        <row r="1010">
          <cell r="B1010" t="str">
            <v>Brookford</v>
          </cell>
          <cell r="C1010">
            <v>91861</v>
          </cell>
        </row>
        <row r="1011">
          <cell r="B1011" t="str">
            <v>Brunswick</v>
          </cell>
          <cell r="C1011">
            <v>92421</v>
          </cell>
        </row>
        <row r="1012">
          <cell r="B1012" t="str">
            <v>Brunswick Co Dept Of Social Services</v>
          </cell>
          <cell r="C1012">
            <v>91006</v>
          </cell>
        </row>
        <row r="1013">
          <cell r="B1013" t="str">
            <v>Brunswick Co Health Dept</v>
          </cell>
          <cell r="C1013">
            <v>91003</v>
          </cell>
        </row>
        <row r="1014">
          <cell r="B1014" t="str">
            <v>Brunswick County</v>
          </cell>
          <cell r="C1014">
            <v>91001</v>
          </cell>
        </row>
        <row r="1015">
          <cell r="B1015" t="str">
            <v>Brunswick County ABC Board</v>
          </cell>
          <cell r="C1015">
            <v>91004</v>
          </cell>
        </row>
        <row r="1016">
          <cell r="B1016" t="str">
            <v>Brunswick County Tourism Authority</v>
          </cell>
          <cell r="C1016">
            <v>91009</v>
          </cell>
        </row>
        <row r="1017">
          <cell r="B1017" t="str">
            <v>Brunswick Regional Water And Sewer H2Go</v>
          </cell>
          <cell r="C1017">
            <v>91042</v>
          </cell>
        </row>
        <row r="1018">
          <cell r="B1018" t="str">
            <v>Bryson City</v>
          </cell>
          <cell r="C1018">
            <v>98711</v>
          </cell>
        </row>
        <row r="1019">
          <cell r="B1019" t="str">
            <v>Bryson City ABC Board</v>
          </cell>
          <cell r="C1019">
            <v>98717</v>
          </cell>
        </row>
        <row r="1020">
          <cell r="B1020" t="str">
            <v>Buncombe County</v>
          </cell>
          <cell r="C1020">
            <v>91101</v>
          </cell>
        </row>
        <row r="1021">
          <cell r="B1021" t="str">
            <v>Bunn</v>
          </cell>
          <cell r="C1021">
            <v>93531</v>
          </cell>
        </row>
        <row r="1022">
          <cell r="B1022" t="str">
            <v>Bunn ABC Board</v>
          </cell>
          <cell r="C1022">
            <v>93537</v>
          </cell>
        </row>
        <row r="1023">
          <cell r="B1023" t="str">
            <v>Burgaw</v>
          </cell>
          <cell r="C1023">
            <v>97111</v>
          </cell>
        </row>
        <row r="1024">
          <cell r="B1024" t="str">
            <v>Burke Co Dept Of Social Services</v>
          </cell>
          <cell r="C1024">
            <v>91206</v>
          </cell>
        </row>
        <row r="1025">
          <cell r="B1025" t="str">
            <v>Burke Co Health Dept</v>
          </cell>
          <cell r="C1025">
            <v>91203</v>
          </cell>
        </row>
        <row r="1026">
          <cell r="B1026" t="str">
            <v>Burke County</v>
          </cell>
          <cell r="C1026">
            <v>91201</v>
          </cell>
        </row>
        <row r="1027">
          <cell r="B1027" t="str">
            <v>Burke County Tourism Dev. Authority</v>
          </cell>
          <cell r="C1027">
            <v>91208</v>
          </cell>
        </row>
        <row r="1028">
          <cell r="B1028" t="str">
            <v>Burke-Catawba Dist Confinement</v>
          </cell>
          <cell r="C1028">
            <v>91202</v>
          </cell>
        </row>
        <row r="1029">
          <cell r="B1029" t="str">
            <v>Burlington</v>
          </cell>
          <cell r="C1029">
            <v>90111</v>
          </cell>
        </row>
        <row r="1030">
          <cell r="B1030" t="str">
            <v>Burnsville</v>
          </cell>
          <cell r="C1030">
            <v>90011</v>
          </cell>
        </row>
        <row r="1031">
          <cell r="B1031" t="str">
            <v>Butner</v>
          </cell>
          <cell r="C1031">
            <v>93931</v>
          </cell>
        </row>
        <row r="1032">
          <cell r="B1032" t="str">
            <v>Cabarrus Co Public Health Auth</v>
          </cell>
          <cell r="C1032">
            <v>91306</v>
          </cell>
        </row>
        <row r="1033">
          <cell r="B1033" t="str">
            <v>Cabarrus County</v>
          </cell>
          <cell r="C1033">
            <v>91301</v>
          </cell>
        </row>
        <row r="1034">
          <cell r="B1034" t="str">
            <v>Cabarrus County Tourism Authority</v>
          </cell>
          <cell r="C1034">
            <v>91308</v>
          </cell>
        </row>
        <row r="1035">
          <cell r="B1035" t="str">
            <v>Cajah'S Mountain</v>
          </cell>
          <cell r="C1035">
            <v>91461</v>
          </cell>
        </row>
        <row r="1036">
          <cell r="B1036" t="str">
            <v>Calabash</v>
          </cell>
          <cell r="C1036">
            <v>91010</v>
          </cell>
        </row>
        <row r="1037">
          <cell r="B1037" t="str">
            <v>Calabash ABC Board</v>
          </cell>
          <cell r="C1037">
            <v>91007</v>
          </cell>
        </row>
        <row r="1038">
          <cell r="B1038" t="str">
            <v>Caldwell County</v>
          </cell>
          <cell r="C1038">
            <v>91401</v>
          </cell>
        </row>
        <row r="1039">
          <cell r="B1039" t="str">
            <v>Calypso</v>
          </cell>
          <cell r="C1039">
            <v>93171</v>
          </cell>
        </row>
        <row r="1040">
          <cell r="B1040" t="str">
            <v>Camden County</v>
          </cell>
          <cell r="C1040">
            <v>91501</v>
          </cell>
        </row>
        <row r="1041">
          <cell r="B1041" t="str">
            <v>Camden County ABC Board</v>
          </cell>
          <cell r="C1041">
            <v>91504</v>
          </cell>
        </row>
        <row r="1042">
          <cell r="B1042" t="str">
            <v>Cameron</v>
          </cell>
          <cell r="C1042">
            <v>96312</v>
          </cell>
        </row>
        <row r="1043">
          <cell r="B1043" t="str">
            <v>Candor</v>
          </cell>
          <cell r="C1043">
            <v>96241</v>
          </cell>
        </row>
        <row r="1044">
          <cell r="B1044" t="str">
            <v>Canton</v>
          </cell>
          <cell r="C1044">
            <v>94431</v>
          </cell>
        </row>
        <row r="1045">
          <cell r="B1045" t="str">
            <v>Canton ABC Board</v>
          </cell>
          <cell r="C1045">
            <v>94437</v>
          </cell>
        </row>
        <row r="1046">
          <cell r="B1046" t="str">
            <v>Cape Carteret</v>
          </cell>
          <cell r="C1046">
            <v>91671</v>
          </cell>
        </row>
        <row r="1047">
          <cell r="B1047" t="str">
            <v>Cape Fear Council Of Governments</v>
          </cell>
          <cell r="C1047">
            <v>91008</v>
          </cell>
        </row>
        <row r="1048">
          <cell r="B1048" t="str">
            <v>Cape Fear Public Transportation Authority</v>
          </cell>
          <cell r="C1048">
            <v>96512</v>
          </cell>
        </row>
        <row r="1049">
          <cell r="B1049" t="str">
            <v>Cape Fear Public Utility Authority</v>
          </cell>
          <cell r="C1049">
            <v>96507</v>
          </cell>
        </row>
        <row r="1050">
          <cell r="B1050" t="str">
            <v>Carolina Beach</v>
          </cell>
          <cell r="C1050">
            <v>96521</v>
          </cell>
        </row>
        <row r="1051">
          <cell r="B1051" t="str">
            <v>Carolina Shores</v>
          </cell>
          <cell r="C1051">
            <v>91024</v>
          </cell>
        </row>
        <row r="1052">
          <cell r="B1052" t="str">
            <v>Carrboro</v>
          </cell>
          <cell r="C1052">
            <v>96821</v>
          </cell>
        </row>
        <row r="1053">
          <cell r="B1053" t="str">
            <v>Carteret County</v>
          </cell>
          <cell r="C1053">
            <v>91601</v>
          </cell>
        </row>
        <row r="1054">
          <cell r="B1054" t="str">
            <v>Carteret County ABC Board</v>
          </cell>
          <cell r="C1054">
            <v>91604</v>
          </cell>
        </row>
        <row r="1055">
          <cell r="B1055" t="str">
            <v>Carthage</v>
          </cell>
          <cell r="C1055">
            <v>96391</v>
          </cell>
        </row>
        <row r="1056">
          <cell r="B1056" t="str">
            <v>Cary</v>
          </cell>
          <cell r="C1056">
            <v>99221</v>
          </cell>
        </row>
        <row r="1057">
          <cell r="B1057" t="str">
            <v>Caswell Beach</v>
          </cell>
          <cell r="C1057">
            <v>91051</v>
          </cell>
        </row>
        <row r="1058">
          <cell r="B1058" t="str">
            <v>Caswell Co Dept Of Social Services</v>
          </cell>
          <cell r="C1058">
            <v>91706</v>
          </cell>
        </row>
        <row r="1059">
          <cell r="B1059" t="str">
            <v>Caswell County</v>
          </cell>
          <cell r="C1059">
            <v>91701</v>
          </cell>
        </row>
        <row r="1060">
          <cell r="B1060" t="str">
            <v>Caswell County ABC Board</v>
          </cell>
          <cell r="C1060">
            <v>91704</v>
          </cell>
        </row>
        <row r="1061">
          <cell r="B1061" t="str">
            <v>Catawba</v>
          </cell>
          <cell r="C1061">
            <v>91881</v>
          </cell>
        </row>
        <row r="1062">
          <cell r="B1062" t="str">
            <v>Catawba County</v>
          </cell>
          <cell r="C1062">
            <v>91801</v>
          </cell>
        </row>
        <row r="1063">
          <cell r="B1063" t="str">
            <v>Catawba County ABC Board</v>
          </cell>
          <cell r="C1063">
            <v>91804</v>
          </cell>
        </row>
        <row r="1064">
          <cell r="B1064" t="str">
            <v>Cedar Point</v>
          </cell>
          <cell r="C1064">
            <v>91691</v>
          </cell>
        </row>
        <row r="1065">
          <cell r="B1065" t="str">
            <v>Centennial Authority</v>
          </cell>
          <cell r="C1065">
            <v>99222</v>
          </cell>
        </row>
        <row r="1066">
          <cell r="B1066" t="str">
            <v>Centerpoint Human Services</v>
          </cell>
          <cell r="C1066">
            <v>93408</v>
          </cell>
        </row>
        <row r="1067">
          <cell r="B1067" t="str">
            <v>Centralina Council Of Governments</v>
          </cell>
          <cell r="C1067">
            <v>96009</v>
          </cell>
        </row>
        <row r="1068">
          <cell r="B1068" t="str">
            <v>Chadbourn</v>
          </cell>
          <cell r="C1068">
            <v>92441</v>
          </cell>
        </row>
        <row r="1069">
          <cell r="B1069" t="str">
            <v>Chapel Hill</v>
          </cell>
          <cell r="C1069">
            <v>96811</v>
          </cell>
        </row>
        <row r="1070">
          <cell r="B1070" t="str">
            <v>Charlotte</v>
          </cell>
          <cell r="C1070">
            <v>96011</v>
          </cell>
        </row>
        <row r="1071">
          <cell r="B1071" t="str">
            <v>Charlotte Firemen'S Ret Sys</v>
          </cell>
          <cell r="C1071">
            <v>96018</v>
          </cell>
        </row>
        <row r="1072">
          <cell r="B1072" t="str">
            <v>Charlotte Housing Authority</v>
          </cell>
          <cell r="C1072">
            <v>96003</v>
          </cell>
        </row>
        <row r="1073">
          <cell r="B1073" t="str">
            <v>Charlotte Mecklenburg Public Library</v>
          </cell>
          <cell r="C1073">
            <v>96005</v>
          </cell>
        </row>
        <row r="1074">
          <cell r="B1074" t="str">
            <v>Charlotte Regional Visitors Authority</v>
          </cell>
          <cell r="C1074">
            <v>96012</v>
          </cell>
        </row>
        <row r="1075">
          <cell r="B1075" t="str">
            <v>Chatham Co Housing Auth</v>
          </cell>
          <cell r="C1075">
            <v>91903</v>
          </cell>
        </row>
        <row r="1076">
          <cell r="B1076" t="str">
            <v>Chatham County</v>
          </cell>
          <cell r="C1076">
            <v>91901</v>
          </cell>
        </row>
        <row r="1077">
          <cell r="B1077" t="str">
            <v>Chatham County ABC Board</v>
          </cell>
          <cell r="C1077">
            <v>91904</v>
          </cell>
        </row>
        <row r="1078">
          <cell r="B1078" t="str">
            <v>Cherokee County</v>
          </cell>
          <cell r="C1078">
            <v>92001</v>
          </cell>
        </row>
        <row r="1079">
          <cell r="B1079" t="str">
            <v>Cherryville</v>
          </cell>
          <cell r="C1079">
            <v>93641</v>
          </cell>
        </row>
        <row r="1080">
          <cell r="B1080" t="str">
            <v>Cherryville ABC Board</v>
          </cell>
          <cell r="C1080">
            <v>93647</v>
          </cell>
        </row>
        <row r="1081">
          <cell r="B1081" t="str">
            <v>China Grove</v>
          </cell>
          <cell r="C1081">
            <v>98041</v>
          </cell>
        </row>
        <row r="1082">
          <cell r="B1082" t="str">
            <v>Choanoke Public Transportation Auth</v>
          </cell>
          <cell r="C1082">
            <v>96612</v>
          </cell>
        </row>
        <row r="1083">
          <cell r="B1083" t="str">
            <v>Chocowinity</v>
          </cell>
          <cell r="C1083">
            <v>90751</v>
          </cell>
        </row>
        <row r="1084">
          <cell r="B1084" t="str">
            <v>Chowan County</v>
          </cell>
          <cell r="C1084">
            <v>92101</v>
          </cell>
        </row>
        <row r="1085">
          <cell r="B1085" t="str">
            <v>Chowan County Abc Board</v>
          </cell>
          <cell r="C1085">
            <v>92104</v>
          </cell>
        </row>
        <row r="1086">
          <cell r="B1086" t="str">
            <v>Claremont</v>
          </cell>
          <cell r="C1086">
            <v>91821</v>
          </cell>
        </row>
        <row r="1087">
          <cell r="B1087" t="str">
            <v>Clarkton</v>
          </cell>
          <cell r="C1087">
            <v>90931</v>
          </cell>
        </row>
        <row r="1088">
          <cell r="B1088" t="str">
            <v>Clay County</v>
          </cell>
          <cell r="C1088">
            <v>92201</v>
          </cell>
        </row>
        <row r="1089">
          <cell r="B1089" t="str">
            <v>Clayton</v>
          </cell>
          <cell r="C1089">
            <v>95131</v>
          </cell>
        </row>
        <row r="1090">
          <cell r="B1090" t="str">
            <v>Clemmons</v>
          </cell>
          <cell r="C1090">
            <v>93441</v>
          </cell>
        </row>
        <row r="1091">
          <cell r="B1091" t="str">
            <v>Clemmons Fire Department</v>
          </cell>
          <cell r="C1091">
            <v>93442</v>
          </cell>
        </row>
        <row r="1092">
          <cell r="B1092" t="str">
            <v>Cleveland</v>
          </cell>
          <cell r="C1092">
            <v>98091</v>
          </cell>
        </row>
        <row r="1093">
          <cell r="B1093" t="str">
            <v>Cleveland County</v>
          </cell>
          <cell r="C1093">
            <v>92301</v>
          </cell>
        </row>
        <row r="1094">
          <cell r="B1094" t="str">
            <v>Cleveland County Water</v>
          </cell>
          <cell r="C1094">
            <v>92302</v>
          </cell>
        </row>
        <row r="1095">
          <cell r="B1095" t="str">
            <v>Clinton</v>
          </cell>
          <cell r="C1095">
            <v>98211</v>
          </cell>
        </row>
        <row r="1096">
          <cell r="B1096" t="str">
            <v>Clinton ABC Board</v>
          </cell>
          <cell r="C1096">
            <v>98218</v>
          </cell>
        </row>
        <row r="1097">
          <cell r="B1097" t="str">
            <v>Coastal Carolina Regional Airport</v>
          </cell>
          <cell r="C1097">
            <v>92506</v>
          </cell>
        </row>
        <row r="1098">
          <cell r="B1098" t="str">
            <v>Coastal Regional Solid Waste Mngt Auth</v>
          </cell>
          <cell r="C1098">
            <v>92508</v>
          </cell>
        </row>
        <row r="1099">
          <cell r="B1099" t="str">
            <v>Coats</v>
          </cell>
          <cell r="C1099">
            <v>94341</v>
          </cell>
        </row>
        <row r="1100">
          <cell r="B1100" t="str">
            <v>Cofield</v>
          </cell>
          <cell r="C1100">
            <v>94641</v>
          </cell>
        </row>
        <row r="1101">
          <cell r="B1101" t="str">
            <v>Colerain</v>
          </cell>
          <cell r="C1101">
            <v>90813</v>
          </cell>
        </row>
        <row r="1102">
          <cell r="B1102" t="str">
            <v>Colfax Volunteer Fire Department</v>
          </cell>
          <cell r="C1102">
            <v>94168</v>
          </cell>
        </row>
        <row r="1103">
          <cell r="B1103" t="str">
            <v>Columbia</v>
          </cell>
          <cell r="C1103">
            <v>98911</v>
          </cell>
        </row>
        <row r="1104">
          <cell r="B1104" t="str">
            <v>Columbus</v>
          </cell>
          <cell r="C1104">
            <v>97521</v>
          </cell>
        </row>
        <row r="1105">
          <cell r="B1105" t="str">
            <v>Columbus County</v>
          </cell>
          <cell r="C1105">
            <v>92401</v>
          </cell>
        </row>
        <row r="1106">
          <cell r="B1106" t="str">
            <v>Concord</v>
          </cell>
          <cell r="C1106">
            <v>91311</v>
          </cell>
        </row>
        <row r="1107">
          <cell r="B1107" t="str">
            <v>Concord ABC Board</v>
          </cell>
          <cell r="C1107">
            <v>91317</v>
          </cell>
        </row>
        <row r="1108">
          <cell r="B1108" t="str">
            <v>Connelly Springs</v>
          </cell>
          <cell r="C1108">
            <v>91261</v>
          </cell>
        </row>
        <row r="1109">
          <cell r="B1109" t="str">
            <v>Conover</v>
          </cell>
          <cell r="C1109">
            <v>91851</v>
          </cell>
        </row>
        <row r="1110">
          <cell r="B1110" t="str">
            <v>Contennea Metropolitan Sewerage Dist</v>
          </cell>
          <cell r="C1110">
            <v>97408</v>
          </cell>
        </row>
        <row r="1111">
          <cell r="B1111" t="str">
            <v>Conway</v>
          </cell>
          <cell r="C1111">
            <v>96641</v>
          </cell>
        </row>
        <row r="1112">
          <cell r="B1112" t="str">
            <v>Cooleemee</v>
          </cell>
          <cell r="C1112">
            <v>93031</v>
          </cell>
        </row>
        <row r="1113">
          <cell r="B1113" t="str">
            <v>Cooleemee ABC Board</v>
          </cell>
          <cell r="C1113">
            <v>93027</v>
          </cell>
        </row>
        <row r="1114">
          <cell r="B1114" t="str">
            <v>Cornelius</v>
          </cell>
          <cell r="C1114">
            <v>96051</v>
          </cell>
        </row>
        <row r="1115">
          <cell r="B1115" t="str">
            <v>County Of Henderson</v>
          </cell>
          <cell r="C1115">
            <v>94501</v>
          </cell>
        </row>
        <row r="1116">
          <cell r="B1116" t="str">
            <v>Cove City</v>
          </cell>
          <cell r="C1116">
            <v>92571</v>
          </cell>
        </row>
        <row r="1117">
          <cell r="B1117" t="str">
            <v>Cramerton</v>
          </cell>
          <cell r="C1117">
            <v>93631</v>
          </cell>
        </row>
        <row r="1118">
          <cell r="B1118" t="str">
            <v>Craven Co ABC Bd</v>
          </cell>
          <cell r="C1118">
            <v>92504</v>
          </cell>
        </row>
        <row r="1119">
          <cell r="B1119" t="str">
            <v>Craven County</v>
          </cell>
          <cell r="C1119">
            <v>92501</v>
          </cell>
        </row>
        <row r="1120">
          <cell r="B1120" t="str">
            <v>Craven-Pamlico-Carteret Regional Library</v>
          </cell>
          <cell r="C1120">
            <v>92505</v>
          </cell>
        </row>
        <row r="1121">
          <cell r="B1121" t="str">
            <v>Creedmoor</v>
          </cell>
          <cell r="C1121">
            <v>93921</v>
          </cell>
        </row>
        <row r="1122">
          <cell r="B1122" t="str">
            <v>Creswell</v>
          </cell>
          <cell r="C1122">
            <v>99431</v>
          </cell>
        </row>
        <row r="1123">
          <cell r="B1123" t="str">
            <v>Cumberland Co ABC Board</v>
          </cell>
          <cell r="C1123">
            <v>92604</v>
          </cell>
        </row>
        <row r="1124">
          <cell r="B1124" t="str">
            <v>Cumberland County</v>
          </cell>
          <cell r="C1124">
            <v>92601</v>
          </cell>
        </row>
        <row r="1125">
          <cell r="B1125" t="str">
            <v>Cumberland Memorial Auditorium Com</v>
          </cell>
          <cell r="C1125">
            <v>92608</v>
          </cell>
        </row>
        <row r="1126">
          <cell r="B1126" t="str">
            <v>Currituck Co ABC Board</v>
          </cell>
          <cell r="C1126">
            <v>92704</v>
          </cell>
        </row>
        <row r="1127">
          <cell r="B1127" t="str">
            <v>Currituck County</v>
          </cell>
          <cell r="C1127">
            <v>92701</v>
          </cell>
        </row>
        <row r="1128">
          <cell r="B1128" t="str">
            <v>Dallas</v>
          </cell>
          <cell r="C1128">
            <v>93651</v>
          </cell>
        </row>
        <row r="1129">
          <cell r="B1129" t="str">
            <v>Dare County</v>
          </cell>
          <cell r="C1129">
            <v>92801</v>
          </cell>
        </row>
        <row r="1130">
          <cell r="B1130" t="str">
            <v>Dare County ABC Board</v>
          </cell>
          <cell r="C1130">
            <v>92804</v>
          </cell>
        </row>
        <row r="1131">
          <cell r="B1131" t="str">
            <v>Dare County Tourism Board</v>
          </cell>
          <cell r="C1131">
            <v>92802</v>
          </cell>
        </row>
        <row r="1132">
          <cell r="B1132" t="str">
            <v>Davidson</v>
          </cell>
          <cell r="C1132">
            <v>96081</v>
          </cell>
        </row>
        <row r="1133">
          <cell r="B1133" t="str">
            <v>Davidson County</v>
          </cell>
          <cell r="C1133">
            <v>92901</v>
          </cell>
        </row>
        <row r="1134">
          <cell r="B1134" t="str">
            <v>Davie County</v>
          </cell>
          <cell r="C1134">
            <v>93001</v>
          </cell>
        </row>
        <row r="1135">
          <cell r="B1135" t="str">
            <v>Davie Soil And Water Conservation Dist</v>
          </cell>
          <cell r="C1135">
            <v>93009</v>
          </cell>
        </row>
        <row r="1136">
          <cell r="B1136" t="str">
            <v>Denton</v>
          </cell>
          <cell r="C1136">
            <v>92921</v>
          </cell>
        </row>
        <row r="1137">
          <cell r="B1137" t="str">
            <v>Dobson</v>
          </cell>
          <cell r="C1137">
            <v>98621</v>
          </cell>
        </row>
        <row r="1138">
          <cell r="B1138" t="str">
            <v>Dobson ABC Bd</v>
          </cell>
          <cell r="C1138">
            <v>98627</v>
          </cell>
        </row>
        <row r="1139">
          <cell r="B1139" t="str">
            <v>Drexel</v>
          </cell>
          <cell r="C1139">
            <v>91221</v>
          </cell>
        </row>
        <row r="1140">
          <cell r="B1140" t="str">
            <v>Duck</v>
          </cell>
          <cell r="C1140">
            <v>92861</v>
          </cell>
        </row>
        <row r="1141">
          <cell r="B1141" t="str">
            <v>Dunn</v>
          </cell>
          <cell r="C1141">
            <v>94311</v>
          </cell>
        </row>
        <row r="1142">
          <cell r="B1142" t="str">
            <v>Dunn ABC Board</v>
          </cell>
          <cell r="C1142">
            <v>94317</v>
          </cell>
        </row>
        <row r="1143">
          <cell r="B1143" t="str">
            <v>Dunn Housing Authority</v>
          </cell>
          <cell r="C1143">
            <v>94313</v>
          </cell>
        </row>
        <row r="1144">
          <cell r="B1144" t="str">
            <v>Duplin County</v>
          </cell>
          <cell r="C1144">
            <v>93101</v>
          </cell>
        </row>
        <row r="1145">
          <cell r="B1145" t="str">
            <v>Duplin County Tourism Development Authority</v>
          </cell>
          <cell r="C1145">
            <v>93103</v>
          </cell>
        </row>
        <row r="1146">
          <cell r="B1146" t="str">
            <v>Durham</v>
          </cell>
          <cell r="C1146">
            <v>93211</v>
          </cell>
        </row>
        <row r="1147">
          <cell r="B1147" t="str">
            <v>Durham Convention &amp; Visitors Bureau</v>
          </cell>
          <cell r="C1147">
            <v>93212</v>
          </cell>
        </row>
        <row r="1148">
          <cell r="B1148" t="str">
            <v>Durham County</v>
          </cell>
          <cell r="C1148">
            <v>93201</v>
          </cell>
        </row>
        <row r="1149">
          <cell r="B1149" t="str">
            <v>Durham County ABC Board</v>
          </cell>
          <cell r="C1149">
            <v>93204</v>
          </cell>
        </row>
        <row r="1150">
          <cell r="B1150" t="str">
            <v>Durham Hwy Fire Protection Assoc</v>
          </cell>
          <cell r="C1150">
            <v>99212</v>
          </cell>
        </row>
        <row r="1151">
          <cell r="B1151" t="str">
            <v>East Albemarle Regional Library</v>
          </cell>
          <cell r="C1151">
            <v>97005</v>
          </cell>
        </row>
        <row r="1152">
          <cell r="B1152" t="str">
            <v>East Bend</v>
          </cell>
          <cell r="C1152">
            <v>99931</v>
          </cell>
        </row>
        <row r="1153">
          <cell r="B1153" t="str">
            <v>East Spencer</v>
          </cell>
          <cell r="C1153">
            <v>98021</v>
          </cell>
        </row>
        <row r="1154">
          <cell r="B1154" t="str">
            <v>East Spencer Housing Authority</v>
          </cell>
          <cell r="C1154">
            <v>98023</v>
          </cell>
        </row>
        <row r="1155">
          <cell r="B1155" t="str">
            <v>Eastern Band Of Cherokee Indians</v>
          </cell>
          <cell r="C1155">
            <v>70505</v>
          </cell>
        </row>
        <row r="1156">
          <cell r="B1156" t="str">
            <v>Eastern Carolina Reg'L Housing Auth</v>
          </cell>
          <cell r="C1156">
            <v>99603</v>
          </cell>
        </row>
        <row r="1157">
          <cell r="B1157" t="str">
            <v>Eastern Wayne Sanitary Dist</v>
          </cell>
          <cell r="C1157">
            <v>99610</v>
          </cell>
        </row>
        <row r="1158">
          <cell r="B1158" t="str">
            <v>Eastover</v>
          </cell>
          <cell r="C1158">
            <v>92681</v>
          </cell>
        </row>
        <row r="1159">
          <cell r="B1159" t="str">
            <v>Eastpointe Human Services</v>
          </cell>
          <cell r="C1159">
            <v>93108</v>
          </cell>
        </row>
        <row r="1160">
          <cell r="B1160" t="str">
            <v>Eden</v>
          </cell>
          <cell r="C1160">
            <v>97951</v>
          </cell>
        </row>
        <row r="1161">
          <cell r="B1161" t="str">
            <v>Eden ABC Board</v>
          </cell>
          <cell r="C1161">
            <v>97957</v>
          </cell>
        </row>
        <row r="1162">
          <cell r="B1162" t="str">
            <v>Edenton</v>
          </cell>
          <cell r="C1162">
            <v>92111</v>
          </cell>
        </row>
        <row r="1163">
          <cell r="B1163" t="str">
            <v>Edgecombe County</v>
          </cell>
          <cell r="C1163">
            <v>93301</v>
          </cell>
        </row>
        <row r="1164">
          <cell r="B1164" t="str">
            <v>Edgecombe County ABC Board</v>
          </cell>
          <cell r="C1164">
            <v>93304</v>
          </cell>
        </row>
        <row r="1165">
          <cell r="B1165" t="str">
            <v>Edgecombe County Memorial Library</v>
          </cell>
          <cell r="C1165">
            <v>93305</v>
          </cell>
        </row>
        <row r="1166">
          <cell r="B1166" t="str">
            <v>Electricities Of Nc</v>
          </cell>
          <cell r="C1166">
            <v>99210</v>
          </cell>
        </row>
        <row r="1167">
          <cell r="B1167" t="str">
            <v>Elizabeth City</v>
          </cell>
          <cell r="C1167">
            <v>97011</v>
          </cell>
        </row>
        <row r="1168">
          <cell r="B1168" t="str">
            <v>Elizabeth City Pasquotank County Tda</v>
          </cell>
          <cell r="C1168">
            <v>97013</v>
          </cell>
        </row>
        <row r="1169">
          <cell r="B1169" t="str">
            <v>Elizabeth City-Pasquotank Co Airport Auth</v>
          </cell>
          <cell r="C1169">
            <v>97012</v>
          </cell>
        </row>
        <row r="1170">
          <cell r="B1170" t="str">
            <v>Elizabeth Cty-Pasquotank Co Industrl Development C</v>
          </cell>
          <cell r="C1170">
            <v>97018</v>
          </cell>
        </row>
        <row r="1171">
          <cell r="B1171" t="str">
            <v>Elizabethtown</v>
          </cell>
          <cell r="C1171">
            <v>90911</v>
          </cell>
        </row>
        <row r="1172">
          <cell r="B1172" t="str">
            <v>Elizabethtown ABC Board</v>
          </cell>
          <cell r="C1172">
            <v>90917</v>
          </cell>
        </row>
        <row r="1173">
          <cell r="B1173" t="str">
            <v>Elk Park</v>
          </cell>
          <cell r="C1173">
            <v>90641</v>
          </cell>
        </row>
        <row r="1174">
          <cell r="B1174" t="str">
            <v>Elkin</v>
          </cell>
          <cell r="C1174">
            <v>98641</v>
          </cell>
        </row>
        <row r="1175">
          <cell r="B1175" t="str">
            <v>Ellenboro</v>
          </cell>
          <cell r="C1175">
            <v>98161</v>
          </cell>
        </row>
        <row r="1176">
          <cell r="B1176" t="str">
            <v>Ellerbe</v>
          </cell>
          <cell r="C1176">
            <v>97731</v>
          </cell>
        </row>
        <row r="1177">
          <cell r="B1177" t="str">
            <v>Elm City</v>
          </cell>
          <cell r="C1177">
            <v>99851</v>
          </cell>
        </row>
        <row r="1178">
          <cell r="B1178" t="str">
            <v>Elon</v>
          </cell>
          <cell r="C1178">
            <v>90131</v>
          </cell>
        </row>
        <row r="1179">
          <cell r="B1179" t="str">
            <v>Emerald Isle</v>
          </cell>
          <cell r="C1179">
            <v>91651</v>
          </cell>
        </row>
        <row r="1180">
          <cell r="B1180" t="str">
            <v>Enfield</v>
          </cell>
          <cell r="C1180">
            <v>94211</v>
          </cell>
        </row>
        <row r="1181">
          <cell r="B1181" t="str">
            <v>Erwin</v>
          </cell>
          <cell r="C1181">
            <v>94331</v>
          </cell>
        </row>
        <row r="1182">
          <cell r="B1182" t="str">
            <v>Fair Bluff</v>
          </cell>
          <cell r="C1182">
            <v>92431</v>
          </cell>
        </row>
        <row r="1183">
          <cell r="B1183" t="str">
            <v>Fairmont</v>
          </cell>
          <cell r="C1183">
            <v>97821</v>
          </cell>
        </row>
        <row r="1184">
          <cell r="B1184" t="str">
            <v>Fairmont Housing Authority</v>
          </cell>
          <cell r="C1184">
            <v>97823</v>
          </cell>
        </row>
        <row r="1185">
          <cell r="B1185" t="str">
            <v>Faison</v>
          </cell>
          <cell r="C1185">
            <v>93141</v>
          </cell>
        </row>
        <row r="1186">
          <cell r="B1186" t="str">
            <v>Faith</v>
          </cell>
          <cell r="C1186">
            <v>98081</v>
          </cell>
        </row>
        <row r="1187">
          <cell r="B1187" t="str">
            <v>Falcon</v>
          </cell>
          <cell r="C1187">
            <v>92671</v>
          </cell>
        </row>
        <row r="1188">
          <cell r="B1188" t="str">
            <v>Farmville</v>
          </cell>
          <cell r="C1188">
            <v>97421</v>
          </cell>
        </row>
        <row r="1189">
          <cell r="B1189" t="str">
            <v>Farmville Housing Authority</v>
          </cell>
          <cell r="C1189">
            <v>97423</v>
          </cell>
        </row>
        <row r="1190">
          <cell r="B1190" t="str">
            <v>Fayetteville</v>
          </cell>
          <cell r="C1190">
            <v>92611</v>
          </cell>
        </row>
        <row r="1191">
          <cell r="B1191" t="str">
            <v>Fayetteville Metropolitan Housing Auth</v>
          </cell>
          <cell r="C1191">
            <v>92613</v>
          </cell>
        </row>
        <row r="1192">
          <cell r="B1192" t="str">
            <v>First Craven Sanitary Dist</v>
          </cell>
          <cell r="C1192">
            <v>92502</v>
          </cell>
        </row>
        <row r="1193">
          <cell r="B1193" t="str">
            <v>Flat Rock</v>
          </cell>
          <cell r="C1193">
            <v>94531</v>
          </cell>
        </row>
        <row r="1194">
          <cell r="B1194" t="str">
            <v>Fletcher</v>
          </cell>
          <cell r="C1194">
            <v>94541</v>
          </cell>
        </row>
        <row r="1195">
          <cell r="B1195" t="str">
            <v>Fletcher ABC Board</v>
          </cell>
          <cell r="C1195">
            <v>94547</v>
          </cell>
        </row>
        <row r="1196">
          <cell r="B1196" t="str">
            <v>Fontana Regional Library</v>
          </cell>
          <cell r="C1196">
            <v>95005</v>
          </cell>
        </row>
        <row r="1197">
          <cell r="B1197" t="str">
            <v>Forest City</v>
          </cell>
          <cell r="C1197">
            <v>98111</v>
          </cell>
        </row>
        <row r="1198">
          <cell r="B1198" t="str">
            <v>Forest City ABC Board 168</v>
          </cell>
          <cell r="C1198">
            <v>98107</v>
          </cell>
        </row>
        <row r="1199">
          <cell r="B1199" t="str">
            <v>Forest City Housing Authority</v>
          </cell>
          <cell r="C1199">
            <v>98113</v>
          </cell>
        </row>
        <row r="1200">
          <cell r="B1200" t="str">
            <v>Fork Township Sanitary Dist</v>
          </cell>
          <cell r="C1200">
            <v>99602</v>
          </cell>
        </row>
        <row r="1201">
          <cell r="B1201" t="str">
            <v>Forsyth County</v>
          </cell>
          <cell r="C1201">
            <v>93401</v>
          </cell>
        </row>
        <row r="1202">
          <cell r="B1202" t="str">
            <v>Fountain, Town Of</v>
          </cell>
          <cell r="C1202">
            <v>97491</v>
          </cell>
        </row>
        <row r="1203">
          <cell r="B1203" t="str">
            <v>Four Oaks</v>
          </cell>
          <cell r="C1203">
            <v>95151</v>
          </cell>
        </row>
        <row r="1204">
          <cell r="B1204" t="str">
            <v>Foxfire Village</v>
          </cell>
          <cell r="C1204">
            <v>96381</v>
          </cell>
        </row>
        <row r="1205">
          <cell r="B1205" t="str">
            <v>Franklin</v>
          </cell>
          <cell r="C1205">
            <v>95611</v>
          </cell>
        </row>
        <row r="1206">
          <cell r="B1206" t="str">
            <v>Franklin County</v>
          </cell>
          <cell r="C1206">
            <v>93501</v>
          </cell>
        </row>
        <row r="1207">
          <cell r="B1207" t="str">
            <v>Franklinton</v>
          </cell>
          <cell r="C1207">
            <v>93511</v>
          </cell>
        </row>
        <row r="1208">
          <cell r="B1208" t="str">
            <v>Franklinton ABC Board</v>
          </cell>
          <cell r="C1208">
            <v>93517</v>
          </cell>
        </row>
        <row r="1209">
          <cell r="B1209" t="str">
            <v>Fremont</v>
          </cell>
          <cell r="C1209">
            <v>99631</v>
          </cell>
        </row>
        <row r="1210">
          <cell r="B1210" t="str">
            <v>Fuquay-Varina</v>
          </cell>
          <cell r="C1210">
            <v>99261</v>
          </cell>
        </row>
        <row r="1211">
          <cell r="B1211" t="str">
            <v>Garland</v>
          </cell>
          <cell r="C1211">
            <v>98241</v>
          </cell>
        </row>
        <row r="1212">
          <cell r="B1212" t="str">
            <v>Garner</v>
          </cell>
          <cell r="C1212">
            <v>99251</v>
          </cell>
        </row>
        <row r="1213">
          <cell r="B1213" t="str">
            <v>Garner Fire Dept</v>
          </cell>
          <cell r="C1213">
            <v>99252</v>
          </cell>
        </row>
        <row r="1214">
          <cell r="B1214" t="str">
            <v>Garysburg</v>
          </cell>
          <cell r="C1214">
            <v>96631</v>
          </cell>
        </row>
        <row r="1215">
          <cell r="B1215" t="str">
            <v>Gaston</v>
          </cell>
          <cell r="C1215">
            <v>96651</v>
          </cell>
        </row>
        <row r="1216">
          <cell r="B1216" t="str">
            <v>Gaston County</v>
          </cell>
          <cell r="C1216">
            <v>93601</v>
          </cell>
        </row>
        <row r="1217">
          <cell r="B1217" t="str">
            <v>Gaston County Economic Dev. Commission</v>
          </cell>
          <cell r="C1217">
            <v>93618</v>
          </cell>
        </row>
        <row r="1218">
          <cell r="B1218" t="str">
            <v>Gastonia</v>
          </cell>
          <cell r="C1218">
            <v>93611</v>
          </cell>
        </row>
        <row r="1219">
          <cell r="B1219" t="str">
            <v>Gastonia ABC Board</v>
          </cell>
          <cell r="C1219">
            <v>93617</v>
          </cell>
        </row>
        <row r="1220">
          <cell r="B1220" t="str">
            <v>Gates County</v>
          </cell>
          <cell r="C1220">
            <v>93701</v>
          </cell>
        </row>
        <row r="1221">
          <cell r="B1221" t="str">
            <v>Gates County ABC Board</v>
          </cell>
          <cell r="C1221">
            <v>93704</v>
          </cell>
        </row>
        <row r="1222">
          <cell r="B1222" t="str">
            <v>Gibson</v>
          </cell>
          <cell r="C1222">
            <v>98331</v>
          </cell>
        </row>
        <row r="1223">
          <cell r="B1223" t="str">
            <v>Gibsonville</v>
          </cell>
          <cell r="C1223">
            <v>94151</v>
          </cell>
        </row>
        <row r="1224">
          <cell r="B1224" t="str">
            <v>Gibsonville ABC Board</v>
          </cell>
          <cell r="C1224">
            <v>94157</v>
          </cell>
        </row>
        <row r="1225">
          <cell r="B1225" t="str">
            <v>Glen Alpine</v>
          </cell>
          <cell r="C1225">
            <v>91241</v>
          </cell>
        </row>
        <row r="1226">
          <cell r="B1226" t="str">
            <v>Global Transpark Development Comm</v>
          </cell>
          <cell r="C1226">
            <v>95412</v>
          </cell>
        </row>
        <row r="1227">
          <cell r="B1227" t="str">
            <v>Goldsboro</v>
          </cell>
          <cell r="C1227">
            <v>99611</v>
          </cell>
        </row>
        <row r="1228">
          <cell r="B1228" t="str">
            <v>Goldston-Gulf Sanitary District</v>
          </cell>
          <cell r="C1228">
            <v>91908</v>
          </cell>
        </row>
        <row r="1229">
          <cell r="B1229" t="str">
            <v>Graham</v>
          </cell>
          <cell r="C1229">
            <v>90121</v>
          </cell>
        </row>
        <row r="1230">
          <cell r="B1230" t="str">
            <v>Graham Co Health Dept</v>
          </cell>
          <cell r="C1230">
            <v>93803</v>
          </cell>
        </row>
        <row r="1231">
          <cell r="B1231" t="str">
            <v>Graham County</v>
          </cell>
          <cell r="C1231">
            <v>93801</v>
          </cell>
        </row>
        <row r="1232">
          <cell r="B1232" t="str">
            <v>Graham County Dept Of S S</v>
          </cell>
          <cell r="C1232">
            <v>93806</v>
          </cell>
        </row>
        <row r="1233">
          <cell r="B1233" t="str">
            <v>Granite Falls</v>
          </cell>
          <cell r="C1233">
            <v>91411</v>
          </cell>
        </row>
        <row r="1234">
          <cell r="B1234" t="str">
            <v>Granite Falls ABC Board</v>
          </cell>
          <cell r="C1234">
            <v>91417</v>
          </cell>
        </row>
        <row r="1235">
          <cell r="B1235" t="str">
            <v>Granite Quarry</v>
          </cell>
          <cell r="C1235">
            <v>98061</v>
          </cell>
        </row>
        <row r="1236">
          <cell r="B1236" t="str">
            <v>Granville Co ABC Bd</v>
          </cell>
          <cell r="C1236">
            <v>93904</v>
          </cell>
        </row>
        <row r="1237">
          <cell r="B1237" t="str">
            <v>Granville County</v>
          </cell>
          <cell r="C1237">
            <v>93901</v>
          </cell>
        </row>
        <row r="1238">
          <cell r="B1238" t="str">
            <v>Granville County Hospital</v>
          </cell>
          <cell r="C1238">
            <v>93906</v>
          </cell>
        </row>
        <row r="1239">
          <cell r="B1239" t="str">
            <v>Granville-Vance Public Health</v>
          </cell>
          <cell r="C1239">
            <v>93908</v>
          </cell>
        </row>
        <row r="1240">
          <cell r="B1240" t="str">
            <v>Greater Statesville Development Corp</v>
          </cell>
          <cell r="C1240">
            <v>94908</v>
          </cell>
        </row>
        <row r="1241">
          <cell r="B1241" t="str">
            <v>Green Level</v>
          </cell>
          <cell r="C1241">
            <v>90161</v>
          </cell>
        </row>
        <row r="1242">
          <cell r="B1242" t="str">
            <v>Greene County</v>
          </cell>
          <cell r="C1242">
            <v>94001</v>
          </cell>
        </row>
        <row r="1243">
          <cell r="B1243" t="str">
            <v>Greene County ABC Board</v>
          </cell>
          <cell r="C1243">
            <v>94004</v>
          </cell>
        </row>
        <row r="1244">
          <cell r="B1244" t="str">
            <v>Greensboro</v>
          </cell>
          <cell r="C1244">
            <v>94111</v>
          </cell>
        </row>
        <row r="1245">
          <cell r="B1245" t="str">
            <v>Greensboro ABC Bd</v>
          </cell>
          <cell r="C1245">
            <v>94117</v>
          </cell>
        </row>
        <row r="1246">
          <cell r="B1246" t="str">
            <v>Greenville</v>
          </cell>
          <cell r="C1246">
            <v>97411</v>
          </cell>
        </row>
        <row r="1247">
          <cell r="B1247" t="str">
            <v>Greenville Housing Authority</v>
          </cell>
          <cell r="C1247">
            <v>97413</v>
          </cell>
        </row>
        <row r="1248">
          <cell r="B1248" t="str">
            <v>Greenville Utilities Commission</v>
          </cell>
          <cell r="C1248">
            <v>97412</v>
          </cell>
        </row>
        <row r="1249">
          <cell r="B1249" t="str">
            <v>Grifton</v>
          </cell>
          <cell r="C1249">
            <v>97431</v>
          </cell>
        </row>
        <row r="1250">
          <cell r="B1250" t="str">
            <v>Grimesland</v>
          </cell>
          <cell r="C1250">
            <v>97471</v>
          </cell>
        </row>
        <row r="1251">
          <cell r="B1251" t="str">
            <v>Grover</v>
          </cell>
          <cell r="C1251">
            <v>92351</v>
          </cell>
        </row>
        <row r="1252">
          <cell r="B1252" t="str">
            <v>Guilford County</v>
          </cell>
          <cell r="C1252">
            <v>94101</v>
          </cell>
        </row>
        <row r="1253">
          <cell r="B1253" t="str">
            <v>Guilford Fire District # 13 Inc</v>
          </cell>
          <cell r="C1253">
            <v>94118</v>
          </cell>
        </row>
        <row r="1254">
          <cell r="B1254" t="str">
            <v>Guil-Rand Fire Department</v>
          </cell>
          <cell r="C1254">
            <v>94102</v>
          </cell>
        </row>
        <row r="1255">
          <cell r="B1255" t="str">
            <v>Halifax County</v>
          </cell>
          <cell r="C1255">
            <v>94201</v>
          </cell>
        </row>
        <row r="1256">
          <cell r="B1256" t="str">
            <v>Halifax County ABC Board</v>
          </cell>
          <cell r="C1256">
            <v>94204</v>
          </cell>
        </row>
        <row r="1257">
          <cell r="B1257" t="str">
            <v>Halifax County Tourism Development Authority</v>
          </cell>
          <cell r="C1257">
            <v>94205</v>
          </cell>
        </row>
        <row r="1258">
          <cell r="B1258" t="str">
            <v>Hamilton</v>
          </cell>
          <cell r="C1258">
            <v>95831</v>
          </cell>
        </row>
        <row r="1259">
          <cell r="B1259" t="str">
            <v>Hamlet</v>
          </cell>
          <cell r="C1259">
            <v>97721</v>
          </cell>
        </row>
        <row r="1260">
          <cell r="B1260" t="str">
            <v>Hamlet ABC Board</v>
          </cell>
          <cell r="C1260">
            <v>97717</v>
          </cell>
        </row>
        <row r="1261">
          <cell r="B1261" t="str">
            <v>Harnett County</v>
          </cell>
          <cell r="C1261">
            <v>94301</v>
          </cell>
        </row>
        <row r="1262">
          <cell r="B1262" t="str">
            <v>Harrisburg</v>
          </cell>
          <cell r="C1262">
            <v>91441</v>
          </cell>
        </row>
        <row r="1263">
          <cell r="B1263" t="str">
            <v>Havelock</v>
          </cell>
          <cell r="C1263">
            <v>92531</v>
          </cell>
        </row>
        <row r="1264">
          <cell r="B1264" t="str">
            <v>Haw River</v>
          </cell>
          <cell r="C1264">
            <v>90141</v>
          </cell>
        </row>
        <row r="1265">
          <cell r="B1265" t="str">
            <v>Haywood County</v>
          </cell>
          <cell r="C1265">
            <v>94401</v>
          </cell>
        </row>
        <row r="1266">
          <cell r="B1266" t="str">
            <v>Haywood County Tourism Development Authority</v>
          </cell>
          <cell r="C1266">
            <v>94403</v>
          </cell>
        </row>
        <row r="1267">
          <cell r="B1267" t="str">
            <v>Haywood Medical Center</v>
          </cell>
          <cell r="C1267">
            <v>94402</v>
          </cell>
        </row>
        <row r="1268">
          <cell r="B1268" t="str">
            <v>Henderson</v>
          </cell>
          <cell r="C1268">
            <v>99111</v>
          </cell>
        </row>
        <row r="1269">
          <cell r="B1269" t="str">
            <v>Hendersonville</v>
          </cell>
          <cell r="C1269">
            <v>94511</v>
          </cell>
        </row>
        <row r="1270">
          <cell r="B1270" t="str">
            <v>Hendersonville ABC Bd</v>
          </cell>
          <cell r="C1270">
            <v>94517</v>
          </cell>
        </row>
        <row r="1271">
          <cell r="B1271" t="str">
            <v>Hendersonville Water Commission</v>
          </cell>
          <cell r="C1271">
            <v>94512</v>
          </cell>
        </row>
        <row r="1272">
          <cell r="B1272" t="str">
            <v>Hertford</v>
          </cell>
          <cell r="C1272">
            <v>97211</v>
          </cell>
        </row>
        <row r="1273">
          <cell r="B1273" t="str">
            <v>Hertford ABC Board</v>
          </cell>
          <cell r="C1273">
            <v>97217</v>
          </cell>
        </row>
        <row r="1274">
          <cell r="B1274" t="str">
            <v>Hertford County</v>
          </cell>
          <cell r="C1274">
            <v>94601</v>
          </cell>
        </row>
        <row r="1275">
          <cell r="B1275" t="str">
            <v>Hertford County ABC Board</v>
          </cell>
          <cell r="C1275">
            <v>94604</v>
          </cell>
        </row>
        <row r="1276">
          <cell r="B1276" t="str">
            <v>Hertford County Public Health Authority</v>
          </cell>
          <cell r="C1276">
            <v>94606</v>
          </cell>
        </row>
        <row r="1277">
          <cell r="B1277" t="str">
            <v>Hertford Housing Auth</v>
          </cell>
          <cell r="C1277">
            <v>97213</v>
          </cell>
        </row>
        <row r="1278">
          <cell r="B1278" t="str">
            <v>Hickory</v>
          </cell>
          <cell r="C1278">
            <v>91811</v>
          </cell>
        </row>
        <row r="1279">
          <cell r="B1279" t="str">
            <v>Hickory Conover Tourism Dev Auth</v>
          </cell>
          <cell r="C1279">
            <v>91812</v>
          </cell>
        </row>
        <row r="1280">
          <cell r="B1280" t="str">
            <v>Hickory Public Housing Authority</v>
          </cell>
          <cell r="C1280">
            <v>91813</v>
          </cell>
        </row>
        <row r="1281">
          <cell r="B1281" t="str">
            <v>High Country ABC Board</v>
          </cell>
          <cell r="C1281">
            <v>90617</v>
          </cell>
        </row>
        <row r="1282">
          <cell r="B1282" t="str">
            <v>High Point ABC Bd</v>
          </cell>
          <cell r="C1282">
            <v>94127</v>
          </cell>
        </row>
        <row r="1283">
          <cell r="B1283" t="str">
            <v>Highlands</v>
          </cell>
          <cell r="C1283">
            <v>95621</v>
          </cell>
        </row>
        <row r="1284">
          <cell r="B1284" t="str">
            <v>Highlands ABC Board</v>
          </cell>
          <cell r="C1284">
            <v>95617</v>
          </cell>
        </row>
        <row r="1285">
          <cell r="B1285" t="str">
            <v>HighPoint</v>
          </cell>
          <cell r="C1285">
            <v>94121</v>
          </cell>
        </row>
        <row r="1286">
          <cell r="B1286" t="str">
            <v>Hildebran</v>
          </cell>
          <cell r="C1286">
            <v>91251</v>
          </cell>
        </row>
        <row r="1287">
          <cell r="B1287" t="str">
            <v>Hillsborough</v>
          </cell>
          <cell r="C1287">
            <v>96831</v>
          </cell>
        </row>
        <row r="1288">
          <cell r="B1288" t="str">
            <v>Hobgood</v>
          </cell>
          <cell r="C1288">
            <v>94251</v>
          </cell>
        </row>
        <row r="1289">
          <cell r="B1289" t="str">
            <v>Hoke County</v>
          </cell>
          <cell r="C1289">
            <v>94701</v>
          </cell>
        </row>
        <row r="1290">
          <cell r="B1290" t="str">
            <v>Hoke County ABC Board</v>
          </cell>
          <cell r="C1290">
            <v>94704</v>
          </cell>
        </row>
        <row r="1291">
          <cell r="B1291" t="str">
            <v>Holden Beach</v>
          </cell>
          <cell r="C1291">
            <v>91014</v>
          </cell>
        </row>
        <row r="1292">
          <cell r="B1292" t="str">
            <v>Holly Ridge</v>
          </cell>
          <cell r="C1292">
            <v>96731</v>
          </cell>
        </row>
        <row r="1293">
          <cell r="B1293" t="str">
            <v>Holly Ridge Housing Authority</v>
          </cell>
          <cell r="C1293">
            <v>96733</v>
          </cell>
        </row>
        <row r="1294">
          <cell r="B1294" t="str">
            <v>Holly Springs</v>
          </cell>
          <cell r="C1294">
            <v>99202</v>
          </cell>
        </row>
        <row r="1295">
          <cell r="B1295" t="str">
            <v>Hookerton</v>
          </cell>
          <cell r="C1295">
            <v>94011</v>
          </cell>
        </row>
        <row r="1296">
          <cell r="B1296" t="str">
            <v>Hope Mills</v>
          </cell>
          <cell r="C1296">
            <v>92631</v>
          </cell>
        </row>
        <row r="1297">
          <cell r="B1297" t="str">
            <v>Hot Springs Housing Authority</v>
          </cell>
          <cell r="C1297">
            <v>95733</v>
          </cell>
        </row>
        <row r="1298">
          <cell r="B1298" t="str">
            <v>Housing Auth For The Cty Of Kinston</v>
          </cell>
          <cell r="C1298">
            <v>95413</v>
          </cell>
        </row>
        <row r="1299">
          <cell r="B1299" t="str">
            <v>Housing Auth Of The Cty Of Salisbury</v>
          </cell>
          <cell r="C1299">
            <v>98013</v>
          </cell>
        </row>
        <row r="1300">
          <cell r="B1300" t="str">
            <v>Housing Authority Of Goldsboro</v>
          </cell>
          <cell r="C1300">
            <v>99613</v>
          </cell>
        </row>
        <row r="1301">
          <cell r="B1301" t="str">
            <v>Hudson</v>
          </cell>
          <cell r="C1301">
            <v>91431</v>
          </cell>
        </row>
        <row r="1302">
          <cell r="B1302" t="str">
            <v>Huntersville</v>
          </cell>
          <cell r="C1302">
            <v>96041</v>
          </cell>
        </row>
        <row r="1303">
          <cell r="B1303" t="str">
            <v>Hyde County</v>
          </cell>
          <cell r="C1303">
            <v>94801</v>
          </cell>
        </row>
        <row r="1304">
          <cell r="B1304" t="str">
            <v>Hyde County ABC Board</v>
          </cell>
          <cell r="C1304">
            <v>94804</v>
          </cell>
        </row>
        <row r="1305">
          <cell r="B1305" t="str">
            <v>Indian Beach</v>
          </cell>
          <cell r="C1305">
            <v>91661</v>
          </cell>
        </row>
        <row r="1306">
          <cell r="B1306" t="str">
            <v>Indian Trail</v>
          </cell>
          <cell r="C1306">
            <v>99051</v>
          </cell>
        </row>
        <row r="1307">
          <cell r="B1307" t="str">
            <v>Indian Trail ABC Board</v>
          </cell>
          <cell r="C1307">
            <v>99014</v>
          </cell>
        </row>
        <row r="1308">
          <cell r="B1308" t="str">
            <v>Iredell County</v>
          </cell>
          <cell r="C1308">
            <v>94901</v>
          </cell>
        </row>
        <row r="1309">
          <cell r="B1309" t="str">
            <v>Isothermal Planning And Dev Comm</v>
          </cell>
          <cell r="C1309">
            <v>98109</v>
          </cell>
        </row>
        <row r="1310">
          <cell r="B1310" t="str">
            <v>J C Holiday Mem Library</v>
          </cell>
          <cell r="C1310">
            <v>98205</v>
          </cell>
        </row>
        <row r="1311">
          <cell r="B1311" t="str">
            <v>Jackson</v>
          </cell>
          <cell r="C1311">
            <v>96661</v>
          </cell>
        </row>
        <row r="1312">
          <cell r="B1312" t="str">
            <v>Jackson County</v>
          </cell>
          <cell r="C1312">
            <v>95001</v>
          </cell>
        </row>
        <row r="1313">
          <cell r="B1313" t="str">
            <v>Jackson County ABC Board</v>
          </cell>
          <cell r="C1313">
            <v>95017</v>
          </cell>
        </row>
        <row r="1314">
          <cell r="B1314" t="str">
            <v>Jacksonville</v>
          </cell>
          <cell r="C1314">
            <v>96711</v>
          </cell>
        </row>
        <row r="1315">
          <cell r="B1315" t="str">
            <v>Jamestown</v>
          </cell>
          <cell r="C1315">
            <v>94131</v>
          </cell>
        </row>
        <row r="1316">
          <cell r="B1316" t="str">
            <v>Jamesville</v>
          </cell>
          <cell r="C1316">
            <v>95841</v>
          </cell>
        </row>
        <row r="1317">
          <cell r="B1317" t="str">
            <v>Jefferson</v>
          </cell>
          <cell r="C1317">
            <v>90511</v>
          </cell>
        </row>
        <row r="1318">
          <cell r="B1318" t="str">
            <v>Johnston County</v>
          </cell>
          <cell r="C1318">
            <v>95101</v>
          </cell>
        </row>
        <row r="1319">
          <cell r="B1319" t="str">
            <v>Johnston County ABC Board</v>
          </cell>
          <cell r="C1319">
            <v>95104</v>
          </cell>
        </row>
        <row r="1320">
          <cell r="B1320" t="str">
            <v>Johnston Health Center</v>
          </cell>
          <cell r="C1320">
            <v>95110</v>
          </cell>
        </row>
        <row r="1321">
          <cell r="B1321" t="str">
            <v>Jones County</v>
          </cell>
          <cell r="C1321">
            <v>95201</v>
          </cell>
        </row>
        <row r="1322">
          <cell r="B1322" t="str">
            <v>Jones County ABC Board</v>
          </cell>
          <cell r="C1322">
            <v>95204</v>
          </cell>
        </row>
        <row r="1323">
          <cell r="B1323" t="str">
            <v>Jonesville</v>
          </cell>
          <cell r="C1323">
            <v>99921</v>
          </cell>
        </row>
        <row r="1324">
          <cell r="B1324" t="str">
            <v>Junaluska Sanitary District</v>
          </cell>
          <cell r="C1324">
            <v>94408</v>
          </cell>
        </row>
        <row r="1325">
          <cell r="B1325" t="str">
            <v>Kannapolis</v>
          </cell>
          <cell r="C1325">
            <v>91331</v>
          </cell>
        </row>
        <row r="1326">
          <cell r="B1326" t="str">
            <v>Kenansville</v>
          </cell>
          <cell r="C1326">
            <v>93121</v>
          </cell>
        </row>
        <row r="1327">
          <cell r="B1327" t="str">
            <v>Kenansville ABC Board</v>
          </cell>
          <cell r="C1327">
            <v>93127</v>
          </cell>
        </row>
        <row r="1328">
          <cell r="B1328" t="str">
            <v>Kenly</v>
          </cell>
          <cell r="C1328">
            <v>95171</v>
          </cell>
        </row>
        <row r="1329">
          <cell r="B1329" t="str">
            <v>Kernersville</v>
          </cell>
          <cell r="C1329">
            <v>93421</v>
          </cell>
        </row>
        <row r="1330">
          <cell r="B1330" t="str">
            <v>Kerr Area Transportation Authority</v>
          </cell>
          <cell r="C1330">
            <v>99110</v>
          </cell>
        </row>
        <row r="1331">
          <cell r="B1331" t="str">
            <v>Kerr-Tar Regional Council Of Govts</v>
          </cell>
          <cell r="C1331">
            <v>99109</v>
          </cell>
        </row>
        <row r="1332">
          <cell r="B1332" t="str">
            <v>Kill Devil Hills</v>
          </cell>
          <cell r="C1332">
            <v>92821</v>
          </cell>
        </row>
        <row r="1333">
          <cell r="B1333" t="str">
            <v>King</v>
          </cell>
          <cell r="C1333">
            <v>98521</v>
          </cell>
        </row>
        <row r="1334">
          <cell r="B1334" t="str">
            <v>Kings Mountain ABC Board</v>
          </cell>
          <cell r="C1334">
            <v>92327</v>
          </cell>
        </row>
        <row r="1335">
          <cell r="B1335" t="str">
            <v>KingsMountain</v>
          </cell>
          <cell r="C1335">
            <v>92321</v>
          </cell>
        </row>
        <row r="1336">
          <cell r="B1336" t="str">
            <v>Kinston</v>
          </cell>
          <cell r="C1336">
            <v>95411</v>
          </cell>
        </row>
        <row r="1337">
          <cell r="B1337" t="str">
            <v>Kinston-Lenoir Co Pub Library</v>
          </cell>
          <cell r="C1337">
            <v>95415</v>
          </cell>
        </row>
        <row r="1338">
          <cell r="B1338" t="str">
            <v>Kitty Hawk</v>
          </cell>
          <cell r="C1338">
            <v>92851</v>
          </cell>
        </row>
        <row r="1339">
          <cell r="B1339" t="str">
            <v>Knightdale</v>
          </cell>
          <cell r="C1339">
            <v>99291</v>
          </cell>
        </row>
        <row r="1340">
          <cell r="B1340" t="str">
            <v>Kure Beach</v>
          </cell>
          <cell r="C1340">
            <v>96541</v>
          </cell>
        </row>
        <row r="1341">
          <cell r="B1341" t="str">
            <v>Lagrange</v>
          </cell>
          <cell r="C1341">
            <v>95431</v>
          </cell>
        </row>
        <row r="1342">
          <cell r="B1342" t="str">
            <v>Lake Lure</v>
          </cell>
          <cell r="C1342">
            <v>98131</v>
          </cell>
        </row>
        <row r="1343">
          <cell r="B1343" t="str">
            <v>Lake Waccamaw</v>
          </cell>
          <cell r="C1343">
            <v>92461</v>
          </cell>
        </row>
        <row r="1344">
          <cell r="B1344" t="str">
            <v>Lake Waccamaw ABC Board</v>
          </cell>
          <cell r="C1344">
            <v>92427</v>
          </cell>
        </row>
        <row r="1345">
          <cell r="B1345" t="str">
            <v>Landis</v>
          </cell>
          <cell r="C1345">
            <v>98051</v>
          </cell>
        </row>
        <row r="1346">
          <cell r="B1346" t="str">
            <v>Land-Of-Sky Regional Council</v>
          </cell>
          <cell r="C1346">
            <v>91102</v>
          </cell>
        </row>
        <row r="1347">
          <cell r="B1347" t="str">
            <v>Laurel Park</v>
          </cell>
          <cell r="C1347">
            <v>94521</v>
          </cell>
        </row>
        <row r="1348">
          <cell r="B1348" t="str">
            <v>Laurel Park ABC Board</v>
          </cell>
          <cell r="C1348">
            <v>94527</v>
          </cell>
        </row>
        <row r="1349">
          <cell r="B1349" t="str">
            <v>Laurinburg</v>
          </cell>
          <cell r="C1349">
            <v>98311</v>
          </cell>
        </row>
        <row r="1350">
          <cell r="B1350" t="str">
            <v>Laurinburg Housing Authority</v>
          </cell>
          <cell r="C1350">
            <v>98313</v>
          </cell>
        </row>
        <row r="1351">
          <cell r="B1351" t="str">
            <v>Laurinburg-Maxton Airport Commission</v>
          </cell>
          <cell r="C1351">
            <v>98308</v>
          </cell>
        </row>
        <row r="1352">
          <cell r="B1352" t="str">
            <v>Lawndale</v>
          </cell>
          <cell r="C1352">
            <v>92341</v>
          </cell>
        </row>
        <row r="1353">
          <cell r="B1353" t="str">
            <v>Lee County</v>
          </cell>
          <cell r="C1353">
            <v>95301</v>
          </cell>
        </row>
        <row r="1354">
          <cell r="B1354" t="str">
            <v>Leland</v>
          </cell>
          <cell r="C1354">
            <v>91002</v>
          </cell>
        </row>
        <row r="1355">
          <cell r="B1355" t="str">
            <v>Lenoir</v>
          </cell>
          <cell r="C1355">
            <v>91451</v>
          </cell>
        </row>
        <row r="1356">
          <cell r="B1356" t="str">
            <v>Lenoir County</v>
          </cell>
          <cell r="C1356">
            <v>95401</v>
          </cell>
        </row>
        <row r="1357">
          <cell r="B1357" t="str">
            <v>Lenoir County ABC Board</v>
          </cell>
          <cell r="C1357">
            <v>95404</v>
          </cell>
        </row>
        <row r="1358">
          <cell r="B1358" t="str">
            <v>Lenoir Housing Authority</v>
          </cell>
          <cell r="C1358">
            <v>91423</v>
          </cell>
        </row>
        <row r="1359">
          <cell r="B1359" t="str">
            <v>LenoirABCBoard</v>
          </cell>
          <cell r="C1359">
            <v>91457</v>
          </cell>
        </row>
        <row r="1360">
          <cell r="B1360" t="str">
            <v>Lewiston Woodville</v>
          </cell>
          <cell r="C1360">
            <v>90861</v>
          </cell>
        </row>
        <row r="1361">
          <cell r="B1361" t="str">
            <v>Lewisville</v>
          </cell>
          <cell r="C1361">
            <v>93451</v>
          </cell>
        </row>
        <row r="1362">
          <cell r="B1362" t="str">
            <v>Lexington</v>
          </cell>
          <cell r="C1362">
            <v>92931</v>
          </cell>
        </row>
        <row r="1363">
          <cell r="B1363" t="str">
            <v>Lexington ABC Board</v>
          </cell>
          <cell r="C1363">
            <v>92917</v>
          </cell>
        </row>
        <row r="1364">
          <cell r="B1364" t="str">
            <v>Liberty</v>
          </cell>
          <cell r="C1364">
            <v>97631</v>
          </cell>
        </row>
        <row r="1365">
          <cell r="B1365" t="str">
            <v>Liberty ABC Board</v>
          </cell>
          <cell r="C1365">
            <v>97637</v>
          </cell>
        </row>
        <row r="1366">
          <cell r="B1366" t="str">
            <v>Lilesville</v>
          </cell>
          <cell r="C1366">
            <v>90421</v>
          </cell>
        </row>
        <row r="1367">
          <cell r="B1367" t="str">
            <v>Lillington</v>
          </cell>
          <cell r="C1367">
            <v>94321</v>
          </cell>
        </row>
        <row r="1368">
          <cell r="B1368" t="str">
            <v>Lincoln County</v>
          </cell>
          <cell r="C1368">
            <v>95501</v>
          </cell>
        </row>
        <row r="1369">
          <cell r="B1369" t="str">
            <v>Lincoln County ABC Board</v>
          </cell>
          <cell r="C1369">
            <v>95504</v>
          </cell>
        </row>
        <row r="1370">
          <cell r="B1370" t="str">
            <v>Lincolnton</v>
          </cell>
          <cell r="C1370">
            <v>95511</v>
          </cell>
        </row>
        <row r="1371">
          <cell r="B1371" t="str">
            <v>Lincolnton ABC Board</v>
          </cell>
          <cell r="C1371">
            <v>95517</v>
          </cell>
        </row>
        <row r="1372">
          <cell r="B1372" t="str">
            <v>Lincolnton Housing Authority</v>
          </cell>
          <cell r="C1372">
            <v>95513</v>
          </cell>
        </row>
        <row r="1373">
          <cell r="B1373" t="str">
            <v>Linden</v>
          </cell>
          <cell r="C1373">
            <v>92651</v>
          </cell>
        </row>
        <row r="1374">
          <cell r="B1374" t="str">
            <v>Littleton</v>
          </cell>
          <cell r="C1374">
            <v>94261</v>
          </cell>
        </row>
        <row r="1375">
          <cell r="B1375" t="str">
            <v>Locust</v>
          </cell>
          <cell r="C1375">
            <v>98431</v>
          </cell>
        </row>
        <row r="1376">
          <cell r="B1376" t="str">
            <v>Locust ABC Board</v>
          </cell>
          <cell r="C1376">
            <v>98404</v>
          </cell>
        </row>
        <row r="1377">
          <cell r="B1377" t="str">
            <v>Longview</v>
          </cell>
          <cell r="C1377">
            <v>91841</v>
          </cell>
        </row>
        <row r="1378">
          <cell r="B1378" t="str">
            <v>Louisburg</v>
          </cell>
          <cell r="C1378">
            <v>93521</v>
          </cell>
        </row>
        <row r="1379">
          <cell r="B1379" t="str">
            <v>Louisburg ABC Board</v>
          </cell>
          <cell r="C1379">
            <v>93527</v>
          </cell>
        </row>
        <row r="1380">
          <cell r="B1380" t="str">
            <v>Lowell</v>
          </cell>
          <cell r="C1380">
            <v>93661</v>
          </cell>
        </row>
        <row r="1381">
          <cell r="B1381" t="str">
            <v>Lower Cape Fear Water &amp; Sewer Auth</v>
          </cell>
          <cell r="C1381">
            <v>96508</v>
          </cell>
        </row>
        <row r="1382">
          <cell r="B1382" t="str">
            <v>Lucama</v>
          </cell>
          <cell r="C1382">
            <v>99841</v>
          </cell>
        </row>
        <row r="1383">
          <cell r="B1383" t="str">
            <v>Lumber River Council Of Governments</v>
          </cell>
          <cell r="C1383">
            <v>97802</v>
          </cell>
        </row>
        <row r="1384">
          <cell r="B1384" t="str">
            <v>Lumberton</v>
          </cell>
          <cell r="C1384">
            <v>97811</v>
          </cell>
        </row>
        <row r="1385">
          <cell r="B1385" t="str">
            <v>Lumberton ABC Board</v>
          </cell>
          <cell r="C1385">
            <v>97817</v>
          </cell>
        </row>
        <row r="1386">
          <cell r="B1386" t="str">
            <v>Lumberton Airport Comm</v>
          </cell>
          <cell r="C1386">
            <v>97818</v>
          </cell>
        </row>
        <row r="1387">
          <cell r="B1387" t="str">
            <v>Macclesfield</v>
          </cell>
          <cell r="C1387">
            <v>93341</v>
          </cell>
        </row>
        <row r="1388">
          <cell r="B1388" t="str">
            <v>Macon County</v>
          </cell>
          <cell r="C1388">
            <v>95601</v>
          </cell>
        </row>
        <row r="1389">
          <cell r="B1389" t="str">
            <v>Madison</v>
          </cell>
          <cell r="C1389">
            <v>97941</v>
          </cell>
        </row>
        <row r="1390">
          <cell r="B1390" t="str">
            <v>Madison ABC Board</v>
          </cell>
          <cell r="C1390">
            <v>97947</v>
          </cell>
        </row>
        <row r="1391">
          <cell r="B1391" t="str">
            <v>Madison County</v>
          </cell>
          <cell r="C1391">
            <v>95701</v>
          </cell>
        </row>
        <row r="1392">
          <cell r="B1392" t="str">
            <v>Madison-Mayodan Recreation Comm</v>
          </cell>
          <cell r="C1392">
            <v>97948</v>
          </cell>
        </row>
        <row r="1393">
          <cell r="B1393" t="str">
            <v>Maggie Valley</v>
          </cell>
          <cell r="C1393">
            <v>94421</v>
          </cell>
        </row>
        <row r="1394">
          <cell r="B1394" t="str">
            <v>Maggie Valley ABC Board</v>
          </cell>
          <cell r="C1394">
            <v>94427</v>
          </cell>
        </row>
        <row r="1395">
          <cell r="B1395" t="str">
            <v>Maggie Valley Sanitary Dist</v>
          </cell>
          <cell r="C1395">
            <v>94428</v>
          </cell>
        </row>
        <row r="1396">
          <cell r="B1396" t="str">
            <v>Magnolia</v>
          </cell>
          <cell r="C1396">
            <v>93191</v>
          </cell>
        </row>
        <row r="1397">
          <cell r="B1397" t="str">
            <v>Maiden</v>
          </cell>
          <cell r="C1397">
            <v>91831</v>
          </cell>
        </row>
        <row r="1398">
          <cell r="B1398" t="str">
            <v>Manteo</v>
          </cell>
          <cell r="C1398">
            <v>92831</v>
          </cell>
        </row>
        <row r="1399">
          <cell r="B1399" t="str">
            <v>Marion</v>
          </cell>
          <cell r="C1399">
            <v>95911</v>
          </cell>
        </row>
        <row r="1400">
          <cell r="B1400" t="str">
            <v>Marion ABC Board</v>
          </cell>
          <cell r="C1400">
            <v>95917</v>
          </cell>
        </row>
        <row r="1401">
          <cell r="B1401" t="str">
            <v>Mars Hill</v>
          </cell>
          <cell r="C1401">
            <v>95711</v>
          </cell>
        </row>
        <row r="1402">
          <cell r="B1402" t="str">
            <v>Marshall</v>
          </cell>
          <cell r="C1402">
            <v>95721</v>
          </cell>
        </row>
        <row r="1403">
          <cell r="B1403" t="str">
            <v>Marshville</v>
          </cell>
          <cell r="C1403">
            <v>99021</v>
          </cell>
        </row>
        <row r="1404">
          <cell r="B1404" t="str">
            <v>Martin Co Travel &amp; Tourism Auth</v>
          </cell>
          <cell r="C1404">
            <v>95802</v>
          </cell>
        </row>
        <row r="1405">
          <cell r="B1405" t="str">
            <v>Martin County</v>
          </cell>
          <cell r="C1405">
            <v>95801</v>
          </cell>
        </row>
        <row r="1406">
          <cell r="B1406" t="str">
            <v>Martin County ABC Board</v>
          </cell>
          <cell r="C1406">
            <v>95804</v>
          </cell>
        </row>
        <row r="1407">
          <cell r="B1407" t="str">
            <v>Martin-Tyrrell-Washington Dist Health Dept</v>
          </cell>
          <cell r="C1407">
            <v>90092</v>
          </cell>
        </row>
        <row r="1408">
          <cell r="B1408" t="str">
            <v>Marvin</v>
          </cell>
          <cell r="C1408">
            <v>99081</v>
          </cell>
        </row>
        <row r="1409">
          <cell r="B1409" t="str">
            <v>Matthews</v>
          </cell>
          <cell r="C1409">
            <v>96071</v>
          </cell>
        </row>
        <row r="1410">
          <cell r="B1410" t="str">
            <v>Maury Sanitary Land District</v>
          </cell>
          <cell r="C1410">
            <v>94002</v>
          </cell>
        </row>
        <row r="1411">
          <cell r="B1411" t="str">
            <v>Maxton</v>
          </cell>
          <cell r="C1411">
            <v>97840</v>
          </cell>
        </row>
        <row r="1412">
          <cell r="B1412" t="str">
            <v>Maxton ABC Board</v>
          </cell>
          <cell r="C1412">
            <v>97847</v>
          </cell>
        </row>
        <row r="1413">
          <cell r="B1413" t="str">
            <v>Mayodan</v>
          </cell>
          <cell r="C1413">
            <v>97921</v>
          </cell>
        </row>
        <row r="1414">
          <cell r="B1414" t="str">
            <v>Maysville</v>
          </cell>
          <cell r="C1414">
            <v>95221</v>
          </cell>
        </row>
        <row r="1415">
          <cell r="B1415" t="str">
            <v>Mcadenville</v>
          </cell>
          <cell r="C1415">
            <v>93610</v>
          </cell>
        </row>
        <row r="1416">
          <cell r="B1416" t="str">
            <v>Mcdowell County</v>
          </cell>
          <cell r="C1416">
            <v>95901</v>
          </cell>
        </row>
        <row r="1417">
          <cell r="B1417" t="str">
            <v>Mebane</v>
          </cell>
          <cell r="C1417">
            <v>90114</v>
          </cell>
        </row>
        <row r="1418">
          <cell r="B1418" t="str">
            <v>Mecklenburg County</v>
          </cell>
          <cell r="C1418">
            <v>96001</v>
          </cell>
        </row>
        <row r="1419">
          <cell r="B1419" t="str">
            <v>Mecklenburg County ABC Board</v>
          </cell>
          <cell r="C1419">
            <v>96004</v>
          </cell>
        </row>
        <row r="1420">
          <cell r="B1420" t="str">
            <v>Mecklenburg Emer Med Svcs Agcy</v>
          </cell>
          <cell r="C1420">
            <v>96008</v>
          </cell>
        </row>
        <row r="1421">
          <cell r="B1421" t="str">
            <v>Metro Sewerage Dist Of Buncombe County</v>
          </cell>
          <cell r="C1421">
            <v>91108</v>
          </cell>
        </row>
        <row r="1422">
          <cell r="B1422" t="str">
            <v>Mi Connection Communications System</v>
          </cell>
          <cell r="C1422">
            <v>94941</v>
          </cell>
        </row>
        <row r="1423">
          <cell r="B1423" t="str">
            <v>Micro</v>
          </cell>
          <cell r="C1423">
            <v>95122</v>
          </cell>
        </row>
        <row r="1424">
          <cell r="B1424" t="str">
            <v>Mid-Carolina Council Of Governments</v>
          </cell>
          <cell r="C1424">
            <v>92607</v>
          </cell>
        </row>
        <row r="1425">
          <cell r="B1425" t="str">
            <v>Middlesex</v>
          </cell>
          <cell r="C1425">
            <v>96431</v>
          </cell>
        </row>
        <row r="1426">
          <cell r="B1426" t="str">
            <v>Mideast Commission</v>
          </cell>
          <cell r="C1426">
            <v>90709</v>
          </cell>
        </row>
        <row r="1427">
          <cell r="B1427" t="str">
            <v>Midland</v>
          </cell>
          <cell r="C1427">
            <v>91341</v>
          </cell>
        </row>
        <row r="1428">
          <cell r="B1428" t="str">
            <v>Midway</v>
          </cell>
          <cell r="C1428">
            <v>92941</v>
          </cell>
        </row>
        <row r="1429">
          <cell r="B1429" t="str">
            <v>Mills River</v>
          </cell>
          <cell r="C1429">
            <v>94551</v>
          </cell>
        </row>
        <row r="1430">
          <cell r="B1430" t="str">
            <v>Mineral Springs</v>
          </cell>
          <cell r="C1430">
            <v>99022</v>
          </cell>
        </row>
        <row r="1431">
          <cell r="B1431" t="str">
            <v>Mint Hill</v>
          </cell>
          <cell r="C1431">
            <v>96031</v>
          </cell>
        </row>
        <row r="1432">
          <cell r="B1432" t="str">
            <v>Misenheimer</v>
          </cell>
          <cell r="C1432">
            <v>98414</v>
          </cell>
        </row>
        <row r="1433">
          <cell r="B1433" t="str">
            <v>Mitchell County</v>
          </cell>
          <cell r="C1433">
            <v>96101</v>
          </cell>
        </row>
        <row r="1434">
          <cell r="B1434" t="str">
            <v>Mitchell Soil &amp; Water Conservation Dist</v>
          </cell>
          <cell r="C1434">
            <v>96102</v>
          </cell>
        </row>
        <row r="1435">
          <cell r="B1435" t="str">
            <v>Mocksville</v>
          </cell>
          <cell r="C1435">
            <v>93011</v>
          </cell>
        </row>
        <row r="1436">
          <cell r="B1436" t="str">
            <v>Monroe</v>
          </cell>
          <cell r="C1436">
            <v>99011</v>
          </cell>
        </row>
        <row r="1437">
          <cell r="B1437" t="str">
            <v>Monroe ABC Board</v>
          </cell>
          <cell r="C1437">
            <v>99017</v>
          </cell>
        </row>
        <row r="1438">
          <cell r="B1438" t="str">
            <v>MonroeHousingAuthority</v>
          </cell>
          <cell r="C1438">
            <v>99013</v>
          </cell>
        </row>
        <row r="1439">
          <cell r="B1439" t="str">
            <v>Montgomery County</v>
          </cell>
          <cell r="C1439">
            <v>96201</v>
          </cell>
        </row>
        <row r="1440">
          <cell r="B1440" t="str">
            <v>Montgomery-Municipal ABC Board</v>
          </cell>
          <cell r="C1440">
            <v>96204</v>
          </cell>
        </row>
        <row r="1441">
          <cell r="B1441" t="str">
            <v>Montreat</v>
          </cell>
          <cell r="C1441">
            <v>91161</v>
          </cell>
        </row>
        <row r="1442">
          <cell r="B1442" t="str">
            <v>Moore County</v>
          </cell>
          <cell r="C1442">
            <v>96301</v>
          </cell>
        </row>
        <row r="1443">
          <cell r="B1443" t="str">
            <v>Moore County ABC Board</v>
          </cell>
          <cell r="C1443">
            <v>96304</v>
          </cell>
        </row>
        <row r="1444">
          <cell r="B1444" t="str">
            <v>Moore County Airport Authority</v>
          </cell>
          <cell r="C1444">
            <v>96310</v>
          </cell>
        </row>
        <row r="1445">
          <cell r="B1445" t="str">
            <v>Moore County Tourism Development Authority</v>
          </cell>
          <cell r="C1445">
            <v>96305</v>
          </cell>
        </row>
        <row r="1446">
          <cell r="B1446" t="str">
            <v>Mooresville</v>
          </cell>
          <cell r="C1446">
            <v>94921</v>
          </cell>
        </row>
        <row r="1447">
          <cell r="B1447" t="str">
            <v>Mooresville ABC Board</v>
          </cell>
          <cell r="C1447">
            <v>94927</v>
          </cell>
        </row>
        <row r="1448">
          <cell r="B1448" t="str">
            <v>Mooresville Housing Authority</v>
          </cell>
          <cell r="C1448">
            <v>94923</v>
          </cell>
        </row>
        <row r="1449">
          <cell r="B1449" t="str">
            <v>Morehead City</v>
          </cell>
          <cell r="C1449">
            <v>91611</v>
          </cell>
        </row>
        <row r="1450">
          <cell r="B1450" t="str">
            <v>Morganton</v>
          </cell>
          <cell r="C1450">
            <v>91231</v>
          </cell>
        </row>
        <row r="1451">
          <cell r="B1451" t="str">
            <v>Morganton ABC Board</v>
          </cell>
          <cell r="C1451">
            <v>91217</v>
          </cell>
        </row>
        <row r="1452">
          <cell r="B1452" t="str">
            <v>Morganton Housing Authority</v>
          </cell>
          <cell r="C1452">
            <v>91233</v>
          </cell>
        </row>
        <row r="1453">
          <cell r="B1453" t="str">
            <v>Morrisville</v>
          </cell>
          <cell r="C1453">
            <v>99206</v>
          </cell>
        </row>
        <row r="1454">
          <cell r="B1454" t="str">
            <v>Morven</v>
          </cell>
          <cell r="C1454">
            <v>90461</v>
          </cell>
        </row>
        <row r="1455">
          <cell r="B1455" t="str">
            <v>Mount Airy Alcoholic Board Of Control</v>
          </cell>
          <cell r="C1455">
            <v>98637</v>
          </cell>
        </row>
        <row r="1456">
          <cell r="B1456" t="str">
            <v>Mount Gilead</v>
          </cell>
          <cell r="C1456">
            <v>96251</v>
          </cell>
        </row>
        <row r="1457">
          <cell r="B1457" t="str">
            <v>Mount Olive</v>
          </cell>
          <cell r="C1457">
            <v>99621</v>
          </cell>
        </row>
        <row r="1458">
          <cell r="B1458" t="str">
            <v>Mount Pleasant</v>
          </cell>
          <cell r="C1458">
            <v>91321</v>
          </cell>
        </row>
        <row r="1459">
          <cell r="B1459" t="str">
            <v>MountAiry</v>
          </cell>
          <cell r="C1459">
            <v>98631</v>
          </cell>
        </row>
        <row r="1460">
          <cell r="B1460" t="str">
            <v>MountHolly</v>
          </cell>
          <cell r="C1460">
            <v>93691</v>
          </cell>
        </row>
        <row r="1461">
          <cell r="B1461" t="str">
            <v>Mt Olive Housing Authority</v>
          </cell>
          <cell r="C1461">
            <v>99623</v>
          </cell>
        </row>
        <row r="1462">
          <cell r="B1462" t="str">
            <v>Mt Pleasant ABC Board</v>
          </cell>
          <cell r="C1462">
            <v>91327</v>
          </cell>
        </row>
        <row r="1463">
          <cell r="B1463" t="str">
            <v>Murfreesboro</v>
          </cell>
          <cell r="C1463">
            <v>94621</v>
          </cell>
        </row>
        <row r="1464">
          <cell r="B1464" t="str">
            <v>Murphy</v>
          </cell>
          <cell r="C1464">
            <v>92011</v>
          </cell>
        </row>
        <row r="1465">
          <cell r="B1465" t="str">
            <v>Murphy ABC Board</v>
          </cell>
          <cell r="C1465">
            <v>92017</v>
          </cell>
        </row>
        <row r="1466">
          <cell r="B1466" t="str">
            <v>N C Assoc Of Co Commissioners</v>
          </cell>
          <cell r="C1466">
            <v>99991</v>
          </cell>
        </row>
        <row r="1467">
          <cell r="B1467" t="str">
            <v>N C League Of Municipalities</v>
          </cell>
          <cell r="C1467">
            <v>99999</v>
          </cell>
        </row>
        <row r="1468">
          <cell r="B1468" t="str">
            <v>Nags Head</v>
          </cell>
          <cell r="C1468">
            <v>92811</v>
          </cell>
        </row>
        <row r="1469">
          <cell r="B1469" t="str">
            <v>Nantahala Regional Library</v>
          </cell>
          <cell r="C1469">
            <v>92005</v>
          </cell>
        </row>
        <row r="1470">
          <cell r="B1470" t="str">
            <v>Nash County</v>
          </cell>
          <cell r="C1470">
            <v>96401</v>
          </cell>
        </row>
        <row r="1471">
          <cell r="B1471" t="str">
            <v>Nash County ABC Board</v>
          </cell>
          <cell r="C1471">
            <v>96404</v>
          </cell>
        </row>
        <row r="1472">
          <cell r="B1472" t="str">
            <v>Nashville</v>
          </cell>
          <cell r="C1472">
            <v>96421</v>
          </cell>
        </row>
        <row r="1473">
          <cell r="B1473" t="str">
            <v>Navassa</v>
          </cell>
          <cell r="C1473">
            <v>91026</v>
          </cell>
        </row>
        <row r="1474">
          <cell r="B1474" t="str">
            <v>Neuse Regional Library</v>
          </cell>
          <cell r="C1474">
            <v>95405</v>
          </cell>
        </row>
        <row r="1475">
          <cell r="B1475" t="str">
            <v>Neuse Regional Library-Greene County</v>
          </cell>
          <cell r="C1475">
            <v>94005</v>
          </cell>
        </row>
        <row r="1476">
          <cell r="B1476" t="str">
            <v>Neuse Regional Library-Jones County</v>
          </cell>
          <cell r="C1476">
            <v>95205</v>
          </cell>
        </row>
        <row r="1477">
          <cell r="B1477" t="str">
            <v>Neuse River Council Of Governments</v>
          </cell>
          <cell r="C1477">
            <v>92507</v>
          </cell>
        </row>
        <row r="1478">
          <cell r="B1478" t="str">
            <v>New Edenton Housing Auth</v>
          </cell>
          <cell r="C1478">
            <v>92113</v>
          </cell>
        </row>
        <row r="1479">
          <cell r="B1479" t="str">
            <v>New Hanover Airport Auth</v>
          </cell>
          <cell r="C1479">
            <v>96502</v>
          </cell>
        </row>
        <row r="1480">
          <cell r="B1480" t="str">
            <v>New Hanover County</v>
          </cell>
          <cell r="C1480">
            <v>96501</v>
          </cell>
        </row>
        <row r="1481">
          <cell r="B1481" t="str">
            <v>New Hanover County ABC Board</v>
          </cell>
          <cell r="C1481">
            <v>96504</v>
          </cell>
        </row>
        <row r="1482">
          <cell r="B1482" t="str">
            <v>New Reidsville Housing Auth</v>
          </cell>
          <cell r="C1482">
            <v>97913</v>
          </cell>
        </row>
        <row r="1483">
          <cell r="B1483" t="str">
            <v>NewBern</v>
          </cell>
          <cell r="C1483">
            <v>92511</v>
          </cell>
        </row>
        <row r="1484">
          <cell r="B1484" t="str">
            <v>Newland</v>
          </cell>
          <cell r="C1484">
            <v>90621</v>
          </cell>
        </row>
        <row r="1485">
          <cell r="B1485" t="str">
            <v>Newport</v>
          </cell>
          <cell r="C1485">
            <v>91621</v>
          </cell>
        </row>
        <row r="1486">
          <cell r="B1486" t="str">
            <v>Newton</v>
          </cell>
          <cell r="C1486">
            <v>91871</v>
          </cell>
        </row>
        <row r="1487">
          <cell r="B1487" t="str">
            <v>Newton Grove</v>
          </cell>
          <cell r="C1487">
            <v>98231</v>
          </cell>
        </row>
        <row r="1488">
          <cell r="B1488" t="str">
            <v>Norlina</v>
          </cell>
          <cell r="C1488">
            <v>99311</v>
          </cell>
        </row>
        <row r="1489">
          <cell r="B1489" t="str">
            <v>North Topsail Beach</v>
          </cell>
          <cell r="C1489">
            <v>96751</v>
          </cell>
        </row>
        <row r="1490">
          <cell r="B1490" t="str">
            <v>North Wilkesboro</v>
          </cell>
          <cell r="C1490">
            <v>99711</v>
          </cell>
        </row>
        <row r="1491">
          <cell r="B1491" t="str">
            <v>North Wilkesboro ABC Board</v>
          </cell>
          <cell r="C1491">
            <v>99717</v>
          </cell>
        </row>
        <row r="1492">
          <cell r="B1492" t="str">
            <v>Northampton County</v>
          </cell>
          <cell r="C1492">
            <v>96601</v>
          </cell>
        </row>
        <row r="1493">
          <cell r="B1493" t="str">
            <v>Northampton County ABC Board</v>
          </cell>
          <cell r="C1493">
            <v>96604</v>
          </cell>
        </row>
        <row r="1494">
          <cell r="B1494" t="str">
            <v>Northwest</v>
          </cell>
          <cell r="C1494">
            <v>91012</v>
          </cell>
        </row>
        <row r="1495">
          <cell r="B1495" t="str">
            <v>Northwestern Regional Library</v>
          </cell>
          <cell r="C1495">
            <v>90305</v>
          </cell>
        </row>
        <row r="1496">
          <cell r="B1496" t="str">
            <v>Norwood</v>
          </cell>
          <cell r="C1496">
            <v>98421</v>
          </cell>
        </row>
        <row r="1497">
          <cell r="B1497" t="str">
            <v>Norwood ABC Bd</v>
          </cell>
          <cell r="C1497">
            <v>98427</v>
          </cell>
        </row>
        <row r="1498">
          <cell r="B1498" t="str">
            <v>Oak City</v>
          </cell>
          <cell r="C1498">
            <v>95821</v>
          </cell>
        </row>
        <row r="1499">
          <cell r="B1499" t="str">
            <v>Oak Island</v>
          </cell>
          <cell r="C1499">
            <v>91021</v>
          </cell>
        </row>
        <row r="1500">
          <cell r="B1500" t="str">
            <v>Oak Island ABC Bd</v>
          </cell>
          <cell r="C1500">
            <v>91027</v>
          </cell>
        </row>
        <row r="1501">
          <cell r="B1501" t="str">
            <v>Oak Ridge</v>
          </cell>
          <cell r="C1501">
            <v>94161</v>
          </cell>
        </row>
        <row r="1502">
          <cell r="B1502" t="str">
            <v>Oakboro</v>
          </cell>
          <cell r="C1502">
            <v>98441</v>
          </cell>
        </row>
        <row r="1503">
          <cell r="B1503" t="str">
            <v>Ocean Isle Beach</v>
          </cell>
          <cell r="C1503">
            <v>91061</v>
          </cell>
        </row>
        <row r="1504">
          <cell r="B1504" t="str">
            <v>Ocean Isle Beach ABC Board</v>
          </cell>
          <cell r="C1504">
            <v>91067</v>
          </cell>
        </row>
        <row r="1505">
          <cell r="B1505" t="str">
            <v>Ocracoke Sanitary Dist</v>
          </cell>
          <cell r="C1505">
            <v>94812</v>
          </cell>
        </row>
        <row r="1506">
          <cell r="B1506" t="str">
            <v>Old Fort</v>
          </cell>
          <cell r="C1506">
            <v>95921</v>
          </cell>
        </row>
        <row r="1507">
          <cell r="B1507" t="str">
            <v>Onslow County</v>
          </cell>
          <cell r="C1507">
            <v>96701</v>
          </cell>
        </row>
        <row r="1508">
          <cell r="B1508" t="str">
            <v>Onslow County ABC Board</v>
          </cell>
          <cell r="C1508">
            <v>96704</v>
          </cell>
        </row>
        <row r="1509">
          <cell r="B1509" t="str">
            <v>Onslow Water &amp; Sewer Authority</v>
          </cell>
          <cell r="C1509">
            <v>96708</v>
          </cell>
        </row>
        <row r="1510">
          <cell r="B1510" t="str">
            <v>Orange County</v>
          </cell>
          <cell r="C1510">
            <v>96801</v>
          </cell>
        </row>
        <row r="1511">
          <cell r="B1511" t="str">
            <v>Orange County ABC Board</v>
          </cell>
          <cell r="C1511">
            <v>96804</v>
          </cell>
        </row>
        <row r="1512">
          <cell r="B1512" t="str">
            <v>Orange Water And Sewer Authority</v>
          </cell>
          <cell r="C1512">
            <v>96808</v>
          </cell>
        </row>
        <row r="1513">
          <cell r="B1513" t="str">
            <v>Oriental</v>
          </cell>
          <cell r="C1513">
            <v>96912</v>
          </cell>
        </row>
        <row r="1514">
          <cell r="B1514" t="str">
            <v>Oxford</v>
          </cell>
          <cell r="C1514">
            <v>93911</v>
          </cell>
        </row>
        <row r="1515">
          <cell r="B1515" t="str">
            <v>Oxford Housing Authority</v>
          </cell>
          <cell r="C1515">
            <v>93913</v>
          </cell>
        </row>
        <row r="1516">
          <cell r="B1516" t="str">
            <v>Pamlico County</v>
          </cell>
          <cell r="C1516">
            <v>96901</v>
          </cell>
        </row>
        <row r="1517">
          <cell r="B1517" t="str">
            <v>Parkton</v>
          </cell>
          <cell r="C1517">
            <v>97841</v>
          </cell>
        </row>
        <row r="1518">
          <cell r="B1518" t="str">
            <v>Parkwood Fire Department</v>
          </cell>
          <cell r="C1518">
            <v>93202</v>
          </cell>
        </row>
        <row r="1519">
          <cell r="B1519" t="str">
            <v>Partners Behavioral Health Management</v>
          </cell>
          <cell r="C1519">
            <v>93609</v>
          </cell>
        </row>
        <row r="1520">
          <cell r="B1520" t="str">
            <v>Pasquotank Co ABC Board</v>
          </cell>
          <cell r="C1520">
            <v>97004</v>
          </cell>
        </row>
        <row r="1521">
          <cell r="B1521" t="str">
            <v>Pasquotank County</v>
          </cell>
          <cell r="C1521">
            <v>97001</v>
          </cell>
        </row>
        <row r="1522">
          <cell r="B1522" t="str">
            <v>Pasquotank-Camden Ambulance Service</v>
          </cell>
          <cell r="C1522">
            <v>97002</v>
          </cell>
        </row>
        <row r="1523">
          <cell r="B1523" t="str">
            <v>Pasquotank-Camden Library</v>
          </cell>
          <cell r="C1523">
            <v>97015</v>
          </cell>
        </row>
        <row r="1524">
          <cell r="B1524" t="str">
            <v>Peachland</v>
          </cell>
          <cell r="C1524">
            <v>90441</v>
          </cell>
        </row>
        <row r="1525">
          <cell r="B1525" t="str">
            <v>Pembroke</v>
          </cell>
          <cell r="C1525">
            <v>97851</v>
          </cell>
        </row>
        <row r="1526">
          <cell r="B1526" t="str">
            <v>Pembroke Housing Authority</v>
          </cell>
          <cell r="C1526">
            <v>97853</v>
          </cell>
        </row>
        <row r="1527">
          <cell r="B1527" t="str">
            <v>Pender County</v>
          </cell>
          <cell r="C1527">
            <v>97101</v>
          </cell>
        </row>
        <row r="1528">
          <cell r="B1528" t="str">
            <v>Pender County ABC Board</v>
          </cell>
          <cell r="C1528">
            <v>97104</v>
          </cell>
        </row>
        <row r="1529">
          <cell r="B1529" t="str">
            <v>Perquimans County</v>
          </cell>
          <cell r="C1529">
            <v>97201</v>
          </cell>
        </row>
        <row r="1530">
          <cell r="B1530" t="str">
            <v>Person Co ABC Bd</v>
          </cell>
          <cell r="C1530">
            <v>97304</v>
          </cell>
        </row>
        <row r="1531">
          <cell r="B1531" t="str">
            <v>Person County</v>
          </cell>
          <cell r="C1531">
            <v>97301</v>
          </cell>
        </row>
        <row r="1532">
          <cell r="B1532" t="str">
            <v>Pettigrew Regional Library</v>
          </cell>
          <cell r="C1532">
            <v>99405</v>
          </cell>
        </row>
        <row r="1533">
          <cell r="B1533" t="str">
            <v>Piedmont Triad Airport Authority</v>
          </cell>
          <cell r="C1533">
            <v>72265</v>
          </cell>
        </row>
        <row r="1534">
          <cell r="B1534" t="str">
            <v>Piedmont Triad Reg Water Auth</v>
          </cell>
          <cell r="C1534">
            <v>94112</v>
          </cell>
        </row>
        <row r="1535">
          <cell r="B1535" t="str">
            <v>Piedmont Triad Regional Council</v>
          </cell>
          <cell r="C1535">
            <v>93406</v>
          </cell>
        </row>
        <row r="1536">
          <cell r="B1536" t="str">
            <v>Pikeville</v>
          </cell>
          <cell r="C1536">
            <v>99651</v>
          </cell>
        </row>
        <row r="1537">
          <cell r="B1537" t="str">
            <v>Pilot Mountain</v>
          </cell>
          <cell r="C1537">
            <v>98611</v>
          </cell>
        </row>
        <row r="1538">
          <cell r="B1538" t="str">
            <v>Pilot Mountain ABC Board</v>
          </cell>
          <cell r="C1538">
            <v>98607</v>
          </cell>
        </row>
        <row r="1539">
          <cell r="B1539" t="str">
            <v>Pine Knoll Shores</v>
          </cell>
          <cell r="C1539">
            <v>91641</v>
          </cell>
        </row>
        <row r="1540">
          <cell r="B1540" t="str">
            <v>Pine Level</v>
          </cell>
          <cell r="C1540">
            <v>95161</v>
          </cell>
        </row>
        <row r="1541">
          <cell r="B1541" t="str">
            <v>Pinebluff</v>
          </cell>
          <cell r="C1541">
            <v>96361</v>
          </cell>
        </row>
        <row r="1542">
          <cell r="B1542" t="str">
            <v>Pinecroft-Sedgefield Fire Dist Inc</v>
          </cell>
          <cell r="C1542">
            <v>94108</v>
          </cell>
        </row>
        <row r="1543">
          <cell r="B1543" t="str">
            <v>Pinehurst</v>
          </cell>
          <cell r="C1543">
            <v>96351</v>
          </cell>
        </row>
        <row r="1544">
          <cell r="B1544" t="str">
            <v>Pinetops</v>
          </cell>
          <cell r="C1544">
            <v>93331</v>
          </cell>
        </row>
        <row r="1545">
          <cell r="B1545" t="str">
            <v>Pineville</v>
          </cell>
          <cell r="C1545">
            <v>96021</v>
          </cell>
        </row>
        <row r="1546">
          <cell r="B1546" t="str">
            <v>Pink Hill</v>
          </cell>
          <cell r="C1546">
            <v>95421</v>
          </cell>
        </row>
        <row r="1547">
          <cell r="B1547" t="str">
            <v>Pitt County</v>
          </cell>
          <cell r="C1547">
            <v>97401</v>
          </cell>
        </row>
        <row r="1548">
          <cell r="B1548" t="str">
            <v>Pitt County ABC Board</v>
          </cell>
          <cell r="C1548">
            <v>97404</v>
          </cell>
        </row>
        <row r="1549">
          <cell r="B1549" t="str">
            <v>Pitt-Greenville Conv &amp; Vistors</v>
          </cell>
          <cell r="C1549">
            <v>97402</v>
          </cell>
        </row>
        <row r="1550">
          <cell r="B1550" t="str">
            <v>Pittsboro</v>
          </cell>
          <cell r="C1550">
            <v>91921</v>
          </cell>
        </row>
        <row r="1551">
          <cell r="B1551" t="str">
            <v>Pleasant Garden Fire Dept</v>
          </cell>
          <cell r="C1551">
            <v>95908</v>
          </cell>
        </row>
        <row r="1552">
          <cell r="B1552" t="str">
            <v>Plymouth</v>
          </cell>
          <cell r="C1552">
            <v>99411</v>
          </cell>
        </row>
        <row r="1553">
          <cell r="B1553" t="str">
            <v>Plymouth Housing Authority</v>
          </cell>
          <cell r="C1553">
            <v>99413</v>
          </cell>
        </row>
        <row r="1554">
          <cell r="B1554" t="str">
            <v>Polk County</v>
          </cell>
          <cell r="C1554">
            <v>97501</v>
          </cell>
        </row>
        <row r="1555">
          <cell r="B1555" t="str">
            <v>Polkton</v>
          </cell>
          <cell r="C1555">
            <v>90431</v>
          </cell>
        </row>
        <row r="1556">
          <cell r="B1556" t="str">
            <v>Pollocksville</v>
          </cell>
          <cell r="C1556">
            <v>95211</v>
          </cell>
        </row>
        <row r="1557">
          <cell r="B1557" t="str">
            <v>Princeton</v>
          </cell>
          <cell r="C1557">
            <v>95181</v>
          </cell>
        </row>
        <row r="1558">
          <cell r="B1558" t="str">
            <v>Princeville</v>
          </cell>
          <cell r="C1558">
            <v>93351</v>
          </cell>
        </row>
        <row r="1559">
          <cell r="B1559" t="str">
            <v>Public Library Of Johnston Co And Smithfield</v>
          </cell>
          <cell r="C1559">
            <v>95105</v>
          </cell>
        </row>
        <row r="1560">
          <cell r="B1560" t="str">
            <v>Public Works Comm Cty Of Fayetteville</v>
          </cell>
          <cell r="C1560">
            <v>92614</v>
          </cell>
        </row>
        <row r="1561">
          <cell r="B1561" t="str">
            <v>Raeford</v>
          </cell>
          <cell r="C1561">
            <v>94711</v>
          </cell>
        </row>
        <row r="1562">
          <cell r="B1562" t="str">
            <v>Raleigh</v>
          </cell>
          <cell r="C1562">
            <v>99211</v>
          </cell>
        </row>
        <row r="1563">
          <cell r="B1563" t="str">
            <v>Raleigh-Durham Airport Authority</v>
          </cell>
          <cell r="C1563">
            <v>99218</v>
          </cell>
        </row>
        <row r="1564">
          <cell r="B1564" t="str">
            <v>RaleighHousingAuthority</v>
          </cell>
          <cell r="C1564">
            <v>99213</v>
          </cell>
        </row>
        <row r="1565">
          <cell r="B1565" t="str">
            <v>Ramseur</v>
          </cell>
          <cell r="C1565">
            <v>97641</v>
          </cell>
        </row>
        <row r="1566">
          <cell r="B1566" t="str">
            <v>Randleman</v>
          </cell>
          <cell r="C1566">
            <v>97621</v>
          </cell>
        </row>
        <row r="1567">
          <cell r="B1567" t="str">
            <v>RandlemanABCBoard</v>
          </cell>
          <cell r="C1567">
            <v>97627</v>
          </cell>
        </row>
        <row r="1568">
          <cell r="B1568" t="str">
            <v>RandlemanHousingAuthority</v>
          </cell>
          <cell r="C1568">
            <v>97623</v>
          </cell>
        </row>
        <row r="1569">
          <cell r="B1569" t="str">
            <v>Randolph County</v>
          </cell>
          <cell r="C1569">
            <v>97601</v>
          </cell>
        </row>
        <row r="1570">
          <cell r="B1570" t="str">
            <v>Ranlo</v>
          </cell>
          <cell r="C1570">
            <v>93681</v>
          </cell>
        </row>
        <row r="1571">
          <cell r="B1571" t="str">
            <v>Red Springs</v>
          </cell>
          <cell r="C1571">
            <v>97871</v>
          </cell>
        </row>
        <row r="1572">
          <cell r="B1572" t="str">
            <v>Red Springs ABC Board</v>
          </cell>
          <cell r="C1572">
            <v>97877</v>
          </cell>
        </row>
        <row r="1573">
          <cell r="B1573" t="str">
            <v>Region D Council Of Governments</v>
          </cell>
          <cell r="C1573">
            <v>99502</v>
          </cell>
        </row>
        <row r="1574">
          <cell r="B1574" t="str">
            <v>Reidsville</v>
          </cell>
          <cell r="C1574">
            <v>97911</v>
          </cell>
        </row>
        <row r="1575">
          <cell r="B1575" t="str">
            <v>Reidsville ABC Board</v>
          </cell>
          <cell r="C1575">
            <v>97917</v>
          </cell>
        </row>
        <row r="1576">
          <cell r="B1576" t="str">
            <v>Rich Square</v>
          </cell>
          <cell r="C1576">
            <v>96611</v>
          </cell>
        </row>
        <row r="1577">
          <cell r="B1577" t="str">
            <v>Richlands</v>
          </cell>
          <cell r="C1577">
            <v>96741</v>
          </cell>
        </row>
        <row r="1578">
          <cell r="B1578" t="str">
            <v>Richmond County</v>
          </cell>
          <cell r="C1578">
            <v>97701</v>
          </cell>
        </row>
        <row r="1579">
          <cell r="B1579" t="str">
            <v>River Bend</v>
          </cell>
          <cell r="C1579">
            <v>92541</v>
          </cell>
        </row>
        <row r="1580">
          <cell r="B1580" t="str">
            <v>Roanoke Rapids Sanitary District</v>
          </cell>
          <cell r="C1580">
            <v>94209</v>
          </cell>
        </row>
        <row r="1581">
          <cell r="B1581" t="str">
            <v>RoanokeRapids</v>
          </cell>
          <cell r="C1581">
            <v>94221</v>
          </cell>
        </row>
        <row r="1582">
          <cell r="B1582" t="str">
            <v>Robbins</v>
          </cell>
          <cell r="C1582">
            <v>96341</v>
          </cell>
        </row>
        <row r="1583">
          <cell r="B1583" t="str">
            <v>Robbinsville</v>
          </cell>
          <cell r="C1583">
            <v>93821</v>
          </cell>
        </row>
        <row r="1584">
          <cell r="B1584" t="str">
            <v>Robersonville</v>
          </cell>
          <cell r="C1584">
            <v>95851</v>
          </cell>
        </row>
        <row r="1585">
          <cell r="B1585" t="str">
            <v>Robersonville Housing Authority</v>
          </cell>
          <cell r="C1585">
            <v>95853</v>
          </cell>
        </row>
        <row r="1586">
          <cell r="B1586" t="str">
            <v>Robeson County</v>
          </cell>
          <cell r="C1586">
            <v>97801</v>
          </cell>
        </row>
        <row r="1587">
          <cell r="B1587" t="str">
            <v>Robeson County Housing Authority</v>
          </cell>
          <cell r="C1587">
            <v>97803</v>
          </cell>
        </row>
        <row r="1588">
          <cell r="B1588" t="str">
            <v>Robeson County Public Library</v>
          </cell>
          <cell r="C1588">
            <v>97805</v>
          </cell>
        </row>
        <row r="1589">
          <cell r="B1589" t="str">
            <v>Rockingham</v>
          </cell>
          <cell r="C1589">
            <v>97711</v>
          </cell>
        </row>
        <row r="1590">
          <cell r="B1590" t="str">
            <v>Rockingham County</v>
          </cell>
          <cell r="C1590">
            <v>97901</v>
          </cell>
        </row>
        <row r="1591">
          <cell r="B1591" t="str">
            <v>Rockingham Housing Authority</v>
          </cell>
          <cell r="C1591">
            <v>97713</v>
          </cell>
        </row>
        <row r="1592">
          <cell r="B1592" t="str">
            <v>RockinghamABCBoard</v>
          </cell>
          <cell r="C1592">
            <v>97727</v>
          </cell>
        </row>
        <row r="1593">
          <cell r="B1593" t="str">
            <v>Rockwell</v>
          </cell>
          <cell r="C1593">
            <v>98071</v>
          </cell>
        </row>
        <row r="1594">
          <cell r="B1594" t="str">
            <v>Rocky Mount-Wilson Airport Authority</v>
          </cell>
          <cell r="C1594">
            <v>93323</v>
          </cell>
        </row>
        <row r="1595">
          <cell r="B1595" t="str">
            <v>Rocky Mt Housing Authority</v>
          </cell>
          <cell r="C1595">
            <v>93333</v>
          </cell>
        </row>
        <row r="1596">
          <cell r="B1596" t="str">
            <v>RockyMount</v>
          </cell>
          <cell r="C1596">
            <v>93321</v>
          </cell>
        </row>
        <row r="1597">
          <cell r="B1597" t="str">
            <v>Rolesville</v>
          </cell>
          <cell r="C1597">
            <v>99203</v>
          </cell>
        </row>
        <row r="1598">
          <cell r="B1598" t="str">
            <v>Roper</v>
          </cell>
          <cell r="C1598">
            <v>99421</v>
          </cell>
        </row>
        <row r="1599">
          <cell r="B1599" t="str">
            <v>Rose Hill</v>
          </cell>
          <cell r="C1599">
            <v>93161</v>
          </cell>
        </row>
        <row r="1600">
          <cell r="B1600" t="str">
            <v>Roseboro</v>
          </cell>
          <cell r="C1600">
            <v>98261</v>
          </cell>
        </row>
        <row r="1601">
          <cell r="B1601" t="str">
            <v>Roseboro ABC Board</v>
          </cell>
          <cell r="C1601">
            <v>98237</v>
          </cell>
        </row>
        <row r="1602">
          <cell r="B1602" t="str">
            <v>Rowan Co Housing Authority</v>
          </cell>
          <cell r="C1602">
            <v>98003</v>
          </cell>
        </row>
        <row r="1603">
          <cell r="B1603" t="str">
            <v>Rowan Co Soil &amp; Water Conv Dist</v>
          </cell>
          <cell r="C1603">
            <v>98008</v>
          </cell>
        </row>
        <row r="1604">
          <cell r="B1604" t="str">
            <v>Rowan Convention &amp; Vistors Bureau</v>
          </cell>
          <cell r="C1604">
            <v>98002</v>
          </cell>
        </row>
        <row r="1605">
          <cell r="B1605" t="str">
            <v>Rowan County</v>
          </cell>
          <cell r="C1605">
            <v>98001</v>
          </cell>
        </row>
        <row r="1606">
          <cell r="B1606" t="str">
            <v>Rowan County ABC Board</v>
          </cell>
          <cell r="C1606">
            <v>98004</v>
          </cell>
        </row>
        <row r="1607">
          <cell r="B1607" t="str">
            <v>Rowland</v>
          </cell>
          <cell r="C1607">
            <v>97861</v>
          </cell>
        </row>
        <row r="1608">
          <cell r="B1608" t="str">
            <v>Roxboro</v>
          </cell>
          <cell r="C1608">
            <v>97311</v>
          </cell>
        </row>
        <row r="1609">
          <cell r="B1609" t="str">
            <v>Rural Hall</v>
          </cell>
          <cell r="C1609">
            <v>93431</v>
          </cell>
        </row>
        <row r="1610">
          <cell r="B1610" t="str">
            <v>Rutherford College</v>
          </cell>
          <cell r="C1610">
            <v>91214</v>
          </cell>
        </row>
        <row r="1611">
          <cell r="B1611" t="str">
            <v>Rutherford County</v>
          </cell>
          <cell r="C1611">
            <v>98101</v>
          </cell>
        </row>
        <row r="1612">
          <cell r="B1612" t="str">
            <v>Rutherford Polk Mcdowell Dist Brd Of Health</v>
          </cell>
          <cell r="C1612">
            <v>98103</v>
          </cell>
        </row>
        <row r="1613">
          <cell r="B1613" t="str">
            <v>Rutherfordton</v>
          </cell>
          <cell r="C1613">
            <v>98141</v>
          </cell>
        </row>
        <row r="1614">
          <cell r="B1614" t="str">
            <v>Rutherfordton ABC Brd</v>
          </cell>
          <cell r="C1614">
            <v>98147</v>
          </cell>
        </row>
        <row r="1615">
          <cell r="B1615" t="str">
            <v>Salemburg</v>
          </cell>
          <cell r="C1615">
            <v>98221</v>
          </cell>
        </row>
        <row r="1616">
          <cell r="B1616" t="str">
            <v>Salisbury</v>
          </cell>
          <cell r="C1616">
            <v>98011</v>
          </cell>
        </row>
        <row r="1617">
          <cell r="B1617" t="str">
            <v>Saluda</v>
          </cell>
          <cell r="C1617">
            <v>97531</v>
          </cell>
        </row>
        <row r="1618">
          <cell r="B1618" t="str">
            <v>Sampson County</v>
          </cell>
          <cell r="C1618">
            <v>98201</v>
          </cell>
        </row>
        <row r="1619">
          <cell r="B1619" t="str">
            <v>Sandhill Regional Library</v>
          </cell>
          <cell r="C1619">
            <v>97705</v>
          </cell>
        </row>
        <row r="1620">
          <cell r="B1620" t="str">
            <v>Sandhills Center</v>
          </cell>
          <cell r="C1620">
            <v>96318</v>
          </cell>
        </row>
        <row r="1621">
          <cell r="B1621" t="str">
            <v>Sanford</v>
          </cell>
          <cell r="C1621">
            <v>95311</v>
          </cell>
        </row>
        <row r="1622">
          <cell r="B1622" t="str">
            <v>Sanford ABC Board</v>
          </cell>
          <cell r="C1622">
            <v>95317</v>
          </cell>
        </row>
        <row r="1623">
          <cell r="B1623" t="str">
            <v>Sawmills</v>
          </cell>
          <cell r="C1623">
            <v>91421</v>
          </cell>
        </row>
        <row r="1624">
          <cell r="B1624" t="str">
            <v>Scotland County</v>
          </cell>
          <cell r="C1624">
            <v>98301</v>
          </cell>
        </row>
        <row r="1625">
          <cell r="B1625" t="str">
            <v>Scotland County ABC Board</v>
          </cell>
          <cell r="C1625">
            <v>98304</v>
          </cell>
        </row>
        <row r="1626">
          <cell r="B1626" t="str">
            <v>Scotland Neck</v>
          </cell>
          <cell r="C1626">
            <v>94241</v>
          </cell>
        </row>
        <row r="1627">
          <cell r="B1627" t="str">
            <v>Seaboard</v>
          </cell>
          <cell r="C1627">
            <v>96681</v>
          </cell>
        </row>
        <row r="1628">
          <cell r="B1628" t="str">
            <v>Seagrove</v>
          </cell>
          <cell r="C1628">
            <v>72593</v>
          </cell>
        </row>
        <row r="1629">
          <cell r="B1629" t="str">
            <v>Selma</v>
          </cell>
          <cell r="C1629">
            <v>95121</v>
          </cell>
        </row>
        <row r="1630">
          <cell r="B1630" t="str">
            <v>Selma Housing Authority</v>
          </cell>
          <cell r="C1630">
            <v>95123</v>
          </cell>
        </row>
        <row r="1631">
          <cell r="B1631" t="str">
            <v>Seven Devils</v>
          </cell>
          <cell r="C1631">
            <v>99531</v>
          </cell>
        </row>
        <row r="1632">
          <cell r="B1632" t="str">
            <v>Severn</v>
          </cell>
          <cell r="C1632">
            <v>96671</v>
          </cell>
        </row>
        <row r="1633">
          <cell r="B1633" t="str">
            <v>Shallotte</v>
          </cell>
          <cell r="C1633">
            <v>91081</v>
          </cell>
        </row>
        <row r="1634">
          <cell r="B1634" t="str">
            <v>Shallotte ABC Board</v>
          </cell>
          <cell r="C1634">
            <v>91057</v>
          </cell>
        </row>
        <row r="1635">
          <cell r="B1635" t="str">
            <v>Sharpsburg</v>
          </cell>
          <cell r="C1635">
            <v>96461</v>
          </cell>
        </row>
        <row r="1636">
          <cell r="B1636" t="str">
            <v>Shelby</v>
          </cell>
          <cell r="C1636">
            <v>92311</v>
          </cell>
        </row>
        <row r="1637">
          <cell r="B1637" t="str">
            <v>Shelby ABC Board</v>
          </cell>
          <cell r="C1637">
            <v>92317</v>
          </cell>
        </row>
        <row r="1638">
          <cell r="B1638" t="str">
            <v>Sheppard Memorial Library</v>
          </cell>
          <cell r="C1638">
            <v>97405</v>
          </cell>
        </row>
        <row r="1639">
          <cell r="B1639" t="str">
            <v>Siler City</v>
          </cell>
          <cell r="C1639">
            <v>91911</v>
          </cell>
        </row>
        <row r="1640">
          <cell r="B1640" t="str">
            <v>Siler City ABC Board</v>
          </cell>
          <cell r="C1640">
            <v>91917</v>
          </cell>
        </row>
        <row r="1641">
          <cell r="B1641" t="str">
            <v>Simpson</v>
          </cell>
          <cell r="C1641">
            <v>97481</v>
          </cell>
        </row>
        <row r="1642">
          <cell r="B1642" t="str">
            <v>Skyland Vol Fire Dept</v>
          </cell>
          <cell r="C1642">
            <v>91138</v>
          </cell>
        </row>
        <row r="1643">
          <cell r="B1643" t="str">
            <v>Smithfield</v>
          </cell>
          <cell r="C1643">
            <v>95111</v>
          </cell>
        </row>
        <row r="1644">
          <cell r="B1644" t="str">
            <v>Smithfield Housing Authority</v>
          </cell>
          <cell r="C1644">
            <v>95113</v>
          </cell>
        </row>
        <row r="1645">
          <cell r="B1645" t="str">
            <v>Snow Hill</v>
          </cell>
          <cell r="C1645">
            <v>94021</v>
          </cell>
        </row>
        <row r="1646">
          <cell r="B1646" t="str">
            <v>South Eastern Economic Development Comm</v>
          </cell>
          <cell r="C1646">
            <v>90918</v>
          </cell>
        </row>
        <row r="1647">
          <cell r="B1647" t="str">
            <v>South Granville Water And Sewer Authority</v>
          </cell>
          <cell r="C1647">
            <v>93910</v>
          </cell>
        </row>
        <row r="1648">
          <cell r="B1648" t="str">
            <v>Southeast Brunswick Sanitary District</v>
          </cell>
          <cell r="C1648">
            <v>91013</v>
          </cell>
        </row>
        <row r="1649">
          <cell r="B1649" t="str">
            <v>Southern Pines</v>
          </cell>
          <cell r="C1649">
            <v>96311</v>
          </cell>
        </row>
        <row r="1650">
          <cell r="B1650" t="str">
            <v>Southern Shores</v>
          </cell>
          <cell r="C1650">
            <v>92841</v>
          </cell>
        </row>
        <row r="1651">
          <cell r="B1651" t="str">
            <v>Southern Wayne Sanitary District</v>
          </cell>
          <cell r="C1651">
            <v>99609</v>
          </cell>
        </row>
        <row r="1652">
          <cell r="B1652" t="str">
            <v>Southport</v>
          </cell>
          <cell r="C1652">
            <v>91011</v>
          </cell>
        </row>
        <row r="1653">
          <cell r="B1653" t="str">
            <v>SouthportABCBoard</v>
          </cell>
          <cell r="C1653">
            <v>91017</v>
          </cell>
        </row>
        <row r="1654">
          <cell r="B1654" t="str">
            <v>Southwestern Nc Planning &amp; Econ.Dev.Commis.</v>
          </cell>
          <cell r="C1654">
            <v>95008</v>
          </cell>
        </row>
        <row r="1655">
          <cell r="B1655" t="str">
            <v>Sparta</v>
          </cell>
          <cell r="C1655">
            <v>72657</v>
          </cell>
        </row>
        <row r="1656">
          <cell r="B1656" t="str">
            <v>Sparta ABC Board</v>
          </cell>
          <cell r="C1656">
            <v>90307</v>
          </cell>
        </row>
        <row r="1657">
          <cell r="B1657" t="str">
            <v>Spencer</v>
          </cell>
          <cell r="C1657">
            <v>98031</v>
          </cell>
        </row>
        <row r="1658">
          <cell r="B1658" t="str">
            <v>Spindale</v>
          </cell>
          <cell r="C1658">
            <v>98121</v>
          </cell>
        </row>
        <row r="1659">
          <cell r="B1659" t="str">
            <v>Spring Hope</v>
          </cell>
          <cell r="C1659">
            <v>96411</v>
          </cell>
        </row>
        <row r="1660">
          <cell r="B1660" t="str">
            <v>Spring Lake</v>
          </cell>
          <cell r="C1660">
            <v>92661</v>
          </cell>
        </row>
        <row r="1661">
          <cell r="B1661" t="str">
            <v>Spruce Pine</v>
          </cell>
          <cell r="C1661">
            <v>96111</v>
          </cell>
        </row>
        <row r="1662">
          <cell r="B1662" t="str">
            <v>St James</v>
          </cell>
          <cell r="C1662">
            <v>91032</v>
          </cell>
        </row>
        <row r="1663">
          <cell r="B1663" t="str">
            <v>St Pauls</v>
          </cell>
          <cell r="C1663">
            <v>97831</v>
          </cell>
        </row>
        <row r="1664">
          <cell r="B1664" t="str">
            <v>St Paul'S Brd Of Alcoholic Ctl</v>
          </cell>
          <cell r="C1664">
            <v>97837</v>
          </cell>
        </row>
        <row r="1665">
          <cell r="B1665" t="str">
            <v>Stallings</v>
          </cell>
          <cell r="C1665">
            <v>96061</v>
          </cell>
        </row>
        <row r="1666">
          <cell r="B1666" t="str">
            <v>Stanfield</v>
          </cell>
          <cell r="C1666">
            <v>98481</v>
          </cell>
        </row>
        <row r="1667">
          <cell r="B1667" t="str">
            <v>Stanley</v>
          </cell>
          <cell r="C1667">
            <v>93602</v>
          </cell>
        </row>
        <row r="1668">
          <cell r="B1668" t="str">
            <v>Stanly County</v>
          </cell>
          <cell r="C1668">
            <v>98401</v>
          </cell>
        </row>
        <row r="1669">
          <cell r="B1669" t="str">
            <v>Stantonsburg</v>
          </cell>
          <cell r="C1669">
            <v>99821</v>
          </cell>
        </row>
        <row r="1670">
          <cell r="B1670" t="str">
            <v>Star</v>
          </cell>
          <cell r="C1670">
            <v>96211</v>
          </cell>
        </row>
        <row r="1671">
          <cell r="B1671" t="str">
            <v>Statesville</v>
          </cell>
          <cell r="C1671">
            <v>94911</v>
          </cell>
        </row>
        <row r="1672">
          <cell r="B1672" t="str">
            <v>Statesville ABC Board</v>
          </cell>
          <cell r="C1672">
            <v>94917</v>
          </cell>
        </row>
        <row r="1673">
          <cell r="B1673" t="str">
            <v>Stedman</v>
          </cell>
          <cell r="C1673">
            <v>92621</v>
          </cell>
        </row>
        <row r="1674">
          <cell r="B1674" t="str">
            <v>Stokes County</v>
          </cell>
          <cell r="C1674">
            <v>98501</v>
          </cell>
        </row>
        <row r="1675">
          <cell r="B1675" t="str">
            <v>Stoneville</v>
          </cell>
          <cell r="C1675">
            <v>97931</v>
          </cell>
        </row>
        <row r="1676">
          <cell r="B1676" t="str">
            <v>Stovall</v>
          </cell>
          <cell r="C1676">
            <v>93914</v>
          </cell>
        </row>
        <row r="1677">
          <cell r="B1677" t="str">
            <v>Sugar Mountain</v>
          </cell>
          <cell r="C1677">
            <v>90651</v>
          </cell>
        </row>
        <row r="1678">
          <cell r="B1678" t="str">
            <v>Summerfield</v>
          </cell>
          <cell r="C1678">
            <v>94171</v>
          </cell>
        </row>
        <row r="1679">
          <cell r="B1679" t="str">
            <v>Summerfield Fire District</v>
          </cell>
          <cell r="C1679">
            <v>94172</v>
          </cell>
        </row>
        <row r="1680">
          <cell r="B1680" t="str">
            <v>Sunset Beach</v>
          </cell>
          <cell r="C1680">
            <v>91041</v>
          </cell>
        </row>
        <row r="1681">
          <cell r="B1681" t="str">
            <v>Sunset Beach ABC Board</v>
          </cell>
          <cell r="C1681">
            <v>91047</v>
          </cell>
        </row>
        <row r="1682">
          <cell r="B1682" t="str">
            <v>Surf City</v>
          </cell>
          <cell r="C1682">
            <v>97131</v>
          </cell>
        </row>
        <row r="1683">
          <cell r="B1683" t="str">
            <v>Surry County</v>
          </cell>
          <cell r="C1683">
            <v>98601</v>
          </cell>
        </row>
        <row r="1684">
          <cell r="B1684" t="str">
            <v>Swain County</v>
          </cell>
          <cell r="C1684">
            <v>98701</v>
          </cell>
        </row>
        <row r="1685">
          <cell r="B1685" t="str">
            <v>Swansboro</v>
          </cell>
          <cell r="C1685">
            <v>96721</v>
          </cell>
        </row>
        <row r="1686">
          <cell r="B1686" t="str">
            <v>Sylva</v>
          </cell>
          <cell r="C1686">
            <v>95011</v>
          </cell>
        </row>
        <row r="1687">
          <cell r="B1687" t="str">
            <v>Tabor City</v>
          </cell>
          <cell r="C1687">
            <v>92451</v>
          </cell>
        </row>
        <row r="1688">
          <cell r="B1688" t="str">
            <v>Tarboro</v>
          </cell>
          <cell r="C1688">
            <v>93311</v>
          </cell>
        </row>
        <row r="1689">
          <cell r="B1689" t="str">
            <v>Tarboro Redevelopment Commission</v>
          </cell>
          <cell r="C1689">
            <v>93317</v>
          </cell>
        </row>
        <row r="1690">
          <cell r="B1690" t="str">
            <v>Taylorsville</v>
          </cell>
          <cell r="C1690">
            <v>90211</v>
          </cell>
        </row>
        <row r="1691">
          <cell r="B1691" t="str">
            <v>Taylortown</v>
          </cell>
          <cell r="C1691">
            <v>96302</v>
          </cell>
        </row>
        <row r="1692">
          <cell r="B1692" t="str">
            <v>Teachey</v>
          </cell>
          <cell r="C1692">
            <v>93181</v>
          </cell>
        </row>
        <row r="1693">
          <cell r="B1693" t="str">
            <v>Thomasville</v>
          </cell>
          <cell r="C1693">
            <v>92911</v>
          </cell>
        </row>
        <row r="1694">
          <cell r="B1694" t="str">
            <v>Thomasville ABC Board</v>
          </cell>
          <cell r="C1694">
            <v>92914</v>
          </cell>
        </row>
        <row r="1695">
          <cell r="B1695" t="str">
            <v>Thomasville Housing Authority</v>
          </cell>
          <cell r="C1695">
            <v>92913</v>
          </cell>
        </row>
        <row r="1696">
          <cell r="B1696" t="str">
            <v>Tobaccoville</v>
          </cell>
          <cell r="C1696">
            <v>93471</v>
          </cell>
        </row>
        <row r="1697">
          <cell r="B1697" t="str">
            <v>Toe River Health District</v>
          </cell>
          <cell r="C1697">
            <v>90098</v>
          </cell>
        </row>
        <row r="1698">
          <cell r="B1698" t="str">
            <v>Topsail Beach</v>
          </cell>
          <cell r="C1698">
            <v>97121</v>
          </cell>
        </row>
        <row r="1699">
          <cell r="B1699" t="str">
            <v>Transylvania County</v>
          </cell>
          <cell r="C1699">
            <v>98801</v>
          </cell>
        </row>
        <row r="1700">
          <cell r="B1700" t="str">
            <v>Trent Woods</v>
          </cell>
          <cell r="C1700">
            <v>92521</v>
          </cell>
        </row>
        <row r="1701">
          <cell r="B1701" t="str">
            <v>Triad Municipal ABC Board</v>
          </cell>
          <cell r="C1701">
            <v>93417</v>
          </cell>
        </row>
        <row r="1702">
          <cell r="B1702" t="str">
            <v>Triangle J Council Of Governments</v>
          </cell>
          <cell r="C1702">
            <v>93219</v>
          </cell>
        </row>
        <row r="1703">
          <cell r="B1703" t="str">
            <v>Trillium Health Resources</v>
          </cell>
          <cell r="C1703">
            <v>92513</v>
          </cell>
        </row>
        <row r="1704">
          <cell r="B1704" t="str">
            <v>Trinity</v>
          </cell>
          <cell r="C1704">
            <v>97661</v>
          </cell>
        </row>
        <row r="1705">
          <cell r="B1705" t="str">
            <v>Troutman</v>
          </cell>
          <cell r="C1705">
            <v>94931</v>
          </cell>
        </row>
        <row r="1706">
          <cell r="B1706" t="str">
            <v>Troy</v>
          </cell>
          <cell r="C1706">
            <v>96221</v>
          </cell>
        </row>
        <row r="1707">
          <cell r="B1707" t="str">
            <v>Tryon</v>
          </cell>
          <cell r="C1707">
            <v>97511</v>
          </cell>
        </row>
        <row r="1708">
          <cell r="B1708" t="str">
            <v>Tuckaseigee Water Authority</v>
          </cell>
          <cell r="C1708">
            <v>95002</v>
          </cell>
        </row>
        <row r="1709">
          <cell r="B1709" t="str">
            <v>Turkey</v>
          </cell>
          <cell r="C1709">
            <v>98251</v>
          </cell>
        </row>
        <row r="1710">
          <cell r="B1710" t="str">
            <v>Tyrrell Co ABC Board</v>
          </cell>
          <cell r="C1710">
            <v>98904</v>
          </cell>
        </row>
        <row r="1711">
          <cell r="B1711" t="str">
            <v>Tyrrell County</v>
          </cell>
          <cell r="C1711">
            <v>98901</v>
          </cell>
        </row>
        <row r="1712">
          <cell r="B1712" t="str">
            <v>Union County</v>
          </cell>
          <cell r="C1712">
            <v>99001</v>
          </cell>
        </row>
        <row r="1713">
          <cell r="B1713" t="str">
            <v>Unionville</v>
          </cell>
          <cell r="C1713">
            <v>99061</v>
          </cell>
        </row>
        <row r="1714">
          <cell r="B1714" t="str">
            <v>Upper Coastal Plain Council Of Governments</v>
          </cell>
          <cell r="C1714">
            <v>93309</v>
          </cell>
        </row>
        <row r="1715">
          <cell r="B1715" t="str">
            <v>Valdese</v>
          </cell>
          <cell r="C1715">
            <v>91211</v>
          </cell>
        </row>
        <row r="1716">
          <cell r="B1716" t="str">
            <v>Valdese Housing Authority</v>
          </cell>
          <cell r="C1716">
            <v>91213</v>
          </cell>
        </row>
        <row r="1717">
          <cell r="B1717" t="str">
            <v>Vance County</v>
          </cell>
          <cell r="C1717">
            <v>99101</v>
          </cell>
        </row>
        <row r="1718">
          <cell r="B1718" t="str">
            <v>Vance County ABC Bd</v>
          </cell>
          <cell r="C1718">
            <v>99104</v>
          </cell>
        </row>
        <row r="1719">
          <cell r="B1719" t="str">
            <v>Vanceboro</v>
          </cell>
          <cell r="C1719">
            <v>92551</v>
          </cell>
        </row>
        <row r="1720">
          <cell r="B1720" t="str">
            <v>Vass</v>
          </cell>
          <cell r="C1720">
            <v>96321</v>
          </cell>
        </row>
        <row r="1721">
          <cell r="B1721" t="str">
            <v>Vaya Health</v>
          </cell>
          <cell r="C1721">
            <v>95009</v>
          </cell>
        </row>
        <row r="1722">
          <cell r="B1722" t="str">
            <v>Wade</v>
          </cell>
          <cell r="C1722">
            <v>92641</v>
          </cell>
        </row>
        <row r="1723">
          <cell r="B1723" t="str">
            <v>Wadesboro</v>
          </cell>
          <cell r="C1723">
            <v>90411</v>
          </cell>
        </row>
        <row r="1724">
          <cell r="B1724" t="str">
            <v>Wadesboro ABC Board</v>
          </cell>
          <cell r="C1724">
            <v>90417</v>
          </cell>
        </row>
        <row r="1725">
          <cell r="B1725" t="str">
            <v>Wadesboro Housing Authority</v>
          </cell>
          <cell r="C1725">
            <v>90413</v>
          </cell>
        </row>
        <row r="1726">
          <cell r="B1726" t="str">
            <v>Wagram</v>
          </cell>
          <cell r="C1726">
            <v>98321</v>
          </cell>
        </row>
        <row r="1727">
          <cell r="B1727" t="str">
            <v>Wake County</v>
          </cell>
          <cell r="C1727">
            <v>99201</v>
          </cell>
        </row>
        <row r="1728">
          <cell r="B1728" t="str">
            <v>Wake County ABC Board</v>
          </cell>
          <cell r="C1728">
            <v>99204</v>
          </cell>
        </row>
        <row r="1729">
          <cell r="B1729" t="str">
            <v>Wake County Housing Authority</v>
          </cell>
          <cell r="C1729">
            <v>99207</v>
          </cell>
        </row>
        <row r="1730">
          <cell r="B1730" t="str">
            <v>Wake Forest</v>
          </cell>
          <cell r="C1730">
            <v>99281</v>
          </cell>
        </row>
        <row r="1731">
          <cell r="B1731" t="str">
            <v>Walkertown</v>
          </cell>
          <cell r="C1731">
            <v>93461</v>
          </cell>
        </row>
        <row r="1732">
          <cell r="B1732" t="str">
            <v>Wallace</v>
          </cell>
          <cell r="C1732">
            <v>93151</v>
          </cell>
        </row>
        <row r="1733">
          <cell r="B1733" t="str">
            <v>Wallace ABC Bd</v>
          </cell>
          <cell r="C1733">
            <v>93157</v>
          </cell>
        </row>
        <row r="1734">
          <cell r="B1734" t="str">
            <v>Walnut Cove</v>
          </cell>
          <cell r="C1734">
            <v>98511</v>
          </cell>
        </row>
        <row r="1735">
          <cell r="B1735" t="str">
            <v>Walnut Cove ABC Board</v>
          </cell>
          <cell r="C1735">
            <v>98517</v>
          </cell>
        </row>
        <row r="1736">
          <cell r="B1736" t="str">
            <v>Walnut Creek</v>
          </cell>
          <cell r="C1736">
            <v>99661</v>
          </cell>
        </row>
        <row r="1737">
          <cell r="B1737" t="str">
            <v>Walstonburg</v>
          </cell>
          <cell r="C1737">
            <v>94031</v>
          </cell>
        </row>
        <row r="1738">
          <cell r="B1738" t="str">
            <v>Warren County</v>
          </cell>
          <cell r="C1738">
            <v>99301</v>
          </cell>
        </row>
        <row r="1739">
          <cell r="B1739" t="str">
            <v>Warren County ABC Board</v>
          </cell>
          <cell r="C1739">
            <v>99304</v>
          </cell>
        </row>
        <row r="1740">
          <cell r="B1740" t="str">
            <v>Warrenton</v>
          </cell>
          <cell r="C1740">
            <v>99321</v>
          </cell>
        </row>
        <row r="1741">
          <cell r="B1741" t="str">
            <v>Warsaw</v>
          </cell>
          <cell r="C1741">
            <v>93131</v>
          </cell>
        </row>
        <row r="1742">
          <cell r="B1742" t="str">
            <v>Warsaw ABC Board</v>
          </cell>
          <cell r="C1742">
            <v>93137</v>
          </cell>
        </row>
        <row r="1743">
          <cell r="B1743" t="str">
            <v>Washington</v>
          </cell>
          <cell r="C1743">
            <v>90711</v>
          </cell>
        </row>
        <row r="1744">
          <cell r="B1744" t="str">
            <v>Washington County</v>
          </cell>
          <cell r="C1744">
            <v>99401</v>
          </cell>
        </row>
        <row r="1745">
          <cell r="B1745" t="str">
            <v>Washington County ABC Board</v>
          </cell>
          <cell r="C1745">
            <v>99404</v>
          </cell>
        </row>
        <row r="1746">
          <cell r="B1746" t="str">
            <v>Washington Park</v>
          </cell>
          <cell r="C1746">
            <v>90741</v>
          </cell>
        </row>
        <row r="1747">
          <cell r="B1747" t="str">
            <v>Watauga County</v>
          </cell>
          <cell r="C1747">
            <v>99501</v>
          </cell>
        </row>
        <row r="1748">
          <cell r="B1748" t="str">
            <v>Watauga County District U Tda</v>
          </cell>
          <cell r="C1748">
            <v>99509</v>
          </cell>
        </row>
        <row r="1749">
          <cell r="B1749" t="str">
            <v>Water &amp; Sewer Auth Of Cabarrus Cnty</v>
          </cell>
          <cell r="C1749">
            <v>91302</v>
          </cell>
        </row>
        <row r="1750">
          <cell r="B1750" t="str">
            <v>Waxhaw</v>
          </cell>
          <cell r="C1750">
            <v>99041</v>
          </cell>
        </row>
        <row r="1751">
          <cell r="B1751" t="str">
            <v>Waxhaw ABC Board</v>
          </cell>
          <cell r="C1751">
            <v>99047</v>
          </cell>
        </row>
        <row r="1752">
          <cell r="B1752" t="str">
            <v>Wayne County</v>
          </cell>
          <cell r="C1752">
            <v>99601</v>
          </cell>
        </row>
        <row r="1753">
          <cell r="B1753" t="str">
            <v>Wayne County ABC Board</v>
          </cell>
          <cell r="C1753">
            <v>99604</v>
          </cell>
        </row>
        <row r="1754">
          <cell r="B1754" t="str">
            <v>Waynesville</v>
          </cell>
          <cell r="C1754">
            <v>94411</v>
          </cell>
        </row>
        <row r="1755">
          <cell r="B1755" t="str">
            <v>Waynesville ABC Board</v>
          </cell>
          <cell r="C1755">
            <v>94412</v>
          </cell>
        </row>
        <row r="1756">
          <cell r="B1756" t="str">
            <v>Weaverville</v>
          </cell>
          <cell r="C1756">
            <v>91141</v>
          </cell>
        </row>
        <row r="1757">
          <cell r="B1757" t="str">
            <v>Weaverville ABC Board</v>
          </cell>
          <cell r="C1757">
            <v>91147</v>
          </cell>
        </row>
        <row r="1758">
          <cell r="B1758" t="str">
            <v>Weddington</v>
          </cell>
          <cell r="C1758">
            <v>99071</v>
          </cell>
        </row>
        <row r="1759">
          <cell r="B1759" t="str">
            <v>Weldon</v>
          </cell>
          <cell r="C1759">
            <v>94231</v>
          </cell>
        </row>
        <row r="1760">
          <cell r="B1760" t="str">
            <v>Wendell</v>
          </cell>
          <cell r="C1760">
            <v>99231</v>
          </cell>
        </row>
        <row r="1761">
          <cell r="B1761" t="str">
            <v>Wesley Chapel</v>
          </cell>
          <cell r="C1761">
            <v>99091</v>
          </cell>
        </row>
        <row r="1762">
          <cell r="B1762" t="str">
            <v>West Buncombe Fire Dept</v>
          </cell>
          <cell r="C1762">
            <v>91120</v>
          </cell>
        </row>
        <row r="1763">
          <cell r="B1763" t="str">
            <v>West Columbus ABC Board</v>
          </cell>
          <cell r="C1763">
            <v>92444</v>
          </cell>
        </row>
        <row r="1764">
          <cell r="B1764" t="str">
            <v>West Jefferson</v>
          </cell>
          <cell r="C1764">
            <v>90521</v>
          </cell>
        </row>
        <row r="1765">
          <cell r="B1765" t="str">
            <v>West Jefferson ABC Board</v>
          </cell>
          <cell r="C1765">
            <v>90507</v>
          </cell>
        </row>
        <row r="1766">
          <cell r="B1766" t="str">
            <v>Westarea Volunteer Fire Dept</v>
          </cell>
          <cell r="C1766">
            <v>92602</v>
          </cell>
        </row>
        <row r="1767">
          <cell r="B1767" t="str">
            <v>Western Carteret Interlocal Cooperation Agency</v>
          </cell>
          <cell r="C1767">
            <v>91608</v>
          </cell>
        </row>
        <row r="1768">
          <cell r="B1768" t="str">
            <v>Western Highland Area Authority</v>
          </cell>
          <cell r="C1768">
            <v>91119</v>
          </cell>
        </row>
        <row r="1769">
          <cell r="B1769" t="str">
            <v>Western Nc Regional Air Quality</v>
          </cell>
          <cell r="C1769">
            <v>91107</v>
          </cell>
        </row>
        <row r="1770">
          <cell r="B1770" t="str">
            <v>Western Piedmont Council Of Gvmts</v>
          </cell>
          <cell r="C1770">
            <v>91818</v>
          </cell>
        </row>
        <row r="1771">
          <cell r="B1771" t="str">
            <v>Western Piedmont Regional Transit Authority</v>
          </cell>
          <cell r="C1771">
            <v>91819</v>
          </cell>
        </row>
        <row r="1772">
          <cell r="B1772" t="str">
            <v>Whispering Pines</v>
          </cell>
          <cell r="C1772">
            <v>96371</v>
          </cell>
        </row>
        <row r="1773">
          <cell r="B1773" t="str">
            <v>Whitakers</v>
          </cell>
          <cell r="C1773">
            <v>96441</v>
          </cell>
        </row>
        <row r="1774">
          <cell r="B1774" t="str">
            <v>White Lake</v>
          </cell>
          <cell r="C1774">
            <v>90921</v>
          </cell>
        </row>
        <row r="1775">
          <cell r="B1775" t="str">
            <v>Whiteville</v>
          </cell>
          <cell r="C1775">
            <v>92411</v>
          </cell>
        </row>
        <row r="1776">
          <cell r="B1776" t="str">
            <v>Whiteville ABC Board</v>
          </cell>
          <cell r="C1776">
            <v>92417</v>
          </cell>
        </row>
        <row r="1777">
          <cell r="B1777" t="str">
            <v>Whiteville Housing Authority</v>
          </cell>
          <cell r="C1777">
            <v>92403</v>
          </cell>
        </row>
        <row r="1778">
          <cell r="B1778" t="str">
            <v>Wilkes County</v>
          </cell>
          <cell r="C1778">
            <v>99701</v>
          </cell>
        </row>
        <row r="1779">
          <cell r="B1779" t="str">
            <v>Wilkesboro</v>
          </cell>
          <cell r="C1779">
            <v>99721</v>
          </cell>
        </row>
        <row r="1780">
          <cell r="B1780" t="str">
            <v>Wilkesboro ABC Board</v>
          </cell>
          <cell r="C1780">
            <v>99727</v>
          </cell>
        </row>
        <row r="1781">
          <cell r="B1781" t="str">
            <v>Williamston</v>
          </cell>
          <cell r="C1781">
            <v>95811</v>
          </cell>
        </row>
        <row r="1782">
          <cell r="B1782" t="str">
            <v>Williamston Housing Authority</v>
          </cell>
          <cell r="C1782">
            <v>95813</v>
          </cell>
        </row>
        <row r="1783">
          <cell r="B1783" t="str">
            <v>Wilmington</v>
          </cell>
          <cell r="C1783">
            <v>96531</v>
          </cell>
        </row>
        <row r="1784">
          <cell r="B1784" t="str">
            <v>Wilmington Housing Authority</v>
          </cell>
          <cell r="C1784">
            <v>96503</v>
          </cell>
        </row>
        <row r="1785">
          <cell r="B1785" t="str">
            <v>Wilson</v>
          </cell>
          <cell r="C1785">
            <v>99811</v>
          </cell>
        </row>
        <row r="1786">
          <cell r="B1786" t="str">
            <v>Wilson Cemetery Commission</v>
          </cell>
          <cell r="C1786">
            <v>99818</v>
          </cell>
        </row>
        <row r="1787">
          <cell r="B1787" t="str">
            <v>Wilson County</v>
          </cell>
          <cell r="C1787">
            <v>99801</v>
          </cell>
        </row>
        <row r="1788">
          <cell r="B1788" t="str">
            <v>Wilson County ABC Board</v>
          </cell>
          <cell r="C1788">
            <v>99804</v>
          </cell>
        </row>
        <row r="1789">
          <cell r="B1789" t="str">
            <v>Wilson County Tourism Development Auth</v>
          </cell>
          <cell r="C1789">
            <v>99802</v>
          </cell>
        </row>
        <row r="1790">
          <cell r="B1790" t="str">
            <v>Wilson Economic Dev Council</v>
          </cell>
          <cell r="C1790">
            <v>99812</v>
          </cell>
        </row>
        <row r="1791">
          <cell r="B1791" t="str">
            <v>Wilson'S Mills</v>
          </cell>
          <cell r="C1791">
            <v>95191</v>
          </cell>
        </row>
        <row r="1792">
          <cell r="B1792" t="str">
            <v>Windsor</v>
          </cell>
          <cell r="C1792">
            <v>90812</v>
          </cell>
        </row>
        <row r="1793">
          <cell r="B1793" t="str">
            <v>Winfall</v>
          </cell>
          <cell r="C1793">
            <v>97221</v>
          </cell>
        </row>
        <row r="1794">
          <cell r="B1794" t="str">
            <v>Wingate</v>
          </cell>
          <cell r="C1794">
            <v>99031</v>
          </cell>
        </row>
        <row r="1795">
          <cell r="B1795" t="str">
            <v>Winston-Salem</v>
          </cell>
          <cell r="C1795">
            <v>93411</v>
          </cell>
        </row>
        <row r="1796">
          <cell r="B1796" t="str">
            <v>Winston-Salem Housing Authority</v>
          </cell>
          <cell r="C1796">
            <v>93413</v>
          </cell>
        </row>
        <row r="1797">
          <cell r="B1797" t="str">
            <v>Winterville</v>
          </cell>
          <cell r="C1797">
            <v>97451</v>
          </cell>
        </row>
        <row r="1798">
          <cell r="B1798" t="str">
            <v>Winton</v>
          </cell>
          <cell r="C1798">
            <v>94631</v>
          </cell>
        </row>
        <row r="1799">
          <cell r="B1799" t="str">
            <v>Woodfin</v>
          </cell>
          <cell r="C1799">
            <v>91171</v>
          </cell>
        </row>
        <row r="1800">
          <cell r="B1800" t="str">
            <v>Woodfin ABC Commission</v>
          </cell>
          <cell r="C1800">
            <v>91104</v>
          </cell>
        </row>
        <row r="1801">
          <cell r="B1801" t="str">
            <v>Woodfin Sanitary Water And Sewer Dist</v>
          </cell>
          <cell r="C1801">
            <v>91109</v>
          </cell>
        </row>
        <row r="1802">
          <cell r="B1802" t="str">
            <v>Woodland</v>
          </cell>
          <cell r="C1802">
            <v>96621</v>
          </cell>
        </row>
        <row r="1803">
          <cell r="B1803" t="str">
            <v>Wrightsville Beach</v>
          </cell>
          <cell r="C1803">
            <v>96511</v>
          </cell>
        </row>
        <row r="1804">
          <cell r="B1804" t="str">
            <v>Yadkin County</v>
          </cell>
          <cell r="C1804">
            <v>99901</v>
          </cell>
        </row>
        <row r="1805">
          <cell r="B1805" t="str">
            <v>Yadkin Valley ABC Board</v>
          </cell>
          <cell r="C1805">
            <v>98604</v>
          </cell>
        </row>
        <row r="1806">
          <cell r="B1806" t="str">
            <v>Yadkin Valley Sewer Authority</v>
          </cell>
          <cell r="C1806">
            <v>98608</v>
          </cell>
        </row>
        <row r="1807">
          <cell r="B1807" t="str">
            <v>Yadkinville</v>
          </cell>
          <cell r="C1807">
            <v>99911</v>
          </cell>
        </row>
        <row r="1808">
          <cell r="B1808" t="str">
            <v>Yancey County</v>
          </cell>
          <cell r="C1808">
            <v>90001</v>
          </cell>
        </row>
        <row r="1809">
          <cell r="B1809" t="str">
            <v>Yancey Soil &amp; Water Cons</v>
          </cell>
          <cell r="C1809">
            <v>90002</v>
          </cell>
        </row>
        <row r="1810">
          <cell r="B1810" t="str">
            <v>Yanceyville</v>
          </cell>
          <cell r="C1810">
            <v>91719</v>
          </cell>
        </row>
        <row r="1811">
          <cell r="B1811" t="str">
            <v>Youngsville</v>
          </cell>
          <cell r="C1811">
            <v>93541</v>
          </cell>
        </row>
        <row r="1812">
          <cell r="B1812" t="str">
            <v>Zebulon</v>
          </cell>
          <cell r="C1812">
            <v>99241</v>
          </cell>
        </row>
        <row r="1813">
          <cell r="B1813" t="str">
            <v>Carolina County</v>
          </cell>
          <cell r="C1813" t="str">
            <v>9xxxy</v>
          </cell>
        </row>
      </sheetData>
      <sheetData sheetId="21"/>
      <sheetData sheetId="22">
        <row r="1">
          <cell r="A1" t="str">
            <v>Agency Num</v>
          </cell>
          <cell r="B1" t="str">
            <v>Agency Name</v>
          </cell>
          <cell r="C1" t="str">
            <v>FY 2018 Total Contributions</v>
          </cell>
          <cell r="D1" t="str">
            <v>(Normal Contributions, Plus Liability Contributions, net of Court Costs Offsets)</v>
          </cell>
        </row>
        <row r="2">
          <cell r="A2" t="str">
            <v>N/A</v>
          </cell>
          <cell r="B2" t="str">
            <v>No additional agency chosen</v>
          </cell>
          <cell r="C2">
            <v>0</v>
          </cell>
        </row>
        <row r="3">
          <cell r="A3">
            <v>70505</v>
          </cell>
          <cell r="B3" t="str">
            <v>THE EASTERN BAND OF CHEROKEE INDIANS</v>
          </cell>
          <cell r="C3">
            <v>199598.36</v>
          </cell>
        </row>
        <row r="4">
          <cell r="A4">
            <v>72265</v>
          </cell>
          <cell r="B4" t="str">
            <v>PIEDMONT TRIAD AIRPORT AUTHORITY</v>
          </cell>
          <cell r="C4">
            <v>73112.03</v>
          </cell>
        </row>
        <row r="5">
          <cell r="A5">
            <v>72593</v>
          </cell>
          <cell r="B5" t="str">
            <v>TOWN OF SEAGROVE</v>
          </cell>
          <cell r="C5">
            <v>2108.59</v>
          </cell>
        </row>
        <row r="6">
          <cell r="A6">
            <v>72657</v>
          </cell>
          <cell r="B6" t="str">
            <v>TOWN OF SPARTA</v>
          </cell>
          <cell r="C6">
            <v>17248.68</v>
          </cell>
        </row>
        <row r="7">
          <cell r="A7">
            <v>90001</v>
          </cell>
          <cell r="B7" t="str">
            <v>YANCEY COUNTY</v>
          </cell>
          <cell r="C7">
            <v>422349.86</v>
          </cell>
        </row>
        <row r="8">
          <cell r="A8">
            <v>90002</v>
          </cell>
          <cell r="B8" t="str">
            <v>YANCEY SOIL &amp; WATER CONS</v>
          </cell>
          <cell r="C8">
            <v>6507.44</v>
          </cell>
        </row>
        <row r="9">
          <cell r="A9">
            <v>90011</v>
          </cell>
          <cell r="B9" t="str">
            <v>TOWN OF BURNSVILLE</v>
          </cell>
          <cell r="C9">
            <v>89505.7</v>
          </cell>
        </row>
        <row r="10">
          <cell r="A10">
            <v>90092</v>
          </cell>
          <cell r="B10" t="str">
            <v>MARTIN-TYRRELL-WASHINGTON DIST HEALTH DEPT</v>
          </cell>
          <cell r="C10">
            <v>190866.47</v>
          </cell>
        </row>
        <row r="11">
          <cell r="A11">
            <v>90096</v>
          </cell>
          <cell r="B11" t="str">
            <v>ALBEMARLE REGIONAL HEALTH SERVICES</v>
          </cell>
          <cell r="C11">
            <v>544431.76</v>
          </cell>
        </row>
        <row r="12">
          <cell r="A12">
            <v>90098</v>
          </cell>
          <cell r="B12" t="str">
            <v>TOE RIVER HEALTH DISTRICT</v>
          </cell>
          <cell r="C12">
            <v>156011.64000000001</v>
          </cell>
        </row>
        <row r="13">
          <cell r="A13">
            <v>90099</v>
          </cell>
          <cell r="B13" t="str">
            <v>APPALACHIAN DISTRICT HEALTH DEPT</v>
          </cell>
          <cell r="C13">
            <v>309544.28000000003</v>
          </cell>
        </row>
        <row r="14">
          <cell r="A14">
            <v>90101</v>
          </cell>
          <cell r="B14" t="str">
            <v>ALAMANCE COUNTY</v>
          </cell>
          <cell r="C14">
            <v>3133228.39</v>
          </cell>
        </row>
        <row r="15">
          <cell r="A15">
            <v>90111</v>
          </cell>
          <cell r="B15" t="str">
            <v>CITY OF BURLINGTON</v>
          </cell>
          <cell r="C15">
            <v>2405333.15</v>
          </cell>
        </row>
        <row r="16">
          <cell r="A16">
            <v>90114</v>
          </cell>
          <cell r="B16" t="str">
            <v>CITY OF MEBANE</v>
          </cell>
          <cell r="C16">
            <v>1198986.54</v>
          </cell>
        </row>
        <row r="17">
          <cell r="A17">
            <v>90117</v>
          </cell>
          <cell r="B17" t="str">
            <v>ALAMANCE MUNICIPAL ABC BOARD</v>
          </cell>
          <cell r="C17">
            <v>88275.02</v>
          </cell>
        </row>
        <row r="18">
          <cell r="A18">
            <v>90121</v>
          </cell>
          <cell r="B18" t="str">
            <v>CITY OF GRAHAM</v>
          </cell>
          <cell r="C18">
            <v>462400.57</v>
          </cell>
        </row>
        <row r="19">
          <cell r="A19">
            <v>90131</v>
          </cell>
          <cell r="B19" t="str">
            <v>TOWN OF ELON</v>
          </cell>
          <cell r="C19">
            <v>219611.64</v>
          </cell>
        </row>
        <row r="20">
          <cell r="A20">
            <v>90141</v>
          </cell>
          <cell r="B20" t="str">
            <v>TOWN OF HAW RIVER</v>
          </cell>
          <cell r="C20">
            <v>68863.360000000001</v>
          </cell>
        </row>
        <row r="21">
          <cell r="A21">
            <v>90151</v>
          </cell>
          <cell r="B21" t="str">
            <v>VILLAGE OF ALAMANCE</v>
          </cell>
          <cell r="C21">
            <v>3287.64</v>
          </cell>
        </row>
        <row r="22">
          <cell r="A22">
            <v>90161</v>
          </cell>
          <cell r="B22" t="str">
            <v>TOWN OF GREEN LEVEL</v>
          </cell>
          <cell r="C22">
            <v>16093.92</v>
          </cell>
        </row>
        <row r="23">
          <cell r="A23">
            <v>90201</v>
          </cell>
          <cell r="B23" t="str">
            <v>ALEXANDER COUNTY</v>
          </cell>
          <cell r="C23">
            <v>578316.75</v>
          </cell>
        </row>
        <row r="24">
          <cell r="A24">
            <v>90203</v>
          </cell>
          <cell r="B24" t="str">
            <v>ALEXANDER COUNTY HEALTH DEPT</v>
          </cell>
          <cell r="C24">
            <v>101603.37</v>
          </cell>
        </row>
        <row r="25">
          <cell r="A25">
            <v>90205</v>
          </cell>
          <cell r="B25" t="str">
            <v>ALEXANDER COUNTY PUBLIC LIBRARY</v>
          </cell>
          <cell r="C25">
            <v>16633.099999999999</v>
          </cell>
        </row>
        <row r="26">
          <cell r="A26">
            <v>90206</v>
          </cell>
          <cell r="B26" t="str">
            <v>ALEXANDER COUNTY DEPT OF S S</v>
          </cell>
          <cell r="C26">
            <v>199183.31</v>
          </cell>
        </row>
        <row r="27">
          <cell r="A27">
            <v>90211</v>
          </cell>
          <cell r="B27" t="str">
            <v>TOWN OF TAYLORSVILLE</v>
          </cell>
          <cell r="C27">
            <v>79199.97</v>
          </cell>
        </row>
        <row r="28">
          <cell r="A28">
            <v>90301</v>
          </cell>
          <cell r="B28" t="str">
            <v>ALLEGHANY COUNTY</v>
          </cell>
          <cell r="C28">
            <v>305923.24</v>
          </cell>
        </row>
        <row r="29">
          <cell r="A29">
            <v>90305</v>
          </cell>
          <cell r="B29" t="str">
            <v>NORTHWESTERN REGIONAL LIBRARY</v>
          </cell>
          <cell r="C29">
            <v>86244.7</v>
          </cell>
        </row>
        <row r="30">
          <cell r="A30">
            <v>90307</v>
          </cell>
          <cell r="B30" t="str">
            <v>TOWN OF SPARTA ABC BOARD</v>
          </cell>
          <cell r="C30">
            <v>4263.08</v>
          </cell>
        </row>
        <row r="31">
          <cell r="A31">
            <v>90401</v>
          </cell>
          <cell r="B31" t="str">
            <v>ANSON COUNTY</v>
          </cell>
          <cell r="C31">
            <v>665185.52</v>
          </cell>
        </row>
        <row r="32">
          <cell r="A32">
            <v>90411</v>
          </cell>
          <cell r="B32" t="str">
            <v>TOWN OF WADESBORO</v>
          </cell>
          <cell r="C32">
            <v>159556.95000000001</v>
          </cell>
        </row>
        <row r="33">
          <cell r="A33">
            <v>90413</v>
          </cell>
          <cell r="B33" t="str">
            <v>WADESBORO HOUSING AUTHORITY</v>
          </cell>
          <cell r="C33">
            <v>19071.849999999999</v>
          </cell>
        </row>
        <row r="34">
          <cell r="A34">
            <v>90417</v>
          </cell>
          <cell r="B34" t="str">
            <v>WADESBORO ABC BOARD</v>
          </cell>
          <cell r="C34">
            <v>8909.31</v>
          </cell>
        </row>
        <row r="35">
          <cell r="A35">
            <v>90421</v>
          </cell>
          <cell r="B35" t="str">
            <v>TOWN OF LILESVILLE</v>
          </cell>
          <cell r="C35">
            <v>8994.9</v>
          </cell>
        </row>
        <row r="36">
          <cell r="A36">
            <v>90431</v>
          </cell>
          <cell r="B36" t="str">
            <v>TOWN OF POLKTON</v>
          </cell>
          <cell r="C36">
            <v>23132.46</v>
          </cell>
        </row>
        <row r="37">
          <cell r="A37">
            <v>90441</v>
          </cell>
          <cell r="B37" t="str">
            <v>TOWN OF PEACHLAND</v>
          </cell>
          <cell r="C37">
            <v>5251.99</v>
          </cell>
        </row>
        <row r="38">
          <cell r="A38">
            <v>90451</v>
          </cell>
          <cell r="B38" t="str">
            <v>TOWN OF ANSONVILLE</v>
          </cell>
          <cell r="C38">
            <v>9876.26</v>
          </cell>
        </row>
        <row r="39">
          <cell r="A39">
            <v>90461</v>
          </cell>
          <cell r="B39" t="str">
            <v>TOWN OF MORVEN</v>
          </cell>
          <cell r="C39">
            <v>4462.04</v>
          </cell>
        </row>
        <row r="40">
          <cell r="A40">
            <v>90501</v>
          </cell>
          <cell r="B40" t="str">
            <v>ASHE COUNTY</v>
          </cell>
          <cell r="C40">
            <v>706559.67</v>
          </cell>
        </row>
        <row r="41">
          <cell r="A41">
            <v>90507</v>
          </cell>
          <cell r="B41" t="str">
            <v>WEST JEFFERSON ABC BOARD</v>
          </cell>
          <cell r="C41">
            <v>10999.19</v>
          </cell>
        </row>
        <row r="42">
          <cell r="A42">
            <v>90511</v>
          </cell>
          <cell r="B42" t="str">
            <v>TOWN OF JEFFERSON</v>
          </cell>
          <cell r="C42">
            <v>54677.3</v>
          </cell>
        </row>
        <row r="43">
          <cell r="A43">
            <v>90521</v>
          </cell>
          <cell r="B43" t="str">
            <v>TOWN OF WEST JEFFERSON</v>
          </cell>
          <cell r="C43">
            <v>56165.440000000002</v>
          </cell>
        </row>
        <row r="44">
          <cell r="A44">
            <v>90601</v>
          </cell>
          <cell r="B44" t="str">
            <v>AVERY COUNTY</v>
          </cell>
          <cell r="C44">
            <v>569631.02</v>
          </cell>
        </row>
        <row r="45">
          <cell r="A45">
            <v>90602</v>
          </cell>
          <cell r="B45" t="str">
            <v>AVERY COUNTY FIRE COMMISSION</v>
          </cell>
          <cell r="C45">
            <v>43992.959999999999</v>
          </cell>
        </row>
        <row r="46">
          <cell r="A46">
            <v>90605</v>
          </cell>
          <cell r="B46" t="str">
            <v>AVERY-MITCHELL-YANCEY REG LIBRARY</v>
          </cell>
          <cell r="C46">
            <v>27630.29</v>
          </cell>
        </row>
        <row r="47">
          <cell r="A47">
            <v>90611</v>
          </cell>
          <cell r="B47" t="str">
            <v>TOWN OF BANNER ELK</v>
          </cell>
          <cell r="C47">
            <v>65699.09</v>
          </cell>
        </row>
        <row r="48">
          <cell r="A48">
            <v>90617</v>
          </cell>
          <cell r="B48" t="str">
            <v>HIGH COUNTRY ABC BOARD</v>
          </cell>
          <cell r="C48">
            <v>14672.75</v>
          </cell>
        </row>
        <row r="49">
          <cell r="A49">
            <v>90621</v>
          </cell>
          <cell r="B49" t="str">
            <v>TOWN OF NEWLAND</v>
          </cell>
          <cell r="C49">
            <v>27186.65</v>
          </cell>
        </row>
        <row r="50">
          <cell r="A50">
            <v>90631</v>
          </cell>
          <cell r="B50" t="str">
            <v>TOWN OF BEECH MOUNTAIN</v>
          </cell>
          <cell r="C50">
            <v>183176.35</v>
          </cell>
        </row>
        <row r="51">
          <cell r="A51">
            <v>90641</v>
          </cell>
          <cell r="B51" t="str">
            <v>TOWN OF ELK PARK</v>
          </cell>
          <cell r="C51">
            <v>7183.64</v>
          </cell>
        </row>
        <row r="52">
          <cell r="A52">
            <v>90651</v>
          </cell>
          <cell r="B52" t="str">
            <v>VILLAGE OF SUGAR MOUNTAIN</v>
          </cell>
          <cell r="C52">
            <v>102653.54</v>
          </cell>
        </row>
        <row r="53">
          <cell r="A53">
            <v>90701</v>
          </cell>
          <cell r="B53" t="str">
            <v>BEAUFORT COUNTY</v>
          </cell>
          <cell r="C53">
            <v>1197981.55</v>
          </cell>
        </row>
        <row r="54">
          <cell r="A54">
            <v>90704</v>
          </cell>
          <cell r="B54" t="str">
            <v>BEAUFORT COUNTY ABC BOARD</v>
          </cell>
          <cell r="C54">
            <v>27041.13</v>
          </cell>
        </row>
        <row r="55">
          <cell r="A55">
            <v>90705</v>
          </cell>
          <cell r="B55" t="str">
            <v>B H M REGIONAL LIBRARY</v>
          </cell>
          <cell r="C55">
            <v>23511.61</v>
          </cell>
        </row>
        <row r="56">
          <cell r="A56">
            <v>90709</v>
          </cell>
          <cell r="B56" t="str">
            <v>MIDEAST COMMISSION</v>
          </cell>
          <cell r="C56">
            <v>93850.66</v>
          </cell>
        </row>
        <row r="57">
          <cell r="A57">
            <v>90711</v>
          </cell>
          <cell r="B57" t="str">
            <v>CITY OF WASHINGTON</v>
          </cell>
          <cell r="C57">
            <v>779300.72</v>
          </cell>
        </row>
        <row r="58">
          <cell r="A58">
            <v>90721</v>
          </cell>
          <cell r="B58" t="str">
            <v>TOWN OF AURORA</v>
          </cell>
          <cell r="C58">
            <v>14420.6</v>
          </cell>
        </row>
        <row r="59">
          <cell r="A59">
            <v>90731</v>
          </cell>
          <cell r="B59" t="str">
            <v>TOWN OF BELHAVEN</v>
          </cell>
          <cell r="C59">
            <v>79076.149999999994</v>
          </cell>
        </row>
        <row r="60">
          <cell r="A60">
            <v>90741</v>
          </cell>
          <cell r="B60" t="str">
            <v>TOWN OF WASHINGTON PARK</v>
          </cell>
          <cell r="C60">
            <v>7000.11</v>
          </cell>
        </row>
        <row r="61">
          <cell r="A61">
            <v>90751</v>
          </cell>
          <cell r="B61" t="str">
            <v>TOWN OF CHOCOWINITY</v>
          </cell>
          <cell r="C61">
            <v>32337.1</v>
          </cell>
        </row>
        <row r="62">
          <cell r="A62">
            <v>90801</v>
          </cell>
          <cell r="B62" t="str">
            <v>BERTIE COUNTY</v>
          </cell>
          <cell r="C62">
            <v>563452.01</v>
          </cell>
        </row>
        <row r="63">
          <cell r="A63">
            <v>90804</v>
          </cell>
          <cell r="B63" t="str">
            <v>BERTIE COUNTY ABC BOARD</v>
          </cell>
          <cell r="C63">
            <v>2846.16</v>
          </cell>
        </row>
        <row r="64">
          <cell r="A64">
            <v>90805</v>
          </cell>
          <cell r="B64" t="str">
            <v>ALBEMARLE REGIONAL LIBRARY</v>
          </cell>
          <cell r="C64">
            <v>40885.440000000002</v>
          </cell>
        </row>
        <row r="65">
          <cell r="A65">
            <v>90808</v>
          </cell>
          <cell r="B65" t="str">
            <v>BERTIE-MARTIN REGIONAL JAIL COMM</v>
          </cell>
          <cell r="C65">
            <v>59800.12</v>
          </cell>
        </row>
        <row r="66">
          <cell r="A66">
            <v>90811</v>
          </cell>
          <cell r="B66" t="str">
            <v>TOWN OF AULANDER</v>
          </cell>
          <cell r="C66">
            <v>11840</v>
          </cell>
        </row>
        <row r="67">
          <cell r="A67">
            <v>90812</v>
          </cell>
          <cell r="B67" t="str">
            <v>TOWN OF WINDSOR</v>
          </cell>
          <cell r="C67">
            <v>108049.17</v>
          </cell>
        </row>
        <row r="68">
          <cell r="A68">
            <v>90813</v>
          </cell>
          <cell r="B68" t="str">
            <v>TOWN OF COLERAIN</v>
          </cell>
          <cell r="C68">
            <v>2202.62</v>
          </cell>
        </row>
        <row r="69">
          <cell r="A69">
            <v>90861</v>
          </cell>
          <cell r="B69" t="str">
            <v>TOWN OF LEWISTON WOODVILLE</v>
          </cell>
          <cell r="C69">
            <v>6397.63</v>
          </cell>
        </row>
        <row r="70">
          <cell r="A70">
            <v>90901</v>
          </cell>
          <cell r="B70" t="str">
            <v>BLADEN COUNTY</v>
          </cell>
          <cell r="C70">
            <v>1076135.98</v>
          </cell>
        </row>
        <row r="71">
          <cell r="A71">
            <v>90911</v>
          </cell>
          <cell r="B71" t="str">
            <v>TOWN OF ELIZABETHTOWN</v>
          </cell>
          <cell r="C71">
            <v>172044.33</v>
          </cell>
        </row>
        <row r="72">
          <cell r="A72">
            <v>90917</v>
          </cell>
          <cell r="B72" t="str">
            <v>ELIZABETHTOWN ABC BOARD</v>
          </cell>
          <cell r="C72">
            <v>6378.08</v>
          </cell>
        </row>
        <row r="73">
          <cell r="A73">
            <v>90918</v>
          </cell>
          <cell r="B73" t="str">
            <v>SOUTH EASTERN ECONOMIC DEVELOPMENT COMM</v>
          </cell>
          <cell r="C73">
            <v>5036.16</v>
          </cell>
        </row>
        <row r="74">
          <cell r="A74">
            <v>90921</v>
          </cell>
          <cell r="B74" t="str">
            <v>TOWN OF WHITE LAKE</v>
          </cell>
          <cell r="C74">
            <v>62914.78</v>
          </cell>
        </row>
        <row r="75">
          <cell r="A75">
            <v>90931</v>
          </cell>
          <cell r="B75" t="str">
            <v>TOWN OF CLARKTON</v>
          </cell>
          <cell r="C75">
            <v>16352.75</v>
          </cell>
        </row>
        <row r="76">
          <cell r="A76">
            <v>90941</v>
          </cell>
          <cell r="B76" t="str">
            <v>TOWN OF BLADENBORO</v>
          </cell>
          <cell r="C76">
            <v>39056.300000000003</v>
          </cell>
        </row>
        <row r="77">
          <cell r="A77">
            <v>91001</v>
          </cell>
          <cell r="B77" t="str">
            <v>BRUNSWICK COUNTY</v>
          </cell>
          <cell r="C77">
            <v>3090374.08</v>
          </cell>
        </row>
        <row r="78">
          <cell r="A78">
            <v>91002</v>
          </cell>
          <cell r="B78" t="str">
            <v>TOWN OF LELAND</v>
          </cell>
          <cell r="C78">
            <v>407170.49</v>
          </cell>
        </row>
        <row r="79">
          <cell r="A79">
            <v>91003</v>
          </cell>
          <cell r="B79" t="str">
            <v>BRUNSWICK CO HEALTH DEPT</v>
          </cell>
          <cell r="C79">
            <v>270617.24</v>
          </cell>
        </row>
        <row r="80">
          <cell r="A80">
            <v>91004</v>
          </cell>
          <cell r="B80" t="str">
            <v>BRUNSWICK COUNTY ABC BOARD</v>
          </cell>
          <cell r="C80">
            <v>17386.82</v>
          </cell>
        </row>
        <row r="81">
          <cell r="A81">
            <v>91006</v>
          </cell>
          <cell r="B81" t="str">
            <v>BRUNSWICK CO DEPT OF SOCIAL SERVICES</v>
          </cell>
          <cell r="C81">
            <v>473853.03</v>
          </cell>
        </row>
        <row r="82">
          <cell r="A82">
            <v>91007</v>
          </cell>
          <cell r="B82" t="str">
            <v>CALABASH ABC BOARD</v>
          </cell>
          <cell r="C82">
            <v>5144.54</v>
          </cell>
        </row>
        <row r="83">
          <cell r="A83">
            <v>91008</v>
          </cell>
          <cell r="B83" t="str">
            <v>CAPE FEAR COUNCIL OF GOVERNMENTS</v>
          </cell>
          <cell r="C83">
            <v>75095.399999999994</v>
          </cell>
        </row>
        <row r="84">
          <cell r="A84">
            <v>91009</v>
          </cell>
          <cell r="B84" t="str">
            <v>BRUNSWICK COUNTY TOURISM AUTHORITY</v>
          </cell>
          <cell r="C84">
            <v>11581.2</v>
          </cell>
        </row>
        <row r="85">
          <cell r="A85">
            <v>91010</v>
          </cell>
          <cell r="B85" t="str">
            <v>TOWN OF CALABASH</v>
          </cell>
          <cell r="C85">
            <v>30525.27</v>
          </cell>
        </row>
        <row r="86">
          <cell r="A86">
            <v>91011</v>
          </cell>
          <cell r="B86" t="str">
            <v>CITY OF SOUTHPORT</v>
          </cell>
          <cell r="C86">
            <v>170093.99</v>
          </cell>
        </row>
        <row r="87">
          <cell r="A87">
            <v>91012</v>
          </cell>
          <cell r="B87" t="str">
            <v>CITY OF NORTHWEST</v>
          </cell>
          <cell r="C87">
            <v>7628.71</v>
          </cell>
        </row>
        <row r="88">
          <cell r="A88">
            <v>91013</v>
          </cell>
          <cell r="B88" t="str">
            <v>SOUTHEAST BRUNSWICK SANITARY DISTRICT</v>
          </cell>
          <cell r="C88">
            <v>33972.910000000003</v>
          </cell>
        </row>
        <row r="89">
          <cell r="A89">
            <v>91014</v>
          </cell>
          <cell r="B89" t="str">
            <v>TOWN OF HOLDEN BEACH</v>
          </cell>
          <cell r="C89">
            <v>98530.09</v>
          </cell>
        </row>
        <row r="90">
          <cell r="A90">
            <v>91015</v>
          </cell>
          <cell r="B90" t="str">
            <v>CAPE FEAR REGIONAL JETPORT</v>
          </cell>
          <cell r="C90">
            <v>17475.47</v>
          </cell>
        </row>
        <row r="91">
          <cell r="A91">
            <v>91017</v>
          </cell>
          <cell r="B91" t="str">
            <v>CITY OF SOUTHPORT ABC BOARD</v>
          </cell>
          <cell r="C91">
            <v>13122.92</v>
          </cell>
        </row>
        <row r="92">
          <cell r="A92">
            <v>91020</v>
          </cell>
          <cell r="B92" t="str">
            <v>TOWN OF BELVILLE</v>
          </cell>
          <cell r="C92">
            <v>13714.62</v>
          </cell>
        </row>
        <row r="93">
          <cell r="A93">
            <v>91021</v>
          </cell>
          <cell r="B93" t="str">
            <v>TOWN OF OAK ISLAND</v>
          </cell>
          <cell r="C93">
            <v>437293.88</v>
          </cell>
        </row>
        <row r="94">
          <cell r="A94">
            <v>91024</v>
          </cell>
          <cell r="B94" t="str">
            <v>TOWN OF CAROLINA SHORES</v>
          </cell>
          <cell r="C94">
            <v>47198.87</v>
          </cell>
        </row>
        <row r="95">
          <cell r="A95">
            <v>91026</v>
          </cell>
          <cell r="B95" t="str">
            <v>TOWN OF NAVASSA</v>
          </cell>
          <cell r="C95">
            <v>47235.53</v>
          </cell>
        </row>
        <row r="96">
          <cell r="A96">
            <v>91027</v>
          </cell>
          <cell r="B96" t="str">
            <v>OAK ISLAND ABC BD</v>
          </cell>
          <cell r="C96">
            <v>14495.89</v>
          </cell>
        </row>
        <row r="97">
          <cell r="A97">
            <v>91032</v>
          </cell>
          <cell r="B97" t="str">
            <v>TOWN OF ST JAMES</v>
          </cell>
          <cell r="C97">
            <v>19389.87</v>
          </cell>
        </row>
        <row r="98">
          <cell r="A98">
            <v>91041</v>
          </cell>
          <cell r="B98" t="str">
            <v>TOWN OF SUNSET BEACH</v>
          </cell>
          <cell r="C98">
            <v>178639.54</v>
          </cell>
        </row>
        <row r="99">
          <cell r="A99">
            <v>91042</v>
          </cell>
          <cell r="B99" t="str">
            <v>BRUNSWICK REGIONAL WATER AND SEWER H2GO</v>
          </cell>
          <cell r="C99">
            <v>115345.57</v>
          </cell>
        </row>
        <row r="100">
          <cell r="A100">
            <v>91047</v>
          </cell>
          <cell r="B100" t="str">
            <v>TOWN OF SUNSET BEACH ABC BOARD</v>
          </cell>
          <cell r="C100">
            <v>18028.490000000002</v>
          </cell>
        </row>
        <row r="101">
          <cell r="A101">
            <v>91051</v>
          </cell>
          <cell r="B101" t="str">
            <v>TOWN OF CASWELL BEACH</v>
          </cell>
          <cell r="C101">
            <v>33299.519999999997</v>
          </cell>
        </row>
        <row r="102">
          <cell r="A102">
            <v>91057</v>
          </cell>
          <cell r="B102" t="str">
            <v>SHALLOTTE ABC BOARD</v>
          </cell>
          <cell r="C102">
            <v>10701.43</v>
          </cell>
        </row>
        <row r="103">
          <cell r="A103">
            <v>91061</v>
          </cell>
          <cell r="B103" t="str">
            <v>TOWN OF OCEAN ISLE BEACH</v>
          </cell>
          <cell r="C103">
            <v>185817.86</v>
          </cell>
        </row>
        <row r="104">
          <cell r="A104">
            <v>91067</v>
          </cell>
          <cell r="B104" t="str">
            <v>OCEAN ISLE BEACH ABC BOARD</v>
          </cell>
          <cell r="C104">
            <v>9145.5</v>
          </cell>
        </row>
        <row r="105">
          <cell r="A105">
            <v>91071</v>
          </cell>
          <cell r="B105" t="str">
            <v>CITY OF BOILING SPRG LAKES</v>
          </cell>
          <cell r="C105">
            <v>107390.02</v>
          </cell>
        </row>
        <row r="106">
          <cell r="A106">
            <v>91077</v>
          </cell>
          <cell r="B106" t="str">
            <v>BOILING SPRING LAKES ABC BOARD</v>
          </cell>
          <cell r="C106">
            <v>2844.76</v>
          </cell>
        </row>
        <row r="107">
          <cell r="A107">
            <v>91081</v>
          </cell>
          <cell r="B107" t="str">
            <v>TOWN OF SHALLOTTE</v>
          </cell>
          <cell r="C107">
            <v>190608.11</v>
          </cell>
        </row>
        <row r="108">
          <cell r="A108">
            <v>91091</v>
          </cell>
          <cell r="B108" t="str">
            <v>VILLAGE OF BALD HEAD ISLAND</v>
          </cell>
          <cell r="C108">
            <v>242147.15</v>
          </cell>
        </row>
        <row r="109">
          <cell r="A109">
            <v>91101</v>
          </cell>
          <cell r="B109" t="str">
            <v>BUNCOMBE COUNTY</v>
          </cell>
          <cell r="C109">
            <v>6369471.71</v>
          </cell>
        </row>
        <row r="110">
          <cell r="A110">
            <v>91102</v>
          </cell>
          <cell r="B110" t="str">
            <v>LAND-OF-SKY REGIONAL COUNCIL</v>
          </cell>
          <cell r="C110">
            <v>161217.85999999999</v>
          </cell>
        </row>
        <row r="111">
          <cell r="A111">
            <v>91104</v>
          </cell>
          <cell r="B111" t="str">
            <v>WOODFIN ABC COMMISSION</v>
          </cell>
          <cell r="C111">
            <v>7841.5</v>
          </cell>
        </row>
        <row r="112">
          <cell r="A112">
            <v>91107</v>
          </cell>
          <cell r="B112" t="str">
            <v>WESTERN NC REGIONAL AIR QUALITY</v>
          </cell>
          <cell r="C112">
            <v>35656.78</v>
          </cell>
        </row>
        <row r="113">
          <cell r="A113">
            <v>91108</v>
          </cell>
          <cell r="B113" t="str">
            <v>METRO SEWERAGE DIST OF BUNCOMBE COUNTY</v>
          </cell>
          <cell r="C113">
            <v>653593.38</v>
          </cell>
        </row>
        <row r="114">
          <cell r="A114">
            <v>91109</v>
          </cell>
          <cell r="B114" t="str">
            <v>WOODFIN SANITARY WATER AND SEWER DIST</v>
          </cell>
          <cell r="C114">
            <v>52821.48</v>
          </cell>
        </row>
        <row r="115">
          <cell r="A115">
            <v>91111</v>
          </cell>
          <cell r="B115" t="str">
            <v>TOWN OF BILTMORE FOREST</v>
          </cell>
          <cell r="C115">
            <v>113814.14</v>
          </cell>
        </row>
        <row r="116">
          <cell r="A116">
            <v>91120</v>
          </cell>
          <cell r="B116" t="str">
            <v>WEST BUNCOMBE FIRE DEPT</v>
          </cell>
          <cell r="C116">
            <v>51466.63</v>
          </cell>
        </row>
        <row r="117">
          <cell r="A117">
            <v>91121</v>
          </cell>
          <cell r="B117" t="str">
            <v>CITY OF ASHEVILLE</v>
          </cell>
          <cell r="C117">
            <v>4668215.2</v>
          </cell>
        </row>
        <row r="118">
          <cell r="A118">
            <v>91127</v>
          </cell>
          <cell r="B118" t="str">
            <v>ASHEVILLE ABC BOARD</v>
          </cell>
          <cell r="C118">
            <v>160012.03</v>
          </cell>
        </row>
        <row r="119">
          <cell r="A119">
            <v>91128</v>
          </cell>
          <cell r="B119" t="str">
            <v>ASHEVILLE REGIONAL AIRPORT AUTHORITY</v>
          </cell>
          <cell r="C119">
            <v>247626.75</v>
          </cell>
        </row>
        <row r="120">
          <cell r="A120">
            <v>91138</v>
          </cell>
          <cell r="B120" t="str">
            <v>SKYLAND VOL FIRE DEPT</v>
          </cell>
          <cell r="C120">
            <v>195822.78</v>
          </cell>
        </row>
        <row r="121">
          <cell r="A121">
            <v>91141</v>
          </cell>
          <cell r="B121" t="str">
            <v>TOWN OF WEAVERVILLE</v>
          </cell>
          <cell r="C121">
            <v>259024.41</v>
          </cell>
        </row>
        <row r="122">
          <cell r="A122">
            <v>91147</v>
          </cell>
          <cell r="B122" t="str">
            <v>WEAVERVILLE ABC BOARD</v>
          </cell>
          <cell r="C122">
            <v>14428.59</v>
          </cell>
        </row>
        <row r="123">
          <cell r="A123">
            <v>91151</v>
          </cell>
          <cell r="B123" t="str">
            <v>TOWN OF BLACK MOUNTAIN</v>
          </cell>
          <cell r="C123">
            <v>265563.67</v>
          </cell>
        </row>
        <row r="124">
          <cell r="A124">
            <v>91154</v>
          </cell>
          <cell r="B124" t="str">
            <v>BLACK MTN ABC BOARD</v>
          </cell>
          <cell r="C124">
            <v>11031.76</v>
          </cell>
        </row>
        <row r="125">
          <cell r="A125">
            <v>91161</v>
          </cell>
          <cell r="B125" t="str">
            <v>TOWN OF MONTREAT</v>
          </cell>
          <cell r="C125">
            <v>39612.639999999999</v>
          </cell>
        </row>
        <row r="126">
          <cell r="A126">
            <v>91171</v>
          </cell>
          <cell r="B126" t="str">
            <v>TOWN OF WOODFIN</v>
          </cell>
          <cell r="C126">
            <v>108457.15</v>
          </cell>
        </row>
        <row r="127">
          <cell r="A127">
            <v>91201</v>
          </cell>
          <cell r="B127" t="str">
            <v>BURKE COUNTY</v>
          </cell>
          <cell r="C127">
            <v>1055634.83</v>
          </cell>
        </row>
        <row r="128">
          <cell r="A128">
            <v>91202</v>
          </cell>
          <cell r="B128" t="str">
            <v>BURKE-CATAWBA DIST CONFINEMENT</v>
          </cell>
          <cell r="C128">
            <v>98483.79</v>
          </cell>
        </row>
        <row r="129">
          <cell r="A129">
            <v>91203</v>
          </cell>
          <cell r="B129" t="str">
            <v>BURKE CO HEALTH DEPT</v>
          </cell>
          <cell r="C129">
            <v>137099.06</v>
          </cell>
        </row>
        <row r="130">
          <cell r="A130">
            <v>91206</v>
          </cell>
          <cell r="B130" t="str">
            <v>BURKE CO DEPT OF SOCIAL SERVICES</v>
          </cell>
          <cell r="C130">
            <v>441655</v>
          </cell>
        </row>
        <row r="131">
          <cell r="A131">
            <v>91208</v>
          </cell>
          <cell r="B131" t="str">
            <v>BURKE COUNTY TOURISM DEV. AUTHORITY</v>
          </cell>
          <cell r="C131">
            <v>6701.2</v>
          </cell>
        </row>
        <row r="132">
          <cell r="A132">
            <v>91211</v>
          </cell>
          <cell r="B132" t="str">
            <v>TOWN OF VALDESE</v>
          </cell>
          <cell r="C132">
            <v>205268.23</v>
          </cell>
        </row>
        <row r="133">
          <cell r="A133">
            <v>91213</v>
          </cell>
          <cell r="B133" t="str">
            <v>VALDESE HOUSING AUTHORITY</v>
          </cell>
          <cell r="C133">
            <v>11721.01</v>
          </cell>
        </row>
        <row r="134">
          <cell r="A134">
            <v>91214</v>
          </cell>
          <cell r="B134" t="str">
            <v>TOWN OF RUTHERFORD COLLEGE</v>
          </cell>
          <cell r="C134">
            <v>11806.91</v>
          </cell>
        </row>
        <row r="135">
          <cell r="A135">
            <v>91217</v>
          </cell>
          <cell r="B135" t="str">
            <v>MORGANTON ABC BOARD</v>
          </cell>
          <cell r="C135">
            <v>14531.74</v>
          </cell>
        </row>
        <row r="136">
          <cell r="A136">
            <v>91221</v>
          </cell>
          <cell r="B136" t="str">
            <v>TOWN OF DREXEL</v>
          </cell>
          <cell r="C136">
            <v>57643.74</v>
          </cell>
        </row>
        <row r="137">
          <cell r="A137">
            <v>91231</v>
          </cell>
          <cell r="B137" t="str">
            <v>CITY OF MORGANTON</v>
          </cell>
          <cell r="C137">
            <v>907952.12</v>
          </cell>
        </row>
        <row r="138">
          <cell r="A138">
            <v>91233</v>
          </cell>
          <cell r="B138" t="str">
            <v>MORGANTON HOUSING AUTHORITY</v>
          </cell>
          <cell r="C138">
            <v>22381.89</v>
          </cell>
        </row>
        <row r="139">
          <cell r="A139">
            <v>91241</v>
          </cell>
          <cell r="B139" t="str">
            <v>TOWN OF GLEN ALPINE</v>
          </cell>
          <cell r="C139">
            <v>29020.19</v>
          </cell>
        </row>
        <row r="140">
          <cell r="A140">
            <v>91251</v>
          </cell>
          <cell r="B140" t="str">
            <v>TOWN OF HILDEBRAN</v>
          </cell>
          <cell r="C140">
            <v>17207.91</v>
          </cell>
        </row>
        <row r="141">
          <cell r="A141">
            <v>91261</v>
          </cell>
          <cell r="B141" t="str">
            <v>TOWN OF CONNELLY SPRINGS</v>
          </cell>
          <cell r="C141">
            <v>4921.62</v>
          </cell>
        </row>
        <row r="142">
          <cell r="A142">
            <v>91301</v>
          </cell>
          <cell r="B142" t="str">
            <v>CABARRUS COUNTY</v>
          </cell>
          <cell r="C142">
            <v>3634284.41</v>
          </cell>
        </row>
        <row r="143">
          <cell r="A143">
            <v>91302</v>
          </cell>
          <cell r="B143" t="str">
            <v>WATER &amp; SEWER AUTH OF CABARRUS CNTY</v>
          </cell>
          <cell r="C143">
            <v>256040.47</v>
          </cell>
        </row>
        <row r="144">
          <cell r="A144">
            <v>91306</v>
          </cell>
          <cell r="B144" t="str">
            <v>CABARRUS CO PUBLIC HEALTH AUTH</v>
          </cell>
          <cell r="C144">
            <v>913944.23</v>
          </cell>
        </row>
        <row r="145">
          <cell r="A145">
            <v>91308</v>
          </cell>
          <cell r="B145" t="str">
            <v>CABARRUS COUNTY TOURISM AUTHORITY</v>
          </cell>
          <cell r="C145">
            <v>81846.03</v>
          </cell>
        </row>
        <row r="146">
          <cell r="A146">
            <v>91311</v>
          </cell>
          <cell r="B146" t="str">
            <v>CITY OF CONCORD</v>
          </cell>
          <cell r="C146">
            <v>3635419.91</v>
          </cell>
        </row>
        <row r="147">
          <cell r="A147">
            <v>91317</v>
          </cell>
          <cell r="B147" t="str">
            <v>CONCORD ABC BOARD</v>
          </cell>
          <cell r="C147">
            <v>55268.480000000003</v>
          </cell>
        </row>
        <row r="148">
          <cell r="A148">
            <v>91321</v>
          </cell>
          <cell r="B148" t="str">
            <v>TOWN OF MOUNT PLEASANT</v>
          </cell>
          <cell r="C148">
            <v>46430.78</v>
          </cell>
        </row>
        <row r="149">
          <cell r="A149">
            <v>91327</v>
          </cell>
          <cell r="B149" t="str">
            <v>MT PLEASANT ABC BOARD</v>
          </cell>
          <cell r="C149">
            <v>4873.43</v>
          </cell>
        </row>
        <row r="150">
          <cell r="A150">
            <v>91331</v>
          </cell>
          <cell r="B150" t="str">
            <v>CITY OF KANNAPOLIS</v>
          </cell>
          <cell r="C150">
            <v>1293706.05</v>
          </cell>
        </row>
        <row r="151">
          <cell r="A151">
            <v>91341</v>
          </cell>
          <cell r="B151" t="str">
            <v>TOWN OF MIDLAND</v>
          </cell>
          <cell r="C151">
            <v>14437.97</v>
          </cell>
        </row>
        <row r="152">
          <cell r="A152">
            <v>91401</v>
          </cell>
          <cell r="B152" t="str">
            <v>CALDWELL COUNTY</v>
          </cell>
          <cell r="C152">
            <v>1665858.47</v>
          </cell>
        </row>
        <row r="153">
          <cell r="A153">
            <v>91411</v>
          </cell>
          <cell r="B153" t="str">
            <v>TOWN OF GRANITE FALLS</v>
          </cell>
          <cell r="C153">
            <v>184234.83</v>
          </cell>
        </row>
        <row r="154">
          <cell r="A154">
            <v>91417</v>
          </cell>
          <cell r="B154" t="str">
            <v>GRANITE FALLS ABC BOARD</v>
          </cell>
          <cell r="C154">
            <v>5523.81</v>
          </cell>
        </row>
        <row r="155">
          <cell r="A155">
            <v>91421</v>
          </cell>
          <cell r="B155" t="str">
            <v>TOWN OF SAWMILLS</v>
          </cell>
          <cell r="C155">
            <v>38840.82</v>
          </cell>
        </row>
        <row r="156">
          <cell r="A156">
            <v>91423</v>
          </cell>
          <cell r="B156" t="str">
            <v>LENOIR HOUSING AUTHORITY</v>
          </cell>
          <cell r="C156">
            <v>19786.169999999998</v>
          </cell>
        </row>
        <row r="157">
          <cell r="A157">
            <v>91431</v>
          </cell>
          <cell r="B157" t="str">
            <v>TOWN OF HUDSON</v>
          </cell>
          <cell r="C157">
            <v>88726.05</v>
          </cell>
        </row>
        <row r="158">
          <cell r="A158">
            <v>91441</v>
          </cell>
          <cell r="B158" t="str">
            <v>TOWN OF HARRISBURG</v>
          </cell>
          <cell r="C158">
            <v>350488.21</v>
          </cell>
        </row>
        <row r="159">
          <cell r="A159">
            <v>91451</v>
          </cell>
          <cell r="B159" t="str">
            <v>CITY OF LENOIR</v>
          </cell>
          <cell r="C159">
            <v>719186.38</v>
          </cell>
        </row>
        <row r="160">
          <cell r="A160">
            <v>91457</v>
          </cell>
          <cell r="B160" t="str">
            <v>CITY OF LENOIR ABC BRD</v>
          </cell>
          <cell r="C160">
            <v>29814.83</v>
          </cell>
        </row>
        <row r="161">
          <cell r="A161">
            <v>91461</v>
          </cell>
          <cell r="B161" t="str">
            <v>TOWN OF CAJAH'S MOUNTAIN</v>
          </cell>
          <cell r="C161">
            <v>3124.44</v>
          </cell>
        </row>
        <row r="162">
          <cell r="A162">
            <v>91501</v>
          </cell>
          <cell r="B162" t="str">
            <v>CAMDEN COUNTY</v>
          </cell>
          <cell r="C162">
            <v>236941.69</v>
          </cell>
        </row>
        <row r="163">
          <cell r="A163">
            <v>91504</v>
          </cell>
          <cell r="B163" t="str">
            <v>CAMDEN COUNTY ABC BOARD</v>
          </cell>
          <cell r="C163">
            <v>6938.79</v>
          </cell>
        </row>
        <row r="164">
          <cell r="A164">
            <v>91601</v>
          </cell>
          <cell r="B164" t="str">
            <v>CARTERET COUNTY</v>
          </cell>
          <cell r="C164">
            <v>1390327.92</v>
          </cell>
        </row>
        <row r="165">
          <cell r="A165">
            <v>91604</v>
          </cell>
          <cell r="B165" t="str">
            <v>CARTERET COUNTY ABC BOARD</v>
          </cell>
          <cell r="C165">
            <v>55839.06</v>
          </cell>
        </row>
        <row r="166">
          <cell r="A166">
            <v>91608</v>
          </cell>
          <cell r="B166" t="str">
            <v>WESTERN CARTERET INTERLOCAL COOPERATION AGENCY</v>
          </cell>
          <cell r="C166">
            <v>52378.559999999998</v>
          </cell>
        </row>
        <row r="167">
          <cell r="A167">
            <v>91611</v>
          </cell>
          <cell r="B167" t="str">
            <v>TOWN OF MOREHEAD CITY</v>
          </cell>
          <cell r="C167">
            <v>614656.17000000004</v>
          </cell>
        </row>
        <row r="168">
          <cell r="A168">
            <v>91621</v>
          </cell>
          <cell r="B168" t="str">
            <v>TOWN OF NEWPORT</v>
          </cell>
          <cell r="C168">
            <v>124283.42</v>
          </cell>
        </row>
        <row r="169">
          <cell r="A169">
            <v>91631</v>
          </cell>
          <cell r="B169" t="str">
            <v>TOWN OF BEAUFORT</v>
          </cell>
          <cell r="C169">
            <v>239433.46</v>
          </cell>
        </row>
        <row r="170">
          <cell r="A170">
            <v>91633</v>
          </cell>
          <cell r="B170" t="str">
            <v>BEAUFORT HOUSING AUTH</v>
          </cell>
          <cell r="C170">
            <v>10219.19</v>
          </cell>
        </row>
        <row r="171">
          <cell r="A171">
            <v>91641</v>
          </cell>
          <cell r="B171" t="str">
            <v>TOWN OF PINE KNOLL SHORES</v>
          </cell>
          <cell r="C171">
            <v>115065.09</v>
          </cell>
        </row>
        <row r="172">
          <cell r="A172">
            <v>91651</v>
          </cell>
          <cell r="B172" t="str">
            <v>TOWN OF EMERALD ISLE</v>
          </cell>
          <cell r="C172">
            <v>238247.14</v>
          </cell>
        </row>
        <row r="173">
          <cell r="A173">
            <v>91661</v>
          </cell>
          <cell r="B173" t="str">
            <v>TOWN OF INDIAN BEACH</v>
          </cell>
          <cell r="C173">
            <v>66913.820000000007</v>
          </cell>
        </row>
        <row r="174">
          <cell r="A174">
            <v>91671</v>
          </cell>
          <cell r="B174" t="str">
            <v>TOWN OF CAPE CARTERET</v>
          </cell>
          <cell r="C174">
            <v>47244.94</v>
          </cell>
        </row>
        <row r="175">
          <cell r="A175">
            <v>91681</v>
          </cell>
          <cell r="B175" t="str">
            <v>TOWN OF ATLANTIC BEACH</v>
          </cell>
          <cell r="C175">
            <v>400102.46</v>
          </cell>
        </row>
        <row r="176">
          <cell r="A176">
            <v>91691</v>
          </cell>
          <cell r="B176" t="str">
            <v>TOWN OF CEDAR POINT</v>
          </cell>
          <cell r="C176">
            <v>11105.62</v>
          </cell>
        </row>
        <row r="177">
          <cell r="A177">
            <v>91701</v>
          </cell>
          <cell r="B177" t="str">
            <v>CASWELL COUNTY</v>
          </cell>
          <cell r="C177">
            <v>564446.93000000005</v>
          </cell>
        </row>
        <row r="178">
          <cell r="A178">
            <v>91704</v>
          </cell>
          <cell r="B178" t="str">
            <v>CASWELL COUNTY ABC BOARD</v>
          </cell>
          <cell r="C178">
            <v>8607.86</v>
          </cell>
        </row>
        <row r="179">
          <cell r="A179">
            <v>91706</v>
          </cell>
          <cell r="B179" t="str">
            <v>CASWELL CO DEPT OF SOCIAL SERVICES</v>
          </cell>
          <cell r="C179">
            <v>166002.10999999999</v>
          </cell>
        </row>
        <row r="180">
          <cell r="A180">
            <v>91719</v>
          </cell>
          <cell r="B180" t="str">
            <v>TOWN OF YANCEYVILLE</v>
          </cell>
          <cell r="C180">
            <v>22115.77</v>
          </cell>
        </row>
        <row r="181">
          <cell r="A181">
            <v>91801</v>
          </cell>
          <cell r="B181" t="str">
            <v>CATAWBA COUNTY</v>
          </cell>
          <cell r="C181">
            <v>3845158.35</v>
          </cell>
        </row>
        <row r="182">
          <cell r="A182">
            <v>91804</v>
          </cell>
          <cell r="B182" t="str">
            <v>CATAWBA COUNTY ABC BOARD</v>
          </cell>
          <cell r="C182">
            <v>105464.52</v>
          </cell>
        </row>
        <row r="183">
          <cell r="A183">
            <v>91811</v>
          </cell>
          <cell r="B183" t="str">
            <v>CITY OF HICKORY</v>
          </cell>
          <cell r="C183">
            <v>2056779.12</v>
          </cell>
        </row>
        <row r="184">
          <cell r="A184">
            <v>91812</v>
          </cell>
          <cell r="B184" t="str">
            <v>HICKORY CONOVER TOURISM DEV AUTH</v>
          </cell>
          <cell r="C184">
            <v>28370.39</v>
          </cell>
        </row>
        <row r="185">
          <cell r="A185">
            <v>91813</v>
          </cell>
          <cell r="B185" t="str">
            <v>HICKORY PUBLIC HOUSING AUTHORITY</v>
          </cell>
          <cell r="C185">
            <v>41692.79</v>
          </cell>
        </row>
        <row r="186">
          <cell r="A186">
            <v>91818</v>
          </cell>
          <cell r="B186" t="str">
            <v>WESTERN PIEDMONT COUNCIL OF GVMTS</v>
          </cell>
          <cell r="C186">
            <v>468317.05</v>
          </cell>
        </row>
        <row r="187">
          <cell r="A187">
            <v>91819</v>
          </cell>
          <cell r="B187" t="str">
            <v>WESTERN PIEDMONT REGIONAL TRANSIT AUTHORITY</v>
          </cell>
          <cell r="C187">
            <v>156994.41</v>
          </cell>
        </row>
        <row r="188">
          <cell r="A188">
            <v>91821</v>
          </cell>
          <cell r="B188" t="str">
            <v>CITY OF CLAREMONT</v>
          </cell>
          <cell r="C188">
            <v>75806.77</v>
          </cell>
        </row>
        <row r="189">
          <cell r="A189">
            <v>91831</v>
          </cell>
          <cell r="B189" t="str">
            <v>TOWN OF MAIDEN</v>
          </cell>
          <cell r="C189">
            <v>165489.25</v>
          </cell>
        </row>
        <row r="190">
          <cell r="A190">
            <v>91841</v>
          </cell>
          <cell r="B190" t="str">
            <v>THE TOWN OF LONGVIEW</v>
          </cell>
          <cell r="C190">
            <v>125257.59</v>
          </cell>
        </row>
        <row r="191">
          <cell r="A191">
            <v>91851</v>
          </cell>
          <cell r="B191" t="str">
            <v>TOWN OF CONOVER</v>
          </cell>
          <cell r="C191">
            <v>362200.99</v>
          </cell>
        </row>
        <row r="192">
          <cell r="A192">
            <v>91861</v>
          </cell>
          <cell r="B192" t="str">
            <v>TOWN OF BROOKFORD</v>
          </cell>
          <cell r="C192">
            <v>7332.89</v>
          </cell>
        </row>
        <row r="193">
          <cell r="A193">
            <v>91871</v>
          </cell>
          <cell r="B193" t="str">
            <v>CITY OF NEWTON</v>
          </cell>
          <cell r="C193">
            <v>615146.46</v>
          </cell>
        </row>
        <row r="194">
          <cell r="A194">
            <v>91881</v>
          </cell>
          <cell r="B194" t="str">
            <v>TOWN OF CATAWBA</v>
          </cell>
          <cell r="C194">
            <v>5098.6400000000003</v>
          </cell>
        </row>
        <row r="195">
          <cell r="A195">
            <v>91901</v>
          </cell>
          <cell r="B195" t="str">
            <v>CHATHAM COUNTY</v>
          </cell>
          <cell r="C195">
            <v>1743893.92</v>
          </cell>
        </row>
        <row r="196">
          <cell r="A196">
            <v>91903</v>
          </cell>
          <cell r="B196" t="str">
            <v>CHATHAM CO HOUSING AUTH</v>
          </cell>
          <cell r="C196">
            <v>6537</v>
          </cell>
        </row>
        <row r="197">
          <cell r="A197">
            <v>91904</v>
          </cell>
          <cell r="B197" t="str">
            <v>CHATHAM COUNTY ABC BOARD</v>
          </cell>
          <cell r="C197">
            <v>16612.080000000002</v>
          </cell>
        </row>
        <row r="198">
          <cell r="A198">
            <v>91908</v>
          </cell>
          <cell r="B198" t="str">
            <v>GOLDSTON-GULF SANITARY DISTRICT</v>
          </cell>
          <cell r="C198">
            <v>5166.92</v>
          </cell>
        </row>
        <row r="199">
          <cell r="A199">
            <v>91911</v>
          </cell>
          <cell r="B199" t="str">
            <v>TOWN OF SILER CITY</v>
          </cell>
          <cell r="C199">
            <v>231598.93</v>
          </cell>
        </row>
        <row r="200">
          <cell r="A200">
            <v>91917</v>
          </cell>
          <cell r="B200" t="str">
            <v>SILER CITY ABC BOARD</v>
          </cell>
          <cell r="C200">
            <v>6945.38</v>
          </cell>
        </row>
        <row r="201">
          <cell r="A201">
            <v>91921</v>
          </cell>
          <cell r="B201" t="str">
            <v>TOWN OF PITTSBORO</v>
          </cell>
          <cell r="C201">
            <v>166029.18</v>
          </cell>
        </row>
        <row r="202">
          <cell r="A202">
            <v>92001</v>
          </cell>
          <cell r="B202" t="str">
            <v>CHEROKEE COUNTY</v>
          </cell>
          <cell r="C202">
            <v>863075.18</v>
          </cell>
        </row>
        <row r="203">
          <cell r="A203">
            <v>92005</v>
          </cell>
          <cell r="B203" t="str">
            <v>NANTAHALA REGIONAL LIBRARY</v>
          </cell>
          <cell r="C203">
            <v>23807.88</v>
          </cell>
        </row>
        <row r="204">
          <cell r="A204">
            <v>92011</v>
          </cell>
          <cell r="B204" t="str">
            <v>TOWN OF MURPHY</v>
          </cell>
          <cell r="C204">
            <v>94487.1</v>
          </cell>
        </row>
        <row r="205">
          <cell r="A205">
            <v>92017</v>
          </cell>
          <cell r="B205" t="str">
            <v>MURPHY ABC BOARD</v>
          </cell>
          <cell r="C205">
            <v>18378.2</v>
          </cell>
        </row>
        <row r="206">
          <cell r="A206">
            <v>92021</v>
          </cell>
          <cell r="B206" t="str">
            <v>TOWN OF ANDREWS</v>
          </cell>
          <cell r="C206">
            <v>56797.99</v>
          </cell>
        </row>
        <row r="207">
          <cell r="A207">
            <v>92101</v>
          </cell>
          <cell r="B207" t="str">
            <v>CHOWAN COUNTY</v>
          </cell>
          <cell r="C207">
            <v>385403.07</v>
          </cell>
        </row>
        <row r="208">
          <cell r="A208">
            <v>92104</v>
          </cell>
          <cell r="B208" t="str">
            <v>CHOWAN COUNTY ABC BOARD</v>
          </cell>
          <cell r="C208">
            <v>5362.87</v>
          </cell>
        </row>
        <row r="209">
          <cell r="A209">
            <v>92109</v>
          </cell>
          <cell r="B209" t="str">
            <v>ALBEMARLE REGNL PLANNING &amp; DEVELOPMENT COMM</v>
          </cell>
          <cell r="C209">
            <v>81663.56</v>
          </cell>
        </row>
        <row r="210">
          <cell r="A210">
            <v>92111</v>
          </cell>
          <cell r="B210" t="str">
            <v>TOWN OF EDENTON</v>
          </cell>
          <cell r="C210">
            <v>241524.03</v>
          </cell>
        </row>
        <row r="211">
          <cell r="A211">
            <v>92113</v>
          </cell>
          <cell r="B211" t="str">
            <v>THE NEW EDENTON HOUSING AUTH</v>
          </cell>
          <cell r="C211">
            <v>12477</v>
          </cell>
        </row>
        <row r="212">
          <cell r="A212">
            <v>92201</v>
          </cell>
          <cell r="B212" t="str">
            <v>CLAY COUNTY</v>
          </cell>
          <cell r="C212">
            <v>466555.83</v>
          </cell>
        </row>
        <row r="213">
          <cell r="A213">
            <v>92214</v>
          </cell>
          <cell r="B213" t="str">
            <v>CLAY COUNTY ABC BOARD</v>
          </cell>
          <cell r="C213">
            <v>9828.8799999999992</v>
          </cell>
        </row>
        <row r="214">
          <cell r="A214">
            <v>92301</v>
          </cell>
          <cell r="B214" t="str">
            <v>CLEVELAND COUNTY</v>
          </cell>
          <cell r="C214">
            <v>2605917.56</v>
          </cell>
        </row>
        <row r="215">
          <cell r="A215">
            <v>92302</v>
          </cell>
          <cell r="B215" t="str">
            <v>CLEVELAND COUNTY WATER</v>
          </cell>
          <cell r="C215">
            <v>142815.22</v>
          </cell>
        </row>
        <row r="216">
          <cell r="A216">
            <v>92311</v>
          </cell>
          <cell r="B216" t="str">
            <v>CITY OF SHELBY</v>
          </cell>
          <cell r="C216">
            <v>1034114.67</v>
          </cell>
        </row>
        <row r="217">
          <cell r="A217">
            <v>92317</v>
          </cell>
          <cell r="B217" t="str">
            <v>SHELBY ABC BOARD</v>
          </cell>
          <cell r="C217">
            <v>22934.21</v>
          </cell>
        </row>
        <row r="218">
          <cell r="A218">
            <v>92321</v>
          </cell>
          <cell r="B218" t="str">
            <v>CITY OF KINGS MOUNTAIN</v>
          </cell>
          <cell r="C218">
            <v>602728.48</v>
          </cell>
        </row>
        <row r="219">
          <cell r="A219">
            <v>92327</v>
          </cell>
          <cell r="B219" t="str">
            <v>KINGS MOUNTAIN ABC BOARD</v>
          </cell>
          <cell r="C219">
            <v>7041.69</v>
          </cell>
        </row>
        <row r="220">
          <cell r="A220">
            <v>92331</v>
          </cell>
          <cell r="B220" t="str">
            <v>TOWN OF BOILING SPRINGS</v>
          </cell>
          <cell r="C220">
            <v>66231.38</v>
          </cell>
        </row>
        <row r="221">
          <cell r="A221">
            <v>92341</v>
          </cell>
          <cell r="B221" t="str">
            <v>TOWN OF LAWNDALE</v>
          </cell>
          <cell r="C221">
            <v>3267.72</v>
          </cell>
        </row>
        <row r="222">
          <cell r="A222">
            <v>92351</v>
          </cell>
          <cell r="B222" t="str">
            <v>TOWN OF GROVER</v>
          </cell>
          <cell r="C222">
            <v>12788.92</v>
          </cell>
        </row>
        <row r="223">
          <cell r="A223">
            <v>92401</v>
          </cell>
          <cell r="B223" t="str">
            <v>COLUMBUS COUNTY</v>
          </cell>
          <cell r="C223">
            <v>1332379.25</v>
          </cell>
        </row>
        <row r="224">
          <cell r="A224">
            <v>92403</v>
          </cell>
          <cell r="B224" t="str">
            <v>WHITEVILLE HOUSING AUTHORITY</v>
          </cell>
          <cell r="C224">
            <v>6224.4</v>
          </cell>
        </row>
        <row r="225">
          <cell r="A225">
            <v>92411</v>
          </cell>
          <cell r="B225" t="str">
            <v>CITY OF WHITEVILLE</v>
          </cell>
          <cell r="C225">
            <v>212765.28</v>
          </cell>
        </row>
        <row r="226">
          <cell r="A226">
            <v>92417</v>
          </cell>
          <cell r="B226" t="str">
            <v>WHITEVILLE ABC BOARD</v>
          </cell>
          <cell r="C226">
            <v>6522.41</v>
          </cell>
        </row>
        <row r="227">
          <cell r="A227">
            <v>92421</v>
          </cell>
          <cell r="B227" t="str">
            <v>TOWN OF BRUNSWICK</v>
          </cell>
          <cell r="C227">
            <v>9320.2999999999993</v>
          </cell>
        </row>
        <row r="228">
          <cell r="A228">
            <v>92427</v>
          </cell>
          <cell r="B228" t="str">
            <v>LAKE WACCAMAW ABC BOARD</v>
          </cell>
          <cell r="C228">
            <v>1693.16</v>
          </cell>
        </row>
        <row r="229">
          <cell r="A229">
            <v>92431</v>
          </cell>
          <cell r="B229" t="str">
            <v>TOWN OF FAIR BLUFF</v>
          </cell>
          <cell r="C229">
            <v>16532.62</v>
          </cell>
        </row>
        <row r="230">
          <cell r="A230">
            <v>92441</v>
          </cell>
          <cell r="B230" t="str">
            <v>TOWN OF CHADBOURN</v>
          </cell>
          <cell r="C230">
            <v>48364.15</v>
          </cell>
        </row>
        <row r="231">
          <cell r="A231">
            <v>92444</v>
          </cell>
          <cell r="B231" t="str">
            <v>WEST COLUMBUS ABC BOARD</v>
          </cell>
          <cell r="C231">
            <v>3182.44</v>
          </cell>
        </row>
        <row r="232">
          <cell r="A232">
            <v>92451</v>
          </cell>
          <cell r="B232" t="str">
            <v>TOWN OF TABOR CITY</v>
          </cell>
          <cell r="C232">
            <v>79859.87</v>
          </cell>
        </row>
        <row r="233">
          <cell r="A233">
            <v>92461</v>
          </cell>
          <cell r="B233" t="str">
            <v>TOWN OF LAKE WACCAMAW</v>
          </cell>
          <cell r="C233">
            <v>43080.7</v>
          </cell>
        </row>
        <row r="234">
          <cell r="A234">
            <v>92501</v>
          </cell>
          <cell r="B234" t="str">
            <v>CRAVEN COUNTY</v>
          </cell>
          <cell r="C234">
            <v>2001121.78</v>
          </cell>
        </row>
        <row r="235">
          <cell r="A235">
            <v>92502</v>
          </cell>
          <cell r="B235" t="str">
            <v>FIRST CRAVEN SANITARY DIST</v>
          </cell>
          <cell r="C235">
            <v>15228.84</v>
          </cell>
        </row>
        <row r="236">
          <cell r="A236">
            <v>92504</v>
          </cell>
          <cell r="B236" t="str">
            <v>CRAVEN CO ABC BD</v>
          </cell>
          <cell r="C236">
            <v>50659.74</v>
          </cell>
        </row>
        <row r="237">
          <cell r="A237">
            <v>92505</v>
          </cell>
          <cell r="B237" t="str">
            <v>CRAVEN-PAMLICO-CARTERET REGIONAL LIBRARY</v>
          </cell>
          <cell r="C237">
            <v>127842.43</v>
          </cell>
        </row>
        <row r="238">
          <cell r="A238">
            <v>92506</v>
          </cell>
          <cell r="B238" t="str">
            <v>COASTAL CAROLINA REGIONAL AIRPORT</v>
          </cell>
          <cell r="C238">
            <v>34609.71</v>
          </cell>
        </row>
        <row r="239">
          <cell r="A239">
            <v>92507</v>
          </cell>
          <cell r="B239" t="str">
            <v>NEUSE RIVER COUNCIL OF GOVERNMENTS</v>
          </cell>
          <cell r="C239">
            <v>38660.58</v>
          </cell>
        </row>
        <row r="240">
          <cell r="A240">
            <v>92508</v>
          </cell>
          <cell r="B240" t="str">
            <v>COASTAL REGIONAL SOLID WASTE MNGT AUTH</v>
          </cell>
          <cell r="C240">
            <v>159816</v>
          </cell>
        </row>
        <row r="241">
          <cell r="A241">
            <v>92511</v>
          </cell>
          <cell r="B241" t="str">
            <v>CITY OF NEW BERN</v>
          </cell>
          <cell r="C241">
            <v>1640990.82</v>
          </cell>
        </row>
        <row r="242">
          <cell r="A242">
            <v>92513</v>
          </cell>
          <cell r="B242" t="str">
            <v>TRILLIUM HEALTH RESOURCES</v>
          </cell>
          <cell r="C242">
            <v>1761601.36</v>
          </cell>
        </row>
        <row r="243">
          <cell r="A243">
            <v>92521</v>
          </cell>
          <cell r="B243" t="str">
            <v>TOWN OF TRENT WOODS</v>
          </cell>
          <cell r="C243">
            <v>40372.620000000003</v>
          </cell>
        </row>
        <row r="244">
          <cell r="A244">
            <v>92531</v>
          </cell>
          <cell r="B244" t="str">
            <v>CITY OF HAVELOCK</v>
          </cell>
          <cell r="C244">
            <v>370926.78</v>
          </cell>
        </row>
        <row r="245">
          <cell r="A245">
            <v>92541</v>
          </cell>
          <cell r="B245" t="str">
            <v>TOWN OF RIVER BEND</v>
          </cell>
          <cell r="C245">
            <v>60143.35</v>
          </cell>
        </row>
        <row r="246">
          <cell r="A246">
            <v>92551</v>
          </cell>
          <cell r="B246" t="str">
            <v>TOWN OF VANCEBORO</v>
          </cell>
          <cell r="C246">
            <v>21253.67</v>
          </cell>
        </row>
        <row r="247">
          <cell r="A247">
            <v>92561</v>
          </cell>
          <cell r="B247" t="str">
            <v>TOWN OF BRIDGETON</v>
          </cell>
          <cell r="C247">
            <v>11018.5</v>
          </cell>
        </row>
        <row r="248">
          <cell r="A248">
            <v>92571</v>
          </cell>
          <cell r="B248" t="str">
            <v>TOWN OF COVE CITY</v>
          </cell>
          <cell r="C248">
            <v>7102.1</v>
          </cell>
        </row>
        <row r="249">
          <cell r="A249">
            <v>92601</v>
          </cell>
          <cell r="B249" t="str">
            <v>CUMBERLAND COUNTY</v>
          </cell>
          <cell r="C249">
            <v>6697593.5300000003</v>
          </cell>
        </row>
        <row r="250">
          <cell r="A250">
            <v>92602</v>
          </cell>
          <cell r="B250" t="str">
            <v>WESTAREA VOLUNTEER FIRE DEPT</v>
          </cell>
          <cell r="C250">
            <v>2450.3200000000002</v>
          </cell>
        </row>
        <row r="251">
          <cell r="A251">
            <v>92604</v>
          </cell>
          <cell r="B251" t="str">
            <v>CUMBERLAND CO ABC BOARD</v>
          </cell>
          <cell r="C251">
            <v>193974.42</v>
          </cell>
        </row>
        <row r="252">
          <cell r="A252">
            <v>92607</v>
          </cell>
          <cell r="B252" t="str">
            <v>MID-CAROLINA COUNCIL OF GOVERNMENTS</v>
          </cell>
          <cell r="C252">
            <v>40699.43</v>
          </cell>
        </row>
        <row r="253">
          <cell r="A253">
            <v>92611</v>
          </cell>
          <cell r="B253" t="str">
            <v>CITY OF FAYETTEVILLE</v>
          </cell>
          <cell r="C253">
            <v>5875981.5</v>
          </cell>
        </row>
        <row r="254">
          <cell r="A254">
            <v>92613</v>
          </cell>
          <cell r="B254" t="str">
            <v>FAYETTEVILLE METROPOLITAN HOUSING AUTH</v>
          </cell>
          <cell r="C254">
            <v>139518.66</v>
          </cell>
        </row>
        <row r="255">
          <cell r="A255">
            <v>92614</v>
          </cell>
          <cell r="B255" t="str">
            <v>PUBLIC WORKS COMM CTY OF FAYETTEVILLE</v>
          </cell>
          <cell r="C255">
            <v>4938040.5999999996</v>
          </cell>
        </row>
        <row r="256">
          <cell r="A256">
            <v>92621</v>
          </cell>
          <cell r="B256" t="str">
            <v>TOWN OF STEDMAN</v>
          </cell>
          <cell r="C256">
            <v>13553.42</v>
          </cell>
        </row>
        <row r="257">
          <cell r="A257">
            <v>92631</v>
          </cell>
          <cell r="B257" t="str">
            <v>TOWN OF HOPE MILLS</v>
          </cell>
          <cell r="C257">
            <v>416152.81</v>
          </cell>
        </row>
        <row r="258">
          <cell r="A258">
            <v>92641</v>
          </cell>
          <cell r="B258" t="str">
            <v>TOWN OF WADE</v>
          </cell>
          <cell r="C258">
            <v>6991.68</v>
          </cell>
        </row>
        <row r="259">
          <cell r="A259">
            <v>92651</v>
          </cell>
          <cell r="B259" t="str">
            <v>TOWN OF LINDEN</v>
          </cell>
          <cell r="C259">
            <v>2540.58</v>
          </cell>
        </row>
        <row r="260">
          <cell r="A260">
            <v>92661</v>
          </cell>
          <cell r="B260" t="str">
            <v>TOWN OF SPRING LAKE</v>
          </cell>
          <cell r="C260">
            <v>546521.55000000005</v>
          </cell>
        </row>
        <row r="261">
          <cell r="A261">
            <v>92671</v>
          </cell>
          <cell r="B261" t="str">
            <v>TOWN OF FALCON</v>
          </cell>
          <cell r="C261">
            <v>5417.05</v>
          </cell>
        </row>
        <row r="262">
          <cell r="A262">
            <v>92681</v>
          </cell>
          <cell r="B262" t="str">
            <v>TOWN OF EASTOVER</v>
          </cell>
          <cell r="C262">
            <v>12159.02</v>
          </cell>
        </row>
        <row r="263">
          <cell r="A263">
            <v>92701</v>
          </cell>
          <cell r="B263" t="str">
            <v>CURRITUCK COUNTY</v>
          </cell>
          <cell r="C263">
            <v>1394893.77</v>
          </cell>
        </row>
        <row r="264">
          <cell r="A264">
            <v>92704</v>
          </cell>
          <cell r="B264" t="str">
            <v>CURRITUCK CO ABC BOARD</v>
          </cell>
          <cell r="C264">
            <v>19607.259999999998</v>
          </cell>
        </row>
        <row r="265">
          <cell r="A265">
            <v>92801</v>
          </cell>
          <cell r="B265" t="str">
            <v>DARE COUNTY</v>
          </cell>
          <cell r="C265">
            <v>2645230.56</v>
          </cell>
        </row>
        <row r="266">
          <cell r="A266">
            <v>92802</v>
          </cell>
          <cell r="B266" t="str">
            <v>DARE COUNTY TOURISM BOARD</v>
          </cell>
          <cell r="C266">
            <v>57706.16</v>
          </cell>
        </row>
        <row r="267">
          <cell r="A267">
            <v>92804</v>
          </cell>
          <cell r="B267" t="str">
            <v>DARE COUNTY ABC BOARD</v>
          </cell>
          <cell r="C267">
            <v>66559.11</v>
          </cell>
        </row>
        <row r="268">
          <cell r="A268">
            <v>92811</v>
          </cell>
          <cell r="B268" t="str">
            <v>TOWN OF NAGS HEAD</v>
          </cell>
          <cell r="C268">
            <v>479568.67</v>
          </cell>
        </row>
        <row r="269">
          <cell r="A269">
            <v>92821</v>
          </cell>
          <cell r="B269" t="str">
            <v>TOWN OF KILL DEVIL HILLS</v>
          </cell>
          <cell r="C269">
            <v>501804.14</v>
          </cell>
        </row>
        <row r="270">
          <cell r="A270">
            <v>92831</v>
          </cell>
          <cell r="B270" t="str">
            <v>TOWN OF MANTEO</v>
          </cell>
          <cell r="C270">
            <v>134107.66</v>
          </cell>
        </row>
        <row r="271">
          <cell r="A271">
            <v>92841</v>
          </cell>
          <cell r="B271" t="str">
            <v>TOWN OF SOUTHERN SHORES</v>
          </cell>
          <cell r="C271">
            <v>125072.28</v>
          </cell>
        </row>
        <row r="272">
          <cell r="A272">
            <v>92851</v>
          </cell>
          <cell r="B272" t="str">
            <v>TOWN OF KITTY HAWK</v>
          </cell>
          <cell r="C272">
            <v>192126.16</v>
          </cell>
        </row>
        <row r="273">
          <cell r="A273">
            <v>92861</v>
          </cell>
          <cell r="B273" t="str">
            <v>TOWN OF DUCK</v>
          </cell>
          <cell r="C273">
            <v>135764.57</v>
          </cell>
        </row>
        <row r="274">
          <cell r="A274">
            <v>92901</v>
          </cell>
          <cell r="B274" t="str">
            <v>DAVIDSON COUNTY</v>
          </cell>
          <cell r="C274">
            <v>2725234.28</v>
          </cell>
        </row>
        <row r="275">
          <cell r="A275">
            <v>92911</v>
          </cell>
          <cell r="B275" t="str">
            <v>CITY OF THOMASVILLE</v>
          </cell>
          <cell r="C275">
            <v>988074.59</v>
          </cell>
        </row>
        <row r="276">
          <cell r="A276">
            <v>92913</v>
          </cell>
          <cell r="B276" t="str">
            <v>THOMASVILLE HOUSING AUTHORITY</v>
          </cell>
          <cell r="C276">
            <v>56980.31</v>
          </cell>
        </row>
        <row r="277">
          <cell r="A277">
            <v>92914</v>
          </cell>
          <cell r="B277" t="str">
            <v>THOMASVILLE ABC BOARD</v>
          </cell>
          <cell r="C277">
            <v>14201.86</v>
          </cell>
        </row>
        <row r="278">
          <cell r="A278">
            <v>92917</v>
          </cell>
          <cell r="B278" t="str">
            <v>LEXINGTON ABC BOARD</v>
          </cell>
          <cell r="C278">
            <v>16093.97</v>
          </cell>
        </row>
        <row r="279">
          <cell r="A279">
            <v>92921</v>
          </cell>
          <cell r="B279" t="str">
            <v>TOWN OF DENTON</v>
          </cell>
          <cell r="C279">
            <v>47485.89</v>
          </cell>
        </row>
        <row r="280">
          <cell r="A280">
            <v>92931</v>
          </cell>
          <cell r="B280" t="str">
            <v>CITY OF LEXINGTON</v>
          </cell>
          <cell r="C280">
            <v>1185078.8799999999</v>
          </cell>
        </row>
        <row r="281">
          <cell r="A281">
            <v>92941</v>
          </cell>
          <cell r="B281" t="str">
            <v>TOWN OF MIDWAY</v>
          </cell>
          <cell r="C281">
            <v>5800.37</v>
          </cell>
        </row>
        <row r="282">
          <cell r="A282">
            <v>93001</v>
          </cell>
          <cell r="B282" t="str">
            <v>DAVIE COUNTY</v>
          </cell>
          <cell r="C282">
            <v>1079124.3999999999</v>
          </cell>
        </row>
        <row r="283">
          <cell r="A283">
            <v>93009</v>
          </cell>
          <cell r="B283" t="str">
            <v>DAVIE SOIL AND WATER CONSERVATION DIST</v>
          </cell>
          <cell r="C283">
            <v>5770.45</v>
          </cell>
        </row>
        <row r="284">
          <cell r="A284">
            <v>93011</v>
          </cell>
          <cell r="B284" t="str">
            <v>TOWN OF MOCKSVILLE</v>
          </cell>
          <cell r="C284">
            <v>154957.62</v>
          </cell>
        </row>
        <row r="285">
          <cell r="A285">
            <v>93021</v>
          </cell>
          <cell r="B285" t="str">
            <v>TOWN OF BERMUDA RUN</v>
          </cell>
          <cell r="C285">
            <v>13963.15</v>
          </cell>
        </row>
        <row r="286">
          <cell r="A286">
            <v>93027</v>
          </cell>
          <cell r="B286" t="str">
            <v>COOLEEMEE ABC BOARD</v>
          </cell>
          <cell r="C286">
            <v>6210.89</v>
          </cell>
        </row>
        <row r="287">
          <cell r="A287">
            <v>93031</v>
          </cell>
          <cell r="B287" t="str">
            <v>TOWN OF COOLEEMEE</v>
          </cell>
          <cell r="C287">
            <v>23728.55</v>
          </cell>
        </row>
        <row r="288">
          <cell r="A288">
            <v>93101</v>
          </cell>
          <cell r="B288" t="str">
            <v>DUPLIN COUNTY</v>
          </cell>
          <cell r="C288">
            <v>1558580.7</v>
          </cell>
        </row>
        <row r="289">
          <cell r="A289">
            <v>93103</v>
          </cell>
          <cell r="B289" t="str">
            <v>DUPLIN COUNTY TOURISM DEVELOPMENT AUTHORITY</v>
          </cell>
          <cell r="C289">
            <v>6012.16</v>
          </cell>
        </row>
        <row r="290">
          <cell r="A290">
            <v>93108</v>
          </cell>
          <cell r="B290" t="str">
            <v>EASTPOINTE HUMAN SERVICES</v>
          </cell>
          <cell r="C290">
            <v>1177629.3799999999</v>
          </cell>
        </row>
        <row r="291">
          <cell r="A291">
            <v>93111</v>
          </cell>
          <cell r="B291" t="str">
            <v>TOWN OF BEULAVILLE</v>
          </cell>
          <cell r="C291">
            <v>28174.57</v>
          </cell>
        </row>
        <row r="292">
          <cell r="A292">
            <v>93121</v>
          </cell>
          <cell r="B292" t="str">
            <v>TOWN OF KENANSVILLE</v>
          </cell>
          <cell r="C292">
            <v>31032.58</v>
          </cell>
        </row>
        <row r="293">
          <cell r="A293">
            <v>93127</v>
          </cell>
          <cell r="B293" t="str">
            <v>KENANSVILLE ABC BOARD</v>
          </cell>
          <cell r="C293">
            <v>3229.76</v>
          </cell>
        </row>
        <row r="294">
          <cell r="A294">
            <v>93131</v>
          </cell>
          <cell r="B294" t="str">
            <v>TOWN OF WARSAW</v>
          </cell>
          <cell r="C294">
            <v>93827.23</v>
          </cell>
        </row>
        <row r="295">
          <cell r="A295">
            <v>93137</v>
          </cell>
          <cell r="B295" t="str">
            <v>WARSAW ABC BOARD</v>
          </cell>
          <cell r="C295">
            <v>2953.43</v>
          </cell>
        </row>
        <row r="296">
          <cell r="A296">
            <v>93141</v>
          </cell>
          <cell r="B296" t="str">
            <v>TOWN OF FAISON</v>
          </cell>
          <cell r="C296">
            <v>16087.87</v>
          </cell>
        </row>
        <row r="297">
          <cell r="A297">
            <v>93151</v>
          </cell>
          <cell r="B297" t="str">
            <v>TOWN OF WALLACE</v>
          </cell>
          <cell r="C297">
            <v>160775.82</v>
          </cell>
        </row>
        <row r="298">
          <cell r="A298">
            <v>93157</v>
          </cell>
          <cell r="B298" t="str">
            <v>WALLACE ABC BD</v>
          </cell>
          <cell r="C298">
            <v>6823.32</v>
          </cell>
        </row>
        <row r="299">
          <cell r="A299">
            <v>93161</v>
          </cell>
          <cell r="B299" t="str">
            <v>TOWN OF ROSE HILL</v>
          </cell>
          <cell r="C299">
            <v>51773.47</v>
          </cell>
        </row>
        <row r="300">
          <cell r="A300">
            <v>93171</v>
          </cell>
          <cell r="B300" t="str">
            <v>TOWN OF CALYPSO</v>
          </cell>
          <cell r="C300">
            <v>2322.04</v>
          </cell>
        </row>
        <row r="301">
          <cell r="A301">
            <v>93181</v>
          </cell>
          <cell r="B301" t="str">
            <v>TOWN OF TEACHEY</v>
          </cell>
          <cell r="C301">
            <v>5787.31</v>
          </cell>
        </row>
        <row r="302">
          <cell r="A302">
            <v>93191</v>
          </cell>
          <cell r="B302" t="str">
            <v>TOWN OF MAGNOLIA</v>
          </cell>
          <cell r="C302">
            <v>16585.349999999999</v>
          </cell>
        </row>
        <row r="303">
          <cell r="A303">
            <v>93201</v>
          </cell>
          <cell r="B303" t="str">
            <v>DURHAM COUNTY</v>
          </cell>
          <cell r="C303">
            <v>7788677.8200000003</v>
          </cell>
        </row>
        <row r="304">
          <cell r="A304">
            <v>93204</v>
          </cell>
          <cell r="B304" t="str">
            <v>DURHAM COUNTY ABC BOARD</v>
          </cell>
          <cell r="C304">
            <v>169803.69</v>
          </cell>
        </row>
        <row r="305">
          <cell r="A305">
            <v>93209</v>
          </cell>
          <cell r="B305" t="str">
            <v>ALLIANCE BEHAVIORAL HEALTHCRE</v>
          </cell>
          <cell r="C305">
            <v>2328064.71</v>
          </cell>
        </row>
        <row r="306">
          <cell r="A306">
            <v>93211</v>
          </cell>
          <cell r="B306" t="str">
            <v>CITY OF DURHAM</v>
          </cell>
          <cell r="C306">
            <v>10204404.300000001</v>
          </cell>
        </row>
        <row r="307">
          <cell r="A307">
            <v>93212</v>
          </cell>
          <cell r="B307" t="str">
            <v>DURHAM CONVENTION &amp; VISITORS BUREAU</v>
          </cell>
          <cell r="C307">
            <v>244862.24</v>
          </cell>
        </row>
        <row r="308">
          <cell r="A308">
            <v>93219</v>
          </cell>
          <cell r="B308" t="str">
            <v>TRIANGLE J COUNCIL OF GOVERNMENTS</v>
          </cell>
          <cell r="C308">
            <v>129471.25</v>
          </cell>
        </row>
        <row r="309">
          <cell r="A309">
            <v>93301</v>
          </cell>
          <cell r="B309" t="str">
            <v>EDGECOMBE COUNTY</v>
          </cell>
          <cell r="C309">
            <v>1097553.08</v>
          </cell>
        </row>
        <row r="310">
          <cell r="A310">
            <v>93304</v>
          </cell>
          <cell r="B310" t="str">
            <v>EDGECOMBE COUNTY ABC BOARD</v>
          </cell>
          <cell r="C310">
            <v>20870.68</v>
          </cell>
        </row>
        <row r="311">
          <cell r="A311">
            <v>93305</v>
          </cell>
          <cell r="B311" t="str">
            <v>EDGECOMBE COUNTY MEMORIAL LIBRARY</v>
          </cell>
          <cell r="C311">
            <v>20942.88</v>
          </cell>
        </row>
        <row r="312">
          <cell r="A312">
            <v>93309</v>
          </cell>
          <cell r="B312" t="str">
            <v>UPPER COASTAL PLAIN COUNCIL OF GOVERNMENTS</v>
          </cell>
          <cell r="C312">
            <v>99537.62</v>
          </cell>
        </row>
        <row r="313">
          <cell r="A313">
            <v>93311</v>
          </cell>
          <cell r="B313" t="str">
            <v>TOWN OF TARBORO</v>
          </cell>
          <cell r="C313">
            <v>566417.26</v>
          </cell>
        </row>
        <row r="314">
          <cell r="A314">
            <v>93317</v>
          </cell>
          <cell r="B314" t="str">
            <v>TARBORO REDEVELOPMENT COMMISSION</v>
          </cell>
          <cell r="C314">
            <v>21797.59</v>
          </cell>
        </row>
        <row r="315">
          <cell r="A315">
            <v>93321</v>
          </cell>
          <cell r="B315" t="str">
            <v>CITY OF ROCKY MOUNT</v>
          </cell>
          <cell r="C315">
            <v>3382414.96</v>
          </cell>
        </row>
        <row r="316">
          <cell r="A316">
            <v>93323</v>
          </cell>
          <cell r="B316" t="str">
            <v>ROCKY MOUNT-WILSON AIRPORT AUTHORITY</v>
          </cell>
          <cell r="C316">
            <v>9435.43</v>
          </cell>
        </row>
        <row r="317">
          <cell r="A317">
            <v>93331</v>
          </cell>
          <cell r="B317" t="str">
            <v>TOWN OF PINETOPS</v>
          </cell>
          <cell r="C317">
            <v>65250.99</v>
          </cell>
        </row>
        <row r="318">
          <cell r="A318">
            <v>93333</v>
          </cell>
          <cell r="B318" t="str">
            <v>ROCKY MT HOUSING AUTHORITY</v>
          </cell>
          <cell r="C318">
            <v>102856.65</v>
          </cell>
        </row>
        <row r="319">
          <cell r="A319">
            <v>93341</v>
          </cell>
          <cell r="B319" t="str">
            <v>TOWN OF MACCLESFIELD</v>
          </cell>
          <cell r="C319">
            <v>14255.5</v>
          </cell>
        </row>
        <row r="320">
          <cell r="A320">
            <v>93351</v>
          </cell>
          <cell r="B320" t="str">
            <v>TOWN OF PRINCEVILLE</v>
          </cell>
          <cell r="C320">
            <v>9872.36</v>
          </cell>
        </row>
        <row r="321">
          <cell r="A321">
            <v>93401</v>
          </cell>
          <cell r="B321" t="str">
            <v>FORSYTH COUNTY</v>
          </cell>
          <cell r="C321">
            <v>6853482.3899999997</v>
          </cell>
        </row>
        <row r="322">
          <cell r="A322">
            <v>93402</v>
          </cell>
          <cell r="B322" t="str">
            <v>AIRPORT COMMISSION OF FORSYTH COUNTY</v>
          </cell>
          <cell r="C322">
            <v>39484.559999999998</v>
          </cell>
        </row>
        <row r="323">
          <cell r="A323">
            <v>93406</v>
          </cell>
          <cell r="B323" t="str">
            <v>PIEDMONT TRIAD REGIONAL COUNCIL</v>
          </cell>
          <cell r="C323">
            <v>258772.74</v>
          </cell>
        </row>
        <row r="324">
          <cell r="A324">
            <v>93411</v>
          </cell>
          <cell r="B324" t="str">
            <v>CITY OF WINSTON-SALEM</v>
          </cell>
          <cell r="C324">
            <v>8965258.6500000004</v>
          </cell>
        </row>
        <row r="325">
          <cell r="A325">
            <v>93413</v>
          </cell>
          <cell r="B325" t="str">
            <v>WINSTON-SALEM HOUSING AUTHORITY</v>
          </cell>
          <cell r="C325">
            <v>379792.76</v>
          </cell>
        </row>
        <row r="326">
          <cell r="A326">
            <v>93417</v>
          </cell>
          <cell r="B326" t="str">
            <v>TRIAD MUNICIPAL ABC BOARD</v>
          </cell>
          <cell r="C326">
            <v>186966.17</v>
          </cell>
        </row>
        <row r="327">
          <cell r="A327">
            <v>93421</v>
          </cell>
          <cell r="B327" t="str">
            <v>TOWN OF KERNERSVILLE</v>
          </cell>
          <cell r="C327">
            <v>954135.29</v>
          </cell>
        </row>
        <row r="328">
          <cell r="A328">
            <v>93431</v>
          </cell>
          <cell r="B328" t="str">
            <v>TOWN OF RURAL HALL</v>
          </cell>
          <cell r="C328">
            <v>68106.5</v>
          </cell>
        </row>
        <row r="329">
          <cell r="A329">
            <v>93441</v>
          </cell>
          <cell r="B329" t="str">
            <v>VILLAGE OF CLEMMONS</v>
          </cell>
          <cell r="C329">
            <v>78286.12</v>
          </cell>
        </row>
        <row r="330">
          <cell r="A330">
            <v>93442</v>
          </cell>
          <cell r="B330" t="str">
            <v>CLEMMONS FIRE DEPARTMENT</v>
          </cell>
          <cell r="C330">
            <v>65679.22</v>
          </cell>
        </row>
        <row r="331">
          <cell r="A331">
            <v>93451</v>
          </cell>
          <cell r="B331" t="str">
            <v>TOWN OF LEWISVILLE</v>
          </cell>
          <cell r="C331">
            <v>45716</v>
          </cell>
        </row>
        <row r="332">
          <cell r="A332">
            <v>93461</v>
          </cell>
          <cell r="B332" t="str">
            <v>TOWN OF WALKERTOWN</v>
          </cell>
          <cell r="C332">
            <v>8763.84</v>
          </cell>
        </row>
        <row r="333">
          <cell r="A333">
            <v>93471</v>
          </cell>
          <cell r="B333" t="str">
            <v>VILLAGE OF TOBACCOVILLE</v>
          </cell>
          <cell r="C333">
            <v>8892.32</v>
          </cell>
        </row>
        <row r="334">
          <cell r="A334">
            <v>93501</v>
          </cell>
          <cell r="B334" t="str">
            <v>FRANKLIN COUNTY</v>
          </cell>
          <cell r="C334">
            <v>1804126.77</v>
          </cell>
        </row>
        <row r="335">
          <cell r="A335">
            <v>93511</v>
          </cell>
          <cell r="B335" t="str">
            <v>TOWN OF FRANKLINTON</v>
          </cell>
          <cell r="C335">
            <v>50009.62</v>
          </cell>
        </row>
        <row r="336">
          <cell r="A336">
            <v>93517</v>
          </cell>
          <cell r="B336" t="str">
            <v>FRANKLINTON ABC BOARD</v>
          </cell>
          <cell r="C336">
            <v>4538.6400000000003</v>
          </cell>
        </row>
        <row r="337">
          <cell r="A337">
            <v>93521</v>
          </cell>
          <cell r="B337" t="str">
            <v>TOWN OF LOUISBURG</v>
          </cell>
          <cell r="C337">
            <v>223246.95</v>
          </cell>
        </row>
        <row r="338">
          <cell r="A338">
            <v>93527</v>
          </cell>
          <cell r="B338" t="str">
            <v>LOUISBURG ABC BOARD</v>
          </cell>
          <cell r="C338">
            <v>11035.7</v>
          </cell>
        </row>
        <row r="339">
          <cell r="A339">
            <v>93531</v>
          </cell>
          <cell r="B339" t="str">
            <v>TOWN OF BUNN</v>
          </cell>
          <cell r="C339">
            <v>11788.28</v>
          </cell>
        </row>
        <row r="340">
          <cell r="A340">
            <v>93537</v>
          </cell>
          <cell r="B340" t="str">
            <v>ABC BOARD - TOWN OF BUNN</v>
          </cell>
          <cell r="C340">
            <v>4241.51</v>
          </cell>
        </row>
        <row r="341">
          <cell r="A341">
            <v>93541</v>
          </cell>
          <cell r="B341" t="str">
            <v>TOWN OF YOUNGSVILLE</v>
          </cell>
          <cell r="C341">
            <v>52146.46</v>
          </cell>
        </row>
        <row r="342">
          <cell r="A342">
            <v>93601</v>
          </cell>
          <cell r="B342" t="str">
            <v>GASTON COUNTY</v>
          </cell>
          <cell r="C342">
            <v>5558464.96</v>
          </cell>
        </row>
        <row r="343">
          <cell r="A343">
            <v>93602</v>
          </cell>
          <cell r="B343" t="str">
            <v>TOWN OF STANLEY</v>
          </cell>
          <cell r="C343">
            <v>91453.95</v>
          </cell>
        </row>
        <row r="344">
          <cell r="A344">
            <v>93604</v>
          </cell>
          <cell r="B344" t="str">
            <v>CRAMERTON ABC BOARD</v>
          </cell>
          <cell r="C344">
            <v>16372.45</v>
          </cell>
        </row>
        <row r="345">
          <cell r="A345">
            <v>93609</v>
          </cell>
          <cell r="B345" t="str">
            <v>PARTNERS BEHAVIORAL HEALTH MANAGEMENT</v>
          </cell>
          <cell r="C345">
            <v>1828677.91</v>
          </cell>
        </row>
        <row r="346">
          <cell r="A346">
            <v>93610</v>
          </cell>
          <cell r="B346" t="str">
            <v>TOWN OF MCADENVILLE</v>
          </cell>
          <cell r="C346">
            <v>6459.07</v>
          </cell>
        </row>
        <row r="347">
          <cell r="A347">
            <v>93611</v>
          </cell>
          <cell r="B347" t="str">
            <v>CITY OF GASTONIA</v>
          </cell>
          <cell r="C347">
            <v>3375519.62</v>
          </cell>
        </row>
        <row r="348">
          <cell r="A348">
            <v>93617</v>
          </cell>
          <cell r="B348" t="str">
            <v>GASTONIA ABC BOARD</v>
          </cell>
          <cell r="C348">
            <v>53912.52</v>
          </cell>
        </row>
        <row r="349">
          <cell r="A349">
            <v>93618</v>
          </cell>
          <cell r="B349" t="str">
            <v>GASTON COUNTY ECONOMIC DEV. COMMISSION</v>
          </cell>
          <cell r="C349">
            <v>25051.18</v>
          </cell>
        </row>
        <row r="350">
          <cell r="A350">
            <v>93621</v>
          </cell>
          <cell r="B350" t="str">
            <v>CITY OF BELMONT</v>
          </cell>
          <cell r="C350">
            <v>458650.9</v>
          </cell>
        </row>
        <row r="351">
          <cell r="A351">
            <v>93623</v>
          </cell>
          <cell r="B351" t="str">
            <v>BELMONT HOUSING AUTHORITY</v>
          </cell>
          <cell r="C351">
            <v>8365.67</v>
          </cell>
        </row>
        <row r="352">
          <cell r="A352">
            <v>93631</v>
          </cell>
          <cell r="B352" t="str">
            <v>TOWN OF CRAMERTON</v>
          </cell>
          <cell r="C352">
            <v>105757.28</v>
          </cell>
        </row>
        <row r="353">
          <cell r="A353">
            <v>93641</v>
          </cell>
          <cell r="B353" t="str">
            <v>CITY OF CHERRYVILLE</v>
          </cell>
          <cell r="C353">
            <v>208215.98</v>
          </cell>
        </row>
        <row r="354">
          <cell r="A354">
            <v>93647</v>
          </cell>
          <cell r="B354" t="str">
            <v>CHERRYVILLE ABC BOARD</v>
          </cell>
          <cell r="C354">
            <v>9827.48</v>
          </cell>
        </row>
        <row r="355">
          <cell r="A355">
            <v>93651</v>
          </cell>
          <cell r="B355" t="str">
            <v>TOWN OF DALLAS</v>
          </cell>
          <cell r="C355">
            <v>203987.42</v>
          </cell>
        </row>
        <row r="356">
          <cell r="A356">
            <v>93661</v>
          </cell>
          <cell r="B356" t="str">
            <v>CITY OF LOWELL</v>
          </cell>
          <cell r="C356">
            <v>66947.61</v>
          </cell>
        </row>
        <row r="357">
          <cell r="A357">
            <v>93671</v>
          </cell>
          <cell r="B357" t="str">
            <v>BESSEMER CITY</v>
          </cell>
          <cell r="C357">
            <v>187843.31</v>
          </cell>
        </row>
        <row r="358">
          <cell r="A358">
            <v>93681</v>
          </cell>
          <cell r="B358" t="str">
            <v>TOWN OF RANLO</v>
          </cell>
          <cell r="C358">
            <v>59051.14</v>
          </cell>
        </row>
        <row r="359">
          <cell r="A359">
            <v>93691</v>
          </cell>
          <cell r="B359" t="str">
            <v>CITY OF MOUNT HOLLY</v>
          </cell>
          <cell r="C359">
            <v>498869.79</v>
          </cell>
        </row>
        <row r="360">
          <cell r="A360">
            <v>93701</v>
          </cell>
          <cell r="B360" t="str">
            <v>GATES COUNTY</v>
          </cell>
          <cell r="C360">
            <v>219010.73</v>
          </cell>
        </row>
        <row r="361">
          <cell r="A361">
            <v>93704</v>
          </cell>
          <cell r="B361" t="str">
            <v>GATES COUNTY ABC BOARD</v>
          </cell>
          <cell r="C361">
            <v>2030.16</v>
          </cell>
        </row>
        <row r="362">
          <cell r="A362">
            <v>93801</v>
          </cell>
          <cell r="B362" t="str">
            <v>GRAHAM COUNTY</v>
          </cell>
          <cell r="C362">
            <v>205695.24</v>
          </cell>
        </row>
        <row r="363">
          <cell r="A363">
            <v>93803</v>
          </cell>
          <cell r="B363" t="str">
            <v>GRAHAM CO HEALTH DEPT</v>
          </cell>
          <cell r="C363">
            <v>48471.5</v>
          </cell>
        </row>
        <row r="364">
          <cell r="A364">
            <v>93806</v>
          </cell>
          <cell r="B364" t="str">
            <v>GRAHAM COUNTY DEPT OF S S</v>
          </cell>
          <cell r="C364">
            <v>42552.42</v>
          </cell>
        </row>
        <row r="365">
          <cell r="A365">
            <v>93821</v>
          </cell>
          <cell r="B365" t="str">
            <v>TOWN OF ROBBINSVILLE</v>
          </cell>
          <cell r="C365">
            <v>54684.81</v>
          </cell>
        </row>
        <row r="366">
          <cell r="A366">
            <v>93901</v>
          </cell>
          <cell r="B366" t="str">
            <v>GRANVILLE COUNTY</v>
          </cell>
          <cell r="C366">
            <v>959406.95</v>
          </cell>
        </row>
        <row r="367">
          <cell r="A367">
            <v>93904</v>
          </cell>
          <cell r="B367" t="str">
            <v>GRANVILLE CO ABC BD</v>
          </cell>
          <cell r="C367">
            <v>20649.14</v>
          </cell>
        </row>
        <row r="368">
          <cell r="A368">
            <v>93906</v>
          </cell>
          <cell r="B368" t="str">
            <v>GRANVILLE COUNTY HOSPITAL</v>
          </cell>
          <cell r="C368">
            <v>1531380.48</v>
          </cell>
        </row>
        <row r="369">
          <cell r="A369">
            <v>93908</v>
          </cell>
          <cell r="B369" t="str">
            <v>GRANVILLE-VANCE PUBLIC HEALTH</v>
          </cell>
          <cell r="C369">
            <v>243682.52</v>
          </cell>
        </row>
        <row r="370">
          <cell r="A370">
            <v>93910</v>
          </cell>
          <cell r="B370" t="str">
            <v>SOUTH GRANVILLE WATER AND SEWER AUTHORITY</v>
          </cell>
          <cell r="C370">
            <v>124943.65</v>
          </cell>
        </row>
        <row r="371">
          <cell r="A371">
            <v>93911</v>
          </cell>
          <cell r="B371" t="str">
            <v>CITY OF OXFORD</v>
          </cell>
          <cell r="C371">
            <v>321853.03999999998</v>
          </cell>
        </row>
        <row r="372">
          <cell r="A372">
            <v>93913</v>
          </cell>
          <cell r="B372" t="str">
            <v>OXFORD HOUSING AUTHORITY</v>
          </cell>
          <cell r="C372">
            <v>32427.7</v>
          </cell>
        </row>
        <row r="373">
          <cell r="A373">
            <v>93914</v>
          </cell>
          <cell r="B373" t="str">
            <v>TOWN OF STOVALL</v>
          </cell>
          <cell r="C373">
            <v>6762.08</v>
          </cell>
        </row>
        <row r="374">
          <cell r="A374">
            <v>93921</v>
          </cell>
          <cell r="B374" t="str">
            <v>CITY OF CREEDMOOR</v>
          </cell>
          <cell r="C374">
            <v>137542.51999999999</v>
          </cell>
        </row>
        <row r="375">
          <cell r="A375">
            <v>93931</v>
          </cell>
          <cell r="B375" t="str">
            <v>TOWN OF BUTNER</v>
          </cell>
          <cell r="C375">
            <v>238501.86</v>
          </cell>
        </row>
        <row r="376">
          <cell r="A376">
            <v>94001</v>
          </cell>
          <cell r="B376" t="str">
            <v>GREENE COUNTY</v>
          </cell>
          <cell r="C376">
            <v>461320.33</v>
          </cell>
        </row>
        <row r="377">
          <cell r="A377">
            <v>94002</v>
          </cell>
          <cell r="B377" t="str">
            <v>MAURY SANITARY LAND DISTRICT</v>
          </cell>
          <cell r="C377">
            <v>4785.87</v>
          </cell>
        </row>
        <row r="378">
          <cell r="A378">
            <v>94004</v>
          </cell>
          <cell r="B378" t="str">
            <v>GREENE COUNTY ABC BOARD</v>
          </cell>
          <cell r="C378">
            <v>4601.3500000000004</v>
          </cell>
        </row>
        <row r="379">
          <cell r="A379">
            <v>94005</v>
          </cell>
          <cell r="B379" t="str">
            <v>NEUSE REGIONAL LIBRARY-GREENE COUNTY</v>
          </cell>
          <cell r="C379">
            <v>2452.52</v>
          </cell>
        </row>
        <row r="380">
          <cell r="A380">
            <v>94011</v>
          </cell>
          <cell r="B380" t="str">
            <v>TOWN OF HOOKERTON</v>
          </cell>
          <cell r="C380">
            <v>11857.95</v>
          </cell>
        </row>
        <row r="381">
          <cell r="A381">
            <v>94021</v>
          </cell>
          <cell r="B381" t="str">
            <v>TOWN OF SNOW HILL</v>
          </cell>
          <cell r="C381">
            <v>48100.27</v>
          </cell>
        </row>
        <row r="382">
          <cell r="A382">
            <v>94031</v>
          </cell>
          <cell r="B382" t="str">
            <v>TOWN OF WALSTONBURG</v>
          </cell>
          <cell r="C382">
            <v>7086.72</v>
          </cell>
        </row>
        <row r="383">
          <cell r="A383">
            <v>94101</v>
          </cell>
          <cell r="B383" t="str">
            <v>GUILFORD COUNTY</v>
          </cell>
          <cell r="C383">
            <v>9082874.8599999994</v>
          </cell>
        </row>
        <row r="384">
          <cell r="A384">
            <v>94102</v>
          </cell>
          <cell r="B384" t="str">
            <v>GUIL-RAND FIRE DEPARTMENT</v>
          </cell>
          <cell r="C384">
            <v>109831.08</v>
          </cell>
        </row>
        <row r="385">
          <cell r="A385">
            <v>94108</v>
          </cell>
          <cell r="B385" t="str">
            <v>PINECROFT-SEDGEFIELD FIRE DIST INC</v>
          </cell>
          <cell r="C385">
            <v>141635.35999999999</v>
          </cell>
        </row>
        <row r="386">
          <cell r="A386">
            <v>94109</v>
          </cell>
          <cell r="B386" t="str">
            <v>ALAMANCE COMM FIRE DIST</v>
          </cell>
          <cell r="C386">
            <v>34308.53</v>
          </cell>
        </row>
        <row r="387">
          <cell r="A387">
            <v>94111</v>
          </cell>
          <cell r="B387" t="str">
            <v>CITY OF GREENSBORO</v>
          </cell>
          <cell r="C387">
            <v>12055216.26</v>
          </cell>
        </row>
        <row r="388">
          <cell r="A388">
            <v>94112</v>
          </cell>
          <cell r="B388" t="str">
            <v>PIEDMONT TRIAD REG WATER AUTH</v>
          </cell>
          <cell r="C388">
            <v>76727.23</v>
          </cell>
        </row>
        <row r="389">
          <cell r="A389">
            <v>94117</v>
          </cell>
          <cell r="B389" t="str">
            <v>GREENSBORO ABC BD</v>
          </cell>
          <cell r="C389">
            <v>182766.8</v>
          </cell>
        </row>
        <row r="390">
          <cell r="A390">
            <v>94118</v>
          </cell>
          <cell r="B390" t="str">
            <v>GUILFORD FIRE DISTRICT # 13 INC</v>
          </cell>
          <cell r="C390">
            <v>64547.74</v>
          </cell>
        </row>
        <row r="391">
          <cell r="A391">
            <v>94121</v>
          </cell>
          <cell r="B391" t="str">
            <v>CITY OF HIGH POINT</v>
          </cell>
          <cell r="C391">
            <v>5648220.7400000002</v>
          </cell>
        </row>
        <row r="392">
          <cell r="A392">
            <v>94127</v>
          </cell>
          <cell r="B392" t="str">
            <v>HIGH POINT ABC BD</v>
          </cell>
          <cell r="C392">
            <v>77193.210000000006</v>
          </cell>
        </row>
        <row r="393">
          <cell r="A393">
            <v>94131</v>
          </cell>
          <cell r="B393" t="str">
            <v>TOWN OF JAMESTOWN</v>
          </cell>
          <cell r="C393">
            <v>104615.2</v>
          </cell>
        </row>
        <row r="394">
          <cell r="A394">
            <v>94151</v>
          </cell>
          <cell r="B394" t="str">
            <v>TOWN OF GIBSONVILLE</v>
          </cell>
          <cell r="C394">
            <v>198961.68</v>
          </cell>
        </row>
        <row r="395">
          <cell r="A395">
            <v>94157</v>
          </cell>
          <cell r="B395" t="str">
            <v>GIBSONVILLE ABC BOARD</v>
          </cell>
          <cell r="C395">
            <v>5164.3100000000004</v>
          </cell>
        </row>
        <row r="396">
          <cell r="A396">
            <v>94161</v>
          </cell>
          <cell r="B396" t="str">
            <v>TOWN OF OAK RIDGE</v>
          </cell>
          <cell r="C396">
            <v>22912.52</v>
          </cell>
        </row>
        <row r="397">
          <cell r="A397">
            <v>94168</v>
          </cell>
          <cell r="B397" t="str">
            <v>COLFAX VOLUNTEER FIRE DEPARTMENT</v>
          </cell>
          <cell r="C397">
            <v>22540.27</v>
          </cell>
        </row>
        <row r="398">
          <cell r="A398">
            <v>94171</v>
          </cell>
          <cell r="B398" t="str">
            <v>TOWN OF SUMMERFIELD</v>
          </cell>
          <cell r="C398">
            <v>32386.33</v>
          </cell>
        </row>
        <row r="399">
          <cell r="A399">
            <v>94172</v>
          </cell>
          <cell r="B399" t="str">
            <v>SUMMERFIELD FIRE DISTRICT</v>
          </cell>
          <cell r="C399">
            <v>104259.5</v>
          </cell>
        </row>
        <row r="400">
          <cell r="A400">
            <v>94201</v>
          </cell>
          <cell r="B400" t="str">
            <v>HALIFAX COUNTY</v>
          </cell>
          <cell r="C400">
            <v>1635512.15</v>
          </cell>
        </row>
        <row r="401">
          <cell r="A401">
            <v>94204</v>
          </cell>
          <cell r="B401" t="str">
            <v>HALIFAX COUNTY ABC BOARD</v>
          </cell>
          <cell r="C401">
            <v>18471.009999999998</v>
          </cell>
        </row>
        <row r="402">
          <cell r="A402">
            <v>94205</v>
          </cell>
          <cell r="B402" t="str">
            <v>HALIFAX COUNTY TOURISM DEVELOPMENT AUTHORITY</v>
          </cell>
          <cell r="C402">
            <v>11769.76</v>
          </cell>
        </row>
        <row r="403">
          <cell r="A403">
            <v>94209</v>
          </cell>
          <cell r="B403" t="str">
            <v>ROANOKE RAPIDS SANITARY DISTRICT</v>
          </cell>
          <cell r="C403">
            <v>156050.97</v>
          </cell>
        </row>
        <row r="404">
          <cell r="A404">
            <v>94211</v>
          </cell>
          <cell r="B404" t="str">
            <v>TOWN OF ENFIELD</v>
          </cell>
          <cell r="C404">
            <v>63943.5</v>
          </cell>
        </row>
        <row r="405">
          <cell r="A405">
            <v>94221</v>
          </cell>
          <cell r="B405" t="str">
            <v>CITY OF ROANOKE RAPIDS</v>
          </cell>
          <cell r="C405">
            <v>486207.1</v>
          </cell>
        </row>
        <row r="406">
          <cell r="A406">
            <v>94231</v>
          </cell>
          <cell r="B406" t="str">
            <v>TOWN OF WELDON</v>
          </cell>
          <cell r="C406">
            <v>89897.25</v>
          </cell>
        </row>
        <row r="407">
          <cell r="A407">
            <v>94241</v>
          </cell>
          <cell r="B407" t="str">
            <v>TOWN OF SCOTLAND NECK</v>
          </cell>
          <cell r="C407">
            <v>55125.919999999998</v>
          </cell>
        </row>
        <row r="408">
          <cell r="A408">
            <v>94251</v>
          </cell>
          <cell r="B408" t="str">
            <v>TOWN OF HOBGOOD</v>
          </cell>
          <cell r="C408">
            <v>9677.59</v>
          </cell>
        </row>
        <row r="409">
          <cell r="A409">
            <v>94261</v>
          </cell>
          <cell r="B409" t="str">
            <v>TOWN OF LITTLETON</v>
          </cell>
          <cell r="C409">
            <v>19409.43</v>
          </cell>
        </row>
        <row r="410">
          <cell r="A410">
            <v>94301</v>
          </cell>
          <cell r="B410" t="str">
            <v>HARNETT COUNTY</v>
          </cell>
          <cell r="C410">
            <v>3065671.05</v>
          </cell>
        </row>
        <row r="411">
          <cell r="A411">
            <v>94311</v>
          </cell>
          <cell r="B411" t="str">
            <v>CITY OF DUNN</v>
          </cell>
          <cell r="C411">
            <v>371563.2</v>
          </cell>
        </row>
        <row r="412">
          <cell r="A412">
            <v>94313</v>
          </cell>
          <cell r="B412" t="str">
            <v>DUNN HOUSING AUTHORITY</v>
          </cell>
          <cell r="C412">
            <v>14194.6</v>
          </cell>
        </row>
        <row r="413">
          <cell r="A413">
            <v>94317</v>
          </cell>
          <cell r="B413" t="str">
            <v>DUNN ABC BOARD</v>
          </cell>
          <cell r="C413">
            <v>10719.35</v>
          </cell>
        </row>
        <row r="414">
          <cell r="A414">
            <v>94321</v>
          </cell>
          <cell r="B414" t="str">
            <v>TOWN OF LILLINGTON</v>
          </cell>
          <cell r="C414">
            <v>120686.37</v>
          </cell>
        </row>
        <row r="415">
          <cell r="A415">
            <v>94331</v>
          </cell>
          <cell r="B415" t="str">
            <v>TOWN OF ERWIN</v>
          </cell>
          <cell r="C415">
            <v>79182.12</v>
          </cell>
        </row>
        <row r="416">
          <cell r="A416">
            <v>94341</v>
          </cell>
          <cell r="B416" t="str">
            <v>TOWN OF COATS</v>
          </cell>
          <cell r="C416">
            <v>38623.660000000003</v>
          </cell>
        </row>
        <row r="417">
          <cell r="A417">
            <v>94347</v>
          </cell>
          <cell r="B417" t="str">
            <v>TOWN OF ANGIER ABC BOARD</v>
          </cell>
          <cell r="C417">
            <v>6483.89</v>
          </cell>
        </row>
        <row r="418">
          <cell r="A418">
            <v>94351</v>
          </cell>
          <cell r="B418" t="str">
            <v>TOWN OF ANGIER</v>
          </cell>
          <cell r="C418">
            <v>111785.13</v>
          </cell>
        </row>
        <row r="419">
          <cell r="A419">
            <v>94401</v>
          </cell>
          <cell r="B419" t="str">
            <v>HAYWOOD COUNTY</v>
          </cell>
          <cell r="C419">
            <v>1613627.2</v>
          </cell>
        </row>
        <row r="420">
          <cell r="A420">
            <v>94403</v>
          </cell>
          <cell r="B420" t="str">
            <v>HAYWOOD COUNTY TOURISM DEVELOPMENT AUTHORITY</v>
          </cell>
          <cell r="C420">
            <v>16659.03</v>
          </cell>
        </row>
        <row r="421">
          <cell r="A421">
            <v>94408</v>
          </cell>
          <cell r="B421" t="str">
            <v>JUNALUSKA SANITARY DISTRICT</v>
          </cell>
          <cell r="C421">
            <v>17934.95</v>
          </cell>
        </row>
        <row r="422">
          <cell r="A422">
            <v>94411</v>
          </cell>
          <cell r="B422" t="str">
            <v>TOWN OF WAYNESVILLE</v>
          </cell>
          <cell r="C422">
            <v>585990.54</v>
          </cell>
        </row>
        <row r="423">
          <cell r="A423">
            <v>94412</v>
          </cell>
          <cell r="B423" t="str">
            <v>WAYNESVILLE ABC BOARD</v>
          </cell>
          <cell r="C423">
            <v>14142.96</v>
          </cell>
        </row>
        <row r="424">
          <cell r="A424">
            <v>94421</v>
          </cell>
          <cell r="B424" t="str">
            <v>TOWN OF MAGGIE VALLEY</v>
          </cell>
          <cell r="C424">
            <v>77726.42</v>
          </cell>
        </row>
        <row r="425">
          <cell r="A425">
            <v>94427</v>
          </cell>
          <cell r="B425" t="str">
            <v>MAGGIE VALLEY ABC BOARD</v>
          </cell>
          <cell r="C425">
            <v>10757.71</v>
          </cell>
        </row>
        <row r="426">
          <cell r="A426">
            <v>94428</v>
          </cell>
          <cell r="B426" t="str">
            <v>MAGGIE VALLEY SANITARY DIST</v>
          </cell>
          <cell r="C426">
            <v>36851.620000000003</v>
          </cell>
        </row>
        <row r="427">
          <cell r="A427">
            <v>94431</v>
          </cell>
          <cell r="B427" t="str">
            <v>TOWN OF CANTON</v>
          </cell>
          <cell r="C427">
            <v>304045.34999999998</v>
          </cell>
        </row>
        <row r="428">
          <cell r="A428">
            <v>94437</v>
          </cell>
          <cell r="B428" t="str">
            <v>CANTON ABC BOARD</v>
          </cell>
          <cell r="C428">
            <v>13413.12</v>
          </cell>
        </row>
        <row r="429">
          <cell r="A429">
            <v>94501</v>
          </cell>
          <cell r="B429" t="str">
            <v>COUNTY OF HENDERSON</v>
          </cell>
          <cell r="C429">
            <v>2853870.53</v>
          </cell>
        </row>
        <row r="430">
          <cell r="A430">
            <v>94511</v>
          </cell>
          <cell r="B430" t="str">
            <v>CITY OF HENDERSONVILLE</v>
          </cell>
          <cell r="C430">
            <v>890338.96</v>
          </cell>
        </row>
        <row r="431">
          <cell r="A431">
            <v>94517</v>
          </cell>
          <cell r="B431" t="str">
            <v>HENDERSONVILLE ABC BD</v>
          </cell>
          <cell r="C431">
            <v>31791.79</v>
          </cell>
        </row>
        <row r="432">
          <cell r="A432">
            <v>94521</v>
          </cell>
          <cell r="B432" t="str">
            <v>TOWN OF LAUREL PARK</v>
          </cell>
          <cell r="C432">
            <v>64723.5</v>
          </cell>
        </row>
        <row r="433">
          <cell r="A433">
            <v>94527</v>
          </cell>
          <cell r="B433" t="str">
            <v>LAUREL PARK ABC BOARD</v>
          </cell>
          <cell r="C433">
            <v>2986.99</v>
          </cell>
        </row>
        <row r="434">
          <cell r="A434">
            <v>94531</v>
          </cell>
          <cell r="B434" t="str">
            <v>THE VILLAGE OF FLAT ROCK</v>
          </cell>
          <cell r="C434">
            <v>12698.63</v>
          </cell>
        </row>
        <row r="435">
          <cell r="A435">
            <v>94532</v>
          </cell>
          <cell r="B435" t="str">
            <v>BLUE RIDGE FIRE DEPARTMENT</v>
          </cell>
          <cell r="C435">
            <v>48849.31</v>
          </cell>
        </row>
        <row r="436">
          <cell r="A436">
            <v>94541</v>
          </cell>
          <cell r="B436" t="str">
            <v>TOWN OF FLETCHER</v>
          </cell>
          <cell r="C436">
            <v>129411.98</v>
          </cell>
        </row>
        <row r="437">
          <cell r="A437">
            <v>94547</v>
          </cell>
          <cell r="B437" t="str">
            <v>FLETCHER ABC BOARD</v>
          </cell>
          <cell r="C437">
            <v>9094.68</v>
          </cell>
        </row>
        <row r="438">
          <cell r="A438">
            <v>94551</v>
          </cell>
          <cell r="B438" t="str">
            <v>TOWN OF MILLS RIVER</v>
          </cell>
          <cell r="C438">
            <v>25718.1</v>
          </cell>
        </row>
        <row r="439">
          <cell r="A439">
            <v>94601</v>
          </cell>
          <cell r="B439" t="str">
            <v>HERTFORD COUNTY</v>
          </cell>
          <cell r="C439">
            <v>537000.54</v>
          </cell>
        </row>
        <row r="440">
          <cell r="A440">
            <v>94604</v>
          </cell>
          <cell r="B440" t="str">
            <v>HERTFORD COUNTY ABC BOARD</v>
          </cell>
          <cell r="C440">
            <v>14502</v>
          </cell>
        </row>
        <row r="441">
          <cell r="A441">
            <v>94606</v>
          </cell>
          <cell r="B441" t="str">
            <v>HERTFORD COUNTY PUBLIC HEALTH AUTHORITY</v>
          </cell>
          <cell r="C441">
            <v>102034.16</v>
          </cell>
        </row>
        <row r="442">
          <cell r="A442">
            <v>94611</v>
          </cell>
          <cell r="B442" t="str">
            <v>TOWN OF AHOSKIE</v>
          </cell>
          <cell r="C442">
            <v>187145.62</v>
          </cell>
        </row>
        <row r="443">
          <cell r="A443">
            <v>94621</v>
          </cell>
          <cell r="B443" t="str">
            <v>TOWN OF MURFREESBORO</v>
          </cell>
          <cell r="C443">
            <v>69631.41</v>
          </cell>
        </row>
        <row r="444">
          <cell r="A444">
            <v>94631</v>
          </cell>
          <cell r="B444" t="str">
            <v>TOWN OF WINTON</v>
          </cell>
          <cell r="C444">
            <v>20549.580000000002</v>
          </cell>
        </row>
        <row r="445">
          <cell r="A445">
            <v>94641</v>
          </cell>
          <cell r="B445" t="str">
            <v>TOWN OF COFIELD</v>
          </cell>
          <cell r="C445">
            <v>4762.91</v>
          </cell>
        </row>
        <row r="446">
          <cell r="A446">
            <v>94701</v>
          </cell>
          <cell r="B446" t="str">
            <v>HOKE COUNTY</v>
          </cell>
          <cell r="C446">
            <v>1155891.8400000001</v>
          </cell>
        </row>
        <row r="447">
          <cell r="A447">
            <v>94704</v>
          </cell>
          <cell r="B447" t="str">
            <v>HOKE COUNTY ABC BOARD</v>
          </cell>
          <cell r="C447">
            <v>8058.28</v>
          </cell>
        </row>
        <row r="448">
          <cell r="A448">
            <v>94711</v>
          </cell>
          <cell r="B448" t="str">
            <v>TOWN OF RAEFORD</v>
          </cell>
          <cell r="C448">
            <v>168065.41</v>
          </cell>
        </row>
        <row r="449">
          <cell r="A449">
            <v>94801</v>
          </cell>
          <cell r="B449" t="str">
            <v>HYDE COUNTY</v>
          </cell>
          <cell r="C449">
            <v>345761.46</v>
          </cell>
        </row>
        <row r="450">
          <cell r="A450">
            <v>94804</v>
          </cell>
          <cell r="B450" t="str">
            <v>HYDE COUNTY ABC BOARD</v>
          </cell>
          <cell r="C450">
            <v>2753.83</v>
          </cell>
        </row>
        <row r="451">
          <cell r="A451">
            <v>94812</v>
          </cell>
          <cell r="B451" t="str">
            <v>OCRACOKE SANITARY DIST</v>
          </cell>
          <cell r="C451">
            <v>20766.419999999998</v>
          </cell>
        </row>
        <row r="452">
          <cell r="A452">
            <v>94901</v>
          </cell>
          <cell r="B452" t="str">
            <v>IREDELL COUNTY</v>
          </cell>
          <cell r="C452">
            <v>3458043.82</v>
          </cell>
        </row>
        <row r="453">
          <cell r="A453">
            <v>94908</v>
          </cell>
          <cell r="B453" t="str">
            <v>GREATER STATESVILLE DEVELOPMENT CORP</v>
          </cell>
          <cell r="C453">
            <v>3618.63</v>
          </cell>
        </row>
        <row r="454">
          <cell r="A454">
            <v>94911</v>
          </cell>
          <cell r="B454" t="str">
            <v>CITY OF STATESVILLE</v>
          </cell>
          <cell r="C454">
            <v>1437336.82</v>
          </cell>
        </row>
        <row r="455">
          <cell r="A455">
            <v>94917</v>
          </cell>
          <cell r="B455" t="str">
            <v>STATESVILLE ABC BOARD</v>
          </cell>
          <cell r="C455">
            <v>27816</v>
          </cell>
        </row>
        <row r="456">
          <cell r="A456">
            <v>94921</v>
          </cell>
          <cell r="B456" t="str">
            <v>CITY OF MOORESVILLE</v>
          </cell>
          <cell r="C456">
            <v>1763659.66</v>
          </cell>
        </row>
        <row r="457">
          <cell r="A457">
            <v>94923</v>
          </cell>
          <cell r="B457" t="str">
            <v>MOORESVILLE HOUSING AUTHORITY</v>
          </cell>
          <cell r="C457">
            <v>15966.15</v>
          </cell>
        </row>
        <row r="458">
          <cell r="A458">
            <v>94927</v>
          </cell>
          <cell r="B458" t="str">
            <v>MOORESVILLE ABC BOARD</v>
          </cell>
          <cell r="C458">
            <v>20061.34</v>
          </cell>
        </row>
        <row r="459">
          <cell r="A459">
            <v>94931</v>
          </cell>
          <cell r="B459" t="str">
            <v>TOWN OF TROUTMAN</v>
          </cell>
          <cell r="C459">
            <v>101032.52</v>
          </cell>
        </row>
        <row r="460">
          <cell r="A460">
            <v>94937</v>
          </cell>
          <cell r="B460" t="str">
            <v>TOWN OF TROUTMAN ABC BOARD</v>
          </cell>
          <cell r="C460">
            <v>1620.49</v>
          </cell>
        </row>
        <row r="461">
          <cell r="A461">
            <v>94941</v>
          </cell>
          <cell r="B461" t="str">
            <v>MI CONNECTION COMMUNICATIONS SYSTEM</v>
          </cell>
          <cell r="C461">
            <v>248810.82</v>
          </cell>
        </row>
        <row r="462">
          <cell r="A462">
            <v>94947</v>
          </cell>
          <cell r="B462" t="str">
            <v>VALDESE ABC BOARD</v>
          </cell>
          <cell r="C462">
            <v>1125.18</v>
          </cell>
        </row>
        <row r="463">
          <cell r="A463">
            <v>95001</v>
          </cell>
          <cell r="B463" t="str">
            <v>JACKSON COUNTY</v>
          </cell>
          <cell r="C463">
            <v>1230480.6499999999</v>
          </cell>
        </row>
        <row r="464">
          <cell r="A464">
            <v>95002</v>
          </cell>
          <cell r="B464" t="str">
            <v>TUCKASEIGEE WATER AUTHORITY</v>
          </cell>
          <cell r="C464">
            <v>106939.05</v>
          </cell>
        </row>
        <row r="465">
          <cell r="A465">
            <v>95005</v>
          </cell>
          <cell r="B465" t="str">
            <v>FONTANA REGIONAL LIBRARY</v>
          </cell>
          <cell r="C465">
            <v>115399.53</v>
          </cell>
        </row>
        <row r="466">
          <cell r="A466">
            <v>95008</v>
          </cell>
          <cell r="B466" t="str">
            <v>SOUTHWESTERN NC PLANNING &amp; ECON.DEV.COMMIS.</v>
          </cell>
          <cell r="C466">
            <v>68090.84</v>
          </cell>
        </row>
        <row r="467">
          <cell r="A467">
            <v>95009</v>
          </cell>
          <cell r="B467" t="str">
            <v>VAYA HEALTH</v>
          </cell>
          <cell r="C467">
            <v>2002290.14</v>
          </cell>
        </row>
        <row r="468">
          <cell r="A468">
            <v>95011</v>
          </cell>
          <cell r="B468" t="str">
            <v>TOWN OF SYLVA</v>
          </cell>
          <cell r="C468">
            <v>89092.71</v>
          </cell>
        </row>
        <row r="469">
          <cell r="A469">
            <v>95017</v>
          </cell>
          <cell r="B469" t="str">
            <v>JACKSON COUNTY ABC BOARD</v>
          </cell>
          <cell r="C469">
            <v>17647.990000000002</v>
          </cell>
        </row>
        <row r="470">
          <cell r="A470">
            <v>95101</v>
          </cell>
          <cell r="B470" t="str">
            <v>JOHNSTON COUNTY</v>
          </cell>
          <cell r="C470">
            <v>3950764.86</v>
          </cell>
        </row>
        <row r="471">
          <cell r="A471">
            <v>95103</v>
          </cell>
          <cell r="B471" t="str">
            <v>BENSON HOUSING AUTHORITY</v>
          </cell>
          <cell r="C471">
            <v>30191.26</v>
          </cell>
        </row>
        <row r="472">
          <cell r="A472">
            <v>95104</v>
          </cell>
          <cell r="B472" t="str">
            <v>JOHNSTON COUNTY ABC BOARD</v>
          </cell>
          <cell r="C472">
            <v>61268.85</v>
          </cell>
        </row>
        <row r="473">
          <cell r="A473">
            <v>95105</v>
          </cell>
          <cell r="B473" t="str">
            <v>PUBLIC LIBRARY OF JOHNSTON CO AND SMITHFIELD</v>
          </cell>
          <cell r="C473">
            <v>35729.96</v>
          </cell>
        </row>
        <row r="474">
          <cell r="A474">
            <v>95106</v>
          </cell>
          <cell r="B474" t="str">
            <v>TOWN OF ARCHER LODGE</v>
          </cell>
          <cell r="C474">
            <v>8073.19</v>
          </cell>
        </row>
        <row r="475">
          <cell r="A475">
            <v>95110</v>
          </cell>
          <cell r="B475" t="str">
            <v>JOHNSTON HEALTH CENTER</v>
          </cell>
          <cell r="C475">
            <v>1943181.54</v>
          </cell>
        </row>
        <row r="476">
          <cell r="A476">
            <v>95111</v>
          </cell>
          <cell r="B476" t="str">
            <v>TOWN OF SMITHFIELD</v>
          </cell>
          <cell r="C476">
            <v>496429.25</v>
          </cell>
        </row>
        <row r="477">
          <cell r="A477">
            <v>95113</v>
          </cell>
          <cell r="B477" t="str">
            <v>SMITHFIELD HOUSING AUTHORITY</v>
          </cell>
          <cell r="C477">
            <v>74446.759999999995</v>
          </cell>
        </row>
        <row r="478">
          <cell r="A478">
            <v>95121</v>
          </cell>
          <cell r="B478" t="str">
            <v>TOWN OF SELMA</v>
          </cell>
          <cell r="C478">
            <v>242310.35</v>
          </cell>
        </row>
        <row r="479">
          <cell r="A479">
            <v>95122</v>
          </cell>
          <cell r="B479" t="str">
            <v>TOWN OF MICRO</v>
          </cell>
          <cell r="C479">
            <v>4596.54</v>
          </cell>
        </row>
        <row r="480">
          <cell r="A480">
            <v>95123</v>
          </cell>
          <cell r="B480" t="str">
            <v>SELMA HOUSING AUTHORITY</v>
          </cell>
          <cell r="C480">
            <v>29610.61</v>
          </cell>
        </row>
        <row r="481">
          <cell r="A481">
            <v>95131</v>
          </cell>
          <cell r="B481" t="str">
            <v>TOWN OF CLAYTON</v>
          </cell>
          <cell r="C481">
            <v>811028.86</v>
          </cell>
        </row>
        <row r="482">
          <cell r="A482">
            <v>95141</v>
          </cell>
          <cell r="B482" t="str">
            <v>TOWN OF BENSON</v>
          </cell>
          <cell r="C482">
            <v>148359.60999999999</v>
          </cell>
        </row>
        <row r="483">
          <cell r="A483">
            <v>95151</v>
          </cell>
          <cell r="B483" t="str">
            <v>TOWN OF FOUR OAKS</v>
          </cell>
          <cell r="C483">
            <v>51039.87</v>
          </cell>
        </row>
        <row r="484">
          <cell r="A484">
            <v>95161</v>
          </cell>
          <cell r="B484" t="str">
            <v>TOWN OF PINE LEVEL</v>
          </cell>
          <cell r="C484">
            <v>41171.79</v>
          </cell>
        </row>
        <row r="485">
          <cell r="A485">
            <v>95171</v>
          </cell>
          <cell r="B485" t="str">
            <v>TOWN OF KENLY</v>
          </cell>
          <cell r="C485">
            <v>47352.800000000003</v>
          </cell>
        </row>
        <row r="486">
          <cell r="A486">
            <v>95181</v>
          </cell>
          <cell r="B486" t="str">
            <v>TOWN OF PRINCETON</v>
          </cell>
          <cell r="C486">
            <v>32737.29</v>
          </cell>
        </row>
        <row r="487">
          <cell r="A487">
            <v>95191</v>
          </cell>
          <cell r="B487" t="str">
            <v>TOWN OF WILSON'S MILLS</v>
          </cell>
          <cell r="C487">
            <v>35124.83</v>
          </cell>
        </row>
        <row r="488">
          <cell r="A488">
            <v>95201</v>
          </cell>
          <cell r="B488" t="str">
            <v>JONES COUNTY</v>
          </cell>
          <cell r="C488">
            <v>324382.05</v>
          </cell>
        </row>
        <row r="489">
          <cell r="A489">
            <v>95204</v>
          </cell>
          <cell r="B489" t="str">
            <v>JONES COUNTY ABC BOARD</v>
          </cell>
          <cell r="C489">
            <v>6627.08</v>
          </cell>
        </row>
        <row r="490">
          <cell r="A490">
            <v>95205</v>
          </cell>
          <cell r="B490" t="str">
            <v>NEUSE REGIONAL LIBRARY-JONES COUNTY</v>
          </cell>
          <cell r="C490">
            <v>2149.2399999999998</v>
          </cell>
        </row>
        <row r="491">
          <cell r="A491">
            <v>95211</v>
          </cell>
          <cell r="B491" t="str">
            <v>TOWN OF POLLOCKSVILLE</v>
          </cell>
          <cell r="C491">
            <v>3345.46</v>
          </cell>
        </row>
        <row r="492">
          <cell r="A492">
            <v>95221</v>
          </cell>
          <cell r="B492" t="str">
            <v>TOWN OF MAYSVILLE</v>
          </cell>
          <cell r="C492">
            <v>24433.53</v>
          </cell>
        </row>
        <row r="493">
          <cell r="A493">
            <v>95301</v>
          </cell>
          <cell r="B493" t="str">
            <v>LEE COUNTY</v>
          </cell>
          <cell r="C493">
            <v>1161384.1100000001</v>
          </cell>
        </row>
        <row r="494">
          <cell r="A494">
            <v>95311</v>
          </cell>
          <cell r="B494" t="str">
            <v>CITY OF SANFORD</v>
          </cell>
          <cell r="C494">
            <v>1353611.39</v>
          </cell>
        </row>
        <row r="495">
          <cell r="A495">
            <v>95317</v>
          </cell>
          <cell r="B495" t="str">
            <v>SANFORD ABC BOARD</v>
          </cell>
          <cell r="C495">
            <v>27496.49</v>
          </cell>
        </row>
        <row r="496">
          <cell r="A496">
            <v>95321</v>
          </cell>
          <cell r="B496" t="str">
            <v>TOWN OF BROADWAY</v>
          </cell>
          <cell r="C496">
            <v>27476.22</v>
          </cell>
        </row>
        <row r="497">
          <cell r="A497">
            <v>95401</v>
          </cell>
          <cell r="B497" t="str">
            <v>LENOIR COUNTY</v>
          </cell>
          <cell r="C497">
            <v>1369020.65</v>
          </cell>
        </row>
        <row r="498">
          <cell r="A498">
            <v>95404</v>
          </cell>
          <cell r="B498" t="str">
            <v>LENOIR COUNTY ABC BOARD</v>
          </cell>
          <cell r="C498">
            <v>23078.97</v>
          </cell>
        </row>
        <row r="499">
          <cell r="A499">
            <v>95405</v>
          </cell>
          <cell r="B499" t="str">
            <v>NEUSE REGIONAL LIBRARY</v>
          </cell>
          <cell r="C499">
            <v>19532.45</v>
          </cell>
        </row>
        <row r="500">
          <cell r="A500">
            <v>95411</v>
          </cell>
          <cell r="B500" t="str">
            <v>CITY OF KINSTON</v>
          </cell>
          <cell r="C500">
            <v>1098228.3799999999</v>
          </cell>
        </row>
        <row r="501">
          <cell r="A501">
            <v>95413</v>
          </cell>
          <cell r="B501" t="str">
            <v>HOUSING AUTH FOR THE CTY OF KINSTON</v>
          </cell>
          <cell r="C501">
            <v>130765.98</v>
          </cell>
        </row>
        <row r="502">
          <cell r="A502">
            <v>95415</v>
          </cell>
          <cell r="B502" t="str">
            <v>KINSTON-LENOIR CO PUB LIBRARY</v>
          </cell>
          <cell r="C502">
            <v>31391.19</v>
          </cell>
        </row>
        <row r="503">
          <cell r="A503">
            <v>95421</v>
          </cell>
          <cell r="B503" t="str">
            <v>TOWN OF PINK HILL</v>
          </cell>
          <cell r="C503">
            <v>19590.32</v>
          </cell>
        </row>
        <row r="504">
          <cell r="A504">
            <v>95431</v>
          </cell>
          <cell r="B504" t="str">
            <v>TOWN OF LAGRANGE</v>
          </cell>
          <cell r="C504">
            <v>66123.850000000006</v>
          </cell>
        </row>
        <row r="505">
          <cell r="A505">
            <v>95501</v>
          </cell>
          <cell r="B505" t="str">
            <v>LINCOLN COUNTY</v>
          </cell>
          <cell r="C505">
            <v>2309249.29</v>
          </cell>
        </row>
        <row r="506">
          <cell r="A506">
            <v>95504</v>
          </cell>
          <cell r="B506" t="str">
            <v>LINCOLN COUNTY ABC BOARD</v>
          </cell>
          <cell r="C506">
            <v>10287.07</v>
          </cell>
        </row>
        <row r="507">
          <cell r="A507">
            <v>95511</v>
          </cell>
          <cell r="B507" t="str">
            <v>CITY OF LINCOLNTON</v>
          </cell>
          <cell r="C507">
            <v>509340.02</v>
          </cell>
        </row>
        <row r="508">
          <cell r="A508">
            <v>95513</v>
          </cell>
          <cell r="B508" t="str">
            <v>LINCOLNTON HOUSING AUTHORITY</v>
          </cell>
          <cell r="C508">
            <v>34360.18</v>
          </cell>
        </row>
        <row r="509">
          <cell r="A509">
            <v>95517</v>
          </cell>
          <cell r="B509" t="str">
            <v>TOWN OF LINCOLNTON ABC BOARD</v>
          </cell>
          <cell r="C509">
            <v>11099.99</v>
          </cell>
        </row>
        <row r="510">
          <cell r="A510">
            <v>95601</v>
          </cell>
          <cell r="B510" t="str">
            <v>MACON COUNTY</v>
          </cell>
          <cell r="C510">
            <v>1263012.71</v>
          </cell>
        </row>
        <row r="511">
          <cell r="A511">
            <v>95611</v>
          </cell>
          <cell r="B511" t="str">
            <v>TOWN OF FRANKLIN</v>
          </cell>
          <cell r="C511">
            <v>204619.09</v>
          </cell>
        </row>
        <row r="512">
          <cell r="A512">
            <v>95617</v>
          </cell>
          <cell r="B512" t="str">
            <v>HIGHLANDS ABC BOARD</v>
          </cell>
          <cell r="C512">
            <v>8730.31</v>
          </cell>
        </row>
        <row r="513">
          <cell r="A513">
            <v>95621</v>
          </cell>
          <cell r="B513" t="str">
            <v>TOWN OF HIGHLANDS</v>
          </cell>
          <cell r="C513">
            <v>260138.02</v>
          </cell>
        </row>
        <row r="514">
          <cell r="A514">
            <v>95701</v>
          </cell>
          <cell r="B514" t="str">
            <v>MADISON COUNTY</v>
          </cell>
          <cell r="C514">
            <v>604598.17000000004</v>
          </cell>
        </row>
        <row r="515">
          <cell r="A515">
            <v>95711</v>
          </cell>
          <cell r="B515" t="str">
            <v>TOWN OF MARS HILL</v>
          </cell>
          <cell r="C515">
            <v>60575.8</v>
          </cell>
        </row>
        <row r="516">
          <cell r="A516">
            <v>95721</v>
          </cell>
          <cell r="B516" t="str">
            <v>TOWN OF MARSHALL</v>
          </cell>
          <cell r="C516">
            <v>31048.06</v>
          </cell>
        </row>
        <row r="517">
          <cell r="A517">
            <v>95733</v>
          </cell>
          <cell r="B517" t="str">
            <v>HOT SPRINGS HOUSING AUTHORITY</v>
          </cell>
          <cell r="C517">
            <v>7565.12</v>
          </cell>
        </row>
        <row r="518">
          <cell r="A518">
            <v>95801</v>
          </cell>
          <cell r="B518" t="str">
            <v>MARTIN COUNTY</v>
          </cell>
          <cell r="C518">
            <v>492639.1</v>
          </cell>
        </row>
        <row r="519">
          <cell r="A519">
            <v>95802</v>
          </cell>
          <cell r="B519" t="str">
            <v>MARTIN CO TRAVEL &amp; TOURISM AUTH</v>
          </cell>
          <cell r="C519">
            <v>5777.09</v>
          </cell>
        </row>
        <row r="520">
          <cell r="A520">
            <v>95804</v>
          </cell>
          <cell r="B520" t="str">
            <v>MARTIN COUNTY ABC BOARD</v>
          </cell>
          <cell r="C520">
            <v>7856.59</v>
          </cell>
        </row>
        <row r="521">
          <cell r="A521">
            <v>95811</v>
          </cell>
          <cell r="B521" t="str">
            <v>TOWN OF WILLIAMSTON</v>
          </cell>
          <cell r="C521">
            <v>262611.96000000002</v>
          </cell>
        </row>
        <row r="522">
          <cell r="A522">
            <v>95813</v>
          </cell>
          <cell r="B522" t="str">
            <v>WILLIAMSTON HOUSING AUTHORITY</v>
          </cell>
          <cell r="C522">
            <v>71429.14</v>
          </cell>
        </row>
        <row r="523">
          <cell r="A523">
            <v>95821</v>
          </cell>
          <cell r="B523" t="str">
            <v>TOWN OF OAK CITY</v>
          </cell>
          <cell r="C523">
            <v>2011.84</v>
          </cell>
        </row>
        <row r="524">
          <cell r="A524">
            <v>95831</v>
          </cell>
          <cell r="B524" t="str">
            <v>TOWN OF HAMILTON</v>
          </cell>
          <cell r="C524">
            <v>20645.45</v>
          </cell>
        </row>
        <row r="525">
          <cell r="A525">
            <v>95841</v>
          </cell>
          <cell r="B525" t="str">
            <v>TOWN OF JAMESVILLE</v>
          </cell>
          <cell r="C525">
            <v>12838.9</v>
          </cell>
        </row>
        <row r="526">
          <cell r="A526">
            <v>95851</v>
          </cell>
          <cell r="B526" t="str">
            <v>TOWN OF ROBERSONVILLE</v>
          </cell>
          <cell r="C526">
            <v>142997.09</v>
          </cell>
        </row>
        <row r="527">
          <cell r="A527">
            <v>95853</v>
          </cell>
          <cell r="B527" t="str">
            <v>ROBERSONVILLE HOUSING AUTHORITY</v>
          </cell>
          <cell r="C527">
            <v>15957</v>
          </cell>
        </row>
        <row r="528">
          <cell r="A528">
            <v>95901</v>
          </cell>
          <cell r="B528" t="str">
            <v>MCDOWELL COUNTY</v>
          </cell>
          <cell r="C528">
            <v>894780.33</v>
          </cell>
        </row>
        <row r="529">
          <cell r="A529">
            <v>95908</v>
          </cell>
          <cell r="B529" t="str">
            <v>PLEASANT GARDEN FIRE DEPT</v>
          </cell>
          <cell r="C529">
            <v>26699.759999999998</v>
          </cell>
        </row>
        <row r="530">
          <cell r="A530">
            <v>95911</v>
          </cell>
          <cell r="B530" t="str">
            <v>TOWN OF MARION</v>
          </cell>
          <cell r="C530">
            <v>256697.64</v>
          </cell>
        </row>
        <row r="531">
          <cell r="A531">
            <v>95917</v>
          </cell>
          <cell r="B531" t="str">
            <v>MARION ABC BOARD</v>
          </cell>
          <cell r="C531">
            <v>11591.12</v>
          </cell>
        </row>
        <row r="532">
          <cell r="A532">
            <v>95921</v>
          </cell>
          <cell r="B532" t="str">
            <v>TOWN OF OLD FORT</v>
          </cell>
          <cell r="C532">
            <v>25012.86</v>
          </cell>
        </row>
        <row r="533">
          <cell r="A533">
            <v>96001</v>
          </cell>
          <cell r="B533" t="str">
            <v>MECKLENBURG COUNTY</v>
          </cell>
          <cell r="C533">
            <v>21493968.41</v>
          </cell>
        </row>
        <row r="534">
          <cell r="A534">
            <v>96003</v>
          </cell>
          <cell r="B534" t="str">
            <v>CHARLOTTE HOUSING AUTHORITY</v>
          </cell>
          <cell r="C534">
            <v>717558.55</v>
          </cell>
        </row>
        <row r="535">
          <cell r="A535">
            <v>96004</v>
          </cell>
          <cell r="B535" t="str">
            <v>MECKLENBURG COUNTY ABC BOARD</v>
          </cell>
          <cell r="C535">
            <v>500331.48</v>
          </cell>
        </row>
        <row r="536">
          <cell r="A536">
            <v>96005</v>
          </cell>
          <cell r="B536" t="str">
            <v>CHARLOTTE MECKLENBURG PUBLIC LIBRARY</v>
          </cell>
          <cell r="C536">
            <v>1319874.8400000001</v>
          </cell>
        </row>
        <row r="537">
          <cell r="A537">
            <v>96008</v>
          </cell>
          <cell r="B537" t="str">
            <v>MECKLENBURG EMER MED SVCS AGCY</v>
          </cell>
          <cell r="C537">
            <v>2319759.66</v>
          </cell>
        </row>
        <row r="538">
          <cell r="A538">
            <v>96009</v>
          </cell>
          <cell r="B538" t="str">
            <v>CENTRALINA COUNCIL OF GOVERNMENTS</v>
          </cell>
          <cell r="C538">
            <v>213205.54</v>
          </cell>
        </row>
        <row r="539">
          <cell r="A539">
            <v>96011</v>
          </cell>
          <cell r="B539" t="str">
            <v>CITY OF CHARLOTTE</v>
          </cell>
          <cell r="C539">
            <v>30490654.809999999</v>
          </cell>
        </row>
        <row r="540">
          <cell r="A540">
            <v>96012</v>
          </cell>
          <cell r="B540" t="str">
            <v>CHARLOTTE REGIONAL VISITORS AUTHORITY</v>
          </cell>
          <cell r="C540">
            <v>1227286.1100000001</v>
          </cell>
        </row>
        <row r="541">
          <cell r="A541">
            <v>96018</v>
          </cell>
          <cell r="B541" t="str">
            <v>CHARLOTTE FIREMEN'S RET SYS</v>
          </cell>
          <cell r="C541">
            <v>20816.02</v>
          </cell>
        </row>
        <row r="542">
          <cell r="A542">
            <v>96021</v>
          </cell>
          <cell r="B542" t="str">
            <v>TOWN OF PINEVILLE</v>
          </cell>
          <cell r="C542">
            <v>348072</v>
          </cell>
        </row>
        <row r="543">
          <cell r="A543">
            <v>96031</v>
          </cell>
          <cell r="B543" t="str">
            <v>TOWN OF MINT HILL</v>
          </cell>
          <cell r="C543">
            <v>343067.94</v>
          </cell>
        </row>
        <row r="544">
          <cell r="A544">
            <v>96041</v>
          </cell>
          <cell r="B544" t="str">
            <v>TOWN OF HUNTERSVILLE</v>
          </cell>
          <cell r="C544">
            <v>760331.49</v>
          </cell>
        </row>
        <row r="545">
          <cell r="A545">
            <v>96051</v>
          </cell>
          <cell r="B545" t="str">
            <v>TOWN OF CORNELIUS</v>
          </cell>
          <cell r="C545">
            <v>447496.18</v>
          </cell>
        </row>
        <row r="546">
          <cell r="A546">
            <v>96061</v>
          </cell>
          <cell r="B546" t="str">
            <v>TOWN OF STALLINGS</v>
          </cell>
          <cell r="C546">
            <v>163295</v>
          </cell>
        </row>
        <row r="547">
          <cell r="A547">
            <v>96071</v>
          </cell>
          <cell r="B547" t="str">
            <v>TOWN OF MATTHEWS</v>
          </cell>
          <cell r="C547">
            <v>601187.62</v>
          </cell>
        </row>
        <row r="548">
          <cell r="A548">
            <v>96081</v>
          </cell>
          <cell r="B548" t="str">
            <v>TOWN OF DAVIDSON</v>
          </cell>
          <cell r="C548">
            <v>241286.98</v>
          </cell>
        </row>
        <row r="549">
          <cell r="A549">
            <v>96101</v>
          </cell>
          <cell r="B549" t="str">
            <v>MITCHELL COUNTY</v>
          </cell>
          <cell r="C549">
            <v>406062.02</v>
          </cell>
        </row>
        <row r="550">
          <cell r="A550">
            <v>96102</v>
          </cell>
          <cell r="B550" t="str">
            <v>MITCHELL SOIL &amp; WATER CONSERVATION DIST</v>
          </cell>
          <cell r="C550">
            <v>4192.87</v>
          </cell>
        </row>
        <row r="551">
          <cell r="A551">
            <v>96111</v>
          </cell>
          <cell r="B551" t="str">
            <v>TOWN OF SPRUCE PINE</v>
          </cell>
          <cell r="C551">
            <v>88704.74</v>
          </cell>
        </row>
        <row r="552">
          <cell r="A552">
            <v>96121</v>
          </cell>
          <cell r="B552" t="str">
            <v>TOWN OF BAKERSVILLE</v>
          </cell>
          <cell r="C552">
            <v>9550.99</v>
          </cell>
        </row>
        <row r="553">
          <cell r="A553">
            <v>96201</v>
          </cell>
          <cell r="B553" t="str">
            <v>MONTGOMERY COUNTY</v>
          </cell>
          <cell r="C553">
            <v>543344.09</v>
          </cell>
        </row>
        <row r="554">
          <cell r="A554">
            <v>96204</v>
          </cell>
          <cell r="B554" t="str">
            <v>MONTGOMERY-MUNICIPAL ABC BOARD</v>
          </cell>
          <cell r="C554">
            <v>9259.8799999999992</v>
          </cell>
        </row>
        <row r="555">
          <cell r="A555">
            <v>96211</v>
          </cell>
          <cell r="B555" t="str">
            <v>TOWN OF STAR</v>
          </cell>
          <cell r="C555">
            <v>17551.46</v>
          </cell>
        </row>
        <row r="556">
          <cell r="A556">
            <v>96221</v>
          </cell>
          <cell r="B556" t="str">
            <v>TOWN OF TROY</v>
          </cell>
          <cell r="C556">
            <v>105993.03</v>
          </cell>
        </row>
        <row r="557">
          <cell r="A557">
            <v>96231</v>
          </cell>
          <cell r="B557" t="str">
            <v>TOWN OF BISCOE</v>
          </cell>
          <cell r="C557">
            <v>49677.440000000002</v>
          </cell>
        </row>
        <row r="558">
          <cell r="A558">
            <v>96241</v>
          </cell>
          <cell r="B558" t="str">
            <v>TOWN OF CANDOR</v>
          </cell>
          <cell r="C558">
            <v>23317.599999999999</v>
          </cell>
        </row>
        <row r="559">
          <cell r="A559">
            <v>96251</v>
          </cell>
          <cell r="B559" t="str">
            <v>TOWN OF MOUNT GILEAD</v>
          </cell>
          <cell r="C559">
            <v>40415.919999999998</v>
          </cell>
        </row>
        <row r="560">
          <cell r="A560">
            <v>96301</v>
          </cell>
          <cell r="B560" t="str">
            <v>MOORE COUNTY</v>
          </cell>
          <cell r="C560">
            <v>2084751.76</v>
          </cell>
        </row>
        <row r="561">
          <cell r="A561">
            <v>96302</v>
          </cell>
          <cell r="B561" t="str">
            <v>TOWN OF TAYLORTOWN</v>
          </cell>
          <cell r="C561">
            <v>12087.69</v>
          </cell>
        </row>
        <row r="562">
          <cell r="A562">
            <v>96304</v>
          </cell>
          <cell r="B562" t="str">
            <v>MOORE COUNTY ABC BOARD</v>
          </cell>
          <cell r="C562">
            <v>28971.4</v>
          </cell>
        </row>
        <row r="563">
          <cell r="A563">
            <v>96305</v>
          </cell>
          <cell r="B563" t="str">
            <v>MOORE COUNTY TOURISM DEVELOPMENT AUTHORITY</v>
          </cell>
          <cell r="C563">
            <v>33688.550000000003</v>
          </cell>
        </row>
        <row r="564">
          <cell r="A564">
            <v>96310</v>
          </cell>
          <cell r="B564" t="str">
            <v>MOORE COUNTY AIRPORT AUTHORITY</v>
          </cell>
          <cell r="C564">
            <v>29357.23</v>
          </cell>
        </row>
        <row r="565">
          <cell r="A565">
            <v>96311</v>
          </cell>
          <cell r="B565" t="str">
            <v>TOWN OF SOUTHERN PINES</v>
          </cell>
          <cell r="C565">
            <v>609721.63</v>
          </cell>
        </row>
        <row r="566">
          <cell r="A566">
            <v>96312</v>
          </cell>
          <cell r="B566" t="str">
            <v>TOWN OF CAMERON</v>
          </cell>
          <cell r="C566">
            <v>3479.05</v>
          </cell>
        </row>
        <row r="567">
          <cell r="A567">
            <v>96318</v>
          </cell>
          <cell r="B567" t="str">
            <v>SANDHILLS CENTER</v>
          </cell>
          <cell r="C567">
            <v>1174353.58</v>
          </cell>
        </row>
        <row r="568">
          <cell r="A568">
            <v>96321</v>
          </cell>
          <cell r="B568" t="str">
            <v>TOWN OF VASS</v>
          </cell>
          <cell r="C568">
            <v>19104.939999999999</v>
          </cell>
        </row>
        <row r="569">
          <cell r="A569">
            <v>96331</v>
          </cell>
          <cell r="B569" t="str">
            <v>TOWN OF ABERDEEN</v>
          </cell>
          <cell r="C569">
            <v>302018.87</v>
          </cell>
        </row>
        <row r="570">
          <cell r="A570">
            <v>96341</v>
          </cell>
          <cell r="B570" t="str">
            <v>TOWN OF ROBBINS</v>
          </cell>
          <cell r="C570">
            <v>41905.199999999997</v>
          </cell>
        </row>
        <row r="571">
          <cell r="A571">
            <v>96351</v>
          </cell>
          <cell r="B571" t="str">
            <v>VILLAGE OF PINEHURST</v>
          </cell>
          <cell r="C571">
            <v>506250.23999999999</v>
          </cell>
        </row>
        <row r="572">
          <cell r="A572">
            <v>96361</v>
          </cell>
          <cell r="B572" t="str">
            <v>TOWN OF PINEBLUFF</v>
          </cell>
          <cell r="C572">
            <v>26124</v>
          </cell>
        </row>
        <row r="573">
          <cell r="A573">
            <v>96371</v>
          </cell>
          <cell r="B573" t="str">
            <v>VILLAGE OF WHISPERING PINES</v>
          </cell>
          <cell r="C573">
            <v>71861.67</v>
          </cell>
        </row>
        <row r="574">
          <cell r="A574">
            <v>96381</v>
          </cell>
          <cell r="B574" t="str">
            <v>FOXFIRE VILLAGE</v>
          </cell>
          <cell r="C574">
            <v>16380.71</v>
          </cell>
        </row>
        <row r="575">
          <cell r="A575">
            <v>96391</v>
          </cell>
          <cell r="B575" t="str">
            <v>TOWN OF CARTHAGE</v>
          </cell>
          <cell r="C575">
            <v>82140.899999999994</v>
          </cell>
        </row>
        <row r="576">
          <cell r="A576">
            <v>96401</v>
          </cell>
          <cell r="B576" t="str">
            <v>NASH COUNTY</v>
          </cell>
          <cell r="C576">
            <v>2141133.3199999998</v>
          </cell>
        </row>
        <row r="577">
          <cell r="A577">
            <v>96404</v>
          </cell>
          <cell r="B577" t="str">
            <v>NASH COUNTY ABC BOARD</v>
          </cell>
          <cell r="C577">
            <v>62860.89</v>
          </cell>
        </row>
        <row r="578">
          <cell r="A578">
            <v>96405</v>
          </cell>
          <cell r="B578" t="str">
            <v>BRASWELL MEMORIAL LIBRARY</v>
          </cell>
          <cell r="C578">
            <v>90010.86</v>
          </cell>
        </row>
        <row r="579">
          <cell r="A579">
            <v>96411</v>
          </cell>
          <cell r="B579" t="str">
            <v>TOWN OF SPRING HOPE</v>
          </cell>
          <cell r="C579">
            <v>30766.53</v>
          </cell>
        </row>
        <row r="580">
          <cell r="A580">
            <v>96421</v>
          </cell>
          <cell r="B580" t="str">
            <v>TOWN OF NASHVILLE</v>
          </cell>
          <cell r="C580">
            <v>185496.66</v>
          </cell>
        </row>
        <row r="581">
          <cell r="A581">
            <v>96431</v>
          </cell>
          <cell r="B581" t="str">
            <v>TOWN OF MIDDLESEX</v>
          </cell>
          <cell r="C581">
            <v>21848.79</v>
          </cell>
        </row>
        <row r="582">
          <cell r="A582">
            <v>96441</v>
          </cell>
          <cell r="B582" t="str">
            <v>TOWN OF WHITAKERS</v>
          </cell>
          <cell r="C582">
            <v>15351.51</v>
          </cell>
        </row>
        <row r="583">
          <cell r="A583">
            <v>96451</v>
          </cell>
          <cell r="B583" t="str">
            <v>TOWN OF BAILEY</v>
          </cell>
          <cell r="C583">
            <v>8535.73</v>
          </cell>
        </row>
        <row r="584">
          <cell r="A584">
            <v>96461</v>
          </cell>
          <cell r="B584" t="str">
            <v>TOWN OF SHARPSBURG</v>
          </cell>
          <cell r="C584">
            <v>72030.850000000006</v>
          </cell>
        </row>
        <row r="585">
          <cell r="A585">
            <v>96501</v>
          </cell>
          <cell r="B585" t="str">
            <v>NEW HANOVER COUNTY</v>
          </cell>
          <cell r="C585">
            <v>6947458.8300000001</v>
          </cell>
        </row>
        <row r="586">
          <cell r="A586">
            <v>96502</v>
          </cell>
          <cell r="B586" t="str">
            <v>NEW HANOVER AIRPORT AUTH</v>
          </cell>
          <cell r="C586">
            <v>215466.08</v>
          </cell>
        </row>
        <row r="587">
          <cell r="A587">
            <v>96503</v>
          </cell>
          <cell r="B587" t="str">
            <v>WILMINGTON HOUSING AUTHORITY</v>
          </cell>
          <cell r="C587">
            <v>320388.37</v>
          </cell>
        </row>
        <row r="588">
          <cell r="A588">
            <v>96504</v>
          </cell>
          <cell r="B588" t="str">
            <v>NEW HANOVER COUNTY ABC BOARD</v>
          </cell>
          <cell r="C588">
            <v>206958.64</v>
          </cell>
        </row>
        <row r="589">
          <cell r="A589">
            <v>96507</v>
          </cell>
          <cell r="B589" t="str">
            <v>CAPE FEAR PUBLIC UTILITY AUTHORITY</v>
          </cell>
          <cell r="C589">
            <v>1125154.73</v>
          </cell>
        </row>
        <row r="590">
          <cell r="A590">
            <v>96508</v>
          </cell>
          <cell r="B590" t="str">
            <v>LOWER CAPE FEAR WATER &amp; SEWER AUTH</v>
          </cell>
          <cell r="C590">
            <v>11724.36</v>
          </cell>
        </row>
        <row r="591">
          <cell r="A591">
            <v>96511</v>
          </cell>
          <cell r="B591" t="str">
            <v>TOWN OF WRIGHTSVILLE BEACH</v>
          </cell>
          <cell r="C591">
            <v>294294.28000000003</v>
          </cell>
        </row>
        <row r="592">
          <cell r="A592">
            <v>96512</v>
          </cell>
          <cell r="B592" t="str">
            <v>CAPE FEAR PUBLIC TRANSPORTATION AUTHORITY</v>
          </cell>
          <cell r="C592">
            <v>79724.990000000005</v>
          </cell>
        </row>
        <row r="593">
          <cell r="A593">
            <v>96521</v>
          </cell>
          <cell r="B593" t="str">
            <v>TOWN OF CAROLINA BEACH</v>
          </cell>
          <cell r="C593">
            <v>427905.03</v>
          </cell>
        </row>
        <row r="594">
          <cell r="A594">
            <v>96531</v>
          </cell>
          <cell r="B594" t="str">
            <v>CITY OF WILMINGTON</v>
          </cell>
          <cell r="C594">
            <v>4035511.38</v>
          </cell>
        </row>
        <row r="595">
          <cell r="A595">
            <v>96541</v>
          </cell>
          <cell r="B595" t="str">
            <v>TOWN OF KURE BEACH</v>
          </cell>
          <cell r="C595">
            <v>170179.71</v>
          </cell>
        </row>
        <row r="596">
          <cell r="A596">
            <v>96601</v>
          </cell>
          <cell r="B596" t="str">
            <v>NORTHAMPTON COUNTY</v>
          </cell>
          <cell r="C596">
            <v>825607.21</v>
          </cell>
        </row>
        <row r="597">
          <cell r="A597">
            <v>96604</v>
          </cell>
          <cell r="B597" t="str">
            <v>NORTHAMPTON COUNTY ABC BOARD</v>
          </cell>
          <cell r="C597">
            <v>4896.1499999999996</v>
          </cell>
        </row>
        <row r="598">
          <cell r="A598">
            <v>96611</v>
          </cell>
          <cell r="B598" t="str">
            <v>TOWN OF RICH SQUARE</v>
          </cell>
          <cell r="C598">
            <v>12911.22</v>
          </cell>
        </row>
        <row r="599">
          <cell r="A599">
            <v>96612</v>
          </cell>
          <cell r="B599" t="str">
            <v>CHOANOKE PUBLIC TRANSPORTATION AUTH</v>
          </cell>
          <cell r="C599">
            <v>31707.24</v>
          </cell>
        </row>
        <row r="600">
          <cell r="A600">
            <v>96621</v>
          </cell>
          <cell r="B600" t="str">
            <v>TOWN OF WOODLAND</v>
          </cell>
          <cell r="C600">
            <v>12605.04</v>
          </cell>
        </row>
        <row r="601">
          <cell r="A601">
            <v>96631</v>
          </cell>
          <cell r="B601" t="str">
            <v>TOWN OF GARYSBURG</v>
          </cell>
          <cell r="C601">
            <v>12532.91</v>
          </cell>
        </row>
        <row r="602">
          <cell r="A602">
            <v>96641</v>
          </cell>
          <cell r="B602" t="str">
            <v>TOWN OF CONWAY</v>
          </cell>
          <cell r="C602">
            <v>22010.240000000002</v>
          </cell>
        </row>
        <row r="603">
          <cell r="A603">
            <v>96651</v>
          </cell>
          <cell r="B603" t="str">
            <v>TOWN OF GASTON</v>
          </cell>
          <cell r="C603">
            <v>9566.34</v>
          </cell>
        </row>
        <row r="604">
          <cell r="A604">
            <v>96661</v>
          </cell>
          <cell r="B604" t="str">
            <v>TOWN OF JACKSON</v>
          </cell>
          <cell r="C604">
            <v>10878.91</v>
          </cell>
        </row>
        <row r="605">
          <cell r="A605">
            <v>96671</v>
          </cell>
          <cell r="B605" t="str">
            <v>TOWN OF SEVERN</v>
          </cell>
          <cell r="C605">
            <v>8886.56</v>
          </cell>
        </row>
        <row r="606">
          <cell r="A606">
            <v>96681</v>
          </cell>
          <cell r="B606" t="str">
            <v>TOWN OF SEABOARD</v>
          </cell>
          <cell r="C606">
            <v>15491.97</v>
          </cell>
        </row>
        <row r="607">
          <cell r="A607">
            <v>96701</v>
          </cell>
          <cell r="B607" t="str">
            <v>ONSLOW COUNTY</v>
          </cell>
          <cell r="C607">
            <v>3929619.07</v>
          </cell>
        </row>
        <row r="608">
          <cell r="A608">
            <v>96704</v>
          </cell>
          <cell r="B608" t="str">
            <v>ONSLOW COUNTY ABC BOARD</v>
          </cell>
          <cell r="C608">
            <v>106960.89</v>
          </cell>
        </row>
        <row r="609">
          <cell r="A609">
            <v>96708</v>
          </cell>
          <cell r="B609" t="str">
            <v>ONSLOW WATER &amp; SEWER AUTHORITY</v>
          </cell>
          <cell r="C609">
            <v>480567.68</v>
          </cell>
        </row>
        <row r="610">
          <cell r="A610">
            <v>96711</v>
          </cell>
          <cell r="B610" t="str">
            <v>CITY OF JACKSONVILLE</v>
          </cell>
          <cell r="C610">
            <v>1894102.22</v>
          </cell>
        </row>
        <row r="611">
          <cell r="A611">
            <v>96721</v>
          </cell>
          <cell r="B611" t="str">
            <v>TOWN OF SWANSBORO</v>
          </cell>
          <cell r="C611">
            <v>104621.36</v>
          </cell>
        </row>
        <row r="612">
          <cell r="A612">
            <v>96731</v>
          </cell>
          <cell r="B612" t="str">
            <v>TOWN OF HOLLY RIDGE</v>
          </cell>
          <cell r="C612">
            <v>80631.55</v>
          </cell>
        </row>
        <row r="613">
          <cell r="A613">
            <v>96733</v>
          </cell>
          <cell r="B613" t="str">
            <v>HOLLY RIDGE HOUSING AUTHORITY</v>
          </cell>
          <cell r="C613">
            <v>4498.5200000000004</v>
          </cell>
        </row>
        <row r="614">
          <cell r="A614">
            <v>96741</v>
          </cell>
          <cell r="B614" t="str">
            <v>TOWN OF RICHLANDS</v>
          </cell>
          <cell r="C614">
            <v>44667.78</v>
          </cell>
        </row>
        <row r="615">
          <cell r="A615">
            <v>96751</v>
          </cell>
          <cell r="B615" t="str">
            <v>TOWN OF N TOPSAIL BEACH</v>
          </cell>
          <cell r="C615">
            <v>119909.43</v>
          </cell>
        </row>
        <row r="616">
          <cell r="A616">
            <v>96801</v>
          </cell>
          <cell r="B616" t="str">
            <v>ORANGE COUNTY</v>
          </cell>
          <cell r="C616">
            <v>3782424.64</v>
          </cell>
        </row>
        <row r="617">
          <cell r="A617">
            <v>96804</v>
          </cell>
          <cell r="B617" t="str">
            <v>ORANGE COUNTY ABC BOARD</v>
          </cell>
          <cell r="C617">
            <v>109632.67</v>
          </cell>
        </row>
        <row r="618">
          <cell r="A618">
            <v>96808</v>
          </cell>
          <cell r="B618" t="str">
            <v>ORANGE WATER AND SEWER AUTHORITY</v>
          </cell>
          <cell r="C618">
            <v>612313.68999999994</v>
          </cell>
        </row>
        <row r="619">
          <cell r="A619">
            <v>96811</v>
          </cell>
          <cell r="B619" t="str">
            <v>TOWN OF CHAPEL HILL</v>
          </cell>
          <cell r="C619">
            <v>2828120.43</v>
          </cell>
        </row>
        <row r="620">
          <cell r="A620">
            <v>96821</v>
          </cell>
          <cell r="B620" t="str">
            <v>TOWN OF CARRBORO</v>
          </cell>
          <cell r="C620">
            <v>606075.74</v>
          </cell>
        </row>
        <row r="621">
          <cell r="A621">
            <v>96831</v>
          </cell>
          <cell r="B621" t="str">
            <v>TOWN OF HILLSBOROUGH</v>
          </cell>
          <cell r="C621">
            <v>437767.04</v>
          </cell>
        </row>
        <row r="622">
          <cell r="A622">
            <v>96901</v>
          </cell>
          <cell r="B622" t="str">
            <v>PAMLICO COUNTY</v>
          </cell>
          <cell r="C622">
            <v>449406.94</v>
          </cell>
        </row>
        <row r="623">
          <cell r="A623">
            <v>96911</v>
          </cell>
          <cell r="B623" t="str">
            <v>TOWN OF BAYBORO</v>
          </cell>
          <cell r="C623">
            <v>2452.13</v>
          </cell>
        </row>
        <row r="624">
          <cell r="A624">
            <v>96912</v>
          </cell>
          <cell r="B624" t="str">
            <v>TOWN OF ORIENTAL</v>
          </cell>
          <cell r="C624">
            <v>26729.279999999999</v>
          </cell>
        </row>
        <row r="625">
          <cell r="A625">
            <v>96918</v>
          </cell>
          <cell r="B625" t="str">
            <v>BAY RIVER METRO SEWERAGE DISTRICT</v>
          </cell>
          <cell r="C625">
            <v>16749.66</v>
          </cell>
        </row>
        <row r="626">
          <cell r="A626">
            <v>97001</v>
          </cell>
          <cell r="B626" t="str">
            <v>PASQUOTANK COUNTY</v>
          </cell>
          <cell r="C626">
            <v>742552.9</v>
          </cell>
        </row>
        <row r="627">
          <cell r="A627">
            <v>97002</v>
          </cell>
          <cell r="B627" t="str">
            <v>PASQUOTANK-CAMDEN AMBULANCE SERVICE</v>
          </cell>
          <cell r="C627">
            <v>185928.29</v>
          </cell>
        </row>
        <row r="628">
          <cell r="A628">
            <v>97004</v>
          </cell>
          <cell r="B628" t="str">
            <v>PASQUOTANK CO ABC BOARD</v>
          </cell>
          <cell r="C628">
            <v>8806.36</v>
          </cell>
        </row>
        <row r="629">
          <cell r="A629">
            <v>97005</v>
          </cell>
          <cell r="B629" t="str">
            <v>EAST ALBEMARLE REGIONAL LIBRARY</v>
          </cell>
          <cell r="C629">
            <v>14967.8</v>
          </cell>
        </row>
        <row r="630">
          <cell r="A630">
            <v>97008</v>
          </cell>
          <cell r="B630" t="str">
            <v>ALBEMARLE DISTRICT JAIL COMMISSION</v>
          </cell>
          <cell r="C630">
            <v>139745.68</v>
          </cell>
        </row>
        <row r="631">
          <cell r="A631">
            <v>97011</v>
          </cell>
          <cell r="B631" t="str">
            <v>ELIZABETH CITY</v>
          </cell>
          <cell r="C631">
            <v>918572.95</v>
          </cell>
        </row>
        <row r="632">
          <cell r="A632">
            <v>97012</v>
          </cell>
          <cell r="B632" t="str">
            <v>ELIZABETH CITY-PASQUOTANK CO AIRPORT AUTH</v>
          </cell>
          <cell r="C632">
            <v>18023.54</v>
          </cell>
        </row>
        <row r="633">
          <cell r="A633">
            <v>97013</v>
          </cell>
          <cell r="B633" t="str">
            <v>ELIZABETH CITY PASQUOTANK COUNTY TDA</v>
          </cell>
          <cell r="C633">
            <v>11938.57</v>
          </cell>
        </row>
        <row r="634">
          <cell r="A634">
            <v>97015</v>
          </cell>
          <cell r="B634" t="str">
            <v>PASQUOTANK-CAMDEN LIBRARY</v>
          </cell>
          <cell r="C634">
            <v>25312.84</v>
          </cell>
        </row>
        <row r="635">
          <cell r="A635">
            <v>97018</v>
          </cell>
          <cell r="B635" t="str">
            <v>ELIZABETH CTY-PASQUOTANK CO INDUSTRL DEVELOPMENT C</v>
          </cell>
          <cell r="C635">
            <v>8583.6</v>
          </cell>
        </row>
        <row r="636">
          <cell r="A636">
            <v>97101</v>
          </cell>
          <cell r="B636" t="str">
            <v>PENDER COUNTY</v>
          </cell>
          <cell r="C636">
            <v>1330859.4099999999</v>
          </cell>
        </row>
        <row r="637">
          <cell r="A637">
            <v>97104</v>
          </cell>
          <cell r="B637" t="str">
            <v>PENDER COUNTY ABC BOARD</v>
          </cell>
          <cell r="C637">
            <v>32872.47</v>
          </cell>
        </row>
        <row r="638">
          <cell r="A638">
            <v>97111</v>
          </cell>
          <cell r="B638" t="str">
            <v>TOWN OF BURGAW</v>
          </cell>
          <cell r="C638">
            <v>129965.59</v>
          </cell>
        </row>
        <row r="639">
          <cell r="A639">
            <v>97121</v>
          </cell>
          <cell r="B639" t="str">
            <v>TOWN OF TOPSAIL BEACH</v>
          </cell>
          <cell r="C639">
            <v>76175.850000000006</v>
          </cell>
        </row>
        <row r="640">
          <cell r="A640">
            <v>97131</v>
          </cell>
          <cell r="B640" t="str">
            <v>TOWN OF SURF CITY</v>
          </cell>
          <cell r="C640">
            <v>265411.49</v>
          </cell>
        </row>
        <row r="641">
          <cell r="A641">
            <v>97201</v>
          </cell>
          <cell r="B641" t="str">
            <v>PERQUIMANS COUNTY</v>
          </cell>
          <cell r="C641">
            <v>262236.90999999997</v>
          </cell>
        </row>
        <row r="642">
          <cell r="A642">
            <v>97211</v>
          </cell>
          <cell r="B642" t="str">
            <v>TOWN OF HERTFORD</v>
          </cell>
          <cell r="C642">
            <v>77866.37</v>
          </cell>
        </row>
        <row r="643">
          <cell r="A643">
            <v>97213</v>
          </cell>
          <cell r="B643" t="str">
            <v>HERTFORD HOUSING AUTH</v>
          </cell>
          <cell r="C643">
            <v>21662.31</v>
          </cell>
        </row>
        <row r="644">
          <cell r="A644">
            <v>97217</v>
          </cell>
          <cell r="B644" t="str">
            <v>TOWN OF HERTFORD ABC BOARD</v>
          </cell>
          <cell r="C644">
            <v>6450.3</v>
          </cell>
        </row>
        <row r="645">
          <cell r="A645">
            <v>97221</v>
          </cell>
          <cell r="B645" t="str">
            <v>TOWN OF WINFALL</v>
          </cell>
          <cell r="C645">
            <v>6192.47</v>
          </cell>
        </row>
        <row r="646">
          <cell r="A646">
            <v>97301</v>
          </cell>
          <cell r="B646" t="str">
            <v>PERSON COUNTY</v>
          </cell>
          <cell r="C646">
            <v>1231027.8799999999</v>
          </cell>
        </row>
        <row r="647">
          <cell r="A647">
            <v>97304</v>
          </cell>
          <cell r="B647" t="str">
            <v>PERSON CO ABC BD</v>
          </cell>
          <cell r="C647">
            <v>13751.59</v>
          </cell>
        </row>
        <row r="648">
          <cell r="A648">
            <v>97311</v>
          </cell>
          <cell r="B648" t="str">
            <v>CITY OF ROXBORO</v>
          </cell>
          <cell r="C648">
            <v>427971.84000000003</v>
          </cell>
        </row>
        <row r="649">
          <cell r="A649">
            <v>97401</v>
          </cell>
          <cell r="B649" t="str">
            <v>PITT COUNTY</v>
          </cell>
          <cell r="C649">
            <v>3585248.73</v>
          </cell>
        </row>
        <row r="650">
          <cell r="A650">
            <v>97402</v>
          </cell>
          <cell r="B650" t="str">
            <v>PITT-GREENVILLE CONV &amp; VISTORS</v>
          </cell>
          <cell r="C650">
            <v>26436.66</v>
          </cell>
        </row>
        <row r="651">
          <cell r="A651">
            <v>97404</v>
          </cell>
          <cell r="B651" t="str">
            <v>PITT COUNTY ABC BOARD</v>
          </cell>
          <cell r="C651">
            <v>90667.81</v>
          </cell>
        </row>
        <row r="652">
          <cell r="A652">
            <v>97405</v>
          </cell>
          <cell r="B652" t="str">
            <v>SHEPPARD MEMORIAL LIBRARY</v>
          </cell>
          <cell r="C652">
            <v>71138.850000000006</v>
          </cell>
        </row>
        <row r="653">
          <cell r="A653">
            <v>97408</v>
          </cell>
          <cell r="B653" t="str">
            <v>CONTENNEA METROPOLITAN SEWERAGE DIST</v>
          </cell>
          <cell r="C653">
            <v>25129.97</v>
          </cell>
        </row>
        <row r="654">
          <cell r="A654">
            <v>97411</v>
          </cell>
          <cell r="B654" t="str">
            <v>CITY OF GREENVILLE</v>
          </cell>
          <cell r="C654">
            <v>3028532.57</v>
          </cell>
        </row>
        <row r="655">
          <cell r="A655">
            <v>97412</v>
          </cell>
          <cell r="B655" t="str">
            <v>GREENVILLE UTILITIES COMMISSION</v>
          </cell>
          <cell r="C655">
            <v>2270407.41</v>
          </cell>
        </row>
        <row r="656">
          <cell r="A656">
            <v>97413</v>
          </cell>
          <cell r="B656" t="str">
            <v>GREENVILLE HOUSING AUTHORITY</v>
          </cell>
          <cell r="C656">
            <v>148219.56</v>
          </cell>
        </row>
        <row r="657">
          <cell r="A657">
            <v>97421</v>
          </cell>
          <cell r="B657" t="str">
            <v>TOWN OF FARMVILLE</v>
          </cell>
          <cell r="C657">
            <v>210610.72</v>
          </cell>
        </row>
        <row r="658">
          <cell r="A658">
            <v>97423</v>
          </cell>
          <cell r="B658" t="str">
            <v>FARMVILLE HOUSING AUTHORITY</v>
          </cell>
          <cell r="C658">
            <v>40514.76</v>
          </cell>
        </row>
        <row r="659">
          <cell r="A659">
            <v>97431</v>
          </cell>
          <cell r="B659" t="str">
            <v>TOWN OF GRIFTON</v>
          </cell>
          <cell r="C659">
            <v>50715.32</v>
          </cell>
        </row>
        <row r="660">
          <cell r="A660">
            <v>97441</v>
          </cell>
          <cell r="B660" t="str">
            <v>TOWN OF BETHEL</v>
          </cell>
          <cell r="C660">
            <v>21551.56</v>
          </cell>
        </row>
        <row r="661">
          <cell r="A661">
            <v>97451</v>
          </cell>
          <cell r="B661" t="str">
            <v>TOWN OF WINTERVILLE</v>
          </cell>
          <cell r="C661">
            <v>257107.71</v>
          </cell>
        </row>
        <row r="662">
          <cell r="A662" t="str">
            <v>97461M</v>
          </cell>
          <cell r="B662" t="str">
            <v>TOWN OF AYDEN</v>
          </cell>
          <cell r="C662">
            <v>234518.87</v>
          </cell>
        </row>
        <row r="663">
          <cell r="A663" t="str">
            <v>97463M</v>
          </cell>
          <cell r="B663" t="str">
            <v>AYDEN HOUSING AUTHORITY</v>
          </cell>
          <cell r="C663">
            <v>8702.26</v>
          </cell>
        </row>
        <row r="664">
          <cell r="A664">
            <v>97461</v>
          </cell>
          <cell r="B664" t="str">
            <v>TOWN OF AYDEN</v>
          </cell>
          <cell r="C664">
            <v>243221.13</v>
          </cell>
        </row>
        <row r="665">
          <cell r="A665">
            <v>97471</v>
          </cell>
          <cell r="B665" t="str">
            <v>TOWN OF GRIMESLAND</v>
          </cell>
          <cell r="C665">
            <v>12311.93</v>
          </cell>
        </row>
        <row r="666">
          <cell r="A666">
            <v>97481</v>
          </cell>
          <cell r="B666" t="str">
            <v>VILLAGE OF SIMPSON</v>
          </cell>
          <cell r="C666">
            <v>4407.68</v>
          </cell>
        </row>
        <row r="667">
          <cell r="A667">
            <v>97501</v>
          </cell>
          <cell r="B667" t="str">
            <v>POLK COUNTY</v>
          </cell>
          <cell r="C667">
            <v>543678.36</v>
          </cell>
        </row>
        <row r="668">
          <cell r="A668">
            <v>97511</v>
          </cell>
          <cell r="B668" t="str">
            <v>TOWN OF TRYON</v>
          </cell>
          <cell r="C668">
            <v>102058.77</v>
          </cell>
        </row>
        <row r="669">
          <cell r="A669">
            <v>97521</v>
          </cell>
          <cell r="B669" t="str">
            <v>TOWN OF COLUMBUS</v>
          </cell>
          <cell r="C669">
            <v>58326.6</v>
          </cell>
        </row>
        <row r="670">
          <cell r="A670">
            <v>97527</v>
          </cell>
          <cell r="B670" t="str">
            <v>COLUMBUS ABC BOARD</v>
          </cell>
          <cell r="C670">
            <v>3761.73</v>
          </cell>
        </row>
        <row r="671">
          <cell r="A671">
            <v>97531</v>
          </cell>
          <cell r="B671" t="str">
            <v>CITY OF SALUDA</v>
          </cell>
          <cell r="C671">
            <v>29948.85</v>
          </cell>
        </row>
        <row r="672">
          <cell r="A672">
            <v>97601</v>
          </cell>
          <cell r="B672" t="str">
            <v>RANDOLPH COUNTY</v>
          </cell>
          <cell r="C672">
            <v>2483068.88</v>
          </cell>
        </row>
        <row r="673">
          <cell r="A673">
            <v>97607</v>
          </cell>
          <cell r="B673" t="str">
            <v>ASHEBORO ABC BOARD</v>
          </cell>
          <cell r="C673">
            <v>18882.38</v>
          </cell>
        </row>
        <row r="674">
          <cell r="A674">
            <v>97611</v>
          </cell>
          <cell r="B674" t="str">
            <v>CITY OF ASHEBORO</v>
          </cell>
          <cell r="C674">
            <v>1130810.3999999999</v>
          </cell>
        </row>
        <row r="675">
          <cell r="A675">
            <v>97613</v>
          </cell>
          <cell r="B675" t="str">
            <v>ASHEBORO HOUSING AUTH</v>
          </cell>
          <cell r="C675">
            <v>63111.42</v>
          </cell>
        </row>
        <row r="676">
          <cell r="A676">
            <v>97621</v>
          </cell>
          <cell r="B676" t="str">
            <v>CITY OF RANDLEMAN</v>
          </cell>
          <cell r="C676">
            <v>187775.93</v>
          </cell>
        </row>
        <row r="677">
          <cell r="A677">
            <v>97623</v>
          </cell>
          <cell r="B677" t="str">
            <v>CITY OF RANDLEMAN HOUSING AUTHORITY</v>
          </cell>
          <cell r="C677">
            <v>11408.9</v>
          </cell>
        </row>
        <row r="678">
          <cell r="A678">
            <v>97627</v>
          </cell>
          <cell r="B678" t="str">
            <v>CITY OF RANDLEMAN ABC BOARD</v>
          </cell>
          <cell r="C678">
            <v>5463.33</v>
          </cell>
        </row>
        <row r="679">
          <cell r="A679">
            <v>97631</v>
          </cell>
          <cell r="B679" t="str">
            <v>TOWN OF LIBERTY</v>
          </cell>
          <cell r="C679">
            <v>92382.77</v>
          </cell>
        </row>
        <row r="680">
          <cell r="A680">
            <v>97637</v>
          </cell>
          <cell r="B680" t="str">
            <v>LIBERTY ABC BOARD</v>
          </cell>
          <cell r="C680">
            <v>3307.56</v>
          </cell>
        </row>
        <row r="681">
          <cell r="A681">
            <v>97641</v>
          </cell>
          <cell r="B681" t="str">
            <v>TOWN OF RAMSEUR</v>
          </cell>
          <cell r="C681">
            <v>30439.01</v>
          </cell>
        </row>
        <row r="682">
          <cell r="A682">
            <v>97651</v>
          </cell>
          <cell r="B682" t="str">
            <v>CITY OF ARCHDALE</v>
          </cell>
          <cell r="C682">
            <v>232693.75</v>
          </cell>
        </row>
        <row r="683">
          <cell r="A683">
            <v>97661</v>
          </cell>
          <cell r="B683" t="str">
            <v>CITY OF TRINITY</v>
          </cell>
          <cell r="C683">
            <v>25899.94</v>
          </cell>
        </row>
        <row r="684">
          <cell r="A684">
            <v>97701</v>
          </cell>
          <cell r="B684" t="str">
            <v>RICHMOND COUNTY</v>
          </cell>
          <cell r="C684">
            <v>1244784.92</v>
          </cell>
        </row>
        <row r="685">
          <cell r="A685">
            <v>97705</v>
          </cell>
          <cell r="B685" t="str">
            <v>SANDHILL REGIONAL LIBRARY</v>
          </cell>
          <cell r="C685">
            <v>23599.25</v>
          </cell>
        </row>
        <row r="686">
          <cell r="A686">
            <v>97711</v>
          </cell>
          <cell r="B686" t="str">
            <v>CITY OF ROCKINGHAM</v>
          </cell>
          <cell r="C686">
            <v>457009.62</v>
          </cell>
        </row>
        <row r="687">
          <cell r="A687">
            <v>97713</v>
          </cell>
          <cell r="B687" t="str">
            <v>ROCKINGHAM HOUSING AUTHORITY</v>
          </cell>
          <cell r="C687">
            <v>21943.34</v>
          </cell>
        </row>
        <row r="688">
          <cell r="A688">
            <v>97717</v>
          </cell>
          <cell r="B688" t="str">
            <v>HAMLET ABC BOARD</v>
          </cell>
          <cell r="C688">
            <v>2473.4699999999998</v>
          </cell>
        </row>
        <row r="689">
          <cell r="A689">
            <v>97721</v>
          </cell>
          <cell r="B689" t="str">
            <v>CITY OF HAMLET</v>
          </cell>
          <cell r="C689">
            <v>271324.76</v>
          </cell>
        </row>
        <row r="690">
          <cell r="A690">
            <v>97727</v>
          </cell>
          <cell r="B690" t="str">
            <v>CITY OF ROCKINGHAM ABC BOARD</v>
          </cell>
          <cell r="C690">
            <v>11178.52</v>
          </cell>
        </row>
        <row r="691">
          <cell r="A691">
            <v>97731</v>
          </cell>
          <cell r="B691" t="str">
            <v>TOWN OF ELLERBE</v>
          </cell>
          <cell r="C691">
            <v>19915.73</v>
          </cell>
        </row>
        <row r="692">
          <cell r="A692">
            <v>97801</v>
          </cell>
          <cell r="B692" t="str">
            <v>ROBESON COUNTY</v>
          </cell>
          <cell r="C692">
            <v>3252423.91</v>
          </cell>
        </row>
        <row r="693">
          <cell r="A693">
            <v>97802</v>
          </cell>
          <cell r="B693" t="str">
            <v>LUMBER RIVER COUNCIL OF GOVERNMENTS</v>
          </cell>
          <cell r="C693">
            <v>84582.720000000001</v>
          </cell>
        </row>
        <row r="694">
          <cell r="A694">
            <v>97803</v>
          </cell>
          <cell r="B694" t="str">
            <v>ROBESON COUNTY HOUSING AUTHORITY</v>
          </cell>
          <cell r="C694">
            <v>39273.5</v>
          </cell>
        </row>
        <row r="695">
          <cell r="A695">
            <v>97805</v>
          </cell>
          <cell r="B695" t="str">
            <v>ROBESON COUNTY PUBLIC LIBRARY</v>
          </cell>
          <cell r="C695">
            <v>42170.28</v>
          </cell>
        </row>
        <row r="696">
          <cell r="A696">
            <v>97811</v>
          </cell>
          <cell r="B696" t="str">
            <v>CITY OF LUMBERTON</v>
          </cell>
          <cell r="C696">
            <v>1170323.8600000001</v>
          </cell>
        </row>
        <row r="697">
          <cell r="A697">
            <v>97817</v>
          </cell>
          <cell r="B697" t="str">
            <v>LUMBERTON ABC BOARD</v>
          </cell>
          <cell r="C697">
            <v>13790.33</v>
          </cell>
        </row>
        <row r="698">
          <cell r="A698">
            <v>97818</v>
          </cell>
          <cell r="B698" t="str">
            <v>LUMBERTON AIRPORT COMM</v>
          </cell>
          <cell r="C698">
            <v>10225.219999999999</v>
          </cell>
        </row>
        <row r="699">
          <cell r="A699">
            <v>97821</v>
          </cell>
          <cell r="B699" t="str">
            <v>TOWN OF FAIRMONT</v>
          </cell>
          <cell r="C699">
            <v>68059.789999999994</v>
          </cell>
        </row>
        <row r="700">
          <cell r="A700">
            <v>97823</v>
          </cell>
          <cell r="B700" t="str">
            <v>FAIRMONT HOUSING AUTHORITY</v>
          </cell>
          <cell r="C700">
            <v>11236.36</v>
          </cell>
        </row>
        <row r="701">
          <cell r="A701">
            <v>97831</v>
          </cell>
          <cell r="B701" t="str">
            <v>TOWN OF ST PAULS</v>
          </cell>
          <cell r="C701">
            <v>86433.49</v>
          </cell>
        </row>
        <row r="702">
          <cell r="A702">
            <v>97837</v>
          </cell>
          <cell r="B702" t="str">
            <v>ST PAUL'S BRD OF ALCOHOLIC CTL</v>
          </cell>
          <cell r="C702">
            <v>7118.4</v>
          </cell>
        </row>
        <row r="703">
          <cell r="A703">
            <v>97840</v>
          </cell>
          <cell r="B703" t="str">
            <v>TOWN OF MAXTON</v>
          </cell>
          <cell r="C703">
            <v>115822.16</v>
          </cell>
        </row>
        <row r="704">
          <cell r="A704">
            <v>97841</v>
          </cell>
          <cell r="B704" t="str">
            <v>TOWN OF PARKTON</v>
          </cell>
          <cell r="C704">
            <v>6778.58</v>
          </cell>
        </row>
        <row r="705">
          <cell r="A705">
            <v>97847</v>
          </cell>
          <cell r="B705" t="str">
            <v>MAXTON ABC BOARD</v>
          </cell>
          <cell r="C705">
            <v>2336.88</v>
          </cell>
        </row>
        <row r="706">
          <cell r="A706">
            <v>97851</v>
          </cell>
          <cell r="B706" t="str">
            <v>TOWN OF PEMBROKE</v>
          </cell>
          <cell r="C706">
            <v>115501.54</v>
          </cell>
        </row>
        <row r="707">
          <cell r="A707">
            <v>97853</v>
          </cell>
          <cell r="B707" t="str">
            <v>PEMBROKE HOUSING AUTHORITY</v>
          </cell>
          <cell r="C707">
            <v>40633.69</v>
          </cell>
        </row>
        <row r="708">
          <cell r="A708">
            <v>97861</v>
          </cell>
          <cell r="B708" t="str">
            <v>TOWN OF ROWLAND</v>
          </cell>
          <cell r="C708">
            <v>26837.61</v>
          </cell>
        </row>
        <row r="709">
          <cell r="A709">
            <v>97871</v>
          </cell>
          <cell r="B709" t="str">
            <v>TOWN OF RED SPRINGS</v>
          </cell>
          <cell r="C709">
            <v>295105.89</v>
          </cell>
        </row>
        <row r="710">
          <cell r="A710">
            <v>97877</v>
          </cell>
          <cell r="B710" t="str">
            <v>RED SPRINGS ABC BOARD</v>
          </cell>
          <cell r="C710">
            <v>2779.92</v>
          </cell>
        </row>
        <row r="711">
          <cell r="A711">
            <v>97901</v>
          </cell>
          <cell r="B711" t="str">
            <v>ROCKINGHAM COUNTY</v>
          </cell>
          <cell r="C711">
            <v>2084645.48</v>
          </cell>
        </row>
        <row r="712">
          <cell r="A712">
            <v>97911</v>
          </cell>
          <cell r="B712" t="str">
            <v>CITY OF REIDSVILLE</v>
          </cell>
          <cell r="C712">
            <v>644048.35</v>
          </cell>
        </row>
        <row r="713">
          <cell r="A713">
            <v>97913</v>
          </cell>
          <cell r="B713" t="str">
            <v>THE NEW REIDSVILLE HOUSING AUTH</v>
          </cell>
          <cell r="C713">
            <v>27203.83</v>
          </cell>
        </row>
        <row r="714">
          <cell r="A714">
            <v>97917</v>
          </cell>
          <cell r="B714" t="str">
            <v>REIDSVILLE ABC BOARD</v>
          </cell>
          <cell r="C714">
            <v>13764.36</v>
          </cell>
        </row>
        <row r="715">
          <cell r="A715">
            <v>97921</v>
          </cell>
          <cell r="B715" t="str">
            <v>TOWN OF MAYODAN</v>
          </cell>
          <cell r="C715">
            <v>111642.37</v>
          </cell>
        </row>
        <row r="716">
          <cell r="A716">
            <v>97931</v>
          </cell>
          <cell r="B716" t="str">
            <v>TOWN OF STONEVILLE</v>
          </cell>
          <cell r="C716">
            <v>33195.64</v>
          </cell>
        </row>
        <row r="717">
          <cell r="A717">
            <v>97941</v>
          </cell>
          <cell r="B717" t="str">
            <v>TOWN OF MADISON</v>
          </cell>
          <cell r="C717">
            <v>115094.14</v>
          </cell>
        </row>
        <row r="718">
          <cell r="A718">
            <v>97947</v>
          </cell>
          <cell r="B718" t="str">
            <v>MADISON ABC BOARD</v>
          </cell>
          <cell r="C718">
            <v>13148.63</v>
          </cell>
        </row>
        <row r="719">
          <cell r="A719">
            <v>97948</v>
          </cell>
          <cell r="B719" t="str">
            <v>MADISON-MAYODAN RECREATION COMM</v>
          </cell>
          <cell r="C719">
            <v>11621.97</v>
          </cell>
        </row>
        <row r="720">
          <cell r="A720">
            <v>97951</v>
          </cell>
          <cell r="B720" t="str">
            <v>CITY OF EDEN</v>
          </cell>
          <cell r="C720">
            <v>633574.65</v>
          </cell>
        </row>
        <row r="721">
          <cell r="A721">
            <v>97957</v>
          </cell>
          <cell r="B721" t="str">
            <v>EDEN ABC BOARD</v>
          </cell>
          <cell r="C721">
            <v>13052.77</v>
          </cell>
        </row>
        <row r="722">
          <cell r="A722">
            <v>98001</v>
          </cell>
          <cell r="B722" t="str">
            <v>ROWAN COUNTY</v>
          </cell>
          <cell r="C722">
            <v>2616829.2999999998</v>
          </cell>
        </row>
        <row r="723">
          <cell r="A723">
            <v>98002</v>
          </cell>
          <cell r="B723" t="str">
            <v>ROWAN CONVENTION &amp; VISTORS BUREAU</v>
          </cell>
          <cell r="C723">
            <v>4737.4799999999996</v>
          </cell>
        </row>
        <row r="724">
          <cell r="A724">
            <v>98003</v>
          </cell>
          <cell r="B724" t="str">
            <v>ROWAN CO HOUSING AUTHORITY</v>
          </cell>
          <cell r="C724">
            <v>72872.41</v>
          </cell>
        </row>
        <row r="725">
          <cell r="A725">
            <v>98004</v>
          </cell>
          <cell r="B725" t="str">
            <v>ROWAN COUNTY ABC BOARD</v>
          </cell>
          <cell r="C725">
            <v>81879.759999999995</v>
          </cell>
        </row>
        <row r="726">
          <cell r="A726">
            <v>98008</v>
          </cell>
          <cell r="B726" t="str">
            <v>ROWAN CO SOIL &amp; WATER CONV DIST</v>
          </cell>
          <cell r="C726">
            <v>3731.25</v>
          </cell>
        </row>
        <row r="727">
          <cell r="A727">
            <v>98011</v>
          </cell>
          <cell r="B727" t="str">
            <v>CITY OF SALISBURY</v>
          </cell>
          <cell r="C727">
            <v>1591661.3</v>
          </cell>
        </row>
        <row r="728">
          <cell r="A728">
            <v>98013</v>
          </cell>
          <cell r="B728" t="str">
            <v>HOUSING AUTH OF THE CTY OF SALISBURY</v>
          </cell>
          <cell r="C728">
            <v>141746.74</v>
          </cell>
        </row>
        <row r="729">
          <cell r="A729">
            <v>98021</v>
          </cell>
          <cell r="B729" t="str">
            <v>TOWN OF EAST SPENCER</v>
          </cell>
          <cell r="C729">
            <v>27245.13</v>
          </cell>
        </row>
        <row r="730">
          <cell r="A730">
            <v>98023</v>
          </cell>
          <cell r="B730" t="str">
            <v>EAST SPENCER HOUSING AUTHORITY</v>
          </cell>
          <cell r="C730">
            <v>7199.78</v>
          </cell>
        </row>
        <row r="731">
          <cell r="A731">
            <v>98031</v>
          </cell>
          <cell r="B731" t="str">
            <v>TOWN OF SPENCER</v>
          </cell>
          <cell r="C731">
            <v>74400.47</v>
          </cell>
        </row>
        <row r="732">
          <cell r="A732">
            <v>98041</v>
          </cell>
          <cell r="B732" t="str">
            <v>TOWN OF CHINA GROVE</v>
          </cell>
          <cell r="C732">
            <v>95602.72</v>
          </cell>
        </row>
        <row r="733">
          <cell r="A733">
            <v>98051</v>
          </cell>
          <cell r="B733" t="str">
            <v>TOWN OF LANDIS</v>
          </cell>
          <cell r="C733">
            <v>141617.46</v>
          </cell>
        </row>
        <row r="734">
          <cell r="A734">
            <v>98061</v>
          </cell>
          <cell r="B734" t="str">
            <v>TOWN OF GRANITE QUARRY</v>
          </cell>
          <cell r="C734">
            <v>55302.94</v>
          </cell>
        </row>
        <row r="735">
          <cell r="A735">
            <v>98071</v>
          </cell>
          <cell r="B735" t="str">
            <v>TOWN OF ROCKWELL</v>
          </cell>
          <cell r="C735">
            <v>30464.18</v>
          </cell>
        </row>
        <row r="736">
          <cell r="A736">
            <v>98081</v>
          </cell>
          <cell r="B736" t="str">
            <v>TOWN OF FAITH</v>
          </cell>
          <cell r="C736">
            <v>8013.51</v>
          </cell>
        </row>
        <row r="737">
          <cell r="A737">
            <v>98091</v>
          </cell>
          <cell r="B737" t="str">
            <v>TOWN OF CLEVELAND</v>
          </cell>
          <cell r="C737">
            <v>27903.11</v>
          </cell>
        </row>
        <row r="738">
          <cell r="A738">
            <v>98101</v>
          </cell>
          <cell r="B738" t="str">
            <v>RUTHERFORD COUNTY</v>
          </cell>
          <cell r="C738">
            <v>1264504.67</v>
          </cell>
        </row>
        <row r="739">
          <cell r="A739">
            <v>98102</v>
          </cell>
          <cell r="B739" t="str">
            <v>BROAD RIVER WATER AUTHORITY</v>
          </cell>
          <cell r="C739">
            <v>75316.100000000006</v>
          </cell>
        </row>
        <row r="740">
          <cell r="A740">
            <v>98103</v>
          </cell>
          <cell r="B740" t="str">
            <v>RUTHERFORD POLK MCDOWELL DIST BRD OF HEALTH</v>
          </cell>
          <cell r="C740">
            <v>250406.86</v>
          </cell>
        </row>
        <row r="741">
          <cell r="A741">
            <v>98107</v>
          </cell>
          <cell r="B741" t="str">
            <v>FOREST CITY ABC BOARD 168</v>
          </cell>
          <cell r="C741">
            <v>9422.6299999999992</v>
          </cell>
        </row>
        <row r="742">
          <cell r="A742">
            <v>98109</v>
          </cell>
          <cell r="B742" t="str">
            <v>ISOTHERMAL PLANNING AND DEV COMM</v>
          </cell>
          <cell r="C742">
            <v>83279.89</v>
          </cell>
        </row>
        <row r="743">
          <cell r="A743">
            <v>98111</v>
          </cell>
          <cell r="B743" t="str">
            <v>TOWN OF FOREST CITY</v>
          </cell>
          <cell r="C743">
            <v>454903.8</v>
          </cell>
        </row>
        <row r="744">
          <cell r="A744">
            <v>98113</v>
          </cell>
          <cell r="B744" t="str">
            <v>FOREST CITY HOUSING AUTHORITY</v>
          </cell>
          <cell r="C744">
            <v>25001.439999999999</v>
          </cell>
        </row>
        <row r="745">
          <cell r="A745">
            <v>98121</v>
          </cell>
          <cell r="B745" t="str">
            <v>TOWN OF SPINDALE</v>
          </cell>
          <cell r="C745">
            <v>95547.88</v>
          </cell>
        </row>
        <row r="746">
          <cell r="A746">
            <v>98131</v>
          </cell>
          <cell r="B746" t="str">
            <v>TOWN OF LAKE LURE</v>
          </cell>
          <cell r="C746">
            <v>119074.04</v>
          </cell>
        </row>
        <row r="747">
          <cell r="A747">
            <v>98141</v>
          </cell>
          <cell r="B747" t="str">
            <v>TOWN OF RUTHERFORDTON</v>
          </cell>
          <cell r="C747">
            <v>135297.06</v>
          </cell>
        </row>
        <row r="748">
          <cell r="A748">
            <v>98147</v>
          </cell>
          <cell r="B748" t="str">
            <v>TOWN OF RUTHERFORDTON ABC BRD</v>
          </cell>
          <cell r="C748">
            <v>10696.96</v>
          </cell>
        </row>
        <row r="749">
          <cell r="A749">
            <v>98161</v>
          </cell>
          <cell r="B749" t="str">
            <v>TOWN OF ELLENBORO</v>
          </cell>
          <cell r="C749">
            <v>5373.22</v>
          </cell>
        </row>
        <row r="750">
          <cell r="A750">
            <v>98201</v>
          </cell>
          <cell r="B750" t="str">
            <v>SAMPSON COUNTY</v>
          </cell>
          <cell r="C750">
            <v>1507010.88</v>
          </cell>
        </row>
        <row r="751">
          <cell r="A751">
            <v>98205</v>
          </cell>
          <cell r="B751" t="str">
            <v>J C HOLIDAY MEM LIBRARY</v>
          </cell>
          <cell r="C751">
            <v>21656.19</v>
          </cell>
        </row>
        <row r="752">
          <cell r="A752">
            <v>98211</v>
          </cell>
          <cell r="B752" t="str">
            <v>CITY OF CLINTON</v>
          </cell>
          <cell r="C752">
            <v>397199.49</v>
          </cell>
        </row>
        <row r="753">
          <cell r="A753">
            <v>98218</v>
          </cell>
          <cell r="B753" t="str">
            <v>CLINTON ABC BOARD</v>
          </cell>
          <cell r="C753">
            <v>8526.1</v>
          </cell>
        </row>
        <row r="754">
          <cell r="A754">
            <v>98221</v>
          </cell>
          <cell r="B754" t="str">
            <v>TOWN OF SALEMBURG</v>
          </cell>
          <cell r="C754">
            <v>11112.23</v>
          </cell>
        </row>
        <row r="755">
          <cell r="A755">
            <v>98231</v>
          </cell>
          <cell r="B755" t="str">
            <v>TOWN OF NEWTON GROVE</v>
          </cell>
          <cell r="C755">
            <v>16564.939999999999</v>
          </cell>
        </row>
        <row r="756">
          <cell r="A756">
            <v>98237</v>
          </cell>
          <cell r="B756" t="str">
            <v>ROSEBORO ABC BOARD</v>
          </cell>
          <cell r="C756">
            <v>3817.74</v>
          </cell>
        </row>
        <row r="757">
          <cell r="A757">
            <v>98241</v>
          </cell>
          <cell r="B757" t="str">
            <v>TOWN OF GARLAND</v>
          </cell>
          <cell r="C757">
            <v>7467.94</v>
          </cell>
        </row>
        <row r="758">
          <cell r="A758">
            <v>98251</v>
          </cell>
          <cell r="B758" t="str">
            <v>TOWN OF TURKEY</v>
          </cell>
          <cell r="C758">
            <v>2395.2399999999998</v>
          </cell>
        </row>
        <row r="759">
          <cell r="A759">
            <v>98261</v>
          </cell>
          <cell r="B759" t="str">
            <v>TOWN OF ROSEBORO</v>
          </cell>
          <cell r="C759">
            <v>19407.86</v>
          </cell>
        </row>
        <row r="760">
          <cell r="A760">
            <v>98271</v>
          </cell>
          <cell r="B760" t="str">
            <v>TOWN OF AUTRYVILLE</v>
          </cell>
          <cell r="C760">
            <v>3923.2</v>
          </cell>
        </row>
        <row r="761">
          <cell r="A761">
            <v>98301</v>
          </cell>
          <cell r="B761" t="str">
            <v>SCOTLAND COUNTY</v>
          </cell>
          <cell r="C761">
            <v>898600.6</v>
          </cell>
        </row>
        <row r="762">
          <cell r="A762">
            <v>98304</v>
          </cell>
          <cell r="B762" t="str">
            <v>SCOTLAND COUNTY ABC BOARD</v>
          </cell>
          <cell r="C762">
            <v>13953.18</v>
          </cell>
        </row>
        <row r="763">
          <cell r="A763">
            <v>98308</v>
          </cell>
          <cell r="B763" t="str">
            <v>LAURINBURG-MAXTON AIRPORT COMMISSION</v>
          </cell>
          <cell r="C763">
            <v>16525.68</v>
          </cell>
        </row>
        <row r="764">
          <cell r="A764">
            <v>98311</v>
          </cell>
          <cell r="B764" t="str">
            <v>CITY OF LAURINBURG</v>
          </cell>
          <cell r="C764">
            <v>482185.97</v>
          </cell>
        </row>
        <row r="765">
          <cell r="A765">
            <v>98313</v>
          </cell>
          <cell r="B765" t="str">
            <v>LAURINBURG HOUSING AUTHORITY</v>
          </cell>
          <cell r="C765">
            <v>272640.74</v>
          </cell>
        </row>
        <row r="766">
          <cell r="A766">
            <v>98321</v>
          </cell>
          <cell r="B766" t="str">
            <v>TOWN OF WAGRAM</v>
          </cell>
          <cell r="C766">
            <v>10544.29</v>
          </cell>
        </row>
        <row r="767">
          <cell r="A767">
            <v>98331</v>
          </cell>
          <cell r="B767" t="str">
            <v>TOWN OF GIBSON</v>
          </cell>
          <cell r="C767">
            <v>6678.17</v>
          </cell>
        </row>
        <row r="768">
          <cell r="A768">
            <v>98401</v>
          </cell>
          <cell r="B768" t="str">
            <v>STANLY COUNTY</v>
          </cell>
          <cell r="C768">
            <v>1479388.47</v>
          </cell>
        </row>
        <row r="769">
          <cell r="A769">
            <v>98404</v>
          </cell>
          <cell r="B769" t="str">
            <v>LOCUST ABC BOARD</v>
          </cell>
          <cell r="C769">
            <v>8376.92</v>
          </cell>
        </row>
        <row r="770">
          <cell r="A770">
            <v>98411</v>
          </cell>
          <cell r="B770" t="str">
            <v>CITY OF ALBEMARLE</v>
          </cell>
          <cell r="C770">
            <v>907144.49</v>
          </cell>
        </row>
        <row r="771">
          <cell r="A771">
            <v>98414</v>
          </cell>
          <cell r="B771" t="str">
            <v>VILLAGE OF MISENHEIMER</v>
          </cell>
          <cell r="C771">
            <v>18061.77</v>
          </cell>
        </row>
        <row r="772">
          <cell r="A772">
            <v>98417</v>
          </cell>
          <cell r="B772" t="str">
            <v>ALBEMARLE ABC BOARD</v>
          </cell>
          <cell r="C772">
            <v>15438.2</v>
          </cell>
        </row>
        <row r="773">
          <cell r="A773">
            <v>98421</v>
          </cell>
          <cell r="B773" t="str">
            <v>TOWN OF NORWOOD</v>
          </cell>
          <cell r="C773">
            <v>50452.71</v>
          </cell>
        </row>
        <row r="774">
          <cell r="A774">
            <v>98427</v>
          </cell>
          <cell r="B774" t="str">
            <v>NORWOOD ABC BD</v>
          </cell>
          <cell r="C774">
            <v>3303.88</v>
          </cell>
        </row>
        <row r="775">
          <cell r="A775">
            <v>98431</v>
          </cell>
          <cell r="B775" t="str">
            <v>CITY OF LOCUST</v>
          </cell>
          <cell r="C775">
            <v>82786.559999999998</v>
          </cell>
        </row>
        <row r="776">
          <cell r="A776">
            <v>98441</v>
          </cell>
          <cell r="B776" t="str">
            <v>TOWN OF OAKBORO</v>
          </cell>
          <cell r="C776">
            <v>44922.59</v>
          </cell>
        </row>
        <row r="777">
          <cell r="A777">
            <v>98451</v>
          </cell>
          <cell r="B777" t="str">
            <v>TOWN OF BADIN</v>
          </cell>
          <cell r="C777">
            <v>26696.44</v>
          </cell>
        </row>
        <row r="778">
          <cell r="A778">
            <v>98471</v>
          </cell>
          <cell r="B778" t="str">
            <v>TOWN OF NEW LONDON</v>
          </cell>
          <cell r="C778">
            <v>3934.46</v>
          </cell>
        </row>
        <row r="779">
          <cell r="A779">
            <v>98481</v>
          </cell>
          <cell r="B779" t="str">
            <v>TOWN OF STANFIELD</v>
          </cell>
          <cell r="C779">
            <v>30725.66</v>
          </cell>
        </row>
        <row r="780">
          <cell r="A780">
            <v>98501</v>
          </cell>
          <cell r="B780" t="str">
            <v>STOKES COUNTY</v>
          </cell>
          <cell r="C780">
            <v>837926.02</v>
          </cell>
        </row>
        <row r="781">
          <cell r="A781">
            <v>98511</v>
          </cell>
          <cell r="B781" t="str">
            <v>TOWN OF WALNUT COVE</v>
          </cell>
          <cell r="C781">
            <v>23329.99</v>
          </cell>
        </row>
        <row r="782">
          <cell r="A782">
            <v>98517</v>
          </cell>
          <cell r="B782" t="str">
            <v>WALNUT COVE ABC BOARD</v>
          </cell>
          <cell r="C782">
            <v>3273.82</v>
          </cell>
        </row>
        <row r="783">
          <cell r="A783">
            <v>98521</v>
          </cell>
          <cell r="B783" t="str">
            <v>CITY OF KING</v>
          </cell>
          <cell r="C783">
            <v>295494.87</v>
          </cell>
        </row>
        <row r="784">
          <cell r="A784">
            <v>98601</v>
          </cell>
          <cell r="B784" t="str">
            <v>SURRY COUNTY</v>
          </cell>
          <cell r="C784">
            <v>1634846.49</v>
          </cell>
        </row>
        <row r="785">
          <cell r="A785">
            <v>98604</v>
          </cell>
          <cell r="B785" t="str">
            <v>YADKIN VALLEY ABC BOARD</v>
          </cell>
          <cell r="C785">
            <v>7854.38</v>
          </cell>
        </row>
        <row r="786">
          <cell r="A786">
            <v>98607</v>
          </cell>
          <cell r="B786" t="str">
            <v>PILOT MOUNTAIN ABC BOARD</v>
          </cell>
          <cell r="C786">
            <v>4218.6099999999997</v>
          </cell>
        </row>
        <row r="787">
          <cell r="A787">
            <v>98608</v>
          </cell>
          <cell r="B787" t="str">
            <v>YADKIN VALLEY SEWER AUTHORITY</v>
          </cell>
          <cell r="C787">
            <v>25288.2</v>
          </cell>
        </row>
        <row r="788">
          <cell r="A788">
            <v>98611</v>
          </cell>
          <cell r="B788" t="str">
            <v>TOWN OF PILOT MOUNTAIN</v>
          </cell>
          <cell r="C788">
            <v>57797.36</v>
          </cell>
        </row>
        <row r="789">
          <cell r="A789">
            <v>98621</v>
          </cell>
          <cell r="B789" t="str">
            <v>TOWN OF DOBSON</v>
          </cell>
          <cell r="C789">
            <v>62283.9</v>
          </cell>
        </row>
        <row r="790">
          <cell r="A790">
            <v>98627</v>
          </cell>
          <cell r="B790" t="str">
            <v>DOBSON ABC BD</v>
          </cell>
          <cell r="C790">
            <v>3575.57</v>
          </cell>
        </row>
        <row r="791">
          <cell r="A791">
            <v>98631</v>
          </cell>
          <cell r="B791" t="str">
            <v>CITY OF MOUNT AIRY</v>
          </cell>
          <cell r="C791">
            <v>508131.29</v>
          </cell>
        </row>
        <row r="792">
          <cell r="A792">
            <v>98637</v>
          </cell>
          <cell r="B792" t="str">
            <v>MOUNT AIRY ALCOHOLIC BOARD OF CONTROL</v>
          </cell>
          <cell r="C792">
            <v>16672.61</v>
          </cell>
        </row>
        <row r="793">
          <cell r="A793">
            <v>98641</v>
          </cell>
          <cell r="B793" t="str">
            <v>TOWN OF ELKIN</v>
          </cell>
          <cell r="C793">
            <v>148772.99</v>
          </cell>
        </row>
        <row r="794">
          <cell r="A794">
            <v>98701</v>
          </cell>
          <cell r="B794" t="str">
            <v>SWAIN COUNTY</v>
          </cell>
          <cell r="C794">
            <v>523932.85</v>
          </cell>
        </row>
        <row r="795">
          <cell r="A795">
            <v>98711</v>
          </cell>
          <cell r="B795" t="str">
            <v>TOWN OF BRYSON CITY</v>
          </cell>
          <cell r="C795">
            <v>71577.820000000007</v>
          </cell>
        </row>
        <row r="796">
          <cell r="A796">
            <v>98717</v>
          </cell>
          <cell r="B796" t="str">
            <v>BRYSON CITY ABC BOARD</v>
          </cell>
          <cell r="C796">
            <v>8771.7099999999991</v>
          </cell>
        </row>
        <row r="797">
          <cell r="A797">
            <v>98801</v>
          </cell>
          <cell r="B797" t="str">
            <v>TRANSYLVANIA COUNTY</v>
          </cell>
          <cell r="C797">
            <v>1082761.1000000001</v>
          </cell>
        </row>
        <row r="798">
          <cell r="A798">
            <v>98811</v>
          </cell>
          <cell r="B798" t="str">
            <v>CITY OF BREVARD</v>
          </cell>
          <cell r="C798">
            <v>335491.15000000002</v>
          </cell>
        </row>
        <row r="799">
          <cell r="A799">
            <v>98817</v>
          </cell>
          <cell r="B799" t="str">
            <v>BREVARD ABC BOARD</v>
          </cell>
          <cell r="C799">
            <v>14010.05</v>
          </cell>
        </row>
        <row r="800">
          <cell r="A800">
            <v>98901</v>
          </cell>
          <cell r="B800" t="str">
            <v>TYRRELL COUNTY</v>
          </cell>
          <cell r="C800">
            <v>163215.01999999999</v>
          </cell>
        </row>
        <row r="801">
          <cell r="A801">
            <v>98904</v>
          </cell>
          <cell r="B801" t="str">
            <v>TYRRELL CO ABC BOARD</v>
          </cell>
          <cell r="C801">
            <v>1642.56</v>
          </cell>
        </row>
        <row r="802">
          <cell r="A802">
            <v>98911</v>
          </cell>
          <cell r="B802" t="str">
            <v>TOWN OF COLUMBIA</v>
          </cell>
          <cell r="C802">
            <v>20020.240000000002</v>
          </cell>
        </row>
        <row r="803">
          <cell r="A803">
            <v>99001</v>
          </cell>
          <cell r="B803" t="str">
            <v>UNION COUNTY</v>
          </cell>
          <cell r="C803">
            <v>3958566.49</v>
          </cell>
        </row>
        <row r="804">
          <cell r="A804">
            <v>99011</v>
          </cell>
          <cell r="B804" t="str">
            <v>CITY OF MONROE</v>
          </cell>
          <cell r="C804">
            <v>1899632.22</v>
          </cell>
        </row>
        <row r="805">
          <cell r="A805">
            <v>99013</v>
          </cell>
          <cell r="B805" t="str">
            <v>CITY OF MONROE HOUSING AUTHORITY</v>
          </cell>
          <cell r="C805">
            <v>28477.32</v>
          </cell>
        </row>
        <row r="806">
          <cell r="A806">
            <v>99014</v>
          </cell>
          <cell r="B806" t="str">
            <v>INDIAN TRAIL ABC BOARD</v>
          </cell>
          <cell r="C806">
            <v>11820.69</v>
          </cell>
        </row>
        <row r="807">
          <cell r="A807">
            <v>99017</v>
          </cell>
          <cell r="B807" t="str">
            <v>MONROE ABC BOARD</v>
          </cell>
          <cell r="C807">
            <v>23294.35</v>
          </cell>
        </row>
        <row r="808">
          <cell r="A808">
            <v>99021</v>
          </cell>
          <cell r="B808" t="str">
            <v>TOWN OF MARSHVILLE</v>
          </cell>
          <cell r="C808">
            <v>66405.3</v>
          </cell>
        </row>
        <row r="809">
          <cell r="A809">
            <v>99022</v>
          </cell>
          <cell r="B809" t="str">
            <v>TOWN OF MINERAL SPRINGS</v>
          </cell>
          <cell r="C809">
            <v>11974.44</v>
          </cell>
        </row>
        <row r="810">
          <cell r="A810">
            <v>99031</v>
          </cell>
          <cell r="B810" t="str">
            <v>TOWN OF WINGATE</v>
          </cell>
          <cell r="C810">
            <v>59595.82</v>
          </cell>
        </row>
        <row r="811">
          <cell r="A811">
            <v>99041</v>
          </cell>
          <cell r="B811" t="str">
            <v>TOWN OF WAXHAW</v>
          </cell>
          <cell r="C811">
            <v>282617.76</v>
          </cell>
        </row>
        <row r="812">
          <cell r="A812">
            <v>99047</v>
          </cell>
          <cell r="B812" t="str">
            <v>WAXHAW ABC BOARD</v>
          </cell>
          <cell r="C812">
            <v>9763.7000000000007</v>
          </cell>
        </row>
        <row r="813">
          <cell r="A813">
            <v>99051</v>
          </cell>
          <cell r="B813" t="str">
            <v>TOWN OF INDIAN TRAIL</v>
          </cell>
          <cell r="C813">
            <v>158783.9</v>
          </cell>
        </row>
        <row r="814">
          <cell r="A814">
            <v>99061</v>
          </cell>
          <cell r="B814" t="str">
            <v>TOWN OF UNIONVILLE</v>
          </cell>
          <cell r="C814">
            <v>8410.99</v>
          </cell>
        </row>
        <row r="815">
          <cell r="A815">
            <v>99071</v>
          </cell>
          <cell r="B815" t="str">
            <v>TOWN OF WEDDINGTON</v>
          </cell>
          <cell r="C815">
            <v>13710.69</v>
          </cell>
        </row>
        <row r="816">
          <cell r="A816">
            <v>99081</v>
          </cell>
          <cell r="B816" t="str">
            <v>VILLAGE OF MARVIN</v>
          </cell>
          <cell r="C816">
            <v>9239.99</v>
          </cell>
        </row>
        <row r="817">
          <cell r="A817">
            <v>99091</v>
          </cell>
          <cell r="B817" t="str">
            <v>VILLAGE OF WESLEY CHAPEL</v>
          </cell>
          <cell r="C817">
            <v>4994.4399999999996</v>
          </cell>
        </row>
        <row r="818">
          <cell r="A818">
            <v>99101</v>
          </cell>
          <cell r="B818" t="str">
            <v>VANCE COUNTY</v>
          </cell>
          <cell r="C818">
            <v>1006565.27</v>
          </cell>
        </row>
        <row r="819">
          <cell r="A819">
            <v>99104</v>
          </cell>
          <cell r="B819" t="str">
            <v>VANCE COUNTY ABC BD</v>
          </cell>
          <cell r="C819">
            <v>25543.919999999998</v>
          </cell>
        </row>
        <row r="820">
          <cell r="A820">
            <v>99109</v>
          </cell>
          <cell r="B820" t="str">
            <v>KERR-TAR REGIONAL COUNCIL OF GOVTS</v>
          </cell>
          <cell r="C820">
            <v>58597.74</v>
          </cell>
        </row>
        <row r="821">
          <cell r="A821">
            <v>99110</v>
          </cell>
          <cell r="B821" t="str">
            <v>KERR AREA TRANSPORTATION AUTHORITY</v>
          </cell>
          <cell r="C821">
            <v>123992.65</v>
          </cell>
        </row>
        <row r="822">
          <cell r="A822">
            <v>99111</v>
          </cell>
          <cell r="B822" t="str">
            <v>CITY OF HENDERSON</v>
          </cell>
          <cell r="C822">
            <v>587063.1</v>
          </cell>
        </row>
        <row r="823">
          <cell r="A823">
            <v>99201</v>
          </cell>
          <cell r="B823" t="str">
            <v>WAKE COUNTY</v>
          </cell>
          <cell r="C823">
            <v>16630537.85</v>
          </cell>
        </row>
        <row r="824">
          <cell r="A824">
            <v>99202</v>
          </cell>
          <cell r="B824" t="str">
            <v>TOWN OF HOLLY SPRINGS</v>
          </cell>
          <cell r="C824">
            <v>1207449.74</v>
          </cell>
        </row>
        <row r="825">
          <cell r="A825">
            <v>99203</v>
          </cell>
          <cell r="B825" t="str">
            <v>TOWN OF ROLESVILLE</v>
          </cell>
          <cell r="C825">
            <v>138128.78</v>
          </cell>
        </row>
        <row r="826">
          <cell r="A826">
            <v>99204</v>
          </cell>
          <cell r="B826" t="str">
            <v>WAKE COUNTY ABC BOARD</v>
          </cell>
          <cell r="C826">
            <v>441547.84</v>
          </cell>
        </row>
        <row r="827">
          <cell r="A827">
            <v>99206</v>
          </cell>
          <cell r="B827" t="str">
            <v>TOWN OF MORRISVILLE</v>
          </cell>
          <cell r="C827">
            <v>1331612.92</v>
          </cell>
        </row>
        <row r="828">
          <cell r="A828">
            <v>99207</v>
          </cell>
          <cell r="B828" t="str">
            <v>WAKE COUNTY HOUSING AUTHORITY</v>
          </cell>
          <cell r="C828">
            <v>177544.7</v>
          </cell>
        </row>
        <row r="829">
          <cell r="A829">
            <v>99208</v>
          </cell>
          <cell r="B829" t="str">
            <v>BAYLEAF FIRE DEPARTMENT</v>
          </cell>
          <cell r="C829">
            <v>97509.21</v>
          </cell>
        </row>
        <row r="830">
          <cell r="A830">
            <v>99210</v>
          </cell>
          <cell r="B830" t="str">
            <v>ELECTRICITIES OF NC</v>
          </cell>
          <cell r="C830">
            <v>867924.78</v>
          </cell>
        </row>
        <row r="831">
          <cell r="A831">
            <v>99211</v>
          </cell>
          <cell r="B831" t="str">
            <v>CITY OF RALEIGH</v>
          </cell>
          <cell r="C831">
            <v>18340588.710000001</v>
          </cell>
        </row>
        <row r="832">
          <cell r="A832">
            <v>99212</v>
          </cell>
          <cell r="B832" t="str">
            <v>DURHAM HWY FIRE PROTECTION ASSOC</v>
          </cell>
          <cell r="C832">
            <v>32043.03</v>
          </cell>
        </row>
        <row r="833">
          <cell r="A833">
            <v>99213</v>
          </cell>
          <cell r="B833" t="str">
            <v>CITY OF RALEIGH HOUSING AUTHORITY</v>
          </cell>
          <cell r="C833">
            <v>380592.3</v>
          </cell>
        </row>
        <row r="834">
          <cell r="A834">
            <v>99218</v>
          </cell>
          <cell r="B834" t="str">
            <v>RALEIGH-DURHAM AIRPORT AUTHORITY</v>
          </cell>
          <cell r="C834">
            <v>1674667.37</v>
          </cell>
        </row>
        <row r="835">
          <cell r="A835">
            <v>99221</v>
          </cell>
          <cell r="B835" t="str">
            <v>TOWN OF CARY</v>
          </cell>
          <cell r="C835">
            <v>6080354.96</v>
          </cell>
        </row>
        <row r="836">
          <cell r="A836">
            <v>99222</v>
          </cell>
          <cell r="B836" t="str">
            <v>CENTENNIAL AUTHORITY</v>
          </cell>
          <cell r="C836">
            <v>16571.34</v>
          </cell>
        </row>
        <row r="837">
          <cell r="A837">
            <v>99231</v>
          </cell>
          <cell r="B837" t="str">
            <v>TOWN OF WENDELL</v>
          </cell>
          <cell r="C837">
            <v>170674.7</v>
          </cell>
        </row>
        <row r="838">
          <cell r="A838">
            <v>99241</v>
          </cell>
          <cell r="B838" t="str">
            <v>TOWN OF ZEBULON</v>
          </cell>
          <cell r="C838">
            <v>256913.26</v>
          </cell>
        </row>
        <row r="839">
          <cell r="A839">
            <v>99251</v>
          </cell>
          <cell r="B839" t="str">
            <v>TOWN OF GARNER</v>
          </cell>
          <cell r="C839">
            <v>772183.6</v>
          </cell>
        </row>
        <row r="840">
          <cell r="A840">
            <v>99252</v>
          </cell>
          <cell r="B840" t="str">
            <v>GARNER FIRE DEPT</v>
          </cell>
          <cell r="C840">
            <v>237606.74</v>
          </cell>
        </row>
        <row r="841">
          <cell r="A841">
            <v>99261</v>
          </cell>
          <cell r="B841" t="str">
            <v>TOWN OF FUQUAY-VARINA</v>
          </cell>
          <cell r="C841">
            <v>905361.5</v>
          </cell>
        </row>
        <row r="842">
          <cell r="A842">
            <v>99271</v>
          </cell>
          <cell r="B842" t="str">
            <v>TOWN OF APEX</v>
          </cell>
          <cell r="C842">
            <v>1965196.73</v>
          </cell>
        </row>
        <row r="843">
          <cell r="A843">
            <v>99281</v>
          </cell>
          <cell r="B843" t="str">
            <v>TOWN OF WAKE FOREST</v>
          </cell>
          <cell r="C843">
            <v>1110975.83</v>
          </cell>
        </row>
        <row r="844">
          <cell r="A844">
            <v>99291</v>
          </cell>
          <cell r="B844" t="str">
            <v>TOWN OF KNIGHTDALE</v>
          </cell>
          <cell r="C844">
            <v>339511.85</v>
          </cell>
        </row>
        <row r="845">
          <cell r="A845">
            <v>99301</v>
          </cell>
          <cell r="B845" t="str">
            <v>WARREN COUNTY</v>
          </cell>
          <cell r="C845">
            <v>823901.37</v>
          </cell>
        </row>
        <row r="846">
          <cell r="A846">
            <v>99304</v>
          </cell>
          <cell r="B846" t="str">
            <v>WARREN COUNTY ABC BOARD</v>
          </cell>
          <cell r="C846">
            <v>8236.34</v>
          </cell>
        </row>
        <row r="847">
          <cell r="A847">
            <v>99311</v>
          </cell>
          <cell r="B847" t="str">
            <v>TOWN OF NORLINA</v>
          </cell>
          <cell r="C847">
            <v>29080.85</v>
          </cell>
        </row>
        <row r="848">
          <cell r="A848">
            <v>99321</v>
          </cell>
          <cell r="B848" t="str">
            <v>TOWN OF WARRENTON</v>
          </cell>
          <cell r="C848">
            <v>95723.9</v>
          </cell>
        </row>
        <row r="849">
          <cell r="A849">
            <v>99401</v>
          </cell>
          <cell r="B849" t="str">
            <v>WASHINGTON COUNTY</v>
          </cell>
          <cell r="C849">
            <v>413423.39</v>
          </cell>
        </row>
        <row r="850">
          <cell r="A850">
            <v>99404</v>
          </cell>
          <cell r="B850" t="str">
            <v>WASHINGTON COUNTY ABC BOARD</v>
          </cell>
          <cell r="C850">
            <v>5670.57</v>
          </cell>
        </row>
        <row r="851">
          <cell r="A851">
            <v>99405</v>
          </cell>
          <cell r="B851" t="str">
            <v>PETTIGREW REGIONAL LIBRARY</v>
          </cell>
          <cell r="C851">
            <v>37755.47</v>
          </cell>
        </row>
        <row r="852">
          <cell r="A852">
            <v>99411</v>
          </cell>
          <cell r="B852" t="str">
            <v>TOWN OF PLYMOUTH</v>
          </cell>
          <cell r="C852">
            <v>87340.43</v>
          </cell>
        </row>
        <row r="853">
          <cell r="A853">
            <v>99413</v>
          </cell>
          <cell r="B853" t="str">
            <v>PLYMOUTH HOUSING AUTHORITY</v>
          </cell>
          <cell r="C853">
            <v>15517.46</v>
          </cell>
        </row>
        <row r="854">
          <cell r="A854">
            <v>99421</v>
          </cell>
          <cell r="B854" t="str">
            <v>TOWN OF ROPER</v>
          </cell>
          <cell r="C854">
            <v>5425.83</v>
          </cell>
        </row>
        <row r="855">
          <cell r="A855">
            <v>99431</v>
          </cell>
          <cell r="B855" t="str">
            <v>TOWN OF CRESWELL</v>
          </cell>
          <cell r="C855">
            <v>8235.16</v>
          </cell>
        </row>
        <row r="856">
          <cell r="A856">
            <v>99501</v>
          </cell>
          <cell r="B856" t="str">
            <v>WATAUGA COUNTY</v>
          </cell>
          <cell r="C856">
            <v>860942.17</v>
          </cell>
        </row>
        <row r="857">
          <cell r="A857">
            <v>99502</v>
          </cell>
          <cell r="B857" t="str">
            <v>REGION D COUNCIL OF GOVERNMENTS</v>
          </cell>
          <cell r="C857">
            <v>70621.81</v>
          </cell>
        </row>
        <row r="858">
          <cell r="A858">
            <v>99508</v>
          </cell>
          <cell r="B858" t="str">
            <v>BLOWING ROCK TOURISM DEVELOPMENT AUTHORITY</v>
          </cell>
          <cell r="C858">
            <v>10663.91</v>
          </cell>
        </row>
        <row r="859">
          <cell r="A859">
            <v>99509</v>
          </cell>
          <cell r="B859" t="str">
            <v>WATAUGA COUNTY DISTRICT U TDA</v>
          </cell>
          <cell r="C859">
            <v>12210.75</v>
          </cell>
        </row>
        <row r="860">
          <cell r="A860">
            <v>99511</v>
          </cell>
          <cell r="B860" t="str">
            <v>TOWN OF BOONE</v>
          </cell>
          <cell r="C860">
            <v>608442.87</v>
          </cell>
        </row>
        <row r="861">
          <cell r="A861">
            <v>99521</v>
          </cell>
          <cell r="B861" t="str">
            <v>TOWN OF BLOWING ROCK</v>
          </cell>
          <cell r="C861">
            <v>207271.34</v>
          </cell>
        </row>
        <row r="862">
          <cell r="A862">
            <v>99527</v>
          </cell>
          <cell r="B862" t="str">
            <v>BLOWING ROCK ABC BD</v>
          </cell>
          <cell r="C862">
            <v>6662.99</v>
          </cell>
        </row>
        <row r="863">
          <cell r="A863">
            <v>99531</v>
          </cell>
          <cell r="B863" t="str">
            <v>TOWN OF SEVEN DEVILS</v>
          </cell>
          <cell r="C863">
            <v>76574.2</v>
          </cell>
        </row>
        <row r="864">
          <cell r="A864">
            <v>99601</v>
          </cell>
          <cell r="B864" t="str">
            <v>WAYNE COUNTY</v>
          </cell>
          <cell r="C864">
            <v>2762866.06</v>
          </cell>
        </row>
        <row r="865">
          <cell r="A865">
            <v>99602</v>
          </cell>
          <cell r="B865" t="str">
            <v>FORK TOWNSHIP SANITARY DIST</v>
          </cell>
          <cell r="C865">
            <v>30210.42</v>
          </cell>
        </row>
        <row r="866">
          <cell r="A866">
            <v>99603</v>
          </cell>
          <cell r="B866" t="str">
            <v>EASTERN CAROLINA REG'L HOUSING AUTH</v>
          </cell>
          <cell r="C866">
            <v>95619.12</v>
          </cell>
        </row>
        <row r="867">
          <cell r="A867">
            <v>99604</v>
          </cell>
          <cell r="B867" t="str">
            <v>WAYNE COUNTY ABC BOARD</v>
          </cell>
          <cell r="C867">
            <v>60989.77</v>
          </cell>
        </row>
        <row r="868">
          <cell r="A868">
            <v>99609</v>
          </cell>
          <cell r="B868" t="str">
            <v>SOUTHERN WAYNE SANITARY DISTRICT</v>
          </cell>
          <cell r="C868">
            <v>10625.98</v>
          </cell>
        </row>
        <row r="869">
          <cell r="A869">
            <v>99610</v>
          </cell>
          <cell r="B869" t="str">
            <v>EASTERN WAYNE SANITARY DIST</v>
          </cell>
          <cell r="C869">
            <v>91548.23</v>
          </cell>
        </row>
        <row r="870">
          <cell r="A870">
            <v>99611</v>
          </cell>
          <cell r="B870" t="str">
            <v>CITY OF GOLDSBORO</v>
          </cell>
          <cell r="C870">
            <v>1569191.05</v>
          </cell>
        </row>
        <row r="871">
          <cell r="A871">
            <v>99613</v>
          </cell>
          <cell r="B871" t="str">
            <v>HOUSING AUTHORITY OF GOLDSBORO</v>
          </cell>
          <cell r="C871">
            <v>343923.36</v>
          </cell>
        </row>
        <row r="872">
          <cell r="A872">
            <v>99621</v>
          </cell>
          <cell r="B872" t="str">
            <v>TOWN OF MOUNT OLIVE</v>
          </cell>
          <cell r="C872">
            <v>177823.09</v>
          </cell>
        </row>
        <row r="873">
          <cell r="A873">
            <v>99623</v>
          </cell>
          <cell r="B873" t="str">
            <v>MT OLIVE HOUSING AUTHORITY</v>
          </cell>
          <cell r="C873">
            <v>9487.02</v>
          </cell>
        </row>
        <row r="874">
          <cell r="A874">
            <v>99631</v>
          </cell>
          <cell r="B874" t="str">
            <v>TOWN OF FREMONT</v>
          </cell>
          <cell r="C874">
            <v>51697.48</v>
          </cell>
        </row>
        <row r="875">
          <cell r="A875">
            <v>99651</v>
          </cell>
          <cell r="B875" t="str">
            <v>TOWN OF PIKEVILLE</v>
          </cell>
          <cell r="C875">
            <v>29238.94</v>
          </cell>
        </row>
        <row r="876">
          <cell r="A876">
            <v>99661</v>
          </cell>
          <cell r="B876" t="str">
            <v>VILLAGE OF WALNUT CREEK</v>
          </cell>
          <cell r="C876">
            <v>43148.81</v>
          </cell>
        </row>
        <row r="877">
          <cell r="A877">
            <v>99701</v>
          </cell>
          <cell r="B877" t="str">
            <v>WILKES COUNTY</v>
          </cell>
          <cell r="C877">
            <v>1391279.5</v>
          </cell>
        </row>
        <row r="878">
          <cell r="A878">
            <v>99705</v>
          </cell>
          <cell r="B878" t="str">
            <v>APPALACHIAN REGIONAL LIBRARY</v>
          </cell>
          <cell r="C878">
            <v>93269.38</v>
          </cell>
        </row>
        <row r="879">
          <cell r="A879">
            <v>99711</v>
          </cell>
          <cell r="B879" t="str">
            <v>TOWN OF N WILKESBORO</v>
          </cell>
          <cell r="C879">
            <v>225681.88</v>
          </cell>
        </row>
        <row r="880">
          <cell r="A880">
            <v>99717</v>
          </cell>
          <cell r="B880" t="str">
            <v>TOWN OF N WILKESBORO ABC BOARD</v>
          </cell>
          <cell r="C880">
            <v>8973.93</v>
          </cell>
        </row>
        <row r="881">
          <cell r="A881">
            <v>99721</v>
          </cell>
          <cell r="B881" t="str">
            <v>TOWN OF WILKESBORO</v>
          </cell>
          <cell r="C881">
            <v>270994.73</v>
          </cell>
        </row>
        <row r="882">
          <cell r="A882">
            <v>99727</v>
          </cell>
          <cell r="B882" t="str">
            <v>WILKESBORO ABC BOARD</v>
          </cell>
          <cell r="C882">
            <v>49308.21</v>
          </cell>
        </row>
        <row r="883">
          <cell r="A883">
            <v>99801</v>
          </cell>
          <cell r="B883" t="str">
            <v>WILSON COUNTY</v>
          </cell>
          <cell r="C883">
            <v>2325185.9300000002</v>
          </cell>
        </row>
        <row r="884">
          <cell r="A884">
            <v>99802</v>
          </cell>
          <cell r="B884" t="str">
            <v>WILSON COUNTY TOURISM DEVELOPMENT AUTH</v>
          </cell>
          <cell r="C884">
            <v>6755.72</v>
          </cell>
        </row>
        <row r="885">
          <cell r="A885">
            <v>99804</v>
          </cell>
          <cell r="B885" t="str">
            <v>WILSON COUNTY ABC BOARD</v>
          </cell>
          <cell r="C885">
            <v>47970.47</v>
          </cell>
        </row>
        <row r="886">
          <cell r="A886">
            <v>99811</v>
          </cell>
          <cell r="B886" t="str">
            <v>CITY OF WILSON</v>
          </cell>
          <cell r="C886">
            <v>3068778.47</v>
          </cell>
        </row>
        <row r="887">
          <cell r="A887">
            <v>99812</v>
          </cell>
          <cell r="B887" t="str">
            <v>WILSON ECONOMIC DEV COUNCIL</v>
          </cell>
          <cell r="C887">
            <v>21421.98</v>
          </cell>
        </row>
        <row r="888">
          <cell r="A888">
            <v>99818</v>
          </cell>
          <cell r="B888" t="str">
            <v>CITY OF WILSON CEMETERY COMMISSION</v>
          </cell>
          <cell r="C888">
            <v>13445.47</v>
          </cell>
        </row>
        <row r="889">
          <cell r="A889">
            <v>99821</v>
          </cell>
          <cell r="B889" t="str">
            <v>TOWN OF STANTONSBURG</v>
          </cell>
          <cell r="C889">
            <v>50520.73</v>
          </cell>
        </row>
        <row r="890">
          <cell r="A890">
            <v>99831</v>
          </cell>
          <cell r="B890" t="str">
            <v>TOWN OF BLACK CREEK</v>
          </cell>
          <cell r="C890">
            <v>27477.87</v>
          </cell>
        </row>
        <row r="891">
          <cell r="A891">
            <v>99841</v>
          </cell>
          <cell r="B891" t="str">
            <v>TOWN OF LUCAMA</v>
          </cell>
          <cell r="C891">
            <v>17368.88</v>
          </cell>
        </row>
        <row r="892">
          <cell r="A892">
            <v>99851</v>
          </cell>
          <cell r="B892" t="str">
            <v>TOWN OF ELM CITY</v>
          </cell>
          <cell r="C892">
            <v>8025.38</v>
          </cell>
        </row>
        <row r="893">
          <cell r="A893">
            <v>99901</v>
          </cell>
          <cell r="B893" t="str">
            <v>YADKIN COUNTY</v>
          </cell>
          <cell r="C893">
            <v>758558.05</v>
          </cell>
        </row>
        <row r="894">
          <cell r="A894">
            <v>99911</v>
          </cell>
          <cell r="B894" t="str">
            <v>TOWN OF YADKINVILLE</v>
          </cell>
          <cell r="C894">
            <v>126859.94</v>
          </cell>
        </row>
        <row r="895">
          <cell r="A895">
            <v>99921</v>
          </cell>
          <cell r="B895" t="str">
            <v>TOWN OF JONESVILLE</v>
          </cell>
          <cell r="C895">
            <v>60518.37</v>
          </cell>
        </row>
        <row r="896">
          <cell r="A896">
            <v>99931</v>
          </cell>
          <cell r="B896" t="str">
            <v>TOWN OF EAST BEND</v>
          </cell>
          <cell r="C896">
            <v>9991.64</v>
          </cell>
        </row>
        <row r="897">
          <cell r="A897">
            <v>99941</v>
          </cell>
          <cell r="B897" t="str">
            <v>TOWN OF BOONVILLE</v>
          </cell>
          <cell r="C897">
            <v>34874.080000000002</v>
          </cell>
        </row>
        <row r="898">
          <cell r="A898">
            <v>99991</v>
          </cell>
          <cell r="B898" t="str">
            <v>N C ASSOC OF CO COMMISSIONERS</v>
          </cell>
          <cell r="C898">
            <v>256527.41</v>
          </cell>
        </row>
        <row r="899">
          <cell r="A899">
            <v>99999</v>
          </cell>
          <cell r="B899" t="str">
            <v>N C LEAGUE OF MUNICIPALITIES</v>
          </cell>
          <cell r="C899">
            <v>529104.24</v>
          </cell>
        </row>
        <row r="900">
          <cell r="A900" t="str">
            <v>9XXXY</v>
          </cell>
          <cell r="B900" t="str">
            <v>CAROLINA COUNTY</v>
          </cell>
          <cell r="C900">
            <v>1197981.55</v>
          </cell>
        </row>
        <row r="901">
          <cell r="C901">
            <v>489372689.06999999</v>
          </cell>
          <cell r="F901"/>
        </row>
        <row r="903">
          <cell r="A903" t="str">
            <v xml:space="preserve">Following participants have been added by LGC for consistency - </v>
          </cell>
        </row>
        <row r="904">
          <cell r="A904">
            <v>91119</v>
          </cell>
          <cell r="B904" t="str">
            <v>WESTERN HIGHLAND AREA AUTHORITY</v>
          </cell>
          <cell r="C904">
            <v>0</v>
          </cell>
        </row>
        <row r="905">
          <cell r="A905">
            <v>92414</v>
          </cell>
          <cell r="B905" t="str">
            <v>BOLTON</v>
          </cell>
          <cell r="C905">
            <v>0</v>
          </cell>
        </row>
        <row r="906">
          <cell r="A906">
            <v>92608</v>
          </cell>
          <cell r="B906" t="str">
            <v>CUMBERLAND MEMORIAL AUDITORIUM COM</v>
          </cell>
          <cell r="C906">
            <v>0</v>
          </cell>
        </row>
        <row r="907">
          <cell r="A907">
            <v>93408</v>
          </cell>
          <cell r="B907" t="str">
            <v>CENTERPOINT HUMAN SERVICES</v>
          </cell>
          <cell r="C907">
            <v>0</v>
          </cell>
        </row>
        <row r="908">
          <cell r="A908">
            <v>94402</v>
          </cell>
          <cell r="B908" t="str">
            <v>HAYWOOD MEDICAL CENTER</v>
          </cell>
          <cell r="C908">
            <v>0</v>
          </cell>
        </row>
        <row r="909">
          <cell r="A909">
            <v>95412</v>
          </cell>
          <cell r="B909" t="str">
            <v>GLOBAL TRANSPARK DEVELOPMENT COMM</v>
          </cell>
          <cell r="C909">
            <v>0</v>
          </cell>
        </row>
        <row r="910">
          <cell r="A910">
            <v>93202</v>
          </cell>
          <cell r="B910" t="str">
            <v>PARKWOOD FIRE DEPARTMENT</v>
          </cell>
          <cell r="C910">
            <v>0</v>
          </cell>
        </row>
        <row r="911">
          <cell r="A911">
            <v>93677</v>
          </cell>
          <cell r="B911" t="str">
            <v>BESSEMER CITY A.B.C. BOARD</v>
          </cell>
          <cell r="C911">
            <v>0</v>
          </cell>
        </row>
        <row r="912">
          <cell r="A912">
            <v>94512</v>
          </cell>
          <cell r="B912" t="str">
            <v>HENDERSONVILLE WATER COMMISSION</v>
          </cell>
          <cell r="C912">
            <v>0</v>
          </cell>
        </row>
        <row r="913">
          <cell r="A913">
            <v>97010</v>
          </cell>
          <cell r="B913" t="str">
            <v>ALBEMARLE HOSPITAL AUTHORITY</v>
          </cell>
          <cell r="C913">
            <v>0</v>
          </cell>
        </row>
        <row r="914">
          <cell r="A914">
            <v>97491</v>
          </cell>
          <cell r="B914" t="str">
            <v>FOUNTAIN</v>
          </cell>
        </row>
        <row r="2341">
          <cell r="A2341"/>
        </row>
      </sheetData>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drawing" Target="../drawings/drawing8.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4" Type="http://schemas.openxmlformats.org/officeDocument/2006/relationships/vmlDrawing" Target="../drawings/vmlDrawing9.v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0.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4"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36"/>
  <sheetViews>
    <sheetView tabSelected="1" workbookViewId="0"/>
  </sheetViews>
  <sheetFormatPr defaultRowHeight="12.75" x14ac:dyDescent="0.2"/>
  <cols>
    <col min="1" max="1" width="3.28515625" customWidth="1"/>
    <col min="11" max="11" width="17.42578125" customWidth="1"/>
    <col min="12" max="12" width="3.42578125" customWidth="1"/>
  </cols>
  <sheetData>
    <row r="1" spans="1:11" ht="7.5" customHeight="1" x14ac:dyDescent="0.2"/>
    <row r="2" spans="1:11" x14ac:dyDescent="0.2">
      <c r="A2" s="1330" t="s">
        <v>496</v>
      </c>
      <c r="B2" s="1331"/>
      <c r="C2" s="1331"/>
      <c r="D2" s="1331"/>
      <c r="E2" s="1331"/>
      <c r="F2" s="1331"/>
      <c r="G2" s="1331"/>
      <c r="H2" s="1331"/>
      <c r="I2" s="1331"/>
      <c r="J2" s="1331"/>
      <c r="K2" s="1332"/>
    </row>
    <row r="3" spans="1:11" ht="21" customHeight="1" x14ac:dyDescent="0.2">
      <c r="A3" s="1333"/>
      <c r="B3" s="1334"/>
      <c r="C3" s="1334"/>
      <c r="D3" s="1334"/>
      <c r="E3" s="1334"/>
      <c r="F3" s="1334"/>
      <c r="G3" s="1334"/>
      <c r="H3" s="1334"/>
      <c r="I3" s="1334"/>
      <c r="J3" s="1334"/>
      <c r="K3" s="1335"/>
    </row>
    <row r="4" spans="1:11" ht="8.25" customHeight="1" x14ac:dyDescent="0.2"/>
    <row r="5" spans="1:11" x14ac:dyDescent="0.2">
      <c r="A5" s="1324" t="s">
        <v>182</v>
      </c>
      <c r="B5" s="1324"/>
      <c r="C5" s="1324"/>
      <c r="D5" s="1324"/>
      <c r="E5" s="1324"/>
      <c r="F5" s="1324"/>
      <c r="G5" s="1324"/>
      <c r="H5" s="1324"/>
      <c r="I5" s="1324"/>
      <c r="J5" s="1324"/>
      <c r="K5" s="1324"/>
    </row>
    <row r="6" spans="1:11" x14ac:dyDescent="0.2">
      <c r="A6" s="1324"/>
      <c r="B6" s="1324"/>
      <c r="C6" s="1324"/>
      <c r="D6" s="1324"/>
      <c r="E6" s="1324"/>
      <c r="F6" s="1324"/>
      <c r="G6" s="1324"/>
      <c r="H6" s="1324"/>
      <c r="I6" s="1324"/>
      <c r="J6" s="1324"/>
      <c r="K6" s="1324"/>
    </row>
    <row r="7" spans="1:11" ht="24.75" customHeight="1" x14ac:dyDescent="0.2">
      <c r="A7" s="1324"/>
      <c r="B7" s="1324"/>
      <c r="C7" s="1324"/>
      <c r="D7" s="1324"/>
      <c r="E7" s="1324"/>
      <c r="F7" s="1324"/>
      <c r="G7" s="1324"/>
      <c r="H7" s="1324"/>
      <c r="I7" s="1324"/>
      <c r="J7" s="1324"/>
      <c r="K7" s="1324"/>
    </row>
    <row r="8" spans="1:11" ht="9.75" customHeight="1" x14ac:dyDescent="0.2"/>
    <row r="9" spans="1:11" ht="12.75" customHeight="1" x14ac:dyDescent="0.2">
      <c r="A9" s="1324" t="s">
        <v>1039</v>
      </c>
      <c r="B9" s="1324"/>
      <c r="C9" s="1324"/>
      <c r="D9" s="1324"/>
      <c r="E9" s="1324"/>
      <c r="F9" s="1324"/>
      <c r="G9" s="1324"/>
      <c r="H9" s="1324"/>
      <c r="I9" s="1324"/>
      <c r="J9" s="1324"/>
      <c r="K9" s="1324"/>
    </row>
    <row r="10" spans="1:11" ht="36.75" customHeight="1" x14ac:dyDescent="0.2">
      <c r="A10" s="1324"/>
      <c r="B10" s="1324"/>
      <c r="C10" s="1324"/>
      <c r="D10" s="1324"/>
      <c r="E10" s="1324"/>
      <c r="F10" s="1324"/>
      <c r="G10" s="1324"/>
      <c r="H10" s="1324"/>
      <c r="I10" s="1324"/>
      <c r="J10" s="1324"/>
      <c r="K10" s="1324"/>
    </row>
    <row r="11" spans="1:11" ht="9.75" customHeight="1" x14ac:dyDescent="0.2"/>
    <row r="12" spans="1:11" x14ac:dyDescent="0.2">
      <c r="A12" s="1324" t="s">
        <v>349</v>
      </c>
      <c r="B12" s="1324"/>
      <c r="C12" s="1324"/>
      <c r="D12" s="1324"/>
      <c r="E12" s="1324"/>
      <c r="F12" s="1324"/>
      <c r="G12" s="1324"/>
      <c r="H12" s="1324"/>
      <c r="I12" s="1324"/>
      <c r="J12" s="1324"/>
      <c r="K12" s="1324"/>
    </row>
    <row r="13" spans="1:11" x14ac:dyDescent="0.2">
      <c r="A13" s="1324"/>
      <c r="B13" s="1324"/>
      <c r="C13" s="1324"/>
      <c r="D13" s="1324"/>
      <c r="E13" s="1324"/>
      <c r="F13" s="1324"/>
      <c r="G13" s="1324"/>
      <c r="H13" s="1324"/>
      <c r="I13" s="1324"/>
      <c r="J13" s="1324"/>
      <c r="K13" s="1324"/>
    </row>
    <row r="14" spans="1:11" x14ac:dyDescent="0.2">
      <c r="A14" s="1324"/>
      <c r="B14" s="1324"/>
      <c r="C14" s="1324"/>
      <c r="D14" s="1324"/>
      <c r="E14" s="1324"/>
      <c r="F14" s="1324"/>
      <c r="G14" s="1324"/>
      <c r="H14" s="1324"/>
      <c r="I14" s="1324"/>
      <c r="J14" s="1324"/>
      <c r="K14" s="1324"/>
    </row>
    <row r="15" spans="1:11" ht="9.75" customHeight="1" x14ac:dyDescent="0.2"/>
    <row r="16" spans="1:11" s="773" customFormat="1" ht="23.25" customHeight="1" x14ac:dyDescent="0.2">
      <c r="A16" s="1341" t="s">
        <v>4137</v>
      </c>
      <c r="B16" s="1342"/>
      <c r="C16" s="1342"/>
      <c r="D16" s="1342"/>
      <c r="E16" s="1342"/>
      <c r="F16" s="1342"/>
      <c r="G16" s="1342"/>
      <c r="H16" s="1342"/>
      <c r="I16" s="1342"/>
      <c r="J16" s="1342"/>
      <c r="K16" s="1342"/>
    </row>
    <row r="17" spans="1:11" s="773" customFormat="1" ht="21" customHeight="1" x14ac:dyDescent="0.2">
      <c r="A17" s="1342"/>
      <c r="B17" s="1342"/>
      <c r="C17" s="1342"/>
      <c r="D17" s="1342"/>
      <c r="E17" s="1342"/>
      <c r="F17" s="1342"/>
      <c r="G17" s="1342"/>
      <c r="H17" s="1342"/>
      <c r="I17" s="1342"/>
      <c r="J17" s="1342"/>
      <c r="K17" s="1342"/>
    </row>
    <row r="18" spans="1:11" s="773" customFormat="1" ht="36" customHeight="1" x14ac:dyDescent="0.2">
      <c r="A18" s="1342"/>
      <c r="B18" s="1342"/>
      <c r="C18" s="1342"/>
      <c r="D18" s="1342"/>
      <c r="E18" s="1342"/>
      <c r="F18" s="1342"/>
      <c r="G18" s="1342"/>
      <c r="H18" s="1342"/>
      <c r="I18" s="1342"/>
      <c r="J18" s="1342"/>
      <c r="K18" s="1342"/>
    </row>
    <row r="19" spans="1:11" s="773" customFormat="1" ht="9.75" customHeight="1" x14ac:dyDescent="0.2"/>
    <row r="20" spans="1:11" x14ac:dyDescent="0.2">
      <c r="A20" s="1324" t="s">
        <v>63</v>
      </c>
      <c r="B20" s="1324"/>
      <c r="C20" s="1324"/>
      <c r="D20" s="1324"/>
      <c r="E20" s="1324"/>
      <c r="F20" s="1324"/>
      <c r="G20" s="1324"/>
      <c r="H20" s="1324"/>
      <c r="I20" s="1324"/>
      <c r="J20" s="1324"/>
      <c r="K20" s="1324"/>
    </row>
    <row r="21" spans="1:11" x14ac:dyDescent="0.2">
      <c r="A21" s="1324"/>
      <c r="B21" s="1324"/>
      <c r="C21" s="1324"/>
      <c r="D21" s="1324"/>
      <c r="E21" s="1324"/>
      <c r="F21" s="1324"/>
      <c r="G21" s="1324"/>
      <c r="H21" s="1324"/>
      <c r="I21" s="1324"/>
      <c r="J21" s="1324"/>
      <c r="K21" s="1324"/>
    </row>
    <row r="22" spans="1:11" ht="26.25" customHeight="1" x14ac:dyDescent="0.2">
      <c r="A22" s="1324"/>
      <c r="B22" s="1324"/>
      <c r="C22" s="1324"/>
      <c r="D22" s="1324"/>
      <c r="E22" s="1324"/>
      <c r="F22" s="1324"/>
      <c r="G22" s="1324"/>
      <c r="H22" s="1324"/>
      <c r="I22" s="1324"/>
      <c r="J22" s="1324"/>
      <c r="K22" s="1324"/>
    </row>
    <row r="23" spans="1:11" ht="9.75" customHeight="1" x14ac:dyDescent="0.2">
      <c r="A23" s="1324"/>
      <c r="B23" s="1324"/>
      <c r="C23" s="1324"/>
      <c r="D23" s="1324"/>
      <c r="E23" s="1324"/>
      <c r="F23" s="1324"/>
      <c r="G23" s="1324"/>
      <c r="H23" s="1324"/>
      <c r="I23" s="1324"/>
      <c r="J23" s="1324"/>
      <c r="K23" s="1324"/>
    </row>
    <row r="24" spans="1:11" x14ac:dyDescent="0.2">
      <c r="A24" s="1324" t="s">
        <v>181</v>
      </c>
      <c r="B24" s="1324"/>
      <c r="C24" s="1324"/>
      <c r="D24" s="1324"/>
      <c r="E24" s="1324"/>
      <c r="F24" s="1324"/>
      <c r="G24" s="1324"/>
      <c r="H24" s="1324"/>
      <c r="I24" s="1324"/>
      <c r="J24" s="1324"/>
      <c r="K24" s="1324"/>
    </row>
    <row r="25" spans="1:11" x14ac:dyDescent="0.2">
      <c r="A25" s="1324"/>
      <c r="B25" s="1324"/>
      <c r="C25" s="1324"/>
      <c r="D25" s="1324"/>
      <c r="E25" s="1324"/>
      <c r="F25" s="1324"/>
      <c r="G25" s="1324"/>
      <c r="H25" s="1324"/>
      <c r="I25" s="1324"/>
      <c r="J25" s="1324"/>
      <c r="K25" s="1324"/>
    </row>
    <row r="26" spans="1:11" ht="24.75" customHeight="1" x14ac:dyDescent="0.2">
      <c r="A26" s="1324"/>
      <c r="B26" s="1324"/>
      <c r="C26" s="1324"/>
      <c r="D26" s="1324"/>
      <c r="E26" s="1324"/>
      <c r="F26" s="1324"/>
      <c r="G26" s="1324"/>
      <c r="H26" s="1324"/>
      <c r="I26" s="1324"/>
      <c r="J26" s="1324"/>
      <c r="K26" s="1324"/>
    </row>
    <row r="27" spans="1:11" ht="9.75" customHeight="1" x14ac:dyDescent="0.2"/>
    <row r="28" spans="1:11" x14ac:dyDescent="0.2">
      <c r="A28" s="1324" t="s">
        <v>645</v>
      </c>
      <c r="B28" s="1324"/>
      <c r="C28" s="1324"/>
      <c r="D28" s="1324"/>
      <c r="E28" s="1324"/>
      <c r="F28" s="1324"/>
      <c r="G28" s="1324"/>
      <c r="H28" s="1324"/>
      <c r="I28" s="1324"/>
      <c r="J28" s="1324"/>
      <c r="K28" s="1324"/>
    </row>
    <row r="29" spans="1:11" x14ac:dyDescent="0.2">
      <c r="A29" s="1324"/>
      <c r="B29" s="1324"/>
      <c r="C29" s="1324"/>
      <c r="D29" s="1324"/>
      <c r="E29" s="1324"/>
      <c r="F29" s="1324"/>
      <c r="G29" s="1324"/>
      <c r="H29" s="1324"/>
      <c r="I29" s="1324"/>
      <c r="J29" s="1324"/>
      <c r="K29" s="1324"/>
    </row>
    <row r="30" spans="1:11" x14ac:dyDescent="0.2">
      <c r="A30" s="1324"/>
      <c r="B30" s="1324"/>
      <c r="C30" s="1324"/>
      <c r="D30" s="1324"/>
      <c r="E30" s="1324"/>
      <c r="F30" s="1324"/>
      <c r="G30" s="1324"/>
      <c r="H30" s="1324"/>
      <c r="I30" s="1324"/>
      <c r="J30" s="1324"/>
      <c r="K30" s="1324"/>
    </row>
    <row r="31" spans="1:11" x14ac:dyDescent="0.2">
      <c r="A31" s="1324"/>
      <c r="B31" s="1324"/>
      <c r="C31" s="1324"/>
      <c r="D31" s="1324"/>
      <c r="E31" s="1324"/>
      <c r="F31" s="1324"/>
      <c r="G31" s="1324"/>
      <c r="H31" s="1324"/>
      <c r="I31" s="1324"/>
      <c r="J31" s="1324"/>
      <c r="K31" s="1324"/>
    </row>
    <row r="32" spans="1:11" x14ac:dyDescent="0.2">
      <c r="A32" s="1324"/>
      <c r="B32" s="1324"/>
      <c r="C32" s="1324"/>
      <c r="D32" s="1324"/>
      <c r="E32" s="1324"/>
      <c r="F32" s="1324"/>
      <c r="G32" s="1324"/>
      <c r="H32" s="1324"/>
      <c r="I32" s="1324"/>
      <c r="J32" s="1324"/>
      <c r="K32" s="1324"/>
    </row>
    <row r="33" spans="1:11" x14ac:dyDescent="0.2">
      <c r="A33" s="1324"/>
      <c r="B33" s="1324"/>
      <c r="C33" s="1324"/>
      <c r="D33" s="1324"/>
      <c r="E33" s="1324"/>
      <c r="F33" s="1324"/>
      <c r="G33" s="1324"/>
      <c r="H33" s="1324"/>
      <c r="I33" s="1324"/>
      <c r="J33" s="1324"/>
      <c r="K33" s="1324"/>
    </row>
    <row r="34" spans="1:11" ht="9.75" customHeight="1" x14ac:dyDescent="0.2"/>
    <row r="35" spans="1:11" x14ac:dyDescent="0.2">
      <c r="A35" s="1324" t="s">
        <v>120</v>
      </c>
      <c r="B35" s="1324"/>
      <c r="C35" s="1324"/>
      <c r="D35" s="1324"/>
      <c r="E35" s="1324"/>
      <c r="F35" s="1324"/>
      <c r="G35" s="1324"/>
      <c r="H35" s="1324"/>
      <c r="I35" s="1324"/>
      <c r="J35" s="1324"/>
      <c r="K35" s="1324"/>
    </row>
    <row r="36" spans="1:11" x14ac:dyDescent="0.2">
      <c r="A36" s="1324"/>
      <c r="B36" s="1324"/>
      <c r="C36" s="1324"/>
      <c r="D36" s="1324"/>
      <c r="E36" s="1324"/>
      <c r="F36" s="1324"/>
      <c r="G36" s="1324"/>
      <c r="H36" s="1324"/>
      <c r="I36" s="1324"/>
      <c r="J36" s="1324"/>
      <c r="K36" s="1324"/>
    </row>
    <row r="37" spans="1:11" x14ac:dyDescent="0.2">
      <c r="A37" s="1324"/>
      <c r="B37" s="1324"/>
      <c r="C37" s="1324"/>
      <c r="D37" s="1324"/>
      <c r="E37" s="1324"/>
      <c r="F37" s="1324"/>
      <c r="G37" s="1324"/>
      <c r="H37" s="1324"/>
      <c r="I37" s="1324"/>
      <c r="J37" s="1324"/>
      <c r="K37" s="1324"/>
    </row>
    <row r="38" spans="1:11" ht="9.75" customHeight="1" x14ac:dyDescent="0.2"/>
    <row r="39" spans="1:11" x14ac:dyDescent="0.2">
      <c r="A39" s="1324" t="s">
        <v>545</v>
      </c>
      <c r="B39" s="1324"/>
      <c r="C39" s="1324"/>
      <c r="D39" s="1324"/>
      <c r="E39" s="1324"/>
      <c r="F39" s="1324"/>
      <c r="G39" s="1324"/>
      <c r="H39" s="1324"/>
      <c r="I39" s="1324"/>
      <c r="J39" s="1324"/>
      <c r="K39" s="1324"/>
    </row>
    <row r="40" spans="1:11" ht="36.75" customHeight="1" x14ac:dyDescent="0.2">
      <c r="A40" s="1324"/>
      <c r="B40" s="1324"/>
      <c r="C40" s="1324"/>
      <c r="D40" s="1324"/>
      <c r="E40" s="1324"/>
      <c r="F40" s="1324"/>
      <c r="G40" s="1324"/>
      <c r="H40" s="1324"/>
      <c r="I40" s="1324"/>
      <c r="J40" s="1324"/>
      <c r="K40" s="1324"/>
    </row>
    <row r="41" spans="1:11" s="1263" customFormat="1" ht="12" customHeight="1" x14ac:dyDescent="0.2">
      <c r="A41" s="1260"/>
      <c r="B41" s="1260"/>
      <c r="C41" s="1260"/>
      <c r="D41" s="1260"/>
      <c r="E41" s="1260"/>
      <c r="F41" s="1260"/>
      <c r="G41" s="1260"/>
      <c r="H41" s="1260"/>
      <c r="I41" s="1260"/>
      <c r="J41" s="1260"/>
      <c r="K41" s="1260"/>
    </row>
    <row r="42" spans="1:11" s="1263" customFormat="1" ht="54" customHeight="1" x14ac:dyDescent="0.2">
      <c r="A42" s="1338" t="s">
        <v>4133</v>
      </c>
      <c r="B42" s="1339"/>
      <c r="C42" s="1339"/>
      <c r="D42" s="1339"/>
      <c r="E42" s="1339"/>
      <c r="F42" s="1339"/>
      <c r="G42" s="1339"/>
      <c r="H42" s="1339"/>
      <c r="I42" s="1339"/>
      <c r="J42" s="1339"/>
      <c r="K42" s="1339"/>
    </row>
    <row r="43" spans="1:11" ht="18.75" customHeight="1" x14ac:dyDescent="0.2"/>
    <row r="44" spans="1:11" x14ac:dyDescent="0.2">
      <c r="A44" s="4" t="s">
        <v>121</v>
      </c>
    </row>
    <row r="45" spans="1:11" ht="8.25" customHeight="1" x14ac:dyDescent="0.2">
      <c r="A45" s="4"/>
    </row>
    <row r="46" spans="1:11" ht="12.75" customHeight="1" x14ac:dyDescent="0.2">
      <c r="A46" s="1324" t="s">
        <v>292</v>
      </c>
      <c r="B46" s="1324"/>
      <c r="C46" s="1324"/>
      <c r="D46" s="1324"/>
      <c r="E46" s="1324"/>
      <c r="F46" s="1324"/>
      <c r="G46" s="1324"/>
      <c r="H46" s="1324"/>
      <c r="I46" s="1324"/>
      <c r="J46" s="1324"/>
      <c r="K46" s="1324"/>
    </row>
    <row r="47" spans="1:11" x14ac:dyDescent="0.2">
      <c r="A47" s="1324"/>
      <c r="B47" s="1324"/>
      <c r="C47" s="1324"/>
      <c r="D47" s="1324"/>
      <c r="E47" s="1324"/>
      <c r="F47" s="1324"/>
      <c r="G47" s="1324"/>
      <c r="H47" s="1324"/>
      <c r="I47" s="1324"/>
      <c r="J47" s="1324"/>
      <c r="K47" s="1324"/>
    </row>
    <row r="48" spans="1:11" x14ac:dyDescent="0.2">
      <c r="A48" s="1324"/>
      <c r="B48" s="1324"/>
      <c r="C48" s="1324"/>
      <c r="D48" s="1324"/>
      <c r="E48" s="1324"/>
      <c r="F48" s="1324"/>
      <c r="G48" s="1324"/>
      <c r="H48" s="1324"/>
      <c r="I48" s="1324"/>
      <c r="J48" s="1324"/>
      <c r="K48" s="1324"/>
    </row>
    <row r="49" spans="1:11" x14ac:dyDescent="0.2">
      <c r="A49" s="1324"/>
      <c r="B49" s="1324"/>
      <c r="C49" s="1324"/>
      <c r="D49" s="1324"/>
      <c r="E49" s="1324"/>
      <c r="F49" s="1324"/>
      <c r="G49" s="1324"/>
      <c r="H49" s="1324"/>
      <c r="I49" s="1324"/>
      <c r="J49" s="1324"/>
      <c r="K49" s="1324"/>
    </row>
    <row r="50" spans="1:11" ht="26.25" customHeight="1" x14ac:dyDescent="0.2">
      <c r="A50" s="1324"/>
      <c r="B50" s="1324"/>
      <c r="C50" s="1324"/>
      <c r="D50" s="1324"/>
      <c r="E50" s="1324"/>
      <c r="F50" s="1324"/>
      <c r="G50" s="1324"/>
      <c r="H50" s="1324"/>
      <c r="I50" s="1324"/>
      <c r="J50" s="1324"/>
      <c r="K50" s="1324"/>
    </row>
    <row r="51" spans="1:11" ht="41.45" customHeight="1" x14ac:dyDescent="0.2">
      <c r="A51" s="1324"/>
      <c r="B51" s="1324"/>
      <c r="C51" s="1324"/>
      <c r="D51" s="1324"/>
      <c r="E51" s="1324"/>
      <c r="F51" s="1324"/>
      <c r="G51" s="1324"/>
      <c r="H51" s="1324"/>
      <c r="I51" s="1324"/>
      <c r="J51" s="1324"/>
      <c r="K51" s="1324"/>
    </row>
    <row r="52" spans="1:11" ht="9.75" customHeight="1" x14ac:dyDescent="0.2">
      <c r="A52" s="34"/>
      <c r="B52" s="34"/>
      <c r="C52" s="34"/>
      <c r="D52" s="34"/>
      <c r="E52" s="34"/>
      <c r="F52" s="34"/>
      <c r="G52" s="34"/>
      <c r="H52" s="34"/>
      <c r="I52" s="34"/>
      <c r="J52" s="34"/>
      <c r="K52" s="34"/>
    </row>
    <row r="53" spans="1:11" x14ac:dyDescent="0.2">
      <c r="A53" s="1324" t="s">
        <v>234</v>
      </c>
      <c r="B53" s="1324"/>
      <c r="C53" s="1324"/>
      <c r="D53" s="1324"/>
      <c r="E53" s="1324"/>
      <c r="F53" s="1324"/>
      <c r="G53" s="1324"/>
      <c r="H53" s="1324"/>
      <c r="I53" s="1324"/>
      <c r="J53" s="1324"/>
      <c r="K53" s="1324"/>
    </row>
    <row r="54" spans="1:11" x14ac:dyDescent="0.2">
      <c r="A54" s="1324"/>
      <c r="B54" s="1324"/>
      <c r="C54" s="1324"/>
      <c r="D54" s="1324"/>
      <c r="E54" s="1324"/>
      <c r="F54" s="1324"/>
      <c r="G54" s="1324"/>
      <c r="H54" s="1324"/>
      <c r="I54" s="1324"/>
      <c r="J54" s="1324"/>
      <c r="K54" s="1324"/>
    </row>
    <row r="55" spans="1:11" x14ac:dyDescent="0.2">
      <c r="A55" s="1324"/>
      <c r="B55" s="1324"/>
      <c r="C55" s="1324"/>
      <c r="D55" s="1324"/>
      <c r="E55" s="1324"/>
      <c r="F55" s="1324"/>
      <c r="G55" s="1324"/>
      <c r="H55" s="1324"/>
      <c r="I55" s="1324"/>
      <c r="J55" s="1324"/>
      <c r="K55" s="1324"/>
    </row>
    <row r="56" spans="1:11" ht="23.25" customHeight="1" x14ac:dyDescent="0.2">
      <c r="A56" s="1324"/>
      <c r="B56" s="1324"/>
      <c r="C56" s="1324"/>
      <c r="D56" s="1324"/>
      <c r="E56" s="1324"/>
      <c r="F56" s="1324"/>
      <c r="G56" s="1324"/>
      <c r="H56" s="1324"/>
      <c r="I56" s="1324"/>
      <c r="J56" s="1324"/>
      <c r="K56" s="1324"/>
    </row>
    <row r="57" spans="1:11" ht="15.75" customHeight="1" x14ac:dyDescent="0.2">
      <c r="A57" s="1324"/>
      <c r="B57" s="1324"/>
      <c r="C57" s="1324"/>
      <c r="D57" s="1324"/>
      <c r="E57" s="1324"/>
      <c r="F57" s="1324"/>
      <c r="G57" s="1324"/>
      <c r="H57" s="1324"/>
      <c r="I57" s="1324"/>
      <c r="J57" s="1324"/>
      <c r="K57" s="1324"/>
    </row>
    <row r="58" spans="1:11" x14ac:dyDescent="0.2">
      <c r="A58" s="34"/>
      <c r="B58" s="34"/>
      <c r="C58" s="34"/>
      <c r="D58" s="34"/>
      <c r="E58" s="34"/>
      <c r="F58" s="34"/>
      <c r="G58" s="34"/>
      <c r="H58" s="34"/>
      <c r="I58" s="34"/>
      <c r="J58" s="34"/>
      <c r="K58" s="34"/>
    </row>
    <row r="59" spans="1:11" x14ac:dyDescent="0.2">
      <c r="A59" s="395" t="s">
        <v>520</v>
      </c>
      <c r="B59" s="34"/>
      <c r="C59" s="34"/>
      <c r="D59" s="34"/>
      <c r="E59" s="34"/>
      <c r="F59" s="34"/>
      <c r="G59" s="34"/>
      <c r="H59" s="34"/>
      <c r="I59" s="34"/>
      <c r="J59" s="34"/>
      <c r="K59" s="34"/>
    </row>
    <row r="60" spans="1:11" ht="10.5" customHeight="1" x14ac:dyDescent="0.2">
      <c r="A60" s="34"/>
      <c r="B60" s="34"/>
      <c r="C60" s="34"/>
      <c r="D60" s="34"/>
      <c r="E60" s="34"/>
      <c r="F60" s="34"/>
      <c r="G60" s="34"/>
      <c r="H60" s="34"/>
      <c r="I60" s="34"/>
      <c r="J60" s="34"/>
      <c r="K60" s="34"/>
    </row>
    <row r="61" spans="1:11" ht="12.75" customHeight="1" x14ac:dyDescent="0.2">
      <c r="A61" s="1336" t="s">
        <v>4134</v>
      </c>
      <c r="B61" s="1337"/>
      <c r="C61" s="1337"/>
      <c r="D61" s="1337"/>
      <c r="E61" s="1337"/>
      <c r="F61" s="1337"/>
      <c r="G61" s="1337"/>
      <c r="H61" s="1337"/>
      <c r="I61" s="1337"/>
      <c r="J61" s="1337"/>
      <c r="K61" s="1337"/>
    </row>
    <row r="62" spans="1:11" x14ac:dyDescent="0.2">
      <c r="A62" s="1337"/>
      <c r="B62" s="1337"/>
      <c r="C62" s="1337"/>
      <c r="D62" s="1337"/>
      <c r="E62" s="1337"/>
      <c r="F62" s="1337"/>
      <c r="G62" s="1337"/>
      <c r="H62" s="1337"/>
      <c r="I62" s="1337"/>
      <c r="J62" s="1337"/>
      <c r="K62" s="1337"/>
    </row>
    <row r="63" spans="1:11" x14ac:dyDescent="0.2">
      <c r="A63" s="1337"/>
      <c r="B63" s="1337"/>
      <c r="C63" s="1337"/>
      <c r="D63" s="1337"/>
      <c r="E63" s="1337"/>
      <c r="F63" s="1337"/>
      <c r="G63" s="1337"/>
      <c r="H63" s="1337"/>
      <c r="I63" s="1337"/>
      <c r="J63" s="1337"/>
      <c r="K63" s="1337"/>
    </row>
    <row r="64" spans="1:11" x14ac:dyDescent="0.2">
      <c r="A64" s="1337"/>
      <c r="B64" s="1337"/>
      <c r="C64" s="1337"/>
      <c r="D64" s="1337"/>
      <c r="E64" s="1337"/>
      <c r="F64" s="1337"/>
      <c r="G64" s="1337"/>
      <c r="H64" s="1337"/>
      <c r="I64" s="1337"/>
      <c r="J64" s="1337"/>
      <c r="K64" s="1337"/>
    </row>
    <row r="65" spans="1:11" ht="9" customHeight="1" x14ac:dyDescent="0.2">
      <c r="A65" s="1337"/>
      <c r="B65" s="1337"/>
      <c r="C65" s="1337"/>
      <c r="D65" s="1337"/>
      <c r="E65" s="1337"/>
      <c r="F65" s="1337"/>
      <c r="G65" s="1337"/>
      <c r="H65" s="1337"/>
      <c r="I65" s="1337"/>
      <c r="J65" s="1337"/>
      <c r="K65" s="1337"/>
    </row>
    <row r="66" spans="1:11" x14ac:dyDescent="0.2">
      <c r="A66" s="1337"/>
      <c r="B66" s="1337"/>
      <c r="C66" s="1337"/>
      <c r="D66" s="1337"/>
      <c r="E66" s="1337"/>
      <c r="F66" s="1337"/>
      <c r="G66" s="1337"/>
      <c r="H66" s="1337"/>
      <c r="I66" s="1337"/>
      <c r="J66" s="1337"/>
      <c r="K66" s="1337"/>
    </row>
    <row r="67" spans="1:11" ht="12.75" customHeight="1" x14ac:dyDescent="0.2">
      <c r="A67" s="34"/>
      <c r="B67" s="34"/>
      <c r="C67" s="34"/>
      <c r="D67" s="34"/>
      <c r="E67" s="34"/>
      <c r="F67" s="34"/>
      <c r="G67" s="34"/>
      <c r="H67" s="34"/>
      <c r="I67" s="34"/>
      <c r="J67" s="34"/>
      <c r="K67" s="34"/>
    </row>
    <row r="68" spans="1:11" x14ac:dyDescent="0.2">
      <c r="A68" s="4" t="s">
        <v>890</v>
      </c>
    </row>
    <row r="69" spans="1:11" ht="3.75" customHeight="1" x14ac:dyDescent="0.2"/>
    <row r="70" spans="1:11" ht="12.75" customHeight="1" x14ac:dyDescent="0.2">
      <c r="A70" s="1324" t="s">
        <v>924</v>
      </c>
      <c r="B70" s="1324"/>
      <c r="C70" s="1324"/>
      <c r="D70" s="1324"/>
      <c r="E70" s="1324"/>
      <c r="F70" s="1324"/>
      <c r="G70" s="1324"/>
      <c r="H70" s="1324"/>
      <c r="I70" s="1324"/>
      <c r="J70" s="1324"/>
      <c r="K70" s="1324"/>
    </row>
    <row r="71" spans="1:11" ht="12.75" customHeight="1" x14ac:dyDescent="0.2">
      <c r="A71" s="1324"/>
      <c r="B71" s="1324"/>
      <c r="C71" s="1324"/>
      <c r="D71" s="1324"/>
      <c r="E71" s="1324"/>
      <c r="F71" s="1324"/>
      <c r="G71" s="1324"/>
      <c r="H71" s="1324"/>
      <c r="I71" s="1324"/>
      <c r="J71" s="1324"/>
      <c r="K71" s="1324"/>
    </row>
    <row r="72" spans="1:11" ht="2.25" customHeight="1" x14ac:dyDescent="0.2"/>
    <row r="73" spans="1:11" ht="12.75" customHeight="1" x14ac:dyDescent="0.2">
      <c r="B73" s="4" t="s">
        <v>389</v>
      </c>
    </row>
    <row r="74" spans="1:11" ht="12.75" customHeight="1" x14ac:dyDescent="0.2">
      <c r="A74" s="1328"/>
      <c r="B74" s="1326" t="s">
        <v>291</v>
      </c>
      <c r="C74" s="1326"/>
      <c r="D74" s="1326"/>
      <c r="E74" s="1326"/>
      <c r="F74" s="1326"/>
      <c r="G74" s="1326"/>
      <c r="H74" s="1326"/>
      <c r="I74" s="1326"/>
      <c r="J74" s="1326"/>
      <c r="K74" s="1326"/>
    </row>
    <row r="75" spans="1:11" ht="26.25" customHeight="1" x14ac:dyDescent="0.2">
      <c r="A75" s="1328"/>
      <c r="B75" s="1326"/>
      <c r="C75" s="1326"/>
      <c r="D75" s="1326"/>
      <c r="E75" s="1326"/>
      <c r="F75" s="1326"/>
      <c r="G75" s="1326"/>
      <c r="H75" s="1326"/>
      <c r="I75" s="1326"/>
      <c r="J75" s="1326"/>
      <c r="K75" s="1326"/>
    </row>
    <row r="76" spans="1:11" x14ac:dyDescent="0.2">
      <c r="A76" s="38" t="s">
        <v>540</v>
      </c>
      <c r="B76" s="1326" t="s">
        <v>490</v>
      </c>
      <c r="C76" s="1326"/>
      <c r="D76" s="1326"/>
      <c r="E76" s="1326"/>
      <c r="F76" s="1326"/>
      <c r="G76" s="1326"/>
      <c r="H76" s="1326"/>
      <c r="I76" s="1326"/>
      <c r="J76" s="1326"/>
      <c r="K76" s="1326"/>
    </row>
    <row r="77" spans="1:11" ht="37.5" customHeight="1" x14ac:dyDescent="0.2">
      <c r="A77" s="38"/>
      <c r="B77" s="1326"/>
      <c r="C77" s="1326"/>
      <c r="D77" s="1326"/>
      <c r="E77" s="1326"/>
      <c r="F77" s="1326"/>
      <c r="G77" s="1326"/>
      <c r="H77" s="1326"/>
      <c r="I77" s="1326"/>
      <c r="J77" s="1326"/>
      <c r="K77" s="1326"/>
    </row>
    <row r="78" spans="1:11" x14ac:dyDescent="0.2">
      <c r="A78" s="38" t="s">
        <v>541</v>
      </c>
      <c r="B78" s="4" t="s">
        <v>390</v>
      </c>
    </row>
    <row r="79" spans="1:11" x14ac:dyDescent="0.2">
      <c r="A79" s="38" t="s">
        <v>804</v>
      </c>
      <c r="B79" s="4" t="s">
        <v>391</v>
      </c>
    </row>
    <row r="80" spans="1:11" ht="40.9" customHeight="1" x14ac:dyDescent="0.2">
      <c r="A80" s="38" t="s">
        <v>810</v>
      </c>
      <c r="B80" s="1327" t="s">
        <v>4135</v>
      </c>
      <c r="C80" s="1327"/>
      <c r="D80" s="1327"/>
      <c r="E80" s="1327"/>
      <c r="F80" s="1327"/>
      <c r="G80" s="1327"/>
      <c r="H80" s="1327"/>
      <c r="I80" s="1327"/>
      <c r="J80" s="1327"/>
      <c r="K80" s="1327"/>
    </row>
    <row r="81" spans="1:11" ht="13.15" customHeight="1" x14ac:dyDescent="0.2">
      <c r="A81" s="38" t="s">
        <v>826</v>
      </c>
      <c r="B81" s="1327" t="s">
        <v>4136</v>
      </c>
      <c r="C81" s="1327"/>
      <c r="D81" s="1327"/>
      <c r="E81" s="1327"/>
      <c r="F81" s="1327"/>
      <c r="G81" s="1327"/>
      <c r="H81" s="1327"/>
      <c r="I81" s="1327"/>
      <c r="J81" s="1327"/>
      <c r="K81" s="1327"/>
    </row>
    <row r="82" spans="1:11" ht="31.15" customHeight="1" x14ac:dyDescent="0.2">
      <c r="A82" s="38"/>
      <c r="B82" s="1327"/>
      <c r="C82" s="1327"/>
      <c r="D82" s="1327"/>
      <c r="E82" s="1327"/>
      <c r="F82" s="1327"/>
      <c r="G82" s="1327"/>
      <c r="H82" s="1327"/>
      <c r="I82" s="1327"/>
      <c r="J82" s="1327"/>
      <c r="K82" s="1327"/>
    </row>
    <row r="83" spans="1:11" x14ac:dyDescent="0.2">
      <c r="A83" s="38" t="s">
        <v>718</v>
      </c>
      <c r="B83" s="1329" t="s">
        <v>4138</v>
      </c>
      <c r="C83" s="1329"/>
      <c r="D83" s="1329"/>
      <c r="E83" s="1329"/>
      <c r="F83" s="1329"/>
      <c r="G83" s="1329"/>
      <c r="H83" s="1329"/>
      <c r="I83" s="1329"/>
      <c r="J83" s="1329"/>
      <c r="K83" s="1329"/>
    </row>
    <row r="84" spans="1:11" ht="41.45" customHeight="1" x14ac:dyDescent="0.2">
      <c r="A84" s="38"/>
      <c r="B84" s="1329"/>
      <c r="C84" s="1329"/>
      <c r="D84" s="1329"/>
      <c r="E84" s="1329"/>
      <c r="F84" s="1329"/>
      <c r="G84" s="1329"/>
      <c r="H84" s="1329"/>
      <c r="I84" s="1329"/>
      <c r="J84" s="1329"/>
      <c r="K84" s="1329"/>
    </row>
    <row r="85" spans="1:11" x14ac:dyDescent="0.2">
      <c r="A85" s="38" t="s">
        <v>719</v>
      </c>
      <c r="B85" s="4" t="s">
        <v>346</v>
      </c>
    </row>
    <row r="86" spans="1:11" x14ac:dyDescent="0.2">
      <c r="A86" s="38" t="s">
        <v>788</v>
      </c>
      <c r="B86" s="4" t="s">
        <v>347</v>
      </c>
    </row>
    <row r="87" spans="1:11" x14ac:dyDescent="0.2">
      <c r="A87" s="38" t="s">
        <v>996</v>
      </c>
      <c r="B87" s="1326" t="s">
        <v>348</v>
      </c>
      <c r="C87" s="1326"/>
      <c r="D87" s="1326"/>
      <c r="E87" s="1326"/>
      <c r="F87" s="1326"/>
      <c r="G87" s="1326"/>
      <c r="H87" s="1326"/>
      <c r="I87" s="1326"/>
      <c r="J87" s="1326"/>
      <c r="K87" s="1326"/>
    </row>
    <row r="88" spans="1:11" x14ac:dyDescent="0.2">
      <c r="A88" s="38"/>
      <c r="B88" s="1326"/>
      <c r="C88" s="1326"/>
      <c r="D88" s="1326"/>
      <c r="E88" s="1326"/>
      <c r="F88" s="1326"/>
      <c r="G88" s="1326"/>
      <c r="H88" s="1326"/>
      <c r="I88" s="1326"/>
      <c r="J88" s="1326"/>
      <c r="K88" s="1326"/>
    </row>
    <row r="89" spans="1:11" x14ac:dyDescent="0.2">
      <c r="A89" s="38" t="s">
        <v>789</v>
      </c>
      <c r="B89" s="1326" t="s">
        <v>380</v>
      </c>
      <c r="C89" s="1326"/>
      <c r="D89" s="1326"/>
      <c r="E89" s="1326"/>
      <c r="F89" s="1326"/>
      <c r="G89" s="1326"/>
      <c r="H89" s="1326"/>
      <c r="I89" s="1326"/>
      <c r="J89" s="1326"/>
      <c r="K89" s="1326"/>
    </row>
    <row r="90" spans="1:11" x14ac:dyDescent="0.2">
      <c r="A90" s="38"/>
      <c r="B90" s="1326"/>
      <c r="C90" s="1326"/>
      <c r="D90" s="1326"/>
      <c r="E90" s="1326"/>
      <c r="F90" s="1326"/>
      <c r="G90" s="1326"/>
      <c r="H90" s="1326"/>
      <c r="I90" s="1326"/>
      <c r="J90" s="1326"/>
      <c r="K90" s="1326"/>
    </row>
    <row r="91" spans="1:11" x14ac:dyDescent="0.2">
      <c r="A91" s="38" t="s">
        <v>497</v>
      </c>
      <c r="B91" s="1326" t="s">
        <v>83</v>
      </c>
      <c r="C91" s="1326"/>
      <c r="D91" s="1326"/>
      <c r="E91" s="1326"/>
      <c r="F91" s="1326"/>
      <c r="G91" s="1326"/>
      <c r="H91" s="1326"/>
      <c r="I91" s="1326"/>
      <c r="J91" s="1326"/>
      <c r="K91" s="1326"/>
    </row>
    <row r="92" spans="1:11" ht="25.5" customHeight="1" x14ac:dyDescent="0.2">
      <c r="A92" s="38"/>
      <c r="B92" s="1326"/>
      <c r="C92" s="1326"/>
      <c r="D92" s="1326"/>
      <c r="E92" s="1326"/>
      <c r="F92" s="1326"/>
      <c r="G92" s="1326"/>
      <c r="H92" s="1326"/>
      <c r="I92" s="1326"/>
      <c r="J92" s="1326"/>
      <c r="K92" s="1326"/>
    </row>
    <row r="93" spans="1:11" x14ac:dyDescent="0.2">
      <c r="A93" s="38" t="s">
        <v>498</v>
      </c>
      <c r="B93" s="1326" t="s">
        <v>519</v>
      </c>
      <c r="C93" s="1326"/>
      <c r="D93" s="1326"/>
      <c r="E93" s="1326"/>
      <c r="F93" s="1326"/>
      <c r="G93" s="1326"/>
      <c r="H93" s="1326"/>
      <c r="I93" s="1326"/>
      <c r="J93" s="1326"/>
      <c r="K93" s="1326"/>
    </row>
    <row r="94" spans="1:11" ht="24.75" customHeight="1" x14ac:dyDescent="0.2">
      <c r="A94" s="38"/>
      <c r="B94" s="1326"/>
      <c r="C94" s="1326"/>
      <c r="D94" s="1326"/>
      <c r="E94" s="1326"/>
      <c r="F94" s="1326"/>
      <c r="G94" s="1326"/>
      <c r="H94" s="1326"/>
      <c r="I94" s="1326"/>
      <c r="J94" s="1326"/>
      <c r="K94" s="1326"/>
    </row>
    <row r="95" spans="1:11" x14ac:dyDescent="0.2">
      <c r="A95" s="38" t="s">
        <v>499</v>
      </c>
      <c r="B95" s="1340" t="s">
        <v>1096</v>
      </c>
      <c r="C95" s="1324"/>
      <c r="D95" s="1324"/>
      <c r="E95" s="1324"/>
      <c r="F95" s="1324"/>
      <c r="G95" s="1324"/>
      <c r="H95" s="1324"/>
      <c r="I95" s="1324"/>
      <c r="J95" s="1324"/>
      <c r="K95" s="1324"/>
    </row>
    <row r="96" spans="1:11" s="1263" customFormat="1" x14ac:dyDescent="0.2">
      <c r="A96" s="38"/>
      <c r="B96" s="1324"/>
      <c r="C96" s="1324"/>
      <c r="D96" s="1324"/>
      <c r="E96" s="1324"/>
      <c r="F96" s="1324"/>
      <c r="G96" s="1324"/>
      <c r="H96" s="1324"/>
      <c r="I96" s="1324"/>
      <c r="J96" s="1324"/>
      <c r="K96" s="1324"/>
    </row>
    <row r="97" spans="1:11" s="1263" customFormat="1" x14ac:dyDescent="0.2">
      <c r="A97" s="38" t="s">
        <v>2050</v>
      </c>
      <c r="B97" s="1261" t="s">
        <v>4139</v>
      </c>
      <c r="C97" s="1261"/>
      <c r="D97" s="1261"/>
      <c r="E97" s="1261"/>
      <c r="F97" s="1261"/>
      <c r="G97" s="1261"/>
      <c r="H97" s="1261"/>
      <c r="I97" s="1260"/>
      <c r="J97" s="1260"/>
      <c r="K97" s="1260"/>
    </row>
    <row r="98" spans="1:11" s="1263" customFormat="1" x14ac:dyDescent="0.2">
      <c r="A98" s="38" t="s">
        <v>2051</v>
      </c>
      <c r="B98" s="1261" t="s">
        <v>4140</v>
      </c>
      <c r="C98" s="1259"/>
      <c r="D98" s="1259"/>
      <c r="E98" s="1259"/>
      <c r="F98" s="1259"/>
      <c r="G98" s="1259"/>
      <c r="H98" s="1259"/>
      <c r="I98" s="1259"/>
      <c r="J98" s="1259"/>
      <c r="K98" s="1259"/>
    </row>
    <row r="99" spans="1:11" s="1263" customFormat="1" x14ac:dyDescent="0.2">
      <c r="A99" s="38" t="s">
        <v>2051</v>
      </c>
      <c r="B99" s="1261" t="s">
        <v>4141</v>
      </c>
      <c r="C99" s="1259"/>
      <c r="D99" s="1259"/>
      <c r="E99" s="1259"/>
      <c r="F99" s="1259"/>
      <c r="G99" s="1259"/>
      <c r="H99" s="1259"/>
      <c r="I99" s="1259"/>
      <c r="J99" s="1259"/>
      <c r="K99" s="1259"/>
    </row>
    <row r="100" spans="1:11" s="1263" customFormat="1" x14ac:dyDescent="0.2">
      <c r="A100" s="38" t="s">
        <v>4142</v>
      </c>
      <c r="B100" s="1261" t="s">
        <v>4143</v>
      </c>
      <c r="C100" s="1260"/>
      <c r="D100" s="1260"/>
      <c r="E100" s="1260"/>
      <c r="F100" s="1260"/>
      <c r="G100" s="1260"/>
      <c r="H100" s="1260"/>
      <c r="I100" s="1260"/>
      <c r="J100" s="1260"/>
      <c r="K100" s="1260"/>
    </row>
    <row r="101" spans="1:11" s="1263" customFormat="1" x14ac:dyDescent="0.2">
      <c r="A101" s="38" t="s">
        <v>4145</v>
      </c>
      <c r="B101" s="1261" t="s">
        <v>4144</v>
      </c>
      <c r="C101" s="1260"/>
      <c r="D101" s="1260"/>
      <c r="E101" s="1260"/>
      <c r="F101" s="1260"/>
      <c r="G101" s="1260"/>
      <c r="H101" s="1260"/>
      <c r="I101" s="1260"/>
      <c r="J101" s="1260"/>
      <c r="K101" s="1260"/>
    </row>
    <row r="102" spans="1:11" s="1263" customFormat="1" x14ac:dyDescent="0.2">
      <c r="A102" s="38" t="s">
        <v>4146</v>
      </c>
      <c r="B102" s="1261" t="s">
        <v>4144</v>
      </c>
      <c r="C102" s="1262"/>
      <c r="D102" s="1262"/>
      <c r="E102" s="1262"/>
      <c r="F102" s="1262"/>
      <c r="G102" s="1262"/>
      <c r="H102" s="1262"/>
      <c r="I102" s="1262"/>
      <c r="J102" s="1262"/>
      <c r="K102" s="1262"/>
    </row>
    <row r="103" spans="1:11" s="1263" customFormat="1" x14ac:dyDescent="0.2">
      <c r="A103" s="38" t="s">
        <v>4147</v>
      </c>
      <c r="B103" s="1261" t="s">
        <v>4144</v>
      </c>
      <c r="C103" s="1262"/>
      <c r="D103" s="1262"/>
      <c r="E103" s="1262"/>
      <c r="F103" s="1262"/>
      <c r="G103" s="1262"/>
      <c r="H103" s="1262"/>
      <c r="I103" s="1262"/>
      <c r="J103" s="1262"/>
      <c r="K103" s="1262"/>
    </row>
    <row r="104" spans="1:11" s="1263" customFormat="1" x14ac:dyDescent="0.2">
      <c r="A104" s="1285" t="s">
        <v>4150</v>
      </c>
      <c r="B104" s="1327" t="s">
        <v>4148</v>
      </c>
      <c r="C104" s="1327"/>
      <c r="D104" s="1327"/>
      <c r="E104" s="1327"/>
      <c r="F104" s="1327"/>
      <c r="G104" s="1327"/>
      <c r="H104" s="1327"/>
      <c r="I104" s="1327"/>
      <c r="J104" s="1327"/>
      <c r="K104" s="1327"/>
    </row>
    <row r="105" spans="1:11" s="1263" customFormat="1" ht="42" customHeight="1" x14ac:dyDescent="0.2">
      <c r="A105" s="38"/>
      <c r="B105" s="1327"/>
      <c r="C105" s="1327"/>
      <c r="D105" s="1327"/>
      <c r="E105" s="1327"/>
      <c r="F105" s="1327"/>
      <c r="G105" s="1327"/>
      <c r="H105" s="1327"/>
      <c r="I105" s="1327"/>
      <c r="J105" s="1327"/>
      <c r="K105" s="1327"/>
    </row>
    <row r="106" spans="1:11" s="1263" customFormat="1" x14ac:dyDescent="0.2">
      <c r="A106" s="1285" t="s">
        <v>4151</v>
      </c>
      <c r="B106" s="1327" t="s">
        <v>4149</v>
      </c>
      <c r="C106" s="1327"/>
      <c r="D106" s="1327"/>
      <c r="E106" s="1327"/>
      <c r="F106" s="1327"/>
      <c r="G106" s="1327"/>
      <c r="H106" s="1327"/>
      <c r="I106" s="1327"/>
      <c r="J106" s="1327"/>
      <c r="K106" s="1327"/>
    </row>
    <row r="107" spans="1:11" ht="39" customHeight="1" x14ac:dyDescent="0.2">
      <c r="A107" s="45"/>
      <c r="B107" s="1327"/>
      <c r="C107" s="1327"/>
      <c r="D107" s="1327"/>
      <c r="E107" s="1327"/>
      <c r="F107" s="1327"/>
      <c r="G107" s="1327"/>
      <c r="H107" s="1327"/>
      <c r="I107" s="1327"/>
      <c r="J107" s="1327"/>
      <c r="K107" s="1327"/>
    </row>
    <row r="108" spans="1:11" ht="4.5" customHeight="1" x14ac:dyDescent="0.2">
      <c r="A108" s="4"/>
    </row>
    <row r="109" spans="1:11" ht="12.75" customHeight="1" x14ac:dyDescent="0.2">
      <c r="A109" s="4"/>
      <c r="B109" s="1325" t="s">
        <v>685</v>
      </c>
      <c r="C109" s="1325"/>
      <c r="D109" s="1325"/>
      <c r="E109" s="1325"/>
      <c r="F109" s="1325"/>
      <c r="G109" s="1325"/>
      <c r="H109" s="1325"/>
      <c r="I109" s="1325"/>
      <c r="J109" s="1325"/>
      <c r="K109" s="1325"/>
    </row>
    <row r="110" spans="1:11" x14ac:dyDescent="0.2">
      <c r="A110" s="4"/>
      <c r="B110" s="1325"/>
      <c r="C110" s="1325"/>
      <c r="D110" s="1325"/>
      <c r="E110" s="1325"/>
      <c r="F110" s="1325"/>
      <c r="G110" s="1325"/>
      <c r="H110" s="1325"/>
      <c r="I110" s="1325"/>
      <c r="J110" s="1325"/>
      <c r="K110" s="1325"/>
    </row>
    <row r="111" spans="1:11" ht="10.5" customHeight="1" x14ac:dyDescent="0.2">
      <c r="A111" s="4"/>
    </row>
    <row r="112" spans="1:11" x14ac:dyDescent="0.2">
      <c r="A112" s="4" t="s">
        <v>64</v>
      </c>
    </row>
    <row r="125" spans="1:12" x14ac:dyDescent="0.2">
      <c r="A125" s="4" t="s">
        <v>69</v>
      </c>
    </row>
    <row r="126" spans="1:12" x14ac:dyDescent="0.2">
      <c r="A126" s="1324" t="s">
        <v>647</v>
      </c>
      <c r="B126" s="1324"/>
      <c r="C126" s="1324"/>
      <c r="D126" s="1324"/>
      <c r="E126" s="1324"/>
      <c r="F126" s="1324"/>
      <c r="G126" s="1324"/>
      <c r="H126" s="1324"/>
      <c r="I126" s="1324"/>
      <c r="J126" s="1324"/>
      <c r="K126" s="1324"/>
      <c r="L126" s="1324"/>
    </row>
    <row r="127" spans="1:12" x14ac:dyDescent="0.2">
      <c r="A127" s="1324"/>
      <c r="B127" s="1324"/>
      <c r="C127" s="1324"/>
      <c r="D127" s="1324"/>
      <c r="E127" s="1324"/>
      <c r="F127" s="1324"/>
      <c r="G127" s="1324"/>
      <c r="H127" s="1324"/>
      <c r="I127" s="1324"/>
      <c r="J127" s="1324"/>
      <c r="K127" s="1324"/>
      <c r="L127" s="1324"/>
    </row>
    <row r="128" spans="1:12" x14ac:dyDescent="0.2">
      <c r="A128" s="1324"/>
      <c r="B128" s="1324"/>
      <c r="C128" s="1324"/>
      <c r="D128" s="1324"/>
      <c r="E128" s="1324"/>
      <c r="F128" s="1324"/>
      <c r="G128" s="1324"/>
      <c r="H128" s="1324"/>
      <c r="I128" s="1324"/>
      <c r="J128" s="1324"/>
      <c r="K128" s="1324"/>
      <c r="L128" s="1324"/>
    </row>
    <row r="129" spans="1:12" ht="30" customHeight="1" x14ac:dyDescent="0.2">
      <c r="A129" s="1324"/>
      <c r="B129" s="1324"/>
      <c r="C129" s="1324"/>
      <c r="D129" s="1324"/>
      <c r="E129" s="1324"/>
      <c r="F129" s="1324"/>
      <c r="G129" s="1324"/>
      <c r="H129" s="1324"/>
      <c r="I129" s="1324"/>
      <c r="J129" s="1324"/>
      <c r="K129" s="1324"/>
      <c r="L129" s="1324"/>
    </row>
    <row r="135" spans="1:12" x14ac:dyDescent="0.2">
      <c r="C135" s="420"/>
    </row>
    <row r="136" spans="1:12" x14ac:dyDescent="0.2">
      <c r="C136" s="293"/>
    </row>
  </sheetData>
  <customSheetViews>
    <customSheetView guid="{C1197650-3ED8-49E4-8E4C-0D1D4B503FC0}" topLeftCell="A88">
      <selection activeCell="N101" sqref="N101"/>
      <rowBreaks count="1" manualBreakCount="1">
        <brk id="56" max="11" man="1"/>
      </rowBreaks>
      <pageMargins left="0.61" right="0.39" top="0.65" bottom="0.65" header="0.5" footer="0.5"/>
      <pageSetup scale="90" orientation="portrait" r:id="rId1"/>
      <headerFooter alignWithMargins="0">
        <oddHeader>&amp;RInstructions</oddHeader>
        <oddFooter>&amp;L&amp;8&amp;F &amp;R&amp;P</oddFooter>
      </headerFooter>
    </customSheetView>
    <customSheetView guid="{D2B860EA-92EC-4999-9A59-C624E1F8C7FB}" topLeftCell="A88">
      <selection activeCell="N101" sqref="N101"/>
      <rowBreaks count="1" manualBreakCount="1">
        <brk id="56" max="11" man="1"/>
      </rowBreaks>
      <pageMargins left="0.61" right="0.39" top="0.65" bottom="0.65" header="0.5" footer="0.5"/>
      <pageSetup scale="90" orientation="portrait" r:id="rId2"/>
      <headerFooter alignWithMargins="0">
        <oddHeader>&amp;RInstructions</oddHeader>
        <oddFooter>&amp;L&amp;8&amp;F &amp;R&amp;P</oddFooter>
      </headerFooter>
    </customSheetView>
  </customSheetViews>
  <mergeCells count="31">
    <mergeCell ref="A42:K42"/>
    <mergeCell ref="B95:K96"/>
    <mergeCell ref="B104:K105"/>
    <mergeCell ref="B106:K107"/>
    <mergeCell ref="A16:K18"/>
    <mergeCell ref="A2:K3"/>
    <mergeCell ref="B81:K82"/>
    <mergeCell ref="A24:K26"/>
    <mergeCell ref="A28:K33"/>
    <mergeCell ref="A5:K7"/>
    <mergeCell ref="A12:K14"/>
    <mergeCell ref="A61:K66"/>
    <mergeCell ref="B76:K77"/>
    <mergeCell ref="A70:K71"/>
    <mergeCell ref="A53:K57"/>
    <mergeCell ref="A9:K10"/>
    <mergeCell ref="A20:K22"/>
    <mergeCell ref="A23:K23"/>
    <mergeCell ref="A35:K37"/>
    <mergeCell ref="A39:K40"/>
    <mergeCell ref="A46:K51"/>
    <mergeCell ref="A126:L129"/>
    <mergeCell ref="B109:K110"/>
    <mergeCell ref="B91:K92"/>
    <mergeCell ref="B74:K75"/>
    <mergeCell ref="B87:K88"/>
    <mergeCell ref="B89:K90"/>
    <mergeCell ref="B80:K80"/>
    <mergeCell ref="B93:K94"/>
    <mergeCell ref="A74:A75"/>
    <mergeCell ref="B83:K84"/>
  </mergeCells>
  <phoneticPr fontId="14" type="noConversion"/>
  <pageMargins left="0.61" right="0.39" top="0.65" bottom="0.65" header="0.5" footer="0.5"/>
  <pageSetup scale="90" orientation="portrait" r:id="rId3"/>
  <headerFooter alignWithMargins="0">
    <oddHeader>&amp;RInstructions</oddHeader>
    <oddFooter>&amp;L&amp;8&amp;F &amp;R&amp;P</oddFooter>
  </headerFooter>
  <rowBreaks count="1" manualBreakCount="1">
    <brk id="58" max="11" man="1"/>
  </rowBreaks>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138"/>
  <sheetViews>
    <sheetView topLeftCell="B1" zoomScale="98" zoomScaleNormal="98" workbookViewId="0">
      <selection activeCell="B1" sqref="B1"/>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42578125" style="1" customWidth="1"/>
    <col min="9" max="9" width="11.28515625" customWidth="1"/>
    <col min="10" max="10" width="11.85546875" bestFit="1" customWidth="1"/>
    <col min="11" max="11" width="11.140625" customWidth="1"/>
    <col min="12" max="12" width="11.42578125" bestFit="1" customWidth="1"/>
    <col min="13" max="13" width="1.7109375" customWidth="1"/>
    <col min="14" max="14" width="17.7109375" customWidth="1"/>
    <col min="15" max="15" width="10" bestFit="1" customWidth="1"/>
    <col min="16" max="16" width="1.7109375" customWidth="1"/>
    <col min="17" max="17" width="11.28515625" customWidth="1"/>
    <col min="18" max="19" width="11.42578125" customWidth="1"/>
    <col min="21" max="21" width="9.5703125" bestFit="1" customWidth="1"/>
  </cols>
  <sheetData>
    <row r="1" spans="1:16" ht="7.5" customHeight="1" x14ac:dyDescent="0.2"/>
    <row r="2" spans="1:16" ht="33.75" customHeight="1" x14ac:dyDescent="0.25">
      <c r="A2" s="1408" t="s">
        <v>866</v>
      </c>
      <c r="B2" s="1409"/>
      <c r="C2" s="1409"/>
      <c r="D2" s="1409"/>
      <c r="E2" s="1409"/>
      <c r="F2" s="1409"/>
      <c r="G2" s="1409"/>
      <c r="H2" s="1409"/>
      <c r="I2" s="1409"/>
      <c r="J2" s="1409"/>
      <c r="K2" s="1409"/>
      <c r="L2" s="1409"/>
      <c r="M2" s="1409"/>
      <c r="N2" s="1409"/>
      <c r="O2" s="1409"/>
      <c r="P2" s="1410"/>
    </row>
    <row r="3" spans="1:16" ht="11.25" customHeight="1" x14ac:dyDescent="0.2"/>
    <row r="4" spans="1:16" ht="91.5" customHeight="1" x14ac:dyDescent="0.2">
      <c r="B4" s="1424" t="s">
        <v>1133</v>
      </c>
      <c r="C4" s="1337"/>
      <c r="D4" s="1337"/>
      <c r="E4" s="1337"/>
      <c r="F4" s="1337"/>
      <c r="G4" s="1337"/>
      <c r="H4" s="1337"/>
      <c r="I4" s="1337"/>
      <c r="J4" s="1337"/>
      <c r="K4" s="1337"/>
      <c r="L4" s="1337"/>
      <c r="M4" s="1337"/>
      <c r="N4" s="1337"/>
      <c r="O4" s="1337"/>
      <c r="P4" s="1337"/>
    </row>
    <row r="5" spans="1:16" ht="5.25" customHeight="1" x14ac:dyDescent="0.2"/>
    <row r="6" spans="1:16" ht="9" customHeight="1" x14ac:dyDescent="0.2"/>
    <row r="7" spans="1:16" ht="12.75" customHeight="1" x14ac:dyDescent="0.2">
      <c r="B7" s="39" t="s">
        <v>514</v>
      </c>
      <c r="C7" s="1324" t="s">
        <v>865</v>
      </c>
      <c r="D7" s="1324"/>
      <c r="E7" s="1324"/>
      <c r="F7" s="1324"/>
      <c r="G7" s="1324"/>
      <c r="H7" s="1324"/>
      <c r="I7" s="1324"/>
      <c r="J7" s="1324"/>
      <c r="K7" s="1324"/>
      <c r="L7" s="1324"/>
      <c r="M7" s="1324"/>
      <c r="N7" s="1324"/>
      <c r="O7" s="1324"/>
      <c r="P7" s="1324"/>
    </row>
    <row r="8" spans="1:16" ht="12.75" customHeight="1" x14ac:dyDescent="0.2">
      <c r="B8" s="39"/>
      <c r="C8" s="1324"/>
      <c r="D8" s="1324"/>
      <c r="E8" s="1324"/>
      <c r="F8" s="1324"/>
      <c r="G8" s="1324"/>
      <c r="H8" s="1324"/>
      <c r="I8" s="1324"/>
      <c r="J8" s="1324"/>
      <c r="K8" s="1324"/>
      <c r="L8" s="1324"/>
      <c r="M8" s="1324"/>
      <c r="N8" s="1324"/>
      <c r="O8" s="1324"/>
      <c r="P8" s="1324"/>
    </row>
    <row r="9" spans="1:16" ht="5.25" customHeight="1" x14ac:dyDescent="0.2">
      <c r="B9" s="39"/>
      <c r="C9" s="34"/>
      <c r="D9" s="34"/>
      <c r="E9" s="34"/>
      <c r="F9" s="34"/>
      <c r="G9" s="34"/>
      <c r="H9" s="34"/>
      <c r="I9" s="34"/>
      <c r="J9" s="34"/>
      <c r="K9" s="34"/>
      <c r="L9" s="34"/>
      <c r="M9" s="34"/>
      <c r="N9" s="34"/>
      <c r="O9" s="34"/>
      <c r="P9" s="34"/>
    </row>
    <row r="10" spans="1:16" ht="12.75" customHeight="1" x14ac:dyDescent="0.2">
      <c r="B10" s="39" t="s">
        <v>515</v>
      </c>
      <c r="C10" s="1324" t="s">
        <v>159</v>
      </c>
      <c r="D10" s="1324"/>
      <c r="E10" s="1324"/>
      <c r="F10" s="1324"/>
      <c r="G10" s="1324"/>
      <c r="H10" s="1324"/>
      <c r="I10" s="1324"/>
      <c r="J10" s="1324"/>
      <c r="K10" s="1324"/>
      <c r="L10" s="1324"/>
      <c r="M10" s="1324"/>
      <c r="N10" s="1324"/>
      <c r="O10" s="1324"/>
    </row>
    <row r="11" spans="1:16" ht="12.75" customHeight="1" x14ac:dyDescent="0.2">
      <c r="B11" s="39"/>
      <c r="C11" s="1324"/>
      <c r="D11" s="1324"/>
      <c r="E11" s="1324"/>
      <c r="F11" s="1324"/>
      <c r="G11" s="1324"/>
      <c r="H11" s="1324"/>
      <c r="I11" s="1324"/>
      <c r="J11" s="1324"/>
      <c r="K11" s="1324"/>
      <c r="L11" s="1324"/>
      <c r="M11" s="1324"/>
      <c r="N11" s="1324"/>
      <c r="O11" s="1324"/>
    </row>
    <row r="12" spans="1:16" ht="5.25" customHeight="1" x14ac:dyDescent="0.2">
      <c r="B12" s="39"/>
    </row>
    <row r="13" spans="1:16" ht="12.75" customHeight="1" x14ac:dyDescent="0.2">
      <c r="B13" s="39" t="s">
        <v>809</v>
      </c>
      <c r="C13" s="1411" t="s">
        <v>1116</v>
      </c>
      <c r="D13" s="1324"/>
      <c r="E13" s="1324"/>
      <c r="F13" s="1324"/>
      <c r="G13" s="1324"/>
      <c r="H13" s="1324"/>
      <c r="I13" s="1324"/>
      <c r="J13" s="1324"/>
      <c r="K13" s="1324"/>
      <c r="L13" s="1324"/>
      <c r="M13" s="1324"/>
      <c r="N13" s="1324"/>
      <c r="O13" s="1324"/>
    </row>
    <row r="14" spans="1:16" ht="12.75" customHeight="1" x14ac:dyDescent="0.2">
      <c r="B14" s="39"/>
      <c r="C14" s="1324"/>
      <c r="D14" s="1324"/>
      <c r="E14" s="1324"/>
      <c r="F14" s="1324"/>
      <c r="G14" s="1324"/>
      <c r="H14" s="1324"/>
      <c r="I14" s="1324"/>
      <c r="J14" s="1324"/>
      <c r="K14" s="1324"/>
      <c r="L14" s="1324"/>
      <c r="M14" s="1324"/>
      <c r="N14" s="1324"/>
      <c r="O14" s="1324"/>
    </row>
    <row r="15" spans="1:16" ht="6" customHeight="1" x14ac:dyDescent="0.2"/>
    <row r="16" spans="1:16" x14ac:dyDescent="0.2">
      <c r="C16" s="1324"/>
      <c r="D16" s="1324"/>
      <c r="E16" s="1324"/>
      <c r="F16" s="1324"/>
      <c r="G16" s="1324"/>
      <c r="H16" s="1324"/>
      <c r="I16" s="1324"/>
      <c r="J16" s="1324"/>
      <c r="K16" s="1324"/>
      <c r="L16" s="1324"/>
      <c r="M16" s="1324"/>
      <c r="N16" s="1324"/>
      <c r="O16" s="1324"/>
    </row>
    <row r="17" spans="1:16" ht="25.5" customHeight="1" x14ac:dyDescent="0.2">
      <c r="A17" s="4" t="s">
        <v>540</v>
      </c>
      <c r="B17" s="1416" t="s">
        <v>158</v>
      </c>
      <c r="C17" s="1417"/>
      <c r="D17" s="1417"/>
      <c r="E17" s="1417"/>
      <c r="F17" s="1417"/>
      <c r="G17" s="1417"/>
      <c r="H17" s="1417"/>
      <c r="I17" s="1417"/>
      <c r="J17" s="1417"/>
      <c r="K17" s="1417"/>
      <c r="L17" s="1417"/>
      <c r="M17" s="1417"/>
      <c r="N17" s="1417"/>
      <c r="O17" s="1418"/>
      <c r="P17" s="44"/>
    </row>
    <row r="18" spans="1:16" ht="12.75" customHeight="1" x14ac:dyDescent="0.2">
      <c r="B18" s="44"/>
      <c r="C18" s="31"/>
      <c r="D18" s="31"/>
      <c r="E18" s="31"/>
      <c r="F18" s="31"/>
      <c r="G18" s="31"/>
      <c r="H18" s="30"/>
      <c r="I18" s="31"/>
      <c r="J18" s="31"/>
      <c r="K18" s="31"/>
      <c r="L18" s="31"/>
      <c r="M18" s="31"/>
      <c r="N18" s="31"/>
    </row>
    <row r="19" spans="1:16" x14ac:dyDescent="0.2">
      <c r="B19" s="44"/>
      <c r="C19" s="31"/>
      <c r="D19" s="31"/>
      <c r="E19" s="31"/>
      <c r="F19" s="31"/>
      <c r="G19" s="31"/>
      <c r="H19" s="30"/>
      <c r="I19" s="31"/>
      <c r="J19" s="99" t="s">
        <v>1032</v>
      </c>
      <c r="K19" s="99"/>
      <c r="L19" s="99"/>
      <c r="M19" s="99"/>
      <c r="N19" s="647" t="s">
        <v>1117</v>
      </c>
    </row>
    <row r="20" spans="1:16" x14ac:dyDescent="0.2">
      <c r="H20" s="11"/>
      <c r="I20" s="11"/>
      <c r="J20" s="3" t="s">
        <v>507</v>
      </c>
      <c r="K20" s="3" t="s">
        <v>1033</v>
      </c>
      <c r="L20" s="3" t="s">
        <v>1034</v>
      </c>
      <c r="M20" s="3"/>
      <c r="N20" s="3" t="s">
        <v>1118</v>
      </c>
    </row>
    <row r="21" spans="1:16" ht="6" customHeight="1" x14ac:dyDescent="0.2">
      <c r="H21" s="11"/>
      <c r="I21" s="11"/>
    </row>
    <row r="22" spans="1:16" ht="13.5" customHeight="1" x14ac:dyDescent="0.2">
      <c r="B22" s="39" t="s">
        <v>514</v>
      </c>
      <c r="C22" s="1324" t="s">
        <v>867</v>
      </c>
      <c r="D22" s="1324"/>
      <c r="E22" s="1324"/>
      <c r="F22" s="1324"/>
      <c r="G22" s="1324"/>
      <c r="H22" s="1324"/>
      <c r="I22" s="11"/>
      <c r="J22" s="30"/>
    </row>
    <row r="23" spans="1:16" ht="24.75" customHeight="1" x14ac:dyDescent="0.2">
      <c r="B23" s="39"/>
      <c r="C23" s="1324"/>
      <c r="D23" s="1324"/>
      <c r="E23" s="1324"/>
      <c r="F23" s="1324"/>
      <c r="G23" s="1324"/>
      <c r="H23" s="1324"/>
      <c r="I23" s="11"/>
      <c r="J23" s="30"/>
    </row>
    <row r="24" spans="1:16" x14ac:dyDescent="0.2">
      <c r="D24" t="s">
        <v>61</v>
      </c>
      <c r="H24"/>
      <c r="I24" s="11"/>
      <c r="J24" s="355">
        <v>0</v>
      </c>
      <c r="K24" s="356"/>
      <c r="L24" s="356"/>
      <c r="M24" s="357"/>
      <c r="N24" s="356">
        <v>0</v>
      </c>
    </row>
    <row r="25" spans="1:16" x14ac:dyDescent="0.2">
      <c r="D25" t="s">
        <v>62</v>
      </c>
      <c r="H25"/>
      <c r="I25" s="11"/>
      <c r="J25" s="355">
        <v>0</v>
      </c>
      <c r="K25" s="5"/>
      <c r="L25" s="5"/>
      <c r="M25" s="5"/>
      <c r="N25" s="356">
        <v>0</v>
      </c>
    </row>
    <row r="26" spans="1:16" x14ac:dyDescent="0.2">
      <c r="D26" t="s">
        <v>206</v>
      </c>
      <c r="H26"/>
      <c r="I26" s="11"/>
      <c r="J26" s="355">
        <v>1200000</v>
      </c>
      <c r="K26" s="5"/>
      <c r="L26" s="5"/>
      <c r="M26" s="5"/>
      <c r="N26" s="356">
        <v>0</v>
      </c>
    </row>
    <row r="27" spans="1:16" x14ac:dyDescent="0.2">
      <c r="D27" t="s">
        <v>4118</v>
      </c>
      <c r="H27"/>
      <c r="I27" s="11"/>
      <c r="J27" s="355">
        <v>279755</v>
      </c>
      <c r="K27" s="5"/>
      <c r="L27" s="5"/>
      <c r="M27" s="5"/>
      <c r="N27" s="356">
        <v>0</v>
      </c>
    </row>
    <row r="28" spans="1:16" s="1273" customFormat="1" x14ac:dyDescent="0.2">
      <c r="A28" s="1261"/>
      <c r="D28" s="1273" t="s">
        <v>4161</v>
      </c>
      <c r="I28" s="11"/>
      <c r="J28" s="1281">
        <v>48781</v>
      </c>
      <c r="K28" s="5"/>
      <c r="L28" s="5"/>
      <c r="M28" s="5"/>
      <c r="N28" s="356"/>
    </row>
    <row r="29" spans="1:16" x14ac:dyDescent="0.2">
      <c r="H29" s="11"/>
      <c r="I29" s="11"/>
      <c r="J29" s="116"/>
      <c r="N29" s="13"/>
    </row>
    <row r="30" spans="1:16" ht="7.5" customHeight="1" x14ac:dyDescent="0.2">
      <c r="H30" s="11"/>
      <c r="I30" s="11"/>
      <c r="J30" s="30"/>
    </row>
    <row r="31" spans="1:16" ht="17.25" thickBot="1" x14ac:dyDescent="0.4">
      <c r="D31" t="s">
        <v>202</v>
      </c>
      <c r="H31" s="11"/>
      <c r="I31" s="63"/>
      <c r="J31" s="87">
        <f>SUM(J24:J29)</f>
        <v>1528536</v>
      </c>
    </row>
    <row r="32" spans="1:16" ht="17.25" thickTop="1" x14ac:dyDescent="0.35">
      <c r="H32" s="11"/>
      <c r="I32" s="63"/>
      <c r="J32" s="10"/>
    </row>
    <row r="33" spans="1:16" x14ac:dyDescent="0.2">
      <c r="H33" s="11"/>
    </row>
    <row r="34" spans="1:16" ht="25.5" customHeight="1" x14ac:dyDescent="0.2">
      <c r="A34" s="4" t="s">
        <v>541</v>
      </c>
      <c r="B34" s="1416" t="s">
        <v>869</v>
      </c>
      <c r="C34" s="1417"/>
      <c r="D34" s="1417"/>
      <c r="E34" s="1417"/>
      <c r="F34" s="1417"/>
      <c r="G34" s="1417"/>
      <c r="H34" s="1417"/>
      <c r="I34" s="1417"/>
      <c r="J34" s="1417"/>
      <c r="K34" s="1417"/>
      <c r="L34" s="1417"/>
      <c r="M34" s="1417"/>
      <c r="N34" s="1417"/>
      <c r="O34" s="1418"/>
      <c r="P34" s="44"/>
    </row>
    <row r="35" spans="1:16" ht="19.5" customHeight="1" x14ac:dyDescent="0.2">
      <c r="H35" s="11"/>
      <c r="I35" s="11"/>
      <c r="J35" s="11"/>
      <c r="K35" s="11"/>
      <c r="L35" s="11"/>
      <c r="N35" s="11"/>
    </row>
    <row r="36" spans="1:16" ht="13.5" customHeight="1" x14ac:dyDescent="0.2">
      <c r="B36" s="4" t="s">
        <v>870</v>
      </c>
      <c r="H36" s="11"/>
      <c r="I36" s="11"/>
      <c r="J36" s="11"/>
      <c r="K36" s="11"/>
      <c r="L36" s="11"/>
      <c r="N36" s="11"/>
    </row>
    <row r="37" spans="1:16" ht="12.75" customHeight="1" x14ac:dyDescent="0.2">
      <c r="B37" s="39" t="s">
        <v>514</v>
      </c>
      <c r="C37" s="1324" t="s">
        <v>704</v>
      </c>
      <c r="D37" s="1324"/>
      <c r="E37" s="1324"/>
      <c r="F37" s="1324"/>
      <c r="G37" s="1324"/>
      <c r="H37"/>
      <c r="K37" s="1475">
        <v>3000000</v>
      </c>
      <c r="L37" s="11"/>
      <c r="N37" s="11"/>
    </row>
    <row r="38" spans="1:16" ht="15.75" customHeight="1" x14ac:dyDescent="0.2">
      <c r="B38" s="39"/>
      <c r="C38" s="1324"/>
      <c r="D38" s="1324"/>
      <c r="E38" s="1324"/>
      <c r="F38" s="1324"/>
      <c r="G38" s="1324"/>
      <c r="H38"/>
      <c r="K38" s="1475"/>
      <c r="L38" s="11"/>
    </row>
    <row r="39" spans="1:16" ht="4.5" customHeight="1" x14ac:dyDescent="0.2">
      <c r="H39"/>
      <c r="K39" s="11"/>
      <c r="L39" s="11"/>
      <c r="M39" s="1477" t="s">
        <v>1127</v>
      </c>
      <c r="N39" s="1477"/>
    </row>
    <row r="40" spans="1:16" ht="23.25" customHeight="1" x14ac:dyDescent="0.2">
      <c r="B40" s="39" t="s">
        <v>515</v>
      </c>
      <c r="C40" s="1424" t="s">
        <v>1128</v>
      </c>
      <c r="D40" s="1424"/>
      <c r="E40" s="1424"/>
      <c r="F40" s="1424"/>
      <c r="G40" s="1424"/>
      <c r="H40"/>
      <c r="I40" s="1477" t="s">
        <v>941</v>
      </c>
      <c r="J40" s="1476"/>
      <c r="K40" s="1477" t="s">
        <v>942</v>
      </c>
      <c r="L40" s="1471">
        <v>0</v>
      </c>
      <c r="M40" s="1477"/>
      <c r="N40" s="1477"/>
      <c r="O40" s="1471"/>
    </row>
    <row r="41" spans="1:16" ht="1.5" customHeight="1" x14ac:dyDescent="0.2">
      <c r="B41" s="39"/>
      <c r="C41" s="1424"/>
      <c r="D41" s="1424"/>
      <c r="E41" s="1424"/>
      <c r="F41" s="1424"/>
      <c r="G41" s="1424"/>
      <c r="H41"/>
      <c r="I41" s="1477"/>
      <c r="J41" s="1476"/>
      <c r="K41" s="1477"/>
      <c r="L41" s="1471"/>
      <c r="M41" s="1477"/>
      <c r="N41" s="1477"/>
      <c r="O41" s="1471"/>
    </row>
    <row r="42" spans="1:16" ht="12.75" customHeight="1" x14ac:dyDescent="0.2">
      <c r="H42"/>
      <c r="K42" s="11"/>
      <c r="L42" s="11"/>
      <c r="N42" s="11"/>
    </row>
    <row r="43" spans="1:16" ht="12.75" customHeight="1" x14ac:dyDescent="0.2">
      <c r="B43" s="4" t="s">
        <v>787</v>
      </c>
      <c r="H43"/>
      <c r="K43" s="11"/>
      <c r="L43" s="11"/>
      <c r="N43" s="11"/>
    </row>
    <row r="44" spans="1:16" ht="14.25" customHeight="1" x14ac:dyDescent="0.2">
      <c r="B44" s="39" t="s">
        <v>516</v>
      </c>
      <c r="C44" s="1328" t="s">
        <v>934</v>
      </c>
      <c r="D44" s="1328"/>
      <c r="E44" s="1328"/>
      <c r="F44" s="1328"/>
      <c r="G44" s="1328"/>
      <c r="H44"/>
      <c r="K44" s="355">
        <v>3365000</v>
      </c>
      <c r="L44" s="11"/>
    </row>
    <row r="45" spans="1:16" ht="4.5" customHeight="1" x14ac:dyDescent="0.2">
      <c r="H45"/>
      <c r="K45" s="337"/>
      <c r="L45" s="11"/>
    </row>
    <row r="46" spans="1:16" ht="14.25" customHeight="1" x14ac:dyDescent="0.2">
      <c r="B46" s="39" t="s">
        <v>542</v>
      </c>
      <c r="C46" s="1482" t="s">
        <v>500</v>
      </c>
      <c r="D46" s="1482"/>
      <c r="E46" s="1482"/>
      <c r="F46" s="1482"/>
      <c r="G46" s="1482"/>
      <c r="H46"/>
      <c r="J46" s="19"/>
      <c r="K46" s="355"/>
    </row>
    <row r="47" spans="1:16" ht="4.5" customHeight="1" x14ac:dyDescent="0.2">
      <c r="H47"/>
      <c r="K47" s="337"/>
      <c r="L47" s="11"/>
    </row>
    <row r="48" spans="1:16" ht="12.75" customHeight="1" x14ac:dyDescent="0.2">
      <c r="B48" s="39" t="s">
        <v>543</v>
      </c>
      <c r="C48" t="s">
        <v>501</v>
      </c>
      <c r="H48"/>
      <c r="K48" s="355"/>
      <c r="L48" s="11"/>
    </row>
    <row r="49" spans="1:17" ht="4.5" customHeight="1" x14ac:dyDescent="0.2">
      <c r="H49"/>
      <c r="K49" s="337"/>
      <c r="L49" s="11"/>
    </row>
    <row r="50" spans="1:17" ht="14.25" customHeight="1" x14ac:dyDescent="0.2">
      <c r="B50" s="39" t="s">
        <v>858</v>
      </c>
      <c r="C50" s="1328" t="s">
        <v>868</v>
      </c>
      <c r="D50" s="1328"/>
      <c r="E50" s="1328"/>
      <c r="F50" s="1328"/>
      <c r="G50" s="1328"/>
      <c r="H50"/>
      <c r="K50" s="358">
        <v>65000</v>
      </c>
      <c r="L50" s="11"/>
    </row>
    <row r="51" spans="1:17" ht="12.75" customHeight="1" x14ac:dyDescent="0.2">
      <c r="D51" t="s">
        <v>179</v>
      </c>
      <c r="H51"/>
      <c r="K51" s="148">
        <f>K44-K46+K48-K50</f>
        <v>3300000</v>
      </c>
      <c r="L51" s="11"/>
      <c r="N51" s="11"/>
      <c r="O51" s="50"/>
    </row>
    <row r="52" spans="1:17" ht="12.75" customHeight="1" x14ac:dyDescent="0.2">
      <c r="H52"/>
      <c r="K52" s="11"/>
      <c r="L52" s="11"/>
      <c r="N52" s="11"/>
      <c r="O52" s="50"/>
    </row>
    <row r="53" spans="1:17" ht="12.75" customHeight="1" x14ac:dyDescent="0.2">
      <c r="B53" s="4" t="s">
        <v>502</v>
      </c>
      <c r="H53"/>
      <c r="K53" s="11"/>
      <c r="L53" s="11"/>
      <c r="N53" s="11"/>
      <c r="O53" s="50"/>
    </row>
    <row r="54" spans="1:17" ht="13.5" customHeight="1" x14ac:dyDescent="0.2">
      <c r="B54" s="39" t="s">
        <v>940</v>
      </c>
      <c r="C54" s="1324" t="s">
        <v>939</v>
      </c>
      <c r="D54" s="1324"/>
      <c r="E54" s="1324"/>
      <c r="F54" s="1324"/>
      <c r="G54" s="1324"/>
      <c r="H54"/>
      <c r="K54" s="1475">
        <v>3300000</v>
      </c>
      <c r="L54" s="11"/>
      <c r="N54" s="11"/>
    </row>
    <row r="55" spans="1:17" ht="12" customHeight="1" x14ac:dyDescent="0.2">
      <c r="B55" s="39"/>
      <c r="C55" s="1324"/>
      <c r="D55" s="1324"/>
      <c r="E55" s="1324"/>
      <c r="F55" s="1324"/>
      <c r="G55" s="1324"/>
      <c r="H55"/>
      <c r="K55" s="1475"/>
      <c r="L55" s="11"/>
      <c r="N55" s="11"/>
    </row>
    <row r="56" spans="1:17" ht="4.5" customHeight="1" x14ac:dyDescent="0.2">
      <c r="B56" s="39"/>
      <c r="H56"/>
      <c r="K56" s="11"/>
      <c r="L56" s="11"/>
      <c r="N56" s="11"/>
    </row>
    <row r="57" spans="1:17" ht="13.5" customHeight="1" x14ac:dyDescent="0.2">
      <c r="B57" s="39" t="s">
        <v>293</v>
      </c>
      <c r="C57" s="1337" t="s">
        <v>943</v>
      </c>
      <c r="D57" s="1337"/>
      <c r="E57" s="1337"/>
      <c r="F57" s="1337"/>
      <c r="G57" s="1337"/>
      <c r="H57"/>
      <c r="K57" s="1475">
        <v>15000</v>
      </c>
      <c r="L57" s="11"/>
      <c r="N57" s="11"/>
    </row>
    <row r="58" spans="1:17" ht="12.75" customHeight="1" x14ac:dyDescent="0.2">
      <c r="B58" s="39"/>
      <c r="C58" s="1337"/>
      <c r="D58" s="1337"/>
      <c r="E58" s="1337"/>
      <c r="F58" s="1337"/>
      <c r="G58" s="1337"/>
      <c r="H58"/>
      <c r="K58" s="1475"/>
      <c r="L58" s="11"/>
      <c r="N58" s="11"/>
    </row>
    <row r="59" spans="1:17" ht="12.75" customHeight="1" x14ac:dyDescent="0.2">
      <c r="B59" s="39"/>
      <c r="C59" s="68"/>
      <c r="D59" s="1337" t="s">
        <v>180</v>
      </c>
      <c r="E59" s="1337"/>
      <c r="F59" s="1337"/>
      <c r="G59" s="1337"/>
      <c r="H59"/>
      <c r="K59" s="148">
        <f>K54+K57</f>
        <v>3315000</v>
      </c>
      <c r="L59" s="11"/>
      <c r="N59" s="11"/>
    </row>
    <row r="60" spans="1:17" ht="19.5" customHeight="1" x14ac:dyDescent="0.2">
      <c r="G60" s="12"/>
      <c r="H60" s="11"/>
      <c r="I60" s="11"/>
      <c r="J60" s="11"/>
      <c r="K60" s="11"/>
      <c r="L60" s="11"/>
      <c r="N60" s="11"/>
    </row>
    <row r="61" spans="1:17" ht="25.5" customHeight="1" x14ac:dyDescent="0.2">
      <c r="A61" s="4" t="s">
        <v>804</v>
      </c>
      <c r="B61" s="1441" t="s">
        <v>1089</v>
      </c>
      <c r="C61" s="1442"/>
      <c r="D61" s="1442"/>
      <c r="E61" s="1442"/>
      <c r="F61" s="1442"/>
      <c r="G61" s="1442"/>
      <c r="H61" s="1442"/>
      <c r="I61" s="1442"/>
      <c r="J61" s="1442"/>
      <c r="K61" s="1442"/>
      <c r="L61" s="1442"/>
      <c r="M61" s="1442"/>
      <c r="N61" s="1442"/>
      <c r="O61" s="1443"/>
      <c r="P61" s="52"/>
      <c r="Q61" s="197"/>
    </row>
    <row r="62" spans="1:17" ht="10.5" customHeight="1" x14ac:dyDescent="0.2"/>
    <row r="63" spans="1:17" ht="27" customHeight="1" x14ac:dyDescent="0.2">
      <c r="B63" s="1324" t="s">
        <v>705</v>
      </c>
      <c r="C63" s="1324"/>
      <c r="D63" s="1324"/>
      <c r="E63" s="1324"/>
      <c r="F63" s="1324"/>
      <c r="G63" s="1324"/>
      <c r="H63" s="1324"/>
      <c r="I63" s="1324"/>
      <c r="J63" s="1324"/>
      <c r="K63" s="1324"/>
      <c r="L63" s="1324"/>
      <c r="M63" s="1324"/>
      <c r="N63" s="1324"/>
      <c r="O63" s="1324"/>
    </row>
    <row r="64" spans="1:17" ht="6" customHeight="1" x14ac:dyDescent="0.2"/>
    <row r="65" spans="1:15" ht="12.75" customHeight="1" x14ac:dyDescent="0.2">
      <c r="B65" s="39" t="s">
        <v>514</v>
      </c>
      <c r="C65" s="649" t="s">
        <v>1088</v>
      </c>
      <c r="D65" s="13"/>
      <c r="E65" s="13"/>
      <c r="F65" s="13"/>
      <c r="G65" s="13"/>
      <c r="H65" s="93"/>
      <c r="I65" s="13"/>
      <c r="J65" s="13"/>
      <c r="K65" s="355">
        <v>0</v>
      </c>
    </row>
    <row r="66" spans="1:15" ht="9" customHeight="1" x14ac:dyDescent="0.2">
      <c r="K66" s="14"/>
    </row>
    <row r="67" spans="1:15" ht="12.75" customHeight="1" x14ac:dyDescent="0.2">
      <c r="B67" s="39" t="s">
        <v>515</v>
      </c>
      <c r="C67" t="s">
        <v>935</v>
      </c>
      <c r="K67" s="355"/>
    </row>
    <row r="68" spans="1:15" ht="7.5" customHeight="1" x14ac:dyDescent="0.2">
      <c r="K68" s="14"/>
    </row>
    <row r="69" spans="1:15" ht="12.75" customHeight="1" x14ac:dyDescent="0.2">
      <c r="B69" s="39" t="s">
        <v>516</v>
      </c>
      <c r="C69" s="1324" t="s">
        <v>839</v>
      </c>
      <c r="D69" s="1324"/>
      <c r="E69" s="1324"/>
      <c r="F69" s="1324"/>
      <c r="G69" s="1324"/>
      <c r="K69" s="1475">
        <v>22500</v>
      </c>
    </row>
    <row r="70" spans="1:15" ht="12.75" customHeight="1" x14ac:dyDescent="0.2">
      <c r="B70" s="39"/>
      <c r="C70" s="1324"/>
      <c r="D70" s="1324"/>
      <c r="E70" s="1324"/>
      <c r="F70" s="1324"/>
      <c r="G70" s="1324"/>
      <c r="K70" s="1475"/>
    </row>
    <row r="71" spans="1:15" ht="7.5" customHeight="1" x14ac:dyDescent="0.2">
      <c r="K71" s="14"/>
    </row>
    <row r="72" spans="1:15" ht="12.75" customHeight="1" x14ac:dyDescent="0.2">
      <c r="B72" s="39" t="s">
        <v>542</v>
      </c>
      <c r="C72" t="s">
        <v>936</v>
      </c>
      <c r="K72" s="355"/>
    </row>
    <row r="73" spans="1:15" ht="12.75" customHeight="1" x14ac:dyDescent="0.2"/>
    <row r="74" spans="1:15" ht="12.75" customHeight="1" x14ac:dyDescent="0.2"/>
    <row r="75" spans="1:15" ht="25.5" customHeight="1" x14ac:dyDescent="0.2">
      <c r="A75" s="4" t="s">
        <v>810</v>
      </c>
      <c r="B75" s="1441" t="s">
        <v>537</v>
      </c>
      <c r="C75" s="1442"/>
      <c r="D75" s="1442"/>
      <c r="E75" s="1442"/>
      <c r="F75" s="1442"/>
      <c r="G75" s="1442"/>
      <c r="H75" s="1442"/>
      <c r="I75" s="1442"/>
      <c r="J75" s="1442"/>
      <c r="K75" s="1442"/>
      <c r="L75" s="1442"/>
      <c r="M75" s="1442"/>
      <c r="N75" s="1442"/>
      <c r="O75" s="1443"/>
    </row>
    <row r="76" spans="1:15" ht="19.5" customHeight="1" x14ac:dyDescent="0.2"/>
    <row r="77" spans="1:15" ht="12.75" customHeight="1" x14ac:dyDescent="0.2">
      <c r="L77" s="49" t="s">
        <v>510</v>
      </c>
      <c r="N77" s="49" t="s">
        <v>511</v>
      </c>
    </row>
    <row r="78" spans="1:15" ht="12.75" customHeight="1" x14ac:dyDescent="0.2">
      <c r="D78" t="s">
        <v>470</v>
      </c>
      <c r="E78" t="s">
        <v>4119</v>
      </c>
      <c r="L78" s="78">
        <f>R107-S107</f>
        <v>279755</v>
      </c>
      <c r="N78" s="78">
        <v>0</v>
      </c>
    </row>
    <row r="79" spans="1:15" s="1273" customFormat="1" ht="12.75" customHeight="1" x14ac:dyDescent="0.2">
      <c r="A79" s="1261"/>
      <c r="E79" s="1273" t="s">
        <v>4163</v>
      </c>
      <c r="H79" s="1"/>
      <c r="L79" s="1277">
        <f>R108-S108</f>
        <v>48781</v>
      </c>
      <c r="N79" s="1277">
        <v>0</v>
      </c>
    </row>
    <row r="80" spans="1:15" ht="12.75" customHeight="1" x14ac:dyDescent="0.2">
      <c r="E80" t="s">
        <v>381</v>
      </c>
      <c r="L80" s="78">
        <f>R109-S109</f>
        <v>1200000</v>
      </c>
      <c r="N80" s="78">
        <v>0</v>
      </c>
    </row>
    <row r="81" spans="5:14" ht="12.75" customHeight="1" x14ac:dyDescent="0.2">
      <c r="E81" t="s">
        <v>1021</v>
      </c>
      <c r="L81" s="78">
        <f>R110-S110</f>
        <v>3365000</v>
      </c>
      <c r="N81" s="78">
        <v>0</v>
      </c>
    </row>
    <row r="82" spans="5:14" ht="12.75" customHeight="1" x14ac:dyDescent="0.2">
      <c r="E82" t="s">
        <v>382</v>
      </c>
      <c r="L82" s="78">
        <f>R111-S111</f>
        <v>0</v>
      </c>
      <c r="N82" s="78">
        <v>0</v>
      </c>
    </row>
    <row r="83" spans="5:14" ht="12.75" customHeight="1" x14ac:dyDescent="0.2">
      <c r="E83" t="s">
        <v>383</v>
      </c>
      <c r="L83" s="78">
        <f>R112</f>
        <v>0</v>
      </c>
      <c r="N83" s="78">
        <f>S112</f>
        <v>0</v>
      </c>
    </row>
    <row r="84" spans="5:14" ht="12.75" customHeight="1" x14ac:dyDescent="0.2">
      <c r="E84" s="649" t="s">
        <v>1090</v>
      </c>
      <c r="F84" s="13"/>
      <c r="G84" s="13"/>
      <c r="H84" s="93"/>
      <c r="I84" s="13"/>
      <c r="L84" s="78">
        <f>R113</f>
        <v>0</v>
      </c>
      <c r="N84" s="78">
        <f>S113</f>
        <v>0</v>
      </c>
    </row>
    <row r="85" spans="5:14" ht="12.75" customHeight="1" x14ac:dyDescent="0.2">
      <c r="E85" t="s">
        <v>473</v>
      </c>
      <c r="L85" s="78">
        <f>R114</f>
        <v>315000</v>
      </c>
      <c r="N85" s="78">
        <f>S114</f>
        <v>22500</v>
      </c>
    </row>
    <row r="86" spans="5:14" ht="12.75" customHeight="1" x14ac:dyDescent="0.2">
      <c r="E86" t="s">
        <v>294</v>
      </c>
      <c r="L86" s="78">
        <f>R115-S115</f>
        <v>65000</v>
      </c>
      <c r="N86" s="78">
        <v>0</v>
      </c>
    </row>
    <row r="87" spans="5:14" ht="12.75" customHeight="1" x14ac:dyDescent="0.2">
      <c r="F87" t="s">
        <v>229</v>
      </c>
      <c r="L87" s="78">
        <v>0</v>
      </c>
      <c r="N87" s="78">
        <f>S116-R116</f>
        <v>65000</v>
      </c>
    </row>
    <row r="88" spans="5:14" ht="12.75" customHeight="1" x14ac:dyDescent="0.2">
      <c r="F88" s="13" t="s">
        <v>1121</v>
      </c>
      <c r="G88" s="13"/>
      <c r="H88" s="93"/>
      <c r="I88" s="13"/>
      <c r="L88" s="78">
        <v>0</v>
      </c>
      <c r="N88" s="78">
        <f>S117-R117</f>
        <v>0</v>
      </c>
    </row>
    <row r="89" spans="5:14" ht="12.75" customHeight="1" x14ac:dyDescent="0.2">
      <c r="F89" s="13" t="s">
        <v>233</v>
      </c>
      <c r="G89" s="13"/>
      <c r="L89" s="78">
        <v>0</v>
      </c>
      <c r="N89" s="78">
        <f>S118-R118</f>
        <v>15000</v>
      </c>
    </row>
    <row r="90" spans="5:14" ht="12.75" customHeight="1" x14ac:dyDescent="0.2">
      <c r="F90" s="13" t="s">
        <v>1037</v>
      </c>
      <c r="G90" s="13"/>
      <c r="L90" s="78">
        <f>R119-S119</f>
        <v>22500</v>
      </c>
      <c r="N90" s="78">
        <v>0</v>
      </c>
    </row>
    <row r="91" spans="5:14" ht="12.75" customHeight="1" x14ac:dyDescent="0.2">
      <c r="F91" t="s">
        <v>384</v>
      </c>
      <c r="L91" s="78">
        <v>0</v>
      </c>
      <c r="N91" s="78">
        <f>S120-R120</f>
        <v>0</v>
      </c>
    </row>
    <row r="92" spans="5:14" ht="12.75" customHeight="1" x14ac:dyDescent="0.2">
      <c r="F92" t="s">
        <v>945</v>
      </c>
      <c r="L92" s="78">
        <v>0</v>
      </c>
      <c r="N92" s="78">
        <f>S121-R121</f>
        <v>3300000</v>
      </c>
    </row>
    <row r="93" spans="5:14" ht="12.75" customHeight="1" x14ac:dyDescent="0.2">
      <c r="F93" t="s">
        <v>385</v>
      </c>
      <c r="L93" s="78">
        <f>R122</f>
        <v>0</v>
      </c>
      <c r="N93" s="78">
        <f>S122</f>
        <v>0</v>
      </c>
    </row>
    <row r="94" spans="5:14" ht="12.75" customHeight="1" x14ac:dyDescent="0.2">
      <c r="F94" t="s">
        <v>61</v>
      </c>
      <c r="L94" s="78">
        <f>R123</f>
        <v>3000000</v>
      </c>
      <c r="N94" s="78">
        <f>S123</f>
        <v>3365000</v>
      </c>
    </row>
    <row r="95" spans="5:14" ht="12.75" customHeight="1" x14ac:dyDescent="0.2">
      <c r="F95" t="s">
        <v>62</v>
      </c>
      <c r="L95" s="78">
        <v>0</v>
      </c>
      <c r="N95" s="78">
        <f>S124-R124</f>
        <v>0</v>
      </c>
    </row>
    <row r="96" spans="5:14" ht="12.75" customHeight="1" x14ac:dyDescent="0.2">
      <c r="F96" t="s">
        <v>206</v>
      </c>
      <c r="L96" s="78">
        <v>0</v>
      </c>
      <c r="N96" s="78">
        <f>S125-R125</f>
        <v>1200000</v>
      </c>
    </row>
    <row r="97" spans="1:19" ht="12.75" customHeight="1" x14ac:dyDescent="0.2">
      <c r="F97" t="s">
        <v>4120</v>
      </c>
      <c r="L97" s="78">
        <v>0</v>
      </c>
      <c r="N97" s="78">
        <f>S126-R126</f>
        <v>279755</v>
      </c>
    </row>
    <row r="98" spans="1:19" s="1273" customFormat="1" ht="12.75" customHeight="1" x14ac:dyDescent="0.2">
      <c r="A98" s="1261"/>
      <c r="H98" s="1"/>
      <c r="L98" s="1277">
        <v>0</v>
      </c>
      <c r="N98" s="1277">
        <f>S127-R127</f>
        <v>48781</v>
      </c>
    </row>
    <row r="99" spans="1:19" ht="12.75" customHeight="1" thickBot="1" x14ac:dyDescent="0.25">
      <c r="L99" s="80">
        <f>SUM(L78:L98)</f>
        <v>8296036</v>
      </c>
      <c r="N99" s="80">
        <f>SUM(N78:N98)</f>
        <v>8296036</v>
      </c>
    </row>
    <row r="100" spans="1:19" ht="12.75" customHeight="1" thickTop="1" x14ac:dyDescent="0.2">
      <c r="L100" s="5"/>
    </row>
    <row r="101" spans="1:19" ht="12.75" customHeight="1" x14ac:dyDescent="0.2"/>
    <row r="102" spans="1:19" ht="26.25" customHeight="1" x14ac:dyDescent="0.25">
      <c r="A102" s="1473" t="s">
        <v>1036</v>
      </c>
      <c r="B102" s="1474"/>
      <c r="C102" s="1474"/>
      <c r="D102" s="1474"/>
      <c r="E102" s="1474"/>
      <c r="F102" s="1474"/>
      <c r="G102" s="1474"/>
      <c r="H102" s="1474"/>
      <c r="I102" s="1474"/>
      <c r="J102" s="1474"/>
      <c r="K102" s="1474"/>
      <c r="L102" s="1474"/>
      <c r="M102" s="1474"/>
      <c r="N102" s="1474"/>
      <c r="O102" s="1474"/>
      <c r="P102" s="1480"/>
    </row>
    <row r="103" spans="1:19" ht="12.75" customHeight="1" x14ac:dyDescent="0.2"/>
    <row r="104" spans="1:19" ht="12.75" customHeight="1" x14ac:dyDescent="0.2">
      <c r="J104" s="1478" t="s">
        <v>297</v>
      </c>
      <c r="K104" s="1479"/>
      <c r="L104" s="1478" t="s">
        <v>699</v>
      </c>
      <c r="M104" s="1481"/>
      <c r="N104" s="1479"/>
      <c r="O104" s="1478" t="s">
        <v>700</v>
      </c>
      <c r="P104" s="1481"/>
      <c r="Q104" s="1479"/>
      <c r="R104" s="1478" t="s">
        <v>905</v>
      </c>
      <c r="S104" s="1479"/>
    </row>
    <row r="105" spans="1:19" x14ac:dyDescent="0.2">
      <c r="J105" s="123" t="s">
        <v>510</v>
      </c>
      <c r="K105" s="124" t="s">
        <v>511</v>
      </c>
      <c r="L105" s="71" t="s">
        <v>510</v>
      </c>
      <c r="M105" s="3"/>
      <c r="N105" s="72" t="s">
        <v>511</v>
      </c>
      <c r="O105" s="111" t="s">
        <v>510</v>
      </c>
      <c r="P105" s="8"/>
      <c r="Q105" s="112" t="s">
        <v>511</v>
      </c>
      <c r="R105" s="111" t="s">
        <v>861</v>
      </c>
      <c r="S105" s="112" t="s">
        <v>511</v>
      </c>
    </row>
    <row r="106" spans="1:19" ht="6.75" customHeight="1" x14ac:dyDescent="0.2">
      <c r="J106" s="125"/>
      <c r="R106" s="125"/>
      <c r="S106" s="127"/>
    </row>
    <row r="107" spans="1:19" ht="12.75" customHeight="1" x14ac:dyDescent="0.2">
      <c r="C107" t="s">
        <v>386</v>
      </c>
      <c r="F107" s="1"/>
      <c r="H107"/>
      <c r="J107" s="130">
        <f>J27</f>
        <v>279755</v>
      </c>
      <c r="K107" s="93"/>
      <c r="R107" s="9">
        <f t="shared" ref="R107:R127" si="0">J107+L107+O107</f>
        <v>279755</v>
      </c>
      <c r="S107" s="128">
        <f t="shared" ref="S107:S127" si="1">K107+N107+Q107</f>
        <v>0</v>
      </c>
    </row>
    <row r="108" spans="1:19" s="1273" customFormat="1" ht="12.75" customHeight="1" x14ac:dyDescent="0.2">
      <c r="A108" s="1261"/>
      <c r="C108" s="1273" t="s">
        <v>4132</v>
      </c>
      <c r="F108" s="1"/>
      <c r="J108" s="130">
        <f>J28</f>
        <v>48781</v>
      </c>
      <c r="K108" s="93"/>
      <c r="R108" s="9">
        <f t="shared" si="0"/>
        <v>48781</v>
      </c>
      <c r="S108" s="128"/>
    </row>
    <row r="109" spans="1:19" x14ac:dyDescent="0.2">
      <c r="C109" t="s">
        <v>387</v>
      </c>
      <c r="F109" s="1"/>
      <c r="H109"/>
      <c r="J109" s="130">
        <f>J26</f>
        <v>1200000</v>
      </c>
      <c r="K109" s="93"/>
      <c r="R109" s="9">
        <f t="shared" si="0"/>
        <v>1200000</v>
      </c>
      <c r="S109" s="128">
        <f t="shared" si="1"/>
        <v>0</v>
      </c>
    </row>
    <row r="110" spans="1:19" x14ac:dyDescent="0.2">
      <c r="C110" t="s">
        <v>388</v>
      </c>
      <c r="F110" s="1"/>
      <c r="H110"/>
      <c r="J110" s="130">
        <f>J24+J25</f>
        <v>0</v>
      </c>
      <c r="K110" s="93"/>
      <c r="L110" s="32">
        <f>K44</f>
        <v>3365000</v>
      </c>
      <c r="R110" s="9">
        <f t="shared" si="0"/>
        <v>3365000</v>
      </c>
      <c r="S110" s="128">
        <f t="shared" si="1"/>
        <v>0</v>
      </c>
    </row>
    <row r="111" spans="1:19" x14ac:dyDescent="0.2">
      <c r="C111" t="s">
        <v>228</v>
      </c>
      <c r="F111" s="1"/>
      <c r="H111"/>
      <c r="J111" s="130">
        <f>L24</f>
        <v>0</v>
      </c>
      <c r="K111" s="93"/>
      <c r="L111" s="5">
        <f>K48</f>
        <v>0</v>
      </c>
      <c r="R111" s="9">
        <f t="shared" si="0"/>
        <v>0</v>
      </c>
      <c r="S111" s="128">
        <f t="shared" si="1"/>
        <v>0</v>
      </c>
    </row>
    <row r="112" spans="1:19" x14ac:dyDescent="0.2">
      <c r="C112" t="s">
        <v>383</v>
      </c>
      <c r="F112" s="1"/>
      <c r="H112"/>
      <c r="J112" s="130">
        <f>K24</f>
        <v>0</v>
      </c>
      <c r="K112" s="93"/>
      <c r="L112" s="5">
        <f>K46</f>
        <v>0</v>
      </c>
      <c r="N112" s="5">
        <f>J40</f>
        <v>0</v>
      </c>
      <c r="Q112" s="5">
        <f>K67</f>
        <v>0</v>
      </c>
      <c r="R112" s="9">
        <f t="shared" si="0"/>
        <v>0</v>
      </c>
      <c r="S112" s="128">
        <f t="shared" si="1"/>
        <v>0</v>
      </c>
    </row>
    <row r="113" spans="1:21" s="13" customFormat="1" x14ac:dyDescent="0.2">
      <c r="A113" s="147"/>
      <c r="C113" s="13" t="str">
        <f>E84</f>
        <v>Deferred Charges - prepaid insurance cost</v>
      </c>
      <c r="F113" s="93"/>
      <c r="J113" s="130">
        <f>N24+N25+N26+N27</f>
        <v>0</v>
      </c>
      <c r="K113" s="93"/>
      <c r="L113" s="32"/>
      <c r="N113" s="32">
        <f>O40</f>
        <v>0</v>
      </c>
      <c r="Q113" s="32">
        <f>K65</f>
        <v>0</v>
      </c>
      <c r="R113" s="18">
        <f t="shared" si="0"/>
        <v>0</v>
      </c>
      <c r="S113" s="192">
        <f t="shared" si="1"/>
        <v>0</v>
      </c>
    </row>
    <row r="114" spans="1:21" s="13" customFormat="1" x14ac:dyDescent="0.2">
      <c r="A114" s="147"/>
      <c r="C114" s="13" t="s">
        <v>944</v>
      </c>
      <c r="F114" s="93"/>
      <c r="J114" s="130"/>
      <c r="K114" s="93"/>
      <c r="L114" s="32">
        <f>(K54+K57)-(K37+L40-J40-O40)</f>
        <v>315000</v>
      </c>
      <c r="Q114" s="32">
        <f>K69</f>
        <v>22500</v>
      </c>
      <c r="R114" s="18">
        <f t="shared" si="0"/>
        <v>315000</v>
      </c>
      <c r="S114" s="192">
        <f t="shared" si="1"/>
        <v>22500</v>
      </c>
    </row>
    <row r="115" spans="1:21" x14ac:dyDescent="0.2">
      <c r="C115" t="s">
        <v>294</v>
      </c>
      <c r="F115" s="1"/>
      <c r="H115"/>
      <c r="J115" s="130"/>
      <c r="K115" s="93"/>
      <c r="L115" s="32">
        <f>K50</f>
        <v>65000</v>
      </c>
      <c r="O115" s="5">
        <f>K65</f>
        <v>0</v>
      </c>
      <c r="R115" s="18">
        <f t="shared" si="0"/>
        <v>65000</v>
      </c>
      <c r="S115" s="128">
        <f t="shared" si="1"/>
        <v>0</v>
      </c>
      <c r="U115" s="1258"/>
    </row>
    <row r="116" spans="1:21" x14ac:dyDescent="0.2">
      <c r="D116" t="s">
        <v>229</v>
      </c>
      <c r="F116" s="1"/>
      <c r="H116"/>
      <c r="J116" s="130"/>
      <c r="K116" s="93"/>
      <c r="L116" s="5"/>
      <c r="N116" s="5">
        <f>K50</f>
        <v>65000</v>
      </c>
      <c r="R116" s="18">
        <f t="shared" si="0"/>
        <v>0</v>
      </c>
      <c r="S116" s="128">
        <f t="shared" si="1"/>
        <v>65000</v>
      </c>
    </row>
    <row r="117" spans="1:21" x14ac:dyDescent="0.2">
      <c r="D117" s="649" t="s">
        <v>1119</v>
      </c>
      <c r="E117" s="13"/>
      <c r="F117" s="93"/>
      <c r="G117" s="13"/>
      <c r="H117"/>
      <c r="J117" s="130"/>
      <c r="K117" s="93">
        <f>SUM(N24:N27)</f>
        <v>0</v>
      </c>
      <c r="L117" s="5"/>
      <c r="N117" s="5"/>
      <c r="R117" s="18">
        <f t="shared" si="0"/>
        <v>0</v>
      </c>
      <c r="S117" s="128">
        <f t="shared" si="1"/>
        <v>0</v>
      </c>
    </row>
    <row r="118" spans="1:21" x14ac:dyDescent="0.2">
      <c r="D118" s="13" t="s">
        <v>230</v>
      </c>
      <c r="E118" s="13"/>
      <c r="F118" s="93"/>
      <c r="G118" s="13"/>
      <c r="H118" s="13"/>
      <c r="I118" s="13"/>
      <c r="J118" s="130"/>
      <c r="K118" s="93"/>
      <c r="L118" s="13"/>
      <c r="M118" s="13"/>
      <c r="N118" s="32">
        <f>K57</f>
        <v>15000</v>
      </c>
      <c r="R118" s="9">
        <f t="shared" si="0"/>
        <v>0</v>
      </c>
      <c r="S118" s="128">
        <f t="shared" si="1"/>
        <v>15000</v>
      </c>
    </row>
    <row r="119" spans="1:21" x14ac:dyDescent="0.2">
      <c r="D119" s="13" t="s">
        <v>1037</v>
      </c>
      <c r="E119" s="13"/>
      <c r="F119" s="93"/>
      <c r="G119" s="13"/>
      <c r="H119" s="13"/>
      <c r="I119" s="13"/>
      <c r="J119" s="130"/>
      <c r="K119" s="93"/>
      <c r="L119" s="13"/>
      <c r="M119" s="13"/>
      <c r="N119" s="32"/>
      <c r="O119" s="5">
        <f>K67+K69-K72</f>
        <v>22500</v>
      </c>
      <c r="R119" s="9">
        <f t="shared" si="0"/>
        <v>22500</v>
      </c>
      <c r="S119" s="128">
        <f t="shared" si="1"/>
        <v>0</v>
      </c>
    </row>
    <row r="120" spans="1:21" x14ac:dyDescent="0.2">
      <c r="D120" t="s">
        <v>384</v>
      </c>
      <c r="F120" s="1"/>
      <c r="H120"/>
      <c r="J120" s="130"/>
      <c r="K120" s="93">
        <f>K24</f>
        <v>0</v>
      </c>
      <c r="N120" s="5">
        <f>K46</f>
        <v>0</v>
      </c>
      <c r="R120" s="9">
        <f t="shared" si="0"/>
        <v>0</v>
      </c>
      <c r="S120" s="128">
        <f t="shared" si="1"/>
        <v>0</v>
      </c>
    </row>
    <row r="121" spans="1:21" x14ac:dyDescent="0.2">
      <c r="D121" t="s">
        <v>945</v>
      </c>
      <c r="F121" s="1"/>
      <c r="H121"/>
      <c r="J121" s="130"/>
      <c r="K121" s="93"/>
      <c r="N121" s="5">
        <f>K54</f>
        <v>3300000</v>
      </c>
      <c r="R121" s="9">
        <f t="shared" si="0"/>
        <v>0</v>
      </c>
      <c r="S121" s="128">
        <f t="shared" si="1"/>
        <v>3300000</v>
      </c>
    </row>
    <row r="122" spans="1:21" x14ac:dyDescent="0.2">
      <c r="D122" t="s">
        <v>231</v>
      </c>
      <c r="F122" s="1"/>
      <c r="H122"/>
      <c r="J122" s="130"/>
      <c r="K122" s="93">
        <f>L24</f>
        <v>0</v>
      </c>
      <c r="L122" s="5">
        <f>L40</f>
        <v>0</v>
      </c>
      <c r="N122" s="5">
        <f>K48</f>
        <v>0</v>
      </c>
      <c r="O122" s="5">
        <f>K72</f>
        <v>0</v>
      </c>
      <c r="R122" s="9">
        <f t="shared" si="0"/>
        <v>0</v>
      </c>
      <c r="S122" s="128">
        <f t="shared" si="1"/>
        <v>0</v>
      </c>
    </row>
    <row r="123" spans="1:21" x14ac:dyDescent="0.2">
      <c r="D123" t="s">
        <v>61</v>
      </c>
      <c r="F123" s="1"/>
      <c r="H123"/>
      <c r="J123" s="130"/>
      <c r="K123" s="93">
        <f>J24</f>
        <v>0</v>
      </c>
      <c r="L123" s="5">
        <f>K37</f>
        <v>3000000</v>
      </c>
      <c r="N123" s="5">
        <f>K44</f>
        <v>3365000</v>
      </c>
      <c r="R123" s="9">
        <f t="shared" si="0"/>
        <v>3000000</v>
      </c>
      <c r="S123" s="128">
        <f t="shared" si="1"/>
        <v>3365000</v>
      </c>
    </row>
    <row r="124" spans="1:21" x14ac:dyDescent="0.2">
      <c r="D124" t="s">
        <v>62</v>
      </c>
      <c r="F124" s="1"/>
      <c r="G124" s="404" t="s">
        <v>232</v>
      </c>
      <c r="H124"/>
      <c r="J124" s="130"/>
      <c r="K124" s="93">
        <f>J25</f>
        <v>0</v>
      </c>
      <c r="R124" s="9">
        <f t="shared" si="0"/>
        <v>0</v>
      </c>
      <c r="S124" s="128">
        <f t="shared" si="1"/>
        <v>0</v>
      </c>
    </row>
    <row r="125" spans="1:21" x14ac:dyDescent="0.2">
      <c r="D125" t="s">
        <v>206</v>
      </c>
      <c r="F125" s="1"/>
      <c r="H125"/>
      <c r="J125" s="130"/>
      <c r="K125" s="93">
        <f>J26</f>
        <v>1200000</v>
      </c>
      <c r="R125" s="9">
        <f t="shared" si="0"/>
        <v>0</v>
      </c>
      <c r="S125" s="128">
        <f t="shared" si="1"/>
        <v>1200000</v>
      </c>
    </row>
    <row r="126" spans="1:21" x14ac:dyDescent="0.2">
      <c r="D126" t="s">
        <v>4164</v>
      </c>
      <c r="F126" s="1"/>
      <c r="H126"/>
      <c r="J126" s="130"/>
      <c r="K126" s="93">
        <f>J27</f>
        <v>279755</v>
      </c>
      <c r="R126" s="9">
        <f t="shared" si="0"/>
        <v>0</v>
      </c>
      <c r="S126" s="128">
        <f t="shared" si="1"/>
        <v>279755</v>
      </c>
    </row>
    <row r="127" spans="1:21" s="1273" customFormat="1" x14ac:dyDescent="0.2">
      <c r="A127" s="1261"/>
      <c r="D127" s="1273" t="s">
        <v>4161</v>
      </c>
      <c r="F127" s="1"/>
      <c r="J127" s="130"/>
      <c r="K127" s="93">
        <f>J28</f>
        <v>48781</v>
      </c>
      <c r="R127" s="9">
        <f t="shared" si="0"/>
        <v>0</v>
      </c>
      <c r="S127" s="128">
        <f t="shared" si="1"/>
        <v>48781</v>
      </c>
    </row>
    <row r="128" spans="1:21" ht="5.25" customHeight="1" x14ac:dyDescent="0.2">
      <c r="F128" s="1"/>
      <c r="H128"/>
      <c r="J128" s="131"/>
      <c r="K128" s="93"/>
      <c r="R128" s="126"/>
      <c r="S128" s="129"/>
    </row>
    <row r="129" spans="6:19" ht="13.5" thickBot="1" x14ac:dyDescent="0.25">
      <c r="F129" s="1"/>
      <c r="H129"/>
      <c r="J129" s="115">
        <f t="shared" ref="J129:S129" si="2">SUM(J107:J128)</f>
        <v>1528536</v>
      </c>
      <c r="K129" s="20">
        <f t="shared" si="2"/>
        <v>1528536</v>
      </c>
      <c r="L129" s="20">
        <f t="shared" si="2"/>
        <v>6745000</v>
      </c>
      <c r="M129" s="12">
        <f t="shared" si="2"/>
        <v>0</v>
      </c>
      <c r="N129" s="20">
        <f t="shared" si="2"/>
        <v>6745000</v>
      </c>
      <c r="O129" s="20">
        <f t="shared" si="2"/>
        <v>22500</v>
      </c>
      <c r="P129" s="12">
        <f t="shared" si="2"/>
        <v>0</v>
      </c>
      <c r="Q129" s="20">
        <f t="shared" si="2"/>
        <v>22500</v>
      </c>
      <c r="R129" s="20">
        <f t="shared" si="2"/>
        <v>8296036</v>
      </c>
      <c r="S129" s="132">
        <f t="shared" si="2"/>
        <v>8296036</v>
      </c>
    </row>
    <row r="130" spans="6:19" ht="13.5" thickTop="1" x14ac:dyDescent="0.2">
      <c r="F130" s="1"/>
      <c r="H130"/>
    </row>
    <row r="138" spans="6:19" x14ac:dyDescent="0.2">
      <c r="L138" s="13"/>
    </row>
  </sheetData>
  <customSheetViews>
    <customSheetView guid="{C1197650-3ED8-49E4-8E4C-0D1D4B503FC0}" topLeftCell="A46">
      <selection activeCell="F96" sqref="F96"/>
      <rowBreaks count="2" manualBreakCount="2">
        <brk id="71" max="16" man="1"/>
        <brk id="97" max="18" man="1"/>
      </rowBreaks>
      <pageMargins left="0.36" right="0.37" top="0.71" bottom="0.5" header="0.5" footer="0.5"/>
      <printOptions horizontalCentered="1"/>
      <pageSetup scale="69" orientation="portrait" r:id="rId1"/>
      <headerFooter alignWithMargins="0">
        <oddHeader>&amp;R&amp;"Arial,Bold"&amp;12Entry H</oddHeader>
        <oddFooter>&amp;L&amp;8&amp;D - County model&amp;R &amp;P</oddFooter>
      </headerFooter>
    </customSheetView>
    <customSheetView guid="{D2B860EA-92EC-4999-9A59-C624E1F8C7FB}" topLeftCell="A46">
      <selection activeCell="F96" sqref="F96"/>
      <rowBreaks count="2" manualBreakCount="2">
        <brk id="71" max="16" man="1"/>
        <brk id="97" max="18" man="1"/>
      </rowBreaks>
      <pageMargins left="0.36" right="0.37" top="0.71" bottom="0.5" header="0.5" footer="0.5"/>
      <printOptions horizontalCentered="1"/>
      <pageSetup scale="69" orientation="portrait" r:id="rId2"/>
      <headerFooter alignWithMargins="0">
        <oddHeader>&amp;R&amp;"Arial,Bold"&amp;12Entry H</oddHeader>
        <oddFooter>&amp;L&amp;8&amp;D - County model&amp;R &amp;P</oddFooter>
      </headerFooter>
    </customSheetView>
  </customSheetViews>
  <mergeCells count="36">
    <mergeCell ref="C54:G55"/>
    <mergeCell ref="D59:G59"/>
    <mergeCell ref="C44:G44"/>
    <mergeCell ref="C69:G70"/>
    <mergeCell ref="K69:K70"/>
    <mergeCell ref="B63:O63"/>
    <mergeCell ref="B61:O61"/>
    <mergeCell ref="K57:K58"/>
    <mergeCell ref="C57:G58"/>
    <mergeCell ref="K54:K55"/>
    <mergeCell ref="C46:G46"/>
    <mergeCell ref="C50:G50"/>
    <mergeCell ref="B75:O75"/>
    <mergeCell ref="R104:S104"/>
    <mergeCell ref="A102:P102"/>
    <mergeCell ref="J104:K104"/>
    <mergeCell ref="L104:N104"/>
    <mergeCell ref="O104:Q104"/>
    <mergeCell ref="A2:P2"/>
    <mergeCell ref="B4:P4"/>
    <mergeCell ref="B17:O17"/>
    <mergeCell ref="C16:O16"/>
    <mergeCell ref="C7:P8"/>
    <mergeCell ref="C10:O11"/>
    <mergeCell ref="C13:O14"/>
    <mergeCell ref="K37:K38"/>
    <mergeCell ref="C37:G38"/>
    <mergeCell ref="C22:H23"/>
    <mergeCell ref="C40:G41"/>
    <mergeCell ref="J40:J41"/>
    <mergeCell ref="B34:O34"/>
    <mergeCell ref="L40:L41"/>
    <mergeCell ref="O40:O41"/>
    <mergeCell ref="I40:I41"/>
    <mergeCell ref="K40:K41"/>
    <mergeCell ref="M39:N41"/>
  </mergeCells>
  <phoneticPr fontId="14" type="noConversion"/>
  <printOptions horizontalCentered="1"/>
  <pageMargins left="0.36" right="0.37" top="0.71" bottom="0.5" header="0.5" footer="0.5"/>
  <pageSetup scale="69" orientation="portrait" r:id="rId3"/>
  <headerFooter alignWithMargins="0">
    <oddHeader>&amp;R&amp;"Arial,Bold"&amp;12Entry H</oddHeader>
    <oddFooter>&amp;L&amp;8&amp;D - County model&amp;R &amp;P</oddFooter>
  </headerFooter>
  <rowBreaks count="2" manualBreakCount="2">
    <brk id="72" max="16" man="1"/>
    <brk id="100" max="18" man="1"/>
  </rowBreaks>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148"/>
  <sheetViews>
    <sheetView workbookViewId="0"/>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0.42578125" style="1" customWidth="1"/>
    <col min="10" max="10" width="4" customWidth="1"/>
    <col min="11" max="11" width="11.28515625" customWidth="1"/>
    <col min="12" max="12" width="12.5703125" customWidth="1"/>
    <col min="13" max="13" width="0.7109375" customWidth="1"/>
    <col min="14" max="14" width="12.7109375" customWidth="1"/>
    <col min="15" max="15" width="10.42578125" bestFit="1" customWidth="1"/>
    <col min="16" max="16" width="1.28515625" customWidth="1"/>
    <col min="17" max="17" width="1.5703125" customWidth="1"/>
  </cols>
  <sheetData>
    <row r="1" spans="1:16" ht="7.5" customHeight="1" x14ac:dyDescent="0.2"/>
    <row r="2" spans="1:16" ht="33.75" customHeight="1" x14ac:dyDescent="0.25">
      <c r="A2" s="1408" t="s">
        <v>207</v>
      </c>
      <c r="B2" s="1409"/>
      <c r="C2" s="1409"/>
      <c r="D2" s="1409"/>
      <c r="E2" s="1409"/>
      <c r="F2" s="1409"/>
      <c r="G2" s="1409"/>
      <c r="H2" s="1409"/>
      <c r="I2" s="1409"/>
      <c r="J2" s="1409"/>
      <c r="K2" s="1409"/>
      <c r="L2" s="1409"/>
      <c r="M2" s="1409"/>
      <c r="N2" s="1409"/>
      <c r="O2" s="1409"/>
      <c r="P2" s="1410"/>
    </row>
    <row r="3" spans="1:16" ht="11.25" customHeight="1" x14ac:dyDescent="0.2"/>
    <row r="4" spans="1:16" ht="77.25" customHeight="1" x14ac:dyDescent="0.2">
      <c r="B4" s="1411" t="s">
        <v>262</v>
      </c>
      <c r="C4" s="1411"/>
      <c r="D4" s="1411"/>
      <c r="E4" s="1411"/>
      <c r="F4" s="1411"/>
      <c r="G4" s="1411"/>
      <c r="H4" s="1411"/>
      <c r="I4" s="1411"/>
      <c r="J4" s="1411"/>
      <c r="K4" s="1411"/>
      <c r="L4" s="1411"/>
      <c r="M4" s="1411"/>
      <c r="N4" s="1411"/>
      <c r="O4" s="1411"/>
      <c r="P4" s="1411"/>
    </row>
    <row r="5" spans="1:16" ht="5.25" customHeight="1" x14ac:dyDescent="0.2"/>
    <row r="6" spans="1:16" ht="12.75" customHeight="1" x14ac:dyDescent="0.2">
      <c r="B6" s="39" t="s">
        <v>514</v>
      </c>
      <c r="C6" s="1324" t="s">
        <v>733</v>
      </c>
      <c r="D6" s="1324"/>
      <c r="E6" s="1324"/>
      <c r="F6" s="1324"/>
      <c r="G6" s="1324"/>
      <c r="H6" s="1324"/>
      <c r="I6" s="1324"/>
      <c r="J6" s="1324"/>
      <c r="K6" s="1324"/>
      <c r="L6" s="1324"/>
      <c r="M6" s="1324"/>
      <c r="N6" s="1324"/>
      <c r="O6" s="1324"/>
      <c r="P6" s="34"/>
    </row>
    <row r="7" spans="1:16" ht="12" customHeight="1" x14ac:dyDescent="0.2">
      <c r="B7" s="39"/>
      <c r="C7" s="1324"/>
      <c r="D7" s="1324"/>
      <c r="E7" s="1324"/>
      <c r="F7" s="1324"/>
      <c r="G7" s="1324"/>
      <c r="H7" s="1324"/>
      <c r="I7" s="1324"/>
      <c r="J7" s="1324"/>
      <c r="K7" s="1324"/>
      <c r="L7" s="1324"/>
      <c r="M7" s="1324"/>
      <c r="N7" s="1324"/>
      <c r="O7" s="1324"/>
      <c r="P7" s="34"/>
    </row>
    <row r="8" spans="1:16" ht="5.25" customHeight="1" x14ac:dyDescent="0.2">
      <c r="B8" s="39"/>
      <c r="C8" s="34"/>
      <c r="D8" s="34"/>
      <c r="E8" s="34"/>
      <c r="F8" s="34"/>
      <c r="G8" s="34"/>
      <c r="H8" s="34"/>
      <c r="I8" s="34"/>
      <c r="J8" s="34"/>
      <c r="K8" s="34"/>
      <c r="L8" s="34"/>
      <c r="M8" s="34"/>
      <c r="N8" s="34"/>
      <c r="O8" s="34"/>
      <c r="P8" s="34"/>
    </row>
    <row r="9" spans="1:16" ht="12.75" customHeight="1" x14ac:dyDescent="0.2">
      <c r="B9" s="39" t="s">
        <v>515</v>
      </c>
      <c r="C9" s="1324" t="s">
        <v>340</v>
      </c>
      <c r="D9" s="1324"/>
      <c r="E9" s="1324"/>
      <c r="F9" s="1324"/>
      <c r="G9" s="1324"/>
      <c r="H9" s="1324"/>
      <c r="I9" s="1324"/>
      <c r="J9" s="1324"/>
      <c r="K9" s="1324"/>
      <c r="L9" s="1324"/>
      <c r="M9" s="1324"/>
      <c r="N9" s="1324"/>
      <c r="O9" s="1324"/>
    </row>
    <row r="10" spans="1:16" ht="51.75" customHeight="1" x14ac:dyDescent="0.2">
      <c r="B10" s="39"/>
      <c r="C10" s="1324"/>
      <c r="D10" s="1324"/>
      <c r="E10" s="1324"/>
      <c r="F10" s="1324"/>
      <c r="G10" s="1324"/>
      <c r="H10" s="1324"/>
      <c r="I10" s="1324"/>
      <c r="J10" s="1324"/>
      <c r="K10" s="1324"/>
      <c r="L10" s="1324"/>
      <c r="M10" s="1324"/>
      <c r="N10" s="1324"/>
      <c r="O10" s="1324"/>
    </row>
    <row r="11" spans="1:16" ht="5.25" customHeight="1" x14ac:dyDescent="0.2">
      <c r="B11" s="39"/>
    </row>
    <row r="12" spans="1:16" ht="12.75" customHeight="1" x14ac:dyDescent="0.2">
      <c r="B12" s="39" t="s">
        <v>809</v>
      </c>
      <c r="C12" s="1324" t="s">
        <v>283</v>
      </c>
      <c r="D12" s="1324"/>
      <c r="E12" s="1324"/>
      <c r="F12" s="1324"/>
      <c r="G12" s="1324"/>
      <c r="H12" s="1324"/>
      <c r="I12" s="1324"/>
      <c r="J12" s="1324"/>
      <c r="K12" s="1324"/>
      <c r="L12" s="1324"/>
      <c r="M12" s="1324"/>
      <c r="N12" s="1324"/>
      <c r="O12" s="1324"/>
    </row>
    <row r="13" spans="1:16" ht="12.75" customHeight="1" x14ac:dyDescent="0.2">
      <c r="C13" s="1324"/>
      <c r="D13" s="1324"/>
      <c r="E13" s="1324"/>
      <c r="F13" s="1324"/>
      <c r="G13" s="1324"/>
      <c r="H13" s="1324"/>
      <c r="I13" s="1324"/>
      <c r="J13" s="1324"/>
      <c r="K13" s="1324"/>
      <c r="L13" s="1324"/>
      <c r="M13" s="1324"/>
      <c r="N13" s="1324"/>
      <c r="O13" s="1324"/>
    </row>
    <row r="14" spans="1:16" ht="6" customHeight="1" x14ac:dyDescent="0.2"/>
    <row r="16" spans="1:16" ht="25.5" customHeight="1" x14ac:dyDescent="0.2">
      <c r="A16" s="4" t="s">
        <v>540</v>
      </c>
      <c r="B16" s="1416" t="s">
        <v>796</v>
      </c>
      <c r="C16" s="1417"/>
      <c r="D16" s="1417"/>
      <c r="E16" s="1417"/>
      <c r="F16" s="1417"/>
      <c r="G16" s="1417"/>
      <c r="H16" s="1417"/>
      <c r="I16" s="1417"/>
      <c r="J16" s="1417"/>
      <c r="K16" s="1417"/>
      <c r="L16" s="1417"/>
      <c r="M16" s="1417"/>
      <c r="N16" s="1417"/>
      <c r="O16" s="1418"/>
      <c r="P16" s="44"/>
    </row>
    <row r="17" spans="1:16" ht="3.75" customHeight="1" x14ac:dyDescent="0.2">
      <c r="B17" s="44"/>
      <c r="C17" s="31"/>
      <c r="D17" s="31"/>
      <c r="E17" s="31"/>
      <c r="F17" s="31"/>
      <c r="G17" s="31"/>
      <c r="H17" s="30"/>
      <c r="I17" s="31"/>
      <c r="J17" s="31"/>
      <c r="K17" s="31"/>
      <c r="L17" s="31"/>
      <c r="M17" s="31"/>
      <c r="N17" s="31"/>
      <c r="O17" s="31"/>
    </row>
    <row r="18" spans="1:16" x14ac:dyDescent="0.2">
      <c r="H18"/>
      <c r="K18" s="46" t="s">
        <v>507</v>
      </c>
    </row>
    <row r="19" spans="1:16" ht="14.25" customHeight="1" x14ac:dyDescent="0.2">
      <c r="B19" s="39" t="s">
        <v>514</v>
      </c>
      <c r="C19" s="1324" t="s">
        <v>794</v>
      </c>
      <c r="D19" s="1324"/>
      <c r="E19" s="1324"/>
      <c r="F19" s="1324"/>
      <c r="G19" s="1324"/>
      <c r="H19" s="1324"/>
      <c r="I19" s="1324"/>
      <c r="K19" s="1475">
        <v>8383</v>
      </c>
    </row>
    <row r="20" spans="1:16" ht="13.5" customHeight="1" x14ac:dyDescent="0.2">
      <c r="C20" s="1324"/>
      <c r="D20" s="1324"/>
      <c r="E20" s="1324"/>
      <c r="F20" s="1324"/>
      <c r="G20" s="1324"/>
      <c r="H20" s="1324"/>
      <c r="I20" s="1324"/>
      <c r="K20" s="1475"/>
    </row>
    <row r="21" spans="1:16" ht="13.5" customHeight="1" x14ac:dyDescent="0.2">
      <c r="H21"/>
      <c r="K21" s="30"/>
    </row>
    <row r="22" spans="1:16" ht="12.75" customHeight="1" x14ac:dyDescent="0.2">
      <c r="B22" s="39" t="s">
        <v>515</v>
      </c>
      <c r="C22" s="1324" t="s">
        <v>840</v>
      </c>
      <c r="D22" s="1324"/>
      <c r="E22" s="1324"/>
      <c r="F22" s="1324"/>
      <c r="G22" s="1324"/>
      <c r="H22" s="1324"/>
      <c r="I22" s="1324"/>
      <c r="K22" s="1475"/>
    </row>
    <row r="23" spans="1:16" x14ac:dyDescent="0.2">
      <c r="C23" s="1324"/>
      <c r="D23" s="1324"/>
      <c r="E23" s="1324"/>
      <c r="F23" s="1324"/>
      <c r="G23" s="1324"/>
      <c r="H23" s="1324"/>
      <c r="I23" s="1324"/>
      <c r="K23" s="1475"/>
    </row>
    <row r="24" spans="1:16" x14ac:dyDescent="0.2">
      <c r="H24"/>
      <c r="K24" s="93"/>
    </row>
    <row r="25" spans="1:16" ht="12.75" customHeight="1" x14ac:dyDescent="0.2">
      <c r="B25" s="39" t="s">
        <v>516</v>
      </c>
      <c r="C25" s="1324" t="s">
        <v>795</v>
      </c>
      <c r="D25" s="1324"/>
      <c r="E25" s="1324"/>
      <c r="F25" s="1324"/>
      <c r="G25" s="1324"/>
      <c r="H25" s="1324"/>
      <c r="I25" s="1324"/>
      <c r="K25" s="1475">
        <v>8932</v>
      </c>
    </row>
    <row r="26" spans="1:16" x14ac:dyDescent="0.2">
      <c r="C26" s="1324"/>
      <c r="D26" s="1324"/>
      <c r="E26" s="1324"/>
      <c r="F26" s="1324"/>
      <c r="G26" s="1324"/>
      <c r="H26" s="1324"/>
      <c r="I26" s="1324"/>
      <c r="K26" s="1475"/>
    </row>
    <row r="27" spans="1:16" x14ac:dyDescent="0.2">
      <c r="H27"/>
      <c r="K27" s="116"/>
    </row>
    <row r="28" spans="1:16" x14ac:dyDescent="0.2">
      <c r="G28" t="s">
        <v>143</v>
      </c>
      <c r="H28"/>
      <c r="K28" s="207">
        <f>K25-K19</f>
        <v>549</v>
      </c>
    </row>
    <row r="29" spans="1:16" x14ac:dyDescent="0.2">
      <c r="H29"/>
      <c r="K29" s="116"/>
    </row>
    <row r="30" spans="1:16" ht="25.5" customHeight="1" x14ac:dyDescent="0.2">
      <c r="A30" s="4" t="s">
        <v>541</v>
      </c>
      <c r="B30" s="1489" t="s">
        <v>1123</v>
      </c>
      <c r="C30" s="1490"/>
      <c r="D30" s="1490"/>
      <c r="E30" s="1490"/>
      <c r="F30" s="1490"/>
      <c r="G30" s="1490"/>
      <c r="H30" s="1490"/>
      <c r="I30" s="1490"/>
      <c r="J30" s="1490"/>
      <c r="K30" s="1490"/>
      <c r="L30" s="1490"/>
      <c r="M30" s="1490"/>
      <c r="N30" s="1490"/>
      <c r="O30" s="1491"/>
      <c r="P30" s="44"/>
    </row>
    <row r="31" spans="1:16" ht="6.75" customHeight="1" x14ac:dyDescent="0.2">
      <c r="H31" s="11"/>
      <c r="I31" s="11"/>
      <c r="J31" s="11"/>
      <c r="K31" s="11"/>
      <c r="L31" s="11"/>
      <c r="M31" s="11"/>
      <c r="O31" s="11"/>
    </row>
    <row r="32" spans="1:16" x14ac:dyDescent="0.2">
      <c r="B32" s="1488"/>
      <c r="C32" s="1488"/>
      <c r="D32" s="1488"/>
      <c r="E32" s="1488"/>
      <c r="F32" s="1488"/>
      <c r="G32" s="1488"/>
      <c r="H32" s="1488"/>
      <c r="I32" s="1488"/>
      <c r="J32" s="11"/>
      <c r="K32" s="153" t="s">
        <v>507</v>
      </c>
      <c r="L32" s="11"/>
      <c r="M32" s="11"/>
      <c r="O32" s="11"/>
    </row>
    <row r="33" spans="1:15" ht="6" customHeight="1" x14ac:dyDescent="0.2">
      <c r="H33" s="11"/>
      <c r="I33" s="11"/>
      <c r="J33" s="11"/>
      <c r="K33" s="150"/>
      <c r="L33" s="11"/>
      <c r="M33" s="11"/>
      <c r="O33" s="11"/>
    </row>
    <row r="34" spans="1:15" ht="12.75" customHeight="1" x14ac:dyDescent="0.2">
      <c r="B34" s="39" t="s">
        <v>514</v>
      </c>
      <c r="C34" s="1324" t="s">
        <v>844</v>
      </c>
      <c r="D34" s="1324"/>
      <c r="E34" s="1324"/>
      <c r="F34" s="1324"/>
      <c r="G34" s="1324"/>
      <c r="H34" s="1324"/>
      <c r="I34" s="1324"/>
      <c r="K34" s="1450"/>
      <c r="L34" s="11"/>
      <c r="M34" s="11"/>
      <c r="O34" s="11"/>
    </row>
    <row r="35" spans="1:15" ht="12.75" customHeight="1" x14ac:dyDescent="0.2">
      <c r="B35" s="39"/>
      <c r="C35" s="1324"/>
      <c r="D35" s="1324"/>
      <c r="E35" s="1324"/>
      <c r="F35" s="1324"/>
      <c r="G35" s="1324"/>
      <c r="H35" s="1324"/>
      <c r="I35" s="1324"/>
      <c r="K35" s="1450"/>
      <c r="M35" s="11"/>
      <c r="O35" s="11"/>
    </row>
    <row r="36" spans="1:15" ht="7.5" customHeight="1" x14ac:dyDescent="0.2">
      <c r="H36"/>
      <c r="L36" s="11"/>
      <c r="M36" s="11"/>
      <c r="O36" s="11"/>
    </row>
    <row r="37" spans="1:15" ht="12.75" customHeight="1" x14ac:dyDescent="0.2">
      <c r="B37" s="39" t="s">
        <v>515</v>
      </c>
      <c r="C37" s="1324" t="s">
        <v>845</v>
      </c>
      <c r="D37" s="1324"/>
      <c r="E37" s="1324"/>
      <c r="F37" s="1324"/>
      <c r="G37" s="1324"/>
      <c r="H37" s="1324"/>
      <c r="I37" s="1324"/>
      <c r="K37" s="1445"/>
      <c r="L37" s="11"/>
      <c r="M37" s="11"/>
      <c r="O37" s="11"/>
    </row>
    <row r="38" spans="1:15" ht="12.75" customHeight="1" x14ac:dyDescent="0.2">
      <c r="A38"/>
      <c r="C38" s="1324"/>
      <c r="D38" s="1324"/>
      <c r="E38" s="1324"/>
      <c r="F38" s="1324"/>
      <c r="G38" s="1324"/>
      <c r="H38" s="1324"/>
      <c r="I38" s="1324"/>
      <c r="K38" s="1445"/>
      <c r="L38" s="202"/>
    </row>
    <row r="39" spans="1:15" ht="12.75" customHeight="1" thickBot="1" x14ac:dyDescent="0.25">
      <c r="G39" t="s">
        <v>841</v>
      </c>
      <c r="H39"/>
      <c r="K39" s="80">
        <f>K37-K34</f>
        <v>0</v>
      </c>
      <c r="L39" s="202" t="s">
        <v>336</v>
      </c>
      <c r="M39" s="11"/>
      <c r="O39" s="11"/>
    </row>
    <row r="40" spans="1:15" ht="5.25" customHeight="1" thickTop="1" x14ac:dyDescent="0.2">
      <c r="H40"/>
      <c r="K40" s="10"/>
      <c r="L40" s="202"/>
      <c r="M40" s="11"/>
      <c r="O40" s="11"/>
    </row>
    <row r="41" spans="1:15" ht="12.75" customHeight="1" x14ac:dyDescent="0.2">
      <c r="B41" s="39" t="s">
        <v>516</v>
      </c>
      <c r="C41" s="1324" t="s">
        <v>284</v>
      </c>
      <c r="D41" s="1324"/>
      <c r="E41" s="1324"/>
      <c r="F41" s="1324"/>
      <c r="G41" s="1324"/>
      <c r="H41" s="1324"/>
      <c r="I41" s="1324"/>
      <c r="J41" s="34"/>
      <c r="L41" s="11"/>
      <c r="M41" s="11"/>
    </row>
    <row r="42" spans="1:15" ht="27" customHeight="1" x14ac:dyDescent="0.2">
      <c r="B42" s="39"/>
      <c r="C42" s="1324"/>
      <c r="D42" s="1324"/>
      <c r="E42" s="1324"/>
      <c r="F42" s="1324"/>
      <c r="G42" s="1324"/>
      <c r="H42" s="1324"/>
      <c r="I42" s="1324"/>
      <c r="J42" s="34"/>
      <c r="L42" s="11"/>
      <c r="M42" s="11"/>
    </row>
    <row r="43" spans="1:15" ht="36" customHeight="1" x14ac:dyDescent="0.2">
      <c r="B43" s="39"/>
      <c r="C43" s="34"/>
      <c r="D43" s="34"/>
      <c r="E43" s="34"/>
      <c r="F43" s="34"/>
      <c r="G43" s="34"/>
      <c r="H43"/>
      <c r="I43" s="34"/>
      <c r="J43" s="34"/>
      <c r="K43" s="89" t="s">
        <v>843</v>
      </c>
      <c r="L43" s="11"/>
      <c r="M43" s="11"/>
    </row>
    <row r="44" spans="1:15" x14ac:dyDescent="0.2">
      <c r="G44" t="s">
        <v>189</v>
      </c>
      <c r="H44"/>
      <c r="K44" s="343"/>
      <c r="L44" s="11"/>
      <c r="M44" s="11"/>
    </row>
    <row r="45" spans="1:15" x14ac:dyDescent="0.2">
      <c r="G45" t="s">
        <v>991</v>
      </c>
      <c r="H45"/>
      <c r="K45" s="343"/>
      <c r="L45" s="11"/>
      <c r="M45" s="11"/>
    </row>
    <row r="46" spans="1:15" x14ac:dyDescent="0.2">
      <c r="G46" t="s">
        <v>214</v>
      </c>
      <c r="H46"/>
      <c r="K46" s="343"/>
      <c r="L46" s="11"/>
      <c r="M46" s="11"/>
    </row>
    <row r="47" spans="1:15" x14ac:dyDescent="0.2">
      <c r="G47" t="s">
        <v>819</v>
      </c>
      <c r="H47"/>
      <c r="K47" s="343"/>
      <c r="L47" s="11"/>
      <c r="M47" s="11"/>
    </row>
    <row r="48" spans="1:15" x14ac:dyDescent="0.2">
      <c r="G48" t="s">
        <v>808</v>
      </c>
      <c r="H48"/>
      <c r="K48" s="343"/>
      <c r="L48" s="11"/>
      <c r="M48" s="11"/>
    </row>
    <row r="49" spans="1:15" x14ac:dyDescent="0.2">
      <c r="G49" t="s">
        <v>215</v>
      </c>
      <c r="H49"/>
      <c r="K49" s="343"/>
      <c r="L49" s="11"/>
      <c r="M49" s="11"/>
    </row>
    <row r="50" spans="1:15" x14ac:dyDescent="0.2">
      <c r="G50" t="s">
        <v>216</v>
      </c>
      <c r="H50"/>
      <c r="K50" s="343"/>
      <c r="L50" s="11"/>
      <c r="M50" s="11"/>
    </row>
    <row r="51" spans="1:15" x14ac:dyDescent="0.2">
      <c r="G51" t="s">
        <v>172</v>
      </c>
      <c r="H51"/>
      <c r="I51" s="1325"/>
      <c r="K51" s="343"/>
      <c r="L51" s="200"/>
      <c r="M51" s="200"/>
    </row>
    <row r="52" spans="1:15" x14ac:dyDescent="0.2">
      <c r="G52" s="353" t="s">
        <v>729</v>
      </c>
      <c r="H52"/>
      <c r="I52" s="1325"/>
      <c r="K52" s="343"/>
      <c r="L52" s="1483" t="str">
        <f>IF(K53=K39," ","Recheck numbers. Entry is out of balance.")</f>
        <v xml:space="preserve"> </v>
      </c>
      <c r="M52" s="200"/>
    </row>
    <row r="53" spans="1:15" ht="20.25" customHeight="1" thickBot="1" x14ac:dyDescent="0.25">
      <c r="H53"/>
      <c r="I53" s="1325"/>
      <c r="J53" s="222" t="s">
        <v>336</v>
      </c>
      <c r="K53" s="75">
        <f>SUM(K44:K52)</f>
        <v>0</v>
      </c>
      <c r="L53" s="1483"/>
      <c r="M53" s="221"/>
    </row>
    <row r="54" spans="1:15" ht="13.5" thickTop="1" x14ac:dyDescent="0.2">
      <c r="H54"/>
      <c r="L54" s="11"/>
      <c r="M54" s="11"/>
    </row>
    <row r="55" spans="1:15" ht="25.5" customHeight="1" x14ac:dyDescent="0.2">
      <c r="A55" s="4" t="s">
        <v>804</v>
      </c>
      <c r="B55" s="1416" t="s">
        <v>1005</v>
      </c>
      <c r="C55" s="1417"/>
      <c r="D55" s="1417"/>
      <c r="E55" s="1417"/>
      <c r="F55" s="1417"/>
      <c r="G55" s="1417"/>
      <c r="H55" s="1417"/>
      <c r="I55" s="1417"/>
      <c r="J55" s="1417"/>
      <c r="K55" s="1417"/>
      <c r="L55" s="1417"/>
      <c r="M55" s="1417"/>
      <c r="N55" s="1417"/>
      <c r="O55" s="1418"/>
    </row>
    <row r="56" spans="1:15" ht="5.25" customHeight="1" x14ac:dyDescent="0.2">
      <c r="H56"/>
      <c r="L56" s="11"/>
      <c r="M56" s="11"/>
    </row>
    <row r="57" spans="1:15" x14ac:dyDescent="0.2">
      <c r="B57" s="1486" t="s">
        <v>255</v>
      </c>
      <c r="C57" s="1486"/>
      <c r="D57" s="1486"/>
      <c r="E57" s="1486"/>
      <c r="H57"/>
      <c r="L57" s="11"/>
      <c r="M57" s="11"/>
    </row>
    <row r="58" spans="1:15" x14ac:dyDescent="0.2">
      <c r="H58"/>
      <c r="L58" s="11"/>
      <c r="M58" s="11"/>
    </row>
    <row r="59" spans="1:15" ht="26.45" customHeight="1" x14ac:dyDescent="0.2">
      <c r="B59" s="39" t="s">
        <v>514</v>
      </c>
      <c r="C59" s="1329" t="s">
        <v>4165</v>
      </c>
      <c r="D59" s="1324"/>
      <c r="E59" s="1324"/>
      <c r="F59" s="1324"/>
      <c r="G59" s="1324"/>
      <c r="H59" s="1324"/>
      <c r="I59" s="1324"/>
      <c r="K59" s="343">
        <v>2428826</v>
      </c>
      <c r="L59" s="11"/>
      <c r="M59" s="11"/>
    </row>
    <row r="60" spans="1:15" ht="5.25" customHeight="1" x14ac:dyDescent="0.2">
      <c r="H60"/>
      <c r="K60" s="354"/>
      <c r="L60" s="11"/>
      <c r="M60" s="11"/>
    </row>
    <row r="61" spans="1:15" ht="28.15" customHeight="1" x14ac:dyDescent="0.2">
      <c r="B61" s="39" t="s">
        <v>515</v>
      </c>
      <c r="C61" s="1329" t="s">
        <v>4166</v>
      </c>
      <c r="D61" s="1324"/>
      <c r="E61" s="1324"/>
      <c r="F61" s="1324"/>
      <c r="G61" s="1324"/>
      <c r="H61" s="1324"/>
      <c r="I61" s="1324"/>
      <c r="K61" s="343">
        <v>2551800</v>
      </c>
      <c r="L61" s="11"/>
      <c r="M61" s="11"/>
    </row>
    <row r="62" spans="1:15" ht="18" customHeight="1" thickBot="1" x14ac:dyDescent="0.25">
      <c r="G62" t="s">
        <v>841</v>
      </c>
      <c r="H62"/>
      <c r="K62" s="75">
        <f>K61-K59</f>
        <v>122974</v>
      </c>
      <c r="L62" s="202" t="s">
        <v>337</v>
      </c>
      <c r="M62" s="11"/>
    </row>
    <row r="63" spans="1:15" ht="4.5" customHeight="1" thickTop="1" x14ac:dyDescent="0.2">
      <c r="H63"/>
      <c r="L63" s="11"/>
      <c r="M63" s="11"/>
    </row>
    <row r="64" spans="1:15" ht="4.5" customHeight="1" x14ac:dyDescent="0.2">
      <c r="H64"/>
      <c r="L64" s="11"/>
      <c r="M64" s="11"/>
    </row>
    <row r="65" spans="1:15" x14ac:dyDescent="0.2">
      <c r="B65" s="39" t="s">
        <v>516</v>
      </c>
      <c r="C65" s="1487" t="s">
        <v>254</v>
      </c>
      <c r="D65" s="1487"/>
      <c r="E65" s="1487"/>
      <c r="F65" s="1487"/>
      <c r="G65" s="1487"/>
      <c r="H65" s="1487"/>
      <c r="I65" s="1487"/>
      <c r="L65" s="11"/>
      <c r="M65" s="11"/>
    </row>
    <row r="66" spans="1:15" x14ac:dyDescent="0.2">
      <c r="C66" s="1487"/>
      <c r="D66" s="1487"/>
      <c r="E66" s="1487"/>
      <c r="F66" s="1487"/>
      <c r="G66" s="1487"/>
      <c r="H66" s="1487"/>
      <c r="I66" s="1487"/>
      <c r="L66" s="11"/>
      <c r="M66" s="11"/>
    </row>
    <row r="67" spans="1:15" ht="36" customHeight="1" x14ac:dyDescent="0.2">
      <c r="H67"/>
      <c r="K67" s="89" t="s">
        <v>842</v>
      </c>
      <c r="L67" s="11"/>
      <c r="M67" s="11"/>
    </row>
    <row r="68" spans="1:15" x14ac:dyDescent="0.2">
      <c r="G68" t="s">
        <v>189</v>
      </c>
      <c r="H68"/>
      <c r="K68" s="343">
        <v>50000</v>
      </c>
      <c r="L68" s="11"/>
      <c r="M68" s="11"/>
    </row>
    <row r="69" spans="1:15" x14ac:dyDescent="0.2">
      <c r="G69" t="s">
        <v>991</v>
      </c>
      <c r="H69"/>
      <c r="K69" s="343">
        <v>40000</v>
      </c>
    </row>
    <row r="70" spans="1:15" x14ac:dyDescent="0.2">
      <c r="G70" t="s">
        <v>214</v>
      </c>
      <c r="H70"/>
      <c r="K70" s="343">
        <v>5000</v>
      </c>
    </row>
    <row r="71" spans="1:15" x14ac:dyDescent="0.2">
      <c r="G71" t="s">
        <v>819</v>
      </c>
      <c r="H71"/>
      <c r="K71" s="343">
        <v>17416</v>
      </c>
    </row>
    <row r="72" spans="1:15" x14ac:dyDescent="0.2">
      <c r="G72" t="s">
        <v>808</v>
      </c>
      <c r="H72"/>
      <c r="K72" s="343"/>
    </row>
    <row r="73" spans="1:15" x14ac:dyDescent="0.2">
      <c r="G73" t="s">
        <v>215</v>
      </c>
      <c r="H73"/>
      <c r="K73" s="343">
        <v>3000</v>
      </c>
    </row>
    <row r="74" spans="1:15" x14ac:dyDescent="0.2">
      <c r="G74" t="s">
        <v>216</v>
      </c>
      <c r="H74"/>
      <c r="K74" s="343">
        <v>7558</v>
      </c>
    </row>
    <row r="75" spans="1:15" x14ac:dyDescent="0.2">
      <c r="G75" t="s">
        <v>172</v>
      </c>
      <c r="H75"/>
      <c r="K75" s="343"/>
    </row>
    <row r="76" spans="1:15" ht="12.75" customHeight="1" x14ac:dyDescent="0.2">
      <c r="G76" s="353" t="s">
        <v>729</v>
      </c>
      <c r="H76"/>
      <c r="K76" s="343"/>
      <c r="L76" s="1325" t="str">
        <f>IF(K77=K62," ","Recheck numbers. Entry is out of balance.")</f>
        <v xml:space="preserve"> </v>
      </c>
    </row>
    <row r="77" spans="1:15" ht="20.25" customHeight="1" thickBot="1" x14ac:dyDescent="0.25">
      <c r="G77" s="203"/>
      <c r="H77"/>
      <c r="J77" s="202" t="s">
        <v>337</v>
      </c>
      <c r="K77" s="75">
        <f>SUM(K68:K76)</f>
        <v>122974</v>
      </c>
      <c r="L77" s="1325"/>
    </row>
    <row r="78" spans="1:15" ht="13.5" thickTop="1" x14ac:dyDescent="0.2">
      <c r="H78"/>
      <c r="L78" s="11"/>
      <c r="M78" s="11"/>
    </row>
    <row r="79" spans="1:15" x14ac:dyDescent="0.2">
      <c r="H79"/>
      <c r="L79" s="11"/>
      <c r="M79" s="11"/>
    </row>
    <row r="80" spans="1:15" ht="25.5" customHeight="1" x14ac:dyDescent="0.2">
      <c r="A80" s="4" t="s">
        <v>810</v>
      </c>
      <c r="B80" s="1416" t="s">
        <v>616</v>
      </c>
      <c r="C80" s="1484"/>
      <c r="D80" s="1484"/>
      <c r="E80" s="1484"/>
      <c r="F80" s="1484"/>
      <c r="G80" s="1484"/>
      <c r="H80" s="1484"/>
      <c r="I80" s="1484"/>
      <c r="J80" s="1484"/>
      <c r="K80" s="1484"/>
      <c r="L80" s="1484"/>
      <c r="M80" s="1484"/>
      <c r="N80" s="1484"/>
      <c r="O80" s="1485"/>
    </row>
    <row r="81" spans="2:17" x14ac:dyDescent="0.2">
      <c r="H81"/>
      <c r="L81" s="11"/>
      <c r="M81" s="11"/>
    </row>
    <row r="82" spans="2:17" x14ac:dyDescent="0.2">
      <c r="H82"/>
      <c r="L82" s="11"/>
      <c r="M82" s="11"/>
      <c r="N82" s="46" t="s">
        <v>507</v>
      </c>
    </row>
    <row r="83" spans="2:17" ht="15" customHeight="1" x14ac:dyDescent="0.2">
      <c r="B83" s="39" t="s">
        <v>514</v>
      </c>
      <c r="C83" s="1324" t="s">
        <v>785</v>
      </c>
      <c r="D83" s="1324"/>
      <c r="E83" s="1324"/>
      <c r="F83" s="1324"/>
      <c r="G83" s="1324"/>
      <c r="H83" s="1324"/>
      <c r="I83" s="1324"/>
      <c r="J83" s="1324"/>
      <c r="K83" s="1324"/>
      <c r="L83" s="1324"/>
      <c r="M83" s="11"/>
      <c r="N83" s="1450"/>
      <c r="Q83" s="11"/>
    </row>
    <row r="84" spans="2:17" ht="12.75" customHeight="1" x14ac:dyDescent="0.2">
      <c r="B84" s="39"/>
      <c r="C84" s="1324"/>
      <c r="D84" s="1324"/>
      <c r="E84" s="1324"/>
      <c r="F84" s="1324"/>
      <c r="G84" s="1324"/>
      <c r="H84" s="1324"/>
      <c r="I84" s="1324"/>
      <c r="J84" s="1324"/>
      <c r="K84" s="1324"/>
      <c r="L84" s="1324"/>
      <c r="M84" s="11"/>
      <c r="N84" s="1450"/>
      <c r="Q84" s="11"/>
    </row>
    <row r="85" spans="2:17" ht="12.75" customHeight="1" x14ac:dyDescent="0.2">
      <c r="B85" s="39"/>
      <c r="C85" s="34"/>
      <c r="D85" s="34"/>
      <c r="E85" s="34"/>
      <c r="F85" s="34"/>
      <c r="G85" s="34"/>
      <c r="H85" s="34"/>
      <c r="I85" s="34"/>
      <c r="J85" s="34"/>
      <c r="K85" s="34"/>
      <c r="M85" s="11"/>
      <c r="Q85" s="11"/>
    </row>
    <row r="86" spans="2:17" ht="12.75" customHeight="1" x14ac:dyDescent="0.2">
      <c r="B86" s="39" t="s">
        <v>515</v>
      </c>
      <c r="C86" s="1324" t="s">
        <v>850</v>
      </c>
      <c r="D86" s="1324"/>
      <c r="E86" s="1324"/>
      <c r="F86" s="1324"/>
      <c r="G86" s="1324"/>
      <c r="H86" s="1324"/>
      <c r="I86" s="1324"/>
      <c r="J86" s="1324"/>
      <c r="K86" s="1324"/>
      <c r="L86" s="1324"/>
      <c r="M86" s="11"/>
      <c r="N86" s="1450"/>
      <c r="Q86" s="11"/>
    </row>
    <row r="87" spans="2:17" ht="12.75" customHeight="1" x14ac:dyDescent="0.2">
      <c r="B87" s="39"/>
      <c r="C87" s="1324"/>
      <c r="D87" s="1324"/>
      <c r="E87" s="1324"/>
      <c r="F87" s="1324"/>
      <c r="G87" s="1324"/>
      <c r="H87" s="1324"/>
      <c r="I87" s="1324"/>
      <c r="J87" s="1324"/>
      <c r="K87" s="1324"/>
      <c r="L87" s="1324"/>
      <c r="M87" s="11"/>
      <c r="N87" s="1471"/>
      <c r="Q87" s="11"/>
    </row>
    <row r="88" spans="2:17" ht="16.5" customHeight="1" thickBot="1" x14ac:dyDescent="0.25">
      <c r="B88" s="39"/>
      <c r="C88" s="34"/>
      <c r="E88" s="34"/>
      <c r="F88" s="34"/>
      <c r="G88" s="1324" t="s">
        <v>142</v>
      </c>
      <c r="H88" s="1324"/>
      <c r="I88" s="1324"/>
      <c r="J88" s="1324"/>
      <c r="K88" s="1324"/>
      <c r="L88" s="1324"/>
      <c r="M88" s="11"/>
      <c r="N88" s="86">
        <f>N86-N83</f>
        <v>0</v>
      </c>
      <c r="O88" s="202" t="s">
        <v>467</v>
      </c>
      <c r="Q88" s="11"/>
    </row>
    <row r="89" spans="2:17" ht="12.75" customHeight="1" thickTop="1" x14ac:dyDescent="0.2">
      <c r="B89" s="39"/>
      <c r="C89" s="34"/>
      <c r="D89" s="34"/>
      <c r="E89" s="34"/>
      <c r="F89" s="34"/>
      <c r="G89" s="34"/>
      <c r="H89" s="34"/>
      <c r="I89" s="34"/>
      <c r="J89" s="34"/>
      <c r="K89" s="34"/>
      <c r="M89" s="11"/>
      <c r="Q89" s="11"/>
    </row>
    <row r="90" spans="2:17" ht="12.75" customHeight="1" x14ac:dyDescent="0.2">
      <c r="B90" s="39" t="s">
        <v>516</v>
      </c>
      <c r="C90" s="1324" t="s">
        <v>593</v>
      </c>
      <c r="D90" s="1324"/>
      <c r="E90" s="1324"/>
      <c r="F90" s="1324"/>
      <c r="G90" s="1324"/>
      <c r="H90" s="1324"/>
      <c r="I90" s="1324"/>
      <c r="J90" s="1324"/>
      <c r="K90" s="1324"/>
      <c r="L90" s="1324"/>
      <c r="M90" s="34"/>
      <c r="Q90" s="11"/>
    </row>
    <row r="91" spans="2:17" ht="38.25" customHeight="1" x14ac:dyDescent="0.2">
      <c r="B91" s="39"/>
      <c r="C91" s="1324"/>
      <c r="D91" s="1324"/>
      <c r="E91" s="1324"/>
      <c r="F91" s="1324"/>
      <c r="G91" s="1324"/>
      <c r="H91" s="1324"/>
      <c r="I91" s="1324"/>
      <c r="J91" s="1324"/>
      <c r="K91" s="1324"/>
      <c r="L91" s="1324"/>
      <c r="M91" s="34"/>
      <c r="Q91" s="11"/>
    </row>
    <row r="92" spans="2:17" ht="13.5" customHeight="1" x14ac:dyDescent="0.2">
      <c r="B92" s="39"/>
      <c r="F92" t="s">
        <v>189</v>
      </c>
      <c r="H92"/>
      <c r="I92" s="31"/>
      <c r="J92" s="31"/>
      <c r="K92" s="343"/>
      <c r="M92" s="30"/>
      <c r="Q92" s="11"/>
    </row>
    <row r="93" spans="2:17" x14ac:dyDescent="0.2">
      <c r="B93" s="39"/>
      <c r="F93" t="s">
        <v>991</v>
      </c>
      <c r="H93"/>
      <c r="I93" s="31"/>
      <c r="J93" s="31"/>
      <c r="K93" s="343"/>
      <c r="M93" s="30"/>
      <c r="Q93" s="11"/>
    </row>
    <row r="94" spans="2:17" x14ac:dyDescent="0.2">
      <c r="B94" s="39"/>
      <c r="F94" t="s">
        <v>214</v>
      </c>
      <c r="H94"/>
      <c r="I94" s="31"/>
      <c r="J94" s="31"/>
      <c r="K94" s="343"/>
      <c r="M94" s="30"/>
      <c r="Q94" s="11"/>
    </row>
    <row r="95" spans="2:17" x14ac:dyDescent="0.2">
      <c r="B95" s="39"/>
      <c r="F95" t="s">
        <v>819</v>
      </c>
      <c r="H95"/>
      <c r="I95" s="31"/>
      <c r="J95" s="31"/>
      <c r="K95" s="343"/>
      <c r="M95" s="30"/>
      <c r="Q95" s="11"/>
    </row>
    <row r="96" spans="2:17" ht="12.75" customHeight="1" x14ac:dyDescent="0.2">
      <c r="B96" s="39"/>
      <c r="F96" t="s">
        <v>808</v>
      </c>
      <c r="H96"/>
      <c r="I96" s="31"/>
      <c r="J96" s="31"/>
      <c r="K96" s="343"/>
      <c r="M96" s="30"/>
      <c r="Q96" s="11"/>
    </row>
    <row r="97" spans="1:17" ht="12.75" customHeight="1" x14ac:dyDescent="0.2">
      <c r="B97" s="39"/>
      <c r="F97" t="s">
        <v>215</v>
      </c>
      <c r="H97"/>
      <c r="I97" s="31"/>
      <c r="J97" s="31"/>
      <c r="K97" s="343"/>
      <c r="M97" s="30"/>
      <c r="Q97" s="11"/>
    </row>
    <row r="98" spans="1:17" x14ac:dyDescent="0.2">
      <c r="B98" s="39"/>
      <c r="F98" t="s">
        <v>216</v>
      </c>
      <c r="H98"/>
      <c r="I98" s="31"/>
      <c r="J98" s="31"/>
      <c r="K98" s="343"/>
      <c r="L98" s="11"/>
      <c r="M98" s="30"/>
      <c r="Q98" s="11"/>
    </row>
    <row r="99" spans="1:17" ht="12.75" customHeight="1" x14ac:dyDescent="0.2">
      <c r="B99" s="39"/>
      <c r="F99" t="s">
        <v>172</v>
      </c>
      <c r="H99"/>
      <c r="I99" s="31"/>
      <c r="J99" s="31"/>
      <c r="K99" s="343"/>
      <c r="L99" s="11"/>
      <c r="M99" s="30"/>
    </row>
    <row r="100" spans="1:17" ht="12.75" customHeight="1" x14ac:dyDescent="0.2">
      <c r="B100" s="39"/>
      <c r="F100" s="353" t="s">
        <v>729</v>
      </c>
      <c r="H100"/>
      <c r="I100" s="31"/>
      <c r="J100" s="31"/>
      <c r="K100" s="343"/>
      <c r="L100" s="1483" t="str">
        <f>IF(K101=N88," ","Recheck numbers. Entry is out of balance.")</f>
        <v xml:space="preserve"> </v>
      </c>
      <c r="M100" s="30"/>
    </row>
    <row r="101" spans="1:17" ht="27.75" customHeight="1" thickBot="1" x14ac:dyDescent="0.25">
      <c r="G101" t="s">
        <v>797</v>
      </c>
      <c r="H101"/>
      <c r="I101" s="31"/>
      <c r="J101" s="202" t="s">
        <v>467</v>
      </c>
      <c r="K101" s="80">
        <f>SUM(K92:K100)</f>
        <v>0</v>
      </c>
      <c r="L101" s="1483"/>
      <c r="M101" s="30"/>
    </row>
    <row r="102" spans="1:17" ht="14.25" thickTop="1" x14ac:dyDescent="0.25">
      <c r="H102"/>
      <c r="I102" s="31"/>
      <c r="J102" s="31"/>
      <c r="K102" s="11"/>
      <c r="L102" s="11"/>
      <c r="M102" s="30"/>
      <c r="P102" s="146"/>
      <c r="Q102" s="146"/>
    </row>
    <row r="103" spans="1:17" ht="13.5" x14ac:dyDescent="0.25">
      <c r="H103"/>
      <c r="I103" s="31"/>
      <c r="J103" s="31"/>
      <c r="K103" s="11"/>
      <c r="L103" s="11"/>
      <c r="M103" s="30"/>
      <c r="N103" s="30"/>
      <c r="O103" s="149"/>
      <c r="P103" s="146"/>
      <c r="Q103" s="146"/>
    </row>
    <row r="104" spans="1:17" ht="25.5" customHeight="1" x14ac:dyDescent="0.25">
      <c r="B104" s="1416" t="s">
        <v>238</v>
      </c>
      <c r="C104" s="1484"/>
      <c r="D104" s="1484"/>
      <c r="E104" s="1484"/>
      <c r="F104" s="1484"/>
      <c r="G104" s="1484"/>
      <c r="H104" s="1484"/>
      <c r="I104" s="1484"/>
      <c r="J104" s="1484"/>
      <c r="K104" s="1484"/>
      <c r="L104" s="1484"/>
      <c r="M104" s="1484"/>
      <c r="N104" s="1484"/>
      <c r="O104" s="1485"/>
      <c r="P104" s="146"/>
      <c r="Q104" s="146"/>
    </row>
    <row r="105" spans="1:17" ht="13.5" x14ac:dyDescent="0.25">
      <c r="A105" s="4" t="s">
        <v>826</v>
      </c>
      <c r="H105"/>
      <c r="I105" s="31"/>
      <c r="J105" s="31"/>
      <c r="K105" s="11"/>
      <c r="L105" s="11"/>
      <c r="M105" s="30"/>
      <c r="N105" s="30"/>
      <c r="O105" s="149"/>
      <c r="P105" s="146"/>
      <c r="Q105" s="146"/>
    </row>
    <row r="106" spans="1:17" ht="13.5" x14ac:dyDescent="0.25">
      <c r="H106"/>
      <c r="I106" s="31"/>
      <c r="J106" s="31"/>
      <c r="K106" s="11"/>
      <c r="L106" s="153" t="s">
        <v>510</v>
      </c>
      <c r="M106" s="151"/>
      <c r="N106" s="154" t="s">
        <v>511</v>
      </c>
      <c r="O106" s="149"/>
      <c r="P106" s="146"/>
      <c r="Q106" s="146"/>
    </row>
    <row r="107" spans="1:17" ht="6.75" customHeight="1" x14ac:dyDescent="0.25">
      <c r="H107"/>
      <c r="I107" s="31"/>
      <c r="J107" s="31"/>
      <c r="K107" s="11"/>
      <c r="L107" s="150"/>
      <c r="M107" s="151"/>
      <c r="N107" s="152"/>
      <c r="O107" s="149"/>
      <c r="P107" s="146"/>
      <c r="Q107" s="146"/>
    </row>
    <row r="108" spans="1:17" x14ac:dyDescent="0.2">
      <c r="B108" s="155" t="s">
        <v>734</v>
      </c>
      <c r="E108" t="s">
        <v>731</v>
      </c>
      <c r="L108" s="78">
        <f t="shared" ref="L108:L123" si="0">R131</f>
        <v>8932</v>
      </c>
      <c r="M108" s="13"/>
      <c r="N108" s="78">
        <f t="shared" ref="N108:N123" si="1">S131</f>
        <v>0</v>
      </c>
    </row>
    <row r="109" spans="1:17" x14ac:dyDescent="0.2">
      <c r="B109" s="155"/>
      <c r="D109" s="2"/>
      <c r="E109" t="s">
        <v>529</v>
      </c>
      <c r="L109" s="78">
        <f t="shared" si="0"/>
        <v>0</v>
      </c>
      <c r="M109" s="13"/>
      <c r="N109" s="78">
        <f t="shared" si="1"/>
        <v>0</v>
      </c>
    </row>
    <row r="110" spans="1:17" ht="13.5" customHeight="1" x14ac:dyDescent="0.2">
      <c r="B110" s="155"/>
      <c r="E110" t="s">
        <v>259</v>
      </c>
      <c r="L110" s="78">
        <f t="shared" si="0"/>
        <v>0</v>
      </c>
      <c r="M110" s="13"/>
      <c r="N110" s="78">
        <f t="shared" si="1"/>
        <v>0</v>
      </c>
    </row>
    <row r="111" spans="1:17" ht="13.5" customHeight="1" x14ac:dyDescent="0.2">
      <c r="B111" s="155"/>
      <c r="E111" t="s">
        <v>256</v>
      </c>
      <c r="L111" s="78">
        <f t="shared" si="0"/>
        <v>122974</v>
      </c>
      <c r="M111" s="13"/>
      <c r="N111" s="78">
        <f t="shared" si="1"/>
        <v>0</v>
      </c>
    </row>
    <row r="112" spans="1:17" ht="12.75" customHeight="1" x14ac:dyDescent="0.2">
      <c r="B112" s="155"/>
      <c r="E112" t="s">
        <v>786</v>
      </c>
      <c r="L112" s="78">
        <f t="shared" si="0"/>
        <v>0</v>
      </c>
      <c r="M112" s="13"/>
      <c r="N112" s="78">
        <f t="shared" si="1"/>
        <v>0</v>
      </c>
    </row>
    <row r="113" spans="2:15" x14ac:dyDescent="0.2">
      <c r="B113" s="155"/>
      <c r="F113" t="s">
        <v>189</v>
      </c>
      <c r="L113" s="78">
        <f t="shared" si="0"/>
        <v>0</v>
      </c>
      <c r="M113" s="94"/>
      <c r="N113" s="78">
        <f t="shared" si="1"/>
        <v>50000</v>
      </c>
    </row>
    <row r="114" spans="2:15" x14ac:dyDescent="0.2">
      <c r="B114" s="155"/>
      <c r="F114" t="s">
        <v>991</v>
      </c>
      <c r="L114" s="78">
        <f t="shared" si="0"/>
        <v>0</v>
      </c>
      <c r="M114" s="94"/>
      <c r="N114" s="78">
        <f t="shared" si="1"/>
        <v>40000</v>
      </c>
    </row>
    <row r="115" spans="2:15" x14ac:dyDescent="0.2">
      <c r="B115" s="155"/>
      <c r="F115" t="s">
        <v>214</v>
      </c>
      <c r="L115" s="78">
        <f t="shared" si="0"/>
        <v>0</v>
      </c>
      <c r="M115" s="94"/>
      <c r="N115" s="78">
        <f t="shared" si="1"/>
        <v>5000</v>
      </c>
    </row>
    <row r="116" spans="2:15" x14ac:dyDescent="0.2">
      <c r="F116" t="s">
        <v>819</v>
      </c>
      <c r="L116" s="78">
        <f t="shared" si="0"/>
        <v>0</v>
      </c>
      <c r="M116" s="94"/>
      <c r="N116" s="78">
        <f t="shared" si="1"/>
        <v>17416</v>
      </c>
    </row>
    <row r="117" spans="2:15" x14ac:dyDescent="0.2">
      <c r="F117" t="s">
        <v>808</v>
      </c>
      <c r="L117" s="78">
        <f t="shared" si="0"/>
        <v>0</v>
      </c>
      <c r="M117" s="94"/>
      <c r="N117" s="78">
        <f t="shared" si="1"/>
        <v>0</v>
      </c>
    </row>
    <row r="118" spans="2:15" x14ac:dyDescent="0.2">
      <c r="F118" t="s">
        <v>215</v>
      </c>
      <c r="L118" s="78">
        <f t="shared" si="0"/>
        <v>0</v>
      </c>
      <c r="M118" s="94"/>
      <c r="N118" s="78">
        <f t="shared" si="1"/>
        <v>3000</v>
      </c>
    </row>
    <row r="119" spans="2:15" x14ac:dyDescent="0.2">
      <c r="F119" t="s">
        <v>216</v>
      </c>
      <c r="L119" s="78">
        <f t="shared" si="0"/>
        <v>0</v>
      </c>
      <c r="M119" s="94"/>
      <c r="N119" s="78">
        <f t="shared" si="1"/>
        <v>7558</v>
      </c>
    </row>
    <row r="120" spans="2:15" x14ac:dyDescent="0.2">
      <c r="F120" t="s">
        <v>172</v>
      </c>
      <c r="L120" s="78">
        <f t="shared" si="0"/>
        <v>0</v>
      </c>
      <c r="M120" s="94"/>
      <c r="N120" s="78">
        <f t="shared" si="1"/>
        <v>0</v>
      </c>
    </row>
    <row r="121" spans="2:15" x14ac:dyDescent="0.2">
      <c r="F121" s="353" t="s">
        <v>729</v>
      </c>
      <c r="L121" s="78">
        <f t="shared" si="0"/>
        <v>0</v>
      </c>
      <c r="M121" s="94"/>
      <c r="N121" s="78">
        <f t="shared" si="1"/>
        <v>0</v>
      </c>
    </row>
    <row r="122" spans="2:15" x14ac:dyDescent="0.2">
      <c r="F122" t="s">
        <v>341</v>
      </c>
      <c r="L122" s="78">
        <f t="shared" si="0"/>
        <v>0</v>
      </c>
      <c r="M122" s="94"/>
      <c r="N122" s="78">
        <f t="shared" si="1"/>
        <v>549</v>
      </c>
    </row>
    <row r="123" spans="2:15" x14ac:dyDescent="0.2">
      <c r="F123" t="s">
        <v>735</v>
      </c>
      <c r="L123" s="78">
        <f t="shared" si="0"/>
        <v>0</v>
      </c>
      <c r="M123" s="94"/>
      <c r="N123" s="78">
        <f t="shared" si="1"/>
        <v>8383</v>
      </c>
    </row>
    <row r="124" spans="2:15" ht="13.5" thickBot="1" x14ac:dyDescent="0.25">
      <c r="L124" s="75">
        <f>SUM(L108:L123)</f>
        <v>131906</v>
      </c>
      <c r="M124" s="47"/>
      <c r="N124" s="75">
        <f>SUM(N108:N123)</f>
        <v>131906</v>
      </c>
    </row>
    <row r="125" spans="2:15" ht="13.5" thickTop="1" x14ac:dyDescent="0.2"/>
    <row r="126" spans="2:15" x14ac:dyDescent="0.2">
      <c r="B126" s="108"/>
      <c r="C126" s="108"/>
      <c r="D126" s="108"/>
      <c r="E126" s="108"/>
      <c r="F126" s="108"/>
      <c r="G126" s="108"/>
      <c r="H126" s="208"/>
      <c r="I126" s="108"/>
      <c r="J126" s="108"/>
      <c r="K126" s="108"/>
      <c r="L126" s="108"/>
      <c r="M126" s="108"/>
      <c r="N126" s="108"/>
      <c r="O126" s="108"/>
    </row>
    <row r="127" spans="2:15" ht="18" x14ac:dyDescent="0.25">
      <c r="B127" s="209" t="s">
        <v>92</v>
      </c>
      <c r="C127" s="108"/>
      <c r="D127" s="108"/>
      <c r="E127" s="108"/>
      <c r="F127" s="108"/>
      <c r="G127" s="108"/>
      <c r="H127" s="208"/>
      <c r="I127" s="108"/>
      <c r="J127" s="108"/>
      <c r="K127" s="108"/>
      <c r="L127" s="108"/>
      <c r="M127" s="108"/>
      <c r="N127" s="108"/>
      <c r="O127" s="108"/>
    </row>
    <row r="129" spans="1:19" x14ac:dyDescent="0.2">
      <c r="F129" s="1429" t="s">
        <v>297</v>
      </c>
      <c r="G129" s="1430"/>
      <c r="H129" s="1429" t="s">
        <v>699</v>
      </c>
      <c r="I129" s="1430"/>
      <c r="J129" s="201"/>
      <c r="K129" s="1429" t="s">
        <v>700</v>
      </c>
      <c r="L129" s="1430"/>
      <c r="M129" s="46"/>
      <c r="N129" s="1429" t="s">
        <v>701</v>
      </c>
      <c r="O129" s="1430"/>
      <c r="R129" s="1429" t="s">
        <v>905</v>
      </c>
      <c r="S129" s="1430"/>
    </row>
    <row r="130" spans="1:19" x14ac:dyDescent="0.2">
      <c r="F130" s="71" t="s">
        <v>510</v>
      </c>
      <c r="G130" s="110" t="s">
        <v>511</v>
      </c>
      <c r="H130" s="71" t="s">
        <v>510</v>
      </c>
      <c r="I130" s="72" t="s">
        <v>511</v>
      </c>
      <c r="K130" s="71" t="s">
        <v>861</v>
      </c>
      <c r="L130" s="72" t="s">
        <v>511</v>
      </c>
      <c r="M130" s="46"/>
      <c r="N130" s="71" t="s">
        <v>861</v>
      </c>
      <c r="O130" s="72" t="s">
        <v>511</v>
      </c>
      <c r="R130" s="71" t="s">
        <v>861</v>
      </c>
      <c r="S130" s="72" t="s">
        <v>93</v>
      </c>
    </row>
    <row r="131" spans="1:19" x14ac:dyDescent="0.2">
      <c r="A131" t="s">
        <v>731</v>
      </c>
      <c r="F131" s="5">
        <f>K25</f>
        <v>8932</v>
      </c>
      <c r="G131" s="1"/>
      <c r="H131"/>
      <c r="R131" s="5">
        <f>F131+H131+K131+N131</f>
        <v>8932</v>
      </c>
      <c r="S131" s="5">
        <f>G131+I131+L131+O131</f>
        <v>0</v>
      </c>
    </row>
    <row r="132" spans="1:19" x14ac:dyDescent="0.2">
      <c r="A132" t="s">
        <v>529</v>
      </c>
      <c r="F132" s="5">
        <f>K22</f>
        <v>0</v>
      </c>
      <c r="G132" s="1"/>
      <c r="H132"/>
      <c r="R132" s="5">
        <f t="shared" ref="R132:R146" si="2">F132+H132+K132+N132</f>
        <v>0</v>
      </c>
      <c r="S132" s="5">
        <f t="shared" ref="S132:S146" si="3">G132+I132+L132+O132</f>
        <v>0</v>
      </c>
    </row>
    <row r="133" spans="1:19" x14ac:dyDescent="0.2">
      <c r="A133" t="s">
        <v>257</v>
      </c>
      <c r="G133" s="1"/>
      <c r="H133" s="5">
        <f>K39</f>
        <v>0</v>
      </c>
      <c r="R133" s="5">
        <f t="shared" si="2"/>
        <v>0</v>
      </c>
      <c r="S133" s="5">
        <f t="shared" si="3"/>
        <v>0</v>
      </c>
    </row>
    <row r="134" spans="1:19" x14ac:dyDescent="0.2">
      <c r="A134" t="s">
        <v>258</v>
      </c>
      <c r="G134" s="1"/>
      <c r="H134" s="5"/>
      <c r="K134" s="36">
        <f>K62</f>
        <v>122974</v>
      </c>
      <c r="R134" s="5">
        <f t="shared" si="2"/>
        <v>122974</v>
      </c>
      <c r="S134" s="5">
        <f t="shared" si="3"/>
        <v>0</v>
      </c>
    </row>
    <row r="135" spans="1:19" x14ac:dyDescent="0.2">
      <c r="A135" t="s">
        <v>786</v>
      </c>
      <c r="G135" s="1"/>
      <c r="H135"/>
      <c r="N135" s="5">
        <f>N86</f>
        <v>0</v>
      </c>
      <c r="R135" s="5">
        <f t="shared" si="2"/>
        <v>0</v>
      </c>
      <c r="S135" s="5">
        <f t="shared" si="3"/>
        <v>0</v>
      </c>
    </row>
    <row r="136" spans="1:19" x14ac:dyDescent="0.2">
      <c r="B136" t="s">
        <v>189</v>
      </c>
      <c r="G136" s="1"/>
      <c r="H136"/>
      <c r="I136" s="5">
        <f t="shared" ref="I136:I144" si="4">K44-H44</f>
        <v>0</v>
      </c>
      <c r="L136" s="36">
        <f t="shared" ref="L136:L144" si="5">K68-H68</f>
        <v>50000</v>
      </c>
      <c r="O136" s="5">
        <f>K92</f>
        <v>0</v>
      </c>
      <c r="R136" s="5">
        <f t="shared" si="2"/>
        <v>0</v>
      </c>
      <c r="S136" s="5">
        <f t="shared" si="3"/>
        <v>50000</v>
      </c>
    </row>
    <row r="137" spans="1:19" x14ac:dyDescent="0.2">
      <c r="B137" t="s">
        <v>991</v>
      </c>
      <c r="G137" s="1"/>
      <c r="H137"/>
      <c r="I137" s="5">
        <f t="shared" si="4"/>
        <v>0</v>
      </c>
      <c r="L137" s="36">
        <f t="shared" si="5"/>
        <v>40000</v>
      </c>
      <c r="O137" s="5">
        <f>K93</f>
        <v>0</v>
      </c>
      <c r="R137" s="5">
        <f t="shared" si="2"/>
        <v>0</v>
      </c>
      <c r="S137" s="5">
        <f t="shared" si="3"/>
        <v>40000</v>
      </c>
    </row>
    <row r="138" spans="1:19" x14ac:dyDescent="0.2">
      <c r="B138" t="s">
        <v>214</v>
      </c>
      <c r="G138" s="1"/>
      <c r="H138"/>
      <c r="I138" s="5">
        <f t="shared" si="4"/>
        <v>0</v>
      </c>
      <c r="L138" s="36">
        <f t="shared" si="5"/>
        <v>5000</v>
      </c>
      <c r="O138" s="5">
        <f t="shared" ref="O138:O144" si="6">K94</f>
        <v>0</v>
      </c>
      <c r="R138" s="5">
        <f t="shared" si="2"/>
        <v>0</v>
      </c>
      <c r="S138" s="5">
        <f t="shared" si="3"/>
        <v>5000</v>
      </c>
    </row>
    <row r="139" spans="1:19" x14ac:dyDescent="0.2">
      <c r="B139" t="s">
        <v>819</v>
      </c>
      <c r="G139" s="1"/>
      <c r="H139"/>
      <c r="I139" s="5">
        <f t="shared" si="4"/>
        <v>0</v>
      </c>
      <c r="L139" s="36">
        <f t="shared" si="5"/>
        <v>17416</v>
      </c>
      <c r="O139" s="5">
        <f t="shared" si="6"/>
        <v>0</v>
      </c>
      <c r="R139" s="5">
        <f t="shared" si="2"/>
        <v>0</v>
      </c>
      <c r="S139" s="5">
        <f t="shared" si="3"/>
        <v>17416</v>
      </c>
    </row>
    <row r="140" spans="1:19" x14ac:dyDescent="0.2">
      <c r="B140" t="s">
        <v>808</v>
      </c>
      <c r="G140" s="1"/>
      <c r="H140"/>
      <c r="I140" s="5">
        <f t="shared" si="4"/>
        <v>0</v>
      </c>
      <c r="L140" s="36">
        <f t="shared" si="5"/>
        <v>0</v>
      </c>
      <c r="O140" s="5">
        <f t="shared" si="6"/>
        <v>0</v>
      </c>
      <c r="R140" s="5">
        <f t="shared" si="2"/>
        <v>0</v>
      </c>
      <c r="S140" s="5">
        <f t="shared" si="3"/>
        <v>0</v>
      </c>
    </row>
    <row r="141" spans="1:19" x14ac:dyDescent="0.2">
      <c r="B141" t="s">
        <v>215</v>
      </c>
      <c r="G141" s="1"/>
      <c r="H141"/>
      <c r="I141" s="5">
        <f t="shared" si="4"/>
        <v>0</v>
      </c>
      <c r="L141" s="36">
        <f t="shared" si="5"/>
        <v>3000</v>
      </c>
      <c r="O141" s="5">
        <f t="shared" si="6"/>
        <v>0</v>
      </c>
      <c r="R141" s="5">
        <f t="shared" si="2"/>
        <v>0</v>
      </c>
      <c r="S141" s="5">
        <f t="shared" si="3"/>
        <v>3000</v>
      </c>
    </row>
    <row r="142" spans="1:19" x14ac:dyDescent="0.2">
      <c r="B142" t="s">
        <v>216</v>
      </c>
      <c r="G142" s="1"/>
      <c r="H142"/>
      <c r="I142" s="5">
        <f t="shared" si="4"/>
        <v>0</v>
      </c>
      <c r="L142" s="36">
        <f t="shared" si="5"/>
        <v>7558</v>
      </c>
      <c r="O142" s="5">
        <f t="shared" si="6"/>
        <v>0</v>
      </c>
      <c r="R142" s="5">
        <f t="shared" si="2"/>
        <v>0</v>
      </c>
      <c r="S142" s="5">
        <f t="shared" si="3"/>
        <v>7558</v>
      </c>
    </row>
    <row r="143" spans="1:19" x14ac:dyDescent="0.2">
      <c r="B143" t="s">
        <v>172</v>
      </c>
      <c r="G143" s="1"/>
      <c r="H143"/>
      <c r="I143" s="5">
        <f t="shared" si="4"/>
        <v>0</v>
      </c>
      <c r="L143" s="36">
        <f t="shared" si="5"/>
        <v>0</v>
      </c>
      <c r="O143" s="5">
        <f t="shared" si="6"/>
        <v>0</v>
      </c>
      <c r="R143" s="5">
        <f t="shared" si="2"/>
        <v>0</v>
      </c>
      <c r="S143" s="5">
        <f t="shared" si="3"/>
        <v>0</v>
      </c>
    </row>
    <row r="144" spans="1:19" x14ac:dyDescent="0.2">
      <c r="B144" s="353" t="s">
        <v>729</v>
      </c>
      <c r="G144" s="1"/>
      <c r="H144"/>
      <c r="I144" s="5">
        <f t="shared" si="4"/>
        <v>0</v>
      </c>
      <c r="L144" s="36">
        <f t="shared" si="5"/>
        <v>0</v>
      </c>
      <c r="O144" s="5">
        <f t="shared" si="6"/>
        <v>0</v>
      </c>
      <c r="R144" s="5">
        <f t="shared" si="2"/>
        <v>0</v>
      </c>
      <c r="S144" s="5">
        <f t="shared" si="3"/>
        <v>0</v>
      </c>
    </row>
    <row r="145" spans="2:19" x14ac:dyDescent="0.2">
      <c r="B145" t="s">
        <v>342</v>
      </c>
      <c r="F145" t="str">
        <f>IF((K28+K22)&lt;0,-(K28+K22),"0")</f>
        <v>0</v>
      </c>
      <c r="G145" s="1">
        <f>IF((K28+K22)&gt;=0,(K28+K22),"0")</f>
        <v>549</v>
      </c>
      <c r="H145"/>
      <c r="L145" s="36"/>
      <c r="R145" s="5">
        <f t="shared" si="2"/>
        <v>0</v>
      </c>
      <c r="S145" s="5">
        <f t="shared" si="3"/>
        <v>549</v>
      </c>
    </row>
    <row r="146" spans="2:19" x14ac:dyDescent="0.2">
      <c r="B146" t="s">
        <v>735</v>
      </c>
      <c r="G146" s="1">
        <f>K19</f>
        <v>8383</v>
      </c>
      <c r="H146"/>
      <c r="I146" s="5"/>
      <c r="L146" s="36"/>
      <c r="O146" s="5">
        <f>N83</f>
        <v>0</v>
      </c>
      <c r="R146" s="5">
        <f t="shared" si="2"/>
        <v>0</v>
      </c>
      <c r="S146" s="5">
        <f t="shared" si="3"/>
        <v>8383</v>
      </c>
    </row>
    <row r="147" spans="2:19" ht="13.5" thickBot="1" x14ac:dyDescent="0.25">
      <c r="F147" s="20">
        <f>SUM(F131:F146)</f>
        <v>8932</v>
      </c>
      <c r="G147" s="20">
        <f>SUM(G131:G146)</f>
        <v>8932</v>
      </c>
      <c r="H147" s="20">
        <f>SUM(H131:H146)</f>
        <v>0</v>
      </c>
      <c r="I147" s="20">
        <f>SUM(I131:I146)</f>
        <v>0</v>
      </c>
      <c r="J147" s="20"/>
      <c r="K147" s="20">
        <f>SUM(K131:K146)</f>
        <v>122974</v>
      </c>
      <c r="L147" s="20">
        <f>SUM(L131:L146)</f>
        <v>122974</v>
      </c>
      <c r="M147" s="20"/>
      <c r="N147" s="20">
        <f>SUM(N131:N146)</f>
        <v>0</v>
      </c>
      <c r="O147" s="20">
        <f>SUM(O131:O146)</f>
        <v>0</v>
      </c>
      <c r="P147" s="20"/>
      <c r="Q147" s="20"/>
      <c r="R147" s="20">
        <f>SUM(R131:R146)</f>
        <v>131906</v>
      </c>
      <c r="S147" s="20">
        <f>SUM(S131:S146)</f>
        <v>131906</v>
      </c>
    </row>
    <row r="148" spans="2:19" ht="13.5" thickTop="1" x14ac:dyDescent="0.2">
      <c r="G148" s="1"/>
      <c r="H148"/>
    </row>
  </sheetData>
  <customSheetViews>
    <customSheetView guid="{C1197650-3ED8-49E4-8E4C-0D1D4B503FC0}" topLeftCell="A22">
      <selection activeCell="L111" sqref="L111"/>
      <rowBreaks count="2" manualBreakCount="2">
        <brk id="54" max="16" man="1"/>
        <brk id="102" max="16" man="1"/>
      </rowBreaks>
      <pageMargins left="0.36" right="0.37" top="0.71" bottom="0.5" header="0.5" footer="0.5"/>
      <printOptions horizontalCentered="1"/>
      <pageSetup scale="75" orientation="portrait" r:id="rId1"/>
      <headerFooter alignWithMargins="0">
        <oddHeader>&amp;R&amp;"Arial,Bold"&amp;12Entry&amp;"Times New Roman,Bold" I</oddHeader>
        <oddFooter>&amp;L&amp;8&amp;D - County model&amp;R&amp;P</oddFooter>
      </headerFooter>
    </customSheetView>
    <customSheetView guid="{D2B860EA-92EC-4999-9A59-C624E1F8C7FB}" topLeftCell="A22">
      <selection activeCell="L111" sqref="L111"/>
      <rowBreaks count="2" manualBreakCount="2">
        <brk id="54" max="16" man="1"/>
        <brk id="102" max="16" man="1"/>
      </rowBreaks>
      <pageMargins left="0.36" right="0.37" top="0.71" bottom="0.5" header="0.5" footer="0.5"/>
      <printOptions horizontalCentered="1"/>
      <pageSetup scale="75" orientation="portrait" r:id="rId2"/>
      <headerFooter alignWithMargins="0">
        <oddHeader>&amp;R&amp;"Arial,Bold"&amp;12Entry&amp;"Times New Roman,Bold" I</oddHeader>
        <oddFooter>&amp;L&amp;8&amp;D - County model&amp;R&amp;P</oddFooter>
      </headerFooter>
    </customSheetView>
  </customSheetViews>
  <mergeCells count="41">
    <mergeCell ref="B32:I32"/>
    <mergeCell ref="B30:O30"/>
    <mergeCell ref="C22:I23"/>
    <mergeCell ref="C37:I38"/>
    <mergeCell ref="K34:K35"/>
    <mergeCell ref="C34:I35"/>
    <mergeCell ref="K25:K26"/>
    <mergeCell ref="C25:I26"/>
    <mergeCell ref="K22:K23"/>
    <mergeCell ref="K37:K38"/>
    <mergeCell ref="N129:O129"/>
    <mergeCell ref="R129:S129"/>
    <mergeCell ref="F129:G129"/>
    <mergeCell ref="H129:I129"/>
    <mergeCell ref="K129:L129"/>
    <mergeCell ref="B104:O104"/>
    <mergeCell ref="B57:E57"/>
    <mergeCell ref="C65:I66"/>
    <mergeCell ref="N83:N84"/>
    <mergeCell ref="N86:N87"/>
    <mergeCell ref="L76:L77"/>
    <mergeCell ref="G88:L88"/>
    <mergeCell ref="C90:L91"/>
    <mergeCell ref="L100:L101"/>
    <mergeCell ref="C59:I59"/>
    <mergeCell ref="C86:L87"/>
    <mergeCell ref="C61:I61"/>
    <mergeCell ref="C41:I42"/>
    <mergeCell ref="I51:I53"/>
    <mergeCell ref="L52:L53"/>
    <mergeCell ref="C83:L84"/>
    <mergeCell ref="B55:O55"/>
    <mergeCell ref="B80:O80"/>
    <mergeCell ref="K19:K20"/>
    <mergeCell ref="A2:P2"/>
    <mergeCell ref="B4:P4"/>
    <mergeCell ref="B16:O16"/>
    <mergeCell ref="C6:O7"/>
    <mergeCell ref="C9:O10"/>
    <mergeCell ref="C12:O13"/>
    <mergeCell ref="C19:I20"/>
  </mergeCells>
  <phoneticPr fontId="14" type="noConversion"/>
  <printOptions horizontalCentered="1"/>
  <pageMargins left="0.36" right="0.37" top="0.71" bottom="0.5" header="0.5" footer="0.5"/>
  <pageSetup scale="75" orientation="portrait" r:id="rId3"/>
  <headerFooter alignWithMargins="0">
    <oddHeader>&amp;R&amp;"Arial,Bold"&amp;12Entry&amp;"Times New Roman,Bold" I</oddHeader>
    <oddFooter>&amp;L&amp;8&amp;D - County model&amp;R&amp;P</oddFooter>
  </headerFooter>
  <rowBreaks count="2" manualBreakCount="2">
    <brk id="54" max="16" man="1"/>
    <brk id="102" max="16" man="1"/>
  </rowBreaks>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G254"/>
  <sheetViews>
    <sheetView workbookViewId="0"/>
  </sheetViews>
  <sheetFormatPr defaultRowHeight="12.75" x14ac:dyDescent="0.2"/>
  <cols>
    <col min="1" max="1" width="4" style="1044" customWidth="1"/>
    <col min="2" max="2" width="4" customWidth="1"/>
    <col min="4" max="4" width="9.28515625" customWidth="1"/>
    <col min="5" max="5" width="3.5703125" customWidth="1"/>
    <col min="6" max="6" width="9.7109375" customWidth="1"/>
    <col min="7" max="7" width="10.42578125" customWidth="1"/>
    <col min="8" max="8" width="12.42578125" customWidth="1"/>
    <col min="9" max="9" width="0.7109375" style="31" customWidth="1"/>
    <col min="10" max="10" width="10.42578125" style="1" customWidth="1"/>
    <col min="11" max="11" width="1.85546875" style="1" customWidth="1"/>
    <col min="12" max="12" width="10.7109375" customWidth="1"/>
    <col min="13" max="13" width="0.7109375" style="31" customWidth="1"/>
    <col min="14" max="14" width="12.85546875" customWidth="1"/>
    <col min="15" max="15" width="12" customWidth="1"/>
    <col min="16" max="16" width="4.140625" customWidth="1"/>
    <col min="17" max="17" width="10.42578125" customWidth="1"/>
    <col min="18" max="18" width="10.140625" bestFit="1" customWidth="1"/>
    <col min="19" max="19" width="4.28515625" customWidth="1"/>
    <col min="20" max="20" width="10.85546875" customWidth="1"/>
    <col min="21" max="22" width="9.28515625" style="671" customWidth="1"/>
    <col min="23" max="23" width="12.28515625" customWidth="1"/>
    <col min="24" max="24" width="11.85546875" customWidth="1"/>
    <col min="25" max="26" width="9.28515625" style="739" customWidth="1"/>
    <col min="27" max="27" width="11.7109375" bestFit="1" customWidth="1"/>
    <col min="28" max="29" width="11.140625" bestFit="1" customWidth="1"/>
  </cols>
  <sheetData>
    <row r="1" spans="1:17" ht="7.5" customHeight="1" x14ac:dyDescent="0.2"/>
    <row r="2" spans="1:17" ht="33.75" customHeight="1" x14ac:dyDescent="0.25">
      <c r="A2" s="1408" t="s">
        <v>278</v>
      </c>
      <c r="B2" s="1409"/>
      <c r="C2" s="1409"/>
      <c r="D2" s="1409"/>
      <c r="E2" s="1409"/>
      <c r="F2" s="1409"/>
      <c r="G2" s="1409"/>
      <c r="H2" s="1409"/>
      <c r="I2" s="1409"/>
      <c r="J2" s="1409"/>
      <c r="K2" s="1409"/>
      <c r="L2" s="1409"/>
      <c r="M2" s="1409"/>
      <c r="N2" s="1409"/>
      <c r="O2" s="1409"/>
      <c r="P2" s="1410"/>
    </row>
    <row r="3" spans="1:17" ht="6" customHeight="1" x14ac:dyDescent="0.2"/>
    <row r="4" spans="1:17" ht="51.75" customHeight="1" x14ac:dyDescent="0.2">
      <c r="B4" s="1411" t="s">
        <v>377</v>
      </c>
      <c r="C4" s="1439"/>
      <c r="D4" s="1439"/>
      <c r="E4" s="1439"/>
      <c r="F4" s="1439"/>
      <c r="G4" s="1439"/>
      <c r="H4" s="1439"/>
      <c r="I4" s="1439"/>
      <c r="J4" s="1439"/>
      <c r="K4" s="1439"/>
      <c r="L4" s="1439"/>
      <c r="M4" s="1439"/>
      <c r="N4" s="1439"/>
      <c r="O4" s="1439"/>
      <c r="P4" s="1439"/>
    </row>
    <row r="5" spans="1:17" ht="4.5" customHeight="1" x14ac:dyDescent="0.2"/>
    <row r="6" spans="1:17" ht="12.75" customHeight="1" x14ac:dyDescent="0.2">
      <c r="B6" s="39" t="s">
        <v>514</v>
      </c>
      <c r="C6" s="1411" t="s">
        <v>343</v>
      </c>
      <c r="D6" s="1411"/>
      <c r="E6" s="1411"/>
      <c r="F6" s="1411"/>
      <c r="G6" s="1411"/>
      <c r="H6" s="1411"/>
      <c r="I6" s="1411"/>
      <c r="J6" s="1411"/>
      <c r="K6" s="1411"/>
      <c r="L6" s="1411"/>
      <c r="M6" s="1411"/>
      <c r="N6" s="1411"/>
      <c r="O6" s="1411"/>
      <c r="P6" s="34"/>
      <c r="Q6" s="136"/>
    </row>
    <row r="7" spans="1:17" ht="87.75" customHeight="1" x14ac:dyDescent="0.2">
      <c r="B7" s="39"/>
      <c r="C7" s="1411"/>
      <c r="D7" s="1411"/>
      <c r="E7" s="1411"/>
      <c r="F7" s="1411"/>
      <c r="G7" s="1411"/>
      <c r="H7" s="1411"/>
      <c r="I7" s="1411"/>
      <c r="J7" s="1411"/>
      <c r="K7" s="1411"/>
      <c r="L7" s="1411"/>
      <c r="M7" s="1411"/>
      <c r="N7" s="1411"/>
      <c r="O7" s="1411"/>
      <c r="P7" s="34"/>
    </row>
    <row r="8" spans="1:17" ht="3" customHeight="1" x14ac:dyDescent="0.2">
      <c r="B8" s="39"/>
      <c r="C8" s="34"/>
      <c r="D8" s="34"/>
      <c r="E8" s="34"/>
      <c r="F8" s="34"/>
      <c r="G8" s="34"/>
      <c r="H8" s="34"/>
      <c r="I8" s="98"/>
      <c r="J8" s="34"/>
      <c r="K8" s="34"/>
      <c r="L8" s="34"/>
      <c r="M8" s="98"/>
      <c r="N8" s="34"/>
      <c r="O8" s="34"/>
      <c r="P8" s="34"/>
    </row>
    <row r="9" spans="1:17" ht="13.5" customHeight="1" x14ac:dyDescent="0.2">
      <c r="B9" s="39" t="s">
        <v>515</v>
      </c>
      <c r="C9" s="1324" t="s">
        <v>848</v>
      </c>
      <c r="D9" s="1324"/>
      <c r="E9" s="1324"/>
      <c r="F9" s="1324"/>
      <c r="G9" s="1324"/>
      <c r="H9" s="1324"/>
      <c r="I9" s="1324"/>
      <c r="J9" s="1324"/>
      <c r="K9" s="1324"/>
      <c r="L9" s="1324"/>
      <c r="M9" s="1324"/>
      <c r="N9" s="1324"/>
      <c r="O9" s="1324"/>
    </row>
    <row r="10" spans="1:17" ht="24" customHeight="1" x14ac:dyDescent="0.2">
      <c r="B10" s="39"/>
      <c r="C10" s="1324"/>
      <c r="D10" s="1324"/>
      <c r="E10" s="1324"/>
      <c r="F10" s="1324"/>
      <c r="G10" s="1324"/>
      <c r="H10" s="1324"/>
      <c r="I10" s="1324"/>
      <c r="J10" s="1324"/>
      <c r="K10" s="1324"/>
      <c r="L10" s="1324"/>
      <c r="M10" s="1324"/>
      <c r="N10" s="1324"/>
      <c r="O10" s="1324"/>
    </row>
    <row r="11" spans="1:17" ht="3" customHeight="1" x14ac:dyDescent="0.2">
      <c r="B11" s="39"/>
    </row>
    <row r="12" spans="1:17" ht="12.75" customHeight="1" x14ac:dyDescent="0.2">
      <c r="B12" s="39" t="s">
        <v>809</v>
      </c>
      <c r="C12" s="1324" t="s">
        <v>378</v>
      </c>
      <c r="D12" s="1324"/>
      <c r="E12" s="1324"/>
      <c r="F12" s="1324"/>
      <c r="G12" s="1324"/>
      <c r="H12" s="1324"/>
      <c r="I12" s="1324"/>
      <c r="J12" s="1324"/>
      <c r="K12" s="1324"/>
      <c r="L12" s="1324"/>
      <c r="M12" s="1324"/>
      <c r="N12" s="1324"/>
      <c r="O12" s="1324"/>
    </row>
    <row r="13" spans="1:17" ht="53.25" customHeight="1" x14ac:dyDescent="0.2">
      <c r="B13" s="39"/>
      <c r="C13" s="1324"/>
      <c r="D13" s="1324"/>
      <c r="E13" s="1324"/>
      <c r="F13" s="1324"/>
      <c r="G13" s="1324"/>
      <c r="H13" s="1324"/>
      <c r="I13" s="1324"/>
      <c r="J13" s="1324"/>
      <c r="K13" s="1324"/>
      <c r="L13" s="1324"/>
      <c r="M13" s="1324"/>
      <c r="N13" s="1324"/>
      <c r="O13" s="1324"/>
    </row>
    <row r="14" spans="1:17" ht="3" customHeight="1" x14ac:dyDescent="0.2">
      <c r="B14" s="39"/>
    </row>
    <row r="15" spans="1:17" ht="12.75" customHeight="1" x14ac:dyDescent="0.2">
      <c r="B15" s="39" t="s">
        <v>542</v>
      </c>
      <c r="C15" s="1508" t="s">
        <v>379</v>
      </c>
      <c r="D15" s="1508"/>
      <c r="E15" s="1508"/>
      <c r="F15" s="1508"/>
      <c r="G15" s="1508"/>
      <c r="H15" s="1508"/>
      <c r="I15" s="1508"/>
      <c r="J15" s="1508"/>
      <c r="K15" s="1508"/>
      <c r="L15" s="1508"/>
      <c r="M15" s="1508"/>
      <c r="N15" s="1508"/>
      <c r="O15" s="1508"/>
    </row>
    <row r="16" spans="1:17" ht="53.25" customHeight="1" x14ac:dyDescent="0.2">
      <c r="B16" s="39"/>
      <c r="C16" s="1508"/>
      <c r="D16" s="1508"/>
      <c r="E16" s="1508"/>
      <c r="F16" s="1508"/>
      <c r="G16" s="1508"/>
      <c r="H16" s="1508"/>
      <c r="I16" s="1508"/>
      <c r="J16" s="1508"/>
      <c r="K16" s="1508"/>
      <c r="L16" s="1508"/>
      <c r="M16" s="1508"/>
      <c r="N16" s="1508"/>
      <c r="O16" s="1508"/>
    </row>
    <row r="17" spans="1:26" ht="3" customHeight="1" x14ac:dyDescent="0.2"/>
    <row r="18" spans="1:26" ht="12.75" customHeight="1" x14ac:dyDescent="0.2">
      <c r="B18" s="39" t="s">
        <v>543</v>
      </c>
      <c r="C18" s="1324" t="s">
        <v>1087</v>
      </c>
      <c r="D18" s="1324"/>
      <c r="E18" s="1324"/>
      <c r="F18" s="1324"/>
      <c r="G18" s="1324"/>
      <c r="H18" s="1324"/>
      <c r="I18" s="1324"/>
      <c r="J18" s="1324"/>
      <c r="K18" s="1324"/>
      <c r="L18" s="1324"/>
      <c r="M18" s="1324"/>
      <c r="N18" s="1324"/>
      <c r="O18" s="1324"/>
    </row>
    <row r="19" spans="1:26" ht="26.25" customHeight="1" x14ac:dyDescent="0.2">
      <c r="B19" s="39"/>
      <c r="C19" s="1324"/>
      <c r="D19" s="1324"/>
      <c r="E19" s="1324"/>
      <c r="F19" s="1324"/>
      <c r="G19" s="1324"/>
      <c r="H19" s="1324"/>
      <c r="I19" s="1324"/>
      <c r="J19" s="1324"/>
      <c r="K19" s="1324"/>
      <c r="L19" s="1324"/>
      <c r="M19" s="1324"/>
      <c r="N19" s="1324"/>
      <c r="O19" s="1324"/>
    </row>
    <row r="20" spans="1:26" s="725" customFormat="1" ht="40.15" customHeight="1" x14ac:dyDescent="0.2">
      <c r="A20" s="1044"/>
      <c r="B20" s="744" t="s">
        <v>858</v>
      </c>
      <c r="C20" s="1509" t="s">
        <v>2083</v>
      </c>
      <c r="D20" s="1510"/>
      <c r="E20" s="1510"/>
      <c r="F20" s="1510"/>
      <c r="G20" s="1510"/>
      <c r="H20" s="1510"/>
      <c r="I20" s="1510"/>
      <c r="J20" s="1510"/>
      <c r="K20" s="1510"/>
      <c r="L20" s="1510"/>
      <c r="M20" s="1510"/>
      <c r="N20" s="1510"/>
      <c r="O20" s="1510"/>
      <c r="Y20" s="739"/>
      <c r="Z20" s="739"/>
    </row>
    <row r="21" spans="1:26" ht="7.5" customHeight="1" x14ac:dyDescent="0.2"/>
    <row r="22" spans="1:26" ht="25.5" customHeight="1" x14ac:dyDescent="0.2">
      <c r="A22" s="1044" t="s">
        <v>540</v>
      </c>
      <c r="B22" s="1419" t="s">
        <v>345</v>
      </c>
      <c r="C22" s="1422"/>
      <c r="D22" s="1422"/>
      <c r="E22" s="1422"/>
      <c r="F22" s="1422"/>
      <c r="G22" s="1422"/>
      <c r="H22" s="1422"/>
      <c r="I22" s="1422"/>
      <c r="J22" s="1422"/>
      <c r="K22" s="1422"/>
      <c r="L22" s="1422"/>
      <c r="M22" s="1422"/>
      <c r="N22" s="1422"/>
      <c r="O22" s="1423"/>
      <c r="P22" s="44"/>
    </row>
    <row r="23" spans="1:26" ht="6.75" customHeight="1" x14ac:dyDescent="0.2">
      <c r="B23" s="44"/>
      <c r="C23" s="31"/>
      <c r="D23" s="31"/>
      <c r="E23" s="31"/>
      <c r="F23" s="31"/>
      <c r="G23" s="31"/>
      <c r="H23" s="217"/>
      <c r="I23" s="217"/>
      <c r="J23" s="218"/>
      <c r="K23" s="218"/>
      <c r="L23" s="217"/>
      <c r="M23" s="217"/>
      <c r="N23" s="217"/>
    </row>
    <row r="24" spans="1:26" x14ac:dyDescent="0.2">
      <c r="B24" s="104" t="s">
        <v>8</v>
      </c>
      <c r="H24" s="215" t="s">
        <v>208</v>
      </c>
      <c r="I24" s="99"/>
      <c r="J24" s="1514" t="s">
        <v>210</v>
      </c>
      <c r="K24" s="1515"/>
      <c r="L24" s="1516"/>
      <c r="M24" s="99"/>
      <c r="N24" s="215" t="s">
        <v>213</v>
      </c>
    </row>
    <row r="25" spans="1:26" ht="12.75" customHeight="1" x14ac:dyDescent="0.2">
      <c r="H25" s="95" t="s">
        <v>209</v>
      </c>
      <c r="I25" s="99"/>
      <c r="J25" s="96" t="s">
        <v>211</v>
      </c>
      <c r="K25" s="97"/>
      <c r="L25" s="101" t="s">
        <v>773</v>
      </c>
      <c r="M25" s="99"/>
      <c r="N25" s="95" t="s">
        <v>209</v>
      </c>
    </row>
    <row r="26" spans="1:26" ht="2.25" customHeight="1" x14ac:dyDescent="0.2">
      <c r="B26" s="39"/>
      <c r="I26"/>
      <c r="J26"/>
      <c r="K26"/>
      <c r="M26"/>
    </row>
    <row r="27" spans="1:26" ht="12.75" customHeight="1" x14ac:dyDescent="0.2">
      <c r="B27" s="39"/>
      <c r="C27" t="s">
        <v>189</v>
      </c>
      <c r="G27" s="14"/>
      <c r="H27" s="359"/>
      <c r="I27" s="338"/>
      <c r="J27" s="1157"/>
      <c r="K27" s="47"/>
      <c r="L27" s="251">
        <f t="shared" ref="L27:L35" si="0">H27+J27-N27</f>
        <v>0</v>
      </c>
      <c r="M27" s="47"/>
      <c r="N27" s="1157"/>
      <c r="O27" s="14"/>
    </row>
    <row r="28" spans="1:26" x14ac:dyDescent="0.2">
      <c r="C28" t="s">
        <v>991</v>
      </c>
      <c r="G28" s="14"/>
      <c r="H28" s="359"/>
      <c r="I28" s="338"/>
      <c r="J28" s="1157"/>
      <c r="K28" s="47"/>
      <c r="L28" s="251">
        <f t="shared" si="0"/>
        <v>0</v>
      </c>
      <c r="M28" s="47"/>
      <c r="N28" s="1157"/>
      <c r="O28" s="14"/>
    </row>
    <row r="29" spans="1:26" x14ac:dyDescent="0.2">
      <c r="C29" t="s">
        <v>214</v>
      </c>
      <c r="G29" s="14"/>
      <c r="H29" s="359"/>
      <c r="I29" s="338"/>
      <c r="J29" s="1157"/>
      <c r="K29" s="47"/>
      <c r="L29" s="251">
        <f t="shared" si="0"/>
        <v>0</v>
      </c>
      <c r="M29" s="47"/>
      <c r="N29" s="1157"/>
      <c r="O29" s="14"/>
    </row>
    <row r="30" spans="1:26" x14ac:dyDescent="0.2">
      <c r="C30" t="s">
        <v>819</v>
      </c>
      <c r="G30" s="14"/>
      <c r="H30" s="359"/>
      <c r="I30" s="338"/>
      <c r="J30" s="1157"/>
      <c r="K30" s="47"/>
      <c r="L30" s="251">
        <f t="shared" si="0"/>
        <v>0</v>
      </c>
      <c r="M30" s="47"/>
      <c r="N30" s="1157"/>
      <c r="O30" s="14"/>
    </row>
    <row r="31" spans="1:26" x14ac:dyDescent="0.2">
      <c r="C31" t="s">
        <v>808</v>
      </c>
      <c r="G31" s="14"/>
      <c r="H31" s="359"/>
      <c r="I31" s="338"/>
      <c r="J31" s="1157"/>
      <c r="K31" s="47"/>
      <c r="L31" s="251">
        <f t="shared" si="0"/>
        <v>0</v>
      </c>
      <c r="M31" s="47"/>
      <c r="N31" s="1157"/>
      <c r="O31" s="14"/>
    </row>
    <row r="32" spans="1:26" x14ac:dyDescent="0.2">
      <c r="C32" t="s">
        <v>215</v>
      </c>
      <c r="G32" s="14"/>
      <c r="H32" s="359"/>
      <c r="I32" s="338"/>
      <c r="J32" s="1157"/>
      <c r="K32" s="47"/>
      <c r="L32" s="251">
        <f t="shared" si="0"/>
        <v>0</v>
      </c>
      <c r="M32" s="47"/>
      <c r="N32" s="1157"/>
      <c r="O32" s="14"/>
    </row>
    <row r="33" spans="2:15" ht="12.75" customHeight="1" x14ac:dyDescent="0.2">
      <c r="C33" t="s">
        <v>216</v>
      </c>
      <c r="G33" s="14"/>
      <c r="H33" s="359"/>
      <c r="I33" s="338"/>
      <c r="J33" s="1157"/>
      <c r="K33" s="47"/>
      <c r="L33" s="251">
        <f t="shared" si="0"/>
        <v>0</v>
      </c>
      <c r="M33" s="47"/>
      <c r="N33" s="1157"/>
      <c r="O33" s="14"/>
    </row>
    <row r="34" spans="2:15" ht="12.75" customHeight="1" x14ac:dyDescent="0.2">
      <c r="C34" t="s">
        <v>172</v>
      </c>
      <c r="G34" s="14"/>
      <c r="H34" s="359"/>
      <c r="I34" s="338"/>
      <c r="J34" s="1157"/>
      <c r="K34" s="47"/>
      <c r="L34" s="251">
        <f t="shared" si="0"/>
        <v>0</v>
      </c>
      <c r="M34" s="47"/>
      <c r="N34" s="1157"/>
      <c r="O34" s="14"/>
    </row>
    <row r="35" spans="2:15" ht="12.75" customHeight="1" x14ac:dyDescent="0.2">
      <c r="C35" s="353" t="s">
        <v>729</v>
      </c>
      <c r="G35" s="14"/>
      <c r="H35" s="360"/>
      <c r="I35" s="1163"/>
      <c r="J35" s="1158"/>
      <c r="K35" s="284"/>
      <c r="L35" s="275">
        <f t="shared" si="0"/>
        <v>0</v>
      </c>
      <c r="M35" s="284"/>
      <c r="N35" s="1158"/>
      <c r="O35" s="14"/>
    </row>
    <row r="36" spans="2:15" ht="13.5" thickBot="1" x14ac:dyDescent="0.25">
      <c r="H36" s="274">
        <f>SUM(H27:H35)</f>
        <v>0</v>
      </c>
      <c r="J36" s="86">
        <f>SUM(J26:J35)</f>
        <v>0</v>
      </c>
      <c r="K36"/>
      <c r="L36" s="86">
        <f>SUM(L27:L35)</f>
        <v>0</v>
      </c>
      <c r="N36" s="86">
        <f>SUM(N27:N35)</f>
        <v>0</v>
      </c>
    </row>
    <row r="37" spans="2:15" ht="12.75" customHeight="1" thickTop="1" x14ac:dyDescent="0.2">
      <c r="H37" s="8"/>
      <c r="I37" s="214"/>
      <c r="J37" s="8"/>
      <c r="K37" s="8"/>
      <c r="L37" s="8"/>
      <c r="M37" s="214"/>
      <c r="N37" s="8"/>
    </row>
    <row r="38" spans="2:15" x14ac:dyDescent="0.2">
      <c r="B38" s="53" t="s">
        <v>9</v>
      </c>
      <c r="H38" s="215" t="s">
        <v>208</v>
      </c>
      <c r="I38" s="99"/>
      <c r="J38" s="1514" t="s">
        <v>210</v>
      </c>
      <c r="K38" s="1515"/>
      <c r="L38" s="1516"/>
      <c r="M38" s="99"/>
      <c r="N38" s="215" t="s">
        <v>213</v>
      </c>
    </row>
    <row r="39" spans="2:15" x14ac:dyDescent="0.2">
      <c r="H39" s="95" t="s">
        <v>209</v>
      </c>
      <c r="I39" s="99"/>
      <c r="J39" s="103" t="s">
        <v>774</v>
      </c>
      <c r="K39" s="97"/>
      <c r="L39" s="102" t="s">
        <v>212</v>
      </c>
      <c r="M39" s="99"/>
      <c r="N39" s="95" t="s">
        <v>209</v>
      </c>
    </row>
    <row r="40" spans="2:15" ht="2.25" customHeight="1" x14ac:dyDescent="0.2">
      <c r="I40"/>
      <c r="J40"/>
      <c r="K40"/>
      <c r="M40"/>
    </row>
    <row r="41" spans="2:15" x14ac:dyDescent="0.2">
      <c r="C41" t="s">
        <v>189</v>
      </c>
      <c r="H41" s="359">
        <v>86333</v>
      </c>
      <c r="I41" s="47"/>
      <c r="J41" s="83">
        <f>N41+L41-H41</f>
        <v>32309</v>
      </c>
      <c r="K41" s="94"/>
      <c r="L41" s="1159">
        <v>12086</v>
      </c>
      <c r="M41" s="47"/>
      <c r="N41" s="1159">
        <v>106556</v>
      </c>
      <c r="O41" s="14"/>
    </row>
    <row r="42" spans="2:15" x14ac:dyDescent="0.2">
      <c r="C42" t="s">
        <v>991</v>
      </c>
      <c r="H42" s="359">
        <v>101347</v>
      </c>
      <c r="I42" s="47"/>
      <c r="J42" s="83">
        <f t="shared" ref="J42:J49" si="1">N42+L42-H42</f>
        <v>37929</v>
      </c>
      <c r="K42" s="94">
        <v>1</v>
      </c>
      <c r="L42" s="1159">
        <v>14189</v>
      </c>
      <c r="M42" s="47"/>
      <c r="N42" s="1159">
        <v>125087</v>
      </c>
      <c r="O42" s="14"/>
    </row>
    <row r="43" spans="2:15" x14ac:dyDescent="0.2">
      <c r="C43" t="s">
        <v>214</v>
      </c>
      <c r="H43" s="359">
        <v>1876</v>
      </c>
      <c r="I43" s="47"/>
      <c r="J43" s="83">
        <f t="shared" si="1"/>
        <v>703</v>
      </c>
      <c r="K43" s="94"/>
      <c r="L43" s="1159">
        <v>263</v>
      </c>
      <c r="M43" s="47"/>
      <c r="N43" s="1159">
        <v>2316</v>
      </c>
      <c r="O43" s="14"/>
    </row>
    <row r="44" spans="2:15" x14ac:dyDescent="0.2">
      <c r="C44" t="s">
        <v>819</v>
      </c>
      <c r="H44" s="359">
        <v>9384</v>
      </c>
      <c r="I44" s="47"/>
      <c r="J44" s="83">
        <f t="shared" si="1"/>
        <v>3512</v>
      </c>
      <c r="K44" s="94"/>
      <c r="L44" s="1159">
        <v>1314</v>
      </c>
      <c r="M44" s="47"/>
      <c r="N44" s="1159">
        <v>11582</v>
      </c>
      <c r="O44" s="31"/>
    </row>
    <row r="45" spans="2:15" x14ac:dyDescent="0.2">
      <c r="C45" t="s">
        <v>808</v>
      </c>
      <c r="H45" s="359">
        <v>0</v>
      </c>
      <c r="I45" s="47"/>
      <c r="J45" s="83">
        <f t="shared" si="1"/>
        <v>0</v>
      </c>
      <c r="K45" s="94"/>
      <c r="L45" s="1159">
        <v>0</v>
      </c>
      <c r="M45" s="47"/>
      <c r="N45" s="1159">
        <v>0</v>
      </c>
      <c r="O45" s="14"/>
    </row>
    <row r="46" spans="2:15" x14ac:dyDescent="0.2">
      <c r="C46" t="s">
        <v>215</v>
      </c>
      <c r="H46" s="359">
        <v>172666</v>
      </c>
      <c r="I46" s="47"/>
      <c r="J46" s="83">
        <f t="shared" si="1"/>
        <v>64618</v>
      </c>
      <c r="K46" s="94"/>
      <c r="L46" s="1159">
        <v>24173</v>
      </c>
      <c r="M46" s="47"/>
      <c r="N46" s="1159">
        <v>213111</v>
      </c>
      <c r="O46" s="14"/>
    </row>
    <row r="47" spans="2:15" x14ac:dyDescent="0.2">
      <c r="C47" t="s">
        <v>216</v>
      </c>
      <c r="H47" s="359">
        <v>3754</v>
      </c>
      <c r="I47" s="47"/>
      <c r="J47" s="83">
        <f t="shared" si="1"/>
        <v>1404</v>
      </c>
      <c r="K47" s="94"/>
      <c r="L47" s="1159">
        <v>525</v>
      </c>
      <c r="M47" s="47"/>
      <c r="N47" s="1159">
        <v>4633</v>
      </c>
      <c r="O47" s="14"/>
    </row>
    <row r="48" spans="2:15" x14ac:dyDescent="0.2">
      <c r="C48" t="s">
        <v>172</v>
      </c>
      <c r="H48" s="359">
        <v>0</v>
      </c>
      <c r="I48" s="47"/>
      <c r="J48" s="83">
        <f t="shared" si="1"/>
        <v>0</v>
      </c>
      <c r="K48" s="94"/>
      <c r="L48" s="1159">
        <v>0</v>
      </c>
      <c r="M48" s="47"/>
      <c r="N48" s="1159">
        <v>0</v>
      </c>
      <c r="O48" s="14"/>
    </row>
    <row r="49" spans="1:16" x14ac:dyDescent="0.2">
      <c r="C49" s="353" t="s">
        <v>729</v>
      </c>
      <c r="H49" s="360">
        <v>0</v>
      </c>
      <c r="I49" s="47"/>
      <c r="J49" s="83">
        <f t="shared" si="1"/>
        <v>0</v>
      </c>
      <c r="K49" s="94"/>
      <c r="L49" s="1159">
        <v>0</v>
      </c>
      <c r="M49" s="47"/>
      <c r="N49" s="1158">
        <v>0</v>
      </c>
      <c r="O49" s="14"/>
    </row>
    <row r="50" spans="1:16" ht="13.5" thickBot="1" x14ac:dyDescent="0.25">
      <c r="H50" s="274">
        <f>SUM(H41:H49)</f>
        <v>375360</v>
      </c>
      <c r="I50" s="47"/>
      <c r="J50" s="75">
        <f>SUM(J41:J49)</f>
        <v>140475</v>
      </c>
      <c r="K50" s="94"/>
      <c r="L50" s="75">
        <f>SUM(L41:L49)</f>
        <v>52550</v>
      </c>
      <c r="M50" s="47"/>
      <c r="N50" s="283">
        <f>SUM(N41:N49)</f>
        <v>463285</v>
      </c>
    </row>
    <row r="51" spans="1:16" ht="13.5" thickTop="1" x14ac:dyDescent="0.2">
      <c r="B51" s="105" t="s">
        <v>513</v>
      </c>
      <c r="C51" s="53" t="s">
        <v>412</v>
      </c>
      <c r="H51" s="13"/>
      <c r="J51" s="13"/>
      <c r="K51" s="13"/>
      <c r="L51" s="13"/>
      <c r="N51" s="13"/>
    </row>
    <row r="52" spans="1:16" ht="4.5" customHeight="1" x14ac:dyDescent="0.2">
      <c r="J52"/>
      <c r="K52"/>
    </row>
    <row r="53" spans="1:16" ht="25.5" customHeight="1" x14ac:dyDescent="0.2">
      <c r="A53" s="1044" t="s">
        <v>541</v>
      </c>
      <c r="B53" s="1416" t="s">
        <v>103</v>
      </c>
      <c r="C53" s="1417"/>
      <c r="D53" s="1417"/>
      <c r="E53" s="1417"/>
      <c r="F53" s="1417"/>
      <c r="G53" s="1417"/>
      <c r="H53" s="1417"/>
      <c r="I53" s="1417"/>
      <c r="J53" s="1417"/>
      <c r="K53" s="1417"/>
      <c r="L53" s="1417"/>
      <c r="M53" s="1417"/>
      <c r="N53" s="1417"/>
      <c r="O53" s="1418"/>
      <c r="P53" s="44"/>
    </row>
    <row r="54" spans="1:16" ht="8.25" customHeight="1" x14ac:dyDescent="0.2">
      <c r="J54" s="11"/>
      <c r="K54" s="11"/>
      <c r="L54" s="11"/>
      <c r="M54" s="30"/>
      <c r="N54" s="11"/>
    </row>
    <row r="55" spans="1:16" ht="15" customHeight="1" x14ac:dyDescent="0.2">
      <c r="B55" s="39" t="s">
        <v>514</v>
      </c>
      <c r="C55" t="s">
        <v>106</v>
      </c>
      <c r="I55"/>
      <c r="J55"/>
      <c r="K55" s="11"/>
      <c r="L55" s="11"/>
      <c r="M55" s="30"/>
      <c r="N55" s="1160"/>
    </row>
    <row r="56" spans="1:16" ht="4.5" customHeight="1" x14ac:dyDescent="0.2">
      <c r="I56"/>
      <c r="J56"/>
      <c r="K56" s="11"/>
      <c r="L56" s="11"/>
      <c r="M56" s="30"/>
      <c r="N56" s="11"/>
    </row>
    <row r="57" spans="1:16" ht="4.5" customHeight="1" x14ac:dyDescent="0.2">
      <c r="I57"/>
      <c r="J57"/>
      <c r="K57" s="11"/>
      <c r="L57" s="11"/>
      <c r="M57" s="30"/>
      <c r="N57" s="11"/>
    </row>
    <row r="58" spans="1:16" ht="12.75" customHeight="1" x14ac:dyDescent="0.2">
      <c r="B58" s="39" t="s">
        <v>515</v>
      </c>
      <c r="C58" t="s">
        <v>586</v>
      </c>
      <c r="I58"/>
      <c r="J58"/>
      <c r="K58" s="11"/>
      <c r="L58" s="11"/>
      <c r="M58" s="30"/>
      <c r="N58" s="1160"/>
      <c r="O58" s="202" t="s">
        <v>336</v>
      </c>
    </row>
    <row r="59" spans="1:16" ht="4.5" customHeight="1" x14ac:dyDescent="0.2">
      <c r="I59"/>
      <c r="J59"/>
      <c r="K59" s="11"/>
      <c r="L59" s="11"/>
      <c r="M59" s="30"/>
      <c r="N59" s="11"/>
    </row>
    <row r="60" spans="1:16" ht="13.5" customHeight="1" x14ac:dyDescent="0.2">
      <c r="B60" s="39" t="s">
        <v>516</v>
      </c>
      <c r="C60" t="s">
        <v>594</v>
      </c>
      <c r="I60"/>
      <c r="J60"/>
      <c r="K60" s="11"/>
      <c r="L60" s="11"/>
      <c r="M60" s="30"/>
      <c r="N60" s="1160"/>
      <c r="O60" s="202" t="s">
        <v>337</v>
      </c>
    </row>
    <row r="61" spans="1:16" ht="4.5" customHeight="1" x14ac:dyDescent="0.2">
      <c r="I61"/>
      <c r="J61"/>
      <c r="K61" s="11"/>
      <c r="L61" s="11"/>
      <c r="M61" s="30"/>
      <c r="N61" s="11"/>
    </row>
    <row r="62" spans="1:16" ht="12.75" customHeight="1" x14ac:dyDescent="0.2">
      <c r="B62" s="39" t="s">
        <v>542</v>
      </c>
      <c r="C62" s="1324" t="s">
        <v>454</v>
      </c>
      <c r="D62" s="1324"/>
      <c r="E62" s="1324"/>
      <c r="F62" s="1324"/>
      <c r="G62" s="1324"/>
      <c r="H62" s="1324"/>
      <c r="I62" s="1324"/>
      <c r="J62" s="1324"/>
      <c r="K62" s="11"/>
      <c r="L62" s="11"/>
      <c r="M62" s="30"/>
      <c r="N62" s="1475">
        <v>0</v>
      </c>
      <c r="O62" s="1517" t="s">
        <v>467</v>
      </c>
    </row>
    <row r="63" spans="1:16" ht="8.25" customHeight="1" x14ac:dyDescent="0.2">
      <c r="C63" s="1324"/>
      <c r="D63" s="1324"/>
      <c r="E63" s="1324"/>
      <c r="F63" s="1324"/>
      <c r="G63" s="1324"/>
      <c r="H63" s="1324"/>
      <c r="I63" s="1324"/>
      <c r="J63" s="1324"/>
      <c r="K63" s="11"/>
      <c r="L63" s="11"/>
      <c r="M63" s="30"/>
      <c r="N63" s="1475"/>
      <c r="O63" s="1517"/>
    </row>
    <row r="64" spans="1:16" ht="4.5" customHeight="1" x14ac:dyDescent="0.2">
      <c r="C64" s="1324"/>
      <c r="D64" s="1324"/>
      <c r="E64" s="1324"/>
      <c r="F64" s="1324"/>
      <c r="G64" s="1324"/>
      <c r="H64" s="1324"/>
      <c r="I64" s="1324"/>
      <c r="J64" s="1324"/>
      <c r="K64" s="11"/>
      <c r="L64" s="11"/>
      <c r="M64" s="30"/>
      <c r="N64" s="11"/>
    </row>
    <row r="65" spans="2:15" ht="4.5" customHeight="1" x14ac:dyDescent="0.2">
      <c r="C65" s="34"/>
      <c r="D65" s="34"/>
      <c r="E65" s="34"/>
      <c r="F65" s="34"/>
      <c r="G65" s="34"/>
      <c r="H65" s="34"/>
      <c r="I65" s="34"/>
      <c r="J65" s="34"/>
      <c r="K65" s="11"/>
      <c r="L65" s="11"/>
      <c r="M65" s="30"/>
      <c r="N65" s="11"/>
    </row>
    <row r="66" spans="2:15" ht="12.75" customHeight="1" thickBot="1" x14ac:dyDescent="0.25">
      <c r="B66" s="39" t="s">
        <v>543</v>
      </c>
      <c r="C66" t="s">
        <v>916</v>
      </c>
      <c r="I66"/>
      <c r="J66"/>
      <c r="K66" s="11"/>
      <c r="L66" s="11"/>
      <c r="M66" s="30"/>
      <c r="N66" s="92">
        <f>(N55+N58+N62)-N60</f>
        <v>0</v>
      </c>
    </row>
    <row r="67" spans="2:15" ht="3" customHeight="1" thickTop="1" x14ac:dyDescent="0.2">
      <c r="I67"/>
      <c r="J67"/>
      <c r="K67" s="11"/>
      <c r="L67" s="11"/>
      <c r="M67" s="30"/>
      <c r="N67" s="11"/>
    </row>
    <row r="68" spans="2:15" ht="12.75" customHeight="1" x14ac:dyDescent="0.2">
      <c r="B68" s="39" t="s">
        <v>858</v>
      </c>
      <c r="C68" s="1324" t="s">
        <v>270</v>
      </c>
      <c r="D68" s="1324"/>
      <c r="E68" s="1324"/>
      <c r="F68" s="1324"/>
      <c r="G68" s="1324"/>
      <c r="H68" s="1324"/>
      <c r="I68" s="1324"/>
      <c r="J68" s="1324"/>
      <c r="K68" s="1324"/>
      <c r="L68" s="1324"/>
      <c r="M68" s="30"/>
    </row>
    <row r="69" spans="2:15" ht="49.5" customHeight="1" x14ac:dyDescent="0.2">
      <c r="B69" s="39"/>
      <c r="C69" s="1324"/>
      <c r="D69" s="1324"/>
      <c r="E69" s="1324"/>
      <c r="F69" s="1324"/>
      <c r="G69" s="1324"/>
      <c r="H69" s="1324"/>
      <c r="I69" s="1324"/>
      <c r="J69" s="1324"/>
      <c r="K69" s="1324"/>
      <c r="L69" s="1324"/>
      <c r="M69" s="30"/>
    </row>
    <row r="70" spans="2:15" ht="14.25" customHeight="1" x14ac:dyDescent="0.2">
      <c r="B70" s="39"/>
      <c r="C70" s="34"/>
      <c r="D70" s="34"/>
      <c r="E70" s="34"/>
      <c r="F70" s="34"/>
      <c r="G70" s="137" t="s">
        <v>105</v>
      </c>
      <c r="I70" s="34"/>
      <c r="J70" s="137" t="s">
        <v>104</v>
      </c>
      <c r="K70" s="34"/>
      <c r="L70" s="11"/>
      <c r="M70" s="30"/>
      <c r="N70" s="8" t="s">
        <v>587</v>
      </c>
    </row>
    <row r="71" spans="2:15" x14ac:dyDescent="0.2">
      <c r="C71" t="s">
        <v>189</v>
      </c>
      <c r="G71" s="1160"/>
      <c r="J71" s="1159"/>
      <c r="K71"/>
      <c r="L71" s="11"/>
      <c r="M71" s="30"/>
      <c r="N71" s="351"/>
      <c r="O71" s="5"/>
    </row>
    <row r="72" spans="2:15" ht="12" customHeight="1" x14ac:dyDescent="0.2">
      <c r="C72" t="s">
        <v>991</v>
      </c>
      <c r="G72" s="1160"/>
      <c r="J72" s="1159"/>
      <c r="K72"/>
      <c r="L72" s="11"/>
      <c r="M72" s="30"/>
      <c r="N72" s="351"/>
      <c r="O72" s="5"/>
    </row>
    <row r="73" spans="2:15" x14ac:dyDescent="0.2">
      <c r="C73" t="s">
        <v>214</v>
      </c>
      <c r="G73" s="1160"/>
      <c r="J73" s="1159"/>
      <c r="K73"/>
      <c r="L73" s="11"/>
      <c r="M73" s="30"/>
      <c r="N73" s="351"/>
      <c r="O73" s="5"/>
    </row>
    <row r="74" spans="2:15" x14ac:dyDescent="0.2">
      <c r="C74" t="s">
        <v>819</v>
      </c>
      <c r="G74" s="1160"/>
      <c r="J74" s="1159"/>
      <c r="K74"/>
      <c r="L74" s="11"/>
      <c r="M74" s="30"/>
      <c r="N74" s="351"/>
      <c r="O74" s="5"/>
    </row>
    <row r="75" spans="2:15" x14ac:dyDescent="0.2">
      <c r="C75" t="s">
        <v>808</v>
      </c>
      <c r="G75" s="1160"/>
      <c r="J75" s="1159"/>
      <c r="K75"/>
      <c r="L75" s="11"/>
      <c r="M75" s="30"/>
      <c r="N75" s="351"/>
      <c r="O75" s="5"/>
    </row>
    <row r="76" spans="2:15" x14ac:dyDescent="0.2">
      <c r="C76" t="s">
        <v>215</v>
      </c>
      <c r="G76" s="1160"/>
      <c r="J76" s="1159"/>
      <c r="K76"/>
      <c r="L76" s="11"/>
      <c r="M76" s="30"/>
      <c r="N76" s="351"/>
      <c r="O76" s="5"/>
    </row>
    <row r="77" spans="2:15" x14ac:dyDescent="0.2">
      <c r="C77" t="s">
        <v>216</v>
      </c>
      <c r="G77" s="1160"/>
      <c r="J77" s="1160"/>
      <c r="K77" s="11"/>
      <c r="L77" s="11"/>
      <c r="M77" s="30"/>
      <c r="N77" s="351"/>
      <c r="O77" s="5"/>
    </row>
    <row r="78" spans="2:15" ht="12.75" customHeight="1" x14ac:dyDescent="0.2">
      <c r="C78" t="s">
        <v>172</v>
      </c>
      <c r="G78" s="1160"/>
      <c r="H78" s="1325" t="str">
        <f>IF(G82=N58," ","Recheck numbers for step 2. Entry is out of balance.")</f>
        <v xml:space="preserve"> </v>
      </c>
      <c r="J78" s="1160"/>
      <c r="K78" s="11"/>
      <c r="L78" s="1483" t="str">
        <f>IF(J82=N60," ","Recheck numbers. Entry is out of balance.")</f>
        <v xml:space="preserve"> </v>
      </c>
      <c r="M78" s="30"/>
      <c r="N78" s="351"/>
      <c r="O78" s="1518" t="str">
        <f>IF(N82=N62," ","Recheck numbers for step 4. Entry is out of balance.")</f>
        <v xml:space="preserve"> </v>
      </c>
    </row>
    <row r="79" spans="2:15" ht="12.75" customHeight="1" x14ac:dyDescent="0.2">
      <c r="C79" s="353" t="s">
        <v>729</v>
      </c>
      <c r="G79" s="1160"/>
      <c r="H79" s="1325"/>
      <c r="J79" s="1160"/>
      <c r="K79" s="11"/>
      <c r="L79" s="1483"/>
      <c r="M79" s="30"/>
      <c r="N79" s="351"/>
      <c r="O79" s="1518"/>
    </row>
    <row r="80" spans="2:15" ht="12.75" customHeight="1" x14ac:dyDescent="0.2">
      <c r="C80" t="s">
        <v>727</v>
      </c>
      <c r="G80" s="1160"/>
      <c r="H80" s="1325"/>
      <c r="J80" s="1160"/>
      <c r="K80" s="11"/>
      <c r="L80" s="1483"/>
      <c r="M80" s="30"/>
      <c r="N80" s="351"/>
      <c r="O80" s="1518"/>
    </row>
    <row r="81" spans="1:16" ht="12.75" customHeight="1" x14ac:dyDescent="0.2">
      <c r="C81" t="s">
        <v>728</v>
      </c>
      <c r="G81" s="1161"/>
      <c r="H81" s="1325"/>
      <c r="J81" s="1161"/>
      <c r="K81" s="11"/>
      <c r="L81" s="1483"/>
      <c r="M81" s="30"/>
      <c r="N81" s="351"/>
      <c r="O81" s="1518"/>
    </row>
    <row r="82" spans="1:16" ht="18" customHeight="1" thickBot="1" x14ac:dyDescent="0.4">
      <c r="F82" s="203" t="s">
        <v>336</v>
      </c>
      <c r="G82" s="87">
        <f>SUM(G71:G81)</f>
        <v>0</v>
      </c>
      <c r="H82" s="203" t="s">
        <v>337</v>
      </c>
      <c r="J82" s="91">
        <f>SUM(J71:J81)</f>
        <v>0</v>
      </c>
      <c r="K82" s="11"/>
      <c r="L82" s="203" t="s">
        <v>467</v>
      </c>
      <c r="M82" s="100"/>
      <c r="N82" s="228">
        <f>SUM(N71:N81)</f>
        <v>0</v>
      </c>
    </row>
    <row r="83" spans="1:16" ht="12" customHeight="1" thickTop="1" x14ac:dyDescent="0.35">
      <c r="J83" s="11"/>
      <c r="K83" s="11"/>
      <c r="L83" s="63"/>
      <c r="M83" s="100"/>
      <c r="N83" s="10"/>
    </row>
    <row r="84" spans="1:16" ht="25.5" hidden="1" customHeight="1" x14ac:dyDescent="0.2">
      <c r="A84" s="1044" t="s">
        <v>804</v>
      </c>
      <c r="B84" s="204" t="s">
        <v>2086</v>
      </c>
      <c r="C84" s="205"/>
      <c r="D84" s="205"/>
      <c r="E84" s="205"/>
      <c r="F84" s="205"/>
      <c r="G84" s="205"/>
      <c r="H84" s="205"/>
      <c r="I84" s="205"/>
      <c r="J84" s="205"/>
      <c r="K84" s="205"/>
      <c r="L84" s="205"/>
      <c r="M84" s="205"/>
      <c r="N84" s="205"/>
      <c r="O84" s="206"/>
    </row>
    <row r="85" spans="1:16" ht="8.25" hidden="1" customHeight="1" x14ac:dyDescent="0.2">
      <c r="J85"/>
      <c r="K85"/>
      <c r="L85" s="11"/>
      <c r="M85" s="30"/>
      <c r="N85" s="4"/>
    </row>
    <row r="86" spans="1:16" hidden="1" x14ac:dyDescent="0.2">
      <c r="J86"/>
      <c r="K86"/>
      <c r="L86" s="11"/>
      <c r="M86" s="30"/>
      <c r="N86" s="46" t="s">
        <v>507</v>
      </c>
    </row>
    <row r="87" spans="1:16" ht="12.75" hidden="1" customHeight="1" x14ac:dyDescent="0.2">
      <c r="B87" s="39" t="s">
        <v>514</v>
      </c>
      <c r="C87" s="1324" t="s">
        <v>956</v>
      </c>
      <c r="D87" s="1324"/>
      <c r="E87" s="1324"/>
      <c r="F87" s="1324"/>
      <c r="G87" s="1324"/>
      <c r="H87" s="1324"/>
      <c r="I87" s="1324"/>
      <c r="J87" s="1324"/>
      <c r="K87" s="1324"/>
      <c r="L87" s="1324"/>
      <c r="M87" s="30"/>
      <c r="N87" s="1502"/>
    </row>
    <row r="88" spans="1:16" ht="25.5" hidden="1" customHeight="1" x14ac:dyDescent="0.2">
      <c r="B88" s="39"/>
      <c r="C88" s="1324"/>
      <c r="D88" s="1324"/>
      <c r="E88" s="1324"/>
      <c r="F88" s="1324"/>
      <c r="G88" s="1324"/>
      <c r="H88" s="1324"/>
      <c r="I88" s="1324"/>
      <c r="J88" s="1324"/>
      <c r="K88" s="1324"/>
      <c r="L88" s="1324"/>
      <c r="M88" s="30"/>
      <c r="N88" s="1502"/>
      <c r="O88" s="895" t="s">
        <v>191</v>
      </c>
    </row>
    <row r="89" spans="1:16" ht="3.75" hidden="1" customHeight="1" x14ac:dyDescent="0.2">
      <c r="B89" s="39"/>
      <c r="C89" s="34"/>
      <c r="D89" s="34"/>
      <c r="E89" s="34"/>
      <c r="F89" s="34"/>
      <c r="G89" s="34"/>
      <c r="H89" s="34"/>
      <c r="I89" s="34"/>
      <c r="J89" s="34"/>
      <c r="K89" s="34"/>
      <c r="L89" s="34"/>
      <c r="M89" s="30"/>
      <c r="N89" s="362"/>
    </row>
    <row r="90" spans="1:16" ht="12.75" hidden="1" customHeight="1" x14ac:dyDescent="0.2">
      <c r="B90" s="39"/>
      <c r="C90" s="1324" t="s">
        <v>3972</v>
      </c>
      <c r="D90" s="1324"/>
      <c r="E90" s="1324"/>
      <c r="F90" s="1324"/>
      <c r="G90" s="1324"/>
      <c r="H90" s="1324"/>
      <c r="I90" s="1324"/>
      <c r="J90" s="1324"/>
      <c r="K90" s="1324"/>
      <c r="L90" s="1324"/>
      <c r="M90" s="30"/>
      <c r="N90" s="897"/>
      <c r="O90" s="893"/>
    </row>
    <row r="91" spans="1:16" ht="12.75" hidden="1" customHeight="1" x14ac:dyDescent="0.2">
      <c r="B91" s="39"/>
      <c r="C91" s="1324"/>
      <c r="D91" s="1324"/>
      <c r="E91" s="1324"/>
      <c r="F91" s="1324"/>
      <c r="G91" s="1324"/>
      <c r="H91" s="1324"/>
      <c r="I91" s="1324"/>
      <c r="J91" s="1324"/>
      <c r="K91" s="1324"/>
      <c r="L91" s="1324"/>
      <c r="M91" s="30"/>
      <c r="N91" s="897"/>
      <c r="O91" s="893"/>
    </row>
    <row r="92" spans="1:16" ht="15" hidden="1" customHeight="1" x14ac:dyDescent="0.2">
      <c r="B92" s="39"/>
      <c r="C92" s="34"/>
      <c r="D92" s="34"/>
      <c r="E92" s="34"/>
      <c r="F92" s="1324"/>
      <c r="G92" s="1324"/>
      <c r="H92" s="1324"/>
      <c r="I92" s="1324"/>
      <c r="J92" s="1324"/>
      <c r="K92" s="1324"/>
      <c r="L92" s="1324"/>
      <c r="M92" s="30"/>
      <c r="N92" s="899"/>
      <c r="O92" s="898"/>
    </row>
    <row r="93" spans="1:16" ht="6" customHeight="1" x14ac:dyDescent="0.2">
      <c r="B93" s="39"/>
      <c r="C93" s="34"/>
      <c r="D93" s="34"/>
      <c r="E93" s="34"/>
      <c r="F93" s="34"/>
      <c r="G93" s="34"/>
      <c r="H93" s="34"/>
      <c r="I93" s="34"/>
      <c r="J93" s="34"/>
      <c r="K93"/>
      <c r="L93" s="11"/>
      <c r="M93" s="30"/>
      <c r="N93" s="44"/>
    </row>
    <row r="94" spans="1:16" ht="9.75" customHeight="1" x14ac:dyDescent="0.35">
      <c r="J94" s="11"/>
      <c r="K94" s="11"/>
      <c r="L94" s="100"/>
      <c r="M94" s="10" t="e">
        <f>SUM(#REF!)</f>
        <v>#REF!</v>
      </c>
      <c r="N94" s="4"/>
    </row>
    <row r="95" spans="1:16" s="14" customFormat="1" ht="29.25" customHeight="1" x14ac:dyDescent="0.2">
      <c r="A95" s="1044" t="s">
        <v>458</v>
      </c>
      <c r="B95" s="1419" t="s">
        <v>4010</v>
      </c>
      <c r="C95" s="1503"/>
      <c r="D95" s="1503"/>
      <c r="E95" s="1503"/>
      <c r="F95" s="1503"/>
      <c r="G95" s="1503"/>
      <c r="H95" s="1503"/>
      <c r="I95" s="1503"/>
      <c r="J95" s="1503"/>
      <c r="K95" s="1503"/>
      <c r="L95" s="1503"/>
      <c r="M95" s="1503"/>
      <c r="N95" s="1503"/>
      <c r="O95" s="1504"/>
      <c r="P95"/>
    </row>
    <row r="96" spans="1:16" s="14" customFormat="1" ht="12.75" customHeight="1" x14ac:dyDescent="0.2">
      <c r="A96" s="1044"/>
      <c r="B96"/>
      <c r="C96"/>
      <c r="D96"/>
      <c r="E96"/>
      <c r="F96"/>
      <c r="G96"/>
      <c r="H96"/>
      <c r="I96" s="31"/>
      <c r="J96"/>
      <c r="K96"/>
      <c r="L96" s="11"/>
      <c r="M96" s="30"/>
      <c r="N96" s="4"/>
      <c r="O96"/>
      <c r="P96"/>
    </row>
    <row r="97" spans="1:18" s="14" customFormat="1" ht="13.5" customHeight="1" x14ac:dyDescent="0.2">
      <c r="A97" s="1044"/>
      <c r="B97"/>
      <c r="C97"/>
      <c r="D97"/>
      <c r="E97"/>
      <c r="F97"/>
      <c r="G97"/>
      <c r="H97"/>
      <c r="I97" s="31"/>
      <c r="J97"/>
      <c r="K97"/>
      <c r="L97" s="11"/>
      <c r="M97" s="30"/>
      <c r="N97" s="46" t="s">
        <v>507</v>
      </c>
      <c r="O97"/>
      <c r="P97"/>
    </row>
    <row r="98" spans="1:18" s="14" customFormat="1" ht="15.75" customHeight="1" x14ac:dyDescent="0.2">
      <c r="A98" s="1044"/>
      <c r="B98" s="39" t="s">
        <v>514</v>
      </c>
      <c r="C98" s="1505" t="s">
        <v>372</v>
      </c>
      <c r="D98" s="1487"/>
      <c r="E98" s="1487"/>
      <c r="F98" s="1487"/>
      <c r="G98" s="1487"/>
      <c r="H98" s="1487"/>
      <c r="I98" s="1487"/>
      <c r="J98" s="1487"/>
      <c r="K98" s="1487"/>
      <c r="L98" s="1487"/>
      <c r="M98" s="30"/>
      <c r="N98" s="1506">
        <v>50585</v>
      </c>
      <c r="O98"/>
      <c r="P98"/>
    </row>
    <row r="99" spans="1:18" s="14" customFormat="1" x14ac:dyDescent="0.2">
      <c r="A99" s="1044"/>
      <c r="B99" s="39"/>
      <c r="C99" s="1487"/>
      <c r="D99" s="1487"/>
      <c r="E99" s="1487"/>
      <c r="F99" s="1487"/>
      <c r="G99" s="1487"/>
      <c r="H99" s="1487"/>
      <c r="I99" s="1487"/>
      <c r="J99" s="1487"/>
      <c r="K99" s="1487"/>
      <c r="L99" s="1487"/>
      <c r="M99" s="30"/>
      <c r="N99" s="1502"/>
      <c r="O99"/>
      <c r="P99"/>
    </row>
    <row r="100" spans="1:18" s="14" customFormat="1" ht="12.75" customHeight="1" x14ac:dyDescent="0.2">
      <c r="A100" s="1044"/>
      <c r="B100" s="39"/>
      <c r="C100" s="1050"/>
      <c r="D100" s="1050"/>
      <c r="E100" s="1050"/>
      <c r="F100" s="1050"/>
      <c r="G100" s="1050"/>
      <c r="H100" s="1050"/>
      <c r="I100" s="1050"/>
      <c r="J100" s="1050"/>
      <c r="K100" s="1050"/>
      <c r="L100" s="1050"/>
      <c r="M100" s="30"/>
      <c r="N100" s="362"/>
      <c r="O100" s="1045"/>
      <c r="P100" s="1045"/>
    </row>
    <row r="101" spans="1:18" s="14" customFormat="1" ht="12.75" customHeight="1" x14ac:dyDescent="0.2">
      <c r="A101" s="1044"/>
      <c r="B101" s="39"/>
      <c r="C101" s="1329" t="s">
        <v>4011</v>
      </c>
      <c r="D101" s="1324"/>
      <c r="E101" s="1324"/>
      <c r="F101" s="1324"/>
      <c r="G101" s="1324"/>
      <c r="H101" s="1324"/>
      <c r="I101" s="1324"/>
      <c r="J101" s="1324"/>
      <c r="K101" s="1324"/>
      <c r="L101" s="1324"/>
      <c r="M101" s="30"/>
      <c r="N101" s="362"/>
      <c r="O101" s="1045"/>
      <c r="P101" s="1045"/>
    </row>
    <row r="102" spans="1:18" s="14" customFormat="1" ht="12.75" customHeight="1" x14ac:dyDescent="0.2">
      <c r="A102" s="1044"/>
      <c r="B102" s="39"/>
      <c r="C102" s="1324"/>
      <c r="D102" s="1324"/>
      <c r="E102" s="1324"/>
      <c r="F102" s="1324"/>
      <c r="G102" s="1324"/>
      <c r="H102" s="1324"/>
      <c r="I102" s="1324"/>
      <c r="J102" s="1324"/>
      <c r="K102" s="1324"/>
      <c r="L102" s="1324"/>
      <c r="M102" s="30"/>
      <c r="N102" s="362"/>
      <c r="O102" s="1045"/>
      <c r="P102" s="1045"/>
    </row>
    <row r="103" spans="1:18" s="14" customFormat="1" ht="12.75" customHeight="1" x14ac:dyDescent="0.2">
      <c r="A103" s="1044"/>
      <c r="B103" s="39"/>
      <c r="C103" s="34"/>
      <c r="D103" s="34"/>
      <c r="E103" s="34"/>
      <c r="F103" s="34"/>
      <c r="G103" s="34"/>
      <c r="H103" s="34"/>
      <c r="I103" s="34"/>
      <c r="J103" s="34"/>
      <c r="K103"/>
      <c r="L103" s="11"/>
      <c r="M103" s="30"/>
      <c r="N103" s="44"/>
      <c r="O103"/>
      <c r="P103"/>
    </row>
    <row r="104" spans="1:18" s="14" customFormat="1" ht="12.75" hidden="1" customHeight="1" x14ac:dyDescent="0.2">
      <c r="A104" s="1044"/>
      <c r="B104" s="39" t="s">
        <v>515</v>
      </c>
      <c r="C104" s="1487" t="s">
        <v>3973</v>
      </c>
      <c r="D104" s="1487"/>
      <c r="E104" s="1487"/>
      <c r="F104" s="1487"/>
      <c r="G104" s="1487"/>
      <c r="H104" s="1487"/>
      <c r="I104" s="1487"/>
      <c r="J104" s="1487"/>
      <c r="K104" s="1487"/>
      <c r="L104" s="1487"/>
      <c r="M104" s="30"/>
      <c r="N104" s="1506"/>
      <c r="O104" s="1033"/>
      <c r="P104" s="1033"/>
    </row>
    <row r="105" spans="1:18" s="14" customFormat="1" ht="12.75" hidden="1" customHeight="1" x14ac:dyDescent="0.2">
      <c r="A105" s="1044"/>
      <c r="B105" s="39"/>
      <c r="C105" s="1487"/>
      <c r="D105" s="1487"/>
      <c r="E105" s="1487"/>
      <c r="F105" s="1487"/>
      <c r="G105" s="1487"/>
      <c r="H105" s="1487"/>
      <c r="I105" s="1487"/>
      <c r="J105" s="1487"/>
      <c r="K105" s="1487"/>
      <c r="L105" s="1487"/>
      <c r="M105" s="30"/>
      <c r="N105" s="1507"/>
      <c r="O105" s="1033"/>
      <c r="P105" s="1033"/>
    </row>
    <row r="106" spans="1:18" s="14" customFormat="1" ht="12.75" hidden="1" customHeight="1" thickBot="1" x14ac:dyDescent="0.25">
      <c r="A106" s="1044"/>
      <c r="B106" s="39"/>
      <c r="C106" s="1032"/>
      <c r="D106" s="1032"/>
      <c r="E106" s="1324" t="s">
        <v>3974</v>
      </c>
      <c r="F106" s="1412"/>
      <c r="G106" s="1412"/>
      <c r="H106" s="1412"/>
      <c r="I106" s="1412"/>
      <c r="J106" s="1412"/>
      <c r="K106" s="1412"/>
      <c r="L106" s="1032"/>
      <c r="M106" s="30"/>
      <c r="N106" s="1041">
        <f>N104-N98</f>
        <v>-50585</v>
      </c>
      <c r="O106" s="1037" t="s">
        <v>11</v>
      </c>
      <c r="P106" s="1033"/>
    </row>
    <row r="107" spans="1:18" s="14" customFormat="1" ht="12.75" hidden="1" customHeight="1" thickTop="1" x14ac:dyDescent="0.2">
      <c r="A107" s="1044"/>
      <c r="B107" s="39"/>
      <c r="C107" s="1032"/>
      <c r="D107" s="1032"/>
      <c r="E107" s="1032"/>
      <c r="F107" s="1032"/>
      <c r="G107" s="1032"/>
      <c r="H107" s="1032"/>
      <c r="I107" s="1032"/>
      <c r="J107" s="1032"/>
      <c r="K107" s="1033"/>
      <c r="L107" s="11"/>
      <c r="M107" s="30"/>
      <c r="N107" s="1035"/>
      <c r="O107" s="1033"/>
      <c r="P107" s="1033"/>
    </row>
    <row r="108" spans="1:18" s="14" customFormat="1" ht="50.25" hidden="1" customHeight="1" x14ac:dyDescent="0.2">
      <c r="A108" s="1044"/>
      <c r="B108" s="638" t="s">
        <v>516</v>
      </c>
      <c r="C108" s="1487" t="s">
        <v>373</v>
      </c>
      <c r="D108" s="1487"/>
      <c r="E108" s="1487"/>
      <c r="F108" s="1487"/>
      <c r="G108" s="1487"/>
      <c r="H108" s="1487"/>
      <c r="I108" s="1487"/>
      <c r="J108" s="1487"/>
      <c r="K108" s="1487"/>
      <c r="L108" s="1487"/>
      <c r="M108" s="30"/>
      <c r="N108" s="44"/>
      <c r="O108"/>
      <c r="P108"/>
    </row>
    <row r="109" spans="1:18" s="14" customFormat="1" ht="12.75" hidden="1" customHeight="1" x14ac:dyDescent="0.2">
      <c r="A109" s="1044"/>
      <c r="B109" s="39"/>
      <c r="C109"/>
      <c r="D109" t="s">
        <v>189</v>
      </c>
      <c r="E109"/>
      <c r="F109"/>
      <c r="G109"/>
      <c r="H109"/>
      <c r="I109" s="31"/>
      <c r="J109"/>
      <c r="K109"/>
      <c r="L109" s="30"/>
      <c r="M109" s="30">
        <v>1</v>
      </c>
      <c r="N109" s="1039"/>
      <c r="O109"/>
      <c r="P109"/>
      <c r="Q109" s="1053"/>
      <c r="R109" s="12"/>
    </row>
    <row r="110" spans="1:18" s="14" customFormat="1" ht="12.75" hidden="1" customHeight="1" x14ac:dyDescent="0.2">
      <c r="A110" s="1044"/>
      <c r="B110" s="39"/>
      <c r="C110"/>
      <c r="D110" t="s">
        <v>991</v>
      </c>
      <c r="E110"/>
      <c r="F110"/>
      <c r="G110"/>
      <c r="H110"/>
      <c r="I110" s="31"/>
      <c r="J110"/>
      <c r="K110"/>
      <c r="L110" s="30"/>
      <c r="M110" s="30">
        <v>2</v>
      </c>
      <c r="N110" s="1039"/>
      <c r="O110"/>
      <c r="P110"/>
      <c r="Q110" s="1053"/>
      <c r="R110" s="12"/>
    </row>
    <row r="111" spans="1:18" s="14" customFormat="1" ht="12.75" hidden="1" customHeight="1" x14ac:dyDescent="0.2">
      <c r="A111" s="1044"/>
      <c r="B111" s="39"/>
      <c r="C111"/>
      <c r="D111" t="s">
        <v>214</v>
      </c>
      <c r="E111"/>
      <c r="F111"/>
      <c r="G111"/>
      <c r="H111"/>
      <c r="I111" s="31"/>
      <c r="J111"/>
      <c r="K111"/>
      <c r="L111" s="30"/>
      <c r="M111" s="30">
        <v>3</v>
      </c>
      <c r="N111" s="1039"/>
      <c r="O111"/>
      <c r="P111"/>
      <c r="Q111" s="1053"/>
      <c r="R111" s="12"/>
    </row>
    <row r="112" spans="1:18" s="14" customFormat="1" ht="12.75" hidden="1" customHeight="1" x14ac:dyDescent="0.2">
      <c r="A112" s="1044"/>
      <c r="B112" s="39"/>
      <c r="C112"/>
      <c r="D112" t="s">
        <v>819</v>
      </c>
      <c r="E112"/>
      <c r="F112"/>
      <c r="G112"/>
      <c r="H112"/>
      <c r="I112" s="31"/>
      <c r="J112"/>
      <c r="K112"/>
      <c r="L112" s="30"/>
      <c r="M112" s="30">
        <v>4</v>
      </c>
      <c r="N112" s="1039"/>
      <c r="O112"/>
      <c r="P112"/>
      <c r="Q112" s="1053"/>
      <c r="R112" s="12"/>
    </row>
    <row r="113" spans="1:18" s="14" customFormat="1" ht="12.75" hidden="1" customHeight="1" x14ac:dyDescent="0.2">
      <c r="A113" s="1044"/>
      <c r="B113" s="39"/>
      <c r="C113"/>
      <c r="D113" t="s">
        <v>808</v>
      </c>
      <c r="E113"/>
      <c r="F113"/>
      <c r="G113"/>
      <c r="H113"/>
      <c r="I113" s="31"/>
      <c r="J113"/>
      <c r="K113"/>
      <c r="L113" s="30"/>
      <c r="M113" s="30">
        <v>5</v>
      </c>
      <c r="N113" s="1039"/>
      <c r="O113"/>
      <c r="P113"/>
      <c r="Q113" s="1053"/>
      <c r="R113" s="12"/>
    </row>
    <row r="114" spans="1:18" s="14" customFormat="1" ht="12.75" hidden="1" customHeight="1" x14ac:dyDescent="0.2">
      <c r="A114" s="1044"/>
      <c r="B114" s="39"/>
      <c r="C114"/>
      <c r="D114" t="s">
        <v>215</v>
      </c>
      <c r="E114"/>
      <c r="F114"/>
      <c r="G114"/>
      <c r="H114"/>
      <c r="I114" s="31"/>
      <c r="J114"/>
      <c r="K114"/>
      <c r="L114" s="30"/>
      <c r="M114" s="30">
        <v>6</v>
      </c>
      <c r="N114" s="1039"/>
      <c r="O114"/>
      <c r="P114"/>
      <c r="Q114" s="1053"/>
      <c r="R114" s="12"/>
    </row>
    <row r="115" spans="1:18" s="14" customFormat="1" ht="12.75" hidden="1" customHeight="1" x14ac:dyDescent="0.2">
      <c r="A115" s="1044"/>
      <c r="B115" s="39"/>
      <c r="C115"/>
      <c r="D115" t="s">
        <v>216</v>
      </c>
      <c r="E115"/>
      <c r="F115"/>
      <c r="G115"/>
      <c r="H115"/>
      <c r="I115" s="31"/>
      <c r="J115" s="11"/>
      <c r="K115" s="11"/>
      <c r="L115" s="30"/>
      <c r="M115" s="30">
        <v>7</v>
      </c>
      <c r="N115" s="1039"/>
      <c r="O115"/>
      <c r="P115"/>
      <c r="Q115" s="1053"/>
      <c r="R115" s="12"/>
    </row>
    <row r="116" spans="1:18" s="14" customFormat="1" ht="12.75" hidden="1" customHeight="1" x14ac:dyDescent="0.2">
      <c r="A116" s="1044"/>
      <c r="B116" s="39"/>
      <c r="C116"/>
      <c r="D116" t="s">
        <v>729</v>
      </c>
      <c r="E116"/>
      <c r="F116"/>
      <c r="G116"/>
      <c r="H116"/>
      <c r="I116" s="31"/>
      <c r="J116" s="11"/>
      <c r="K116" s="11"/>
      <c r="L116" s="30"/>
      <c r="M116" s="30"/>
      <c r="N116" s="1039"/>
      <c r="O116" s="1325" t="str">
        <f>IF(N118=N106," ","Recheck numbers. Entry is out of balance.")</f>
        <v>Recheck numbers. Entry is out of balance.</v>
      </c>
      <c r="P116" s="1325"/>
    </row>
    <row r="117" spans="1:18" s="14" customFormat="1" ht="12.75" hidden="1" customHeight="1" x14ac:dyDescent="0.2">
      <c r="A117" s="1044"/>
      <c r="B117" s="39"/>
      <c r="C117"/>
      <c r="D117" s="353" t="s">
        <v>374</v>
      </c>
      <c r="E117"/>
      <c r="F117"/>
      <c r="G117"/>
      <c r="H117"/>
      <c r="I117" s="31"/>
      <c r="J117" s="11"/>
      <c r="K117" s="11"/>
      <c r="L117" s="30"/>
      <c r="M117" s="30"/>
      <c r="N117" s="361"/>
      <c r="O117" s="1325"/>
      <c r="P117" s="1325"/>
    </row>
    <row r="118" spans="1:18" s="14" customFormat="1" ht="12.75" hidden="1" customHeight="1" thickBot="1" x14ac:dyDescent="0.25">
      <c r="A118" s="1044"/>
      <c r="B118" s="39"/>
      <c r="C118"/>
      <c r="D118" s="353"/>
      <c r="E118" t="s">
        <v>375</v>
      </c>
      <c r="F118"/>
      <c r="G118"/>
      <c r="H118"/>
      <c r="I118" s="31"/>
      <c r="J118" s="11"/>
      <c r="K118" s="11"/>
      <c r="L118" s="203" t="s">
        <v>11</v>
      </c>
      <c r="M118" s="30"/>
      <c r="N118" s="639">
        <f>SUM(N109:N117)</f>
        <v>0</v>
      </c>
      <c r="O118" s="1325"/>
      <c r="P118" s="1325"/>
    </row>
    <row r="119" spans="1:18" s="14" customFormat="1" ht="12.75" hidden="1" customHeight="1" thickTop="1" x14ac:dyDescent="0.35">
      <c r="A119" s="1044"/>
      <c r="B119"/>
      <c r="C119"/>
      <c r="D119"/>
      <c r="E119"/>
      <c r="F119"/>
      <c r="G119"/>
      <c r="H119"/>
      <c r="I119" s="31"/>
      <c r="J119" s="11"/>
      <c r="K119" s="11"/>
      <c r="L119" s="100"/>
      <c r="M119" s="10"/>
      <c r="N119" s="4"/>
      <c r="O119"/>
      <c r="P119"/>
    </row>
    <row r="120" spans="1:18" ht="25.5" customHeight="1" x14ac:dyDescent="0.2">
      <c r="A120" s="1044" t="s">
        <v>459</v>
      </c>
      <c r="B120" s="1441" t="s">
        <v>585</v>
      </c>
      <c r="C120" s="1442"/>
      <c r="D120" s="1442"/>
      <c r="E120" s="1442"/>
      <c r="F120" s="1442"/>
      <c r="G120" s="1442"/>
      <c r="H120" s="1442"/>
      <c r="I120" s="1442"/>
      <c r="J120" s="1442"/>
      <c r="K120" s="1442"/>
      <c r="L120" s="1442"/>
      <c r="M120" s="1442"/>
      <c r="N120" s="1442"/>
      <c r="O120" s="1443"/>
    </row>
    <row r="121" spans="1:18" ht="3.75" customHeight="1" x14ac:dyDescent="0.2">
      <c r="J121"/>
      <c r="K121"/>
      <c r="L121" s="11"/>
      <c r="M121" s="30"/>
      <c r="N121" s="4"/>
    </row>
    <row r="122" spans="1:18" ht="21" customHeight="1" x14ac:dyDescent="0.2">
      <c r="J122"/>
      <c r="K122"/>
      <c r="L122" s="11"/>
      <c r="M122" s="30"/>
      <c r="N122" s="381" t="s">
        <v>558</v>
      </c>
      <c r="O122" s="381" t="s">
        <v>584</v>
      </c>
    </row>
    <row r="123" spans="1:18" ht="14.25" customHeight="1" x14ac:dyDescent="0.2">
      <c r="B123" s="39" t="s">
        <v>514</v>
      </c>
      <c r="C123" t="s">
        <v>495</v>
      </c>
      <c r="I123"/>
      <c r="J123"/>
      <c r="K123" s="11"/>
      <c r="L123" s="11"/>
      <c r="M123" s="30"/>
      <c r="N123" s="355"/>
      <c r="O123" s="342"/>
    </row>
    <row r="124" spans="1:18" ht="6" customHeight="1" x14ac:dyDescent="0.2">
      <c r="I124"/>
      <c r="J124"/>
      <c r="K124" s="11"/>
      <c r="L124" s="11"/>
      <c r="M124" s="30"/>
      <c r="N124" s="337"/>
      <c r="O124" s="353"/>
    </row>
    <row r="125" spans="1:18" ht="14.25" customHeight="1" x14ac:dyDescent="0.2">
      <c r="B125" s="39" t="s">
        <v>515</v>
      </c>
      <c r="C125" s="1328" t="s">
        <v>586</v>
      </c>
      <c r="D125" s="1328"/>
      <c r="E125" s="1328"/>
      <c r="F125" s="1328"/>
      <c r="G125" s="1328"/>
      <c r="H125" s="1328"/>
      <c r="I125" s="1328"/>
      <c r="J125" s="1328"/>
      <c r="K125" s="11"/>
      <c r="L125" s="203" t="s">
        <v>12</v>
      </c>
      <c r="M125" s="30"/>
      <c r="N125" s="355"/>
      <c r="O125" s="342"/>
      <c r="P125" s="240" t="s">
        <v>689</v>
      </c>
    </row>
    <row r="126" spans="1:18" ht="6" customHeight="1" x14ac:dyDescent="0.2">
      <c r="I126"/>
      <c r="J126"/>
      <c r="K126" s="11"/>
      <c r="L126" s="11"/>
      <c r="M126" s="30"/>
      <c r="N126" s="337"/>
      <c r="O126" s="353"/>
    </row>
    <row r="127" spans="1:18" ht="13.5" customHeight="1" x14ac:dyDescent="0.2">
      <c r="B127" s="39" t="s">
        <v>516</v>
      </c>
      <c r="C127" s="1328" t="s">
        <v>271</v>
      </c>
      <c r="D127" s="1328"/>
      <c r="E127" s="1328"/>
      <c r="F127" s="1328"/>
      <c r="G127" s="1328"/>
      <c r="H127" s="1328"/>
      <c r="I127" s="1328"/>
      <c r="J127" s="1328"/>
      <c r="K127" s="11"/>
      <c r="L127" s="1499" t="s">
        <v>687</v>
      </c>
      <c r="M127" s="30"/>
      <c r="N127" s="355"/>
      <c r="O127" s="342"/>
      <c r="P127" s="1495" t="s">
        <v>690</v>
      </c>
    </row>
    <row r="128" spans="1:18" ht="5.25" customHeight="1" x14ac:dyDescent="0.2">
      <c r="I128"/>
      <c r="J128"/>
      <c r="K128" s="11"/>
      <c r="L128" s="1499"/>
      <c r="M128" s="30"/>
      <c r="N128" s="337"/>
      <c r="O128" s="353"/>
      <c r="P128" s="1495"/>
    </row>
    <row r="129" spans="2:16" ht="12.75" customHeight="1" x14ac:dyDescent="0.2">
      <c r="B129" s="39" t="s">
        <v>542</v>
      </c>
      <c r="C129" s="1324" t="s">
        <v>455</v>
      </c>
      <c r="D129" s="1324"/>
      <c r="E129" s="1324"/>
      <c r="F129" s="1324"/>
      <c r="G129" s="1324"/>
      <c r="H129" s="1324"/>
      <c r="I129" s="1324"/>
      <c r="J129" s="1324"/>
      <c r="K129" s="11"/>
      <c r="L129" s="1499" t="s">
        <v>688</v>
      </c>
      <c r="M129" s="30"/>
      <c r="N129" s="1446"/>
      <c r="O129" s="1446"/>
      <c r="P129" s="1495" t="s">
        <v>376</v>
      </c>
    </row>
    <row r="130" spans="2:16" ht="12.75" customHeight="1" x14ac:dyDescent="0.2">
      <c r="B130" s="39"/>
      <c r="C130" s="1324"/>
      <c r="D130" s="1324"/>
      <c r="E130" s="1324"/>
      <c r="F130" s="1324"/>
      <c r="G130" s="1324"/>
      <c r="H130" s="1324"/>
      <c r="I130" s="1324"/>
      <c r="J130" s="1324"/>
      <c r="K130" s="11"/>
      <c r="L130" s="1499"/>
      <c r="M130" s="30"/>
      <c r="N130" s="1446"/>
      <c r="O130" s="1446"/>
      <c r="P130" s="1495"/>
    </row>
    <row r="131" spans="2:16" ht="4.5" customHeight="1" x14ac:dyDescent="0.2">
      <c r="I131"/>
      <c r="J131"/>
      <c r="K131" s="11"/>
      <c r="L131" s="11"/>
      <c r="M131" s="30"/>
      <c r="N131" s="11"/>
    </row>
    <row r="132" spans="2:16" ht="12.75" customHeight="1" thickBot="1" x14ac:dyDescent="0.25">
      <c r="B132" s="39" t="s">
        <v>543</v>
      </c>
      <c r="C132" t="s">
        <v>272</v>
      </c>
      <c r="I132"/>
      <c r="J132"/>
      <c r="K132" s="11"/>
      <c r="L132" s="11"/>
      <c r="M132" s="30"/>
      <c r="N132" s="92">
        <f>N123+N125+N129-N127</f>
        <v>0</v>
      </c>
      <c r="O132" s="92">
        <f>O123+O125+O129-O127</f>
        <v>0</v>
      </c>
    </row>
    <row r="133" spans="2:16" ht="4.5" customHeight="1" thickTop="1" x14ac:dyDescent="0.2">
      <c r="I133"/>
      <c r="J133"/>
      <c r="K133" s="11"/>
      <c r="L133" s="11"/>
      <c r="M133" s="30"/>
      <c r="N133" s="11"/>
    </row>
    <row r="134" spans="2:16" x14ac:dyDescent="0.2">
      <c r="B134" s="39" t="s">
        <v>858</v>
      </c>
      <c r="C134" s="1324" t="s">
        <v>686</v>
      </c>
      <c r="D134" s="1324"/>
      <c r="E134" s="1324"/>
      <c r="F134" s="1324"/>
      <c r="G134" s="1324"/>
      <c r="H134" s="1324"/>
      <c r="I134" s="1324"/>
      <c r="J134" s="1324"/>
      <c r="K134" s="1324"/>
      <c r="L134" s="1324"/>
      <c r="M134" s="30"/>
    </row>
    <row r="135" spans="2:16" ht="51" customHeight="1" x14ac:dyDescent="0.2">
      <c r="B135" s="39"/>
      <c r="C135" s="1324"/>
      <c r="D135" s="1324"/>
      <c r="E135" s="1324"/>
      <c r="F135" s="1324"/>
      <c r="G135" s="1324"/>
      <c r="H135" s="1324"/>
      <c r="I135" s="1324"/>
      <c r="J135" s="1324"/>
      <c r="K135" s="1324"/>
      <c r="L135" s="1324"/>
      <c r="M135" s="30"/>
    </row>
    <row r="136" spans="2:16" ht="6.75" customHeight="1" x14ac:dyDescent="0.2">
      <c r="B136" s="39"/>
      <c r="C136" s="34"/>
      <c r="D136" s="34"/>
      <c r="E136" s="34"/>
      <c r="F136" s="34"/>
      <c r="G136" s="34"/>
      <c r="H136" s="34"/>
      <c r="I136" s="34"/>
      <c r="J136" s="34"/>
      <c r="K136" s="34"/>
      <c r="L136" s="34"/>
      <c r="M136" s="30"/>
    </row>
    <row r="137" spans="2:16" ht="15.75" customHeight="1" x14ac:dyDescent="0.2">
      <c r="B137" s="39"/>
      <c r="C137" s="34"/>
      <c r="D137" s="34"/>
      <c r="E137" s="34"/>
      <c r="F137" s="34"/>
      <c r="G137" s="1496" t="s">
        <v>558</v>
      </c>
      <c r="H137" s="1497"/>
      <c r="I137" s="1497"/>
      <c r="J137" s="1498"/>
      <c r="K137" s="34"/>
      <c r="L137" s="1496" t="s">
        <v>584</v>
      </c>
      <c r="M137" s="1497"/>
      <c r="N137" s="1497"/>
      <c r="O137" s="1498"/>
    </row>
    <row r="138" spans="2:16" x14ac:dyDescent="0.2">
      <c r="B138" s="39"/>
      <c r="C138" s="34"/>
      <c r="D138" s="34"/>
      <c r="E138" s="34"/>
      <c r="F138" s="34"/>
      <c r="G138" s="137" t="s">
        <v>105</v>
      </c>
      <c r="H138" s="137" t="s">
        <v>104</v>
      </c>
      <c r="I138" s="34"/>
      <c r="J138" s="242" t="s">
        <v>587</v>
      </c>
      <c r="K138" s="34"/>
      <c r="L138" s="137" t="s">
        <v>105</v>
      </c>
      <c r="M138" s="30"/>
      <c r="N138" s="137" t="s">
        <v>104</v>
      </c>
      <c r="O138" s="241" t="s">
        <v>587</v>
      </c>
    </row>
    <row r="139" spans="2:16" x14ac:dyDescent="0.2">
      <c r="C139" t="s">
        <v>189</v>
      </c>
      <c r="G139" s="355"/>
      <c r="H139" s="343"/>
      <c r="I139" s="340"/>
      <c r="J139" s="348"/>
      <c r="K139" s="353"/>
      <c r="L139" s="355"/>
      <c r="M139" s="339"/>
      <c r="N139" s="343"/>
      <c r="O139" s="348"/>
    </row>
    <row r="140" spans="2:16" x14ac:dyDescent="0.2">
      <c r="C140" t="s">
        <v>991</v>
      </c>
      <c r="G140" s="355"/>
      <c r="H140" s="343"/>
      <c r="I140" s="340"/>
      <c r="J140" s="348"/>
      <c r="K140" s="353"/>
      <c r="L140" s="355"/>
      <c r="M140" s="339"/>
      <c r="N140" s="343"/>
      <c r="O140" s="348"/>
    </row>
    <row r="141" spans="2:16" x14ac:dyDescent="0.2">
      <c r="C141" t="s">
        <v>214</v>
      </c>
      <c r="G141" s="355"/>
      <c r="H141" s="343"/>
      <c r="I141" s="340"/>
      <c r="J141" s="348"/>
      <c r="K141" s="353"/>
      <c r="L141" s="355"/>
      <c r="M141" s="339"/>
      <c r="N141" s="343"/>
      <c r="O141" s="348"/>
    </row>
    <row r="142" spans="2:16" x14ac:dyDescent="0.2">
      <c r="C142" t="s">
        <v>819</v>
      </c>
      <c r="G142" s="355"/>
      <c r="H142" s="343"/>
      <c r="I142" s="340"/>
      <c r="J142" s="348"/>
      <c r="K142" s="353"/>
      <c r="L142" s="355"/>
      <c r="M142" s="339"/>
      <c r="N142" s="343"/>
      <c r="O142" s="348"/>
    </row>
    <row r="143" spans="2:16" x14ac:dyDescent="0.2">
      <c r="C143" t="s">
        <v>808</v>
      </c>
      <c r="G143" s="355"/>
      <c r="H143" s="343"/>
      <c r="I143" s="340"/>
      <c r="J143" s="348"/>
      <c r="K143" s="353"/>
      <c r="L143" s="355"/>
      <c r="M143" s="339"/>
      <c r="N143" s="343"/>
      <c r="O143" s="348"/>
    </row>
    <row r="144" spans="2:16" x14ac:dyDescent="0.2">
      <c r="C144" t="s">
        <v>215</v>
      </c>
      <c r="G144" s="355"/>
      <c r="H144" s="343"/>
      <c r="I144" s="340"/>
      <c r="J144" s="348"/>
      <c r="K144" s="353"/>
      <c r="L144" s="355"/>
      <c r="M144" s="339"/>
      <c r="N144" s="343"/>
      <c r="O144" s="348"/>
    </row>
    <row r="145" spans="1:15" x14ac:dyDescent="0.2">
      <c r="C145" t="s">
        <v>216</v>
      </c>
      <c r="G145" s="355"/>
      <c r="H145" s="355"/>
      <c r="I145" s="340"/>
      <c r="J145" s="348"/>
      <c r="K145" s="337"/>
      <c r="L145" s="355"/>
      <c r="M145" s="339"/>
      <c r="N145" s="355"/>
      <c r="O145" s="348"/>
    </row>
    <row r="146" spans="1:15" x14ac:dyDescent="0.2">
      <c r="C146" t="s">
        <v>176</v>
      </c>
      <c r="G146" s="355"/>
      <c r="H146" s="355"/>
      <c r="I146" s="340"/>
      <c r="J146" s="343"/>
      <c r="K146" s="337"/>
      <c r="L146" s="355"/>
      <c r="M146" s="339"/>
      <c r="N146" s="355"/>
      <c r="O146" s="343"/>
    </row>
    <row r="147" spans="1:15" x14ac:dyDescent="0.2">
      <c r="C147" s="353" t="s">
        <v>729</v>
      </c>
      <c r="G147" s="355"/>
      <c r="H147" s="355"/>
      <c r="I147" s="340"/>
      <c r="J147" s="343"/>
      <c r="K147" s="337"/>
      <c r="L147" s="355"/>
      <c r="M147" s="339"/>
      <c r="N147" s="355"/>
      <c r="O147" s="343"/>
    </row>
    <row r="148" spans="1:15" x14ac:dyDescent="0.2">
      <c r="C148" t="s">
        <v>727</v>
      </c>
      <c r="G148" s="355"/>
      <c r="H148" s="355"/>
      <c r="I148" s="340"/>
      <c r="J148" s="343"/>
      <c r="K148" s="337"/>
      <c r="L148" s="355"/>
      <c r="M148" s="339"/>
      <c r="N148" s="355"/>
      <c r="O148" s="343"/>
    </row>
    <row r="149" spans="1:15" ht="17.25" customHeight="1" x14ac:dyDescent="0.2">
      <c r="C149" t="s">
        <v>728</v>
      </c>
      <c r="G149" s="358"/>
      <c r="H149" s="358"/>
      <c r="I149" s="340"/>
      <c r="J149" s="343"/>
      <c r="K149" s="337"/>
      <c r="L149" s="358"/>
      <c r="M149" s="339"/>
      <c r="N149" s="358"/>
      <c r="O149" s="343"/>
    </row>
    <row r="150" spans="1:15" ht="17.25" thickBot="1" x14ac:dyDescent="0.4">
      <c r="G150" s="87">
        <f>SUM(G139:G149)</f>
        <v>0</v>
      </c>
      <c r="H150" s="91">
        <f>SUM(H139:H149)</f>
        <v>0</v>
      </c>
      <c r="J150" s="92">
        <f>SUM(J139:J149)</f>
        <v>0</v>
      </c>
      <c r="K150" s="11"/>
      <c r="L150" s="87">
        <f>SUM(L139:L149)</f>
        <v>0</v>
      </c>
      <c r="M150" s="100"/>
      <c r="N150" s="91">
        <f>SUM(N139:N149)</f>
        <v>0</v>
      </c>
      <c r="O150" s="92">
        <f>SUM(O139:O149)</f>
        <v>0</v>
      </c>
    </row>
    <row r="151" spans="1:15" ht="17.25" thickTop="1" x14ac:dyDescent="0.25">
      <c r="G151" s="240" t="s">
        <v>12</v>
      </c>
      <c r="H151" s="240" t="s">
        <v>687</v>
      </c>
      <c r="I151" s="45"/>
      <c r="J151" s="240" t="s">
        <v>688</v>
      </c>
      <c r="K151"/>
      <c r="L151" s="240" t="s">
        <v>689</v>
      </c>
      <c r="M151"/>
      <c r="N151" s="244" t="s">
        <v>690</v>
      </c>
      <c r="O151" s="244" t="s">
        <v>376</v>
      </c>
    </row>
    <row r="152" spans="1:15" s="197" customFormat="1" ht="15" customHeight="1" x14ac:dyDescent="0.2">
      <c r="A152" s="1044"/>
      <c r="G152" s="672" t="str">
        <f>IF(G150=N125," ","Recheck numbers. Entry is out of balance.")</f>
        <v xml:space="preserve"> </v>
      </c>
      <c r="H152" s="672" t="str">
        <f>IF(H150=N127," ","Recheck numbers. Entry is out of balance.")</f>
        <v xml:space="preserve"> </v>
      </c>
      <c r="I152" s="243"/>
      <c r="J152" s="672" t="str">
        <f>IF(J150=N129," ","Recheck numbers. Entry is out of balance.")</f>
        <v xml:space="preserve"> </v>
      </c>
      <c r="L152" s="672" t="str">
        <f>IF(L150=O125," ","Recheck numbers. Entry is out of balance.")</f>
        <v xml:space="preserve"> </v>
      </c>
      <c r="N152" s="672" t="str">
        <f>IF(N150=O127," ","Recheck numbers. Entry is out of balance.")</f>
        <v xml:space="preserve"> </v>
      </c>
      <c r="O152" s="672" t="str">
        <f>IF(O150=O129," ","Recheck numbers. Entry is out of balance.")</f>
        <v xml:space="preserve"> </v>
      </c>
    </row>
    <row r="153" spans="1:15" s="197" customFormat="1" ht="15" customHeight="1" x14ac:dyDescent="0.2">
      <c r="A153" s="1044" t="s">
        <v>460</v>
      </c>
      <c r="B153" s="1441" t="s">
        <v>2046</v>
      </c>
      <c r="C153" s="1442"/>
      <c r="D153" s="1442"/>
      <c r="E153" s="1442"/>
      <c r="F153" s="1442"/>
      <c r="G153" s="1442"/>
      <c r="H153" s="1442"/>
      <c r="I153" s="1442"/>
      <c r="J153" s="1442"/>
      <c r="K153" s="1442"/>
      <c r="L153" s="1442"/>
      <c r="M153" s="1493"/>
      <c r="N153" s="1442"/>
      <c r="O153" s="1443"/>
    </row>
    <row r="154" spans="1:15" s="197" customFormat="1" ht="15" customHeight="1" x14ac:dyDescent="0.2">
      <c r="A154" s="1044"/>
      <c r="B154" s="697"/>
      <c r="C154" s="697"/>
      <c r="D154" s="697"/>
      <c r="E154" s="697"/>
      <c r="F154" s="697"/>
      <c r="G154" s="673"/>
      <c r="H154" s="673"/>
      <c r="I154" s="699"/>
      <c r="J154" s="673"/>
      <c r="K154" s="697"/>
      <c r="L154" s="673"/>
      <c r="M154" s="697"/>
      <c r="N154" s="673"/>
      <c r="O154" s="673"/>
    </row>
    <row r="155" spans="1:15" s="197" customFormat="1" ht="15" customHeight="1" x14ac:dyDescent="0.2">
      <c r="A155" s="1044"/>
      <c r="B155" s="39" t="s">
        <v>514</v>
      </c>
      <c r="C155" s="697" t="s">
        <v>2084</v>
      </c>
      <c r="D155" s="697"/>
      <c r="E155" s="697"/>
      <c r="F155" s="697"/>
      <c r="G155" s="673"/>
      <c r="H155" s="673"/>
      <c r="I155" s="699"/>
      <c r="J155" s="673"/>
      <c r="K155" s="697"/>
      <c r="L155" s="745">
        <v>1285342</v>
      </c>
      <c r="M155" s="697"/>
      <c r="N155" s="673"/>
      <c r="O155" s="673"/>
    </row>
    <row r="156" spans="1:15" s="197" customFormat="1" ht="15" customHeight="1" x14ac:dyDescent="0.2">
      <c r="A156" s="1044"/>
      <c r="B156" s="39"/>
      <c r="C156" s="697"/>
      <c r="D156" s="697"/>
      <c r="E156" s="697"/>
      <c r="F156" s="697"/>
      <c r="G156" s="673"/>
      <c r="H156" s="673"/>
      <c r="I156" s="699"/>
      <c r="J156" s="673"/>
      <c r="K156" s="697"/>
      <c r="L156" s="673"/>
      <c r="M156" s="697"/>
      <c r="N156" s="673"/>
      <c r="O156" s="673"/>
    </row>
    <row r="157" spans="1:15" s="197" customFormat="1" ht="15" customHeight="1" x14ac:dyDescent="0.2">
      <c r="A157" s="1044"/>
      <c r="B157" s="39" t="s">
        <v>515</v>
      </c>
      <c r="C157" s="697" t="s">
        <v>2076</v>
      </c>
      <c r="D157" s="697"/>
      <c r="E157" s="697"/>
      <c r="F157" s="697"/>
      <c r="G157" s="673"/>
      <c r="H157" s="673"/>
      <c r="I157" s="699"/>
      <c r="J157" s="673"/>
      <c r="K157" s="697"/>
      <c r="L157" s="673"/>
      <c r="M157" s="697"/>
      <c r="N157" s="673"/>
      <c r="O157" s="673"/>
    </row>
    <row r="158" spans="1:15" s="197" customFormat="1" ht="15" customHeight="1" x14ac:dyDescent="0.2">
      <c r="A158" s="1044"/>
      <c r="B158" s="39"/>
      <c r="C158" s="697"/>
      <c r="D158" s="697"/>
      <c r="E158" s="697"/>
      <c r="F158" s="697"/>
      <c r="G158" s="673"/>
      <c r="H158" s="673"/>
      <c r="I158" s="699"/>
      <c r="J158" s="673"/>
      <c r="K158" s="697"/>
      <c r="L158" s="729"/>
      <c r="M158" s="697"/>
      <c r="N158" s="673"/>
      <c r="O158" s="673"/>
    </row>
    <row r="159" spans="1:15" s="197" customFormat="1" ht="15" customHeight="1" x14ac:dyDescent="0.2">
      <c r="A159" s="1044"/>
      <c r="B159" s="39"/>
      <c r="C159" s="686" t="s">
        <v>2036</v>
      </c>
      <c r="F159" s="697"/>
      <c r="G159" s="673"/>
      <c r="H159" s="673"/>
      <c r="I159" s="699"/>
      <c r="J159" s="673"/>
      <c r="K159" s="697"/>
      <c r="L159" s="750">
        <v>0.95</v>
      </c>
      <c r="N159" s="686"/>
      <c r="O159" s="673"/>
    </row>
    <row r="160" spans="1:15" s="197" customFormat="1" ht="15" customHeight="1" x14ac:dyDescent="0.2">
      <c r="A160" s="1044"/>
      <c r="B160" s="39"/>
      <c r="C160" s="686" t="s">
        <v>2053</v>
      </c>
      <c r="F160" s="697"/>
      <c r="G160" s="673"/>
      <c r="H160" s="673"/>
      <c r="I160" s="699"/>
      <c r="J160" s="673"/>
      <c r="K160" s="697"/>
      <c r="L160" s="750">
        <v>0.05</v>
      </c>
      <c r="N160" s="686"/>
      <c r="O160" s="673"/>
    </row>
    <row r="161" spans="1:15" s="197" customFormat="1" ht="15" customHeight="1" x14ac:dyDescent="0.2">
      <c r="A161" s="1044"/>
      <c r="B161" s="39"/>
      <c r="C161" s="705" t="s">
        <v>2054</v>
      </c>
      <c r="F161" s="697"/>
      <c r="G161" s="673"/>
      <c r="H161" s="673"/>
      <c r="I161" s="699"/>
      <c r="J161" s="673"/>
      <c r="K161" s="697"/>
      <c r="L161" s="706">
        <f>SUM(L159:L160)</f>
        <v>1</v>
      </c>
      <c r="N161" s="686" t="str">
        <f>IF(L161=1,"=100%","DOES NOT EQUAL 100%!!!")</f>
        <v>=100%</v>
      </c>
      <c r="O161" s="673"/>
    </row>
    <row r="162" spans="1:15" s="197" customFormat="1" ht="15" customHeight="1" x14ac:dyDescent="0.2">
      <c r="A162" s="1044"/>
      <c r="B162" s="39"/>
      <c r="C162" s="722"/>
      <c r="F162" s="697"/>
      <c r="G162" s="673"/>
      <c r="H162" s="673"/>
      <c r="I162" s="699"/>
      <c r="J162" s="673"/>
      <c r="K162" s="697"/>
      <c r="L162" s="721"/>
      <c r="N162" s="721"/>
      <c r="O162" s="673"/>
    </row>
    <row r="163" spans="1:15" s="197" customFormat="1" ht="15" customHeight="1" x14ac:dyDescent="0.2">
      <c r="A163" s="1044"/>
      <c r="B163" s="39"/>
      <c r="C163" s="708" t="s">
        <v>2064</v>
      </c>
      <c r="F163" s="697"/>
      <c r="G163" s="673"/>
      <c r="H163" s="673"/>
      <c r="I163" s="699"/>
      <c r="J163" s="673"/>
      <c r="K163" s="697"/>
      <c r="L163" s="721"/>
      <c r="N163" s="721"/>
      <c r="O163" s="673"/>
    </row>
    <row r="164" spans="1:15" s="197" customFormat="1" ht="15" customHeight="1" x14ac:dyDescent="0.2">
      <c r="A164" s="1044"/>
      <c r="B164" s="39"/>
      <c r="C164" s="722" t="s">
        <v>2055</v>
      </c>
      <c r="F164" s="697"/>
      <c r="G164" s="673"/>
      <c r="H164" s="673"/>
      <c r="I164" s="699"/>
      <c r="J164" s="673"/>
      <c r="K164" s="697"/>
      <c r="L164" s="750">
        <v>0.95</v>
      </c>
      <c r="N164" s="721"/>
      <c r="O164" s="673"/>
    </row>
    <row r="165" spans="1:15" s="197" customFormat="1" ht="15" customHeight="1" x14ac:dyDescent="0.2">
      <c r="A165" s="1044"/>
      <c r="B165" s="39"/>
      <c r="C165" s="722" t="s">
        <v>2056</v>
      </c>
      <c r="F165" s="697"/>
      <c r="G165" s="673"/>
      <c r="H165" s="673"/>
      <c r="I165" s="699"/>
      <c r="J165" s="673"/>
      <c r="K165" s="697"/>
      <c r="L165" s="750">
        <v>0</v>
      </c>
      <c r="N165" s="721"/>
      <c r="O165" s="673"/>
    </row>
    <row r="166" spans="1:15" s="197" customFormat="1" ht="15" customHeight="1" x14ac:dyDescent="0.2">
      <c r="A166" s="1044"/>
      <c r="B166" s="39"/>
      <c r="C166" s="722" t="s">
        <v>2057</v>
      </c>
      <c r="F166" s="697"/>
      <c r="G166" s="673"/>
      <c r="H166" s="673"/>
      <c r="I166" s="699"/>
      <c r="J166" s="673"/>
      <c r="K166" s="697"/>
      <c r="L166" s="750">
        <v>0</v>
      </c>
      <c r="N166" s="721"/>
      <c r="O166" s="673"/>
    </row>
    <row r="167" spans="1:15" s="197" customFormat="1" ht="15" customHeight="1" x14ac:dyDescent="0.2">
      <c r="A167" s="1044"/>
      <c r="B167" s="39"/>
      <c r="C167" s="722" t="s">
        <v>2058</v>
      </c>
      <c r="F167" s="697"/>
      <c r="G167" s="673"/>
      <c r="H167" s="673"/>
      <c r="I167" s="699"/>
      <c r="J167" s="673"/>
      <c r="K167" s="697"/>
      <c r="L167" s="750">
        <v>0</v>
      </c>
      <c r="N167" s="721"/>
      <c r="O167" s="673"/>
    </row>
    <row r="168" spans="1:15" s="197" customFormat="1" ht="15" customHeight="1" x14ac:dyDescent="0.2">
      <c r="A168" s="1044"/>
      <c r="B168" s="39"/>
      <c r="C168" s="722" t="s">
        <v>2059</v>
      </c>
      <c r="F168" s="697"/>
      <c r="G168" s="673"/>
      <c r="H168" s="673"/>
      <c r="I168" s="699"/>
      <c r="J168" s="673"/>
      <c r="K168" s="697"/>
      <c r="L168" s="750">
        <v>0</v>
      </c>
      <c r="N168" s="721"/>
      <c r="O168" s="673"/>
    </row>
    <row r="169" spans="1:15" s="197" customFormat="1" ht="15" customHeight="1" x14ac:dyDescent="0.2">
      <c r="A169" s="1044"/>
      <c r="B169" s="39"/>
      <c r="C169" s="722" t="s">
        <v>2060</v>
      </c>
      <c r="F169" s="697"/>
      <c r="G169" s="673"/>
      <c r="H169" s="673"/>
      <c r="I169" s="699"/>
      <c r="J169" s="673"/>
      <c r="K169" s="697"/>
      <c r="L169" s="750">
        <v>0</v>
      </c>
      <c r="N169" s="721"/>
      <c r="O169" s="673"/>
    </row>
    <row r="170" spans="1:15" s="197" customFormat="1" ht="15" customHeight="1" x14ac:dyDescent="0.2">
      <c r="A170" s="1044"/>
      <c r="B170" s="39"/>
      <c r="C170" s="722" t="s">
        <v>2061</v>
      </c>
      <c r="F170" s="697"/>
      <c r="G170" s="673"/>
      <c r="H170" s="673"/>
      <c r="I170" s="699"/>
      <c r="J170" s="673"/>
      <c r="K170" s="697"/>
      <c r="L170" s="750">
        <v>0</v>
      </c>
      <c r="N170" s="721"/>
      <c r="O170" s="673"/>
    </row>
    <row r="171" spans="1:15" s="197" customFormat="1" ht="15" customHeight="1" x14ac:dyDescent="0.2">
      <c r="A171" s="1044"/>
      <c r="B171" s="39"/>
      <c r="C171" s="722" t="s">
        <v>2062</v>
      </c>
      <c r="F171" s="697"/>
      <c r="G171" s="673"/>
      <c r="H171" s="673"/>
      <c r="I171" s="699"/>
      <c r="J171" s="673"/>
      <c r="K171" s="697"/>
      <c r="L171" s="750">
        <v>0</v>
      </c>
      <c r="N171" s="721"/>
      <c r="O171" s="673"/>
    </row>
    <row r="172" spans="1:15" s="197" customFormat="1" ht="15" customHeight="1" x14ac:dyDescent="0.2">
      <c r="A172" s="1044"/>
      <c r="B172" s="39"/>
      <c r="C172" s="722" t="s">
        <v>2063</v>
      </c>
      <c r="F172" s="697"/>
      <c r="G172" s="673"/>
      <c r="H172" s="673"/>
      <c r="I172" s="699"/>
      <c r="J172" s="673"/>
      <c r="K172" s="697"/>
      <c r="L172" s="750">
        <v>0</v>
      </c>
      <c r="N172" s="721"/>
      <c r="O172" s="673"/>
    </row>
    <row r="173" spans="1:15" s="197" customFormat="1" ht="15" customHeight="1" x14ac:dyDescent="0.2">
      <c r="A173" s="1044"/>
      <c r="B173" s="39"/>
      <c r="C173" s="705" t="s">
        <v>2065</v>
      </c>
      <c r="F173" s="697"/>
      <c r="G173" s="673"/>
      <c r="H173" s="673"/>
      <c r="I173" s="699"/>
      <c r="J173" s="673"/>
      <c r="K173" s="697"/>
      <c r="L173" s="706">
        <f>SUM(L164:L172)</f>
        <v>0.95</v>
      </c>
      <c r="N173" s="686" t="str">
        <f>IF(L173=L159,"Equals Governmental Activities","DOES NOT EQUAL Governmental Activities!!!")</f>
        <v>Equals Governmental Activities</v>
      </c>
      <c r="O173" s="673"/>
    </row>
    <row r="174" spans="1:15" s="197" customFormat="1" ht="15" customHeight="1" x14ac:dyDescent="0.2">
      <c r="A174" s="1044"/>
      <c r="B174" s="39"/>
      <c r="C174" s="697"/>
      <c r="D174" s="697"/>
      <c r="E174" s="697"/>
      <c r="F174" s="697"/>
      <c r="G174" s="673"/>
      <c r="H174" s="673"/>
      <c r="I174" s="699"/>
      <c r="J174" s="673"/>
      <c r="K174" s="697"/>
      <c r="L174" s="729"/>
      <c r="M174" s="697"/>
      <c r="N174" s="673"/>
      <c r="O174" s="673"/>
    </row>
    <row r="175" spans="1:15" s="197" customFormat="1" ht="15" customHeight="1" x14ac:dyDescent="0.2">
      <c r="A175" s="1044"/>
      <c r="B175" s="39"/>
      <c r="C175" s="697"/>
      <c r="D175" s="697"/>
      <c r="E175" s="697"/>
      <c r="F175" s="697"/>
      <c r="G175" s="673"/>
      <c r="H175" s="673"/>
      <c r="I175" s="699"/>
      <c r="J175" s="673"/>
      <c r="K175" s="697"/>
      <c r="L175" s="673"/>
      <c r="M175" s="697"/>
      <c r="N175" s="673"/>
      <c r="O175" s="673"/>
    </row>
    <row r="176" spans="1:15" s="197" customFormat="1" x14ac:dyDescent="0.2">
      <c r="A176" s="1044"/>
      <c r="B176" s="39" t="s">
        <v>516</v>
      </c>
      <c r="C176" s="1492" t="s">
        <v>2077</v>
      </c>
      <c r="D176" s="1492"/>
      <c r="E176" s="1492"/>
      <c r="F176" s="1492"/>
      <c r="G176" s="1492"/>
      <c r="H176" s="1492"/>
      <c r="I176" s="1492"/>
      <c r="J176" s="1492"/>
      <c r="K176" s="697"/>
      <c r="L176" s="699" t="s">
        <v>510</v>
      </c>
      <c r="M176" s="697"/>
      <c r="N176" s="699" t="s">
        <v>511</v>
      </c>
      <c r="O176" s="673"/>
    </row>
    <row r="177" spans="1:15" s="197" customFormat="1" ht="15" customHeight="1" x14ac:dyDescent="0.2">
      <c r="A177" s="1044"/>
      <c r="C177" s="697" t="s">
        <v>2049</v>
      </c>
      <c r="G177" s="672"/>
      <c r="H177" s="672"/>
      <c r="I177" s="243"/>
      <c r="J177" s="672"/>
      <c r="L177" s="15">
        <f>L155*L159</f>
        <v>1221075</v>
      </c>
      <c r="M177" s="15"/>
      <c r="N177" s="15"/>
      <c r="O177" s="672"/>
    </row>
    <row r="178" spans="1:15" s="197" customFormat="1" ht="15" customHeight="1" x14ac:dyDescent="0.2">
      <c r="A178" s="1044"/>
      <c r="C178" s="697" t="s">
        <v>2055</v>
      </c>
      <c r="G178" s="723"/>
      <c r="H178" s="723"/>
      <c r="I178" s="243"/>
      <c r="J178" s="723"/>
      <c r="L178" s="15"/>
      <c r="M178" s="15"/>
      <c r="N178" s="15">
        <f>L164*$L$155</f>
        <v>1221075</v>
      </c>
      <c r="O178" s="723"/>
    </row>
    <row r="179" spans="1:15" s="197" customFormat="1" ht="15" customHeight="1" x14ac:dyDescent="0.2">
      <c r="A179" s="1044"/>
      <c r="C179" s="697" t="s">
        <v>2056</v>
      </c>
      <c r="G179" s="723"/>
      <c r="H179" s="723"/>
      <c r="I179" s="243"/>
      <c r="J179" s="723"/>
      <c r="L179" s="15"/>
      <c r="M179" s="15"/>
      <c r="N179" s="15">
        <f t="shared" ref="N179:N186" si="2">L165*$L$155</f>
        <v>0</v>
      </c>
      <c r="O179" s="723"/>
    </row>
    <row r="180" spans="1:15" s="197" customFormat="1" ht="15" customHeight="1" x14ac:dyDescent="0.2">
      <c r="A180" s="1044"/>
      <c r="C180" s="697" t="s">
        <v>2057</v>
      </c>
      <c r="G180" s="723"/>
      <c r="H180" s="723"/>
      <c r="I180" s="243"/>
      <c r="J180" s="723"/>
      <c r="L180" s="15"/>
      <c r="M180" s="15"/>
      <c r="N180" s="15">
        <f t="shared" si="2"/>
        <v>0</v>
      </c>
      <c r="O180" s="723"/>
    </row>
    <row r="181" spans="1:15" s="197" customFormat="1" ht="15" customHeight="1" x14ac:dyDescent="0.2">
      <c r="A181" s="1044"/>
      <c r="C181" s="697" t="s">
        <v>2058</v>
      </c>
      <c r="G181" s="723"/>
      <c r="H181" s="723"/>
      <c r="I181" s="243"/>
      <c r="J181" s="723"/>
      <c r="L181" s="15"/>
      <c r="M181" s="15"/>
      <c r="N181" s="15">
        <f t="shared" si="2"/>
        <v>0</v>
      </c>
      <c r="O181" s="723"/>
    </row>
    <row r="182" spans="1:15" s="197" customFormat="1" ht="15" customHeight="1" x14ac:dyDescent="0.2">
      <c r="A182" s="1044"/>
      <c r="C182" s="697" t="s">
        <v>2059</v>
      </c>
      <c r="G182" s="723"/>
      <c r="H182" s="723"/>
      <c r="I182" s="243"/>
      <c r="J182" s="723"/>
      <c r="L182" s="15"/>
      <c r="M182" s="15"/>
      <c r="N182" s="15">
        <f t="shared" si="2"/>
        <v>0</v>
      </c>
      <c r="O182" s="723"/>
    </row>
    <row r="183" spans="1:15" s="197" customFormat="1" ht="15" customHeight="1" x14ac:dyDescent="0.2">
      <c r="A183" s="1044"/>
      <c r="C183" s="697" t="s">
        <v>2060</v>
      </c>
      <c r="G183" s="723"/>
      <c r="H183" s="723"/>
      <c r="I183" s="243"/>
      <c r="J183" s="723"/>
      <c r="L183" s="15"/>
      <c r="M183" s="15"/>
      <c r="N183" s="15">
        <f t="shared" si="2"/>
        <v>0</v>
      </c>
      <c r="O183" s="723"/>
    </row>
    <row r="184" spans="1:15" s="197" customFormat="1" ht="15" customHeight="1" x14ac:dyDescent="0.2">
      <c r="A184" s="1044"/>
      <c r="C184" s="697" t="s">
        <v>2061</v>
      </c>
      <c r="G184" s="723"/>
      <c r="H184" s="723"/>
      <c r="I184" s="243"/>
      <c r="J184" s="723"/>
      <c r="L184" s="15"/>
      <c r="M184" s="15"/>
      <c r="N184" s="15">
        <f t="shared" si="2"/>
        <v>0</v>
      </c>
      <c r="O184" s="723"/>
    </row>
    <row r="185" spans="1:15" s="197" customFormat="1" ht="15" customHeight="1" x14ac:dyDescent="0.2">
      <c r="A185" s="1044"/>
      <c r="C185" s="697" t="s">
        <v>2062</v>
      </c>
      <c r="G185" s="723"/>
      <c r="H185" s="723"/>
      <c r="I185" s="243"/>
      <c r="J185" s="723"/>
      <c r="L185" s="15"/>
      <c r="M185" s="15"/>
      <c r="N185" s="15">
        <f t="shared" si="2"/>
        <v>0</v>
      </c>
      <c r="O185" s="723"/>
    </row>
    <row r="186" spans="1:15" s="197" customFormat="1" ht="15" customHeight="1" x14ac:dyDescent="0.2">
      <c r="A186" s="1044"/>
      <c r="C186" s="697" t="s">
        <v>2063</v>
      </c>
      <c r="G186" s="723"/>
      <c r="H186" s="723"/>
      <c r="I186" s="243"/>
      <c r="J186" s="723"/>
      <c r="L186" s="15"/>
      <c r="M186" s="15"/>
      <c r="N186" s="15">
        <f t="shared" si="2"/>
        <v>0</v>
      </c>
      <c r="O186" s="723"/>
    </row>
    <row r="187" spans="1:15" s="197" customFormat="1" ht="15" customHeight="1" x14ac:dyDescent="0.2">
      <c r="A187" s="1044"/>
      <c r="G187" s="723"/>
      <c r="H187" s="723"/>
      <c r="I187" s="243"/>
      <c r="J187" s="723"/>
      <c r="L187" s="723"/>
      <c r="N187" s="723"/>
      <c r="O187" s="723"/>
    </row>
    <row r="188" spans="1:15" s="197" customFormat="1" ht="15" customHeight="1" x14ac:dyDescent="0.2">
      <c r="A188" s="1044"/>
      <c r="G188" s="723"/>
      <c r="H188" s="723"/>
      <c r="I188" s="243"/>
      <c r="J188" s="723"/>
      <c r="L188" s="723"/>
      <c r="N188" s="723"/>
      <c r="O188" s="723"/>
    </row>
    <row r="189" spans="1:15" s="197" customFormat="1" ht="15" customHeight="1" x14ac:dyDescent="0.2">
      <c r="A189" s="1044"/>
      <c r="G189" s="723"/>
      <c r="H189" s="723"/>
      <c r="I189" s="243"/>
      <c r="J189" s="723"/>
      <c r="L189" s="723"/>
      <c r="N189" s="723"/>
      <c r="O189" s="723"/>
    </row>
    <row r="190" spans="1:15" s="197" customFormat="1" ht="15" customHeight="1" x14ac:dyDescent="0.2">
      <c r="A190" s="1044"/>
      <c r="G190" s="672"/>
      <c r="H190" s="672"/>
      <c r="I190" s="243"/>
      <c r="J190" s="672"/>
      <c r="L190" s="672"/>
      <c r="N190" s="672"/>
      <c r="O190" s="672"/>
    </row>
    <row r="191" spans="1:15" s="197" customFormat="1" ht="15" customHeight="1" x14ac:dyDescent="0.2">
      <c r="A191" s="1044" t="s">
        <v>461</v>
      </c>
      <c r="B191" s="1441" t="s">
        <v>2048</v>
      </c>
      <c r="C191" s="1442"/>
      <c r="D191" s="1442"/>
      <c r="E191" s="1442"/>
      <c r="F191" s="1442"/>
      <c r="G191" s="1442"/>
      <c r="H191" s="1442"/>
      <c r="I191" s="1442"/>
      <c r="J191" s="1442"/>
      <c r="K191" s="1442"/>
      <c r="L191" s="1442"/>
      <c r="M191" s="1493"/>
      <c r="N191" s="1442"/>
      <c r="O191" s="1443"/>
    </row>
    <row r="192" spans="1:15" s="197" customFormat="1" ht="15" customHeight="1" x14ac:dyDescent="0.2">
      <c r="A192" s="1044"/>
      <c r="B192" s="697"/>
      <c r="C192" s="697"/>
      <c r="D192" s="697"/>
      <c r="E192" s="697"/>
      <c r="F192" s="697"/>
      <c r="G192" s="673"/>
      <c r="H192" s="673"/>
      <c r="I192" s="699"/>
      <c r="J192" s="673"/>
      <c r="K192" s="697"/>
      <c r="L192" s="673"/>
      <c r="M192" s="697"/>
      <c r="N192" s="673"/>
      <c r="O192" s="673"/>
    </row>
    <row r="193" spans="1:16" s="197" customFormat="1" ht="15" customHeight="1" x14ac:dyDescent="0.2">
      <c r="A193" s="1044"/>
      <c r="B193" s="39" t="s">
        <v>514</v>
      </c>
      <c r="C193" s="697" t="s">
        <v>2085</v>
      </c>
      <c r="D193" s="697"/>
      <c r="E193" s="697"/>
      <c r="F193" s="697"/>
      <c r="G193" s="673"/>
      <c r="H193" s="673"/>
      <c r="I193" s="699"/>
      <c r="J193" s="673"/>
      <c r="K193" s="697"/>
      <c r="L193" s="745">
        <v>4000</v>
      </c>
      <c r="M193" s="697"/>
      <c r="N193" s="673"/>
      <c r="O193" s="673"/>
    </row>
    <row r="194" spans="1:16" s="197" customFormat="1" ht="15" customHeight="1" x14ac:dyDescent="0.2">
      <c r="A194" s="1044"/>
      <c r="B194" s="39"/>
      <c r="C194" s="697"/>
      <c r="D194" s="697"/>
      <c r="E194" s="697"/>
      <c r="F194" s="697"/>
      <c r="G194" s="673"/>
      <c r="H194" s="673"/>
      <c r="I194" s="699"/>
      <c r="J194" s="673"/>
      <c r="K194" s="697"/>
      <c r="L194" s="700"/>
      <c r="M194" s="697"/>
      <c r="N194" s="673"/>
      <c r="O194" s="673"/>
    </row>
    <row r="195" spans="1:16" s="197" customFormat="1" ht="15" customHeight="1" x14ac:dyDescent="0.2">
      <c r="A195" s="1044"/>
      <c r="B195" s="39" t="s">
        <v>515</v>
      </c>
      <c r="C195" s="697" t="s">
        <v>2047</v>
      </c>
      <c r="D195" s="697"/>
      <c r="E195" s="697"/>
      <c r="F195" s="697"/>
      <c r="G195" s="673"/>
      <c r="H195" s="673"/>
      <c r="I195" s="699"/>
      <c r="J195" s="673"/>
      <c r="K195" s="697"/>
      <c r="L195" s="701">
        <v>1</v>
      </c>
      <c r="M195" s="697"/>
      <c r="N195" s="673"/>
      <c r="O195" s="673"/>
    </row>
    <row r="196" spans="1:16" s="197" customFormat="1" ht="15" customHeight="1" x14ac:dyDescent="0.2">
      <c r="A196" s="1044"/>
      <c r="B196" s="39"/>
      <c r="C196" s="697"/>
      <c r="D196" s="697"/>
      <c r="E196" s="697"/>
      <c r="F196" s="697"/>
      <c r="G196" s="673"/>
      <c r="H196" s="673"/>
      <c r="I196" s="699"/>
      <c r="J196" s="673"/>
      <c r="K196" s="697"/>
      <c r="L196" s="673"/>
      <c r="M196" s="697"/>
      <c r="N196" s="673"/>
      <c r="O196" s="673"/>
    </row>
    <row r="197" spans="1:16" s="197" customFormat="1" ht="29.45" customHeight="1" thickBot="1" x14ac:dyDescent="0.25">
      <c r="A197" s="1044"/>
      <c r="B197" s="39" t="s">
        <v>516</v>
      </c>
      <c r="C197" s="1492" t="s">
        <v>3618</v>
      </c>
      <c r="D197" s="1492"/>
      <c r="E197" s="1492"/>
      <c r="F197" s="1492"/>
      <c r="G197" s="1492"/>
      <c r="H197" s="1492"/>
      <c r="I197" s="1492"/>
      <c r="J197" s="1492"/>
      <c r="K197" s="697"/>
      <c r="L197" s="80">
        <f>L193*L195</f>
        <v>4000</v>
      </c>
      <c r="M197" s="697"/>
      <c r="N197" s="673"/>
      <c r="O197" s="673"/>
    </row>
    <row r="198" spans="1:16" s="197" customFormat="1" ht="15" customHeight="1" thickTop="1" x14ac:dyDescent="0.2">
      <c r="A198" s="1044"/>
      <c r="G198" s="672"/>
      <c r="H198" s="672"/>
      <c r="I198" s="243"/>
      <c r="J198" s="672"/>
      <c r="L198" s="672"/>
      <c r="N198" s="672"/>
      <c r="O198" s="672"/>
    </row>
    <row r="199" spans="1:16" s="197" customFormat="1" ht="15" customHeight="1" x14ac:dyDescent="0.2">
      <c r="A199" s="1044"/>
      <c r="G199" s="672"/>
      <c r="H199" s="672"/>
      <c r="I199" s="243"/>
      <c r="J199" s="672"/>
      <c r="L199" s="672"/>
      <c r="N199" s="672"/>
      <c r="O199" s="672"/>
    </row>
    <row r="200" spans="1:16" s="197" customFormat="1" ht="22.5" customHeight="1" x14ac:dyDescent="0.2">
      <c r="A200" s="1044"/>
      <c r="G200" s="674"/>
      <c r="H200" s="674"/>
      <c r="I200" s="243"/>
      <c r="J200" s="674"/>
      <c r="L200" s="674"/>
      <c r="N200" s="674"/>
      <c r="O200" s="674"/>
    </row>
    <row r="201" spans="1:16" ht="25.5" customHeight="1" x14ac:dyDescent="0.2">
      <c r="A201" s="1044" t="s">
        <v>462</v>
      </c>
      <c r="B201" s="1441" t="s">
        <v>288</v>
      </c>
      <c r="C201" s="1442"/>
      <c r="D201" s="1442"/>
      <c r="E201" s="1442"/>
      <c r="F201" s="1442"/>
      <c r="G201" s="1442"/>
      <c r="H201" s="1442"/>
      <c r="I201" s="1442"/>
      <c r="J201" s="1442"/>
      <c r="K201" s="1442"/>
      <c r="L201" s="1442"/>
      <c r="M201" s="1442"/>
      <c r="N201" s="1442"/>
      <c r="O201" s="1443"/>
      <c r="P201" s="52"/>
    </row>
    <row r="202" spans="1:16" x14ac:dyDescent="0.2">
      <c r="I202"/>
      <c r="J202"/>
      <c r="K202"/>
      <c r="L202" s="3" t="s">
        <v>861</v>
      </c>
      <c r="M202" s="3"/>
      <c r="N202" s="3" t="s">
        <v>511</v>
      </c>
    </row>
    <row r="203" spans="1:16" ht="12.75" customHeight="1" x14ac:dyDescent="0.2">
      <c r="D203" s="697" t="s">
        <v>475</v>
      </c>
      <c r="E203" t="s">
        <v>189</v>
      </c>
      <c r="I203"/>
      <c r="K203"/>
      <c r="L203" s="78">
        <f t="shared" ref="L203:L214" si="3">AB233</f>
        <v>0</v>
      </c>
      <c r="M203"/>
      <c r="N203" s="78">
        <f t="shared" ref="N203:N214" si="4">AC233</f>
        <v>1204852</v>
      </c>
    </row>
    <row r="204" spans="1:16" x14ac:dyDescent="0.2">
      <c r="E204" t="s">
        <v>991</v>
      </c>
      <c r="I204"/>
      <c r="K204"/>
      <c r="L204" s="78">
        <f t="shared" si="3"/>
        <v>23740</v>
      </c>
      <c r="M204"/>
      <c r="N204" s="78">
        <f t="shared" si="4"/>
        <v>0</v>
      </c>
    </row>
    <row r="205" spans="1:16" x14ac:dyDescent="0.2">
      <c r="E205" t="s">
        <v>992</v>
      </c>
      <c r="I205"/>
      <c r="K205"/>
      <c r="L205" s="78">
        <f t="shared" si="3"/>
        <v>440</v>
      </c>
      <c r="M205"/>
      <c r="N205" s="78">
        <f t="shared" si="4"/>
        <v>0</v>
      </c>
    </row>
    <row r="206" spans="1:16" x14ac:dyDescent="0.2">
      <c r="E206" t="s">
        <v>819</v>
      </c>
      <c r="I206"/>
      <c r="J206"/>
      <c r="K206"/>
      <c r="L206" s="78">
        <f t="shared" si="3"/>
        <v>2198</v>
      </c>
      <c r="M206"/>
      <c r="N206" s="78">
        <f t="shared" si="4"/>
        <v>0</v>
      </c>
    </row>
    <row r="207" spans="1:16" x14ac:dyDescent="0.2">
      <c r="E207" t="s">
        <v>808</v>
      </c>
      <c r="I207"/>
      <c r="J207"/>
      <c r="K207"/>
      <c r="L207" s="78">
        <f t="shared" si="3"/>
        <v>0</v>
      </c>
      <c r="M207"/>
      <c r="N207" s="78">
        <f t="shared" si="4"/>
        <v>0</v>
      </c>
    </row>
    <row r="208" spans="1:16" x14ac:dyDescent="0.2">
      <c r="E208" t="s">
        <v>203</v>
      </c>
      <c r="I208"/>
      <c r="J208"/>
      <c r="K208"/>
      <c r="L208" s="78">
        <f t="shared" si="3"/>
        <v>40445</v>
      </c>
      <c r="M208"/>
      <c r="N208" s="78">
        <f t="shared" si="4"/>
        <v>0</v>
      </c>
    </row>
    <row r="209" spans="1:26" x14ac:dyDescent="0.2">
      <c r="E209" t="s">
        <v>1010</v>
      </c>
      <c r="I209"/>
      <c r="J209"/>
      <c r="K209"/>
      <c r="L209" s="78">
        <f t="shared" si="3"/>
        <v>879</v>
      </c>
      <c r="M209"/>
      <c r="N209" s="78">
        <f t="shared" si="4"/>
        <v>0</v>
      </c>
    </row>
    <row r="210" spans="1:26" x14ac:dyDescent="0.2">
      <c r="E210" t="s">
        <v>172</v>
      </c>
      <c r="I210"/>
      <c r="J210"/>
      <c r="K210"/>
      <c r="L210" s="78">
        <f t="shared" si="3"/>
        <v>0</v>
      </c>
      <c r="M210"/>
      <c r="N210" s="78">
        <f t="shared" si="4"/>
        <v>0</v>
      </c>
    </row>
    <row r="211" spans="1:26" x14ac:dyDescent="0.2">
      <c r="E211" s="353" t="s">
        <v>729</v>
      </c>
      <c r="I211"/>
      <c r="J211"/>
      <c r="K211"/>
      <c r="L211" s="78">
        <f t="shared" si="3"/>
        <v>0</v>
      </c>
      <c r="M211"/>
      <c r="N211" s="78">
        <f t="shared" si="4"/>
        <v>0</v>
      </c>
    </row>
    <row r="212" spans="1:26" x14ac:dyDescent="0.2">
      <c r="E212" t="s">
        <v>727</v>
      </c>
      <c r="I212"/>
      <c r="J212"/>
      <c r="K212"/>
      <c r="L212" s="78">
        <f t="shared" si="3"/>
        <v>0</v>
      </c>
      <c r="M212"/>
      <c r="N212" s="78">
        <f t="shared" si="4"/>
        <v>0</v>
      </c>
    </row>
    <row r="213" spans="1:26" x14ac:dyDescent="0.2">
      <c r="E213" t="s">
        <v>728</v>
      </c>
      <c r="I213"/>
      <c r="J213"/>
      <c r="K213"/>
      <c r="L213" s="78">
        <f t="shared" si="3"/>
        <v>0</v>
      </c>
      <c r="M213"/>
      <c r="N213" s="78">
        <f t="shared" si="4"/>
        <v>0</v>
      </c>
    </row>
    <row r="214" spans="1:26" x14ac:dyDescent="0.2">
      <c r="E214" t="s">
        <v>1029</v>
      </c>
      <c r="I214"/>
      <c r="J214"/>
      <c r="K214"/>
      <c r="L214" s="78">
        <f t="shared" si="3"/>
        <v>0</v>
      </c>
      <c r="M214"/>
      <c r="N214" s="78">
        <f t="shared" si="4"/>
        <v>87925</v>
      </c>
    </row>
    <row r="215" spans="1:26" s="693" customFormat="1" x14ac:dyDescent="0.2">
      <c r="A215" s="1044"/>
      <c r="E215" s="693" t="s">
        <v>2620</v>
      </c>
      <c r="L215" s="695">
        <f>AB245</f>
        <v>1221075</v>
      </c>
      <c r="N215" s="695">
        <f>AC245</f>
        <v>0</v>
      </c>
      <c r="Y215" s="739"/>
      <c r="Z215" s="739"/>
    </row>
    <row r="216" spans="1:26" s="754" customFormat="1" x14ac:dyDescent="0.2">
      <c r="A216" s="1044"/>
      <c r="E216" s="754" t="s">
        <v>2619</v>
      </c>
      <c r="L216" s="755">
        <f>AB246</f>
        <v>4000</v>
      </c>
      <c r="N216" s="755">
        <f>AC246</f>
        <v>0</v>
      </c>
    </row>
    <row r="217" spans="1:26" x14ac:dyDescent="0.2">
      <c r="F217" t="s">
        <v>1030</v>
      </c>
      <c r="I217"/>
      <c r="J217"/>
      <c r="K217"/>
      <c r="L217" s="78">
        <f>AB247</f>
        <v>0</v>
      </c>
      <c r="M217"/>
      <c r="N217" s="78">
        <f>AC247</f>
        <v>0</v>
      </c>
    </row>
    <row r="218" spans="1:26" x14ac:dyDescent="0.2">
      <c r="F218" s="353" t="s">
        <v>261</v>
      </c>
      <c r="I218"/>
      <c r="J218"/>
      <c r="K218"/>
      <c r="L218" s="78">
        <f>AB250</f>
        <v>0</v>
      </c>
      <c r="M218"/>
      <c r="N218" s="78">
        <f>AC250</f>
        <v>0</v>
      </c>
    </row>
    <row r="219" spans="1:26" x14ac:dyDescent="0.2">
      <c r="F219" s="353" t="s">
        <v>260</v>
      </c>
      <c r="L219" s="78">
        <f>AB251</f>
        <v>0</v>
      </c>
      <c r="N219" s="78">
        <f>AC251</f>
        <v>0</v>
      </c>
    </row>
    <row r="220" spans="1:26" x14ac:dyDescent="0.2">
      <c r="F220" t="str">
        <f>A248</f>
        <v>Net Pension obligation (LEO)</v>
      </c>
      <c r="I220"/>
      <c r="J220"/>
      <c r="K220"/>
      <c r="L220" s="78">
        <f>AB248</f>
        <v>0</v>
      </c>
      <c r="M220"/>
      <c r="N220" s="78">
        <f>AC248</f>
        <v>0</v>
      </c>
    </row>
    <row r="221" spans="1:26" s="789" customFormat="1" x14ac:dyDescent="0.2">
      <c r="A221" s="1044"/>
      <c r="F221" s="697" t="s">
        <v>87</v>
      </c>
      <c r="L221" s="791">
        <f>AB252</f>
        <v>0</v>
      </c>
      <c r="N221" s="791">
        <f>AC252</f>
        <v>50585</v>
      </c>
    </row>
    <row r="222" spans="1:26" x14ac:dyDescent="0.2">
      <c r="F222" s="697" t="s">
        <v>3971</v>
      </c>
      <c r="I222"/>
      <c r="J222"/>
      <c r="K222"/>
      <c r="L222" s="78">
        <f>AB249</f>
        <v>50585</v>
      </c>
      <c r="M222"/>
      <c r="N222" s="78">
        <f>AC249</f>
        <v>0</v>
      </c>
    </row>
    <row r="223" spans="1:26" ht="13.5" thickBot="1" x14ac:dyDescent="0.25">
      <c r="L223" s="80">
        <f>SUM(L203:L222)</f>
        <v>1343362</v>
      </c>
      <c r="M223" s="20">
        <f>SUM(M203:M219)</f>
        <v>0</v>
      </c>
      <c r="N223" s="80">
        <f>SUM(N203:N222)</f>
        <v>1343362</v>
      </c>
    </row>
    <row r="224" spans="1:26" ht="13.5" thickTop="1" x14ac:dyDescent="0.2">
      <c r="L224" s="5"/>
      <c r="N224" s="5"/>
    </row>
    <row r="226" spans="1:33" s="1045" customFormat="1" ht="12.75" customHeight="1" x14ac:dyDescent="0.25">
      <c r="A226" s="1055" t="s">
        <v>279</v>
      </c>
      <c r="B226" s="1055"/>
      <c r="C226" s="1055"/>
      <c r="D226" s="1055"/>
      <c r="E226" s="1055"/>
      <c r="F226" s="1055"/>
      <c r="G226" s="1055"/>
      <c r="H226" s="1055"/>
      <c r="I226" s="1055"/>
      <c r="J226" s="1055"/>
      <c r="K226" s="1055"/>
      <c r="L226" s="1055"/>
      <c r="M226" s="1055"/>
      <c r="N226" s="1055"/>
      <c r="O226" s="1055"/>
      <c r="P226" s="108"/>
      <c r="Q226" s="108"/>
      <c r="R226" s="108"/>
      <c r="S226" s="108"/>
      <c r="T226" s="108"/>
      <c r="U226" s="108"/>
      <c r="V226" s="108"/>
      <c r="W226" s="108"/>
      <c r="X226" s="108"/>
      <c r="Y226" s="108"/>
      <c r="Z226" s="108"/>
      <c r="AA226" s="108"/>
    </row>
    <row r="227" spans="1:33" s="1045" customFormat="1" ht="12.75" customHeight="1" x14ac:dyDescent="0.25">
      <c r="A227" s="1055"/>
      <c r="B227" s="1055"/>
      <c r="C227" s="1055"/>
      <c r="D227" s="1055"/>
      <c r="E227" s="1055"/>
      <c r="F227" s="1055"/>
      <c r="G227" s="1055"/>
      <c r="H227" s="1055"/>
      <c r="I227" s="1055"/>
      <c r="J227" s="1055"/>
      <c r="K227" s="1055"/>
      <c r="L227" s="1055"/>
      <c r="M227" s="1055"/>
      <c r="N227" s="1055"/>
      <c r="O227" s="1055"/>
      <c r="P227" s="108"/>
      <c r="Q227" s="108"/>
      <c r="R227" s="108"/>
      <c r="S227" s="108"/>
      <c r="T227" s="108"/>
      <c r="U227" s="108"/>
      <c r="V227" s="108"/>
      <c r="W227" s="108"/>
      <c r="X227" s="108"/>
      <c r="Y227" s="108"/>
      <c r="Z227" s="108"/>
      <c r="AA227" s="108"/>
    </row>
    <row r="228" spans="1:33" s="1045" customFormat="1" ht="18" x14ac:dyDescent="0.25">
      <c r="A228" s="1051"/>
      <c r="B228" s="1051"/>
      <c r="C228" s="1051"/>
      <c r="D228" s="1051"/>
      <c r="E228" s="1051"/>
      <c r="F228" s="1051"/>
      <c r="G228" s="1051"/>
      <c r="H228" s="1051"/>
      <c r="I228" s="1051"/>
      <c r="J228" s="1051"/>
      <c r="K228" s="1051"/>
      <c r="L228" s="1051"/>
      <c r="M228" s="1051"/>
      <c r="N228" s="1051"/>
      <c r="O228" s="1051"/>
      <c r="P228" s="108"/>
      <c r="Q228" s="108"/>
      <c r="R228" s="108"/>
      <c r="S228" s="108"/>
      <c r="T228" s="108"/>
      <c r="U228" s="108"/>
      <c r="V228" s="108"/>
      <c r="W228" s="108"/>
      <c r="X228" s="108"/>
      <c r="Y228" s="108"/>
      <c r="Z228" s="108"/>
      <c r="AA228" s="108"/>
    </row>
    <row r="229" spans="1:33" x14ac:dyDescent="0.2">
      <c r="F229" s="1429" t="s">
        <v>192</v>
      </c>
      <c r="G229" s="1430"/>
      <c r="H229" s="1429" t="s">
        <v>193</v>
      </c>
      <c r="I229" s="1435"/>
      <c r="J229" s="1430"/>
      <c r="K229" s="106"/>
      <c r="L229" s="1429" t="s">
        <v>699</v>
      </c>
      <c r="M229" s="1435"/>
      <c r="N229" s="1430"/>
      <c r="O229" s="1501"/>
      <c r="P229" s="1501"/>
      <c r="Q229" s="1501"/>
      <c r="R229" s="1494" t="s">
        <v>700</v>
      </c>
      <c r="S229" s="1453"/>
      <c r="T229" s="1456"/>
      <c r="U229" s="1494" t="s">
        <v>701</v>
      </c>
      <c r="V229" s="1456"/>
      <c r="W229" s="1500" t="s">
        <v>298</v>
      </c>
      <c r="X229" s="1453"/>
      <c r="Y229" s="1494" t="s">
        <v>299</v>
      </c>
      <c r="Z229" s="1456"/>
      <c r="AA229" s="257"/>
      <c r="AB229" s="1429" t="s">
        <v>905</v>
      </c>
      <c r="AC229" s="1430"/>
    </row>
    <row r="230" spans="1:33" x14ac:dyDescent="0.2">
      <c r="F230" s="1511" t="s">
        <v>414</v>
      </c>
      <c r="G230" s="1513"/>
      <c r="H230" s="1511" t="s">
        <v>413</v>
      </c>
      <c r="I230" s="1512"/>
      <c r="J230" s="1513"/>
      <c r="K230" s="106"/>
      <c r="L230" s="210"/>
      <c r="M230" s="46"/>
      <c r="N230" s="211"/>
      <c r="O230" s="1056"/>
      <c r="P230" s="1056"/>
      <c r="Q230" s="1056"/>
      <c r="R230" s="212"/>
      <c r="S230" s="749"/>
      <c r="T230" s="213"/>
      <c r="U230" s="212"/>
      <c r="V230" s="213"/>
      <c r="W230" s="99"/>
      <c r="X230" s="99"/>
      <c r="Y230" s="212"/>
      <c r="Z230" s="213"/>
      <c r="AA230" s="258" t="s">
        <v>957</v>
      </c>
      <c r="AB230" s="210"/>
      <c r="AC230" s="211"/>
    </row>
    <row r="231" spans="1:33" x14ac:dyDescent="0.2">
      <c r="F231" s="71" t="s">
        <v>510</v>
      </c>
      <c r="G231" s="72" t="s">
        <v>511</v>
      </c>
      <c r="H231" s="71" t="s">
        <v>510</v>
      </c>
      <c r="I231" s="69"/>
      <c r="J231" s="110" t="s">
        <v>511</v>
      </c>
      <c r="K231" s="109"/>
      <c r="L231" s="111" t="s">
        <v>510</v>
      </c>
      <c r="M231" s="69"/>
      <c r="N231" s="72" t="s">
        <v>511</v>
      </c>
      <c r="O231" s="1056"/>
      <c r="P231" s="1057"/>
      <c r="Q231" s="1056"/>
      <c r="R231" s="111" t="s">
        <v>510</v>
      </c>
      <c r="S231" s="1046"/>
      <c r="T231" s="112" t="s">
        <v>511</v>
      </c>
      <c r="U231" s="702" t="s">
        <v>510</v>
      </c>
      <c r="V231" s="703" t="s">
        <v>511</v>
      </c>
      <c r="W231" s="69" t="s">
        <v>510</v>
      </c>
      <c r="X231" s="69" t="s">
        <v>511</v>
      </c>
      <c r="Y231" s="702" t="s">
        <v>510</v>
      </c>
      <c r="Z231" s="703" t="s">
        <v>511</v>
      </c>
      <c r="AA231" s="259" t="s">
        <v>958</v>
      </c>
      <c r="AB231" s="71" t="s">
        <v>510</v>
      </c>
      <c r="AC231" s="72" t="s">
        <v>511</v>
      </c>
    </row>
    <row r="232" spans="1:33" ht="4.5" customHeight="1" x14ac:dyDescent="0.2">
      <c r="L232" s="14"/>
      <c r="M232" s="1049"/>
      <c r="N232" s="1060"/>
      <c r="O232" s="1057"/>
      <c r="P232" s="1057"/>
      <c r="Q232" s="1057"/>
      <c r="R232" s="7"/>
      <c r="S232" s="14"/>
      <c r="T232" s="14"/>
      <c r="AA232" s="260"/>
      <c r="AB232" s="113"/>
      <c r="AC232" s="36"/>
    </row>
    <row r="233" spans="1:33" x14ac:dyDescent="0.2">
      <c r="A233" s="697" t="s">
        <v>189</v>
      </c>
      <c r="B233" s="697"/>
      <c r="F233" s="36">
        <f t="shared" ref="F233:F241" si="5">J27+J41</f>
        <v>32309</v>
      </c>
      <c r="G233" s="36">
        <v>0</v>
      </c>
      <c r="H233" s="36"/>
      <c r="I233" s="47"/>
      <c r="J233" s="1">
        <f t="shared" ref="J233:J241" si="6">L27+L41</f>
        <v>12086</v>
      </c>
      <c r="L233" s="48">
        <f t="shared" ref="L233:L238" si="7">G71+N71-J71</f>
        <v>0</v>
      </c>
      <c r="M233" s="47"/>
      <c r="N233" s="718">
        <v>0</v>
      </c>
      <c r="O233" s="1058"/>
      <c r="P233" s="1058"/>
      <c r="Q233" s="1058"/>
      <c r="R233" s="114">
        <f t="shared" ref="R233:R241" si="8">N109</f>
        <v>0</v>
      </c>
      <c r="S233" s="48"/>
      <c r="T233" s="48"/>
      <c r="U233" s="36">
        <f t="shared" ref="U233:U243" si="9">G139+L139+J139+O139-H139-N139</f>
        <v>0</v>
      </c>
      <c r="V233" s="36"/>
      <c r="W233" s="36"/>
      <c r="X233" s="36">
        <f t="shared" ref="X233:X241" si="10">N178</f>
        <v>1221075</v>
      </c>
      <c r="Y233" s="36"/>
      <c r="Z233" s="36">
        <f>L193*L195</f>
        <v>4000</v>
      </c>
      <c r="AA233" s="261">
        <f>(F233+H233+L233+O233+R233+U233+W233+Y233)-(G233+J233+N233+Q233+T233+V233+X233+Z233)</f>
        <v>-1204852</v>
      </c>
      <c r="AB233" s="114">
        <f>IF(AA233&lt;0,0,AA233)</f>
        <v>0</v>
      </c>
      <c r="AC233" s="48">
        <f>IF(AA233&gt;0,0,AA233*-1)</f>
        <v>1204852</v>
      </c>
      <c r="AD233" s="36"/>
      <c r="AE233" s="36"/>
      <c r="AF233" s="36"/>
      <c r="AG233" s="36"/>
    </row>
    <row r="234" spans="1:33" x14ac:dyDescent="0.2">
      <c r="A234" s="697" t="s">
        <v>991</v>
      </c>
      <c r="B234" s="697"/>
      <c r="F234" s="36">
        <f t="shared" si="5"/>
        <v>37929</v>
      </c>
      <c r="G234" s="36"/>
      <c r="H234" s="36"/>
      <c r="I234" s="47"/>
      <c r="J234" s="1">
        <f t="shared" si="6"/>
        <v>14189</v>
      </c>
      <c r="L234" s="48">
        <f t="shared" si="7"/>
        <v>0</v>
      </c>
      <c r="M234" s="47"/>
      <c r="N234" s="718"/>
      <c r="O234" s="1058"/>
      <c r="P234" s="1058"/>
      <c r="Q234" s="1058"/>
      <c r="R234" s="114">
        <f t="shared" si="8"/>
        <v>0</v>
      </c>
      <c r="S234" s="48"/>
      <c r="T234" s="48"/>
      <c r="U234" s="36">
        <f t="shared" si="9"/>
        <v>0</v>
      </c>
      <c r="V234" s="36"/>
      <c r="W234" s="36"/>
      <c r="X234" s="36">
        <f t="shared" si="10"/>
        <v>0</v>
      </c>
      <c r="Y234" s="36"/>
      <c r="Z234" s="36"/>
      <c r="AA234" s="261">
        <f t="shared" ref="AA234:AA244" si="11">(F234+H234+L234+O234+R234+U234+W234)-(G234+J234+N234+Q234+T234+V234+X234)</f>
        <v>23740</v>
      </c>
      <c r="AB234" s="114">
        <f t="shared" ref="AB234:AB243" si="12">IF(AA234&lt;0,0,AA234)</f>
        <v>23740</v>
      </c>
      <c r="AC234" s="48">
        <f t="shared" ref="AC234:AC243" si="13">IF(AA234&gt;0,0,AA234*-1)</f>
        <v>0</v>
      </c>
    </row>
    <row r="235" spans="1:33" x14ac:dyDescent="0.2">
      <c r="A235" s="697" t="s">
        <v>992</v>
      </c>
      <c r="B235" s="697"/>
      <c r="F235" s="36">
        <f t="shared" si="5"/>
        <v>703</v>
      </c>
      <c r="G235" s="36"/>
      <c r="H235" s="36"/>
      <c r="I235" s="47"/>
      <c r="J235" s="1">
        <f t="shared" si="6"/>
        <v>263</v>
      </c>
      <c r="L235" s="48">
        <f t="shared" si="7"/>
        <v>0</v>
      </c>
      <c r="M235" s="47"/>
      <c r="N235" s="718"/>
      <c r="O235" s="1058"/>
      <c r="P235" s="1058"/>
      <c r="Q235" s="1058"/>
      <c r="R235" s="114">
        <f t="shared" si="8"/>
        <v>0</v>
      </c>
      <c r="S235" s="48"/>
      <c r="T235" s="48"/>
      <c r="U235" s="36">
        <f t="shared" si="9"/>
        <v>0</v>
      </c>
      <c r="V235" s="36"/>
      <c r="W235" s="36"/>
      <c r="X235" s="36">
        <f t="shared" si="10"/>
        <v>0</v>
      </c>
      <c r="Y235" s="36"/>
      <c r="Z235" s="36"/>
      <c r="AA235" s="261">
        <f t="shared" si="11"/>
        <v>440</v>
      </c>
      <c r="AB235" s="114">
        <f t="shared" si="12"/>
        <v>440</v>
      </c>
      <c r="AC235" s="48">
        <f t="shared" si="13"/>
        <v>0</v>
      </c>
    </row>
    <row r="236" spans="1:33" x14ac:dyDescent="0.2">
      <c r="A236" s="697" t="s">
        <v>819</v>
      </c>
      <c r="B236" s="697"/>
      <c r="F236" s="36">
        <f t="shared" si="5"/>
        <v>3512</v>
      </c>
      <c r="G236" s="36"/>
      <c r="H236" s="36"/>
      <c r="I236" s="47"/>
      <c r="J236" s="1">
        <f t="shared" si="6"/>
        <v>1314</v>
      </c>
      <c r="L236" s="48">
        <f t="shared" si="7"/>
        <v>0</v>
      </c>
      <c r="M236" s="47"/>
      <c r="N236" s="718"/>
      <c r="O236" s="1058"/>
      <c r="P236" s="1058"/>
      <c r="Q236" s="1058"/>
      <c r="R236" s="114">
        <f t="shared" si="8"/>
        <v>0</v>
      </c>
      <c r="S236" s="48"/>
      <c r="T236" s="48"/>
      <c r="U236" s="36">
        <f t="shared" si="9"/>
        <v>0</v>
      </c>
      <c r="V236" s="36"/>
      <c r="W236" s="36"/>
      <c r="X236" s="36">
        <f t="shared" si="10"/>
        <v>0</v>
      </c>
      <c r="Y236" s="36"/>
      <c r="Z236" s="36"/>
      <c r="AA236" s="261">
        <f t="shared" si="11"/>
        <v>2198</v>
      </c>
      <c r="AB236" s="114">
        <f t="shared" si="12"/>
        <v>2198</v>
      </c>
      <c r="AC236" s="48">
        <f t="shared" si="13"/>
        <v>0</v>
      </c>
    </row>
    <row r="237" spans="1:33" x14ac:dyDescent="0.2">
      <c r="A237" s="697" t="s">
        <v>808</v>
      </c>
      <c r="B237" s="697"/>
      <c r="F237" s="36">
        <f t="shared" si="5"/>
        <v>0</v>
      </c>
      <c r="G237" s="36"/>
      <c r="H237" s="36"/>
      <c r="I237" s="47"/>
      <c r="J237" s="1">
        <f t="shared" si="6"/>
        <v>0</v>
      </c>
      <c r="L237" s="48">
        <f t="shared" si="7"/>
        <v>0</v>
      </c>
      <c r="M237" s="47"/>
      <c r="N237" s="718"/>
      <c r="O237" s="1058"/>
      <c r="P237" s="1058"/>
      <c r="Q237" s="1058"/>
      <c r="R237" s="114">
        <f t="shared" si="8"/>
        <v>0</v>
      </c>
      <c r="S237" s="48"/>
      <c r="T237" s="48"/>
      <c r="U237" s="36">
        <f t="shared" si="9"/>
        <v>0</v>
      </c>
      <c r="V237" s="36"/>
      <c r="W237" s="36"/>
      <c r="X237" s="36">
        <f t="shared" si="10"/>
        <v>0</v>
      </c>
      <c r="Y237" s="36"/>
      <c r="Z237" s="36"/>
      <c r="AA237" s="261">
        <f t="shared" si="11"/>
        <v>0</v>
      </c>
      <c r="AB237" s="114">
        <f t="shared" si="12"/>
        <v>0</v>
      </c>
      <c r="AC237" s="48">
        <f t="shared" si="13"/>
        <v>0</v>
      </c>
    </row>
    <row r="238" spans="1:33" x14ac:dyDescent="0.2">
      <c r="A238" s="697" t="s">
        <v>203</v>
      </c>
      <c r="B238" s="697"/>
      <c r="F238" s="36">
        <f t="shared" si="5"/>
        <v>64618</v>
      </c>
      <c r="G238" s="36"/>
      <c r="H238" s="36"/>
      <c r="I238" s="47"/>
      <c r="J238" s="1">
        <f t="shared" si="6"/>
        <v>24173</v>
      </c>
      <c r="L238" s="48">
        <f t="shared" si="7"/>
        <v>0</v>
      </c>
      <c r="M238" s="47"/>
      <c r="N238" s="718"/>
      <c r="O238" s="1058"/>
      <c r="P238" s="1058"/>
      <c r="Q238" s="1058"/>
      <c r="R238" s="114">
        <f t="shared" si="8"/>
        <v>0</v>
      </c>
      <c r="S238" s="48"/>
      <c r="T238" s="48"/>
      <c r="U238" s="36">
        <f t="shared" si="9"/>
        <v>0</v>
      </c>
      <c r="V238" s="36"/>
      <c r="W238" s="36"/>
      <c r="X238" s="36">
        <f t="shared" si="10"/>
        <v>0</v>
      </c>
      <c r="Y238" s="36"/>
      <c r="Z238" s="36"/>
      <c r="AA238" s="261">
        <f t="shared" si="11"/>
        <v>40445</v>
      </c>
      <c r="AB238" s="114">
        <f t="shared" si="12"/>
        <v>40445</v>
      </c>
      <c r="AC238" s="48">
        <f t="shared" si="13"/>
        <v>0</v>
      </c>
    </row>
    <row r="239" spans="1:33" x14ac:dyDescent="0.2">
      <c r="A239" s="697" t="s">
        <v>1010</v>
      </c>
      <c r="B239" s="697"/>
      <c r="F239" s="36">
        <f t="shared" si="5"/>
        <v>1404</v>
      </c>
      <c r="G239" s="36"/>
      <c r="H239" s="36"/>
      <c r="I239" s="47"/>
      <c r="J239" s="1">
        <f t="shared" si="6"/>
        <v>525</v>
      </c>
      <c r="L239" s="1061" t="str">
        <f>IF((G77+N77-J77)&gt;0, (G77+N77-J77),"0")</f>
        <v>0</v>
      </c>
      <c r="M239" s="681"/>
      <c r="N239" s="1062" t="str">
        <f>IF((G77+N77-J77)&lt;0,-(G77+N77-J77),"0")</f>
        <v>0</v>
      </c>
      <c r="O239" s="1058"/>
      <c r="P239" s="1058"/>
      <c r="Q239" s="1058"/>
      <c r="R239" s="114">
        <f t="shared" si="8"/>
        <v>0</v>
      </c>
      <c r="S239" s="48"/>
      <c r="T239" s="48"/>
      <c r="U239" s="36">
        <f t="shared" si="9"/>
        <v>0</v>
      </c>
      <c r="V239" s="36"/>
      <c r="W239" s="36"/>
      <c r="X239" s="36">
        <f t="shared" si="10"/>
        <v>0</v>
      </c>
      <c r="Y239" s="36"/>
      <c r="Z239" s="36"/>
      <c r="AA239" s="261">
        <f t="shared" si="11"/>
        <v>879</v>
      </c>
      <c r="AB239" s="114">
        <f t="shared" si="12"/>
        <v>879</v>
      </c>
      <c r="AC239" s="48">
        <f t="shared" si="13"/>
        <v>0</v>
      </c>
    </row>
    <row r="240" spans="1:33" x14ac:dyDescent="0.2">
      <c r="A240" s="697" t="s">
        <v>172</v>
      </c>
      <c r="B240" s="697"/>
      <c r="F240" s="36">
        <f t="shared" si="5"/>
        <v>0</v>
      </c>
      <c r="G240" s="36"/>
      <c r="H240" s="36"/>
      <c r="I240" s="47"/>
      <c r="J240" s="1">
        <f t="shared" si="6"/>
        <v>0</v>
      </c>
      <c r="L240" s="1061" t="str">
        <f>IF((G78+N78-J78)&gt;0, (G78+N78-J78),"0")</f>
        <v>0</v>
      </c>
      <c r="M240" s="681"/>
      <c r="N240" s="1062" t="str">
        <f>IF((G78+N78-J78)&lt;0,-(G78+N78-J78),"0")</f>
        <v>0</v>
      </c>
      <c r="O240" s="1058"/>
      <c r="P240" s="1058"/>
      <c r="Q240" s="1058"/>
      <c r="R240" s="114">
        <f t="shared" si="8"/>
        <v>0</v>
      </c>
      <c r="S240" s="48"/>
      <c r="T240" s="48"/>
      <c r="U240" s="36">
        <f t="shared" si="9"/>
        <v>0</v>
      </c>
      <c r="V240" s="36"/>
      <c r="W240" s="36"/>
      <c r="X240" s="36">
        <f t="shared" si="10"/>
        <v>0</v>
      </c>
      <c r="Y240" s="36"/>
      <c r="Z240" s="36"/>
      <c r="AA240" s="261">
        <f t="shared" si="11"/>
        <v>0</v>
      </c>
      <c r="AB240" s="114">
        <f t="shared" si="12"/>
        <v>0</v>
      </c>
      <c r="AC240" s="48">
        <f t="shared" si="13"/>
        <v>0</v>
      </c>
    </row>
    <row r="241" spans="1:29" x14ac:dyDescent="0.2">
      <c r="A241" s="1054" t="s">
        <v>729</v>
      </c>
      <c r="B241" s="697"/>
      <c r="F241" s="36">
        <f t="shared" si="5"/>
        <v>0</v>
      </c>
      <c r="G241" s="36"/>
      <c r="H241" s="36"/>
      <c r="I241" s="47"/>
      <c r="J241" s="1">
        <f t="shared" si="6"/>
        <v>0</v>
      </c>
      <c r="L241" s="1061" t="str">
        <f>IF((G79+N79-J79)&gt;0, (G79+N79-J79),"0")</f>
        <v>0</v>
      </c>
      <c r="M241" s="681"/>
      <c r="N241" s="1062" t="str">
        <f>IF((G79+N79-J79)&lt;0,-(G79+N79-J79),"0")</f>
        <v>0</v>
      </c>
      <c r="O241" s="1058"/>
      <c r="P241" s="1058"/>
      <c r="Q241" s="1058"/>
      <c r="R241" s="114">
        <f t="shared" si="8"/>
        <v>0</v>
      </c>
      <c r="S241" s="48"/>
      <c r="T241" s="48"/>
      <c r="U241" s="36">
        <f t="shared" si="9"/>
        <v>0</v>
      </c>
      <c r="V241" s="36"/>
      <c r="W241" s="36"/>
      <c r="X241" s="36">
        <f t="shared" si="10"/>
        <v>0</v>
      </c>
      <c r="Y241" s="36"/>
      <c r="Z241" s="36"/>
      <c r="AA241" s="261">
        <f t="shared" si="11"/>
        <v>0</v>
      </c>
      <c r="AB241" s="114">
        <f t="shared" si="12"/>
        <v>0</v>
      </c>
      <c r="AC241" s="48">
        <f t="shared" si="13"/>
        <v>0</v>
      </c>
    </row>
    <row r="242" spans="1:29" x14ac:dyDescent="0.2">
      <c r="A242" s="697" t="s">
        <v>727</v>
      </c>
      <c r="B242" s="697"/>
      <c r="F242" s="36"/>
      <c r="G242" s="36"/>
      <c r="H242" s="36"/>
      <c r="I242" s="47"/>
      <c r="L242" s="1061" t="str">
        <f>IF((G80+N80-J80)&gt;0, (G80+N80-J80),"0")</f>
        <v>0</v>
      </c>
      <c r="M242" s="681"/>
      <c r="N242" s="1062" t="str">
        <f>IF((G80+N80-J80)&lt;0,-(G80+N80-J80),"0")</f>
        <v>0</v>
      </c>
      <c r="O242" s="1058"/>
      <c r="P242" s="1058"/>
      <c r="Q242" s="1058"/>
      <c r="R242" s="114"/>
      <c r="S242" s="48"/>
      <c r="T242" s="48"/>
      <c r="U242" s="36">
        <f t="shared" si="9"/>
        <v>0</v>
      </c>
      <c r="V242" s="36"/>
      <c r="W242" s="36"/>
      <c r="X242" s="36"/>
      <c r="Y242" s="36"/>
      <c r="Z242" s="36"/>
      <c r="AA242" s="261">
        <f t="shared" si="11"/>
        <v>0</v>
      </c>
      <c r="AB242" s="114">
        <f t="shared" si="12"/>
        <v>0</v>
      </c>
      <c r="AC242" s="48">
        <f t="shared" si="13"/>
        <v>0</v>
      </c>
    </row>
    <row r="243" spans="1:29" x14ac:dyDescent="0.2">
      <c r="A243" s="697" t="s">
        <v>728</v>
      </c>
      <c r="B243" s="697"/>
      <c r="F243" s="36">
        <f>J37+J51</f>
        <v>0</v>
      </c>
      <c r="G243" s="36"/>
      <c r="H243" s="36"/>
      <c r="I243" s="47"/>
      <c r="L243" s="1061" t="str">
        <f>IF((G81+N81-J81)&gt;0, (G81+N81-J81),"0")</f>
        <v>0</v>
      </c>
      <c r="M243" s="681"/>
      <c r="N243" s="1062" t="str">
        <f>IF((G81+N81-J81)&lt;0,-(G81+N81-J81),"0")</f>
        <v>0</v>
      </c>
      <c r="O243" s="1058"/>
      <c r="P243" s="1058"/>
      <c r="Q243" s="1058"/>
      <c r="R243" s="114"/>
      <c r="S243" s="48"/>
      <c r="T243" s="48"/>
      <c r="U243" s="36">
        <f t="shared" si="9"/>
        <v>0</v>
      </c>
      <c r="V243" s="36"/>
      <c r="W243" s="36"/>
      <c r="X243" s="36"/>
      <c r="Y243" s="36"/>
      <c r="Z243" s="36"/>
      <c r="AA243" s="261">
        <f t="shared" si="11"/>
        <v>0</v>
      </c>
      <c r="AB243" s="114">
        <f t="shared" si="12"/>
        <v>0</v>
      </c>
      <c r="AC243" s="48">
        <f t="shared" si="13"/>
        <v>0</v>
      </c>
    </row>
    <row r="244" spans="1:29" x14ac:dyDescent="0.2">
      <c r="A244" s="697" t="s">
        <v>1029</v>
      </c>
      <c r="B244" s="697"/>
      <c r="F244" s="36"/>
      <c r="G244" s="36">
        <f>J36+J50</f>
        <v>140475</v>
      </c>
      <c r="H244" s="36">
        <f>L36+L50</f>
        <v>52550</v>
      </c>
      <c r="I244" s="47"/>
      <c r="L244" s="1061"/>
      <c r="M244" s="681"/>
      <c r="N244" s="1062">
        <f>N58+N62-N60</f>
        <v>0</v>
      </c>
      <c r="O244" s="1058"/>
      <c r="P244" s="1058"/>
      <c r="Q244" s="1058"/>
      <c r="R244" s="114"/>
      <c r="S244" s="48"/>
      <c r="T244" s="48"/>
      <c r="U244" s="36"/>
      <c r="V244" s="36"/>
      <c r="W244" s="36"/>
      <c r="X244" s="36"/>
      <c r="Y244" s="36"/>
      <c r="Z244" s="36"/>
      <c r="AA244" s="261">
        <f t="shared" si="11"/>
        <v>-87925</v>
      </c>
      <c r="AB244" s="263">
        <f t="shared" ref="AB244:AB252" si="14">IF(AA244&lt;0,0,AA244)</f>
        <v>0</v>
      </c>
      <c r="AC244" s="94">
        <f t="shared" ref="AC244:AC252" si="15">IF(AA244&gt;0,0,AA244*-1)</f>
        <v>87925</v>
      </c>
    </row>
    <row r="245" spans="1:29" s="693" customFormat="1" x14ac:dyDescent="0.2">
      <c r="A245" s="697" t="s">
        <v>2620</v>
      </c>
      <c r="B245" s="697"/>
      <c r="F245" s="36"/>
      <c r="G245" s="36"/>
      <c r="H245" s="36"/>
      <c r="I245" s="47"/>
      <c r="J245" s="1"/>
      <c r="K245" s="1"/>
      <c r="L245" s="48"/>
      <c r="M245" s="47"/>
      <c r="N245" s="718"/>
      <c r="O245" s="1058"/>
      <c r="P245" s="1058"/>
      <c r="Q245" s="1058"/>
      <c r="R245" s="114"/>
      <c r="S245" s="48"/>
      <c r="T245" s="48"/>
      <c r="U245" s="36"/>
      <c r="V245" s="36"/>
      <c r="W245" s="36">
        <f>L177</f>
        <v>1221075</v>
      </c>
      <c r="X245" s="36"/>
      <c r="Y245" s="36"/>
      <c r="Z245" s="36"/>
      <c r="AA245" s="261">
        <f>(F245+H245+L245+O245+R245+U245+W245+Y245)-(G245+J245+N245+Q245+T245+V245+X245-Z245)</f>
        <v>1221075</v>
      </c>
      <c r="AB245" s="263">
        <f>IF(AA245&lt;0,0,AA245)</f>
        <v>1221075</v>
      </c>
      <c r="AC245" s="94">
        <f>IF(AA245&gt;0,0,AA245*-1)</f>
        <v>0</v>
      </c>
    </row>
    <row r="246" spans="1:29" s="754" customFormat="1" x14ac:dyDescent="0.2">
      <c r="A246" s="697" t="s">
        <v>2619</v>
      </c>
      <c r="B246" s="697"/>
      <c r="F246" s="36"/>
      <c r="G246" s="36"/>
      <c r="H246" s="36"/>
      <c r="I246" s="47"/>
      <c r="J246" s="1"/>
      <c r="K246" s="1"/>
      <c r="L246" s="48"/>
      <c r="M246" s="47"/>
      <c r="N246" s="718"/>
      <c r="O246" s="1058"/>
      <c r="P246" s="1058"/>
      <c r="Q246" s="1058"/>
      <c r="R246" s="114"/>
      <c r="S246" s="48"/>
      <c r="T246" s="48"/>
      <c r="U246" s="36"/>
      <c r="V246" s="36"/>
      <c r="W246" s="36"/>
      <c r="X246" s="36"/>
      <c r="Y246" s="36">
        <f>L197</f>
        <v>4000</v>
      </c>
      <c r="Z246" s="36"/>
      <c r="AA246" s="261">
        <f>(F246+H246+L246+O246+R246+U246+W246+Y246)-(G246+J246+N246+Q246+T246+V246+X246-Z246)</f>
        <v>4000</v>
      </c>
      <c r="AB246" s="263">
        <f>IF(AA246&lt;0,0,AA246)</f>
        <v>4000</v>
      </c>
      <c r="AC246" s="94">
        <f>IF(AA246&gt;0,0,AA246*-1)</f>
        <v>0</v>
      </c>
    </row>
    <row r="247" spans="1:29" x14ac:dyDescent="0.2">
      <c r="A247" s="697" t="s">
        <v>1030</v>
      </c>
      <c r="B247" s="697"/>
      <c r="F247" s="36"/>
      <c r="G247" s="36"/>
      <c r="H247" s="36"/>
      <c r="I247" s="47"/>
      <c r="L247" s="48"/>
      <c r="M247" s="47"/>
      <c r="N247" s="718"/>
      <c r="O247" s="1058"/>
      <c r="P247" s="1058"/>
      <c r="Q247" s="1058"/>
      <c r="R247" s="114"/>
      <c r="S247" s="48"/>
      <c r="T247" s="48"/>
      <c r="U247" s="36"/>
      <c r="V247" s="36"/>
      <c r="W247" s="36"/>
      <c r="X247" s="36"/>
      <c r="Y247" s="36"/>
      <c r="Z247" s="36"/>
      <c r="AA247" s="261">
        <f t="shared" ref="AA247:AA252" si="16">(F247+H247+L247+O247+R247+U247+W247)-(G247+J247+N247+Q247+T247+V247+X247)</f>
        <v>0</v>
      </c>
      <c r="AB247" s="263">
        <f t="shared" si="14"/>
        <v>0</v>
      </c>
      <c r="AC247" s="94">
        <f t="shared" si="15"/>
        <v>0</v>
      </c>
    </row>
    <row r="248" spans="1:29" hidden="1" x14ac:dyDescent="0.2">
      <c r="A248" s="697" t="s">
        <v>2626</v>
      </c>
      <c r="B248" s="697"/>
      <c r="F248" s="36"/>
      <c r="G248" s="36"/>
      <c r="H248" s="36"/>
      <c r="I248" s="47"/>
      <c r="L248" s="48"/>
      <c r="M248" s="47"/>
      <c r="N248" s="718"/>
      <c r="O248" s="1058"/>
      <c r="P248" s="1058"/>
      <c r="Q248" s="1058"/>
      <c r="R248" s="114"/>
      <c r="S248" s="48"/>
      <c r="T248" s="48"/>
      <c r="U248" s="36"/>
      <c r="V248" s="36"/>
      <c r="W248" s="36"/>
      <c r="X248" s="36"/>
      <c r="Y248" s="36"/>
      <c r="Z248" s="36"/>
      <c r="AA248" s="261">
        <f t="shared" si="16"/>
        <v>0</v>
      </c>
      <c r="AB248" s="263">
        <f t="shared" si="14"/>
        <v>0</v>
      </c>
      <c r="AC248" s="94">
        <f t="shared" si="15"/>
        <v>0</v>
      </c>
    </row>
    <row r="249" spans="1:29" x14ac:dyDescent="0.2">
      <c r="A249" s="697" t="s">
        <v>3971</v>
      </c>
      <c r="B249" s="697"/>
      <c r="F249" s="36"/>
      <c r="G249" s="36"/>
      <c r="H249" s="36"/>
      <c r="I249" s="47"/>
      <c r="L249" s="48"/>
      <c r="M249" s="47"/>
      <c r="N249" s="718"/>
      <c r="O249" s="1058"/>
      <c r="P249" s="1058"/>
      <c r="Q249" s="1058"/>
      <c r="R249" s="114">
        <f>N98</f>
        <v>50585</v>
      </c>
      <c r="S249" s="48"/>
      <c r="T249" s="48"/>
      <c r="U249" s="36"/>
      <c r="V249" s="36"/>
      <c r="W249" s="36"/>
      <c r="X249" s="36"/>
      <c r="Y249" s="36"/>
      <c r="Z249" s="36"/>
      <c r="AA249" s="261">
        <f t="shared" si="16"/>
        <v>50585</v>
      </c>
      <c r="AB249" s="263">
        <f t="shared" si="14"/>
        <v>50585</v>
      </c>
      <c r="AC249" s="94">
        <f>IF(AA249&gt;0,0,AA249*-1)</f>
        <v>0</v>
      </c>
    </row>
    <row r="250" spans="1:29" x14ac:dyDescent="0.2">
      <c r="A250" s="1054" t="s">
        <v>261</v>
      </c>
      <c r="B250" s="697"/>
      <c r="F250" s="36"/>
      <c r="G250" s="36"/>
      <c r="H250" s="36"/>
      <c r="I250" s="47"/>
      <c r="L250" s="48"/>
      <c r="M250" s="47"/>
      <c r="N250" s="718"/>
      <c r="O250" s="1058"/>
      <c r="P250" s="1058"/>
      <c r="Q250" s="1058"/>
      <c r="R250" s="114"/>
      <c r="S250" s="48"/>
      <c r="T250" s="48"/>
      <c r="U250" s="36"/>
      <c r="V250" s="36">
        <f>N125+N129-N127</f>
        <v>0</v>
      </c>
      <c r="W250" s="36"/>
      <c r="X250" s="36"/>
      <c r="Y250" s="36"/>
      <c r="Z250" s="36"/>
      <c r="AA250" s="261">
        <f t="shared" si="16"/>
        <v>0</v>
      </c>
      <c r="AB250" s="263">
        <f t="shared" si="14"/>
        <v>0</v>
      </c>
      <c r="AC250" s="94">
        <f t="shared" si="15"/>
        <v>0</v>
      </c>
    </row>
    <row r="251" spans="1:29" x14ac:dyDescent="0.2">
      <c r="A251" s="1054" t="s">
        <v>260</v>
      </c>
      <c r="B251" s="697"/>
      <c r="F251" s="36"/>
      <c r="G251" s="36"/>
      <c r="H251" s="36"/>
      <c r="I251" s="47"/>
      <c r="L251" s="48"/>
      <c r="M251" s="47"/>
      <c r="N251" s="718"/>
      <c r="O251" s="1058"/>
      <c r="P251" s="1058"/>
      <c r="Q251" s="1058"/>
      <c r="R251" s="114"/>
      <c r="S251" s="48"/>
      <c r="T251" s="48"/>
      <c r="U251" s="36"/>
      <c r="V251" s="36">
        <f>O125+O129-O127</f>
        <v>0</v>
      </c>
      <c r="W251" s="36"/>
      <c r="X251" s="36"/>
      <c r="Y251" s="36"/>
      <c r="Z251" s="36"/>
      <c r="AA251" s="261">
        <f t="shared" si="16"/>
        <v>0</v>
      </c>
      <c r="AB251" s="263">
        <f t="shared" si="14"/>
        <v>0</v>
      </c>
      <c r="AC251" s="94">
        <f t="shared" si="15"/>
        <v>0</v>
      </c>
    </row>
    <row r="252" spans="1:29" x14ac:dyDescent="0.2">
      <c r="A252" s="697" t="s">
        <v>87</v>
      </c>
      <c r="B252" s="697"/>
      <c r="L252" s="1063"/>
      <c r="M252" s="214"/>
      <c r="N252" s="129"/>
      <c r="O252" s="1059"/>
      <c r="P252" s="1057"/>
      <c r="Q252" s="1059"/>
      <c r="R252" s="9"/>
      <c r="S252" s="14"/>
      <c r="T252" s="171">
        <f>N98</f>
        <v>50585</v>
      </c>
      <c r="W252" s="36"/>
      <c r="AA252" s="261">
        <f t="shared" si="16"/>
        <v>-50585</v>
      </c>
      <c r="AB252" s="264">
        <f t="shared" si="14"/>
        <v>0</v>
      </c>
      <c r="AC252" s="94">
        <f t="shared" si="15"/>
        <v>50585</v>
      </c>
    </row>
    <row r="253" spans="1:29" ht="13.5" thickBot="1" x14ac:dyDescent="0.25">
      <c r="F253" s="107">
        <f>SUM(F233:F252)</f>
        <v>140475</v>
      </c>
      <c r="G253" s="107">
        <f>SUM(G233:G252)</f>
        <v>140475</v>
      </c>
      <c r="H253" s="107">
        <f>SUM(H233:H252)</f>
        <v>52550</v>
      </c>
      <c r="I253" s="107">
        <f>SUM(I233:I250)</f>
        <v>0</v>
      </c>
      <c r="J253" s="20">
        <f>SUM(J233:J252)</f>
        <v>52550</v>
      </c>
      <c r="K253" s="107"/>
      <c r="L253" s="20">
        <f>SUM(L233:L252)</f>
        <v>0</v>
      </c>
      <c r="M253" s="107">
        <f>SUM(M233:M252)</f>
        <v>0</v>
      </c>
      <c r="N253" s="132">
        <f>SUM(N233:N252)</f>
        <v>0</v>
      </c>
      <c r="O253" s="1059"/>
      <c r="P253" s="1059"/>
      <c r="Q253" s="1059"/>
      <c r="R253" s="115">
        <f>SUM(R227:R252)</f>
        <v>50585</v>
      </c>
      <c r="S253" s="20"/>
      <c r="T253" s="20">
        <f>SUM(T233:T252)</f>
        <v>50585</v>
      </c>
      <c r="U253" s="20"/>
      <c r="V253" s="20"/>
      <c r="W253" s="20">
        <f t="shared" ref="W253:AC253" si="17">SUM(W233:W252)</f>
        <v>1221075</v>
      </c>
      <c r="X253" s="20">
        <f t="shared" si="17"/>
        <v>1221075</v>
      </c>
      <c r="Y253" s="20"/>
      <c r="Z253" s="20"/>
      <c r="AA253" s="262">
        <f t="shared" si="17"/>
        <v>0</v>
      </c>
      <c r="AB253" s="115">
        <f t="shared" si="17"/>
        <v>1343362</v>
      </c>
      <c r="AC253" s="20">
        <f t="shared" si="17"/>
        <v>1343362</v>
      </c>
    </row>
    <row r="254" spans="1:29" ht="13.5" thickTop="1" x14ac:dyDescent="0.2"/>
  </sheetData>
  <sheetProtection algorithmName="SHA-512" hashValue="6t71MRcjdD65TKw/COXDGAZ8QkxwRTocd55sF5GttPNNk5qiuR1qdFP/Csv4IAwHREzCtQF1TOdSLyv56QsSkg==" saltValue="fvputC3P4iVee0i4INy73Q==" spinCount="100000" sheet="1" objects="1" scenarios="1"/>
  <customSheetViews>
    <customSheetView guid="{C1197650-3ED8-49E4-8E4C-0D1D4B503FC0}" hiddenRows="1" topLeftCell="A207">
      <selection activeCell="N50" sqref="N50"/>
      <rowBreaks count="2" manualBreakCount="2">
        <brk id="82" max="15" man="1"/>
        <brk id="200" max="15" man="1"/>
      </rowBreaks>
      <pageMargins left="0.51" right="0.33" top="0.66" bottom="0.5" header="0.5" footer="0.5"/>
      <printOptions horizontalCentered="1"/>
      <pageSetup scale="59" orientation="landscape" r:id="rId1"/>
      <headerFooter alignWithMargins="0">
        <oddHeader>&amp;R&amp;"Arial,Bold"&amp;12Entry J</oddHeader>
        <oddFooter>&amp;L&amp;8&amp;D - County model&amp;R&amp;P</oddFooter>
      </headerFooter>
    </customSheetView>
    <customSheetView guid="{D2B860EA-92EC-4999-9A59-C624E1F8C7FB}" hiddenRows="1" topLeftCell="A207">
      <selection activeCell="N50" sqref="N50"/>
      <rowBreaks count="2" manualBreakCount="2">
        <brk id="82" max="15" man="1"/>
        <brk id="200" max="15" man="1"/>
      </rowBreaks>
      <pageMargins left="0.51" right="0.33" top="0.66" bottom="0.5" header="0.5" footer="0.5"/>
      <printOptions horizontalCentered="1"/>
      <pageSetup scale="59" orientation="landscape" r:id="rId2"/>
      <headerFooter alignWithMargins="0">
        <oddHeader>&amp;R&amp;"Arial,Bold"&amp;12Entry J</oddHeader>
        <oddFooter>&amp;L&amp;8&amp;D - County model&amp;R&amp;P</oddFooter>
      </headerFooter>
    </customSheetView>
  </customSheetViews>
  <mergeCells count="61">
    <mergeCell ref="H230:J230"/>
    <mergeCell ref="F230:G230"/>
    <mergeCell ref="F229:G229"/>
    <mergeCell ref="J24:L24"/>
    <mergeCell ref="J38:L38"/>
    <mergeCell ref="B53:O53"/>
    <mergeCell ref="N62:N63"/>
    <mergeCell ref="B120:O120"/>
    <mergeCell ref="F92:L92"/>
    <mergeCell ref="O62:O63"/>
    <mergeCell ref="L78:L81"/>
    <mergeCell ref="C62:J64"/>
    <mergeCell ref="B201:O201"/>
    <mergeCell ref="C68:L69"/>
    <mergeCell ref="H78:H81"/>
    <mergeCell ref="O78:O81"/>
    <mergeCell ref="A2:P2"/>
    <mergeCell ref="B4:P4"/>
    <mergeCell ref="B22:O22"/>
    <mergeCell ref="C9:O10"/>
    <mergeCell ref="C12:O13"/>
    <mergeCell ref="C18:O19"/>
    <mergeCell ref="C15:O16"/>
    <mergeCell ref="C6:O7"/>
    <mergeCell ref="C20:O20"/>
    <mergeCell ref="C87:L88"/>
    <mergeCell ref="N87:N88"/>
    <mergeCell ref="P127:P128"/>
    <mergeCell ref="C108:L108"/>
    <mergeCell ref="O116:P118"/>
    <mergeCell ref="B95:O95"/>
    <mergeCell ref="C98:L99"/>
    <mergeCell ref="N98:N99"/>
    <mergeCell ref="C125:J125"/>
    <mergeCell ref="C127:J127"/>
    <mergeCell ref="L127:L128"/>
    <mergeCell ref="C90:L91"/>
    <mergeCell ref="C104:L105"/>
    <mergeCell ref="N104:N105"/>
    <mergeCell ref="E106:K106"/>
    <mergeCell ref="C101:L102"/>
    <mergeCell ref="AB229:AC229"/>
    <mergeCell ref="W229:X229"/>
    <mergeCell ref="H229:J229"/>
    <mergeCell ref="L229:N229"/>
    <mergeCell ref="O229:Q229"/>
    <mergeCell ref="R229:T229"/>
    <mergeCell ref="Y229:Z229"/>
    <mergeCell ref="C176:J176"/>
    <mergeCell ref="B191:O191"/>
    <mergeCell ref="C197:J197"/>
    <mergeCell ref="U229:V229"/>
    <mergeCell ref="P129:P130"/>
    <mergeCell ref="C134:L135"/>
    <mergeCell ref="B153:O153"/>
    <mergeCell ref="G137:J137"/>
    <mergeCell ref="N129:N130"/>
    <mergeCell ref="O129:O130"/>
    <mergeCell ref="L137:O137"/>
    <mergeCell ref="L129:L130"/>
    <mergeCell ref="C129:J130"/>
  </mergeCells>
  <phoneticPr fontId="14" type="noConversion"/>
  <printOptions horizontalCentered="1"/>
  <pageMargins left="0.51" right="0.33" top="0.66" bottom="0.5" header="0.5" footer="0.5"/>
  <pageSetup scale="59" orientation="landscape" r:id="rId3"/>
  <headerFooter alignWithMargins="0">
    <oddHeader>&amp;R&amp;"Arial,Bold"&amp;12Entry J</oddHeader>
    <oddFooter>&amp;L&amp;8&amp;D - County model&amp;R&amp;P</oddFooter>
  </headerFooter>
  <rowBreaks count="2" manualBreakCount="2">
    <brk id="82" max="15" man="1"/>
    <brk id="200" max="15" man="1"/>
  </rowBreaks>
  <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233"/>
  <sheetViews>
    <sheetView workbookViewId="0"/>
  </sheetViews>
  <sheetFormatPr defaultRowHeight="12.75" x14ac:dyDescent="0.2"/>
  <cols>
    <col min="1" max="1" width="3.42578125" style="4" customWidth="1"/>
    <col min="2" max="2" width="2.28515625" customWidth="1"/>
    <col min="3" max="3" width="36.7109375" customWidth="1"/>
    <col min="4" max="4" width="11.42578125"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3" s="160" customFormat="1" ht="15" x14ac:dyDescent="0.25">
      <c r="A1" s="194"/>
      <c r="C1" s="1540"/>
      <c r="D1" s="1540"/>
      <c r="E1" s="1488"/>
      <c r="F1" s="1488"/>
      <c r="G1" s="1488"/>
      <c r="H1" s="1488"/>
      <c r="I1" s="1488"/>
    </row>
    <row r="2" spans="1:13" s="160" customFormat="1" ht="15" customHeight="1" x14ac:dyDescent="0.25">
      <c r="A2" s="194"/>
      <c r="B2" s="1542" t="s">
        <v>108</v>
      </c>
      <c r="C2" s="1543"/>
      <c r="D2" s="1543"/>
      <c r="E2" s="1543"/>
      <c r="F2" s="1543"/>
      <c r="G2" s="1543"/>
      <c r="H2" s="1543"/>
      <c r="I2" s="1544"/>
    </row>
    <row r="3" spans="1:13" s="160" customFormat="1" ht="24" customHeight="1" x14ac:dyDescent="0.25">
      <c r="A3" s="194"/>
      <c r="B3" s="1545"/>
      <c r="C3" s="1546"/>
      <c r="D3" s="1546"/>
      <c r="E3" s="1546"/>
      <c r="F3" s="1546"/>
      <c r="G3" s="1546"/>
      <c r="H3" s="1546"/>
      <c r="I3" s="1547"/>
    </row>
    <row r="4" spans="1:13" s="160" customFormat="1" ht="6" customHeight="1" x14ac:dyDescent="0.25">
      <c r="A4" s="194"/>
      <c r="B4" s="333"/>
      <c r="C4" s="333"/>
      <c r="D4" s="333"/>
      <c r="E4" s="333"/>
      <c r="F4" s="333"/>
      <c r="G4" s="333"/>
      <c r="H4" s="333"/>
      <c r="I4" s="333"/>
      <c r="J4" s="334"/>
      <c r="K4" s="334"/>
      <c r="L4" s="334"/>
      <c r="M4" s="334"/>
    </row>
    <row r="5" spans="1:13" ht="12.75" customHeight="1" x14ac:dyDescent="0.2">
      <c r="C5" s="161"/>
      <c r="D5" s="161"/>
      <c r="E5" s="162"/>
      <c r="F5" s="162"/>
      <c r="G5" s="162"/>
      <c r="H5" s="162"/>
      <c r="I5" s="162"/>
    </row>
    <row r="6" spans="1:13" ht="12.75" customHeight="1" x14ac:dyDescent="0.2">
      <c r="C6" s="161"/>
      <c r="D6" s="161"/>
      <c r="E6" s="162"/>
      <c r="F6" s="162"/>
      <c r="G6" s="162"/>
      <c r="H6" s="162"/>
      <c r="I6" s="162"/>
    </row>
    <row r="7" spans="1:13" ht="12.75" customHeight="1" x14ac:dyDescent="0.2">
      <c r="C7" s="161"/>
      <c r="D7" s="161"/>
      <c r="E7" s="162"/>
      <c r="F7" s="162"/>
      <c r="G7" s="162"/>
      <c r="H7" s="162"/>
      <c r="I7" s="162"/>
    </row>
    <row r="8" spans="1:13" ht="12.75" customHeight="1" x14ac:dyDescent="0.2">
      <c r="C8" s="161"/>
      <c r="D8" s="161"/>
      <c r="E8" s="162"/>
      <c r="F8" s="162"/>
      <c r="G8" s="162"/>
      <c r="H8" s="162"/>
      <c r="I8" s="162"/>
    </row>
    <row r="9" spans="1:13" ht="12.75" customHeight="1" x14ac:dyDescent="0.2">
      <c r="C9" s="161"/>
      <c r="D9" s="161"/>
      <c r="E9" s="162"/>
      <c r="F9" s="162"/>
      <c r="G9" s="162"/>
      <c r="H9" s="162"/>
      <c r="I9" s="162"/>
    </row>
    <row r="10" spans="1:13" ht="12.75" customHeight="1" x14ac:dyDescent="0.2">
      <c r="C10" s="161"/>
      <c r="D10" s="161"/>
      <c r="E10" s="162"/>
      <c r="F10" s="162"/>
      <c r="G10" s="162"/>
      <c r="H10" s="162"/>
      <c r="I10" s="162"/>
    </row>
    <row r="11" spans="1:13" ht="12.75" customHeight="1" x14ac:dyDescent="0.2">
      <c r="C11" s="161"/>
      <c r="D11" s="161"/>
      <c r="E11" s="162"/>
      <c r="F11" s="162"/>
      <c r="G11" s="162"/>
      <c r="H11" s="162"/>
      <c r="I11" s="162"/>
    </row>
    <row r="12" spans="1:13" ht="12.75" customHeight="1" x14ac:dyDescent="0.2">
      <c r="C12" s="161"/>
      <c r="D12" s="161"/>
      <c r="E12" s="162"/>
      <c r="F12" s="162"/>
      <c r="G12" s="162"/>
      <c r="H12" s="162"/>
      <c r="I12" s="162"/>
    </row>
    <row r="13" spans="1:13" ht="12.75" customHeight="1" x14ac:dyDescent="0.2">
      <c r="C13" s="161"/>
      <c r="D13" s="161"/>
      <c r="E13" s="162"/>
      <c r="F13" s="162"/>
      <c r="G13" s="162"/>
      <c r="H13" s="162"/>
      <c r="I13" s="162"/>
    </row>
    <row r="14" spans="1:13" ht="12.75" customHeight="1" x14ac:dyDescent="0.2">
      <c r="C14" s="161"/>
      <c r="D14" s="161"/>
      <c r="E14" s="162"/>
      <c r="F14" s="162"/>
      <c r="G14" s="162"/>
      <c r="H14" s="162"/>
      <c r="I14" s="162"/>
    </row>
    <row r="15" spans="1:13" ht="12" customHeight="1" x14ac:dyDescent="0.2">
      <c r="B15" s="39" t="s">
        <v>514</v>
      </c>
      <c r="C15" s="1548" t="s">
        <v>713</v>
      </c>
      <c r="D15" s="1548"/>
      <c r="E15" s="1548"/>
      <c r="F15" s="1548"/>
      <c r="G15" s="1548"/>
      <c r="H15" s="1548"/>
      <c r="I15" s="1548"/>
      <c r="J15" s="195"/>
    </row>
    <row r="16" spans="1:13" ht="26.25" customHeight="1" x14ac:dyDescent="0.2">
      <c r="C16" s="1548"/>
      <c r="D16" s="1548"/>
      <c r="E16" s="1548"/>
      <c r="F16" s="1548"/>
      <c r="G16" s="1548"/>
      <c r="H16" s="1548"/>
      <c r="I16" s="1548"/>
      <c r="J16" s="195"/>
    </row>
    <row r="17" spans="2:9" ht="4.5" customHeight="1" x14ac:dyDescent="0.2"/>
    <row r="18" spans="2:9" ht="12.75" customHeight="1" x14ac:dyDescent="0.2">
      <c r="B18" s="39" t="s">
        <v>515</v>
      </c>
      <c r="C18" s="195"/>
      <c r="D18" s="195"/>
      <c r="E18" s="195"/>
      <c r="F18" s="195"/>
      <c r="G18" s="195"/>
      <c r="H18" s="195"/>
      <c r="I18" s="195"/>
    </row>
    <row r="19" spans="2:9" ht="12.75" customHeight="1" x14ac:dyDescent="0.2">
      <c r="C19" s="195"/>
      <c r="D19" s="195"/>
      <c r="E19" s="195"/>
      <c r="F19" s="195"/>
      <c r="G19" s="195"/>
      <c r="H19" s="195"/>
      <c r="I19" s="195"/>
    </row>
    <row r="20" spans="2:9" ht="12.75" customHeight="1" x14ac:dyDescent="0.2">
      <c r="C20" s="195"/>
      <c r="D20" s="195"/>
      <c r="E20" s="195"/>
      <c r="F20" s="195"/>
      <c r="G20" s="195"/>
      <c r="H20" s="195"/>
      <c r="I20" s="195"/>
    </row>
    <row r="21" spans="2:9" ht="12.75" customHeight="1" x14ac:dyDescent="0.2">
      <c r="C21" s="195"/>
      <c r="D21" s="195"/>
      <c r="E21" s="195"/>
      <c r="F21" s="195"/>
      <c r="G21" s="195"/>
      <c r="H21" s="195"/>
      <c r="I21" s="195"/>
    </row>
    <row r="22" spans="2:9" ht="12.75" customHeight="1" x14ac:dyDescent="0.2">
      <c r="C22" s="195"/>
      <c r="D22" s="195"/>
      <c r="E22" s="195"/>
      <c r="F22" s="195"/>
      <c r="G22" s="195"/>
      <c r="H22" s="195"/>
      <c r="I22" s="195"/>
    </row>
    <row r="23" spans="2:9" ht="4.5" customHeight="1" x14ac:dyDescent="0.2"/>
    <row r="24" spans="2:9" ht="12" customHeight="1" x14ac:dyDescent="0.2">
      <c r="B24" s="39" t="s">
        <v>516</v>
      </c>
      <c r="C24" s="1424" t="s">
        <v>1077</v>
      </c>
      <c r="D24" s="1454"/>
      <c r="E24" s="1454"/>
      <c r="F24" s="1454"/>
      <c r="G24" s="1454"/>
      <c r="H24" s="1454"/>
      <c r="I24" s="1454"/>
    </row>
    <row r="25" spans="2:9" ht="12.75" hidden="1" customHeight="1" x14ac:dyDescent="0.2">
      <c r="C25" s="1454"/>
      <c r="D25" s="1454"/>
      <c r="E25" s="1454"/>
      <c r="F25" s="1454"/>
      <c r="G25" s="1454"/>
      <c r="H25" s="1454"/>
      <c r="I25" s="1454"/>
    </row>
    <row r="26" spans="2:9" ht="4.5" customHeight="1" x14ac:dyDescent="0.2"/>
    <row r="27" spans="2:9" ht="12.75" hidden="1" customHeight="1" x14ac:dyDescent="0.2">
      <c r="B27" s="39"/>
      <c r="C27" s="1328"/>
      <c r="D27" s="1328"/>
      <c r="E27" s="1328"/>
      <c r="F27" s="1328"/>
      <c r="G27" s="1328"/>
      <c r="H27" s="1328"/>
      <c r="I27" s="1328"/>
    </row>
    <row r="28" spans="2:9" ht="12.75" customHeight="1" x14ac:dyDescent="0.2">
      <c r="B28" s="39" t="s">
        <v>542</v>
      </c>
      <c r="C28" s="1424" t="s">
        <v>1078</v>
      </c>
      <c r="D28" s="1337"/>
      <c r="E28" s="1337"/>
      <c r="F28" s="1337"/>
      <c r="G28" s="1337"/>
      <c r="H28" s="1337"/>
      <c r="I28" s="1337"/>
    </row>
    <row r="29" spans="2:9" ht="12.75" customHeight="1" x14ac:dyDescent="0.2">
      <c r="B29" s="39"/>
      <c r="C29" s="1337"/>
      <c r="D29" s="1337"/>
      <c r="E29" s="1337"/>
      <c r="F29" s="1337"/>
      <c r="G29" s="1337"/>
      <c r="H29" s="1337"/>
      <c r="I29" s="1337"/>
    </row>
    <row r="30" spans="2:9" ht="4.5" customHeight="1" x14ac:dyDescent="0.2">
      <c r="B30" s="39"/>
    </row>
    <row r="31" spans="2:9" ht="12.75" customHeight="1" x14ac:dyDescent="0.2">
      <c r="B31" s="39" t="s">
        <v>543</v>
      </c>
      <c r="C31" s="1548" t="s">
        <v>84</v>
      </c>
      <c r="D31" s="1548"/>
      <c r="E31" s="1548"/>
      <c r="F31" s="1548"/>
      <c r="G31" s="1548"/>
      <c r="H31" s="1548"/>
      <c r="I31" s="1548"/>
    </row>
    <row r="32" spans="2:9" ht="26.25" customHeight="1" x14ac:dyDescent="0.2">
      <c r="B32" s="39"/>
      <c r="C32" s="1548"/>
      <c r="D32" s="1548"/>
      <c r="E32" s="1548"/>
      <c r="F32" s="1548"/>
      <c r="G32" s="1548"/>
      <c r="H32" s="1548"/>
      <c r="I32" s="1548"/>
    </row>
    <row r="33" spans="1:13" ht="17.25" customHeight="1" thickBot="1" x14ac:dyDescent="0.25"/>
    <row r="34" spans="1:13" ht="33.75" customHeight="1" thickTop="1" thickBot="1" x14ac:dyDescent="0.3">
      <c r="C34" s="1531" t="s">
        <v>486</v>
      </c>
      <c r="D34" s="1532"/>
      <c r="E34" s="1532"/>
      <c r="F34" s="1532"/>
      <c r="G34" s="1532"/>
      <c r="H34" s="1532"/>
      <c r="I34" s="1533"/>
    </row>
    <row r="35" spans="1:13" ht="24" customHeight="1" thickTop="1" x14ac:dyDescent="0.2"/>
    <row r="36" spans="1:13" ht="17.25" customHeight="1" x14ac:dyDescent="0.2">
      <c r="A36" s="4" t="s">
        <v>540</v>
      </c>
      <c r="B36" s="1524" t="s">
        <v>855</v>
      </c>
      <c r="C36" s="1525"/>
      <c r="D36" s="1525"/>
      <c r="E36" s="1525"/>
      <c r="F36" s="1525"/>
      <c r="G36" s="1525"/>
      <c r="H36" s="1525"/>
      <c r="I36" s="1526"/>
    </row>
    <row r="37" spans="1:13" ht="22.5" customHeight="1" x14ac:dyDescent="0.2">
      <c r="B37" s="1527"/>
      <c r="C37" s="1528"/>
      <c r="D37" s="1528"/>
      <c r="E37" s="1528"/>
      <c r="F37" s="1528"/>
      <c r="G37" s="1528"/>
      <c r="H37" s="1528"/>
      <c r="I37" s="1529"/>
    </row>
    <row r="38" spans="1:13" ht="24" customHeight="1" x14ac:dyDescent="0.2">
      <c r="C38" s="163"/>
      <c r="D38" s="163"/>
      <c r="E38" s="11"/>
      <c r="F38" s="11"/>
      <c r="G38" s="11"/>
      <c r="H38" s="11"/>
      <c r="I38" s="164"/>
    </row>
    <row r="39" spans="1:13" x14ac:dyDescent="0.2">
      <c r="C39" s="1541" t="s">
        <v>14</v>
      </c>
      <c r="D39" s="1541"/>
      <c r="E39" s="1541"/>
      <c r="F39" s="1541"/>
      <c r="G39" s="1541"/>
      <c r="H39" s="57"/>
      <c r="I39" s="57"/>
      <c r="J39" s="57"/>
      <c r="K39" s="57"/>
      <c r="L39" s="57"/>
      <c r="M39" s="57"/>
    </row>
    <row r="40" spans="1:13" x14ac:dyDescent="0.2">
      <c r="C40" s="4"/>
      <c r="D40" s="4"/>
      <c r="E40" s="109" t="s">
        <v>15</v>
      </c>
      <c r="F40" s="158"/>
      <c r="G40" s="165" t="s">
        <v>16</v>
      </c>
      <c r="H40" s="166"/>
    </row>
    <row r="41" spans="1:13" x14ac:dyDescent="0.2">
      <c r="C41" s="121" t="s">
        <v>17</v>
      </c>
      <c r="D41" s="121"/>
      <c r="E41" s="1"/>
      <c r="F41" s="11"/>
      <c r="G41" s="164"/>
      <c r="H41" s="164"/>
    </row>
    <row r="42" spans="1:13" x14ac:dyDescent="0.2">
      <c r="C42" s="167" t="s">
        <v>18</v>
      </c>
      <c r="D42" s="167"/>
      <c r="E42" s="1"/>
      <c r="F42" s="11"/>
      <c r="G42" s="164"/>
      <c r="H42" s="164"/>
    </row>
    <row r="43" spans="1:13" x14ac:dyDescent="0.2">
      <c r="C43" s="168" t="s">
        <v>189</v>
      </c>
      <c r="D43" s="168"/>
      <c r="E43" s="363">
        <v>0</v>
      </c>
      <c r="F43" s="11"/>
      <c r="G43" s="636">
        <f t="shared" ref="G43:G53" si="0">IF(E$63=0,0,ROUND(E43/E$63,4))</f>
        <v>0</v>
      </c>
      <c r="H43" s="164"/>
    </row>
    <row r="44" spans="1:13" x14ac:dyDescent="0.2">
      <c r="C44" s="168" t="s">
        <v>1020</v>
      </c>
      <c r="D44" s="168"/>
      <c r="E44" s="348">
        <v>0</v>
      </c>
      <c r="F44" s="11"/>
      <c r="G44" s="636">
        <f t="shared" si="0"/>
        <v>0</v>
      </c>
      <c r="H44" s="164"/>
    </row>
    <row r="45" spans="1:13" x14ac:dyDescent="0.2">
      <c r="C45" s="168" t="s">
        <v>992</v>
      </c>
      <c r="D45" s="168"/>
      <c r="E45" s="348">
        <v>0</v>
      </c>
      <c r="F45" s="11"/>
      <c r="G45" s="636">
        <f t="shared" si="0"/>
        <v>0</v>
      </c>
      <c r="H45" s="164"/>
    </row>
    <row r="46" spans="1:13" x14ac:dyDescent="0.2">
      <c r="C46" s="168" t="s">
        <v>819</v>
      </c>
      <c r="D46" s="168"/>
      <c r="E46" s="348">
        <v>0</v>
      </c>
      <c r="F46" s="11"/>
      <c r="G46" s="636">
        <f t="shared" si="0"/>
        <v>0</v>
      </c>
      <c r="H46" s="164"/>
    </row>
    <row r="47" spans="1:13" x14ac:dyDescent="0.2">
      <c r="C47" s="168" t="s">
        <v>808</v>
      </c>
      <c r="D47" s="168"/>
      <c r="E47" s="348">
        <v>0</v>
      </c>
      <c r="F47" s="11"/>
      <c r="G47" s="636">
        <f t="shared" si="0"/>
        <v>0</v>
      </c>
      <c r="H47" s="164"/>
    </row>
    <row r="48" spans="1:13" x14ac:dyDescent="0.2">
      <c r="C48" s="168" t="s">
        <v>307</v>
      </c>
      <c r="D48" s="168"/>
      <c r="E48" s="348">
        <v>0</v>
      </c>
      <c r="F48" s="11"/>
      <c r="G48" s="636">
        <f t="shared" si="0"/>
        <v>0</v>
      </c>
      <c r="H48" s="164"/>
    </row>
    <row r="49" spans="3:8" x14ac:dyDescent="0.2">
      <c r="C49" s="168" t="s">
        <v>19</v>
      </c>
      <c r="D49" s="168"/>
      <c r="E49" s="348">
        <v>0</v>
      </c>
      <c r="F49" s="11"/>
      <c r="G49" s="636">
        <f t="shared" si="0"/>
        <v>0</v>
      </c>
      <c r="H49" s="164"/>
    </row>
    <row r="50" spans="3:8" x14ac:dyDescent="0.2">
      <c r="C50" s="168" t="s">
        <v>172</v>
      </c>
      <c r="D50" s="168"/>
      <c r="E50" s="348">
        <v>0</v>
      </c>
      <c r="F50" s="11"/>
      <c r="G50" s="636">
        <f t="shared" si="0"/>
        <v>0</v>
      </c>
      <c r="H50" s="164"/>
    </row>
    <row r="51" spans="3:8" x14ac:dyDescent="0.2">
      <c r="C51" s="382" t="s">
        <v>729</v>
      </c>
      <c r="D51" s="168"/>
      <c r="E51" s="348">
        <v>0</v>
      </c>
      <c r="F51" s="11"/>
      <c r="G51" s="636">
        <f t="shared" si="0"/>
        <v>0</v>
      </c>
      <c r="H51" s="164"/>
    </row>
    <row r="52" spans="3:8" x14ac:dyDescent="0.2">
      <c r="C52" s="168"/>
      <c r="D52" s="168"/>
      <c r="E52" s="1"/>
      <c r="F52" s="11"/>
      <c r="G52" s="164"/>
      <c r="H52" s="164"/>
    </row>
    <row r="53" spans="3:8" ht="15" x14ac:dyDescent="0.2">
      <c r="C53" s="169" t="s">
        <v>20</v>
      </c>
      <c r="D53" s="169"/>
      <c r="E53" s="184">
        <f>+SUM(E43:E52)</f>
        <v>0</v>
      </c>
      <c r="F53" s="11"/>
      <c r="G53" s="636">
        <f t="shared" si="0"/>
        <v>0</v>
      </c>
      <c r="H53" s="185" t="s">
        <v>336</v>
      </c>
    </row>
    <row r="54" spans="3:8" x14ac:dyDescent="0.2">
      <c r="E54" s="1"/>
      <c r="F54" s="11"/>
      <c r="G54" s="170" t="s">
        <v>49</v>
      </c>
      <c r="H54" s="170"/>
    </row>
    <row r="55" spans="3:8" x14ac:dyDescent="0.2">
      <c r="C55" s="167" t="s">
        <v>21</v>
      </c>
      <c r="D55" s="167"/>
      <c r="E55" s="1"/>
      <c r="F55" s="11"/>
      <c r="G55" s="170" t="s">
        <v>49</v>
      </c>
      <c r="H55" s="170"/>
    </row>
    <row r="56" spans="3:8" x14ac:dyDescent="0.2">
      <c r="C56" s="168" t="s">
        <v>22</v>
      </c>
      <c r="D56" s="168"/>
      <c r="E56" s="363">
        <v>0</v>
      </c>
      <c r="F56" s="11"/>
      <c r="G56" s="636">
        <f>IF(E$63=0,0,ROUND(E56/E$63,4))</f>
        <v>0</v>
      </c>
      <c r="H56" s="164"/>
    </row>
    <row r="57" spans="3:8" x14ac:dyDescent="0.2">
      <c r="C57" s="168" t="s">
        <v>23</v>
      </c>
      <c r="D57" s="168"/>
      <c r="E57" s="364">
        <v>0</v>
      </c>
      <c r="F57" s="171"/>
      <c r="G57" s="636">
        <f>IF(E$63=0,0,ROUND(E57/E$63,4))</f>
        <v>0</v>
      </c>
      <c r="H57" s="164"/>
    </row>
    <row r="58" spans="3:8" x14ac:dyDescent="0.2">
      <c r="C58" s="382" t="s">
        <v>736</v>
      </c>
      <c r="D58" s="168"/>
      <c r="E58" s="364">
        <v>0</v>
      </c>
      <c r="F58" s="171"/>
      <c r="G58" s="636">
        <f>IF(E$63=0,0,ROUND(E58/E$63,4))</f>
        <v>0</v>
      </c>
      <c r="H58" s="164"/>
    </row>
    <row r="59" spans="3:8" x14ac:dyDescent="0.2">
      <c r="C59" s="382" t="s">
        <v>737</v>
      </c>
      <c r="D59" s="168"/>
      <c r="E59" s="364">
        <v>0</v>
      </c>
      <c r="F59" s="171"/>
      <c r="G59" s="636">
        <f>IF(E$63=0,0,ROUND(E59/E$63,4))</f>
        <v>0</v>
      </c>
      <c r="H59" s="164"/>
    </row>
    <row r="60" spans="3:8" x14ac:dyDescent="0.2">
      <c r="C60" s="167"/>
      <c r="D60" s="167"/>
      <c r="E60" s="1"/>
      <c r="F60" s="11"/>
      <c r="G60" s="164"/>
      <c r="H60" s="164"/>
    </row>
    <row r="61" spans="3:8" x14ac:dyDescent="0.2">
      <c r="C61" s="169" t="s">
        <v>24</v>
      </c>
      <c r="D61" s="169"/>
      <c r="E61" s="184">
        <f>+SUM(E56:E60)</f>
        <v>0</v>
      </c>
      <c r="F61" s="11"/>
      <c r="G61" s="636">
        <f>IF(E$63=0,0,ROUND(E61/E$63,4))</f>
        <v>0</v>
      </c>
      <c r="H61" s="172"/>
    </row>
    <row r="62" spans="3:8" x14ac:dyDescent="0.2">
      <c r="C62" s="168"/>
      <c r="D62" s="168"/>
      <c r="E62" s="1"/>
      <c r="F62" s="11"/>
      <c r="G62" s="164"/>
      <c r="H62" s="164"/>
    </row>
    <row r="63" spans="3:8" ht="13.5" thickBot="1" x14ac:dyDescent="0.25">
      <c r="C63" s="173" t="s">
        <v>25</v>
      </c>
      <c r="D63" s="173"/>
      <c r="E63" s="186">
        <f>+E53+E61</f>
        <v>0</v>
      </c>
      <c r="F63" s="11"/>
      <c r="G63" s="637">
        <f>G53+G61</f>
        <v>0</v>
      </c>
      <c r="H63" s="172"/>
    </row>
    <row r="64" spans="3:8" ht="13.5" thickTop="1" x14ac:dyDescent="0.2">
      <c r="C64" s="173"/>
      <c r="D64" s="173"/>
      <c r="E64" s="11"/>
      <c r="F64" s="11"/>
      <c r="G64" s="172"/>
      <c r="H64" s="172"/>
    </row>
    <row r="65" spans="1:9" x14ac:dyDescent="0.2">
      <c r="C65" s="174" t="s">
        <v>26</v>
      </c>
      <c r="D65" s="174"/>
      <c r="E65" s="358">
        <v>0</v>
      </c>
      <c r="F65" s="11"/>
      <c r="G65" s="172"/>
      <c r="H65" s="172"/>
    </row>
    <row r="66" spans="1:9" x14ac:dyDescent="0.2">
      <c r="C66" s="173"/>
      <c r="D66" s="173"/>
      <c r="E66" s="11"/>
      <c r="F66" s="11"/>
      <c r="G66" s="172"/>
      <c r="H66" s="172"/>
    </row>
    <row r="67" spans="1:9" ht="13.5" thickBot="1" x14ac:dyDescent="0.25">
      <c r="C67" s="173" t="s">
        <v>27</v>
      </c>
      <c r="D67" s="173"/>
      <c r="E67" s="186">
        <f>E63+E65</f>
        <v>0</v>
      </c>
      <c r="F67" s="11"/>
      <c r="G67" s="172"/>
      <c r="H67" s="172"/>
    </row>
    <row r="68" spans="1:9" ht="13.5" thickTop="1" x14ac:dyDescent="0.2">
      <c r="C68" s="173"/>
      <c r="D68" s="173"/>
      <c r="E68" s="1"/>
      <c r="F68" s="1"/>
      <c r="G68" s="164"/>
      <c r="H68" s="164"/>
    </row>
    <row r="69" spans="1:9" ht="15.75" customHeight="1" x14ac:dyDescent="0.2">
      <c r="C69" s="173"/>
      <c r="D69" s="173"/>
      <c r="E69" s="1"/>
      <c r="F69" s="1"/>
      <c r="G69" s="1520" t="s">
        <v>930</v>
      </c>
      <c r="H69" s="1520"/>
      <c r="I69" s="1520"/>
    </row>
    <row r="70" spans="1:9" ht="32.25" customHeight="1" x14ac:dyDescent="0.2">
      <c r="C70" s="1324" t="s">
        <v>441</v>
      </c>
      <c r="D70" s="1549"/>
      <c r="E70" s="187" t="str">
        <f>IF(G53&gt;=50%,"Governmental","Business Type")</f>
        <v>Business Type</v>
      </c>
      <c r="F70" s="230" t="s">
        <v>336</v>
      </c>
      <c r="G70" s="1520"/>
      <c r="H70" s="1520"/>
      <c r="I70" s="1520"/>
    </row>
    <row r="71" spans="1:9" ht="30" customHeight="1" x14ac:dyDescent="0.2">
      <c r="C71" s="34"/>
      <c r="D71" s="34"/>
      <c r="E71" s="176"/>
      <c r="F71" s="175"/>
      <c r="G71" s="164"/>
      <c r="H71" s="164"/>
    </row>
    <row r="72" spans="1:9" x14ac:dyDescent="0.2">
      <c r="E72" s="1"/>
      <c r="F72" s="1"/>
      <c r="G72" s="177"/>
      <c r="H72" s="177"/>
      <c r="I72" s="164"/>
    </row>
    <row r="73" spans="1:9" ht="17.25" customHeight="1" x14ac:dyDescent="0.2">
      <c r="A73" s="4" t="s">
        <v>541</v>
      </c>
      <c r="B73" s="1534" t="s">
        <v>1079</v>
      </c>
      <c r="C73" s="1535"/>
      <c r="D73" s="1535"/>
      <c r="E73" s="1535"/>
      <c r="F73" s="1535"/>
      <c r="G73" s="1535"/>
      <c r="H73" s="1535"/>
      <c r="I73" s="1536"/>
    </row>
    <row r="74" spans="1:9" ht="36" customHeight="1" x14ac:dyDescent="0.2">
      <c r="B74" s="1537"/>
      <c r="C74" s="1538"/>
      <c r="D74" s="1538"/>
      <c r="E74" s="1538"/>
      <c r="F74" s="1538"/>
      <c r="G74" s="1538"/>
      <c r="H74" s="1538"/>
      <c r="I74" s="1539"/>
    </row>
    <row r="75" spans="1:9" ht="3.75" customHeight="1" x14ac:dyDescent="0.2">
      <c r="E75" s="1"/>
      <c r="F75" s="1"/>
      <c r="G75" s="177"/>
      <c r="H75" s="177"/>
      <c r="I75" s="164"/>
    </row>
    <row r="76" spans="1:9" x14ac:dyDescent="0.2">
      <c r="B76" s="64" t="s">
        <v>514</v>
      </c>
      <c r="C76" s="4" t="s">
        <v>828</v>
      </c>
      <c r="E76" s="396" t="s">
        <v>510</v>
      </c>
      <c r="F76" s="106"/>
      <c r="G76" s="397" t="s">
        <v>511</v>
      </c>
      <c r="H76" s="177"/>
      <c r="I76" s="164"/>
    </row>
    <row r="77" spans="1:9" ht="4.5" customHeight="1" x14ac:dyDescent="0.2">
      <c r="E77" s="3"/>
      <c r="F77" s="46"/>
      <c r="G77" s="3"/>
      <c r="H77" s="177"/>
      <c r="I77" s="164"/>
    </row>
    <row r="78" spans="1:9" x14ac:dyDescent="0.2">
      <c r="C78" s="13" t="s">
        <v>599</v>
      </c>
      <c r="D78" s="13"/>
      <c r="E78" s="365">
        <v>0</v>
      </c>
      <c r="F78" s="99"/>
      <c r="G78" s="183"/>
      <c r="H78" s="177"/>
      <c r="I78" s="164"/>
    </row>
    <row r="79" spans="1:9" x14ac:dyDescent="0.2">
      <c r="C79" s="13" t="s">
        <v>239</v>
      </c>
      <c r="D79" s="13"/>
      <c r="E79" s="365">
        <v>0</v>
      </c>
      <c r="F79" s="99"/>
      <c r="G79" s="183"/>
      <c r="H79" s="177"/>
      <c r="I79" s="164"/>
    </row>
    <row r="80" spans="1:9" x14ac:dyDescent="0.2">
      <c r="C80" s="13" t="s">
        <v>53</v>
      </c>
      <c r="D80" s="13"/>
      <c r="E80" s="365">
        <v>0</v>
      </c>
      <c r="F80" s="99"/>
      <c r="G80" s="183"/>
      <c r="H80" s="177"/>
      <c r="I80" s="164"/>
    </row>
    <row r="81" spans="1:9" x14ac:dyDescent="0.2">
      <c r="C81" s="13" t="s">
        <v>838</v>
      </c>
      <c r="D81" s="13"/>
      <c r="E81" s="365">
        <v>0</v>
      </c>
      <c r="F81" s="99"/>
      <c r="G81" s="183"/>
      <c r="H81" s="177"/>
      <c r="I81" s="164"/>
    </row>
    <row r="82" spans="1:9" x14ac:dyDescent="0.2">
      <c r="C82" s="13" t="s">
        <v>56</v>
      </c>
      <c r="D82" s="13"/>
      <c r="E82" s="365">
        <v>0</v>
      </c>
      <c r="F82" s="99"/>
      <c r="G82" s="183"/>
      <c r="H82" s="177"/>
      <c r="I82" s="164"/>
    </row>
    <row r="83" spans="1:9" x14ac:dyDescent="0.2">
      <c r="C83" s="13" t="s">
        <v>57</v>
      </c>
      <c r="D83" s="13"/>
      <c r="E83" s="365">
        <v>0</v>
      </c>
      <c r="F83" s="99"/>
      <c r="G83" s="183"/>
      <c r="H83" s="177"/>
      <c r="I83" s="164"/>
    </row>
    <row r="84" spans="1:9" x14ac:dyDescent="0.2">
      <c r="C84" s="13" t="s">
        <v>814</v>
      </c>
      <c r="D84" s="13"/>
      <c r="E84" s="365">
        <v>0</v>
      </c>
      <c r="F84" s="99"/>
      <c r="G84" s="183"/>
      <c r="H84" s="177"/>
      <c r="I84" s="164"/>
    </row>
    <row r="85" spans="1:9" x14ac:dyDescent="0.2">
      <c r="C85" s="13" t="s">
        <v>815</v>
      </c>
      <c r="D85" s="13"/>
      <c r="E85" s="365">
        <v>0</v>
      </c>
      <c r="F85" s="99"/>
      <c r="G85" s="183"/>
      <c r="H85" s="177"/>
      <c r="I85" s="164"/>
    </row>
    <row r="86" spans="1:9" x14ac:dyDescent="0.2">
      <c r="C86" s="13" t="s">
        <v>812</v>
      </c>
      <c r="D86" s="13"/>
      <c r="E86" s="365">
        <v>0</v>
      </c>
      <c r="F86" s="99"/>
      <c r="G86" s="183"/>
      <c r="H86" s="177"/>
      <c r="I86" s="164"/>
    </row>
    <row r="87" spans="1:9" x14ac:dyDescent="0.2">
      <c r="C87" s="13" t="s">
        <v>600</v>
      </c>
      <c r="D87" s="13"/>
      <c r="E87" s="365">
        <v>0</v>
      </c>
      <c r="F87" s="99"/>
      <c r="G87" s="183"/>
      <c r="H87" s="177"/>
      <c r="I87" s="6" t="s">
        <v>1081</v>
      </c>
    </row>
    <row r="88" spans="1:9" s="725" customFormat="1" x14ac:dyDescent="0.2">
      <c r="A88" s="724"/>
      <c r="C88" s="697" t="s">
        <v>2045</v>
      </c>
      <c r="D88" s="726"/>
      <c r="E88" s="365">
        <v>0</v>
      </c>
      <c r="F88" s="728"/>
      <c r="G88" s="183"/>
      <c r="H88" s="177"/>
      <c r="I88" s="6"/>
    </row>
    <row r="89" spans="1:9" s="725" customFormat="1" ht="38.25" x14ac:dyDescent="0.2">
      <c r="A89" s="724"/>
      <c r="C89" s="709" t="s">
        <v>4009</v>
      </c>
      <c r="D89" s="726"/>
      <c r="E89" s="365">
        <v>0</v>
      </c>
      <c r="F89" s="728"/>
      <c r="G89" s="183"/>
      <c r="H89" s="177"/>
      <c r="I89" s="6"/>
    </row>
    <row r="90" spans="1:9" s="725" customFormat="1" ht="25.5" x14ac:dyDescent="0.2">
      <c r="A90" s="724"/>
      <c r="C90" s="709" t="s">
        <v>4018</v>
      </c>
      <c r="D90" s="726"/>
      <c r="E90" s="365">
        <v>0</v>
      </c>
      <c r="F90" s="728"/>
      <c r="G90" s="183"/>
      <c r="H90" s="177"/>
      <c r="I90" s="6"/>
    </row>
    <row r="91" spans="1:9" s="725" customFormat="1" x14ac:dyDescent="0.2">
      <c r="A91" s="724"/>
      <c r="C91" s="697" t="s">
        <v>4019</v>
      </c>
      <c r="D91" s="726"/>
      <c r="E91" s="365">
        <v>0</v>
      </c>
      <c r="F91" s="728"/>
      <c r="G91" s="183"/>
      <c r="H91" s="177"/>
      <c r="I91" s="6"/>
    </row>
    <row r="92" spans="1:9" s="725" customFormat="1" ht="42" customHeight="1" x14ac:dyDescent="0.2">
      <c r="A92" s="724"/>
      <c r="C92" s="742" t="s">
        <v>4021</v>
      </c>
      <c r="D92" s="726"/>
      <c r="E92" s="365">
        <v>0</v>
      </c>
      <c r="F92" s="728"/>
      <c r="G92" s="183"/>
      <c r="H92" s="177"/>
      <c r="I92" s="6"/>
    </row>
    <row r="93" spans="1:9" s="1045" customFormat="1" x14ac:dyDescent="0.2">
      <c r="A93" s="1044"/>
      <c r="C93" s="697" t="s">
        <v>3978</v>
      </c>
      <c r="D93" s="1047"/>
      <c r="E93" s="365">
        <v>0</v>
      </c>
      <c r="F93" s="749"/>
      <c r="G93" s="183"/>
      <c r="H93" s="177"/>
      <c r="I93" s="6"/>
    </row>
    <row r="94" spans="1:9" s="1133" customFormat="1" ht="25.5" x14ac:dyDescent="0.2">
      <c r="A94" s="1132"/>
      <c r="C94" s="1137" t="s">
        <v>4017</v>
      </c>
      <c r="D94" s="1134"/>
      <c r="E94" s="365">
        <v>0</v>
      </c>
      <c r="F94" s="749"/>
      <c r="G94" s="183"/>
      <c r="H94" s="177"/>
      <c r="I94" s="6"/>
    </row>
    <row r="95" spans="1:9" s="1133" customFormat="1" x14ac:dyDescent="0.2">
      <c r="A95" s="1132"/>
      <c r="C95" s="697" t="s">
        <v>4026</v>
      </c>
      <c r="D95" s="1134"/>
      <c r="E95" s="365">
        <v>0</v>
      </c>
      <c r="F95" s="749"/>
      <c r="G95" s="183"/>
      <c r="H95" s="177"/>
      <c r="I95" s="6"/>
    </row>
    <row r="96" spans="1:9" s="1133" customFormat="1" ht="42" customHeight="1" x14ac:dyDescent="0.2">
      <c r="A96" s="1132"/>
      <c r="C96" s="1136" t="s">
        <v>4025</v>
      </c>
      <c r="D96" s="1134"/>
      <c r="E96" s="365">
        <v>0</v>
      </c>
      <c r="F96" s="749"/>
      <c r="G96" s="183"/>
      <c r="H96" s="177"/>
      <c r="I96" s="6"/>
    </row>
    <row r="97" spans="1:9" x14ac:dyDescent="0.2">
      <c r="C97" s="726" t="s">
        <v>601</v>
      </c>
      <c r="D97" s="13"/>
      <c r="E97" s="182"/>
      <c r="F97" s="99"/>
      <c r="G97" s="365">
        <v>0</v>
      </c>
      <c r="H97" s="177"/>
      <c r="I97" s="164"/>
    </row>
    <row r="98" spans="1:9" x14ac:dyDescent="0.2">
      <c r="C98" s="726" t="s">
        <v>602</v>
      </c>
      <c r="D98" s="13"/>
      <c r="E98" s="182"/>
      <c r="F98" s="99"/>
      <c r="G98" s="365">
        <v>0</v>
      </c>
      <c r="H98" s="177"/>
      <c r="I98" s="164"/>
    </row>
    <row r="99" spans="1:9" x14ac:dyDescent="0.2">
      <c r="C99" s="726" t="s">
        <v>603</v>
      </c>
      <c r="D99" s="13"/>
      <c r="E99" s="182"/>
      <c r="F99" s="99"/>
      <c r="G99" s="365">
        <v>0</v>
      </c>
      <c r="H99" s="177"/>
      <c r="I99" s="164"/>
    </row>
    <row r="100" spans="1:9" x14ac:dyDescent="0.2">
      <c r="C100" s="13" t="s">
        <v>604</v>
      </c>
      <c r="D100" s="13"/>
      <c r="E100" s="99"/>
      <c r="F100" s="99"/>
      <c r="G100" s="365">
        <v>0</v>
      </c>
      <c r="H100" s="177"/>
      <c r="I100" s="164"/>
    </row>
    <row r="101" spans="1:9" x14ac:dyDescent="0.2">
      <c r="C101" s="330" t="s">
        <v>58</v>
      </c>
      <c r="D101" s="13"/>
      <c r="E101" s="99"/>
      <c r="F101" s="99"/>
      <c r="G101" s="365">
        <v>0</v>
      </c>
      <c r="H101" s="177"/>
      <c r="I101" s="164"/>
    </row>
    <row r="102" spans="1:9" x14ac:dyDescent="0.2">
      <c r="C102" s="330" t="s">
        <v>837</v>
      </c>
      <c r="D102" s="13"/>
      <c r="E102" s="99"/>
      <c r="F102" s="99"/>
      <c r="G102" s="365">
        <v>0</v>
      </c>
      <c r="H102" s="177"/>
      <c r="I102" s="164"/>
    </row>
    <row r="103" spans="1:9" x14ac:dyDescent="0.2">
      <c r="C103" s="13" t="s">
        <v>919</v>
      </c>
      <c r="D103" s="13"/>
      <c r="E103" s="99"/>
      <c r="F103" s="99"/>
      <c r="G103" s="365">
        <v>0</v>
      </c>
      <c r="H103" s="177"/>
      <c r="I103" s="164"/>
    </row>
    <row r="104" spans="1:9" x14ac:dyDescent="0.2">
      <c r="C104" s="13" t="s">
        <v>920</v>
      </c>
      <c r="D104" s="13"/>
      <c r="E104" s="99"/>
      <c r="F104" s="99"/>
      <c r="G104" s="365">
        <v>0</v>
      </c>
      <c r="H104" s="177"/>
      <c r="I104" s="164"/>
    </row>
    <row r="105" spans="1:9" x14ac:dyDescent="0.2">
      <c r="C105" s="13" t="s">
        <v>371</v>
      </c>
      <c r="D105" s="13"/>
      <c r="E105" s="99"/>
      <c r="F105" s="99"/>
      <c r="G105" s="365">
        <v>0</v>
      </c>
      <c r="H105" s="177"/>
      <c r="I105" s="164"/>
    </row>
    <row r="106" spans="1:9" x14ac:dyDescent="0.2">
      <c r="C106" s="13" t="s">
        <v>921</v>
      </c>
      <c r="D106" s="13"/>
      <c r="E106" s="99"/>
      <c r="F106" s="99"/>
      <c r="G106" s="365">
        <v>0</v>
      </c>
      <c r="H106" s="177"/>
      <c r="I106" s="164"/>
    </row>
    <row r="107" spans="1:9" s="725" customFormat="1" ht="51" x14ac:dyDescent="0.2">
      <c r="A107" s="724"/>
      <c r="C107" s="740" t="s">
        <v>4009</v>
      </c>
      <c r="D107" s="726"/>
      <c r="E107" s="728"/>
      <c r="F107" s="728"/>
      <c r="G107" s="365">
        <v>0</v>
      </c>
      <c r="H107" s="177"/>
      <c r="I107" s="164"/>
    </row>
    <row r="108" spans="1:9" s="725" customFormat="1" ht="25.5" x14ac:dyDescent="0.2">
      <c r="A108" s="724"/>
      <c r="C108" s="740" t="s">
        <v>4018</v>
      </c>
      <c r="D108" s="726"/>
      <c r="E108" s="728"/>
      <c r="F108" s="728"/>
      <c r="G108" s="365">
        <v>0</v>
      </c>
      <c r="H108" s="177"/>
      <c r="I108" s="164"/>
    </row>
    <row r="109" spans="1:9" s="725" customFormat="1" x14ac:dyDescent="0.2">
      <c r="A109" s="724"/>
      <c r="C109" s="741" t="s">
        <v>4019</v>
      </c>
      <c r="D109" s="726"/>
      <c r="E109" s="728"/>
      <c r="F109" s="728"/>
      <c r="G109" s="365">
        <v>0</v>
      </c>
      <c r="H109" s="177"/>
      <c r="I109" s="164"/>
    </row>
    <row r="110" spans="1:9" s="725" customFormat="1" ht="37.5" customHeight="1" x14ac:dyDescent="0.2">
      <c r="A110" s="724"/>
      <c r="C110" s="740" t="s">
        <v>4021</v>
      </c>
      <c r="D110" s="726"/>
      <c r="E110" s="728"/>
      <c r="F110" s="728"/>
      <c r="G110" s="365">
        <v>0</v>
      </c>
      <c r="H110" s="177"/>
      <c r="I110" s="164"/>
    </row>
    <row r="111" spans="1:9" s="1133" customFormat="1" ht="25.5" x14ac:dyDescent="0.2">
      <c r="A111" s="1132"/>
      <c r="C111" s="740" t="s">
        <v>4017</v>
      </c>
      <c r="D111" s="1134"/>
      <c r="E111" s="749"/>
      <c r="F111" s="749"/>
      <c r="G111" s="365">
        <v>0</v>
      </c>
      <c r="H111" s="177"/>
      <c r="I111" s="164"/>
    </row>
    <row r="112" spans="1:9" s="1133" customFormat="1" x14ac:dyDescent="0.2">
      <c r="A112" s="1132"/>
      <c r="C112" s="741" t="s">
        <v>4020</v>
      </c>
      <c r="D112" s="1134"/>
      <c r="E112" s="749"/>
      <c r="F112" s="749"/>
      <c r="G112" s="365">
        <v>0</v>
      </c>
      <c r="H112" s="177"/>
      <c r="I112" s="164"/>
    </row>
    <row r="113" spans="1:9" s="1133" customFormat="1" ht="25.5" x14ac:dyDescent="0.2">
      <c r="A113" s="1132"/>
      <c r="C113" s="740" t="s">
        <v>4025</v>
      </c>
      <c r="D113" s="1134"/>
      <c r="E113" s="749"/>
      <c r="F113" s="749"/>
      <c r="G113" s="365">
        <v>0</v>
      </c>
      <c r="H113" s="177"/>
      <c r="I113" s="164"/>
    </row>
    <row r="114" spans="1:9" x14ac:dyDescent="0.2">
      <c r="C114" s="649" t="s">
        <v>1080</v>
      </c>
      <c r="D114" s="13"/>
      <c r="E114" s="93"/>
      <c r="F114" s="93"/>
      <c r="G114" s="365">
        <v>0</v>
      </c>
      <c r="H114" s="177"/>
      <c r="I114" s="227" t="s">
        <v>716</v>
      </c>
    </row>
    <row r="115" spans="1:9" ht="7.5" customHeight="1" x14ac:dyDescent="0.2">
      <c r="C115" s="13"/>
      <c r="D115" s="13"/>
      <c r="E115" s="93"/>
      <c r="F115" s="93"/>
      <c r="G115" s="93"/>
      <c r="H115" s="177"/>
      <c r="I115" s="164"/>
    </row>
    <row r="116" spans="1:9" ht="12.75" customHeight="1" x14ac:dyDescent="0.2">
      <c r="B116" s="64" t="s">
        <v>515</v>
      </c>
      <c r="C116" s="147" t="s">
        <v>829</v>
      </c>
      <c r="D116" s="13"/>
      <c r="E116" s="93"/>
      <c r="F116" s="93"/>
      <c r="G116" s="93"/>
      <c r="H116" s="177"/>
      <c r="I116" s="164"/>
    </row>
    <row r="117" spans="1:9" x14ac:dyDescent="0.2">
      <c r="C117" s="167" t="s">
        <v>889</v>
      </c>
      <c r="D117" s="167"/>
      <c r="F117" s="1"/>
      <c r="G117" s="348">
        <v>0</v>
      </c>
      <c r="H117" s="1"/>
      <c r="I117" s="189"/>
    </row>
    <row r="118" spans="1:9" ht="12.75" customHeight="1" x14ac:dyDescent="0.2">
      <c r="C118" s="167" t="s">
        <v>830</v>
      </c>
      <c r="D118" s="167"/>
      <c r="E118" s="343">
        <v>0</v>
      </c>
      <c r="F118" s="1"/>
      <c r="H118" s="1"/>
      <c r="I118" s="189" t="s">
        <v>715</v>
      </c>
    </row>
    <row r="119" spans="1:9" x14ac:dyDescent="0.2">
      <c r="C119" s="167" t="s">
        <v>145</v>
      </c>
      <c r="D119" s="167"/>
      <c r="E119" s="343">
        <v>0</v>
      </c>
      <c r="F119" s="1"/>
      <c r="H119" s="1"/>
      <c r="I119" s="189" t="s">
        <v>1082</v>
      </c>
    </row>
    <row r="120" spans="1:9" x14ac:dyDescent="0.2">
      <c r="C120" s="167" t="s">
        <v>144</v>
      </c>
      <c r="D120" s="167"/>
      <c r="F120" s="1"/>
      <c r="G120" s="348">
        <v>0</v>
      </c>
      <c r="H120" s="1"/>
      <c r="I120" s="189"/>
    </row>
    <row r="121" spans="1:9" x14ac:dyDescent="0.2">
      <c r="C121" s="167" t="s">
        <v>615</v>
      </c>
      <c r="D121" s="167"/>
      <c r="F121" s="1"/>
      <c r="G121" s="348">
        <v>0</v>
      </c>
      <c r="H121" s="1"/>
      <c r="I121" s="190" t="s">
        <v>565</v>
      </c>
    </row>
    <row r="122" spans="1:9" ht="22.5" x14ac:dyDescent="0.2">
      <c r="C122" s="167" t="s">
        <v>28</v>
      </c>
      <c r="D122" s="167"/>
      <c r="E122" s="343">
        <v>0</v>
      </c>
      <c r="F122" s="1"/>
      <c r="H122" s="1"/>
      <c r="I122" s="188" t="s">
        <v>595</v>
      </c>
    </row>
    <row r="123" spans="1:9" ht="7.5" customHeight="1" x14ac:dyDescent="0.2">
      <c r="B123" s="39"/>
      <c r="C123" s="167"/>
      <c r="D123" s="167"/>
      <c r="F123" s="1"/>
      <c r="G123" s="1"/>
      <c r="H123" s="1"/>
      <c r="I123" s="1"/>
    </row>
    <row r="124" spans="1:9" ht="23.25" customHeight="1" x14ac:dyDescent="0.2">
      <c r="B124" s="64" t="s">
        <v>516</v>
      </c>
      <c r="C124" s="1521" t="s">
        <v>1083</v>
      </c>
      <c r="D124" s="1523">
        <v>0</v>
      </c>
      <c r="F124" s="1"/>
      <c r="H124" s="1"/>
      <c r="I124" s="189" t="s">
        <v>1084</v>
      </c>
    </row>
    <row r="125" spans="1:9" ht="21.75" customHeight="1" x14ac:dyDescent="0.2">
      <c r="B125" s="64"/>
      <c r="C125" s="1522"/>
      <c r="D125" s="1523"/>
      <c r="F125" s="1"/>
      <c r="H125" s="1"/>
      <c r="I125" s="189"/>
    </row>
    <row r="126" spans="1:9" x14ac:dyDescent="0.2">
      <c r="B126" s="39"/>
      <c r="C126" s="224" t="s">
        <v>1006</v>
      </c>
      <c r="D126" s="225">
        <f>G117-E118-E119+G120+G121-E122</f>
        <v>0</v>
      </c>
      <c r="F126" s="1"/>
      <c r="G126" s="1"/>
      <c r="H126" s="1"/>
      <c r="I126" s="1"/>
    </row>
    <row r="127" spans="1:9" ht="36" customHeight="1" thickBot="1" x14ac:dyDescent="0.25">
      <c r="C127" s="168" t="s">
        <v>1007</v>
      </c>
      <c r="D127" s="239">
        <f>D124-D126</f>
        <v>0</v>
      </c>
      <c r="E127" s="8"/>
      <c r="F127" s="226"/>
      <c r="G127" s="207">
        <f>D127</f>
        <v>0</v>
      </c>
      <c r="H127" s="1"/>
      <c r="I127" s="231" t="s">
        <v>351</v>
      </c>
    </row>
    <row r="128" spans="1:9" ht="18.75" customHeight="1" thickTop="1" thickBot="1" x14ac:dyDescent="0.25">
      <c r="C128" s="168"/>
      <c r="D128" s="168"/>
      <c r="E128" s="228">
        <f>SUM(E78:E127)</f>
        <v>0</v>
      </c>
      <c r="F128" s="1"/>
      <c r="G128" s="92">
        <f>SUM(G97:G127)</f>
        <v>0</v>
      </c>
      <c r="H128" s="1"/>
      <c r="I128" s="232" t="s">
        <v>352</v>
      </c>
    </row>
    <row r="129" spans="1:12" ht="13.5" thickTop="1" x14ac:dyDescent="0.2">
      <c r="C129" s="168"/>
      <c r="D129" s="168"/>
      <c r="F129" s="1"/>
      <c r="G129" s="1"/>
      <c r="H129" s="1"/>
      <c r="I129" s="1"/>
    </row>
    <row r="130" spans="1:12" ht="15" customHeight="1" x14ac:dyDescent="0.2">
      <c r="A130" s="4" t="s">
        <v>804</v>
      </c>
      <c r="B130" s="1534" t="s">
        <v>1134</v>
      </c>
      <c r="C130" s="1535"/>
      <c r="D130" s="1535"/>
      <c r="E130" s="1535"/>
      <c r="F130" s="1535"/>
      <c r="G130" s="1535"/>
      <c r="H130" s="1535"/>
      <c r="I130" s="1536"/>
    </row>
    <row r="131" spans="1:12" ht="25.5" customHeight="1" x14ac:dyDescent="0.2">
      <c r="B131" s="1537"/>
      <c r="C131" s="1538"/>
      <c r="D131" s="1538"/>
      <c r="E131" s="1538"/>
      <c r="F131" s="1538"/>
      <c r="G131" s="1538"/>
      <c r="H131" s="1538"/>
      <c r="I131" s="1539"/>
    </row>
    <row r="132" spans="1:12" x14ac:dyDescent="0.2">
      <c r="E132" s="1"/>
      <c r="F132" s="1"/>
      <c r="G132" s="177"/>
      <c r="H132" s="177"/>
      <c r="I132" s="164"/>
    </row>
    <row r="133" spans="1:12" ht="12.75" customHeight="1" x14ac:dyDescent="0.2">
      <c r="B133" s="39" t="s">
        <v>514</v>
      </c>
      <c r="C133" s="1337" t="s">
        <v>521</v>
      </c>
      <c r="D133" s="1337"/>
      <c r="E133" s="1337"/>
      <c r="F133" s="1"/>
      <c r="G133" s="1519">
        <v>0</v>
      </c>
      <c r="H133" s="177"/>
      <c r="I133" s="164"/>
    </row>
    <row r="134" spans="1:12" ht="47.25" customHeight="1" x14ac:dyDescent="0.2">
      <c r="C134" s="1337"/>
      <c r="D134" s="1337"/>
      <c r="E134" s="1337"/>
      <c r="F134" s="1"/>
      <c r="G134" s="1519"/>
      <c r="H134" s="177"/>
      <c r="I134" s="164"/>
    </row>
    <row r="135" spans="1:12" x14ac:dyDescent="0.2">
      <c r="E135" s="1"/>
      <c r="F135" s="1"/>
      <c r="G135" s="177"/>
      <c r="H135" s="177"/>
      <c r="I135" s="193" t="s">
        <v>922</v>
      </c>
    </row>
    <row r="136" spans="1:12" x14ac:dyDescent="0.2">
      <c r="B136" s="39" t="s">
        <v>515</v>
      </c>
      <c r="C136" s="1337" t="s">
        <v>188</v>
      </c>
      <c r="D136" s="1337"/>
      <c r="E136" s="1337"/>
      <c r="F136" s="1"/>
      <c r="G136" s="1519">
        <v>0</v>
      </c>
      <c r="H136" s="177"/>
      <c r="I136" s="164"/>
    </row>
    <row r="137" spans="1:12" ht="44.25" customHeight="1" x14ac:dyDescent="0.2">
      <c r="C137" s="1337"/>
      <c r="D137" s="1337"/>
      <c r="E137" s="1337"/>
      <c r="F137" s="1"/>
      <c r="G137" s="1519"/>
      <c r="H137" s="177"/>
      <c r="I137" s="164"/>
    </row>
    <row r="138" spans="1:12" x14ac:dyDescent="0.2">
      <c r="E138" s="1"/>
      <c r="F138" s="1"/>
      <c r="G138" s="177"/>
      <c r="H138" s="177"/>
      <c r="I138" s="164"/>
    </row>
    <row r="139" spans="1:12" ht="13.5" customHeight="1" x14ac:dyDescent="0.2">
      <c r="A139" s="4" t="s">
        <v>810</v>
      </c>
      <c r="B139" s="1524" t="s">
        <v>505</v>
      </c>
      <c r="C139" s="1525"/>
      <c r="D139" s="1525"/>
      <c r="E139" s="1525"/>
      <c r="F139" s="1525"/>
      <c r="G139" s="1525"/>
      <c r="H139" s="1525"/>
      <c r="I139" s="1526"/>
      <c r="J139" s="1"/>
      <c r="K139" s="1"/>
      <c r="L139" s="1"/>
    </row>
    <row r="140" spans="1:12" ht="12" customHeight="1" x14ac:dyDescent="0.2">
      <c r="B140" s="1527"/>
      <c r="C140" s="1528"/>
      <c r="D140" s="1528"/>
      <c r="E140" s="1528"/>
      <c r="F140" s="1528"/>
      <c r="G140" s="1528"/>
      <c r="H140" s="1528"/>
      <c r="I140" s="1529"/>
      <c r="J140" s="1"/>
      <c r="K140" s="1"/>
      <c r="L140" s="1"/>
    </row>
    <row r="141" spans="1:12" ht="5.25" customHeight="1" x14ac:dyDescent="0.2">
      <c r="C141" s="179"/>
      <c r="D141" s="179"/>
      <c r="E141" s="162"/>
      <c r="F141" s="162"/>
      <c r="G141" s="162"/>
      <c r="H141" s="162"/>
      <c r="I141" s="162"/>
      <c r="J141" s="1"/>
      <c r="K141" s="1"/>
      <c r="L141" s="1"/>
    </row>
    <row r="142" spans="1:12" ht="37.5" customHeight="1" x14ac:dyDescent="0.2">
      <c r="C142" s="196" t="s">
        <v>836</v>
      </c>
      <c r="D142" s="196"/>
      <c r="E142" s="180" t="s">
        <v>596</v>
      </c>
      <c r="F142" s="178"/>
      <c r="G142" s="180" t="s">
        <v>597</v>
      </c>
      <c r="H142" s="178"/>
      <c r="I142" s="181"/>
      <c r="J142" s="1"/>
      <c r="K142" s="1"/>
      <c r="L142" s="1"/>
    </row>
    <row r="143" spans="1:12" x14ac:dyDescent="0.2">
      <c r="E143" s="1"/>
      <c r="F143" s="11"/>
      <c r="G143" s="1"/>
      <c r="H143" s="1"/>
      <c r="I143" s="1"/>
      <c r="J143" s="1"/>
      <c r="K143" s="1"/>
      <c r="L143" s="1"/>
    </row>
    <row r="144" spans="1:12" x14ac:dyDescent="0.2">
      <c r="C144" t="str">
        <f>+$C43</f>
        <v>General government</v>
      </c>
      <c r="E144" s="285">
        <f t="shared" ref="E144:E152" si="1">D$127*G43</f>
        <v>0</v>
      </c>
      <c r="F144" s="1"/>
      <c r="G144" s="1"/>
      <c r="H144" s="1"/>
      <c r="I144" s="1"/>
      <c r="J144" s="1"/>
      <c r="K144" s="1"/>
      <c r="L144" s="1"/>
    </row>
    <row r="145" spans="1:12" x14ac:dyDescent="0.2">
      <c r="C145" t="str">
        <f>+C44</f>
        <v>Public safety</v>
      </c>
      <c r="E145" s="285">
        <f t="shared" si="1"/>
        <v>0</v>
      </c>
      <c r="F145" s="1"/>
      <c r="G145" s="1"/>
      <c r="H145" s="1"/>
      <c r="I145" s="1"/>
      <c r="J145" s="1"/>
      <c r="K145" s="1"/>
      <c r="L145" s="1"/>
    </row>
    <row r="146" spans="1:12" x14ac:dyDescent="0.2">
      <c r="C146" t="str">
        <f>+C45</f>
        <v>Transportation</v>
      </c>
      <c r="E146" s="285">
        <f t="shared" si="1"/>
        <v>0</v>
      </c>
      <c r="F146" s="1"/>
      <c r="G146" s="1"/>
      <c r="H146" s="1"/>
      <c r="I146" s="1"/>
      <c r="J146" s="1"/>
      <c r="K146" s="1"/>
      <c r="L146" s="1"/>
    </row>
    <row r="147" spans="1:12" x14ac:dyDescent="0.2">
      <c r="C147" t="s">
        <v>819</v>
      </c>
      <c r="E147" s="285">
        <f t="shared" si="1"/>
        <v>0</v>
      </c>
      <c r="F147" s="1"/>
      <c r="G147" s="1"/>
      <c r="H147" s="1"/>
      <c r="I147" s="1"/>
      <c r="J147" s="1"/>
      <c r="K147" s="1"/>
      <c r="L147" s="1"/>
    </row>
    <row r="148" spans="1:12" x14ac:dyDescent="0.2">
      <c r="C148" t="s">
        <v>808</v>
      </c>
      <c r="E148" s="285">
        <f t="shared" si="1"/>
        <v>0</v>
      </c>
      <c r="F148" s="1"/>
      <c r="G148" s="1"/>
      <c r="H148" s="1"/>
      <c r="I148" s="1"/>
      <c r="J148" s="1"/>
      <c r="K148" s="1"/>
      <c r="L148" s="1"/>
    </row>
    <row r="149" spans="1:12" x14ac:dyDescent="0.2">
      <c r="C149" t="s">
        <v>307</v>
      </c>
      <c r="E149" s="285">
        <f t="shared" si="1"/>
        <v>0</v>
      </c>
      <c r="F149" s="1"/>
      <c r="G149" s="1"/>
      <c r="H149" s="1"/>
      <c r="I149" s="1"/>
      <c r="J149" s="1"/>
      <c r="K149" s="1"/>
      <c r="L149" s="1"/>
    </row>
    <row r="150" spans="1:12" x14ac:dyDescent="0.2">
      <c r="C150" t="s">
        <v>19</v>
      </c>
      <c r="E150" s="285">
        <f t="shared" si="1"/>
        <v>0</v>
      </c>
      <c r="F150" s="1"/>
      <c r="G150" s="1"/>
      <c r="H150" s="1"/>
      <c r="I150" s="6"/>
      <c r="J150" s="1"/>
      <c r="K150" s="1"/>
      <c r="L150" s="1"/>
    </row>
    <row r="151" spans="1:12" x14ac:dyDescent="0.2">
      <c r="C151" t="s">
        <v>172</v>
      </c>
      <c r="E151" s="285">
        <f t="shared" si="1"/>
        <v>0</v>
      </c>
      <c r="F151" s="1"/>
      <c r="G151" s="1"/>
      <c r="H151" s="1"/>
      <c r="I151" s="229"/>
      <c r="J151" s="1"/>
      <c r="K151" s="1"/>
      <c r="L151" s="1"/>
    </row>
    <row r="152" spans="1:12" ht="12.75" customHeight="1" x14ac:dyDescent="0.2">
      <c r="C152" s="353" t="s">
        <v>729</v>
      </c>
      <c r="E152" s="285">
        <f t="shared" si="1"/>
        <v>0</v>
      </c>
      <c r="F152" s="1"/>
      <c r="G152" s="1"/>
      <c r="H152" s="1"/>
      <c r="J152" s="1"/>
      <c r="K152" s="1"/>
      <c r="L152" s="1"/>
    </row>
    <row r="153" spans="1:12" ht="13.5" customHeight="1" x14ac:dyDescent="0.2">
      <c r="E153" s="1"/>
      <c r="F153" s="1"/>
      <c r="G153" s="1"/>
      <c r="H153" s="1"/>
      <c r="I153" s="1444" t="s">
        <v>187</v>
      </c>
      <c r="J153" s="1"/>
      <c r="K153" s="1"/>
      <c r="L153" s="1"/>
    </row>
    <row r="154" spans="1:12" ht="12" customHeight="1" x14ac:dyDescent="0.2">
      <c r="C154" t="str">
        <f>+C56</f>
        <v>Water and sewer</v>
      </c>
      <c r="E154" s="1"/>
      <c r="F154" s="1"/>
      <c r="G154" s="285">
        <f>D$127*G56</f>
        <v>0</v>
      </c>
      <c r="H154" s="1"/>
      <c r="I154" s="1328"/>
      <c r="J154" s="1"/>
      <c r="K154" s="1"/>
      <c r="L154" s="1"/>
    </row>
    <row r="155" spans="1:12" x14ac:dyDescent="0.2">
      <c r="C155" t="str">
        <f>+C57</f>
        <v>Electric</v>
      </c>
      <c r="E155" s="1"/>
      <c r="F155" s="1"/>
      <c r="G155" s="285">
        <f>D$127*G57</f>
        <v>0</v>
      </c>
      <c r="H155" s="1"/>
      <c r="I155" s="1328"/>
      <c r="J155" s="1"/>
      <c r="K155" s="1"/>
      <c r="L155" s="1"/>
    </row>
    <row r="156" spans="1:12" x14ac:dyDescent="0.2">
      <c r="C156" s="353" t="s">
        <v>738</v>
      </c>
      <c r="E156" s="1"/>
      <c r="F156" s="1"/>
      <c r="G156" s="285">
        <f>D$127*G58</f>
        <v>0</v>
      </c>
      <c r="H156" s="1"/>
      <c r="I156" s="1328"/>
      <c r="J156" s="1"/>
      <c r="K156" s="1"/>
      <c r="L156" s="1"/>
    </row>
    <row r="157" spans="1:12" x14ac:dyDescent="0.2">
      <c r="C157" s="353" t="s">
        <v>739</v>
      </c>
      <c r="E157" s="1"/>
      <c r="F157" s="1"/>
      <c r="G157" s="285">
        <f>D$127*G59</f>
        <v>0</v>
      </c>
      <c r="H157" s="1"/>
      <c r="I157" s="1407"/>
      <c r="J157" s="1"/>
      <c r="K157" s="1"/>
      <c r="L157" s="1"/>
    </row>
    <row r="158" spans="1:12" ht="13.5" thickBot="1" x14ac:dyDescent="0.25">
      <c r="C158" s="167" t="s">
        <v>598</v>
      </c>
      <c r="D158" s="167"/>
      <c r="E158" s="92">
        <f>SUM(E144:E157)</f>
        <v>0</v>
      </c>
      <c r="F158" s="1"/>
      <c r="G158" s="92">
        <f>SUM(G154:G157)</f>
        <v>0</v>
      </c>
      <c r="H158" s="233" t="s">
        <v>513</v>
      </c>
      <c r="I158" s="92">
        <f>SUM(E158:G158)</f>
        <v>0</v>
      </c>
      <c r="J158" s="1"/>
      <c r="K158" s="1"/>
      <c r="L158" s="1"/>
    </row>
    <row r="159" spans="1:12" ht="13.5" thickTop="1" x14ac:dyDescent="0.2">
      <c r="E159" s="1"/>
      <c r="F159" s="1"/>
      <c r="G159" s="1"/>
      <c r="H159" s="1"/>
      <c r="I159" s="164"/>
    </row>
    <row r="160" spans="1:12" ht="25.5" customHeight="1" x14ac:dyDescent="0.2">
      <c r="A160" s="4" t="s">
        <v>826</v>
      </c>
      <c r="B160" s="1413" t="s">
        <v>1026</v>
      </c>
      <c r="C160" s="1414"/>
      <c r="D160" s="1414"/>
      <c r="E160" s="1414"/>
      <c r="F160" s="1414"/>
      <c r="G160" s="1414"/>
      <c r="H160" s="1414"/>
      <c r="I160" s="1415"/>
    </row>
    <row r="161" spans="1:9" ht="12.75" customHeight="1" x14ac:dyDescent="0.2">
      <c r="E161" s="1"/>
      <c r="F161" s="1"/>
      <c r="G161" s="1"/>
      <c r="H161" s="1"/>
      <c r="I161" s="164"/>
    </row>
    <row r="162" spans="1:9" x14ac:dyDescent="0.2">
      <c r="E162" s="3" t="s">
        <v>510</v>
      </c>
      <c r="F162" s="46"/>
      <c r="G162" s="3" t="s">
        <v>511</v>
      </c>
      <c r="H162" s="46"/>
    </row>
    <row r="163" spans="1:9" x14ac:dyDescent="0.2">
      <c r="E163" s="216"/>
      <c r="F163" s="46"/>
      <c r="G163" s="220"/>
      <c r="H163" s="46"/>
      <c r="I163" s="191"/>
    </row>
    <row r="164" spans="1:9" x14ac:dyDescent="0.2">
      <c r="A164" s="197" t="s">
        <v>566</v>
      </c>
      <c r="C164" s="13" t="s">
        <v>599</v>
      </c>
      <c r="D164" s="13"/>
      <c r="E164" s="83">
        <f t="shared" ref="E164:E182" si="2">E78</f>
        <v>0</v>
      </c>
      <c r="G164" s="79"/>
    </row>
    <row r="165" spans="1:9" x14ac:dyDescent="0.2">
      <c r="C165" s="13" t="s">
        <v>239</v>
      </c>
      <c r="D165" s="13"/>
      <c r="E165" s="83">
        <f t="shared" si="2"/>
        <v>0</v>
      </c>
      <c r="G165" s="79"/>
    </row>
    <row r="166" spans="1:9" x14ac:dyDescent="0.2">
      <c r="C166" s="13" t="s">
        <v>53</v>
      </c>
      <c r="D166" s="13"/>
      <c r="E166" s="83">
        <f t="shared" si="2"/>
        <v>0</v>
      </c>
      <c r="G166" s="79"/>
    </row>
    <row r="167" spans="1:9" x14ac:dyDescent="0.2">
      <c r="C167" s="649" t="s">
        <v>838</v>
      </c>
      <c r="D167" s="13"/>
      <c r="E167" s="83">
        <f t="shared" si="2"/>
        <v>0</v>
      </c>
      <c r="G167" s="79"/>
    </row>
    <row r="168" spans="1:9" x14ac:dyDescent="0.2">
      <c r="C168" s="13" t="s">
        <v>56</v>
      </c>
      <c r="D168" s="13"/>
      <c r="E168" s="83">
        <f t="shared" si="2"/>
        <v>0</v>
      </c>
      <c r="G168" s="79"/>
    </row>
    <row r="169" spans="1:9" x14ac:dyDescent="0.2">
      <c r="C169" s="13" t="s">
        <v>57</v>
      </c>
      <c r="D169" s="13"/>
      <c r="E169" s="83">
        <f t="shared" si="2"/>
        <v>0</v>
      </c>
      <c r="G169" s="79"/>
    </row>
    <row r="170" spans="1:9" x14ac:dyDescent="0.2">
      <c r="C170" s="13" t="s">
        <v>814</v>
      </c>
      <c r="D170" s="13"/>
      <c r="E170" s="83">
        <f t="shared" si="2"/>
        <v>0</v>
      </c>
      <c r="G170" s="79"/>
    </row>
    <row r="171" spans="1:9" x14ac:dyDescent="0.2">
      <c r="C171" s="13" t="s">
        <v>815</v>
      </c>
      <c r="D171" s="13"/>
      <c r="E171" s="83">
        <f t="shared" si="2"/>
        <v>0</v>
      </c>
      <c r="G171" s="79"/>
    </row>
    <row r="172" spans="1:9" x14ac:dyDescent="0.2">
      <c r="C172" s="13" t="s">
        <v>812</v>
      </c>
      <c r="D172" s="13"/>
      <c r="E172" s="83">
        <f t="shared" si="2"/>
        <v>0</v>
      </c>
      <c r="G172" s="79"/>
    </row>
    <row r="173" spans="1:9" x14ac:dyDescent="0.2">
      <c r="C173" s="13" t="s">
        <v>600</v>
      </c>
      <c r="D173" s="13"/>
      <c r="E173" s="83">
        <f t="shared" si="2"/>
        <v>0</v>
      </c>
      <c r="G173" s="79"/>
      <c r="I173" s="6" t="s">
        <v>1028</v>
      </c>
    </row>
    <row r="174" spans="1:9" s="725" customFormat="1" x14ac:dyDescent="0.2">
      <c r="A174" s="724"/>
      <c r="C174" s="697" t="s">
        <v>2045</v>
      </c>
      <c r="D174" s="726"/>
      <c r="E174" s="727">
        <f t="shared" si="2"/>
        <v>0</v>
      </c>
      <c r="G174" s="79"/>
      <c r="I174" s="6"/>
    </row>
    <row r="175" spans="1:9" s="725" customFormat="1" ht="38.25" x14ac:dyDescent="0.2">
      <c r="A175" s="724"/>
      <c r="C175" s="1052" t="s">
        <v>4009</v>
      </c>
      <c r="D175" s="726"/>
      <c r="E175" s="727">
        <f t="shared" si="2"/>
        <v>0</v>
      </c>
      <c r="G175" s="79"/>
      <c r="I175" s="6"/>
    </row>
    <row r="176" spans="1:9" s="725" customFormat="1" ht="25.5" x14ac:dyDescent="0.2">
      <c r="A176" s="724"/>
      <c r="C176" s="1052" t="s">
        <v>4018</v>
      </c>
      <c r="D176" s="726"/>
      <c r="E176" s="727">
        <f t="shared" si="2"/>
        <v>0</v>
      </c>
      <c r="G176" s="79"/>
      <c r="I176" s="6"/>
    </row>
    <row r="177" spans="1:9" s="725" customFormat="1" x14ac:dyDescent="0.2">
      <c r="A177" s="724"/>
      <c r="C177" s="697" t="s">
        <v>4019</v>
      </c>
      <c r="D177" s="726"/>
      <c r="E177" s="727">
        <f t="shared" si="2"/>
        <v>0</v>
      </c>
      <c r="G177" s="79"/>
      <c r="I177" s="6"/>
    </row>
    <row r="178" spans="1:9" s="725" customFormat="1" ht="27" customHeight="1" x14ac:dyDescent="0.2">
      <c r="A178" s="724"/>
      <c r="C178" s="742" t="s">
        <v>4021</v>
      </c>
      <c r="D178" s="726"/>
      <c r="E178" s="727">
        <f t="shared" si="2"/>
        <v>0</v>
      </c>
      <c r="G178" s="79"/>
      <c r="I178" s="6"/>
    </row>
    <row r="179" spans="1:9" s="1045" customFormat="1" x14ac:dyDescent="0.2">
      <c r="A179" s="1044"/>
      <c r="C179" s="697" t="s">
        <v>3978</v>
      </c>
      <c r="D179" s="1047"/>
      <c r="E179" s="1048">
        <f t="shared" si="2"/>
        <v>0</v>
      </c>
      <c r="G179" s="79"/>
      <c r="I179" s="6"/>
    </row>
    <row r="180" spans="1:9" s="1133" customFormat="1" ht="25.5" x14ac:dyDescent="0.2">
      <c r="A180" s="1132"/>
      <c r="C180" s="1137" t="s">
        <v>4017</v>
      </c>
      <c r="D180" s="1134"/>
      <c r="E180" s="1135">
        <f t="shared" si="2"/>
        <v>0</v>
      </c>
      <c r="G180" s="79"/>
      <c r="I180" s="6"/>
    </row>
    <row r="181" spans="1:9" s="1133" customFormat="1" x14ac:dyDescent="0.2">
      <c r="A181" s="1132"/>
      <c r="C181" s="697" t="s">
        <v>4020</v>
      </c>
      <c r="D181" s="1134"/>
      <c r="E181" s="1135">
        <f t="shared" si="2"/>
        <v>0</v>
      </c>
      <c r="G181" s="79"/>
      <c r="I181" s="6"/>
    </row>
    <row r="182" spans="1:9" s="1133" customFormat="1" ht="27" customHeight="1" x14ac:dyDescent="0.2">
      <c r="A182" s="1132"/>
      <c r="C182" s="1136" t="s">
        <v>4025</v>
      </c>
      <c r="D182" s="1134"/>
      <c r="E182" s="1135">
        <f t="shared" si="2"/>
        <v>0</v>
      </c>
      <c r="G182" s="79"/>
      <c r="I182" s="6"/>
    </row>
    <row r="183" spans="1:9" x14ac:dyDescent="0.2">
      <c r="C183" s="13" t="s">
        <v>601</v>
      </c>
      <c r="D183" s="13"/>
      <c r="E183" s="79"/>
      <c r="G183" s="83">
        <f t="shared" ref="G183:G196" si="3">G97</f>
        <v>0</v>
      </c>
    </row>
    <row r="184" spans="1:9" x14ac:dyDescent="0.2">
      <c r="C184" s="13" t="s">
        <v>602</v>
      </c>
      <c r="D184" s="13"/>
      <c r="E184" s="79"/>
      <c r="G184" s="83">
        <f t="shared" si="3"/>
        <v>0</v>
      </c>
    </row>
    <row r="185" spans="1:9" x14ac:dyDescent="0.2">
      <c r="C185" s="13" t="s">
        <v>603</v>
      </c>
      <c r="D185" s="13"/>
      <c r="E185" s="79"/>
      <c r="G185" s="83">
        <f t="shared" si="3"/>
        <v>0</v>
      </c>
    </row>
    <row r="186" spans="1:9" x14ac:dyDescent="0.2">
      <c r="C186" s="13" t="s">
        <v>604</v>
      </c>
      <c r="D186" s="13"/>
      <c r="E186" s="79"/>
      <c r="G186" s="83">
        <f t="shared" si="3"/>
        <v>0</v>
      </c>
    </row>
    <row r="187" spans="1:9" x14ac:dyDescent="0.2">
      <c r="C187" s="330" t="s">
        <v>58</v>
      </c>
      <c r="D187" s="13"/>
      <c r="E187" s="79"/>
      <c r="G187" s="83">
        <f t="shared" si="3"/>
        <v>0</v>
      </c>
    </row>
    <row r="188" spans="1:9" x14ac:dyDescent="0.2">
      <c r="C188" s="330" t="s">
        <v>837</v>
      </c>
      <c r="D188" s="13"/>
      <c r="E188" s="79"/>
      <c r="G188" s="83">
        <f t="shared" si="3"/>
        <v>0</v>
      </c>
    </row>
    <row r="189" spans="1:9" x14ac:dyDescent="0.2">
      <c r="C189" s="13" t="s">
        <v>415</v>
      </c>
      <c r="D189" s="13"/>
      <c r="E189" s="79"/>
      <c r="G189" s="83">
        <f t="shared" si="3"/>
        <v>0</v>
      </c>
    </row>
    <row r="190" spans="1:9" x14ac:dyDescent="0.2">
      <c r="C190" s="13" t="s">
        <v>920</v>
      </c>
      <c r="D190" s="13"/>
      <c r="E190" s="79"/>
      <c r="G190" s="83">
        <f t="shared" si="3"/>
        <v>0</v>
      </c>
    </row>
    <row r="191" spans="1:9" x14ac:dyDescent="0.2">
      <c r="C191" s="13" t="s">
        <v>371</v>
      </c>
      <c r="D191" s="13"/>
      <c r="E191" s="79"/>
      <c r="G191" s="83">
        <f t="shared" si="3"/>
        <v>0</v>
      </c>
    </row>
    <row r="192" spans="1:9" x14ac:dyDescent="0.2">
      <c r="C192" s="13" t="s">
        <v>476</v>
      </c>
      <c r="D192" s="13"/>
      <c r="E192" s="79"/>
      <c r="G192" s="83">
        <f t="shared" si="3"/>
        <v>0</v>
      </c>
    </row>
    <row r="193" spans="1:9" s="725" customFormat="1" ht="51" x14ac:dyDescent="0.2">
      <c r="A193" s="724"/>
      <c r="C193" s="740" t="s">
        <v>4009</v>
      </c>
      <c r="D193" s="726"/>
      <c r="E193" s="79"/>
      <c r="G193" s="727">
        <f t="shared" si="3"/>
        <v>0</v>
      </c>
    </row>
    <row r="194" spans="1:9" s="725" customFormat="1" ht="25.5" x14ac:dyDescent="0.2">
      <c r="A194" s="724"/>
      <c r="C194" s="740" t="s">
        <v>4018</v>
      </c>
      <c r="D194" s="726"/>
      <c r="E194" s="79"/>
      <c r="G194" s="727">
        <f t="shared" si="3"/>
        <v>0</v>
      </c>
    </row>
    <row r="195" spans="1:9" s="725" customFormat="1" x14ac:dyDescent="0.2">
      <c r="A195" s="724"/>
      <c r="C195" s="741" t="s">
        <v>4019</v>
      </c>
      <c r="D195" s="726"/>
      <c r="E195" s="79"/>
      <c r="G195" s="727">
        <f t="shared" si="3"/>
        <v>0</v>
      </c>
    </row>
    <row r="196" spans="1:9" s="725" customFormat="1" ht="38.25" x14ac:dyDescent="0.2">
      <c r="A196" s="724"/>
      <c r="C196" s="740" t="s">
        <v>4021</v>
      </c>
      <c r="D196" s="726"/>
      <c r="E196" s="79"/>
      <c r="G196" s="727">
        <f t="shared" si="3"/>
        <v>0</v>
      </c>
    </row>
    <row r="197" spans="1:9" s="1133" customFormat="1" ht="25.5" x14ac:dyDescent="0.2">
      <c r="A197" s="1132"/>
      <c r="C197" s="740" t="s">
        <v>4027</v>
      </c>
      <c r="D197" s="1134"/>
      <c r="E197" s="79"/>
      <c r="G197" s="1135">
        <f t="shared" ref="G197:G199" si="4">G111</f>
        <v>0</v>
      </c>
    </row>
    <row r="198" spans="1:9" s="1133" customFormat="1" x14ac:dyDescent="0.2">
      <c r="A198" s="1132"/>
      <c r="C198" s="741" t="s">
        <v>4026</v>
      </c>
      <c r="D198" s="1134"/>
      <c r="E198" s="79"/>
      <c r="G198" s="1135">
        <f t="shared" si="4"/>
        <v>0</v>
      </c>
    </row>
    <row r="199" spans="1:9" s="1133" customFormat="1" ht="25.5" x14ac:dyDescent="0.2">
      <c r="A199" s="1132"/>
      <c r="C199" s="740" t="s">
        <v>4025</v>
      </c>
      <c r="D199" s="1134"/>
      <c r="E199" s="79"/>
      <c r="G199" s="1135">
        <f t="shared" si="4"/>
        <v>0</v>
      </c>
    </row>
    <row r="200" spans="1:9" x14ac:dyDescent="0.2">
      <c r="C200" s="13" t="s">
        <v>478</v>
      </c>
      <c r="D200" s="13"/>
      <c r="E200" s="78"/>
      <c r="G200" s="78">
        <f>G114+G136</f>
        <v>0</v>
      </c>
    </row>
    <row r="201" spans="1:9" s="13" customFormat="1" ht="6" customHeight="1" x14ac:dyDescent="0.2">
      <c r="A201" s="147"/>
      <c r="E201" s="79"/>
      <c r="F201"/>
      <c r="G201" s="79"/>
      <c r="H201"/>
      <c r="I201"/>
    </row>
    <row r="202" spans="1:9" s="13" customFormat="1" x14ac:dyDescent="0.2">
      <c r="A202" s="147"/>
      <c r="C202" s="13" t="s">
        <v>417</v>
      </c>
      <c r="E202" s="79"/>
      <c r="F202"/>
      <c r="G202" s="78">
        <f>G117</f>
        <v>0</v>
      </c>
      <c r="H202"/>
      <c r="I202"/>
    </row>
    <row r="203" spans="1:9" s="13" customFormat="1" x14ac:dyDescent="0.2">
      <c r="A203" s="147"/>
      <c r="C203" s="13" t="s">
        <v>605</v>
      </c>
      <c r="E203" s="79"/>
      <c r="F203"/>
      <c r="G203" s="78">
        <f>G121</f>
        <v>0</v>
      </c>
      <c r="H203"/>
    </row>
    <row r="204" spans="1:9" s="13" customFormat="1" x14ac:dyDescent="0.2">
      <c r="A204" s="147"/>
      <c r="C204" s="13" t="s">
        <v>606</v>
      </c>
      <c r="E204" s="78">
        <f>E122</f>
        <v>0</v>
      </c>
      <c r="F204"/>
      <c r="G204" s="79"/>
      <c r="H204"/>
      <c r="I204" s="6" t="s">
        <v>148</v>
      </c>
    </row>
    <row r="205" spans="1:9" s="13" customFormat="1" x14ac:dyDescent="0.2">
      <c r="A205" s="147"/>
      <c r="C205" s="13" t="s">
        <v>479</v>
      </c>
      <c r="E205" s="78">
        <f>E118</f>
        <v>0</v>
      </c>
      <c r="F205"/>
      <c r="G205" s="79"/>
      <c r="H205"/>
      <c r="I205"/>
    </row>
    <row r="206" spans="1:9" s="13" customFormat="1" x14ac:dyDescent="0.2">
      <c r="A206" s="147"/>
      <c r="C206" s="13" t="s">
        <v>146</v>
      </c>
      <c r="E206" s="78"/>
      <c r="F206"/>
      <c r="G206" s="78">
        <f>G120</f>
        <v>0</v>
      </c>
      <c r="H206"/>
      <c r="I206"/>
    </row>
    <row r="207" spans="1:9" s="13" customFormat="1" x14ac:dyDescent="0.2">
      <c r="A207" s="147"/>
      <c r="C207" s="13" t="s">
        <v>147</v>
      </c>
      <c r="E207" s="78">
        <f>E119</f>
        <v>0</v>
      </c>
      <c r="F207"/>
      <c r="G207" s="79"/>
      <c r="H207"/>
      <c r="I207"/>
    </row>
    <row r="208" spans="1:9" ht="6" customHeight="1" x14ac:dyDescent="0.2">
      <c r="C208" s="13"/>
      <c r="D208" s="13"/>
      <c r="E208" s="79"/>
      <c r="G208" s="79"/>
    </row>
    <row r="209" spans="1:9" x14ac:dyDescent="0.2">
      <c r="C209" s="167" t="s">
        <v>607</v>
      </c>
      <c r="D209" s="167"/>
      <c r="E209" s="78"/>
      <c r="G209" s="78">
        <f>E144</f>
        <v>0</v>
      </c>
    </row>
    <row r="210" spans="1:9" x14ac:dyDescent="0.2">
      <c r="C210" s="167" t="s">
        <v>608</v>
      </c>
      <c r="D210" s="167"/>
      <c r="E210" s="78"/>
      <c r="G210" s="78">
        <f t="shared" ref="G210:G217" si="5">E145</f>
        <v>0</v>
      </c>
    </row>
    <row r="211" spans="1:9" x14ac:dyDescent="0.2">
      <c r="C211" s="167" t="s">
        <v>609</v>
      </c>
      <c r="D211" s="167"/>
      <c r="E211" s="78"/>
      <c r="G211" s="78">
        <f t="shared" si="5"/>
        <v>0</v>
      </c>
    </row>
    <row r="212" spans="1:9" x14ac:dyDescent="0.2">
      <c r="C212" t="s">
        <v>1027</v>
      </c>
      <c r="E212" s="78"/>
      <c r="G212" s="78">
        <f t="shared" si="5"/>
        <v>0</v>
      </c>
    </row>
    <row r="213" spans="1:9" x14ac:dyDescent="0.2">
      <c r="C213" s="167" t="s">
        <v>610</v>
      </c>
      <c r="D213" s="167"/>
      <c r="E213" s="78"/>
      <c r="G213" s="78">
        <f t="shared" si="5"/>
        <v>0</v>
      </c>
      <c r="I213" s="6" t="s">
        <v>149</v>
      </c>
    </row>
    <row r="214" spans="1:9" x14ac:dyDescent="0.2">
      <c r="C214" s="167" t="s">
        <v>307</v>
      </c>
      <c r="D214" s="167"/>
      <c r="E214" s="78"/>
      <c r="G214" s="78">
        <f t="shared" si="5"/>
        <v>0</v>
      </c>
    </row>
    <row r="215" spans="1:9" x14ac:dyDescent="0.2">
      <c r="C215" s="167" t="s">
        <v>611</v>
      </c>
      <c r="D215" s="167"/>
      <c r="E215" s="78"/>
      <c r="G215" s="78">
        <f t="shared" si="5"/>
        <v>0</v>
      </c>
    </row>
    <row r="216" spans="1:9" x14ac:dyDescent="0.2">
      <c r="C216" s="167" t="s">
        <v>172</v>
      </c>
      <c r="D216" s="167"/>
      <c r="E216" s="78"/>
      <c r="G216" s="78">
        <f t="shared" si="5"/>
        <v>0</v>
      </c>
    </row>
    <row r="217" spans="1:9" x14ac:dyDescent="0.2">
      <c r="C217" s="383" t="s">
        <v>729</v>
      </c>
      <c r="D217" s="167"/>
      <c r="E217" s="78"/>
      <c r="G217" s="78">
        <f t="shared" si="5"/>
        <v>0</v>
      </c>
    </row>
    <row r="218" spans="1:9" x14ac:dyDescent="0.2">
      <c r="A218" s="147"/>
      <c r="B218" s="13"/>
      <c r="C218" s="330" t="s">
        <v>714</v>
      </c>
      <c r="D218" s="330"/>
      <c r="E218" s="78"/>
      <c r="F218" s="13"/>
      <c r="G218" s="78">
        <f>G158+(G136*-1)</f>
        <v>0</v>
      </c>
      <c r="H218" s="13"/>
      <c r="I218" s="147"/>
    </row>
    <row r="219" spans="1:9" ht="6.75" customHeight="1" x14ac:dyDescent="0.2">
      <c r="C219" s="167"/>
      <c r="D219" s="167"/>
      <c r="E219" s="11"/>
      <c r="F219" s="1"/>
      <c r="G219" s="11"/>
      <c r="H219" s="14"/>
      <c r="I219" s="14"/>
    </row>
    <row r="220" spans="1:9" ht="13.5" thickBot="1" x14ac:dyDescent="0.25">
      <c r="C220" s="167"/>
      <c r="D220" s="167"/>
      <c r="E220" s="328">
        <f>SUM(E164:E218)</f>
        <v>0</v>
      </c>
      <c r="F220" s="1"/>
      <c r="G220" s="92">
        <f>SUM(G164:G218)</f>
        <v>0</v>
      </c>
    </row>
    <row r="221" spans="1:9" ht="18.75" customHeight="1" thickTop="1" x14ac:dyDescent="0.2">
      <c r="C221" s="167"/>
      <c r="D221" s="167"/>
      <c r="E221" s="11"/>
      <c r="F221" s="1"/>
      <c r="G221" s="11"/>
    </row>
    <row r="222" spans="1:9" x14ac:dyDescent="0.2">
      <c r="C222" s="1472" t="s">
        <v>612</v>
      </c>
      <c r="D222" s="1472"/>
      <c r="E222" t="s">
        <v>49</v>
      </c>
    </row>
    <row r="223" spans="1:9" x14ac:dyDescent="0.2">
      <c r="H223" s="14"/>
    </row>
    <row r="224" spans="1:9" x14ac:dyDescent="0.2">
      <c r="C224" t="s">
        <v>353</v>
      </c>
      <c r="E224" s="78">
        <f>G158+G133</f>
        <v>0</v>
      </c>
      <c r="G224" s="78"/>
    </row>
    <row r="225" spans="3:9" ht="12.75" customHeight="1" x14ac:dyDescent="0.2">
      <c r="C225" s="167" t="s">
        <v>613</v>
      </c>
      <c r="D225" s="167"/>
      <c r="E225" s="78"/>
      <c r="G225" s="78">
        <f>G154</f>
        <v>0</v>
      </c>
    </row>
    <row r="226" spans="3:9" ht="12.75" customHeight="1" x14ac:dyDescent="0.2">
      <c r="C226" s="167" t="s">
        <v>614</v>
      </c>
      <c r="D226" s="167"/>
      <c r="E226" s="78"/>
      <c r="G226" s="78">
        <f>G155</f>
        <v>0</v>
      </c>
      <c r="I226" s="1530" t="s">
        <v>641</v>
      </c>
    </row>
    <row r="227" spans="3:9" x14ac:dyDescent="0.2">
      <c r="C227" s="655" t="s">
        <v>638</v>
      </c>
      <c r="D227" s="167"/>
      <c r="E227" s="78"/>
      <c r="G227" s="78">
        <f>G156</f>
        <v>0</v>
      </c>
      <c r="I227" s="1530"/>
    </row>
    <row r="228" spans="3:9" x14ac:dyDescent="0.2">
      <c r="C228" s="383" t="s">
        <v>639</v>
      </c>
      <c r="D228" s="167"/>
      <c r="E228" s="78"/>
      <c r="G228" s="78">
        <f>G157</f>
        <v>0</v>
      </c>
    </row>
    <row r="229" spans="3:9" x14ac:dyDescent="0.2">
      <c r="C229" s="167" t="s">
        <v>735</v>
      </c>
      <c r="D229" s="167"/>
      <c r="E229" s="78"/>
      <c r="G229" s="78">
        <f>G133</f>
        <v>0</v>
      </c>
    </row>
    <row r="230" spans="3:9" ht="13.5" thickBot="1" x14ac:dyDescent="0.25">
      <c r="E230" s="80">
        <f>SUM(E224:E226)</f>
        <v>0</v>
      </c>
      <c r="G230" s="80">
        <f>SUM(G224:G229)</f>
        <v>0</v>
      </c>
    </row>
    <row r="231" spans="3:9" ht="13.5" thickTop="1" x14ac:dyDescent="0.2">
      <c r="I231" s="34"/>
    </row>
    <row r="232" spans="3:9" ht="12.75" customHeight="1" x14ac:dyDescent="0.2">
      <c r="C232" s="1324" t="s">
        <v>492</v>
      </c>
      <c r="D232" s="1324"/>
      <c r="E232" s="1324"/>
      <c r="F232" s="1324"/>
      <c r="G232" s="1324"/>
      <c r="H232" s="1324"/>
      <c r="I232" s="1324"/>
    </row>
    <row r="233" spans="3:9" x14ac:dyDescent="0.2">
      <c r="C233" s="1324"/>
      <c r="D233" s="1324"/>
      <c r="E233" s="1324"/>
      <c r="F233" s="1324"/>
      <c r="G233" s="1324"/>
      <c r="H233" s="1324"/>
      <c r="I233" s="1324"/>
    </row>
  </sheetData>
  <sheetProtection algorithmName="SHA-512" hashValue="nLLIWM8FcZSl63fZBPt/rctFJLlsL9h6iBzANyehagfFjZzagt5WsFTULBjUt60zZ9G5RZKlQO7/TvZS/sxtPA==" saltValue="34F7i/ufp/S0zaHv8QObCg==" spinCount="100000" sheet="1" objects="1" scenarios="1"/>
  <customSheetViews>
    <customSheetView guid="{C1197650-3ED8-49E4-8E4C-0D1D4B503FC0}" hiddenRows="1" topLeftCell="A32">
      <selection activeCell="L24" sqref="L24"/>
      <rowBreaks count="2" manualBreakCount="2">
        <brk id="72" max="8" man="1"/>
        <brk id="158" max="8" man="1"/>
      </rowBreaks>
      <pageMargins left="0.39" right="0.4" top="0.66" bottom="0.5" header="0.5" footer="0.5"/>
      <printOptions horizontalCentered="1"/>
      <pageSetup scale="69" orientation="portrait" r:id="rId1"/>
      <headerFooter alignWithMargins="0">
        <oddHeader>&amp;REntry K.1</oddHeader>
        <oddFooter>&amp;L&amp;8&amp;D - County model&amp;R&amp;P</oddFooter>
      </headerFooter>
    </customSheetView>
    <customSheetView guid="{D2B860EA-92EC-4999-9A59-C624E1F8C7FB}" hiddenRows="1" topLeftCell="A32">
      <selection activeCell="L24" sqref="L24"/>
      <rowBreaks count="2" manualBreakCount="2">
        <brk id="72" max="8" man="1"/>
        <brk id="158" max="8" man="1"/>
      </rowBreaks>
      <pageMargins left="0.39" right="0.4" top="0.66" bottom="0.5" header="0.5" footer="0.5"/>
      <printOptions horizontalCentered="1"/>
      <pageSetup scale="69" orientation="portrait" r:id="rId2"/>
      <headerFooter alignWithMargins="0">
        <oddHeader>&amp;REntry K.1</oddHeader>
        <oddFooter>&amp;L&amp;8&amp;D - County model&amp;R&amp;P</oddFooter>
      </headerFooter>
    </customSheetView>
  </customSheetViews>
  <mergeCells count="26">
    <mergeCell ref="C34:I34"/>
    <mergeCell ref="B73:I74"/>
    <mergeCell ref="B130:I131"/>
    <mergeCell ref="C1:I1"/>
    <mergeCell ref="C39:G39"/>
    <mergeCell ref="B2:I3"/>
    <mergeCell ref="C15:I16"/>
    <mergeCell ref="C24:I25"/>
    <mergeCell ref="C27:I27"/>
    <mergeCell ref="C31:I32"/>
    <mergeCell ref="C70:D70"/>
    <mergeCell ref="B36:I37"/>
    <mergeCell ref="C28:I29"/>
    <mergeCell ref="C232:I233"/>
    <mergeCell ref="C136:E137"/>
    <mergeCell ref="G136:G137"/>
    <mergeCell ref="G69:I70"/>
    <mergeCell ref="C124:C125"/>
    <mergeCell ref="D124:D125"/>
    <mergeCell ref="C222:D222"/>
    <mergeCell ref="B160:I160"/>
    <mergeCell ref="B139:I140"/>
    <mergeCell ref="C133:E134"/>
    <mergeCell ref="G133:G134"/>
    <mergeCell ref="I226:I227"/>
    <mergeCell ref="I153:I157"/>
  </mergeCells>
  <phoneticPr fontId="14" type="noConversion"/>
  <printOptions horizontalCentered="1"/>
  <pageMargins left="0.39" right="0.4" top="0.66" bottom="0.5" header="0.5" footer="0.5"/>
  <pageSetup scale="69" orientation="portrait" r:id="rId3"/>
  <headerFooter alignWithMargins="0">
    <oddHeader>&amp;REntry K.1</oddHeader>
    <oddFooter>&amp;L&amp;8&amp;D - County model&amp;R&amp;P</oddFooter>
  </headerFooter>
  <rowBreaks count="2" manualBreakCount="2">
    <brk id="72" max="8" man="1"/>
    <brk id="158" max="8" man="1"/>
  </rowBreaks>
  <drawing r:id="rId4"/>
  <legacyDrawing r:id="rId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228"/>
  <sheetViews>
    <sheetView topLeftCell="A18" workbookViewId="0"/>
  </sheetViews>
  <sheetFormatPr defaultRowHeight="12.75" x14ac:dyDescent="0.2"/>
  <cols>
    <col min="1" max="1" width="3.42578125" style="4" customWidth="1"/>
    <col min="2" max="2" width="2.28515625" customWidth="1"/>
    <col min="3" max="3" width="36.7109375" customWidth="1"/>
    <col min="4" max="4" width="11.42578125"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0" s="160" customFormat="1" ht="15" x14ac:dyDescent="0.25">
      <c r="A1" s="194"/>
      <c r="C1" s="1551"/>
      <c r="D1" s="1551"/>
      <c r="E1" s="1552"/>
      <c r="F1" s="1552"/>
      <c r="G1" s="1552"/>
      <c r="H1" s="1552"/>
      <c r="I1" s="1552"/>
    </row>
    <row r="2" spans="1:10" s="160" customFormat="1" ht="15" customHeight="1" x14ac:dyDescent="0.25">
      <c r="A2" s="194"/>
      <c r="B2" s="1542" t="s">
        <v>109</v>
      </c>
      <c r="C2" s="1543"/>
      <c r="D2" s="1543"/>
      <c r="E2" s="1543"/>
      <c r="F2" s="1543"/>
      <c r="G2" s="1543"/>
      <c r="H2" s="1543"/>
      <c r="I2" s="1544"/>
    </row>
    <row r="3" spans="1:10" s="160" customFormat="1" ht="24" customHeight="1" x14ac:dyDescent="0.25">
      <c r="A3" s="194"/>
      <c r="B3" s="1545"/>
      <c r="C3" s="1546"/>
      <c r="D3" s="1546"/>
      <c r="E3" s="1546"/>
      <c r="F3" s="1546"/>
      <c r="G3" s="1546"/>
      <c r="H3" s="1546"/>
      <c r="I3" s="1547"/>
    </row>
    <row r="4" spans="1:10" ht="6" customHeight="1" x14ac:dyDescent="0.2">
      <c r="B4" s="1553"/>
      <c r="C4" s="1553"/>
      <c r="D4" s="1553"/>
      <c r="E4" s="1553"/>
      <c r="F4" s="1553"/>
      <c r="G4" s="1553"/>
      <c r="H4" s="1553"/>
      <c r="I4" s="1553"/>
    </row>
    <row r="5" spans="1:10" ht="12.75" customHeight="1" x14ac:dyDescent="0.2">
      <c r="C5" s="161"/>
      <c r="D5" s="161"/>
      <c r="E5" s="162"/>
      <c r="F5" s="162"/>
      <c r="G5" s="162"/>
      <c r="H5" s="162"/>
      <c r="I5" s="162"/>
    </row>
    <row r="6" spans="1:10" ht="12.75" customHeight="1" x14ac:dyDescent="0.2">
      <c r="C6" s="161"/>
      <c r="D6" s="161"/>
      <c r="E6" s="162"/>
      <c r="F6" s="162"/>
      <c r="G6" s="162"/>
      <c r="H6" s="162"/>
      <c r="I6" s="162"/>
    </row>
    <row r="7" spans="1:10" ht="12.75" customHeight="1" x14ac:dyDescent="0.2">
      <c r="C7" s="161"/>
      <c r="D7" s="161"/>
      <c r="E7" s="162"/>
      <c r="F7" s="162"/>
      <c r="G7" s="162"/>
      <c r="H7" s="162"/>
      <c r="I7" s="162"/>
    </row>
    <row r="8" spans="1:10" ht="12.75" customHeight="1" x14ac:dyDescent="0.2">
      <c r="C8" s="161"/>
      <c r="D8" s="161"/>
      <c r="E8" s="162"/>
      <c r="F8" s="162"/>
      <c r="G8" s="162"/>
      <c r="H8" s="162"/>
      <c r="I8" s="162"/>
    </row>
    <row r="9" spans="1:10" ht="12.75" customHeight="1" x14ac:dyDescent="0.2">
      <c r="C9" s="161"/>
      <c r="D9" s="161"/>
      <c r="E9" s="162"/>
      <c r="F9" s="162"/>
      <c r="G9" s="162"/>
      <c r="H9" s="162"/>
      <c r="I9" s="162"/>
    </row>
    <row r="10" spans="1:10" ht="12.75" customHeight="1" x14ac:dyDescent="0.2">
      <c r="C10" s="161"/>
      <c r="D10" s="161"/>
      <c r="E10" s="162"/>
      <c r="F10" s="162"/>
      <c r="G10" s="162"/>
      <c r="H10" s="162"/>
      <c r="I10" s="162"/>
    </row>
    <row r="11" spans="1:10" ht="12.75" customHeight="1" x14ac:dyDescent="0.2">
      <c r="C11" s="161"/>
      <c r="D11" s="161"/>
      <c r="E11" s="162"/>
      <c r="F11" s="162"/>
      <c r="G11" s="162"/>
      <c r="H11" s="162"/>
      <c r="I11" s="162"/>
    </row>
    <row r="12" spans="1:10" ht="12.75" customHeight="1" x14ac:dyDescent="0.2">
      <c r="C12" s="161"/>
      <c r="D12" s="161"/>
      <c r="E12" s="162"/>
      <c r="F12" s="162"/>
      <c r="G12" s="162"/>
      <c r="H12" s="162"/>
      <c r="I12" s="162"/>
    </row>
    <row r="13" spans="1:10" ht="12.75" customHeight="1" x14ac:dyDescent="0.2">
      <c r="C13" s="161"/>
      <c r="D13" s="161"/>
      <c r="E13" s="162"/>
      <c r="F13" s="162"/>
      <c r="G13" s="162"/>
      <c r="H13" s="162"/>
      <c r="I13" s="162"/>
    </row>
    <row r="14" spans="1:10" ht="12" customHeight="1" x14ac:dyDescent="0.2">
      <c r="B14" s="39" t="s">
        <v>514</v>
      </c>
      <c r="C14" s="1548" t="s">
        <v>713</v>
      </c>
      <c r="D14" s="1548"/>
      <c r="E14" s="1548"/>
      <c r="F14" s="1548"/>
      <c r="G14" s="1548"/>
      <c r="H14" s="1548"/>
      <c r="I14" s="1548"/>
      <c r="J14" s="195"/>
    </row>
    <row r="15" spans="1:10" ht="26.25" customHeight="1" x14ac:dyDescent="0.2">
      <c r="C15" s="1548"/>
      <c r="D15" s="1548"/>
      <c r="E15" s="1548"/>
      <c r="F15" s="1548"/>
      <c r="G15" s="1548"/>
      <c r="H15" s="1548"/>
      <c r="I15" s="1548"/>
      <c r="J15" s="195"/>
    </row>
    <row r="16" spans="1:10" ht="4.5" customHeight="1" x14ac:dyDescent="0.2"/>
    <row r="17" spans="1:9" ht="12.75" customHeight="1" x14ac:dyDescent="0.2">
      <c r="B17" s="39" t="s">
        <v>515</v>
      </c>
      <c r="C17" s="1548" t="s">
        <v>1135</v>
      </c>
      <c r="D17" s="1548"/>
      <c r="E17" s="1548"/>
      <c r="F17" s="1548"/>
      <c r="G17" s="1548"/>
      <c r="H17" s="1548"/>
      <c r="I17" s="1548"/>
    </row>
    <row r="18" spans="1:9" ht="49.5" customHeight="1" x14ac:dyDescent="0.2">
      <c r="C18" s="1548"/>
      <c r="D18" s="1548"/>
      <c r="E18" s="1548"/>
      <c r="F18" s="1548"/>
      <c r="G18" s="1548"/>
      <c r="H18" s="1548"/>
      <c r="I18" s="1548"/>
    </row>
    <row r="19" spans="1:9" ht="4.5" customHeight="1" x14ac:dyDescent="0.2"/>
    <row r="20" spans="1:9" ht="12" customHeight="1" x14ac:dyDescent="0.2">
      <c r="B20" s="39" t="s">
        <v>516</v>
      </c>
      <c r="C20" s="1411" t="s">
        <v>1077</v>
      </c>
      <c r="D20" s="1328"/>
      <c r="E20" s="1328"/>
      <c r="F20" s="1328"/>
      <c r="G20" s="1328"/>
      <c r="H20" s="1328"/>
      <c r="I20" s="1328"/>
    </row>
    <row r="21" spans="1:9" ht="12.75" hidden="1" customHeight="1" x14ac:dyDescent="0.2">
      <c r="C21" s="1328"/>
      <c r="D21" s="1328"/>
      <c r="E21" s="1328"/>
      <c r="F21" s="1328"/>
      <c r="G21" s="1328"/>
      <c r="H21" s="1328"/>
      <c r="I21" s="1328"/>
    </row>
    <row r="22" spans="1:9" ht="4.5" customHeight="1" x14ac:dyDescent="0.2"/>
    <row r="23" spans="1:9" ht="12.75" hidden="1" customHeight="1" x14ac:dyDescent="0.2">
      <c r="B23" s="39"/>
      <c r="C23" s="1328"/>
      <c r="D23" s="1328"/>
      <c r="E23" s="1328"/>
      <c r="F23" s="1328"/>
      <c r="G23" s="1328"/>
      <c r="H23" s="1328"/>
      <c r="I23" s="1328"/>
    </row>
    <row r="24" spans="1:9" ht="12.75" customHeight="1" x14ac:dyDescent="0.2">
      <c r="B24" s="39" t="s">
        <v>542</v>
      </c>
      <c r="C24" s="1411" t="s">
        <v>1136</v>
      </c>
      <c r="D24" s="1324"/>
      <c r="E24" s="1324"/>
      <c r="F24" s="1324"/>
      <c r="G24" s="1324"/>
      <c r="H24" s="1324"/>
      <c r="I24" s="1324"/>
    </row>
    <row r="25" spans="1:9" ht="12.75" customHeight="1" x14ac:dyDescent="0.2">
      <c r="B25" s="39"/>
      <c r="C25" s="1324"/>
      <c r="D25" s="1324"/>
      <c r="E25" s="1324"/>
      <c r="F25" s="1324"/>
      <c r="G25" s="1324"/>
      <c r="H25" s="1324"/>
      <c r="I25" s="1324"/>
    </row>
    <row r="26" spans="1:9" ht="4.5" customHeight="1" x14ac:dyDescent="0.2">
      <c r="B26" s="39"/>
    </row>
    <row r="27" spans="1:9" ht="12.75" customHeight="1" x14ac:dyDescent="0.2">
      <c r="B27" s="39" t="s">
        <v>543</v>
      </c>
      <c r="C27" s="1548" t="s">
        <v>781</v>
      </c>
      <c r="D27" s="1548"/>
      <c r="E27" s="1548"/>
      <c r="F27" s="1548"/>
      <c r="G27" s="1548"/>
      <c r="H27" s="1548"/>
      <c r="I27" s="1548"/>
    </row>
    <row r="28" spans="1:9" ht="26.25" customHeight="1" x14ac:dyDescent="0.2">
      <c r="B28" s="39"/>
      <c r="C28" s="1548"/>
      <c r="D28" s="1548"/>
      <c r="E28" s="1548"/>
      <c r="F28" s="1548"/>
      <c r="G28" s="1548"/>
      <c r="H28" s="1548"/>
      <c r="I28" s="1548"/>
    </row>
    <row r="29" spans="1:9" ht="15.75" customHeight="1" thickBot="1" x14ac:dyDescent="0.25"/>
    <row r="30" spans="1:9" ht="31.5" customHeight="1" thickTop="1" thickBot="1" x14ac:dyDescent="0.3">
      <c r="C30" s="1531" t="s">
        <v>486</v>
      </c>
      <c r="D30" s="1532"/>
      <c r="E30" s="1532"/>
      <c r="F30" s="1532"/>
      <c r="G30" s="1532"/>
      <c r="H30" s="1532"/>
      <c r="I30" s="1533"/>
    </row>
    <row r="31" spans="1:9" ht="19.5" customHeight="1" thickTop="1" x14ac:dyDescent="0.2"/>
    <row r="32" spans="1:9" ht="17.25" customHeight="1" x14ac:dyDescent="0.2">
      <c r="A32" s="4" t="s">
        <v>540</v>
      </c>
      <c r="B32" s="1524" t="s">
        <v>855</v>
      </c>
      <c r="C32" s="1525"/>
      <c r="D32" s="1525"/>
      <c r="E32" s="1525"/>
      <c r="F32" s="1525"/>
      <c r="G32" s="1525"/>
      <c r="H32" s="1525"/>
      <c r="I32" s="1526"/>
    </row>
    <row r="33" spans="2:13" ht="22.5" customHeight="1" x14ac:dyDescent="0.2">
      <c r="B33" s="1527"/>
      <c r="C33" s="1528"/>
      <c r="D33" s="1528"/>
      <c r="E33" s="1528"/>
      <c r="F33" s="1528"/>
      <c r="G33" s="1528"/>
      <c r="H33" s="1528"/>
      <c r="I33" s="1529"/>
    </row>
    <row r="34" spans="2:13" ht="24" customHeight="1" x14ac:dyDescent="0.2">
      <c r="C34" s="163"/>
      <c r="D34" s="163"/>
      <c r="E34" s="11"/>
      <c r="F34" s="11"/>
      <c r="G34" s="11"/>
      <c r="H34" s="11"/>
      <c r="I34" s="164"/>
    </row>
    <row r="35" spans="2:13" x14ac:dyDescent="0.2">
      <c r="C35" s="1541" t="s">
        <v>14</v>
      </c>
      <c r="D35" s="1541"/>
      <c r="E35" s="1541"/>
      <c r="F35" s="1541"/>
      <c r="G35" s="1541"/>
      <c r="H35" s="57"/>
      <c r="I35" s="57"/>
      <c r="J35" s="57"/>
      <c r="K35" s="57"/>
      <c r="L35" s="57"/>
      <c r="M35" s="57"/>
    </row>
    <row r="36" spans="2:13" x14ac:dyDescent="0.2">
      <c r="C36" s="4"/>
      <c r="D36" s="4"/>
      <c r="E36" s="109" t="s">
        <v>15</v>
      </c>
      <c r="F36" s="158"/>
      <c r="G36" s="165" t="s">
        <v>16</v>
      </c>
      <c r="H36" s="166"/>
    </row>
    <row r="37" spans="2:13" x14ac:dyDescent="0.2">
      <c r="C37" s="121" t="s">
        <v>17</v>
      </c>
      <c r="D37" s="121"/>
      <c r="E37" s="1"/>
      <c r="F37" s="11"/>
      <c r="G37" s="164"/>
      <c r="H37" s="164"/>
    </row>
    <row r="38" spans="2:13" x14ac:dyDescent="0.2">
      <c r="C38" s="167" t="s">
        <v>18</v>
      </c>
      <c r="D38" s="167"/>
      <c r="E38" s="1"/>
      <c r="F38" s="11"/>
      <c r="G38" s="164"/>
      <c r="H38" s="164"/>
    </row>
    <row r="39" spans="2:13" x14ac:dyDescent="0.2">
      <c r="C39" s="168" t="s">
        <v>189</v>
      </c>
      <c r="D39" s="168"/>
      <c r="E39" s="363">
        <v>0</v>
      </c>
      <c r="F39" s="11"/>
      <c r="G39" s="636">
        <f t="shared" ref="G39:G49" si="0">IF(E$59=0,0,ROUND(E39/E$59,4))</f>
        <v>0</v>
      </c>
      <c r="H39" s="164"/>
    </row>
    <row r="40" spans="2:13" x14ac:dyDescent="0.2">
      <c r="C40" s="168" t="s">
        <v>1020</v>
      </c>
      <c r="D40" s="168"/>
      <c r="E40" s="348">
        <v>0</v>
      </c>
      <c r="F40" s="11"/>
      <c r="G40" s="636">
        <f t="shared" si="0"/>
        <v>0</v>
      </c>
      <c r="H40" s="164"/>
    </row>
    <row r="41" spans="2:13" x14ac:dyDescent="0.2">
      <c r="C41" s="168" t="s">
        <v>992</v>
      </c>
      <c r="D41" s="168"/>
      <c r="E41" s="348">
        <v>0</v>
      </c>
      <c r="F41" s="11"/>
      <c r="G41" s="636">
        <f t="shared" si="0"/>
        <v>0</v>
      </c>
      <c r="H41" s="164"/>
    </row>
    <row r="42" spans="2:13" x14ac:dyDescent="0.2">
      <c r="C42" s="168" t="s">
        <v>819</v>
      </c>
      <c r="D42" s="168"/>
      <c r="E42" s="348">
        <v>0</v>
      </c>
      <c r="F42" s="11"/>
      <c r="G42" s="636">
        <f t="shared" si="0"/>
        <v>0</v>
      </c>
      <c r="H42" s="164"/>
    </row>
    <row r="43" spans="2:13" x14ac:dyDescent="0.2">
      <c r="C43" s="168" t="s">
        <v>808</v>
      </c>
      <c r="D43" s="168"/>
      <c r="E43" s="348">
        <v>0</v>
      </c>
      <c r="F43" s="11"/>
      <c r="G43" s="636">
        <f t="shared" si="0"/>
        <v>0</v>
      </c>
      <c r="H43" s="164"/>
    </row>
    <row r="44" spans="2:13" x14ac:dyDescent="0.2">
      <c r="C44" s="168" t="s">
        <v>307</v>
      </c>
      <c r="D44" s="168"/>
      <c r="E44" s="348">
        <v>0</v>
      </c>
      <c r="F44" s="11"/>
      <c r="G44" s="636">
        <f t="shared" si="0"/>
        <v>0</v>
      </c>
      <c r="H44" s="164"/>
    </row>
    <row r="45" spans="2:13" x14ac:dyDescent="0.2">
      <c r="C45" s="168" t="s">
        <v>19</v>
      </c>
      <c r="D45" s="168"/>
      <c r="E45" s="348">
        <v>0</v>
      </c>
      <c r="F45" s="11"/>
      <c r="G45" s="636">
        <f t="shared" si="0"/>
        <v>0</v>
      </c>
      <c r="H45" s="164"/>
    </row>
    <row r="46" spans="2:13" x14ac:dyDescent="0.2">
      <c r="C46" s="168" t="s">
        <v>172</v>
      </c>
      <c r="D46" s="168"/>
      <c r="E46" s="348">
        <v>0</v>
      </c>
      <c r="F46" s="11"/>
      <c r="G46" s="636">
        <f t="shared" si="0"/>
        <v>0</v>
      </c>
      <c r="H46" s="164"/>
    </row>
    <row r="47" spans="2:13" x14ac:dyDescent="0.2">
      <c r="C47" s="382" t="s">
        <v>729</v>
      </c>
      <c r="D47" s="168"/>
      <c r="E47" s="348">
        <v>0</v>
      </c>
      <c r="F47" s="11"/>
      <c r="G47" s="636">
        <f t="shared" si="0"/>
        <v>0</v>
      </c>
      <c r="H47" s="164"/>
    </row>
    <row r="48" spans="2:13" x14ac:dyDescent="0.2">
      <c r="C48" s="168"/>
      <c r="D48" s="168"/>
      <c r="E48" s="1"/>
      <c r="F48" s="11"/>
      <c r="G48" s="164"/>
      <c r="H48" s="164"/>
    </row>
    <row r="49" spans="3:8" ht="15" x14ac:dyDescent="0.2">
      <c r="C49" s="169" t="s">
        <v>20</v>
      </c>
      <c r="D49" s="169"/>
      <c r="E49" s="184">
        <f>+SUM(E39:E48)</f>
        <v>0</v>
      </c>
      <c r="F49" s="11"/>
      <c r="G49" s="636">
        <f t="shared" si="0"/>
        <v>0</v>
      </c>
      <c r="H49" s="185" t="s">
        <v>336</v>
      </c>
    </row>
    <row r="50" spans="3:8" x14ac:dyDescent="0.2">
      <c r="E50" s="1"/>
      <c r="F50" s="11"/>
      <c r="G50" s="170" t="s">
        <v>49</v>
      </c>
      <c r="H50" s="170"/>
    </row>
    <row r="51" spans="3:8" x14ac:dyDescent="0.2">
      <c r="C51" s="167" t="s">
        <v>21</v>
      </c>
      <c r="D51" s="167"/>
      <c r="E51" s="1"/>
      <c r="F51" s="11"/>
      <c r="G51" s="170" t="s">
        <v>49</v>
      </c>
      <c r="H51" s="170"/>
    </row>
    <row r="52" spans="3:8" x14ac:dyDescent="0.2">
      <c r="C52" s="168" t="s">
        <v>22</v>
      </c>
      <c r="D52" s="168"/>
      <c r="E52" s="363">
        <v>0</v>
      </c>
      <c r="F52" s="11"/>
      <c r="G52" s="636">
        <f>IF(E$59=0,0,ROUND(E52/E$59,4))</f>
        <v>0</v>
      </c>
      <c r="H52" s="164"/>
    </row>
    <row r="53" spans="3:8" x14ac:dyDescent="0.2">
      <c r="C53" s="168" t="s">
        <v>23</v>
      </c>
      <c r="D53" s="168"/>
      <c r="E53" s="364">
        <v>0</v>
      </c>
      <c r="F53" s="171"/>
      <c r="G53" s="636">
        <f>IF(E$59=0,0,ROUND(E53/E$59,4))</f>
        <v>0</v>
      </c>
      <c r="H53" s="164"/>
    </row>
    <row r="54" spans="3:8" x14ac:dyDescent="0.2">
      <c r="C54" s="382" t="s">
        <v>736</v>
      </c>
      <c r="D54" s="168"/>
      <c r="E54" s="364">
        <v>0</v>
      </c>
      <c r="F54" s="171"/>
      <c r="G54" s="636">
        <f>IF(E$59=0,0,ROUND(E54/E$59,4))</f>
        <v>0</v>
      </c>
      <c r="H54" s="164"/>
    </row>
    <row r="55" spans="3:8" x14ac:dyDescent="0.2">
      <c r="C55" s="382" t="s">
        <v>737</v>
      </c>
      <c r="D55" s="168"/>
      <c r="E55" s="364">
        <v>0</v>
      </c>
      <c r="F55" s="171"/>
      <c r="G55" s="636">
        <f>IF(E$59=0,0,ROUND(E55/E$59,4))</f>
        <v>0</v>
      </c>
      <c r="H55" s="164"/>
    </row>
    <row r="56" spans="3:8" x14ac:dyDescent="0.2">
      <c r="C56" s="167"/>
      <c r="D56" s="167"/>
      <c r="E56" s="1"/>
      <c r="F56" s="11"/>
      <c r="G56" s="164"/>
      <c r="H56" s="164"/>
    </row>
    <row r="57" spans="3:8" x14ac:dyDescent="0.2">
      <c r="C57" s="169" t="s">
        <v>24</v>
      </c>
      <c r="D57" s="169"/>
      <c r="E57" s="184">
        <f>+SUM(E52:E56)</f>
        <v>0</v>
      </c>
      <c r="F57" s="11"/>
      <c r="G57" s="636">
        <f>IF(E$59=0,0,ROUND(E57/E$59,4))</f>
        <v>0</v>
      </c>
      <c r="H57" s="172"/>
    </row>
    <row r="58" spans="3:8" x14ac:dyDescent="0.2">
      <c r="C58" s="168"/>
      <c r="D58" s="168"/>
      <c r="E58" s="1"/>
      <c r="F58" s="11"/>
      <c r="G58" s="164"/>
      <c r="H58" s="164"/>
    </row>
    <row r="59" spans="3:8" ht="13.5" thickBot="1" x14ac:dyDescent="0.25">
      <c r="C59" s="173" t="s">
        <v>25</v>
      </c>
      <c r="D59" s="173"/>
      <c r="E59" s="186">
        <f>+E49+E57</f>
        <v>0</v>
      </c>
      <c r="F59" s="11"/>
      <c r="G59" s="637">
        <f>G49+G57</f>
        <v>0</v>
      </c>
      <c r="H59" s="172"/>
    </row>
    <row r="60" spans="3:8" ht="13.5" thickTop="1" x14ac:dyDescent="0.2">
      <c r="C60" s="173"/>
      <c r="D60" s="173"/>
      <c r="E60" s="11"/>
      <c r="F60" s="11"/>
      <c r="G60" s="172"/>
      <c r="H60" s="172"/>
    </row>
    <row r="61" spans="3:8" x14ac:dyDescent="0.2">
      <c r="C61" s="174" t="s">
        <v>26</v>
      </c>
      <c r="D61" s="174"/>
      <c r="E61" s="358">
        <v>0</v>
      </c>
      <c r="F61" s="11"/>
      <c r="G61" s="172"/>
      <c r="H61" s="172"/>
    </row>
    <row r="62" spans="3:8" x14ac:dyDescent="0.2">
      <c r="C62" s="173"/>
      <c r="D62" s="173"/>
      <c r="E62" s="11"/>
      <c r="F62" s="11"/>
      <c r="G62" s="172"/>
      <c r="H62" s="172"/>
    </row>
    <row r="63" spans="3:8" ht="13.5" thickBot="1" x14ac:dyDescent="0.25">
      <c r="C63" s="173" t="s">
        <v>27</v>
      </c>
      <c r="D63" s="173"/>
      <c r="E63" s="186">
        <f>E59+E61</f>
        <v>0</v>
      </c>
      <c r="F63" s="11"/>
      <c r="G63" s="172"/>
      <c r="H63" s="172"/>
    </row>
    <row r="64" spans="3:8" ht="13.5" thickTop="1" x14ac:dyDescent="0.2">
      <c r="C64" s="173"/>
      <c r="D64" s="173"/>
      <c r="E64" s="1"/>
      <c r="F64" s="1"/>
      <c r="G64" s="164"/>
      <c r="H64" s="164"/>
    </row>
    <row r="65" spans="1:9" ht="15.75" customHeight="1" x14ac:dyDescent="0.2">
      <c r="C65" s="173"/>
      <c r="D65" s="173"/>
      <c r="E65" s="1"/>
      <c r="F65" s="1"/>
      <c r="G65" s="1520" t="s">
        <v>930</v>
      </c>
      <c r="H65" s="1520"/>
      <c r="I65" s="1520"/>
    </row>
    <row r="66" spans="1:9" ht="32.25" customHeight="1" x14ac:dyDescent="0.2">
      <c r="C66" s="1324" t="s">
        <v>441</v>
      </c>
      <c r="D66" s="1549"/>
      <c r="E66" s="187" t="str">
        <f>IF(G49&gt;=50%,"Governmental","Business Type")</f>
        <v>Business Type</v>
      </c>
      <c r="F66" s="230" t="s">
        <v>336</v>
      </c>
      <c r="G66" s="1520"/>
      <c r="H66" s="1520"/>
      <c r="I66" s="1520"/>
    </row>
    <row r="67" spans="1:9" ht="44.25" customHeight="1" x14ac:dyDescent="0.2">
      <c r="C67" s="34"/>
      <c r="D67" s="34"/>
      <c r="E67" s="176"/>
      <c r="F67" s="175"/>
      <c r="G67" s="164"/>
      <c r="H67" s="164"/>
    </row>
    <row r="68" spans="1:9" x14ac:dyDescent="0.2">
      <c r="E68" s="1"/>
      <c r="F68" s="1"/>
      <c r="G68" s="177"/>
      <c r="H68" s="177"/>
      <c r="I68" s="164"/>
    </row>
    <row r="69" spans="1:9" ht="17.25" customHeight="1" x14ac:dyDescent="0.2">
      <c r="A69" s="4" t="s">
        <v>541</v>
      </c>
      <c r="B69" s="1534" t="s">
        <v>1079</v>
      </c>
      <c r="C69" s="1535"/>
      <c r="D69" s="1535"/>
      <c r="E69" s="1535"/>
      <c r="F69" s="1535"/>
      <c r="G69" s="1535"/>
      <c r="H69" s="1535"/>
      <c r="I69" s="1536"/>
    </row>
    <row r="70" spans="1:9" ht="36" customHeight="1" x14ac:dyDescent="0.2">
      <c r="B70" s="1537"/>
      <c r="C70" s="1538"/>
      <c r="D70" s="1538"/>
      <c r="E70" s="1538"/>
      <c r="F70" s="1538"/>
      <c r="G70" s="1538"/>
      <c r="H70" s="1538"/>
      <c r="I70" s="1539"/>
    </row>
    <row r="71" spans="1:9" ht="3.75" customHeight="1" x14ac:dyDescent="0.2">
      <c r="E71" s="1"/>
      <c r="F71" s="1"/>
      <c r="G71" s="177"/>
      <c r="H71" s="177"/>
      <c r="I71" s="164"/>
    </row>
    <row r="72" spans="1:9" x14ac:dyDescent="0.2">
      <c r="B72" s="64" t="s">
        <v>514</v>
      </c>
      <c r="C72" s="4" t="s">
        <v>828</v>
      </c>
      <c r="E72" s="153" t="s">
        <v>510</v>
      </c>
      <c r="F72" s="158"/>
      <c r="G72" s="402" t="s">
        <v>511</v>
      </c>
      <c r="H72" s="177"/>
      <c r="I72" s="164"/>
    </row>
    <row r="73" spans="1:9" x14ac:dyDescent="0.2">
      <c r="C73" s="13" t="s">
        <v>599</v>
      </c>
      <c r="D73" s="13"/>
      <c r="E73" s="366">
        <v>0</v>
      </c>
      <c r="F73" s="99"/>
      <c r="G73" s="183"/>
      <c r="H73" s="177"/>
      <c r="I73" s="164"/>
    </row>
    <row r="74" spans="1:9" x14ac:dyDescent="0.2">
      <c r="C74" s="13" t="s">
        <v>239</v>
      </c>
      <c r="D74" s="13"/>
      <c r="E74" s="366">
        <v>0</v>
      </c>
      <c r="F74" s="99"/>
      <c r="G74" s="183"/>
      <c r="H74" s="177"/>
      <c r="I74" s="164"/>
    </row>
    <row r="75" spans="1:9" x14ac:dyDescent="0.2">
      <c r="C75" s="13" t="s">
        <v>53</v>
      </c>
      <c r="D75" s="13"/>
      <c r="E75" s="366">
        <v>0</v>
      </c>
      <c r="F75" s="99"/>
      <c r="G75" s="183"/>
      <c r="H75" s="177"/>
      <c r="I75" s="164"/>
    </row>
    <row r="76" spans="1:9" x14ac:dyDescent="0.2">
      <c r="C76" s="13" t="s">
        <v>838</v>
      </c>
      <c r="D76" s="13"/>
      <c r="E76" s="366">
        <v>0</v>
      </c>
      <c r="F76" s="99"/>
      <c r="G76" s="183"/>
      <c r="H76" s="177"/>
      <c r="I76" s="164"/>
    </row>
    <row r="77" spans="1:9" x14ac:dyDescent="0.2">
      <c r="C77" s="13" t="s">
        <v>56</v>
      </c>
      <c r="D77" s="13"/>
      <c r="E77" s="366">
        <v>0</v>
      </c>
      <c r="F77" s="99"/>
      <c r="G77" s="183"/>
      <c r="H77" s="177"/>
      <c r="I77" s="164"/>
    </row>
    <row r="78" spans="1:9" x14ac:dyDescent="0.2">
      <c r="C78" s="13" t="s">
        <v>57</v>
      </c>
      <c r="D78" s="13"/>
      <c r="E78" s="366">
        <v>0</v>
      </c>
      <c r="F78" s="99"/>
      <c r="G78" s="183"/>
      <c r="H78" s="177"/>
      <c r="I78" s="164"/>
    </row>
    <row r="79" spans="1:9" x14ac:dyDescent="0.2">
      <c r="C79" s="13" t="s">
        <v>814</v>
      </c>
      <c r="D79" s="13"/>
      <c r="E79" s="366">
        <v>0</v>
      </c>
      <c r="F79" s="99"/>
      <c r="G79" s="183"/>
      <c r="H79" s="177"/>
      <c r="I79" s="164"/>
    </row>
    <row r="80" spans="1:9" x14ac:dyDescent="0.2">
      <c r="C80" s="13" t="s">
        <v>815</v>
      </c>
      <c r="D80" s="13"/>
      <c r="E80" s="366">
        <v>0</v>
      </c>
      <c r="F80" s="99"/>
      <c r="G80" s="183"/>
      <c r="H80" s="177"/>
      <c r="I80" s="164"/>
    </row>
    <row r="81" spans="1:9" x14ac:dyDescent="0.2">
      <c r="C81" s="13" t="s">
        <v>812</v>
      </c>
      <c r="D81" s="13"/>
      <c r="E81" s="366">
        <v>0</v>
      </c>
      <c r="F81" s="99"/>
      <c r="G81" s="183"/>
      <c r="H81" s="177"/>
      <c r="I81" s="164"/>
    </row>
    <row r="82" spans="1:9" x14ac:dyDescent="0.2">
      <c r="C82" s="13" t="s">
        <v>600</v>
      </c>
      <c r="D82" s="13"/>
      <c r="E82" s="366">
        <v>0</v>
      </c>
      <c r="F82" s="99"/>
      <c r="G82" s="183"/>
      <c r="H82" s="177"/>
      <c r="I82" s="6" t="s">
        <v>1137</v>
      </c>
    </row>
    <row r="83" spans="1:9" s="725" customFormat="1" x14ac:dyDescent="0.2">
      <c r="A83" s="724"/>
      <c r="C83" s="697" t="s">
        <v>2045</v>
      </c>
      <c r="D83" s="726"/>
      <c r="E83" s="366">
        <v>0</v>
      </c>
      <c r="F83" s="728"/>
      <c r="G83" s="183"/>
      <c r="H83" s="177"/>
      <c r="I83" s="6"/>
    </row>
    <row r="84" spans="1:9" s="725" customFormat="1" ht="38.25" x14ac:dyDescent="0.2">
      <c r="A84" s="724"/>
      <c r="C84" s="1052" t="s">
        <v>4009</v>
      </c>
      <c r="D84" s="726"/>
      <c r="E84" s="366">
        <v>0</v>
      </c>
      <c r="F84" s="728"/>
      <c r="G84" s="183"/>
      <c r="H84" s="177"/>
      <c r="I84" s="6"/>
    </row>
    <row r="85" spans="1:9" s="725" customFormat="1" ht="25.5" x14ac:dyDescent="0.2">
      <c r="A85" s="724"/>
      <c r="C85" s="1052" t="s">
        <v>4018</v>
      </c>
      <c r="D85" s="726"/>
      <c r="E85" s="366">
        <v>0</v>
      </c>
      <c r="F85" s="728"/>
      <c r="G85" s="183"/>
      <c r="H85" s="177"/>
      <c r="I85" s="6"/>
    </row>
    <row r="86" spans="1:9" s="725" customFormat="1" x14ac:dyDescent="0.2">
      <c r="A86" s="724"/>
      <c r="C86" s="697" t="s">
        <v>4019</v>
      </c>
      <c r="D86" s="726"/>
      <c r="E86" s="366">
        <v>0</v>
      </c>
      <c r="F86" s="728"/>
      <c r="G86" s="183"/>
      <c r="H86" s="177"/>
      <c r="I86" s="6"/>
    </row>
    <row r="87" spans="1:9" s="725" customFormat="1" ht="25.9" customHeight="1" x14ac:dyDescent="0.2">
      <c r="A87" s="724"/>
      <c r="C87" s="742" t="s">
        <v>4021</v>
      </c>
      <c r="D87" s="726"/>
      <c r="E87" s="366">
        <v>0</v>
      </c>
      <c r="F87" s="728"/>
      <c r="G87" s="183"/>
      <c r="H87" s="177"/>
      <c r="I87" s="6"/>
    </row>
    <row r="88" spans="1:9" s="1045" customFormat="1" x14ac:dyDescent="0.2">
      <c r="A88" s="1044"/>
      <c r="C88" s="697" t="s">
        <v>3978</v>
      </c>
      <c r="D88" s="1047"/>
      <c r="E88" s="366">
        <v>0</v>
      </c>
      <c r="F88" s="749"/>
      <c r="G88" s="183"/>
      <c r="H88" s="177"/>
      <c r="I88" s="6"/>
    </row>
    <row r="89" spans="1:9" s="1133" customFormat="1" ht="25.5" x14ac:dyDescent="0.2">
      <c r="A89" s="1132"/>
      <c r="C89" s="1137" t="s">
        <v>4017</v>
      </c>
      <c r="D89" s="1134"/>
      <c r="E89" s="365">
        <v>0</v>
      </c>
      <c r="F89" s="749"/>
      <c r="G89" s="183"/>
      <c r="H89" s="177"/>
      <c r="I89" s="6"/>
    </row>
    <row r="90" spans="1:9" s="1133" customFormat="1" x14ac:dyDescent="0.2">
      <c r="A90" s="1132"/>
      <c r="C90" s="697" t="s">
        <v>4026</v>
      </c>
      <c r="D90" s="1134"/>
      <c r="E90" s="365">
        <v>0</v>
      </c>
      <c r="F90" s="749"/>
      <c r="G90" s="183"/>
      <c r="H90" s="177"/>
      <c r="I90" s="6"/>
    </row>
    <row r="91" spans="1:9" s="1133" customFormat="1" ht="42" customHeight="1" x14ac:dyDescent="0.2">
      <c r="A91" s="1132"/>
      <c r="C91" s="1136" t="s">
        <v>4025</v>
      </c>
      <c r="D91" s="1134"/>
      <c r="E91" s="365">
        <v>0</v>
      </c>
      <c r="F91" s="749"/>
      <c r="G91" s="183"/>
      <c r="H91" s="177"/>
      <c r="I91" s="6"/>
    </row>
    <row r="92" spans="1:9" x14ac:dyDescent="0.2">
      <c r="C92" s="13" t="s">
        <v>601</v>
      </c>
      <c r="D92" s="13"/>
      <c r="E92" s="182"/>
      <c r="F92" s="99"/>
      <c r="G92" s="366">
        <v>0</v>
      </c>
      <c r="H92" s="177"/>
      <c r="I92" s="164"/>
    </row>
    <row r="93" spans="1:9" x14ac:dyDescent="0.2">
      <c r="C93" s="13" t="s">
        <v>602</v>
      </c>
      <c r="D93" s="13"/>
      <c r="E93" s="182"/>
      <c r="F93" s="99"/>
      <c r="G93" s="366">
        <v>0</v>
      </c>
      <c r="H93" s="177"/>
      <c r="I93" s="164"/>
    </row>
    <row r="94" spans="1:9" x14ac:dyDescent="0.2">
      <c r="C94" s="13" t="s">
        <v>603</v>
      </c>
      <c r="D94" s="13"/>
      <c r="E94" s="182"/>
      <c r="F94" s="99"/>
      <c r="G94" s="366">
        <v>0</v>
      </c>
      <c r="H94" s="177"/>
      <c r="I94" s="164"/>
    </row>
    <row r="95" spans="1:9" x14ac:dyDescent="0.2">
      <c r="C95" s="13" t="s">
        <v>604</v>
      </c>
      <c r="D95" s="13"/>
      <c r="E95" s="99"/>
      <c r="F95" s="99"/>
      <c r="G95" s="366">
        <v>0</v>
      </c>
      <c r="H95" s="177"/>
      <c r="I95" s="164"/>
    </row>
    <row r="96" spans="1:9" x14ac:dyDescent="0.2">
      <c r="C96" s="330" t="s">
        <v>58</v>
      </c>
      <c r="D96" s="13"/>
      <c r="E96" s="99"/>
      <c r="F96" s="99"/>
      <c r="G96" s="366">
        <v>0</v>
      </c>
      <c r="H96" s="177"/>
      <c r="I96" s="164"/>
    </row>
    <row r="97" spans="1:9" x14ac:dyDescent="0.2">
      <c r="C97" s="330" t="s">
        <v>837</v>
      </c>
      <c r="D97" s="13"/>
      <c r="E97" s="99"/>
      <c r="F97" s="99"/>
      <c r="G97" s="366">
        <v>0</v>
      </c>
      <c r="H97" s="177"/>
      <c r="I97" s="164"/>
    </row>
    <row r="98" spans="1:9" x14ac:dyDescent="0.2">
      <c r="C98" s="13" t="s">
        <v>919</v>
      </c>
      <c r="D98" s="13"/>
      <c r="E98" s="99"/>
      <c r="F98" s="99"/>
      <c r="G98" s="366">
        <v>0</v>
      </c>
      <c r="H98" s="177"/>
      <c r="I98" s="164"/>
    </row>
    <row r="99" spans="1:9" x14ac:dyDescent="0.2">
      <c r="C99" s="13" t="s">
        <v>920</v>
      </c>
      <c r="D99" s="13"/>
      <c r="E99" s="99"/>
      <c r="F99" s="99"/>
      <c r="G99" s="366">
        <v>0</v>
      </c>
      <c r="H99" s="177"/>
      <c r="I99" s="164"/>
    </row>
    <row r="100" spans="1:9" x14ac:dyDescent="0.2">
      <c r="C100" s="13" t="s">
        <v>371</v>
      </c>
      <c r="D100" s="13"/>
      <c r="E100" s="99"/>
      <c r="F100" s="99"/>
      <c r="G100" s="366">
        <v>0</v>
      </c>
      <c r="H100" s="177"/>
      <c r="I100" s="164"/>
    </row>
    <row r="101" spans="1:9" x14ac:dyDescent="0.2">
      <c r="C101" s="13" t="s">
        <v>921</v>
      </c>
      <c r="D101" s="13"/>
      <c r="E101" s="99"/>
      <c r="F101" s="99"/>
      <c r="G101" s="366">
        <v>0</v>
      </c>
      <c r="H101" s="177"/>
      <c r="I101" s="164"/>
    </row>
    <row r="102" spans="1:9" s="725" customFormat="1" ht="51" x14ac:dyDescent="0.2">
      <c r="A102" s="724"/>
      <c r="C102" s="740" t="s">
        <v>4009</v>
      </c>
      <c r="D102" s="726"/>
      <c r="E102" s="728"/>
      <c r="F102" s="728"/>
      <c r="G102" s="366">
        <v>0</v>
      </c>
      <c r="H102" s="177"/>
      <c r="I102" s="164"/>
    </row>
    <row r="103" spans="1:9" s="725" customFormat="1" ht="25.5" x14ac:dyDescent="0.2">
      <c r="A103" s="724"/>
      <c r="C103" s="740" t="s">
        <v>4018</v>
      </c>
      <c r="D103" s="726"/>
      <c r="E103" s="728"/>
      <c r="F103" s="728"/>
      <c r="G103" s="366">
        <v>0</v>
      </c>
      <c r="H103" s="177"/>
      <c r="I103" s="164"/>
    </row>
    <row r="104" spans="1:9" s="725" customFormat="1" x14ac:dyDescent="0.2">
      <c r="A104" s="724"/>
      <c r="C104" s="741" t="s">
        <v>4019</v>
      </c>
      <c r="D104" s="726"/>
      <c r="E104" s="728"/>
      <c r="F104" s="728"/>
      <c r="G104" s="366">
        <v>0</v>
      </c>
      <c r="H104" s="177"/>
      <c r="I104" s="164"/>
    </row>
    <row r="105" spans="1:9" s="725" customFormat="1" ht="38.25" x14ac:dyDescent="0.2">
      <c r="A105" s="724"/>
      <c r="C105" s="740" t="s">
        <v>4021</v>
      </c>
      <c r="D105" s="726"/>
      <c r="E105" s="728"/>
      <c r="F105" s="728"/>
      <c r="G105" s="366">
        <v>0</v>
      </c>
      <c r="H105" s="177"/>
      <c r="I105" s="164"/>
    </row>
    <row r="106" spans="1:9" s="1133" customFormat="1" ht="25.5" x14ac:dyDescent="0.2">
      <c r="A106" s="1132"/>
      <c r="C106" s="740" t="s">
        <v>4017</v>
      </c>
      <c r="D106" s="1134"/>
      <c r="E106" s="749"/>
      <c r="F106" s="749"/>
      <c r="G106" s="365">
        <v>0</v>
      </c>
      <c r="H106" s="177"/>
      <c r="I106" s="164"/>
    </row>
    <row r="107" spans="1:9" s="1133" customFormat="1" x14ac:dyDescent="0.2">
      <c r="A107" s="1132"/>
      <c r="C107" s="741" t="s">
        <v>4020</v>
      </c>
      <c r="D107" s="1134"/>
      <c r="E107" s="749"/>
      <c r="F107" s="749"/>
      <c r="G107" s="365">
        <v>0</v>
      </c>
      <c r="H107" s="177"/>
      <c r="I107" s="164"/>
    </row>
    <row r="108" spans="1:9" s="1133" customFormat="1" ht="25.5" x14ac:dyDescent="0.2">
      <c r="A108" s="1132"/>
      <c r="C108" s="740" t="s">
        <v>4025</v>
      </c>
      <c r="D108" s="1134"/>
      <c r="E108" s="749"/>
      <c r="F108" s="749"/>
      <c r="G108" s="365">
        <v>0</v>
      </c>
      <c r="H108" s="177"/>
      <c r="I108" s="164"/>
    </row>
    <row r="109" spans="1:9" x14ac:dyDescent="0.2">
      <c r="C109" s="649" t="s">
        <v>1080</v>
      </c>
      <c r="D109" s="13"/>
      <c r="E109" s="93"/>
      <c r="F109" s="93"/>
      <c r="G109" s="348">
        <v>0</v>
      </c>
      <c r="H109" s="177"/>
      <c r="I109" s="227" t="s">
        <v>716</v>
      </c>
    </row>
    <row r="110" spans="1:9" ht="7.5" customHeight="1" x14ac:dyDescent="0.2">
      <c r="C110" s="13"/>
      <c r="D110" s="13"/>
      <c r="E110" s="93"/>
      <c r="F110" s="93"/>
      <c r="G110" s="93"/>
      <c r="H110" s="177"/>
      <c r="I110" s="164"/>
    </row>
    <row r="111" spans="1:9" ht="12.75" customHeight="1" x14ac:dyDescent="0.2">
      <c r="B111" s="64" t="s">
        <v>515</v>
      </c>
      <c r="C111" s="147" t="s">
        <v>829</v>
      </c>
      <c r="D111" s="13"/>
      <c r="E111" s="93"/>
      <c r="F111" s="93"/>
      <c r="G111" s="93"/>
      <c r="H111" s="177"/>
      <c r="I111" s="164"/>
    </row>
    <row r="112" spans="1:9" x14ac:dyDescent="0.2">
      <c r="C112" s="167" t="s">
        <v>889</v>
      </c>
      <c r="D112" s="167"/>
      <c r="F112" s="1"/>
      <c r="G112" s="348">
        <v>0</v>
      </c>
      <c r="H112" s="1"/>
      <c r="I112" s="189"/>
    </row>
    <row r="113" spans="1:9" ht="12.75" customHeight="1" x14ac:dyDescent="0.2">
      <c r="C113" s="167" t="s">
        <v>830</v>
      </c>
      <c r="D113" s="167"/>
      <c r="E113" s="348">
        <v>0</v>
      </c>
      <c r="F113" s="1"/>
      <c r="H113" s="1"/>
      <c r="I113" s="189" t="s">
        <v>715</v>
      </c>
    </row>
    <row r="114" spans="1:9" x14ac:dyDescent="0.2">
      <c r="C114" s="167" t="s">
        <v>145</v>
      </c>
      <c r="D114" s="167"/>
      <c r="E114" s="348">
        <v>0</v>
      </c>
      <c r="F114" s="1"/>
      <c r="H114" s="1"/>
      <c r="I114" s="189" t="s">
        <v>1082</v>
      </c>
    </row>
    <row r="115" spans="1:9" x14ac:dyDescent="0.2">
      <c r="C115" s="167" t="s">
        <v>144</v>
      </c>
      <c r="D115" s="167"/>
      <c r="F115" s="1"/>
      <c r="G115" s="348">
        <v>0</v>
      </c>
      <c r="H115" s="1"/>
      <c r="I115" s="189"/>
    </row>
    <row r="116" spans="1:9" x14ac:dyDescent="0.2">
      <c r="C116" s="167" t="s">
        <v>615</v>
      </c>
      <c r="D116" s="167"/>
      <c r="F116" s="1"/>
      <c r="G116" s="348">
        <v>0</v>
      </c>
      <c r="H116" s="1"/>
      <c r="I116" s="190" t="s">
        <v>565</v>
      </c>
    </row>
    <row r="117" spans="1:9" ht="22.5" x14ac:dyDescent="0.2">
      <c r="C117" s="167" t="s">
        <v>28</v>
      </c>
      <c r="D117" s="167"/>
      <c r="E117" s="348">
        <v>0</v>
      </c>
      <c r="F117" s="1"/>
      <c r="H117" s="1"/>
      <c r="I117" s="188" t="s">
        <v>595</v>
      </c>
    </row>
    <row r="118" spans="1:9" x14ac:dyDescent="0.2">
      <c r="B118" s="39"/>
      <c r="C118" s="167"/>
      <c r="D118" s="167"/>
      <c r="F118" s="1"/>
      <c r="G118" s="1"/>
      <c r="H118" s="1"/>
      <c r="I118" s="1"/>
    </row>
    <row r="119" spans="1:9" ht="23.25" customHeight="1" x14ac:dyDescent="0.2">
      <c r="B119" s="64" t="s">
        <v>516</v>
      </c>
      <c r="C119" s="1521" t="s">
        <v>1083</v>
      </c>
      <c r="D119" s="1550">
        <v>0</v>
      </c>
      <c r="F119" s="1"/>
      <c r="H119" s="1"/>
      <c r="I119" s="189" t="s">
        <v>1084</v>
      </c>
    </row>
    <row r="120" spans="1:9" ht="21.75" customHeight="1" x14ac:dyDescent="0.2">
      <c r="B120" s="64"/>
      <c r="C120" s="1522"/>
      <c r="D120" s="1550"/>
      <c r="F120" s="1"/>
      <c r="H120" s="1"/>
      <c r="I120" s="189"/>
    </row>
    <row r="121" spans="1:9" x14ac:dyDescent="0.2">
      <c r="B121" s="39"/>
      <c r="C121" s="224" t="s">
        <v>1006</v>
      </c>
      <c r="D121" s="225">
        <f>G112-E113-E114+G115+G116-E117</f>
        <v>0</v>
      </c>
      <c r="F121" s="1"/>
      <c r="G121" s="1"/>
      <c r="H121" s="1"/>
      <c r="I121" s="1"/>
    </row>
    <row r="122" spans="1:9" ht="36" customHeight="1" thickBot="1" x14ac:dyDescent="0.25">
      <c r="C122" s="168" t="s">
        <v>1007</v>
      </c>
      <c r="D122" s="331">
        <f>D119-D121</f>
        <v>0</v>
      </c>
      <c r="E122" s="8"/>
      <c r="F122" s="226"/>
      <c r="G122" s="207">
        <f>D122</f>
        <v>0</v>
      </c>
      <c r="H122" s="1"/>
      <c r="I122" s="231" t="s">
        <v>351</v>
      </c>
    </row>
    <row r="123" spans="1:9" ht="18.75" customHeight="1" thickTop="1" thickBot="1" x14ac:dyDescent="0.25">
      <c r="C123" s="168"/>
      <c r="D123" s="168"/>
      <c r="E123" s="228">
        <f>SUM(E73:E122)</f>
        <v>0</v>
      </c>
      <c r="F123" s="1"/>
      <c r="G123" s="92">
        <f>SUM(G92:G122)</f>
        <v>0</v>
      </c>
      <c r="H123" s="1"/>
      <c r="I123" s="232" t="s">
        <v>352</v>
      </c>
    </row>
    <row r="124" spans="1:9" ht="18.75" customHeight="1" thickTop="1" x14ac:dyDescent="0.2">
      <c r="C124" s="168"/>
      <c r="D124" s="168"/>
      <c r="F124" s="1"/>
      <c r="G124" s="1"/>
      <c r="H124" s="1"/>
      <c r="I124" s="1"/>
    </row>
    <row r="125" spans="1:9" ht="15" customHeight="1" x14ac:dyDescent="0.2">
      <c r="A125" s="4" t="s">
        <v>804</v>
      </c>
      <c r="B125" s="1534" t="s">
        <v>1085</v>
      </c>
      <c r="C125" s="1535"/>
      <c r="D125" s="1535"/>
      <c r="E125" s="1535"/>
      <c r="F125" s="1535"/>
      <c r="G125" s="1535"/>
      <c r="H125" s="1535"/>
      <c r="I125" s="1536"/>
    </row>
    <row r="126" spans="1:9" ht="25.5" customHeight="1" x14ac:dyDescent="0.2">
      <c r="B126" s="1537"/>
      <c r="C126" s="1538"/>
      <c r="D126" s="1538"/>
      <c r="E126" s="1538"/>
      <c r="F126" s="1538"/>
      <c r="G126" s="1538"/>
      <c r="H126" s="1538"/>
      <c r="I126" s="1539"/>
    </row>
    <row r="127" spans="1:9" x14ac:dyDescent="0.2">
      <c r="E127" s="1"/>
      <c r="F127" s="1"/>
      <c r="G127" s="177"/>
      <c r="H127" s="177"/>
      <c r="I127" s="164"/>
    </row>
    <row r="128" spans="1:9" ht="12.75" customHeight="1" x14ac:dyDescent="0.2">
      <c r="B128" s="39" t="s">
        <v>514</v>
      </c>
      <c r="C128" s="1337" t="s">
        <v>521</v>
      </c>
      <c r="D128" s="1337"/>
      <c r="E128" s="1337"/>
      <c r="F128" s="1"/>
      <c r="G128" s="1519"/>
      <c r="H128" s="177"/>
      <c r="I128" s="164"/>
    </row>
    <row r="129" spans="1:12" ht="46.5" customHeight="1" x14ac:dyDescent="0.2">
      <c r="C129" s="1337"/>
      <c r="D129" s="1337"/>
      <c r="E129" s="1337"/>
      <c r="F129" s="1"/>
      <c r="G129" s="1519"/>
      <c r="H129" s="177"/>
      <c r="I129" s="164"/>
    </row>
    <row r="130" spans="1:12" x14ac:dyDescent="0.2">
      <c r="E130" s="1"/>
      <c r="F130" s="1"/>
      <c r="G130" s="177"/>
      <c r="H130" s="177"/>
      <c r="I130" s="193" t="s">
        <v>922</v>
      </c>
    </row>
    <row r="131" spans="1:12" x14ac:dyDescent="0.2">
      <c r="B131" s="39" t="s">
        <v>515</v>
      </c>
      <c r="C131" s="1337" t="s">
        <v>188</v>
      </c>
      <c r="D131" s="1337"/>
      <c r="E131" s="1337"/>
      <c r="F131" s="1"/>
      <c r="G131" s="1519"/>
      <c r="H131" s="177"/>
      <c r="I131" s="164"/>
    </row>
    <row r="132" spans="1:12" ht="45" customHeight="1" x14ac:dyDescent="0.2">
      <c r="C132" s="1337"/>
      <c r="D132" s="1337"/>
      <c r="E132" s="1337"/>
      <c r="F132" s="1"/>
      <c r="G132" s="1519"/>
      <c r="H132" s="177"/>
      <c r="I132" s="164"/>
    </row>
    <row r="133" spans="1:12" x14ac:dyDescent="0.2">
      <c r="E133" s="1"/>
      <c r="F133" s="1"/>
      <c r="G133" s="177"/>
      <c r="H133" s="177"/>
      <c r="I133" s="164"/>
    </row>
    <row r="134" spans="1:12" ht="13.5" customHeight="1" x14ac:dyDescent="0.2">
      <c r="A134" s="4" t="s">
        <v>810</v>
      </c>
      <c r="B134" s="1524" t="s">
        <v>505</v>
      </c>
      <c r="C134" s="1525"/>
      <c r="D134" s="1525"/>
      <c r="E134" s="1525"/>
      <c r="F134" s="1525"/>
      <c r="G134" s="1525"/>
      <c r="H134" s="1525"/>
      <c r="I134" s="1526"/>
      <c r="J134" s="1"/>
      <c r="K134" s="1"/>
      <c r="L134" s="1"/>
    </row>
    <row r="135" spans="1:12" ht="12" customHeight="1" x14ac:dyDescent="0.2">
      <c r="B135" s="1527"/>
      <c r="C135" s="1528"/>
      <c r="D135" s="1528"/>
      <c r="E135" s="1528"/>
      <c r="F135" s="1528"/>
      <c r="G135" s="1528"/>
      <c r="H135" s="1528"/>
      <c r="I135" s="1529"/>
      <c r="J135" s="1"/>
      <c r="K135" s="1"/>
      <c r="L135" s="1"/>
    </row>
    <row r="136" spans="1:12" ht="5.25" customHeight="1" x14ac:dyDescent="0.2">
      <c r="C136" s="179"/>
      <c r="D136" s="179"/>
      <c r="E136" s="162"/>
      <c r="F136" s="162"/>
      <c r="G136" s="162"/>
      <c r="H136" s="162"/>
      <c r="I136" s="162"/>
      <c r="J136" s="1"/>
      <c r="K136" s="1"/>
      <c r="L136" s="1"/>
    </row>
    <row r="137" spans="1:12" ht="37.5" customHeight="1" x14ac:dyDescent="0.2">
      <c r="C137" s="196" t="s">
        <v>836</v>
      </c>
      <c r="D137" s="196"/>
      <c r="E137" s="180" t="s">
        <v>596</v>
      </c>
      <c r="F137" s="178"/>
      <c r="G137" s="180" t="s">
        <v>597</v>
      </c>
      <c r="H137" s="178"/>
      <c r="I137" s="181"/>
      <c r="J137" s="1"/>
      <c r="K137" s="1"/>
      <c r="L137" s="1"/>
    </row>
    <row r="138" spans="1:12" x14ac:dyDescent="0.2">
      <c r="E138" s="1"/>
      <c r="F138" s="11"/>
      <c r="G138" s="1"/>
      <c r="H138" s="1"/>
      <c r="I138" s="1"/>
      <c r="J138" s="1"/>
      <c r="K138" s="1"/>
      <c r="L138" s="1"/>
    </row>
    <row r="139" spans="1:12" x14ac:dyDescent="0.2">
      <c r="C139" t="str">
        <f>+$C39</f>
        <v>General government</v>
      </c>
      <c r="E139" s="285">
        <f t="shared" ref="E139:E147" si="1">D$122*G39</f>
        <v>0</v>
      </c>
      <c r="F139" s="1"/>
      <c r="G139" s="1"/>
      <c r="H139" s="1"/>
      <c r="I139" s="1"/>
      <c r="J139" s="1"/>
      <c r="K139" s="1"/>
      <c r="L139" s="1"/>
    </row>
    <row r="140" spans="1:12" x14ac:dyDescent="0.2">
      <c r="C140" t="str">
        <f>+C40</f>
        <v>Public safety</v>
      </c>
      <c r="E140" s="285">
        <f t="shared" si="1"/>
        <v>0</v>
      </c>
      <c r="F140" s="1"/>
      <c r="G140" s="1"/>
      <c r="H140" s="1"/>
      <c r="I140" s="1"/>
      <c r="J140" s="1"/>
      <c r="K140" s="1"/>
      <c r="L140" s="1"/>
    </row>
    <row r="141" spans="1:12" x14ac:dyDescent="0.2">
      <c r="C141" t="str">
        <f>+C41</f>
        <v>Transportation</v>
      </c>
      <c r="E141" s="285">
        <f t="shared" si="1"/>
        <v>0</v>
      </c>
      <c r="F141" s="1"/>
      <c r="G141" s="1"/>
      <c r="H141" s="1"/>
      <c r="I141" s="1"/>
      <c r="J141" s="1"/>
      <c r="K141" s="1"/>
      <c r="L141" s="1"/>
    </row>
    <row r="142" spans="1:12" x14ac:dyDescent="0.2">
      <c r="C142" t="s">
        <v>819</v>
      </c>
      <c r="E142" s="285">
        <f t="shared" si="1"/>
        <v>0</v>
      </c>
      <c r="F142" s="1"/>
      <c r="G142" s="1"/>
      <c r="H142" s="1"/>
      <c r="I142" s="1"/>
      <c r="J142" s="1"/>
      <c r="K142" s="1"/>
      <c r="L142" s="1"/>
    </row>
    <row r="143" spans="1:12" x14ac:dyDescent="0.2">
      <c r="C143" t="s">
        <v>808</v>
      </c>
      <c r="E143" s="285">
        <f t="shared" si="1"/>
        <v>0</v>
      </c>
      <c r="F143" s="1"/>
      <c r="G143" s="1"/>
      <c r="H143" s="1"/>
      <c r="I143" s="1"/>
      <c r="J143" s="1"/>
      <c r="K143" s="1"/>
      <c r="L143" s="1"/>
    </row>
    <row r="144" spans="1:12" x14ac:dyDescent="0.2">
      <c r="C144" t="s">
        <v>307</v>
      </c>
      <c r="E144" s="285">
        <f t="shared" si="1"/>
        <v>0</v>
      </c>
      <c r="F144" s="1"/>
      <c r="G144" s="1"/>
      <c r="H144" s="1"/>
      <c r="I144" s="1"/>
      <c r="J144" s="1"/>
      <c r="K144" s="1"/>
      <c r="L144" s="1"/>
    </row>
    <row r="145" spans="1:12" x14ac:dyDescent="0.2">
      <c r="C145" t="s">
        <v>19</v>
      </c>
      <c r="E145" s="285">
        <f t="shared" si="1"/>
        <v>0</v>
      </c>
      <c r="F145" s="1"/>
      <c r="G145" s="1"/>
      <c r="H145" s="1"/>
      <c r="I145" s="6"/>
      <c r="J145" s="1"/>
      <c r="K145" s="1"/>
      <c r="L145" s="1"/>
    </row>
    <row r="146" spans="1:12" x14ac:dyDescent="0.2">
      <c r="C146" t="s">
        <v>172</v>
      </c>
      <c r="E146" s="285">
        <f t="shared" si="1"/>
        <v>0</v>
      </c>
      <c r="F146" s="1"/>
      <c r="G146" s="1"/>
      <c r="H146" s="1"/>
      <c r="I146" s="229"/>
      <c r="J146" s="1"/>
      <c r="K146" s="1"/>
      <c r="L146" s="1"/>
    </row>
    <row r="147" spans="1:12" ht="12.75" customHeight="1" x14ac:dyDescent="0.2">
      <c r="C147" s="353" t="s">
        <v>729</v>
      </c>
      <c r="E147" s="285">
        <f t="shared" si="1"/>
        <v>0</v>
      </c>
      <c r="F147" s="1"/>
      <c r="G147" s="1"/>
      <c r="H147" s="1"/>
      <c r="J147" s="1"/>
      <c r="K147" s="1"/>
      <c r="L147" s="1"/>
    </row>
    <row r="148" spans="1:12" x14ac:dyDescent="0.2">
      <c r="E148" s="1"/>
      <c r="F148" s="1"/>
      <c r="G148" s="1"/>
      <c r="H148" s="1"/>
      <c r="I148" s="1444" t="s">
        <v>187</v>
      </c>
      <c r="J148" s="1"/>
      <c r="K148" s="1"/>
      <c r="L148" s="1"/>
    </row>
    <row r="149" spans="1:12" ht="12" customHeight="1" x14ac:dyDescent="0.2">
      <c r="C149" t="str">
        <f>+C52</f>
        <v>Water and sewer</v>
      </c>
      <c r="E149" s="1"/>
      <c r="F149" s="1"/>
      <c r="G149" s="285">
        <f>D$122*G52</f>
        <v>0</v>
      </c>
      <c r="H149" s="1"/>
      <c r="I149" s="1444"/>
      <c r="J149" s="1"/>
      <c r="K149" s="1"/>
      <c r="L149" s="1"/>
    </row>
    <row r="150" spans="1:12" x14ac:dyDescent="0.2">
      <c r="C150" t="str">
        <f>+C53</f>
        <v>Electric</v>
      </c>
      <c r="E150" s="1"/>
      <c r="F150" s="1"/>
      <c r="G150" s="285">
        <f>D$122*G53</f>
        <v>0</v>
      </c>
      <c r="H150" s="1"/>
      <c r="I150" s="1444"/>
      <c r="J150" s="1"/>
      <c r="K150" s="1"/>
      <c r="L150" s="1"/>
    </row>
    <row r="151" spans="1:12" x14ac:dyDescent="0.2">
      <c r="C151" s="353" t="s">
        <v>738</v>
      </c>
      <c r="E151" s="1"/>
      <c r="F151" s="1"/>
      <c r="G151" s="285">
        <f>D$122*G54</f>
        <v>0</v>
      </c>
      <c r="H151" s="1"/>
      <c r="I151" s="1444"/>
      <c r="J151" s="1"/>
      <c r="K151" s="1"/>
      <c r="L151" s="1"/>
    </row>
    <row r="152" spans="1:12" x14ac:dyDescent="0.2">
      <c r="C152" s="353" t="s">
        <v>739</v>
      </c>
      <c r="E152" s="1"/>
      <c r="F152" s="1"/>
      <c r="G152" s="285">
        <f>D$122*G55</f>
        <v>0</v>
      </c>
      <c r="H152" s="1"/>
      <c r="I152" s="1444"/>
      <c r="J152" s="1"/>
      <c r="K152" s="1"/>
      <c r="L152" s="1"/>
    </row>
    <row r="153" spans="1:12" ht="13.5" thickBot="1" x14ac:dyDescent="0.25">
      <c r="C153" s="167" t="s">
        <v>598</v>
      </c>
      <c r="D153" s="167"/>
      <c r="E153" s="92">
        <f>SUM(E139:E152)</f>
        <v>0</v>
      </c>
      <c r="F153" s="1"/>
      <c r="G153" s="92">
        <f>SUM(G149:G152)</f>
        <v>0</v>
      </c>
      <c r="H153" s="233" t="s">
        <v>513</v>
      </c>
      <c r="I153" s="92">
        <f>SUM(E153:G153)</f>
        <v>0</v>
      </c>
      <c r="J153" s="1"/>
      <c r="K153" s="1"/>
      <c r="L153" s="1"/>
    </row>
    <row r="154" spans="1:12" ht="13.5" thickTop="1" x14ac:dyDescent="0.2">
      <c r="E154" s="1"/>
      <c r="F154" s="1"/>
      <c r="G154" s="1"/>
      <c r="H154" s="1"/>
      <c r="I154" s="164"/>
    </row>
    <row r="155" spans="1:12" ht="25.5" customHeight="1" x14ac:dyDescent="0.2">
      <c r="A155" s="4" t="s">
        <v>826</v>
      </c>
      <c r="B155" s="1413" t="s">
        <v>1026</v>
      </c>
      <c r="C155" s="1414"/>
      <c r="D155" s="1414"/>
      <c r="E155" s="1414"/>
      <c r="F155" s="1414"/>
      <c r="G155" s="1414"/>
      <c r="H155" s="1414"/>
      <c r="I155" s="1415"/>
    </row>
    <row r="156" spans="1:12" ht="12.75" customHeight="1" x14ac:dyDescent="0.2">
      <c r="E156" s="1"/>
      <c r="F156" s="1"/>
      <c r="G156" s="1"/>
      <c r="H156" s="1"/>
      <c r="I156" s="164"/>
    </row>
    <row r="157" spans="1:12" x14ac:dyDescent="0.2">
      <c r="E157" s="3" t="s">
        <v>510</v>
      </c>
      <c r="F157" s="46"/>
      <c r="G157" s="3" t="s">
        <v>511</v>
      </c>
      <c r="H157" s="46"/>
    </row>
    <row r="158" spans="1:12" x14ac:dyDescent="0.2">
      <c r="E158" s="216"/>
      <c r="F158" s="46"/>
      <c r="G158" s="220"/>
      <c r="H158" s="46"/>
      <c r="I158" s="191"/>
    </row>
    <row r="159" spans="1:12" x14ac:dyDescent="0.2">
      <c r="A159" s="197" t="s">
        <v>566</v>
      </c>
      <c r="C159" s="13" t="s">
        <v>599</v>
      </c>
      <c r="D159" s="13"/>
      <c r="E159" s="84">
        <f t="shared" ref="E159:E177" si="2">E73</f>
        <v>0</v>
      </c>
      <c r="G159" s="79"/>
    </row>
    <row r="160" spans="1:12" x14ac:dyDescent="0.2">
      <c r="C160" s="13" t="s">
        <v>239</v>
      </c>
      <c r="D160" s="13"/>
      <c r="E160" s="84">
        <f t="shared" si="2"/>
        <v>0</v>
      </c>
      <c r="G160" s="79"/>
    </row>
    <row r="161" spans="1:9" x14ac:dyDescent="0.2">
      <c r="C161" s="13" t="s">
        <v>53</v>
      </c>
      <c r="D161" s="13"/>
      <c r="E161" s="84">
        <f t="shared" si="2"/>
        <v>0</v>
      </c>
      <c r="G161" s="79"/>
    </row>
    <row r="162" spans="1:9" x14ac:dyDescent="0.2">
      <c r="C162" s="13" t="s">
        <v>838</v>
      </c>
      <c r="D162" s="13"/>
      <c r="E162" s="84">
        <f t="shared" si="2"/>
        <v>0</v>
      </c>
      <c r="G162" s="79"/>
    </row>
    <row r="163" spans="1:9" x14ac:dyDescent="0.2">
      <c r="C163" s="13" t="s">
        <v>56</v>
      </c>
      <c r="D163" s="13"/>
      <c r="E163" s="84">
        <f t="shared" si="2"/>
        <v>0</v>
      </c>
      <c r="G163" s="79"/>
    </row>
    <row r="164" spans="1:9" x14ac:dyDescent="0.2">
      <c r="C164" s="13" t="s">
        <v>57</v>
      </c>
      <c r="D164" s="13"/>
      <c r="E164" s="84">
        <f t="shared" si="2"/>
        <v>0</v>
      </c>
      <c r="G164" s="79"/>
    </row>
    <row r="165" spans="1:9" x14ac:dyDescent="0.2">
      <c r="C165" s="13" t="s">
        <v>814</v>
      </c>
      <c r="D165" s="13"/>
      <c r="E165" s="84">
        <f t="shared" si="2"/>
        <v>0</v>
      </c>
      <c r="G165" s="79"/>
    </row>
    <row r="166" spans="1:9" x14ac:dyDescent="0.2">
      <c r="C166" s="13" t="s">
        <v>815</v>
      </c>
      <c r="D166" s="13"/>
      <c r="E166" s="84">
        <f t="shared" si="2"/>
        <v>0</v>
      </c>
      <c r="G166" s="79"/>
    </row>
    <row r="167" spans="1:9" x14ac:dyDescent="0.2">
      <c r="C167" s="13" t="s">
        <v>812</v>
      </c>
      <c r="D167" s="13"/>
      <c r="E167" s="84">
        <f t="shared" si="2"/>
        <v>0</v>
      </c>
      <c r="G167" s="79"/>
    </row>
    <row r="168" spans="1:9" x14ac:dyDescent="0.2">
      <c r="C168" s="13" t="s">
        <v>600</v>
      </c>
      <c r="D168" s="13"/>
      <c r="E168" s="84">
        <f t="shared" si="2"/>
        <v>0</v>
      </c>
      <c r="G168" s="79"/>
      <c r="I168" s="6" t="s">
        <v>1028</v>
      </c>
    </row>
    <row r="169" spans="1:9" s="725" customFormat="1" x14ac:dyDescent="0.2">
      <c r="A169" s="724"/>
      <c r="C169" s="697" t="s">
        <v>2045</v>
      </c>
      <c r="D169" s="726"/>
      <c r="E169" s="84">
        <f t="shared" si="2"/>
        <v>0</v>
      </c>
      <c r="G169" s="79"/>
      <c r="I169" s="6"/>
    </row>
    <row r="170" spans="1:9" s="725" customFormat="1" ht="38.25" x14ac:dyDescent="0.2">
      <c r="A170" s="724"/>
      <c r="C170" s="1137" t="s">
        <v>4009</v>
      </c>
      <c r="D170" s="726"/>
      <c r="E170" s="84">
        <f t="shared" si="2"/>
        <v>0</v>
      </c>
      <c r="G170" s="79"/>
      <c r="I170" s="6"/>
    </row>
    <row r="171" spans="1:9" s="725" customFormat="1" ht="25.5" x14ac:dyDescent="0.2">
      <c r="A171" s="724"/>
      <c r="C171" s="1137" t="s">
        <v>4018</v>
      </c>
      <c r="D171" s="726"/>
      <c r="E171" s="84">
        <f t="shared" si="2"/>
        <v>0</v>
      </c>
      <c r="G171" s="79"/>
      <c r="I171" s="6"/>
    </row>
    <row r="172" spans="1:9" s="725" customFormat="1" x14ac:dyDescent="0.2">
      <c r="A172" s="724"/>
      <c r="C172" s="697" t="s">
        <v>4019</v>
      </c>
      <c r="D172" s="726"/>
      <c r="E172" s="84">
        <f t="shared" si="2"/>
        <v>0</v>
      </c>
      <c r="G172" s="79"/>
      <c r="I172" s="6"/>
    </row>
    <row r="173" spans="1:9" s="725" customFormat="1" ht="38.25" x14ac:dyDescent="0.2">
      <c r="A173" s="724"/>
      <c r="C173" s="1136" t="s">
        <v>4021</v>
      </c>
      <c r="D173" s="726"/>
      <c r="E173" s="84">
        <f t="shared" si="2"/>
        <v>0</v>
      </c>
      <c r="G173" s="79"/>
      <c r="I173" s="6"/>
    </row>
    <row r="174" spans="1:9" s="1045" customFormat="1" x14ac:dyDescent="0.2">
      <c r="A174" s="1044"/>
      <c r="C174" s="697" t="s">
        <v>3978</v>
      </c>
      <c r="D174" s="1047"/>
      <c r="E174" s="84">
        <f t="shared" si="2"/>
        <v>0</v>
      </c>
      <c r="G174" s="79"/>
      <c r="I174" s="6"/>
    </row>
    <row r="175" spans="1:9" s="1133" customFormat="1" ht="25.5" x14ac:dyDescent="0.2">
      <c r="A175" s="1132"/>
      <c r="C175" s="1137" t="s">
        <v>4017</v>
      </c>
      <c r="D175" s="1134"/>
      <c r="E175" s="84">
        <f t="shared" si="2"/>
        <v>0</v>
      </c>
      <c r="G175" s="79"/>
      <c r="I175" s="6"/>
    </row>
    <row r="176" spans="1:9" s="1133" customFormat="1" x14ac:dyDescent="0.2">
      <c r="A176" s="1132"/>
      <c r="C176" s="697" t="s">
        <v>4026</v>
      </c>
      <c r="D176" s="1134"/>
      <c r="E176" s="84">
        <f t="shared" si="2"/>
        <v>0</v>
      </c>
      <c r="G176" s="79"/>
      <c r="I176" s="6"/>
    </row>
    <row r="177" spans="1:9" s="1133" customFormat="1" ht="25.5" x14ac:dyDescent="0.2">
      <c r="A177" s="1132"/>
      <c r="C177" s="1136" t="s">
        <v>4025</v>
      </c>
      <c r="D177" s="1134"/>
      <c r="E177" s="84">
        <f t="shared" si="2"/>
        <v>0</v>
      </c>
      <c r="G177" s="79"/>
      <c r="I177" s="6"/>
    </row>
    <row r="178" spans="1:9" x14ac:dyDescent="0.2">
      <c r="A178" s="724"/>
      <c r="C178" s="1047" t="s">
        <v>601</v>
      </c>
      <c r="D178" s="13"/>
      <c r="E178" s="79"/>
      <c r="G178" s="84">
        <f t="shared" ref="G178:G191" si="3">G92</f>
        <v>0</v>
      </c>
    </row>
    <row r="179" spans="1:9" x14ac:dyDescent="0.2">
      <c r="A179" s="724"/>
      <c r="C179" s="1047" t="s">
        <v>602</v>
      </c>
      <c r="D179" s="13"/>
      <c r="E179" s="79"/>
      <c r="G179" s="84">
        <f t="shared" si="3"/>
        <v>0</v>
      </c>
    </row>
    <row r="180" spans="1:9" x14ac:dyDescent="0.2">
      <c r="A180" s="724"/>
      <c r="C180" s="1047" t="s">
        <v>603</v>
      </c>
      <c r="D180" s="13"/>
      <c r="E180" s="79"/>
      <c r="G180" s="84">
        <f t="shared" si="3"/>
        <v>0</v>
      </c>
    </row>
    <row r="181" spans="1:9" x14ac:dyDescent="0.2">
      <c r="A181" s="724"/>
      <c r="C181" s="1047" t="s">
        <v>604</v>
      </c>
      <c r="D181" s="13"/>
      <c r="E181" s="79"/>
      <c r="G181" s="84">
        <f t="shared" si="3"/>
        <v>0</v>
      </c>
    </row>
    <row r="182" spans="1:9" x14ac:dyDescent="0.2">
      <c r="C182" s="330" t="s">
        <v>58</v>
      </c>
      <c r="D182" s="13"/>
      <c r="E182" s="79"/>
      <c r="G182" s="84">
        <f t="shared" si="3"/>
        <v>0</v>
      </c>
    </row>
    <row r="183" spans="1:9" x14ac:dyDescent="0.2">
      <c r="C183" s="330" t="s">
        <v>837</v>
      </c>
      <c r="D183" s="13"/>
      <c r="E183" s="79"/>
      <c r="G183" s="84">
        <f t="shared" si="3"/>
        <v>0</v>
      </c>
    </row>
    <row r="184" spans="1:9" x14ac:dyDescent="0.2">
      <c r="C184" s="1047" t="s">
        <v>415</v>
      </c>
      <c r="D184" s="13"/>
      <c r="E184" s="79"/>
      <c r="G184" s="84">
        <f t="shared" si="3"/>
        <v>0</v>
      </c>
    </row>
    <row r="185" spans="1:9" x14ac:dyDescent="0.2">
      <c r="C185" s="1047" t="s">
        <v>920</v>
      </c>
      <c r="D185" s="13"/>
      <c r="E185" s="79"/>
      <c r="G185" s="84">
        <f t="shared" si="3"/>
        <v>0</v>
      </c>
    </row>
    <row r="186" spans="1:9" x14ac:dyDescent="0.2">
      <c r="C186" s="1047" t="s">
        <v>371</v>
      </c>
      <c r="D186" s="13"/>
      <c r="E186" s="79"/>
      <c r="G186" s="84">
        <f t="shared" si="3"/>
        <v>0</v>
      </c>
    </row>
    <row r="187" spans="1:9" x14ac:dyDescent="0.2">
      <c r="C187" s="1047" t="s">
        <v>476</v>
      </c>
      <c r="D187" s="13"/>
      <c r="E187" s="79"/>
      <c r="G187" s="84">
        <f t="shared" si="3"/>
        <v>0</v>
      </c>
    </row>
    <row r="188" spans="1:9" s="725" customFormat="1" ht="51" x14ac:dyDescent="0.2">
      <c r="A188" s="724"/>
      <c r="C188" s="740" t="s">
        <v>4009</v>
      </c>
      <c r="D188" s="726"/>
      <c r="E188" s="79"/>
      <c r="G188" s="84">
        <f t="shared" si="3"/>
        <v>0</v>
      </c>
    </row>
    <row r="189" spans="1:9" s="725" customFormat="1" ht="25.5" x14ac:dyDescent="0.2">
      <c r="A189" s="724"/>
      <c r="C189" s="740" t="s">
        <v>4018</v>
      </c>
      <c r="D189" s="726"/>
      <c r="E189" s="79"/>
      <c r="G189" s="84">
        <f t="shared" si="3"/>
        <v>0</v>
      </c>
    </row>
    <row r="190" spans="1:9" s="725" customFormat="1" x14ac:dyDescent="0.2">
      <c r="A190" s="724"/>
      <c r="C190" s="741" t="s">
        <v>4019</v>
      </c>
      <c r="D190" s="726"/>
      <c r="E190" s="79"/>
      <c r="G190" s="84">
        <f t="shared" si="3"/>
        <v>0</v>
      </c>
    </row>
    <row r="191" spans="1:9" s="725" customFormat="1" ht="38.25" x14ac:dyDescent="0.2">
      <c r="A191" s="724"/>
      <c r="C191" s="740" t="s">
        <v>4021</v>
      </c>
      <c r="D191" s="726"/>
      <c r="E191" s="79"/>
      <c r="G191" s="84">
        <f t="shared" si="3"/>
        <v>0</v>
      </c>
    </row>
    <row r="192" spans="1:9" s="1133" customFormat="1" ht="25.5" x14ac:dyDescent="0.2">
      <c r="A192" s="1132"/>
      <c r="C192" s="740" t="s">
        <v>4017</v>
      </c>
      <c r="D192" s="1134"/>
      <c r="E192" s="79"/>
      <c r="G192" s="84">
        <f t="shared" ref="G192:G194" si="4">G106</f>
        <v>0</v>
      </c>
    </row>
    <row r="193" spans="1:9" s="1133" customFormat="1" x14ac:dyDescent="0.2">
      <c r="A193" s="1132"/>
      <c r="C193" s="741" t="s">
        <v>4020</v>
      </c>
      <c r="D193" s="1134"/>
      <c r="E193" s="79"/>
      <c r="G193" s="84">
        <f t="shared" si="4"/>
        <v>0</v>
      </c>
    </row>
    <row r="194" spans="1:9" s="1133" customFormat="1" ht="25.5" x14ac:dyDescent="0.2">
      <c r="A194" s="1132"/>
      <c r="C194" s="740" t="s">
        <v>4025</v>
      </c>
      <c r="D194" s="1134"/>
      <c r="E194" s="79"/>
      <c r="G194" s="84">
        <f t="shared" si="4"/>
        <v>0</v>
      </c>
    </row>
    <row r="195" spans="1:9" x14ac:dyDescent="0.2">
      <c r="C195" s="13" t="s">
        <v>478</v>
      </c>
      <c r="D195" s="13"/>
      <c r="E195" s="78"/>
      <c r="G195" s="78">
        <f>G109+G131</f>
        <v>0</v>
      </c>
    </row>
    <row r="196" spans="1:9" s="13" customFormat="1" ht="6" customHeight="1" x14ac:dyDescent="0.2">
      <c r="A196" s="147"/>
      <c r="E196" s="79"/>
      <c r="F196"/>
      <c r="G196" s="79"/>
      <c r="H196"/>
      <c r="I196"/>
    </row>
    <row r="197" spans="1:9" s="13" customFormat="1" x14ac:dyDescent="0.2">
      <c r="A197" s="147"/>
      <c r="C197" s="13" t="s">
        <v>417</v>
      </c>
      <c r="E197" s="79"/>
      <c r="F197"/>
      <c r="G197" s="78">
        <f>G112</f>
        <v>0</v>
      </c>
      <c r="H197"/>
      <c r="I197"/>
    </row>
    <row r="198" spans="1:9" s="13" customFormat="1" x14ac:dyDescent="0.2">
      <c r="A198" s="147"/>
      <c r="C198" s="13" t="s">
        <v>605</v>
      </c>
      <c r="E198" s="79"/>
      <c r="F198"/>
      <c r="G198" s="78">
        <f>G116</f>
        <v>0</v>
      </c>
      <c r="H198"/>
    </row>
    <row r="199" spans="1:9" s="13" customFormat="1" x14ac:dyDescent="0.2">
      <c r="A199" s="147"/>
      <c r="C199" s="13" t="s">
        <v>606</v>
      </c>
      <c r="E199" s="78">
        <f>E117</f>
        <v>0</v>
      </c>
      <c r="F199"/>
      <c r="G199" s="79"/>
      <c r="H199"/>
      <c r="I199" s="6" t="s">
        <v>148</v>
      </c>
    </row>
    <row r="200" spans="1:9" s="13" customFormat="1" x14ac:dyDescent="0.2">
      <c r="A200" s="147"/>
      <c r="C200" s="13" t="s">
        <v>479</v>
      </c>
      <c r="E200" s="78">
        <f>E113</f>
        <v>0</v>
      </c>
      <c r="F200"/>
      <c r="G200" s="79"/>
      <c r="H200"/>
      <c r="I200"/>
    </row>
    <row r="201" spans="1:9" s="13" customFormat="1" x14ac:dyDescent="0.2">
      <c r="A201" s="147"/>
      <c r="C201" s="13" t="s">
        <v>146</v>
      </c>
      <c r="E201" s="78"/>
      <c r="F201"/>
      <c r="G201" s="78">
        <f>G115</f>
        <v>0</v>
      </c>
      <c r="H201"/>
      <c r="I201"/>
    </row>
    <row r="202" spans="1:9" s="13" customFormat="1" x14ac:dyDescent="0.2">
      <c r="A202" s="147"/>
      <c r="C202" s="13" t="s">
        <v>147</v>
      </c>
      <c r="E202" s="78">
        <f>E114</f>
        <v>0</v>
      </c>
      <c r="F202"/>
      <c r="G202" s="79"/>
      <c r="H202"/>
      <c r="I202"/>
    </row>
    <row r="203" spans="1:9" ht="6" customHeight="1" x14ac:dyDescent="0.2">
      <c r="C203" s="13"/>
      <c r="D203" s="13"/>
      <c r="E203" s="79"/>
      <c r="G203" s="79"/>
    </row>
    <row r="204" spans="1:9" x14ac:dyDescent="0.2">
      <c r="C204" s="167" t="s">
        <v>607</v>
      </c>
      <c r="D204" s="167"/>
      <c r="E204" s="78"/>
      <c r="G204" s="78">
        <f t="shared" ref="G204:G212" si="5">E139</f>
        <v>0</v>
      </c>
    </row>
    <row r="205" spans="1:9" x14ac:dyDescent="0.2">
      <c r="C205" s="167" t="s">
        <v>608</v>
      </c>
      <c r="D205" s="167"/>
      <c r="E205" s="78"/>
      <c r="G205" s="78">
        <f t="shared" si="5"/>
        <v>0</v>
      </c>
    </row>
    <row r="206" spans="1:9" x14ac:dyDescent="0.2">
      <c r="C206" s="167" t="s">
        <v>609</v>
      </c>
      <c r="D206" s="167"/>
      <c r="E206" s="78"/>
      <c r="G206" s="78">
        <f t="shared" si="5"/>
        <v>0</v>
      </c>
    </row>
    <row r="207" spans="1:9" x14ac:dyDescent="0.2">
      <c r="C207" t="s">
        <v>1027</v>
      </c>
      <c r="E207" s="78"/>
      <c r="G207" s="78">
        <f t="shared" si="5"/>
        <v>0</v>
      </c>
    </row>
    <row r="208" spans="1:9" x14ac:dyDescent="0.2">
      <c r="C208" s="167" t="s">
        <v>610</v>
      </c>
      <c r="D208" s="167"/>
      <c r="E208" s="78"/>
      <c r="G208" s="78">
        <f t="shared" si="5"/>
        <v>0</v>
      </c>
      <c r="I208" s="6" t="s">
        <v>149</v>
      </c>
    </row>
    <row r="209" spans="3:9" x14ac:dyDescent="0.2">
      <c r="C209" s="167" t="s">
        <v>307</v>
      </c>
      <c r="D209" s="167"/>
      <c r="E209" s="78"/>
      <c r="G209" s="78">
        <f t="shared" si="5"/>
        <v>0</v>
      </c>
    </row>
    <row r="210" spans="3:9" x14ac:dyDescent="0.2">
      <c r="C210" s="167" t="s">
        <v>611</v>
      </c>
      <c r="D210" s="167"/>
      <c r="E210" s="78"/>
      <c r="G210" s="78">
        <f t="shared" si="5"/>
        <v>0</v>
      </c>
    </row>
    <row r="211" spans="3:9" x14ac:dyDescent="0.2">
      <c r="C211" s="167" t="s">
        <v>172</v>
      </c>
      <c r="D211" s="167"/>
      <c r="E211" s="78"/>
      <c r="G211" s="78">
        <f t="shared" si="5"/>
        <v>0</v>
      </c>
    </row>
    <row r="212" spans="3:9" x14ac:dyDescent="0.2">
      <c r="C212" s="383" t="s">
        <v>729</v>
      </c>
      <c r="D212" s="167"/>
      <c r="E212" s="78"/>
      <c r="G212" s="78">
        <f t="shared" si="5"/>
        <v>0</v>
      </c>
    </row>
    <row r="213" spans="3:9" x14ac:dyDescent="0.2">
      <c r="C213" s="167" t="s">
        <v>714</v>
      </c>
      <c r="D213" s="167"/>
      <c r="E213" s="78"/>
      <c r="G213" s="78">
        <f>G153+G128</f>
        <v>0</v>
      </c>
    </row>
    <row r="214" spans="3:9" ht="6.75" customHeight="1" x14ac:dyDescent="0.2">
      <c r="C214" s="167"/>
      <c r="D214" s="167"/>
      <c r="E214" s="11"/>
      <c r="F214" s="1"/>
      <c r="G214" s="11"/>
      <c r="H214" s="14"/>
      <c r="I214" s="14"/>
    </row>
    <row r="215" spans="3:9" ht="13.5" thickBot="1" x14ac:dyDescent="0.25">
      <c r="C215" s="167"/>
      <c r="D215" s="167"/>
      <c r="E215" s="92">
        <f>SUM(E159:E213)</f>
        <v>0</v>
      </c>
      <c r="F215" s="1"/>
      <c r="G215" s="92">
        <f>SUM(G159:G213)</f>
        <v>0</v>
      </c>
    </row>
    <row r="216" spans="3:9" ht="18.75" customHeight="1" thickTop="1" x14ac:dyDescent="0.2">
      <c r="C216" s="167"/>
      <c r="D216" s="167"/>
      <c r="E216" s="11"/>
      <c r="F216" s="1"/>
      <c r="G216" s="11"/>
    </row>
    <row r="217" spans="3:9" x14ac:dyDescent="0.2">
      <c r="C217" s="1472" t="s">
        <v>612</v>
      </c>
      <c r="D217" s="1472"/>
      <c r="E217" t="s">
        <v>49</v>
      </c>
    </row>
    <row r="218" spans="3:9" x14ac:dyDescent="0.2">
      <c r="H218" s="14"/>
    </row>
    <row r="219" spans="3:9" x14ac:dyDescent="0.2">
      <c r="C219" t="s">
        <v>353</v>
      </c>
      <c r="E219" s="78">
        <f>G153+G128</f>
        <v>0</v>
      </c>
      <c r="G219" s="79"/>
    </row>
    <row r="220" spans="3:9" ht="12.75" customHeight="1" x14ac:dyDescent="0.2">
      <c r="C220" s="167" t="s">
        <v>613</v>
      </c>
      <c r="D220" s="167"/>
      <c r="E220" s="79"/>
      <c r="G220" s="78">
        <f>G149</f>
        <v>0</v>
      </c>
    </row>
    <row r="221" spans="3:9" ht="12.75" customHeight="1" x14ac:dyDescent="0.2">
      <c r="C221" s="167" t="s">
        <v>614</v>
      </c>
      <c r="D221" s="167"/>
      <c r="E221" s="79"/>
      <c r="G221" s="15">
        <f>G150</f>
        <v>0</v>
      </c>
      <c r="I221" s="1530" t="s">
        <v>641</v>
      </c>
    </row>
    <row r="222" spans="3:9" x14ac:dyDescent="0.2">
      <c r="C222" s="383" t="s">
        <v>638</v>
      </c>
      <c r="D222" s="167"/>
      <c r="E222" s="79"/>
      <c r="G222" s="15">
        <f>G151</f>
        <v>0</v>
      </c>
      <c r="I222" s="1530"/>
    </row>
    <row r="223" spans="3:9" x14ac:dyDescent="0.2">
      <c r="C223" s="383" t="s">
        <v>639</v>
      </c>
      <c r="D223" s="167"/>
      <c r="E223" s="79"/>
      <c r="G223" s="15">
        <f>G152</f>
        <v>0</v>
      </c>
      <c r="I223" s="401"/>
    </row>
    <row r="224" spans="3:9" x14ac:dyDescent="0.2">
      <c r="C224" s="167" t="s">
        <v>735</v>
      </c>
      <c r="D224" s="167"/>
      <c r="E224" s="79"/>
      <c r="G224" s="198">
        <f>G128</f>
        <v>0</v>
      </c>
    </row>
    <row r="225" spans="3:9" ht="13.5" thickBot="1" x14ac:dyDescent="0.25">
      <c r="E225" s="80">
        <f>SUM(E219:E221)</f>
        <v>0</v>
      </c>
      <c r="G225" s="87">
        <f>SUM(G220:G224)</f>
        <v>0</v>
      </c>
    </row>
    <row r="226" spans="3:9" ht="13.5" thickTop="1" x14ac:dyDescent="0.2"/>
    <row r="227" spans="3:9" x14ac:dyDescent="0.2">
      <c r="C227" s="1324" t="s">
        <v>492</v>
      </c>
      <c r="D227" s="1324"/>
      <c r="E227" s="1324"/>
      <c r="F227" s="1324"/>
      <c r="G227" s="1324"/>
      <c r="H227" s="1324"/>
      <c r="I227" s="1324"/>
    </row>
    <row r="228" spans="3:9" x14ac:dyDescent="0.2">
      <c r="C228" s="1324"/>
      <c r="D228" s="1324"/>
      <c r="E228" s="1324"/>
      <c r="F228" s="1324"/>
      <c r="G228" s="1324"/>
      <c r="H228" s="1324"/>
      <c r="I228" s="1324"/>
    </row>
  </sheetData>
  <sheetProtection algorithmName="SHA-512" hashValue="tU5mnAPGQCgjrohG9eRv5yeWVygirVLoef2UwgONbg7Sx+0NIcufe78PGKsFdW0KjLZ0t27xg5s2XehH1zw03A==" saltValue="w/D5YkLdktft/TI3b2gqJA==" spinCount="100000" sheet="1" objects="1" scenarios="1"/>
  <customSheetViews>
    <customSheetView guid="{C1197650-3ED8-49E4-8E4C-0D1D4B503FC0}" hiddenRows="1">
      <selection activeCell="I39" sqref="I39"/>
      <rowBreaks count="2" manualBreakCount="2">
        <brk id="68" max="8" man="1"/>
        <brk id="153" max="8" man="1"/>
      </rowBreaks>
      <pageMargins left="0.39" right="0.4" top="0.66" bottom="0.5" header="0.5" footer="0.5"/>
      <printOptions horizontalCentered="1"/>
      <pageSetup scale="70" orientation="portrait" r:id="rId1"/>
      <headerFooter alignWithMargins="0">
        <oddHeader>&amp;REntry K.2</oddHeader>
        <oddFooter>&amp;L&amp;8&amp;D - County model&amp;R&amp;P</oddFooter>
      </headerFooter>
    </customSheetView>
    <customSheetView guid="{D2B860EA-92EC-4999-9A59-C624E1F8C7FB}" hiddenRows="1">
      <selection activeCell="I39" sqref="I39"/>
      <rowBreaks count="2" manualBreakCount="2">
        <brk id="68" max="8" man="1"/>
        <brk id="153" max="8" man="1"/>
      </rowBreaks>
      <pageMargins left="0.39" right="0.4" top="0.66" bottom="0.5" header="0.5" footer="0.5"/>
      <printOptions horizontalCentered="1"/>
      <pageSetup scale="70" orientation="portrait" r:id="rId2"/>
      <headerFooter alignWithMargins="0">
        <oddHeader>&amp;REntry K.2</oddHeader>
        <oddFooter>&amp;L&amp;8&amp;D - County model&amp;R&amp;P</oddFooter>
      </headerFooter>
    </customSheetView>
  </customSheetViews>
  <mergeCells count="28">
    <mergeCell ref="C1:I1"/>
    <mergeCell ref="C35:G35"/>
    <mergeCell ref="B2:I3"/>
    <mergeCell ref="B4:I4"/>
    <mergeCell ref="C14:I15"/>
    <mergeCell ref="C20:I21"/>
    <mergeCell ref="C23:I23"/>
    <mergeCell ref="C27:I28"/>
    <mergeCell ref="C17:I18"/>
    <mergeCell ref="B32:I33"/>
    <mergeCell ref="C24:I25"/>
    <mergeCell ref="C30:I30"/>
    <mergeCell ref="I148:I152"/>
    <mergeCell ref="I221:I222"/>
    <mergeCell ref="C227:I228"/>
    <mergeCell ref="C217:D217"/>
    <mergeCell ref="C66:D66"/>
    <mergeCell ref="B155:I155"/>
    <mergeCell ref="B134:I135"/>
    <mergeCell ref="C128:E129"/>
    <mergeCell ref="G128:G129"/>
    <mergeCell ref="B69:I70"/>
    <mergeCell ref="B125:I126"/>
    <mergeCell ref="C131:E132"/>
    <mergeCell ref="G131:G132"/>
    <mergeCell ref="G65:I66"/>
    <mergeCell ref="C119:C120"/>
    <mergeCell ref="D119:D120"/>
  </mergeCells>
  <phoneticPr fontId="14" type="noConversion"/>
  <printOptions horizontalCentered="1"/>
  <pageMargins left="0.39" right="0.4" top="0.66" bottom="0.5" header="0.5" footer="0.5"/>
  <pageSetup scale="70" orientation="portrait" r:id="rId3"/>
  <headerFooter alignWithMargins="0">
    <oddHeader>&amp;REntry K.2</oddHeader>
    <oddFooter>&amp;L&amp;8&amp;D - County model&amp;R&amp;P</oddFooter>
  </headerFooter>
  <rowBreaks count="2" manualBreakCount="2">
    <brk id="68" max="8" man="1"/>
    <brk id="153" max="8" man="1"/>
  </rowBreaks>
  <drawing r:id="rId4"/>
  <legacy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228"/>
  <sheetViews>
    <sheetView workbookViewId="0"/>
  </sheetViews>
  <sheetFormatPr defaultRowHeight="12.75" x14ac:dyDescent="0.2"/>
  <cols>
    <col min="1" max="1" width="3.42578125" style="4" customWidth="1"/>
    <col min="2" max="2" width="2.28515625" customWidth="1"/>
    <col min="3" max="3" width="36.7109375" customWidth="1"/>
    <col min="4" max="4" width="11.42578125"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0" s="160" customFormat="1" ht="15" x14ac:dyDescent="0.25">
      <c r="A1" s="194"/>
      <c r="C1" s="1551"/>
      <c r="D1" s="1551"/>
      <c r="E1" s="1552"/>
      <c r="F1" s="1552"/>
      <c r="G1" s="1552"/>
      <c r="H1" s="1552"/>
      <c r="I1" s="1552"/>
    </row>
    <row r="2" spans="1:10" s="160" customFormat="1" ht="15" customHeight="1" x14ac:dyDescent="0.25">
      <c r="A2" s="194"/>
      <c r="B2" s="1542" t="s">
        <v>110</v>
      </c>
      <c r="C2" s="1543"/>
      <c r="D2" s="1543"/>
      <c r="E2" s="1543"/>
      <c r="F2" s="1543"/>
      <c r="G2" s="1543"/>
      <c r="H2" s="1543"/>
      <c r="I2" s="1544"/>
    </row>
    <row r="3" spans="1:10" s="160" customFormat="1" ht="24" customHeight="1" x14ac:dyDescent="0.25">
      <c r="A3" s="194"/>
      <c r="B3" s="1545"/>
      <c r="C3" s="1546"/>
      <c r="D3" s="1546"/>
      <c r="E3" s="1546"/>
      <c r="F3" s="1546"/>
      <c r="G3" s="1546"/>
      <c r="H3" s="1546"/>
      <c r="I3" s="1547"/>
    </row>
    <row r="4" spans="1:10" ht="4.5" customHeight="1" x14ac:dyDescent="0.2">
      <c r="B4" s="1553"/>
      <c r="C4" s="1553"/>
      <c r="D4" s="1553"/>
      <c r="E4" s="1553"/>
      <c r="F4" s="1553"/>
      <c r="G4" s="1553"/>
      <c r="H4" s="1553"/>
      <c r="I4" s="1553"/>
    </row>
    <row r="5" spans="1:10" ht="12.75" customHeight="1" x14ac:dyDescent="0.2">
      <c r="C5" s="161"/>
      <c r="D5" s="161"/>
      <c r="E5" s="162"/>
      <c r="F5" s="162"/>
      <c r="G5" s="162"/>
      <c r="H5" s="162"/>
      <c r="I5" s="162"/>
    </row>
    <row r="6" spans="1:10" ht="12.75" customHeight="1" x14ac:dyDescent="0.2">
      <c r="C6" s="161"/>
      <c r="D6" s="161"/>
      <c r="E6" s="162"/>
      <c r="F6" s="162"/>
      <c r="G6" s="162"/>
      <c r="H6" s="162"/>
      <c r="I6" s="162"/>
    </row>
    <row r="7" spans="1:10" ht="12.75" customHeight="1" x14ac:dyDescent="0.2">
      <c r="C7" s="161"/>
      <c r="D7" s="161"/>
      <c r="E7" s="162"/>
      <c r="F7" s="162"/>
      <c r="G7" s="162"/>
      <c r="H7" s="162"/>
      <c r="I7" s="162"/>
    </row>
    <row r="8" spans="1:10" ht="12.75" customHeight="1" x14ac:dyDescent="0.2">
      <c r="C8" s="161"/>
      <c r="D8" s="161"/>
      <c r="E8" s="162"/>
      <c r="F8" s="162"/>
      <c r="G8" s="162"/>
      <c r="H8" s="162"/>
      <c r="I8" s="162"/>
    </row>
    <row r="9" spans="1:10" ht="12.75" customHeight="1" x14ac:dyDescent="0.2">
      <c r="C9" s="161"/>
      <c r="D9" s="161"/>
      <c r="E9" s="162"/>
      <c r="F9" s="162"/>
      <c r="G9" s="162"/>
      <c r="H9" s="162"/>
      <c r="I9" s="162"/>
    </row>
    <row r="10" spans="1:10" ht="12.75" customHeight="1" x14ac:dyDescent="0.2">
      <c r="C10" s="161"/>
      <c r="D10" s="161"/>
      <c r="E10" s="162"/>
      <c r="F10" s="162"/>
      <c r="G10" s="162"/>
      <c r="H10" s="162"/>
      <c r="I10" s="162"/>
    </row>
    <row r="11" spans="1:10" ht="12.75" customHeight="1" x14ac:dyDescent="0.2">
      <c r="C11" s="161"/>
      <c r="D11" s="161"/>
      <c r="E11" s="162"/>
      <c r="F11" s="162"/>
      <c r="G11" s="162"/>
      <c r="H11" s="162"/>
      <c r="I11" s="162"/>
    </row>
    <row r="12" spans="1:10" ht="12.75" customHeight="1" x14ac:dyDescent="0.2">
      <c r="C12" s="161"/>
      <c r="D12" s="161"/>
      <c r="E12" s="162"/>
      <c r="F12" s="162"/>
      <c r="G12" s="162"/>
      <c r="H12" s="162"/>
      <c r="I12" s="162"/>
    </row>
    <row r="13" spans="1:10" ht="12.75" customHeight="1" x14ac:dyDescent="0.2">
      <c r="C13" s="161"/>
      <c r="D13" s="161"/>
      <c r="E13" s="162"/>
      <c r="F13" s="162"/>
      <c r="G13" s="162"/>
      <c r="H13" s="162"/>
      <c r="I13" s="162"/>
    </row>
    <row r="14" spans="1:10" ht="12" customHeight="1" x14ac:dyDescent="0.2">
      <c r="B14" s="39" t="s">
        <v>514</v>
      </c>
      <c r="C14" s="1548" t="s">
        <v>1075</v>
      </c>
      <c r="D14" s="1548"/>
      <c r="E14" s="1548"/>
      <c r="F14" s="1548"/>
      <c r="G14" s="1548"/>
      <c r="H14" s="1548"/>
      <c r="I14" s="1548"/>
      <c r="J14" s="195"/>
    </row>
    <row r="15" spans="1:10" ht="26.25" customHeight="1" x14ac:dyDescent="0.2">
      <c r="C15" s="1548"/>
      <c r="D15" s="1548"/>
      <c r="E15" s="1548"/>
      <c r="F15" s="1548"/>
      <c r="G15" s="1548"/>
      <c r="H15" s="1548"/>
      <c r="I15" s="1548"/>
      <c r="J15" s="195"/>
    </row>
    <row r="16" spans="1:10" ht="4.5" customHeight="1" x14ac:dyDescent="0.2"/>
    <row r="17" spans="1:9" ht="12.75" customHeight="1" x14ac:dyDescent="0.2">
      <c r="B17" s="39" t="s">
        <v>515</v>
      </c>
      <c r="C17" s="1548" t="s">
        <v>1076</v>
      </c>
      <c r="D17" s="1548"/>
      <c r="E17" s="1548"/>
      <c r="F17" s="1548"/>
      <c r="G17" s="1548"/>
      <c r="H17" s="1548"/>
      <c r="I17" s="1548"/>
    </row>
    <row r="18" spans="1:9" ht="51.75" customHeight="1" x14ac:dyDescent="0.2">
      <c r="C18" s="1548"/>
      <c r="D18" s="1548"/>
      <c r="E18" s="1548"/>
      <c r="F18" s="1548"/>
      <c r="G18" s="1548"/>
      <c r="H18" s="1548"/>
      <c r="I18" s="1548"/>
    </row>
    <row r="19" spans="1:9" ht="4.5" customHeight="1" x14ac:dyDescent="0.2"/>
    <row r="20" spans="1:9" ht="12" customHeight="1" x14ac:dyDescent="0.2">
      <c r="B20" s="39" t="s">
        <v>516</v>
      </c>
      <c r="C20" s="1337" t="s">
        <v>1077</v>
      </c>
      <c r="D20" s="1454"/>
      <c r="E20" s="1454"/>
      <c r="F20" s="1454"/>
      <c r="G20" s="1454"/>
      <c r="H20" s="1454"/>
      <c r="I20" s="1454"/>
    </row>
    <row r="21" spans="1:9" ht="12.75" hidden="1" customHeight="1" x14ac:dyDescent="0.2">
      <c r="C21" s="1454"/>
      <c r="D21" s="1454"/>
      <c r="E21" s="1454"/>
      <c r="F21" s="1454"/>
      <c r="G21" s="1454"/>
      <c r="H21" s="1454"/>
      <c r="I21" s="1454"/>
    </row>
    <row r="22" spans="1:9" ht="4.5" customHeight="1" x14ac:dyDescent="0.2"/>
    <row r="23" spans="1:9" ht="12.75" hidden="1" customHeight="1" x14ac:dyDescent="0.2">
      <c r="B23" s="39"/>
      <c r="C23" s="1328"/>
      <c r="D23" s="1328"/>
      <c r="E23" s="1328"/>
      <c r="F23" s="1328"/>
      <c r="G23" s="1328"/>
      <c r="H23" s="1328"/>
      <c r="I23" s="1328"/>
    </row>
    <row r="24" spans="1:9" ht="12.75" customHeight="1" x14ac:dyDescent="0.2">
      <c r="B24" s="39" t="s">
        <v>542</v>
      </c>
      <c r="C24" s="1337" t="s">
        <v>1078</v>
      </c>
      <c r="D24" s="1337"/>
      <c r="E24" s="1337"/>
      <c r="F24" s="1337"/>
      <c r="G24" s="1337"/>
      <c r="H24" s="1337"/>
      <c r="I24" s="1337"/>
    </row>
    <row r="25" spans="1:9" ht="12.75" customHeight="1" x14ac:dyDescent="0.2">
      <c r="B25" s="39"/>
      <c r="C25" s="1337"/>
      <c r="D25" s="1337"/>
      <c r="E25" s="1337"/>
      <c r="F25" s="1337"/>
      <c r="G25" s="1337"/>
      <c r="H25" s="1337"/>
      <c r="I25" s="1337"/>
    </row>
    <row r="26" spans="1:9" ht="4.5" customHeight="1" x14ac:dyDescent="0.2">
      <c r="B26" s="39"/>
    </row>
    <row r="27" spans="1:9" ht="12.75" customHeight="1" x14ac:dyDescent="0.2">
      <c r="B27" s="39" t="s">
        <v>543</v>
      </c>
      <c r="C27" s="1548" t="s">
        <v>640</v>
      </c>
      <c r="D27" s="1548"/>
      <c r="E27" s="1548"/>
      <c r="F27" s="1548"/>
      <c r="G27" s="1548"/>
      <c r="H27" s="1548"/>
      <c r="I27" s="1548"/>
    </row>
    <row r="28" spans="1:9" ht="26.25" customHeight="1" x14ac:dyDescent="0.2">
      <c r="B28" s="39"/>
      <c r="C28" s="1548"/>
      <c r="D28" s="1548"/>
      <c r="E28" s="1548"/>
      <c r="F28" s="1548"/>
      <c r="G28" s="1548"/>
      <c r="H28" s="1548"/>
      <c r="I28" s="1548"/>
    </row>
    <row r="29" spans="1:9" ht="24" customHeight="1" thickBot="1" x14ac:dyDescent="0.25"/>
    <row r="30" spans="1:9" ht="30.75" customHeight="1" thickTop="1" thickBot="1" x14ac:dyDescent="0.25">
      <c r="C30" s="1557" t="s">
        <v>485</v>
      </c>
      <c r="D30" s="1558"/>
      <c r="E30" s="1558"/>
      <c r="F30" s="1558"/>
      <c r="G30" s="1558"/>
      <c r="H30" s="1558"/>
      <c r="I30" s="1559"/>
    </row>
    <row r="31" spans="1:9" ht="24" customHeight="1" thickTop="1" x14ac:dyDescent="0.2"/>
    <row r="32" spans="1:9" ht="17.25" customHeight="1" x14ac:dyDescent="0.2">
      <c r="A32" s="4" t="s">
        <v>540</v>
      </c>
      <c r="B32" s="1524" t="s">
        <v>855</v>
      </c>
      <c r="C32" s="1525"/>
      <c r="D32" s="1525"/>
      <c r="E32" s="1525"/>
      <c r="F32" s="1525"/>
      <c r="G32" s="1525"/>
      <c r="H32" s="1525"/>
      <c r="I32" s="1526"/>
    </row>
    <row r="33" spans="2:13" ht="22.5" customHeight="1" x14ac:dyDescent="0.2">
      <c r="B33" s="1527"/>
      <c r="C33" s="1528"/>
      <c r="D33" s="1528"/>
      <c r="E33" s="1528"/>
      <c r="F33" s="1528"/>
      <c r="G33" s="1528"/>
      <c r="H33" s="1528"/>
      <c r="I33" s="1529"/>
    </row>
    <row r="34" spans="2:13" ht="24" customHeight="1" x14ac:dyDescent="0.2">
      <c r="C34" s="163"/>
      <c r="D34" s="163"/>
      <c r="E34" s="11"/>
      <c r="F34" s="11"/>
      <c r="G34" s="11"/>
      <c r="H34" s="11"/>
      <c r="I34" s="164"/>
    </row>
    <row r="35" spans="2:13" x14ac:dyDescent="0.2">
      <c r="C35" s="1541" t="s">
        <v>14</v>
      </c>
      <c r="D35" s="1541"/>
      <c r="E35" s="1541"/>
      <c r="F35" s="1541"/>
      <c r="G35" s="1541"/>
      <c r="H35" s="57"/>
      <c r="I35" s="57"/>
      <c r="J35" s="57"/>
      <c r="K35" s="57"/>
      <c r="L35" s="57"/>
      <c r="M35" s="57"/>
    </row>
    <row r="36" spans="2:13" x14ac:dyDescent="0.2">
      <c r="C36" s="4"/>
      <c r="D36" s="4"/>
      <c r="E36" s="109" t="s">
        <v>15</v>
      </c>
      <c r="F36" s="158"/>
      <c r="G36" s="165" t="s">
        <v>16</v>
      </c>
      <c r="H36" s="166"/>
    </row>
    <row r="37" spans="2:13" x14ac:dyDescent="0.2">
      <c r="C37" s="121" t="s">
        <v>17</v>
      </c>
      <c r="D37" s="121"/>
      <c r="E37" s="1"/>
      <c r="F37" s="11"/>
      <c r="G37" s="164"/>
      <c r="H37" s="164"/>
    </row>
    <row r="38" spans="2:13" x14ac:dyDescent="0.2">
      <c r="C38" s="167" t="s">
        <v>18</v>
      </c>
      <c r="D38" s="167"/>
      <c r="E38" s="1"/>
      <c r="F38" s="11"/>
      <c r="G38" s="164"/>
      <c r="H38" s="164"/>
    </row>
    <row r="39" spans="2:13" x14ac:dyDescent="0.2">
      <c r="C39" s="168" t="s">
        <v>189</v>
      </c>
      <c r="D39" s="168"/>
      <c r="E39" s="363">
        <v>0</v>
      </c>
      <c r="F39" s="11"/>
      <c r="G39" s="636">
        <f t="shared" ref="G39:G49" si="0">IF(E$59=0,0,ROUND(E39/E$59,4))</f>
        <v>0</v>
      </c>
      <c r="H39" s="164"/>
    </row>
    <row r="40" spans="2:13" x14ac:dyDescent="0.2">
      <c r="C40" s="168" t="s">
        <v>1020</v>
      </c>
      <c r="D40" s="168"/>
      <c r="E40" s="348">
        <v>0</v>
      </c>
      <c r="F40" s="11"/>
      <c r="G40" s="636">
        <f t="shared" si="0"/>
        <v>0</v>
      </c>
      <c r="H40" s="164"/>
    </row>
    <row r="41" spans="2:13" x14ac:dyDescent="0.2">
      <c r="C41" s="168" t="s">
        <v>992</v>
      </c>
      <c r="D41" s="168"/>
      <c r="E41" s="348">
        <v>0</v>
      </c>
      <c r="F41" s="11"/>
      <c r="G41" s="636">
        <f t="shared" si="0"/>
        <v>0</v>
      </c>
      <c r="H41" s="164"/>
    </row>
    <row r="42" spans="2:13" x14ac:dyDescent="0.2">
      <c r="C42" s="168" t="s">
        <v>819</v>
      </c>
      <c r="D42" s="168"/>
      <c r="E42" s="348">
        <v>0</v>
      </c>
      <c r="F42" s="11"/>
      <c r="G42" s="636">
        <f t="shared" si="0"/>
        <v>0</v>
      </c>
      <c r="H42" s="164"/>
    </row>
    <row r="43" spans="2:13" x14ac:dyDescent="0.2">
      <c r="C43" s="168" t="s">
        <v>808</v>
      </c>
      <c r="D43" s="168"/>
      <c r="E43" s="348">
        <v>0</v>
      </c>
      <c r="F43" s="11"/>
      <c r="G43" s="636">
        <f t="shared" si="0"/>
        <v>0</v>
      </c>
      <c r="H43" s="164"/>
    </row>
    <row r="44" spans="2:13" x14ac:dyDescent="0.2">
      <c r="C44" s="168" t="s">
        <v>307</v>
      </c>
      <c r="D44" s="168"/>
      <c r="E44" s="348">
        <v>0</v>
      </c>
      <c r="F44" s="11"/>
      <c r="G44" s="636">
        <f t="shared" si="0"/>
        <v>0</v>
      </c>
      <c r="H44" s="164"/>
    </row>
    <row r="45" spans="2:13" x14ac:dyDescent="0.2">
      <c r="C45" s="168" t="s">
        <v>19</v>
      </c>
      <c r="D45" s="168"/>
      <c r="E45" s="348">
        <v>0</v>
      </c>
      <c r="F45" s="11"/>
      <c r="G45" s="636">
        <f t="shared" si="0"/>
        <v>0</v>
      </c>
      <c r="H45" s="164"/>
    </row>
    <row r="46" spans="2:13" x14ac:dyDescent="0.2">
      <c r="C46" s="168" t="s">
        <v>172</v>
      </c>
      <c r="D46" s="168"/>
      <c r="E46" s="348">
        <v>0</v>
      </c>
      <c r="F46" s="11"/>
      <c r="G46" s="636">
        <f t="shared" si="0"/>
        <v>0</v>
      </c>
      <c r="H46" s="164"/>
    </row>
    <row r="47" spans="2:13" x14ac:dyDescent="0.2">
      <c r="C47" s="382" t="s">
        <v>729</v>
      </c>
      <c r="D47" s="168"/>
      <c r="E47" s="348">
        <v>0</v>
      </c>
      <c r="F47" s="11"/>
      <c r="G47" s="636">
        <f t="shared" si="0"/>
        <v>0</v>
      </c>
      <c r="H47" s="164"/>
    </row>
    <row r="48" spans="2:13" x14ac:dyDescent="0.2">
      <c r="C48" s="168"/>
      <c r="D48" s="168"/>
      <c r="E48" s="1"/>
      <c r="F48" s="11"/>
      <c r="G48" s="164"/>
      <c r="H48" s="164"/>
    </row>
    <row r="49" spans="3:8" ht="15" x14ac:dyDescent="0.2">
      <c r="C49" s="169" t="s">
        <v>20</v>
      </c>
      <c r="D49" s="169"/>
      <c r="E49" s="184">
        <f>+SUM(E39:E48)</f>
        <v>0</v>
      </c>
      <c r="F49" s="11"/>
      <c r="G49" s="636">
        <f t="shared" si="0"/>
        <v>0</v>
      </c>
      <c r="H49" s="185" t="s">
        <v>336</v>
      </c>
    </row>
    <row r="50" spans="3:8" x14ac:dyDescent="0.2">
      <c r="E50" s="1"/>
      <c r="F50" s="11"/>
      <c r="G50" s="170" t="s">
        <v>49</v>
      </c>
      <c r="H50" s="170"/>
    </row>
    <row r="51" spans="3:8" x14ac:dyDescent="0.2">
      <c r="C51" s="167" t="s">
        <v>21</v>
      </c>
      <c r="D51" s="167"/>
      <c r="E51" s="1"/>
      <c r="F51" s="11"/>
      <c r="G51" s="170" t="s">
        <v>49</v>
      </c>
      <c r="H51" s="170"/>
    </row>
    <row r="52" spans="3:8" x14ac:dyDescent="0.2">
      <c r="C52" s="168" t="s">
        <v>22</v>
      </c>
      <c r="D52" s="168"/>
      <c r="E52" s="363">
        <v>0</v>
      </c>
      <c r="F52" s="11"/>
      <c r="G52" s="636">
        <f>IF(E$59=0,0,ROUND(E52/E$59,4))</f>
        <v>0</v>
      </c>
      <c r="H52" s="164"/>
    </row>
    <row r="53" spans="3:8" x14ac:dyDescent="0.2">
      <c r="C53" s="168" t="s">
        <v>23</v>
      </c>
      <c r="D53" s="168"/>
      <c r="E53" s="364">
        <v>0</v>
      </c>
      <c r="F53" s="171"/>
      <c r="G53" s="636">
        <f>IF(E$59=0,0,ROUND(E53/E$59,4))</f>
        <v>0</v>
      </c>
      <c r="H53" s="164"/>
    </row>
    <row r="54" spans="3:8" x14ac:dyDescent="0.2">
      <c r="C54" s="382" t="s">
        <v>736</v>
      </c>
      <c r="D54" s="168"/>
      <c r="E54" s="364">
        <v>0</v>
      </c>
      <c r="F54" s="171"/>
      <c r="G54" s="636">
        <f>IF(E$59=0,0,ROUND(E54/E$59,4))</f>
        <v>0</v>
      </c>
      <c r="H54" s="164"/>
    </row>
    <row r="55" spans="3:8" x14ac:dyDescent="0.2">
      <c r="C55" s="382" t="s">
        <v>737</v>
      </c>
      <c r="D55" s="168"/>
      <c r="E55" s="364">
        <v>0</v>
      </c>
      <c r="F55" s="171"/>
      <c r="G55" s="636">
        <f>IF(E$59=0,0,ROUND(E55/E$59,4))</f>
        <v>0</v>
      </c>
      <c r="H55" s="164"/>
    </row>
    <row r="56" spans="3:8" x14ac:dyDescent="0.2">
      <c r="C56" s="167"/>
      <c r="D56" s="167"/>
      <c r="E56" s="1"/>
      <c r="F56" s="11"/>
      <c r="G56" s="164"/>
      <c r="H56" s="164"/>
    </row>
    <row r="57" spans="3:8" x14ac:dyDescent="0.2">
      <c r="C57" s="169" t="s">
        <v>24</v>
      </c>
      <c r="D57" s="169"/>
      <c r="E57" s="184">
        <f>+SUM(E52:E56)</f>
        <v>0</v>
      </c>
      <c r="F57" s="11"/>
      <c r="G57" s="636">
        <f>IF(E$59=0,0,ROUND(E57/E$59,4))</f>
        <v>0</v>
      </c>
      <c r="H57" s="172"/>
    </row>
    <row r="58" spans="3:8" x14ac:dyDescent="0.2">
      <c r="C58" s="168"/>
      <c r="D58" s="168"/>
      <c r="E58" s="1"/>
      <c r="F58" s="11"/>
      <c r="G58" s="164"/>
      <c r="H58" s="164"/>
    </row>
    <row r="59" spans="3:8" ht="13.5" thickBot="1" x14ac:dyDescent="0.25">
      <c r="C59" s="173" t="s">
        <v>25</v>
      </c>
      <c r="D59" s="173"/>
      <c r="E59" s="186">
        <f>+E49+E57</f>
        <v>0</v>
      </c>
      <c r="F59" s="11"/>
      <c r="G59" s="637">
        <f>G49+G57</f>
        <v>0</v>
      </c>
      <c r="H59" s="172"/>
    </row>
    <row r="60" spans="3:8" ht="13.5" thickTop="1" x14ac:dyDescent="0.2">
      <c r="C60" s="173"/>
      <c r="D60" s="173"/>
      <c r="E60" s="11"/>
      <c r="F60" s="11"/>
      <c r="G60" s="172"/>
      <c r="H60" s="172"/>
    </row>
    <row r="61" spans="3:8" x14ac:dyDescent="0.2">
      <c r="C61" s="174" t="s">
        <v>26</v>
      </c>
      <c r="D61" s="174"/>
      <c r="E61" s="358">
        <v>0</v>
      </c>
      <c r="F61" s="11"/>
      <c r="G61" s="172"/>
      <c r="H61" s="172"/>
    </row>
    <row r="62" spans="3:8" x14ac:dyDescent="0.2">
      <c r="C62" s="173"/>
      <c r="D62" s="173"/>
      <c r="E62" s="11"/>
      <c r="F62" s="11"/>
      <c r="G62" s="172"/>
      <c r="H62" s="172"/>
    </row>
    <row r="63" spans="3:8" ht="13.5" thickBot="1" x14ac:dyDescent="0.25">
      <c r="C63" s="173" t="s">
        <v>27</v>
      </c>
      <c r="D63" s="173"/>
      <c r="E63" s="186">
        <f>E59+E61</f>
        <v>0</v>
      </c>
      <c r="F63" s="11"/>
      <c r="G63" s="172"/>
      <c r="H63" s="172"/>
    </row>
    <row r="64" spans="3:8" ht="13.5" thickTop="1" x14ac:dyDescent="0.2">
      <c r="C64" s="173"/>
      <c r="D64" s="173"/>
      <c r="E64" s="1"/>
      <c r="F64" s="1"/>
      <c r="G64" s="164"/>
      <c r="H64" s="164"/>
    </row>
    <row r="65" spans="1:9" ht="15.75" customHeight="1" x14ac:dyDescent="0.2">
      <c r="C65" s="173"/>
      <c r="D65" s="173"/>
      <c r="E65" s="1"/>
      <c r="F65" s="1"/>
      <c r="G65" s="1520" t="s">
        <v>930</v>
      </c>
      <c r="H65" s="1520"/>
      <c r="I65" s="1520"/>
    </row>
    <row r="66" spans="1:9" ht="32.25" customHeight="1" x14ac:dyDescent="0.2">
      <c r="C66" s="1324" t="s">
        <v>441</v>
      </c>
      <c r="D66" s="1549"/>
      <c r="E66" s="187" t="str">
        <f>IF(G49&gt;=50%,"Governmental","Business Type")</f>
        <v>Business Type</v>
      </c>
      <c r="F66" s="230" t="s">
        <v>336</v>
      </c>
      <c r="G66" s="1520"/>
      <c r="H66" s="1520"/>
      <c r="I66" s="1520"/>
    </row>
    <row r="67" spans="1:9" ht="44.25" customHeight="1" x14ac:dyDescent="0.2">
      <c r="C67" s="34"/>
      <c r="D67" s="34"/>
      <c r="E67" s="176"/>
      <c r="F67" s="175"/>
      <c r="G67" s="164"/>
      <c r="H67" s="164"/>
    </row>
    <row r="68" spans="1:9" x14ac:dyDescent="0.2">
      <c r="E68" s="1"/>
      <c r="F68" s="1"/>
      <c r="G68" s="177"/>
      <c r="H68" s="177"/>
      <c r="I68" s="164"/>
    </row>
    <row r="69" spans="1:9" ht="17.25" customHeight="1" x14ac:dyDescent="0.2">
      <c r="A69" s="4" t="s">
        <v>541</v>
      </c>
      <c r="B69" s="1524" t="s">
        <v>1079</v>
      </c>
      <c r="C69" s="1525"/>
      <c r="D69" s="1525"/>
      <c r="E69" s="1525"/>
      <c r="F69" s="1525"/>
      <c r="G69" s="1525"/>
      <c r="H69" s="1525"/>
      <c r="I69" s="1526"/>
    </row>
    <row r="70" spans="1:9" ht="36" customHeight="1" x14ac:dyDescent="0.2">
      <c r="B70" s="1527"/>
      <c r="C70" s="1528"/>
      <c r="D70" s="1528"/>
      <c r="E70" s="1528"/>
      <c r="F70" s="1528"/>
      <c r="G70" s="1528"/>
      <c r="H70" s="1528"/>
      <c r="I70" s="1529"/>
    </row>
    <row r="71" spans="1:9" ht="3.75" customHeight="1" x14ac:dyDescent="0.2">
      <c r="E71" s="1"/>
      <c r="F71" s="1"/>
      <c r="G71" s="177"/>
      <c r="H71" s="177"/>
      <c r="I71" s="164"/>
    </row>
    <row r="72" spans="1:9" x14ac:dyDescent="0.2">
      <c r="B72" s="64" t="s">
        <v>514</v>
      </c>
      <c r="C72" s="4" t="s">
        <v>828</v>
      </c>
      <c r="E72" s="3" t="s">
        <v>510</v>
      </c>
      <c r="F72" s="46"/>
      <c r="G72" s="3" t="s">
        <v>511</v>
      </c>
      <c r="H72" s="177"/>
      <c r="I72" s="164"/>
    </row>
    <row r="73" spans="1:9" x14ac:dyDescent="0.2">
      <c r="C73" s="13" t="s">
        <v>599</v>
      </c>
      <c r="D73" s="13"/>
      <c r="E73" s="366">
        <v>0</v>
      </c>
      <c r="F73" s="99"/>
      <c r="G73" s="183"/>
      <c r="H73" s="177"/>
      <c r="I73" s="164"/>
    </row>
    <row r="74" spans="1:9" x14ac:dyDescent="0.2">
      <c r="C74" s="13" t="s">
        <v>239</v>
      </c>
      <c r="D74" s="13"/>
      <c r="E74" s="366">
        <v>0</v>
      </c>
      <c r="F74" s="99"/>
      <c r="G74" s="183"/>
      <c r="H74" s="177"/>
      <c r="I74" s="164"/>
    </row>
    <row r="75" spans="1:9" x14ac:dyDescent="0.2">
      <c r="C75" s="13" t="s">
        <v>53</v>
      </c>
      <c r="D75" s="13"/>
      <c r="E75" s="366">
        <v>0</v>
      </c>
      <c r="F75" s="99"/>
      <c r="G75" s="183"/>
      <c r="H75" s="177"/>
      <c r="I75" s="164"/>
    </row>
    <row r="76" spans="1:9" x14ac:dyDescent="0.2">
      <c r="C76" s="13" t="s">
        <v>838</v>
      </c>
      <c r="D76" s="13"/>
      <c r="E76" s="366">
        <v>0</v>
      </c>
      <c r="F76" s="99"/>
      <c r="G76" s="183"/>
      <c r="H76" s="177"/>
      <c r="I76" s="164"/>
    </row>
    <row r="77" spans="1:9" x14ac:dyDescent="0.2">
      <c r="C77" s="13" t="s">
        <v>56</v>
      </c>
      <c r="D77" s="13"/>
      <c r="E77" s="366">
        <v>0</v>
      </c>
      <c r="F77" s="99"/>
      <c r="G77" s="183"/>
      <c r="H77" s="177"/>
      <c r="I77" s="164"/>
    </row>
    <row r="78" spans="1:9" x14ac:dyDescent="0.2">
      <c r="C78" s="13" t="s">
        <v>57</v>
      </c>
      <c r="D78" s="13"/>
      <c r="E78" s="366">
        <v>0</v>
      </c>
      <c r="F78" s="99"/>
      <c r="G78" s="183"/>
      <c r="H78" s="177"/>
      <c r="I78" s="164"/>
    </row>
    <row r="79" spans="1:9" x14ac:dyDescent="0.2">
      <c r="C79" s="13" t="s">
        <v>814</v>
      </c>
      <c r="D79" s="13"/>
      <c r="E79" s="366">
        <v>0</v>
      </c>
      <c r="F79" s="99"/>
      <c r="G79" s="183"/>
      <c r="H79" s="177"/>
      <c r="I79" s="164"/>
    </row>
    <row r="80" spans="1:9" x14ac:dyDescent="0.2">
      <c r="C80" s="13" t="s">
        <v>815</v>
      </c>
      <c r="D80" s="13"/>
      <c r="E80" s="366">
        <v>0</v>
      </c>
      <c r="F80" s="99"/>
      <c r="G80" s="183"/>
      <c r="H80" s="177"/>
      <c r="I80" s="164"/>
    </row>
    <row r="81" spans="1:9" x14ac:dyDescent="0.2">
      <c r="C81" s="13" t="s">
        <v>812</v>
      </c>
      <c r="D81" s="13"/>
      <c r="E81" s="366">
        <v>0</v>
      </c>
      <c r="F81" s="99"/>
      <c r="G81" s="183"/>
      <c r="H81" s="177"/>
      <c r="I81" s="164"/>
    </row>
    <row r="82" spans="1:9" x14ac:dyDescent="0.2">
      <c r="C82" s="13" t="s">
        <v>600</v>
      </c>
      <c r="D82" s="13"/>
      <c r="E82" s="366">
        <v>0</v>
      </c>
      <c r="F82" s="99"/>
      <c r="G82" s="183"/>
      <c r="H82" s="177"/>
      <c r="I82" s="656" t="s">
        <v>1081</v>
      </c>
    </row>
    <row r="83" spans="1:9" s="725" customFormat="1" x14ac:dyDescent="0.2">
      <c r="A83" s="724"/>
      <c r="C83" s="697" t="s">
        <v>2045</v>
      </c>
      <c r="D83" s="726"/>
      <c r="E83" s="366">
        <v>0</v>
      </c>
      <c r="F83" s="728"/>
      <c r="G83" s="183"/>
      <c r="H83" s="177"/>
      <c r="I83" s="656"/>
    </row>
    <row r="84" spans="1:9" s="725" customFormat="1" ht="38.25" x14ac:dyDescent="0.2">
      <c r="A84" s="724"/>
      <c r="C84" s="1137" t="s">
        <v>4009</v>
      </c>
      <c r="D84" s="726"/>
      <c r="E84" s="366">
        <v>0</v>
      </c>
      <c r="F84" s="728"/>
      <c r="G84" s="183"/>
      <c r="H84" s="177"/>
      <c r="I84" s="656"/>
    </row>
    <row r="85" spans="1:9" s="725" customFormat="1" ht="25.5" x14ac:dyDescent="0.2">
      <c r="A85" s="724"/>
      <c r="C85" s="1137" t="s">
        <v>4018</v>
      </c>
      <c r="D85" s="726"/>
      <c r="E85" s="366">
        <v>0</v>
      </c>
      <c r="F85" s="728"/>
      <c r="G85" s="183"/>
      <c r="H85" s="177"/>
      <c r="I85" s="656"/>
    </row>
    <row r="86" spans="1:9" s="725" customFormat="1" x14ac:dyDescent="0.2">
      <c r="A86" s="724"/>
      <c r="C86" s="697" t="s">
        <v>4019</v>
      </c>
      <c r="D86" s="726"/>
      <c r="E86" s="366">
        <v>0</v>
      </c>
      <c r="F86" s="728"/>
      <c r="G86" s="183"/>
      <c r="H86" s="177"/>
      <c r="I86" s="656"/>
    </row>
    <row r="87" spans="1:9" s="725" customFormat="1" ht="38.25" x14ac:dyDescent="0.2">
      <c r="A87" s="724"/>
      <c r="C87" s="1136" t="s">
        <v>4021</v>
      </c>
      <c r="D87" s="726"/>
      <c r="E87" s="366">
        <v>0</v>
      </c>
      <c r="F87" s="728"/>
      <c r="G87" s="183"/>
      <c r="H87" s="177"/>
      <c r="I87" s="656"/>
    </row>
    <row r="88" spans="1:9" s="1045" customFormat="1" x14ac:dyDescent="0.2">
      <c r="A88" s="1044"/>
      <c r="C88" s="697" t="s">
        <v>3978</v>
      </c>
      <c r="D88" s="1047"/>
      <c r="E88" s="366">
        <v>0</v>
      </c>
      <c r="F88" s="749"/>
      <c r="G88" s="183"/>
      <c r="H88" s="177"/>
      <c r="I88" s="656"/>
    </row>
    <row r="89" spans="1:9" s="1133" customFormat="1" ht="25.5" x14ac:dyDescent="0.2">
      <c r="A89" s="1132"/>
      <c r="C89" s="1137" t="s">
        <v>4017</v>
      </c>
      <c r="D89" s="1134"/>
      <c r="E89" s="365">
        <v>0</v>
      </c>
      <c r="F89" s="749"/>
      <c r="G89" s="183"/>
      <c r="H89" s="177"/>
      <c r="I89" s="6"/>
    </row>
    <row r="90" spans="1:9" s="1133" customFormat="1" x14ac:dyDescent="0.2">
      <c r="A90" s="1132"/>
      <c r="C90" s="697" t="s">
        <v>4026</v>
      </c>
      <c r="D90" s="1134"/>
      <c r="E90" s="365">
        <v>0</v>
      </c>
      <c r="F90" s="749"/>
      <c r="G90" s="183"/>
      <c r="H90" s="177"/>
      <c r="I90" s="6"/>
    </row>
    <row r="91" spans="1:9" s="1133" customFormat="1" ht="42" customHeight="1" x14ac:dyDescent="0.2">
      <c r="A91" s="1132"/>
      <c r="C91" s="1136" t="s">
        <v>4025</v>
      </c>
      <c r="D91" s="1134"/>
      <c r="E91" s="365">
        <v>0</v>
      </c>
      <c r="F91" s="749"/>
      <c r="G91" s="183"/>
      <c r="H91" s="177"/>
      <c r="I91" s="6"/>
    </row>
    <row r="92" spans="1:9" x14ac:dyDescent="0.2">
      <c r="C92" s="1047" t="s">
        <v>601</v>
      </c>
      <c r="D92" s="13"/>
      <c r="E92" s="182"/>
      <c r="F92" s="99"/>
      <c r="G92" s="366">
        <v>0</v>
      </c>
      <c r="H92" s="177"/>
      <c r="I92" s="164"/>
    </row>
    <row r="93" spans="1:9" x14ac:dyDescent="0.2">
      <c r="C93" s="1047" t="s">
        <v>602</v>
      </c>
      <c r="D93" s="13"/>
      <c r="E93" s="182"/>
      <c r="F93" s="99"/>
      <c r="G93" s="366">
        <v>0</v>
      </c>
      <c r="H93" s="177"/>
      <c r="I93" s="164"/>
    </row>
    <row r="94" spans="1:9" x14ac:dyDescent="0.2">
      <c r="C94" s="1047" t="s">
        <v>603</v>
      </c>
      <c r="D94" s="13"/>
      <c r="E94" s="182"/>
      <c r="F94" s="99"/>
      <c r="G94" s="366">
        <v>0</v>
      </c>
      <c r="H94" s="177"/>
      <c r="I94" s="164"/>
    </row>
    <row r="95" spans="1:9" x14ac:dyDescent="0.2">
      <c r="C95" s="1047" t="s">
        <v>604</v>
      </c>
      <c r="D95" s="13"/>
      <c r="E95" s="99"/>
      <c r="F95" s="99"/>
      <c r="G95" s="366">
        <v>0</v>
      </c>
      <c r="H95" s="177"/>
      <c r="I95" s="164"/>
    </row>
    <row r="96" spans="1:9" x14ac:dyDescent="0.2">
      <c r="C96" s="330" t="s">
        <v>58</v>
      </c>
      <c r="D96" s="13"/>
      <c r="E96" s="99"/>
      <c r="F96" s="99"/>
      <c r="G96" s="366">
        <v>0</v>
      </c>
      <c r="H96" s="177"/>
      <c r="I96" s="164"/>
    </row>
    <row r="97" spans="1:9" x14ac:dyDescent="0.2">
      <c r="C97" s="330" t="s">
        <v>837</v>
      </c>
      <c r="D97" s="13"/>
      <c r="E97" s="99"/>
      <c r="F97" s="99"/>
      <c r="G97" s="366">
        <v>0</v>
      </c>
      <c r="H97" s="177"/>
      <c r="I97" s="164"/>
    </row>
    <row r="98" spans="1:9" x14ac:dyDescent="0.2">
      <c r="C98" s="1047" t="s">
        <v>919</v>
      </c>
      <c r="D98" s="13"/>
      <c r="E98" s="99"/>
      <c r="F98" s="99"/>
      <c r="G98" s="366">
        <v>0</v>
      </c>
      <c r="H98" s="177"/>
      <c r="I98" s="164"/>
    </row>
    <row r="99" spans="1:9" x14ac:dyDescent="0.2">
      <c r="C99" s="1047" t="s">
        <v>920</v>
      </c>
      <c r="D99" s="13"/>
      <c r="E99" s="99"/>
      <c r="F99" s="99"/>
      <c r="G99" s="366">
        <v>0</v>
      </c>
      <c r="H99" s="177"/>
      <c r="I99" s="164"/>
    </row>
    <row r="100" spans="1:9" x14ac:dyDescent="0.2">
      <c r="C100" s="1047" t="s">
        <v>371</v>
      </c>
      <c r="D100" s="13"/>
      <c r="E100" s="99"/>
      <c r="F100" s="99"/>
      <c r="G100" s="366">
        <v>0</v>
      </c>
      <c r="H100" s="177"/>
      <c r="I100" s="164"/>
    </row>
    <row r="101" spans="1:9" x14ac:dyDescent="0.2">
      <c r="C101" s="1047" t="s">
        <v>921</v>
      </c>
      <c r="D101" s="13"/>
      <c r="E101" s="99"/>
      <c r="F101" s="99"/>
      <c r="G101" s="366">
        <v>0</v>
      </c>
      <c r="H101" s="177"/>
      <c r="I101" s="164"/>
    </row>
    <row r="102" spans="1:9" s="725" customFormat="1" ht="51" x14ac:dyDescent="0.2">
      <c r="A102" s="724"/>
      <c r="C102" s="740" t="s">
        <v>4009</v>
      </c>
      <c r="D102" s="726"/>
      <c r="E102" s="728"/>
      <c r="F102" s="728"/>
      <c r="G102" s="366">
        <v>0</v>
      </c>
      <c r="H102" s="177"/>
      <c r="I102" s="164"/>
    </row>
    <row r="103" spans="1:9" s="725" customFormat="1" ht="25.5" x14ac:dyDescent="0.2">
      <c r="A103" s="724"/>
      <c r="C103" s="740" t="s">
        <v>4018</v>
      </c>
      <c r="D103" s="726"/>
      <c r="E103" s="728"/>
      <c r="F103" s="728"/>
      <c r="G103" s="366">
        <v>0</v>
      </c>
      <c r="H103" s="177"/>
      <c r="I103" s="164"/>
    </row>
    <row r="104" spans="1:9" s="725" customFormat="1" x14ac:dyDescent="0.2">
      <c r="A104" s="724"/>
      <c r="C104" s="741" t="s">
        <v>4019</v>
      </c>
      <c r="D104" s="726"/>
      <c r="E104" s="728"/>
      <c r="F104" s="728"/>
      <c r="G104" s="366">
        <v>0</v>
      </c>
      <c r="H104" s="177"/>
      <c r="I104" s="164"/>
    </row>
    <row r="105" spans="1:9" s="725" customFormat="1" ht="38.25" x14ac:dyDescent="0.2">
      <c r="A105" s="724"/>
      <c r="C105" s="740" t="s">
        <v>4021</v>
      </c>
      <c r="D105" s="726"/>
      <c r="E105" s="728"/>
      <c r="F105" s="728"/>
      <c r="G105" s="366">
        <v>0</v>
      </c>
      <c r="H105" s="177"/>
      <c r="I105" s="164"/>
    </row>
    <row r="106" spans="1:9" s="1133" customFormat="1" ht="25.5" x14ac:dyDescent="0.2">
      <c r="A106" s="1132"/>
      <c r="C106" s="740" t="s">
        <v>4017</v>
      </c>
      <c r="D106" s="1134"/>
      <c r="E106" s="749"/>
      <c r="F106" s="749"/>
      <c r="G106" s="366">
        <v>0</v>
      </c>
      <c r="H106" s="177"/>
      <c r="I106" s="164"/>
    </row>
    <row r="107" spans="1:9" s="1133" customFormat="1" x14ac:dyDescent="0.2">
      <c r="A107" s="1132"/>
      <c r="C107" s="741" t="s">
        <v>4020</v>
      </c>
      <c r="D107" s="1134"/>
      <c r="E107" s="749"/>
      <c r="F107" s="749"/>
      <c r="G107" s="366">
        <v>0</v>
      </c>
      <c r="H107" s="177"/>
      <c r="I107" s="164"/>
    </row>
    <row r="108" spans="1:9" s="1133" customFormat="1" ht="25.5" x14ac:dyDescent="0.2">
      <c r="A108" s="1132"/>
      <c r="C108" s="740" t="s">
        <v>4025</v>
      </c>
      <c r="D108" s="1134"/>
      <c r="E108" s="749"/>
      <c r="F108" s="749"/>
      <c r="G108" s="366">
        <v>0</v>
      </c>
      <c r="H108" s="177"/>
      <c r="I108" s="164"/>
    </row>
    <row r="109" spans="1:9" x14ac:dyDescent="0.2">
      <c r="C109" s="13" t="s">
        <v>1080</v>
      </c>
      <c r="D109" s="13"/>
      <c r="E109" s="93"/>
      <c r="F109" s="93"/>
      <c r="G109" s="348">
        <v>0</v>
      </c>
      <c r="H109" s="177"/>
      <c r="I109" s="227" t="s">
        <v>716</v>
      </c>
    </row>
    <row r="110" spans="1:9" ht="7.5" customHeight="1" x14ac:dyDescent="0.2">
      <c r="C110" s="13"/>
      <c r="D110" s="13"/>
      <c r="E110" s="93"/>
      <c r="F110" s="93"/>
      <c r="G110" s="93"/>
      <c r="H110" s="177"/>
      <c r="I110" s="164"/>
    </row>
    <row r="111" spans="1:9" ht="12.75" customHeight="1" x14ac:dyDescent="0.2">
      <c r="B111" s="64" t="s">
        <v>515</v>
      </c>
      <c r="C111" s="147" t="s">
        <v>829</v>
      </c>
      <c r="D111" s="13"/>
      <c r="E111" s="93"/>
      <c r="F111" s="93"/>
      <c r="G111" s="93"/>
      <c r="H111" s="177"/>
      <c r="I111" s="164"/>
    </row>
    <row r="112" spans="1:9" x14ac:dyDescent="0.2">
      <c r="C112" s="167" t="s">
        <v>889</v>
      </c>
      <c r="D112" s="167"/>
      <c r="F112" s="1"/>
      <c r="G112" s="348">
        <v>0</v>
      </c>
      <c r="H112" s="1"/>
      <c r="I112" s="189"/>
    </row>
    <row r="113" spans="1:9" ht="12.75" customHeight="1" x14ac:dyDescent="0.2">
      <c r="C113" s="167" t="s">
        <v>830</v>
      </c>
      <c r="D113" s="167"/>
      <c r="E113" s="348">
        <v>0</v>
      </c>
      <c r="F113" s="1"/>
      <c r="H113" s="1"/>
      <c r="I113" s="189" t="s">
        <v>715</v>
      </c>
    </row>
    <row r="114" spans="1:9" x14ac:dyDescent="0.2">
      <c r="C114" s="167" t="s">
        <v>145</v>
      </c>
      <c r="D114" s="167"/>
      <c r="E114" s="348">
        <v>0</v>
      </c>
      <c r="F114" s="1"/>
      <c r="H114" s="1"/>
      <c r="I114" s="190" t="s">
        <v>1082</v>
      </c>
    </row>
    <row r="115" spans="1:9" x14ac:dyDescent="0.2">
      <c r="C115" s="167" t="s">
        <v>144</v>
      </c>
      <c r="D115" s="167"/>
      <c r="F115" s="1"/>
      <c r="G115" s="348">
        <v>0</v>
      </c>
      <c r="H115" s="1"/>
      <c r="I115" s="189"/>
    </row>
    <row r="116" spans="1:9" x14ac:dyDescent="0.2">
      <c r="C116" s="167" t="s">
        <v>615</v>
      </c>
      <c r="D116" s="167"/>
      <c r="F116" s="1"/>
      <c r="G116" s="348">
        <v>0</v>
      </c>
      <c r="H116" s="1"/>
      <c r="I116" s="190" t="s">
        <v>565</v>
      </c>
    </row>
    <row r="117" spans="1:9" ht="22.5" x14ac:dyDescent="0.2">
      <c r="C117" s="167" t="s">
        <v>28</v>
      </c>
      <c r="D117" s="167"/>
      <c r="E117" s="348">
        <v>0</v>
      </c>
      <c r="F117" s="1"/>
      <c r="H117" s="1"/>
      <c r="I117" s="188" t="s">
        <v>595</v>
      </c>
    </row>
    <row r="118" spans="1:9" x14ac:dyDescent="0.2">
      <c r="B118" s="39"/>
      <c r="C118" s="167"/>
      <c r="D118" s="167"/>
      <c r="F118" s="1"/>
      <c r="G118" s="1"/>
      <c r="H118" s="1"/>
      <c r="I118" s="1"/>
    </row>
    <row r="119" spans="1:9" ht="24" customHeight="1" x14ac:dyDescent="0.2">
      <c r="B119" s="64" t="s">
        <v>516</v>
      </c>
      <c r="C119" s="1554" t="s">
        <v>1083</v>
      </c>
      <c r="D119" s="1550">
        <v>0</v>
      </c>
      <c r="F119" s="1"/>
      <c r="H119" s="1"/>
      <c r="I119" s="190" t="s">
        <v>1084</v>
      </c>
    </row>
    <row r="120" spans="1:9" ht="21.75" customHeight="1" x14ac:dyDescent="0.2">
      <c r="B120" s="64"/>
      <c r="C120" s="1555"/>
      <c r="D120" s="1550"/>
      <c r="F120" s="1"/>
      <c r="H120" s="1"/>
      <c r="I120" s="189"/>
    </row>
    <row r="121" spans="1:9" x14ac:dyDescent="0.2">
      <c r="B121" s="39"/>
      <c r="C121" s="224" t="s">
        <v>1006</v>
      </c>
      <c r="D121" s="225">
        <f>G112-E113-E114+G115+G116-E117</f>
        <v>0</v>
      </c>
      <c r="F121" s="1"/>
      <c r="G121" s="1"/>
      <c r="H121" s="1"/>
      <c r="I121" s="1"/>
    </row>
    <row r="122" spans="1:9" ht="36" customHeight="1" thickBot="1" x14ac:dyDescent="0.25">
      <c r="C122" s="168" t="s">
        <v>1007</v>
      </c>
      <c r="D122" s="331">
        <f>D119-D121</f>
        <v>0</v>
      </c>
      <c r="E122" s="8"/>
      <c r="F122" s="226"/>
      <c r="G122" s="207">
        <f>D122</f>
        <v>0</v>
      </c>
      <c r="H122" s="1"/>
      <c r="I122" s="231" t="s">
        <v>351</v>
      </c>
    </row>
    <row r="123" spans="1:9" ht="18.75" customHeight="1" thickTop="1" thickBot="1" x14ac:dyDescent="0.25">
      <c r="C123" s="168"/>
      <c r="D123" s="168"/>
      <c r="E123" s="228">
        <f>SUM(E73:E122)</f>
        <v>0</v>
      </c>
      <c r="F123" s="1"/>
      <c r="G123" s="92">
        <f>SUM(G92:G122)</f>
        <v>0</v>
      </c>
      <c r="H123" s="1"/>
      <c r="I123" s="232" t="s">
        <v>352</v>
      </c>
    </row>
    <row r="124" spans="1:9" ht="13.5" thickTop="1" x14ac:dyDescent="0.2">
      <c r="C124" s="168"/>
      <c r="D124" s="168"/>
      <c r="F124" s="1"/>
      <c r="G124" s="1"/>
      <c r="H124" s="1"/>
      <c r="I124" s="1"/>
    </row>
    <row r="125" spans="1:9" ht="15" customHeight="1" x14ac:dyDescent="0.2">
      <c r="A125" s="4" t="s">
        <v>804</v>
      </c>
      <c r="B125" s="1524" t="s">
        <v>1085</v>
      </c>
      <c r="C125" s="1525"/>
      <c r="D125" s="1525"/>
      <c r="E125" s="1525"/>
      <c r="F125" s="1525"/>
      <c r="G125" s="1525"/>
      <c r="H125" s="1525"/>
      <c r="I125" s="1526"/>
    </row>
    <row r="126" spans="1:9" ht="25.5" customHeight="1" x14ac:dyDescent="0.2">
      <c r="B126" s="1527"/>
      <c r="C126" s="1528"/>
      <c r="D126" s="1528"/>
      <c r="E126" s="1528"/>
      <c r="F126" s="1528"/>
      <c r="G126" s="1528"/>
      <c r="H126" s="1528"/>
      <c r="I126" s="1529"/>
    </row>
    <row r="127" spans="1:9" x14ac:dyDescent="0.2">
      <c r="E127" s="1"/>
      <c r="F127" s="1"/>
      <c r="G127" s="177"/>
      <c r="H127" s="177"/>
      <c r="I127" s="164"/>
    </row>
    <row r="128" spans="1:9" ht="12.75" customHeight="1" x14ac:dyDescent="0.2">
      <c r="B128" s="39" t="s">
        <v>514</v>
      </c>
      <c r="C128" s="1337" t="s">
        <v>521</v>
      </c>
      <c r="D128" s="1337"/>
      <c r="E128" s="1337"/>
      <c r="F128" s="1"/>
      <c r="G128" s="1519"/>
      <c r="H128" s="177"/>
      <c r="I128" s="164"/>
    </row>
    <row r="129" spans="1:12" ht="45.75" customHeight="1" x14ac:dyDescent="0.2">
      <c r="C129" s="1337"/>
      <c r="D129" s="1337"/>
      <c r="E129" s="1337"/>
      <c r="F129" s="1"/>
      <c r="G129" s="1519"/>
      <c r="H129" s="177"/>
      <c r="I129" s="164"/>
    </row>
    <row r="130" spans="1:12" x14ac:dyDescent="0.2">
      <c r="E130" s="1"/>
      <c r="F130" s="1"/>
      <c r="G130" s="177"/>
      <c r="H130" s="177"/>
      <c r="I130" s="193" t="s">
        <v>922</v>
      </c>
    </row>
    <row r="131" spans="1:12" x14ac:dyDescent="0.2">
      <c r="B131" s="39" t="s">
        <v>515</v>
      </c>
      <c r="C131" s="1337" t="s">
        <v>1086</v>
      </c>
      <c r="D131" s="1337"/>
      <c r="E131" s="1337"/>
      <c r="F131" s="1"/>
      <c r="G131" s="1519"/>
      <c r="H131" s="177"/>
      <c r="I131" s="164"/>
    </row>
    <row r="132" spans="1:12" ht="47.25" customHeight="1" x14ac:dyDescent="0.2">
      <c r="C132" s="1337"/>
      <c r="D132" s="1337"/>
      <c r="E132" s="1337"/>
      <c r="F132" s="1"/>
      <c r="G132" s="1519"/>
      <c r="H132" s="177"/>
      <c r="I132" s="164"/>
    </row>
    <row r="133" spans="1:12" x14ac:dyDescent="0.2">
      <c r="E133" s="1"/>
      <c r="F133" s="1"/>
      <c r="G133" s="177"/>
      <c r="H133" s="177"/>
      <c r="I133" s="164"/>
    </row>
    <row r="134" spans="1:12" ht="13.5" customHeight="1" x14ac:dyDescent="0.2">
      <c r="A134" s="4" t="s">
        <v>810</v>
      </c>
      <c r="B134" s="1524" t="s">
        <v>505</v>
      </c>
      <c r="C134" s="1525"/>
      <c r="D134" s="1525"/>
      <c r="E134" s="1525"/>
      <c r="F134" s="1525"/>
      <c r="G134" s="1525"/>
      <c r="H134" s="1525"/>
      <c r="I134" s="1526"/>
      <c r="J134" s="1"/>
      <c r="K134" s="1"/>
      <c r="L134" s="1"/>
    </row>
    <row r="135" spans="1:12" ht="12" customHeight="1" x14ac:dyDescent="0.2">
      <c r="B135" s="1527"/>
      <c r="C135" s="1528"/>
      <c r="D135" s="1528"/>
      <c r="E135" s="1528"/>
      <c r="F135" s="1528"/>
      <c r="G135" s="1528"/>
      <c r="H135" s="1528"/>
      <c r="I135" s="1529"/>
      <c r="J135" s="1"/>
      <c r="K135" s="1"/>
      <c r="L135" s="1"/>
    </row>
    <row r="136" spans="1:12" ht="5.25" customHeight="1" x14ac:dyDescent="0.2">
      <c r="C136" s="179"/>
      <c r="D136" s="179"/>
      <c r="E136" s="162"/>
      <c r="F136" s="162"/>
      <c r="G136" s="162"/>
      <c r="H136" s="162"/>
      <c r="I136" s="162"/>
      <c r="J136" s="1"/>
      <c r="K136" s="1"/>
      <c r="L136" s="1"/>
    </row>
    <row r="137" spans="1:12" ht="37.5" customHeight="1" x14ac:dyDescent="0.2">
      <c r="C137" s="196" t="s">
        <v>836</v>
      </c>
      <c r="D137" s="196"/>
      <c r="E137" s="180" t="s">
        <v>596</v>
      </c>
      <c r="F137" s="178"/>
      <c r="G137" s="180" t="s">
        <v>597</v>
      </c>
      <c r="H137" s="178"/>
      <c r="I137" s="181"/>
      <c r="J137" s="1"/>
      <c r="K137" s="1"/>
      <c r="L137" s="1"/>
    </row>
    <row r="138" spans="1:12" x14ac:dyDescent="0.2">
      <c r="E138" s="1"/>
      <c r="F138" s="11"/>
      <c r="G138" s="1"/>
      <c r="H138" s="1"/>
      <c r="I138" s="1"/>
      <c r="J138" s="1"/>
      <c r="K138" s="1"/>
      <c r="L138" s="1"/>
    </row>
    <row r="139" spans="1:12" x14ac:dyDescent="0.2">
      <c r="C139" t="str">
        <f>+$C39</f>
        <v>General government</v>
      </c>
      <c r="E139" s="285">
        <f t="shared" ref="E139:E147" si="1">D$122*G39</f>
        <v>0</v>
      </c>
      <c r="F139" s="1"/>
      <c r="G139" s="1"/>
      <c r="H139" s="1"/>
      <c r="I139" s="1"/>
      <c r="J139" s="1"/>
      <c r="K139" s="1"/>
      <c r="L139" s="1"/>
    </row>
    <row r="140" spans="1:12" x14ac:dyDescent="0.2">
      <c r="C140" t="str">
        <f>+C40</f>
        <v>Public safety</v>
      </c>
      <c r="E140" s="285">
        <f t="shared" si="1"/>
        <v>0</v>
      </c>
      <c r="F140" s="1"/>
      <c r="G140" s="1"/>
      <c r="H140" s="1"/>
      <c r="I140" s="1"/>
      <c r="J140" s="1"/>
      <c r="K140" s="1"/>
      <c r="L140" s="1"/>
    </row>
    <row r="141" spans="1:12" x14ac:dyDescent="0.2">
      <c r="C141" t="str">
        <f>+C41</f>
        <v>Transportation</v>
      </c>
      <c r="E141" s="285">
        <f t="shared" si="1"/>
        <v>0</v>
      </c>
      <c r="F141" s="1"/>
      <c r="G141" s="1"/>
      <c r="H141" s="1"/>
      <c r="I141" s="1"/>
      <c r="J141" s="1"/>
      <c r="K141" s="1"/>
      <c r="L141" s="1"/>
    </row>
    <row r="142" spans="1:12" x14ac:dyDescent="0.2">
      <c r="C142" t="s">
        <v>819</v>
      </c>
      <c r="E142" s="285">
        <f t="shared" si="1"/>
        <v>0</v>
      </c>
      <c r="F142" s="1"/>
      <c r="G142" s="1"/>
      <c r="H142" s="1"/>
      <c r="I142" s="1"/>
      <c r="J142" s="1"/>
      <c r="K142" s="1"/>
      <c r="L142" s="1"/>
    </row>
    <row r="143" spans="1:12" x14ac:dyDescent="0.2">
      <c r="C143" t="s">
        <v>808</v>
      </c>
      <c r="E143" s="285">
        <f t="shared" si="1"/>
        <v>0</v>
      </c>
      <c r="F143" s="1"/>
      <c r="G143" s="1"/>
      <c r="H143" s="1"/>
      <c r="I143" s="1"/>
      <c r="J143" s="1"/>
      <c r="K143" s="1"/>
      <c r="L143" s="1"/>
    </row>
    <row r="144" spans="1:12" x14ac:dyDescent="0.2">
      <c r="C144" t="s">
        <v>307</v>
      </c>
      <c r="E144" s="285">
        <f t="shared" si="1"/>
        <v>0</v>
      </c>
      <c r="F144" s="1"/>
      <c r="G144" s="1"/>
      <c r="H144" s="1"/>
      <c r="I144" s="1"/>
      <c r="J144" s="1"/>
      <c r="K144" s="1"/>
      <c r="L144" s="1"/>
    </row>
    <row r="145" spans="1:12" x14ac:dyDescent="0.2">
      <c r="C145" t="s">
        <v>19</v>
      </c>
      <c r="E145" s="285">
        <f t="shared" si="1"/>
        <v>0</v>
      </c>
      <c r="F145" s="1"/>
      <c r="G145" s="1"/>
      <c r="H145" s="1"/>
      <c r="I145" s="6"/>
      <c r="J145" s="1"/>
      <c r="K145" s="1"/>
      <c r="L145" s="1"/>
    </row>
    <row r="146" spans="1:12" x14ac:dyDescent="0.2">
      <c r="C146" t="s">
        <v>172</v>
      </c>
      <c r="E146" s="285">
        <f t="shared" si="1"/>
        <v>0</v>
      </c>
      <c r="F146" s="1"/>
      <c r="G146" s="1"/>
      <c r="H146" s="1"/>
      <c r="I146" s="229"/>
      <c r="J146" s="1"/>
      <c r="K146" s="1"/>
      <c r="L146" s="1"/>
    </row>
    <row r="147" spans="1:12" ht="12.75" customHeight="1" x14ac:dyDescent="0.2">
      <c r="C147" s="353" t="s">
        <v>729</v>
      </c>
      <c r="E147" s="285">
        <f t="shared" si="1"/>
        <v>0</v>
      </c>
      <c r="F147" s="1"/>
      <c r="G147" s="1"/>
      <c r="H147" s="1"/>
      <c r="J147" s="1"/>
      <c r="K147" s="1"/>
      <c r="L147" s="1"/>
    </row>
    <row r="148" spans="1:12" x14ac:dyDescent="0.2">
      <c r="E148" s="1"/>
      <c r="F148" s="1"/>
      <c r="G148" s="1"/>
      <c r="H148" s="1"/>
      <c r="I148" s="1444" t="s">
        <v>187</v>
      </c>
      <c r="J148" s="1"/>
      <c r="K148" s="1"/>
      <c r="L148" s="1"/>
    </row>
    <row r="149" spans="1:12" ht="12" customHeight="1" x14ac:dyDescent="0.2">
      <c r="C149" t="str">
        <f>+C52</f>
        <v>Water and sewer</v>
      </c>
      <c r="E149" s="1"/>
      <c r="F149" s="1"/>
      <c r="G149" s="285">
        <f>D$122*G52</f>
        <v>0</v>
      </c>
      <c r="H149" s="1"/>
      <c r="I149" s="1444"/>
      <c r="J149" s="1"/>
      <c r="K149" s="1"/>
      <c r="L149" s="1"/>
    </row>
    <row r="150" spans="1:12" x14ac:dyDescent="0.2">
      <c r="C150" t="str">
        <f>+C53</f>
        <v>Electric</v>
      </c>
      <c r="E150" s="1"/>
      <c r="F150" s="1"/>
      <c r="G150" s="285">
        <f>D$122*G53</f>
        <v>0</v>
      </c>
      <c r="H150" s="1"/>
      <c r="I150" s="1444"/>
      <c r="J150" s="1"/>
      <c r="K150" s="1"/>
      <c r="L150" s="1"/>
    </row>
    <row r="151" spans="1:12" x14ac:dyDescent="0.2">
      <c r="C151" s="353" t="s">
        <v>738</v>
      </c>
      <c r="E151" s="1"/>
      <c r="F151" s="1"/>
      <c r="G151" s="285">
        <f>D$122*G54</f>
        <v>0</v>
      </c>
      <c r="H151" s="1"/>
      <c r="I151" s="1444"/>
      <c r="J151" s="1"/>
      <c r="K151" s="1"/>
      <c r="L151" s="1"/>
    </row>
    <row r="152" spans="1:12" x14ac:dyDescent="0.2">
      <c r="C152" s="353" t="s">
        <v>739</v>
      </c>
      <c r="E152" s="1"/>
      <c r="F152" s="1"/>
      <c r="G152" s="285">
        <f>D$122*G55</f>
        <v>0</v>
      </c>
      <c r="H152" s="1"/>
      <c r="I152" s="1556"/>
      <c r="J152" s="1"/>
      <c r="K152" s="1"/>
      <c r="L152" s="1"/>
    </row>
    <row r="153" spans="1:12" ht="13.5" thickBot="1" x14ac:dyDescent="0.25">
      <c r="C153" s="167" t="s">
        <v>598</v>
      </c>
      <c r="D153" s="167"/>
      <c r="E153" s="92">
        <f>SUM(E139:E152)</f>
        <v>0</v>
      </c>
      <c r="F153" s="1"/>
      <c r="G153" s="92">
        <f>SUM(G149:G152)</f>
        <v>0</v>
      </c>
      <c r="H153" s="233" t="s">
        <v>513</v>
      </c>
      <c r="I153" s="92">
        <f>SUM(E153:G153)</f>
        <v>0</v>
      </c>
      <c r="J153" s="1"/>
      <c r="K153" s="1"/>
      <c r="L153" s="1"/>
    </row>
    <row r="154" spans="1:12" ht="13.5" thickTop="1" x14ac:dyDescent="0.2">
      <c r="E154" s="1"/>
      <c r="F154" s="1"/>
      <c r="G154" s="1"/>
      <c r="H154" s="1"/>
      <c r="I154" s="164"/>
    </row>
    <row r="155" spans="1:12" ht="25.5" customHeight="1" x14ac:dyDescent="0.2">
      <c r="A155" s="4" t="s">
        <v>826</v>
      </c>
      <c r="B155" s="1413" t="s">
        <v>1026</v>
      </c>
      <c r="C155" s="1414"/>
      <c r="D155" s="1414"/>
      <c r="E155" s="1414"/>
      <c r="F155" s="1414"/>
      <c r="G155" s="1414"/>
      <c r="H155" s="1414"/>
      <c r="I155" s="1415"/>
    </row>
    <row r="156" spans="1:12" ht="12.75" customHeight="1" x14ac:dyDescent="0.2">
      <c r="E156" s="1"/>
      <c r="F156" s="1"/>
      <c r="G156" s="1"/>
      <c r="H156" s="1"/>
      <c r="I156" s="164"/>
    </row>
    <row r="157" spans="1:12" x14ac:dyDescent="0.2">
      <c r="E157" s="3" t="s">
        <v>510</v>
      </c>
      <c r="F157" s="46"/>
      <c r="G157" s="3" t="s">
        <v>511</v>
      </c>
      <c r="H157" s="46"/>
    </row>
    <row r="158" spans="1:12" x14ac:dyDescent="0.2">
      <c r="E158" s="216"/>
      <c r="F158" s="46"/>
      <c r="G158" s="220"/>
      <c r="H158" s="46"/>
      <c r="I158" s="191"/>
    </row>
    <row r="159" spans="1:12" x14ac:dyDescent="0.2">
      <c r="A159" s="197" t="s">
        <v>566</v>
      </c>
      <c r="C159" s="13" t="s">
        <v>599</v>
      </c>
      <c r="D159" s="13"/>
      <c r="E159" s="84">
        <f t="shared" ref="E159:E177" si="2">E73</f>
        <v>0</v>
      </c>
      <c r="G159" s="79"/>
    </row>
    <row r="160" spans="1:12" x14ac:dyDescent="0.2">
      <c r="C160" s="13" t="s">
        <v>239</v>
      </c>
      <c r="D160" s="13"/>
      <c r="E160" s="84">
        <f t="shared" si="2"/>
        <v>0</v>
      </c>
      <c r="G160" s="79"/>
    </row>
    <row r="161" spans="1:9" x14ac:dyDescent="0.2">
      <c r="C161" s="13" t="s">
        <v>53</v>
      </c>
      <c r="D161" s="13"/>
      <c r="E161" s="84">
        <f t="shared" si="2"/>
        <v>0</v>
      </c>
      <c r="G161" s="79"/>
    </row>
    <row r="162" spans="1:9" x14ac:dyDescent="0.2">
      <c r="C162" s="13" t="s">
        <v>838</v>
      </c>
      <c r="D162" s="13"/>
      <c r="E162" s="84">
        <f t="shared" si="2"/>
        <v>0</v>
      </c>
      <c r="G162" s="79"/>
    </row>
    <row r="163" spans="1:9" x14ac:dyDescent="0.2">
      <c r="C163" s="13" t="s">
        <v>56</v>
      </c>
      <c r="D163" s="13"/>
      <c r="E163" s="84">
        <f t="shared" si="2"/>
        <v>0</v>
      </c>
      <c r="G163" s="79"/>
    </row>
    <row r="164" spans="1:9" x14ac:dyDescent="0.2">
      <c r="C164" s="13" t="s">
        <v>57</v>
      </c>
      <c r="D164" s="13"/>
      <c r="E164" s="84">
        <f t="shared" si="2"/>
        <v>0</v>
      </c>
      <c r="G164" s="79"/>
    </row>
    <row r="165" spans="1:9" x14ac:dyDescent="0.2">
      <c r="C165" s="13" t="s">
        <v>814</v>
      </c>
      <c r="D165" s="13"/>
      <c r="E165" s="84">
        <f t="shared" si="2"/>
        <v>0</v>
      </c>
      <c r="G165" s="79"/>
    </row>
    <row r="166" spans="1:9" x14ac:dyDescent="0.2">
      <c r="C166" s="13" t="s">
        <v>815</v>
      </c>
      <c r="D166" s="13"/>
      <c r="E166" s="84">
        <f t="shared" si="2"/>
        <v>0</v>
      </c>
      <c r="G166" s="79"/>
    </row>
    <row r="167" spans="1:9" x14ac:dyDescent="0.2">
      <c r="C167" s="13" t="s">
        <v>812</v>
      </c>
      <c r="D167" s="13"/>
      <c r="E167" s="84">
        <f t="shared" si="2"/>
        <v>0</v>
      </c>
      <c r="G167" s="79"/>
    </row>
    <row r="168" spans="1:9" x14ac:dyDescent="0.2">
      <c r="C168" s="13" t="s">
        <v>600</v>
      </c>
      <c r="D168" s="13"/>
      <c r="E168" s="84">
        <f t="shared" si="2"/>
        <v>0</v>
      </c>
      <c r="G168" s="79"/>
      <c r="I168" s="6" t="s">
        <v>1028</v>
      </c>
    </row>
    <row r="169" spans="1:9" s="725" customFormat="1" x14ac:dyDescent="0.2">
      <c r="A169" s="724"/>
      <c r="C169" s="697" t="s">
        <v>2045</v>
      </c>
      <c r="D169" s="726"/>
      <c r="E169" s="84">
        <f t="shared" si="2"/>
        <v>0</v>
      </c>
      <c r="G169" s="79"/>
      <c r="I169" s="6"/>
    </row>
    <row r="170" spans="1:9" s="725" customFormat="1" ht="38.25" x14ac:dyDescent="0.2">
      <c r="A170" s="724"/>
      <c r="C170" s="1137" t="s">
        <v>4009</v>
      </c>
      <c r="D170" s="726"/>
      <c r="E170" s="84">
        <f t="shared" si="2"/>
        <v>0</v>
      </c>
      <c r="G170" s="79"/>
      <c r="I170" s="6"/>
    </row>
    <row r="171" spans="1:9" s="725" customFormat="1" ht="25.5" x14ac:dyDescent="0.2">
      <c r="A171" s="724"/>
      <c r="C171" s="1137" t="s">
        <v>4018</v>
      </c>
      <c r="D171" s="726"/>
      <c r="E171" s="84">
        <f t="shared" si="2"/>
        <v>0</v>
      </c>
      <c r="G171" s="79"/>
      <c r="I171" s="6"/>
    </row>
    <row r="172" spans="1:9" s="725" customFormat="1" x14ac:dyDescent="0.2">
      <c r="A172" s="724"/>
      <c r="C172" s="697" t="s">
        <v>4019</v>
      </c>
      <c r="D172" s="726"/>
      <c r="E172" s="84">
        <f t="shared" si="2"/>
        <v>0</v>
      </c>
      <c r="G172" s="79"/>
      <c r="I172" s="6"/>
    </row>
    <row r="173" spans="1:9" s="725" customFormat="1" ht="28.9" customHeight="1" x14ac:dyDescent="0.2">
      <c r="A173" s="724"/>
      <c r="C173" s="1136" t="s">
        <v>4021</v>
      </c>
      <c r="D173" s="726"/>
      <c r="E173" s="84">
        <f t="shared" si="2"/>
        <v>0</v>
      </c>
      <c r="G173" s="79"/>
      <c r="I173" s="6"/>
    </row>
    <row r="174" spans="1:9" s="1045" customFormat="1" x14ac:dyDescent="0.2">
      <c r="A174" s="1044"/>
      <c r="C174" s="697" t="s">
        <v>3978</v>
      </c>
      <c r="D174" s="1047"/>
      <c r="E174" s="84">
        <f t="shared" si="2"/>
        <v>0</v>
      </c>
      <c r="G174" s="79"/>
      <c r="I174" s="6"/>
    </row>
    <row r="175" spans="1:9" s="1133" customFormat="1" ht="25.5" x14ac:dyDescent="0.2">
      <c r="A175" s="1132"/>
      <c r="C175" s="1137" t="s">
        <v>4017</v>
      </c>
      <c r="D175" s="1134"/>
      <c r="E175" s="84">
        <f t="shared" si="2"/>
        <v>0</v>
      </c>
      <c r="G175" s="79"/>
      <c r="I175" s="6"/>
    </row>
    <row r="176" spans="1:9" s="1133" customFormat="1" x14ac:dyDescent="0.2">
      <c r="A176" s="1132"/>
      <c r="C176" s="697" t="s">
        <v>4026</v>
      </c>
      <c r="D176" s="1134"/>
      <c r="E176" s="84">
        <f t="shared" si="2"/>
        <v>0</v>
      </c>
      <c r="G176" s="79"/>
      <c r="I176" s="6"/>
    </row>
    <row r="177" spans="1:9" s="1133" customFormat="1" ht="28.9" customHeight="1" x14ac:dyDescent="0.2">
      <c r="A177" s="1132"/>
      <c r="C177" s="1136" t="s">
        <v>4025</v>
      </c>
      <c r="D177" s="1134"/>
      <c r="E177" s="84">
        <f t="shared" si="2"/>
        <v>0</v>
      </c>
      <c r="G177" s="79"/>
      <c r="I177" s="6"/>
    </row>
    <row r="178" spans="1:9" x14ac:dyDescent="0.2">
      <c r="C178" s="1047" t="s">
        <v>601</v>
      </c>
      <c r="D178" s="13"/>
      <c r="E178" s="79"/>
      <c r="G178" s="84">
        <f t="shared" ref="G178:G191" si="3">G92</f>
        <v>0</v>
      </c>
    </row>
    <row r="179" spans="1:9" x14ac:dyDescent="0.2">
      <c r="C179" s="1047" t="s">
        <v>602</v>
      </c>
      <c r="D179" s="13"/>
      <c r="E179" s="79"/>
      <c r="G179" s="84">
        <f t="shared" si="3"/>
        <v>0</v>
      </c>
    </row>
    <row r="180" spans="1:9" x14ac:dyDescent="0.2">
      <c r="C180" s="1047" t="s">
        <v>603</v>
      </c>
      <c r="D180" s="13"/>
      <c r="E180" s="79"/>
      <c r="G180" s="84">
        <f t="shared" si="3"/>
        <v>0</v>
      </c>
    </row>
    <row r="181" spans="1:9" x14ac:dyDescent="0.2">
      <c r="C181" s="1047" t="s">
        <v>604</v>
      </c>
      <c r="D181" s="13"/>
      <c r="E181" s="79"/>
      <c r="G181" s="84">
        <f t="shared" si="3"/>
        <v>0</v>
      </c>
    </row>
    <row r="182" spans="1:9" x14ac:dyDescent="0.2">
      <c r="C182" s="330" t="s">
        <v>58</v>
      </c>
      <c r="D182" s="13"/>
      <c r="E182" s="79"/>
      <c r="G182" s="84">
        <f t="shared" si="3"/>
        <v>0</v>
      </c>
    </row>
    <row r="183" spans="1:9" x14ac:dyDescent="0.2">
      <c r="C183" s="330" t="s">
        <v>837</v>
      </c>
      <c r="D183" s="13"/>
      <c r="E183" s="79"/>
      <c r="G183" s="84">
        <f t="shared" si="3"/>
        <v>0</v>
      </c>
    </row>
    <row r="184" spans="1:9" x14ac:dyDescent="0.2">
      <c r="C184" s="1047" t="s">
        <v>919</v>
      </c>
      <c r="D184" s="13"/>
      <c r="E184" s="79"/>
      <c r="G184" s="84">
        <f t="shared" si="3"/>
        <v>0</v>
      </c>
    </row>
    <row r="185" spans="1:9" x14ac:dyDescent="0.2">
      <c r="C185" s="1047" t="s">
        <v>920</v>
      </c>
      <c r="D185" s="13"/>
      <c r="E185" s="79"/>
      <c r="G185" s="84">
        <f t="shared" si="3"/>
        <v>0</v>
      </c>
    </row>
    <row r="186" spans="1:9" x14ac:dyDescent="0.2">
      <c r="C186" s="1047" t="s">
        <v>371</v>
      </c>
      <c r="D186" s="13"/>
      <c r="E186" s="79"/>
      <c r="G186" s="84">
        <f t="shared" si="3"/>
        <v>0</v>
      </c>
    </row>
    <row r="187" spans="1:9" x14ac:dyDescent="0.2">
      <c r="C187" s="1047" t="s">
        <v>921</v>
      </c>
      <c r="D187" s="13"/>
      <c r="E187" s="79"/>
      <c r="G187" s="84">
        <f t="shared" si="3"/>
        <v>0</v>
      </c>
    </row>
    <row r="188" spans="1:9" s="725" customFormat="1" ht="51" x14ac:dyDescent="0.2">
      <c r="A188" s="724"/>
      <c r="C188" s="740" t="s">
        <v>4009</v>
      </c>
      <c r="D188" s="726"/>
      <c r="E188" s="79"/>
      <c r="G188" s="84">
        <f t="shared" si="3"/>
        <v>0</v>
      </c>
    </row>
    <row r="189" spans="1:9" s="725" customFormat="1" ht="25.5" x14ac:dyDescent="0.2">
      <c r="A189" s="724"/>
      <c r="C189" s="740" t="s">
        <v>4018</v>
      </c>
      <c r="D189" s="726"/>
      <c r="E189" s="79"/>
      <c r="G189" s="84">
        <f t="shared" si="3"/>
        <v>0</v>
      </c>
    </row>
    <row r="190" spans="1:9" s="725" customFormat="1" x14ac:dyDescent="0.2">
      <c r="A190" s="724"/>
      <c r="C190" s="741" t="s">
        <v>4019</v>
      </c>
      <c r="D190" s="726"/>
      <c r="E190" s="79"/>
      <c r="G190" s="84">
        <f t="shared" si="3"/>
        <v>0</v>
      </c>
    </row>
    <row r="191" spans="1:9" s="725" customFormat="1" ht="38.25" x14ac:dyDescent="0.2">
      <c r="A191" s="724"/>
      <c r="C191" s="740" t="s">
        <v>4021</v>
      </c>
      <c r="D191" s="726"/>
      <c r="E191" s="79"/>
      <c r="G191" s="84">
        <f t="shared" si="3"/>
        <v>0</v>
      </c>
    </row>
    <row r="192" spans="1:9" s="1133" customFormat="1" ht="25.5" x14ac:dyDescent="0.2">
      <c r="A192" s="1132"/>
      <c r="C192" s="740" t="s">
        <v>4017</v>
      </c>
      <c r="D192" s="1134"/>
      <c r="E192" s="79"/>
      <c r="G192" s="84">
        <f t="shared" ref="G192:G194" si="4">G106</f>
        <v>0</v>
      </c>
    </row>
    <row r="193" spans="1:9" s="1133" customFormat="1" x14ac:dyDescent="0.2">
      <c r="A193" s="1132"/>
      <c r="C193" s="741" t="s">
        <v>4020</v>
      </c>
      <c r="D193" s="1134"/>
      <c r="E193" s="79"/>
      <c r="G193" s="84">
        <f t="shared" si="4"/>
        <v>0</v>
      </c>
    </row>
    <row r="194" spans="1:9" s="1133" customFormat="1" ht="25.5" x14ac:dyDescent="0.2">
      <c r="A194" s="1132"/>
      <c r="C194" s="740" t="s">
        <v>4025</v>
      </c>
      <c r="D194" s="1134"/>
      <c r="E194" s="79"/>
      <c r="G194" s="84">
        <f t="shared" si="4"/>
        <v>0</v>
      </c>
    </row>
    <row r="195" spans="1:9" x14ac:dyDescent="0.2">
      <c r="C195" s="13" t="s">
        <v>478</v>
      </c>
      <c r="D195" s="13"/>
      <c r="E195" s="78"/>
      <c r="G195" s="78">
        <f>G109+G131</f>
        <v>0</v>
      </c>
    </row>
    <row r="196" spans="1:9" s="13" customFormat="1" ht="6" customHeight="1" x14ac:dyDescent="0.2">
      <c r="A196" s="147"/>
      <c r="E196" s="79"/>
      <c r="F196"/>
      <c r="G196" s="79"/>
      <c r="H196"/>
      <c r="I196"/>
    </row>
    <row r="197" spans="1:9" s="13" customFormat="1" x14ac:dyDescent="0.2">
      <c r="A197" s="147"/>
      <c r="C197" s="13" t="s">
        <v>417</v>
      </c>
      <c r="E197" s="79"/>
      <c r="F197"/>
      <c r="G197" s="78">
        <f>G112</f>
        <v>0</v>
      </c>
      <c r="H197"/>
      <c r="I197"/>
    </row>
    <row r="198" spans="1:9" s="13" customFormat="1" x14ac:dyDescent="0.2">
      <c r="A198" s="147"/>
      <c r="C198" s="13" t="s">
        <v>605</v>
      </c>
      <c r="E198" s="79"/>
      <c r="F198"/>
      <c r="G198" s="78">
        <f>G116</f>
        <v>0</v>
      </c>
      <c r="H198"/>
    </row>
    <row r="199" spans="1:9" s="13" customFormat="1" x14ac:dyDescent="0.2">
      <c r="A199" s="147"/>
      <c r="C199" s="13" t="s">
        <v>606</v>
      </c>
      <c r="E199" s="78">
        <f>E117</f>
        <v>0</v>
      </c>
      <c r="F199"/>
      <c r="G199" s="79"/>
      <c r="H199"/>
      <c r="I199" s="6" t="s">
        <v>148</v>
      </c>
    </row>
    <row r="200" spans="1:9" s="13" customFormat="1" x14ac:dyDescent="0.2">
      <c r="A200" s="147"/>
      <c r="C200" s="13" t="s">
        <v>479</v>
      </c>
      <c r="E200" s="78">
        <f>E113</f>
        <v>0</v>
      </c>
      <c r="F200"/>
      <c r="G200" s="79"/>
      <c r="H200"/>
      <c r="I200"/>
    </row>
    <row r="201" spans="1:9" s="13" customFormat="1" x14ac:dyDescent="0.2">
      <c r="A201" s="147"/>
      <c r="C201" s="13" t="s">
        <v>146</v>
      </c>
      <c r="E201" s="78"/>
      <c r="F201"/>
      <c r="G201" s="78">
        <f>G115</f>
        <v>0</v>
      </c>
      <c r="H201"/>
      <c r="I201"/>
    </row>
    <row r="202" spans="1:9" s="13" customFormat="1" x14ac:dyDescent="0.2">
      <c r="A202" s="147"/>
      <c r="C202" s="13" t="s">
        <v>147</v>
      </c>
      <c r="E202" s="78">
        <f>E114</f>
        <v>0</v>
      </c>
      <c r="F202"/>
      <c r="G202" s="79"/>
      <c r="H202"/>
      <c r="I202"/>
    </row>
    <row r="203" spans="1:9" ht="6" customHeight="1" x14ac:dyDescent="0.2">
      <c r="C203" s="13"/>
      <c r="D203" s="13"/>
      <c r="E203" s="79"/>
      <c r="G203" s="79"/>
    </row>
    <row r="204" spans="1:9" x14ac:dyDescent="0.2">
      <c r="C204" s="167" t="s">
        <v>607</v>
      </c>
      <c r="D204" s="167"/>
      <c r="E204" s="78"/>
      <c r="G204" s="78">
        <f t="shared" ref="G204:G212" si="5">E139</f>
        <v>0</v>
      </c>
    </row>
    <row r="205" spans="1:9" x14ac:dyDescent="0.2">
      <c r="C205" s="167" t="s">
        <v>608</v>
      </c>
      <c r="D205" s="167"/>
      <c r="E205" s="78"/>
      <c r="G205" s="78">
        <f t="shared" si="5"/>
        <v>0</v>
      </c>
    </row>
    <row r="206" spans="1:9" x14ac:dyDescent="0.2">
      <c r="C206" s="167" t="s">
        <v>609</v>
      </c>
      <c r="D206" s="167"/>
      <c r="E206" s="78"/>
      <c r="G206" s="78">
        <f t="shared" si="5"/>
        <v>0</v>
      </c>
    </row>
    <row r="207" spans="1:9" x14ac:dyDescent="0.2">
      <c r="C207" t="s">
        <v>1027</v>
      </c>
      <c r="E207" s="78"/>
      <c r="G207" s="78">
        <f t="shared" si="5"/>
        <v>0</v>
      </c>
    </row>
    <row r="208" spans="1:9" x14ac:dyDescent="0.2">
      <c r="C208" s="167" t="s">
        <v>610</v>
      </c>
      <c r="D208" s="167"/>
      <c r="E208" s="78"/>
      <c r="G208" s="78">
        <f t="shared" si="5"/>
        <v>0</v>
      </c>
      <c r="I208" s="6" t="s">
        <v>149</v>
      </c>
    </row>
    <row r="209" spans="3:9" x14ac:dyDescent="0.2">
      <c r="C209" s="167" t="s">
        <v>307</v>
      </c>
      <c r="D209" s="167"/>
      <c r="E209" s="78"/>
      <c r="G209" s="78">
        <f t="shared" si="5"/>
        <v>0</v>
      </c>
    </row>
    <row r="210" spans="3:9" x14ac:dyDescent="0.2">
      <c r="C210" s="167" t="s">
        <v>611</v>
      </c>
      <c r="D210" s="167"/>
      <c r="E210" s="78"/>
      <c r="G210" s="78">
        <f t="shared" si="5"/>
        <v>0</v>
      </c>
    </row>
    <row r="211" spans="3:9" x14ac:dyDescent="0.2">
      <c r="C211" s="167" t="s">
        <v>172</v>
      </c>
      <c r="D211" s="167"/>
      <c r="E211" s="78"/>
      <c r="G211" s="78">
        <f t="shared" si="5"/>
        <v>0</v>
      </c>
    </row>
    <row r="212" spans="3:9" x14ac:dyDescent="0.2">
      <c r="C212" s="383" t="s">
        <v>729</v>
      </c>
      <c r="D212" s="167"/>
      <c r="E212" s="78"/>
      <c r="G212" s="78">
        <f t="shared" si="5"/>
        <v>0</v>
      </c>
    </row>
    <row r="213" spans="3:9" x14ac:dyDescent="0.2">
      <c r="C213" s="167" t="s">
        <v>714</v>
      </c>
      <c r="D213" s="167"/>
      <c r="E213" s="78"/>
      <c r="G213" s="78">
        <f>G153+G128</f>
        <v>0</v>
      </c>
    </row>
    <row r="214" spans="3:9" ht="6.75" customHeight="1" x14ac:dyDescent="0.2">
      <c r="C214" s="167"/>
      <c r="D214" s="167"/>
      <c r="E214" s="11"/>
      <c r="F214" s="1"/>
      <c r="G214" s="11"/>
      <c r="H214" s="14"/>
      <c r="I214" s="14"/>
    </row>
    <row r="215" spans="3:9" ht="13.5" thickBot="1" x14ac:dyDescent="0.25">
      <c r="C215" s="167"/>
      <c r="D215" s="167"/>
      <c r="E215" s="92">
        <f>SUM(E159:E213)</f>
        <v>0</v>
      </c>
      <c r="F215" s="1"/>
      <c r="G215" s="92">
        <f>SUM(G159:G213)</f>
        <v>0</v>
      </c>
    </row>
    <row r="216" spans="3:9" ht="18.75" customHeight="1" thickTop="1" x14ac:dyDescent="0.2">
      <c r="C216" s="167"/>
      <c r="D216" s="167"/>
      <c r="E216" s="11"/>
      <c r="F216" s="1"/>
      <c r="G216" s="11"/>
    </row>
    <row r="217" spans="3:9" x14ac:dyDescent="0.2">
      <c r="C217" s="1472" t="s">
        <v>612</v>
      </c>
      <c r="D217" s="1472"/>
      <c r="E217" t="s">
        <v>49</v>
      </c>
    </row>
    <row r="218" spans="3:9" x14ac:dyDescent="0.2">
      <c r="H218" s="14"/>
    </row>
    <row r="219" spans="3:9" x14ac:dyDescent="0.2">
      <c r="C219" t="s">
        <v>353</v>
      </c>
      <c r="E219" s="78">
        <f>G153+G128</f>
        <v>0</v>
      </c>
      <c r="G219" s="79"/>
    </row>
    <row r="220" spans="3:9" ht="12.75" customHeight="1" x14ac:dyDescent="0.2">
      <c r="C220" s="167" t="s">
        <v>613</v>
      </c>
      <c r="D220" s="167"/>
      <c r="E220" s="79"/>
      <c r="G220" s="78">
        <f>G149</f>
        <v>0</v>
      </c>
    </row>
    <row r="221" spans="3:9" ht="22.5" x14ac:dyDescent="0.2">
      <c r="C221" s="167" t="s">
        <v>614</v>
      </c>
      <c r="D221" s="167"/>
      <c r="E221" s="79"/>
      <c r="G221" s="15">
        <f>G150</f>
        <v>0</v>
      </c>
      <c r="I221" s="316" t="s">
        <v>641</v>
      </c>
    </row>
    <row r="222" spans="3:9" x14ac:dyDescent="0.2">
      <c r="C222" s="383" t="s">
        <v>638</v>
      </c>
      <c r="D222" s="167"/>
      <c r="E222" s="79"/>
      <c r="G222" s="15">
        <f>G151</f>
        <v>0</v>
      </c>
      <c r="I222" s="401"/>
    </row>
    <row r="223" spans="3:9" x14ac:dyDescent="0.2">
      <c r="C223" s="383" t="s">
        <v>639</v>
      </c>
      <c r="D223" s="167"/>
      <c r="E223" s="79"/>
      <c r="G223" s="15">
        <f>G152</f>
        <v>0</v>
      </c>
      <c r="I223" s="401"/>
    </row>
    <row r="224" spans="3:9" x14ac:dyDescent="0.2">
      <c r="C224" s="167" t="s">
        <v>735</v>
      </c>
      <c r="D224" s="167"/>
      <c r="E224" s="79"/>
      <c r="G224" s="198">
        <f>G128</f>
        <v>0</v>
      </c>
    </row>
    <row r="225" spans="3:9" ht="13.5" thickBot="1" x14ac:dyDescent="0.25">
      <c r="E225" s="80">
        <f>SUM(E219:E221)</f>
        <v>0</v>
      </c>
      <c r="G225" s="87">
        <f>SUM(G220:G224)</f>
        <v>0</v>
      </c>
    </row>
    <row r="226" spans="3:9" ht="13.5" thickTop="1" x14ac:dyDescent="0.2"/>
    <row r="227" spans="3:9" x14ac:dyDescent="0.2">
      <c r="C227" s="1411" t="s">
        <v>492</v>
      </c>
      <c r="D227" s="1324"/>
      <c r="E227" s="1324"/>
      <c r="F227" s="1324"/>
      <c r="G227" s="1324"/>
      <c r="H227" s="1324"/>
      <c r="I227" s="1324"/>
    </row>
    <row r="228" spans="3:9" x14ac:dyDescent="0.2">
      <c r="C228" s="1324"/>
      <c r="D228" s="1324"/>
      <c r="E228" s="1324"/>
      <c r="F228" s="1324"/>
      <c r="G228" s="1324"/>
      <c r="H228" s="1324"/>
      <c r="I228" s="1324"/>
    </row>
  </sheetData>
  <sheetProtection algorithmName="SHA-512" hashValue="zQ+h2gdTQc/MINPgrIbmGMrqNok9oG7JIF+3W6X3mlzsMCx8UIEs/xSHrAaFQIeM/P1yh0JdJjNnjvN3wxqs8w==" saltValue="fLfS8D2auRmW1srKtNtm/Q==" spinCount="100000" sheet="1" objects="1" scenarios="1"/>
  <customSheetViews>
    <customSheetView guid="{C1197650-3ED8-49E4-8E4C-0D1D4B503FC0}" hiddenRows="1">
      <selection activeCell="N122" sqref="N122"/>
      <rowBreaks count="2" manualBreakCount="2">
        <brk id="68" max="8" man="1"/>
        <brk id="153" max="8" man="1"/>
      </rowBreaks>
      <pageMargins left="0.39" right="0.4" top="0.66" bottom="0.5" header="0.5" footer="0.5"/>
      <printOptions horizontalCentered="1"/>
      <pageSetup scale="70" orientation="portrait" r:id="rId1"/>
      <headerFooter alignWithMargins="0">
        <oddHeader>&amp;REntry K.3</oddHeader>
        <oddFooter>&amp;L&amp;8&amp;D - County model&amp;R&amp;P</oddFooter>
      </headerFooter>
    </customSheetView>
    <customSheetView guid="{D2B860EA-92EC-4999-9A59-C624E1F8C7FB}" hiddenRows="1">
      <selection activeCell="N122" sqref="N122"/>
      <rowBreaks count="2" manualBreakCount="2">
        <brk id="68" max="8" man="1"/>
        <brk id="153" max="8" man="1"/>
      </rowBreaks>
      <pageMargins left="0.39" right="0.4" top="0.66" bottom="0.5" header="0.5" footer="0.5"/>
      <printOptions horizontalCentered="1"/>
      <pageSetup scale="70" orientation="portrait" r:id="rId2"/>
      <headerFooter alignWithMargins="0">
        <oddHeader>&amp;REntry K.3</oddHeader>
        <oddFooter>&amp;L&amp;8&amp;D - County model&amp;R&amp;P</oddFooter>
      </headerFooter>
    </customSheetView>
  </customSheetViews>
  <mergeCells count="27">
    <mergeCell ref="C30:I30"/>
    <mergeCell ref="C1:I1"/>
    <mergeCell ref="C35:G35"/>
    <mergeCell ref="B2:I3"/>
    <mergeCell ref="B4:I4"/>
    <mergeCell ref="C14:I15"/>
    <mergeCell ref="C20:I21"/>
    <mergeCell ref="C23:I23"/>
    <mergeCell ref="C27:I28"/>
    <mergeCell ref="C17:I18"/>
    <mergeCell ref="C24:I25"/>
    <mergeCell ref="B32:I33"/>
    <mergeCell ref="C227:I228"/>
    <mergeCell ref="B125:I126"/>
    <mergeCell ref="C131:E132"/>
    <mergeCell ref="G131:G132"/>
    <mergeCell ref="G65:I66"/>
    <mergeCell ref="C119:C120"/>
    <mergeCell ref="D119:D120"/>
    <mergeCell ref="C217:D217"/>
    <mergeCell ref="C66:D66"/>
    <mergeCell ref="B155:I155"/>
    <mergeCell ref="B134:I135"/>
    <mergeCell ref="C128:E129"/>
    <mergeCell ref="G128:G129"/>
    <mergeCell ref="B69:I70"/>
    <mergeCell ref="I148:I152"/>
  </mergeCells>
  <phoneticPr fontId="14" type="noConversion"/>
  <printOptions horizontalCentered="1"/>
  <pageMargins left="0.39" right="0.4" top="0.66" bottom="0.5" header="0.5" footer="0.5"/>
  <pageSetup scale="70" orientation="portrait" r:id="rId3"/>
  <headerFooter alignWithMargins="0">
    <oddHeader>&amp;REntry K.3</oddHeader>
    <oddFooter>&amp;L&amp;8&amp;D - County model&amp;R&amp;P</oddFooter>
  </headerFooter>
  <rowBreaks count="2" manualBreakCount="2">
    <brk id="68" max="8" man="1"/>
    <brk id="153" max="8" man="1"/>
  </rowBreaks>
  <drawing r:id="rId4"/>
  <legacy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307"/>
  <sheetViews>
    <sheetView workbookViewId="0"/>
  </sheetViews>
  <sheetFormatPr defaultRowHeight="12.75" x14ac:dyDescent="0.2"/>
  <cols>
    <col min="1" max="1" width="4.42578125" customWidth="1"/>
    <col min="2" max="2" width="3.42578125" customWidth="1"/>
    <col min="3" max="3" width="10" customWidth="1"/>
    <col min="4" max="4" width="4.5703125" customWidth="1"/>
    <col min="6" max="6" width="11.28515625" customWidth="1"/>
    <col min="7" max="7" width="8.42578125" bestFit="1" customWidth="1"/>
    <col min="8" max="8" width="11.42578125" bestFit="1" customWidth="1"/>
    <col min="9" max="9" width="7.7109375" customWidth="1"/>
    <col min="10" max="10" width="15.7109375" customWidth="1"/>
    <col min="11" max="11" width="1.140625" customWidth="1"/>
    <col min="12" max="12" width="16.5703125" customWidth="1"/>
    <col min="13" max="13" width="2.140625" customWidth="1"/>
    <col min="14" max="14" width="18" bestFit="1" customWidth="1"/>
    <col min="15" max="15" width="0.85546875" customWidth="1"/>
    <col min="16" max="16" width="1.140625" customWidth="1"/>
    <col min="17" max="17" width="12.85546875" bestFit="1" customWidth="1"/>
  </cols>
  <sheetData>
    <row r="1" spans="1:16" ht="7.5" customHeight="1" x14ac:dyDescent="0.2"/>
    <row r="2" spans="1:16" ht="33.75" customHeight="1" x14ac:dyDescent="0.25">
      <c r="A2" s="1408" t="s">
        <v>404</v>
      </c>
      <c r="B2" s="1409"/>
      <c r="C2" s="1409"/>
      <c r="D2" s="1409"/>
      <c r="E2" s="1409"/>
      <c r="F2" s="1409"/>
      <c r="G2" s="1409"/>
      <c r="H2" s="1409"/>
      <c r="I2" s="1409"/>
      <c r="J2" s="1409"/>
      <c r="K2" s="1409"/>
      <c r="L2" s="1409"/>
      <c r="M2" s="1409"/>
      <c r="N2" s="1409"/>
      <c r="O2" s="1410"/>
    </row>
    <row r="3" spans="1:16" ht="12" customHeight="1" x14ac:dyDescent="0.2">
      <c r="H3" s="42"/>
    </row>
    <row r="4" spans="1:16" ht="64.5" customHeight="1" x14ac:dyDescent="0.2">
      <c r="B4" s="1324" t="s">
        <v>273</v>
      </c>
      <c r="C4" s="1412"/>
      <c r="D4" s="1412"/>
      <c r="E4" s="1412"/>
      <c r="F4" s="1412"/>
      <c r="G4" s="1412"/>
      <c r="H4" s="1412"/>
      <c r="I4" s="1412"/>
      <c r="J4" s="1412"/>
      <c r="K4" s="1412"/>
      <c r="L4" s="1412"/>
      <c r="M4" s="1412"/>
      <c r="N4" s="1412"/>
      <c r="O4" s="1412"/>
      <c r="P4" s="1412"/>
    </row>
    <row r="5" spans="1:16" ht="7.5" customHeight="1" x14ac:dyDescent="0.2">
      <c r="B5" s="34"/>
      <c r="C5" s="35"/>
      <c r="D5" s="35"/>
      <c r="E5" s="35"/>
      <c r="F5" s="35"/>
      <c r="G5" s="35"/>
      <c r="H5" s="35"/>
      <c r="I5" s="35"/>
      <c r="J5" s="35"/>
      <c r="K5" s="35"/>
      <c r="L5" s="35"/>
      <c r="M5" s="35"/>
      <c r="N5" s="35"/>
      <c r="O5" s="35"/>
      <c r="P5" s="35"/>
    </row>
    <row r="6" spans="1:16" ht="12.75" customHeight="1" x14ac:dyDescent="0.2">
      <c r="A6" s="4"/>
      <c r="B6" s="41" t="s">
        <v>514</v>
      </c>
      <c r="C6" s="1324" t="s">
        <v>802</v>
      </c>
      <c r="D6" s="1324"/>
      <c r="E6" s="1324"/>
      <c r="F6" s="1324"/>
      <c r="G6" s="1324"/>
      <c r="H6" s="1324"/>
      <c r="I6" s="1324"/>
      <c r="J6" s="1324"/>
      <c r="K6" s="1324"/>
      <c r="L6" s="1324"/>
      <c r="M6" s="1324"/>
      <c r="N6" s="1324"/>
      <c r="O6" s="35"/>
      <c r="P6" s="35"/>
    </row>
    <row r="7" spans="1:16" ht="52.5" customHeight="1" x14ac:dyDescent="0.2">
      <c r="A7" s="4"/>
      <c r="B7" s="41"/>
      <c r="C7" s="1324"/>
      <c r="D7" s="1324"/>
      <c r="E7" s="1324"/>
      <c r="F7" s="1324"/>
      <c r="G7" s="1324"/>
      <c r="H7" s="1324"/>
      <c r="I7" s="1324"/>
      <c r="J7" s="1324"/>
      <c r="K7" s="1324"/>
      <c r="L7" s="1324"/>
      <c r="M7" s="1324"/>
      <c r="N7" s="1324"/>
      <c r="O7" s="35"/>
      <c r="P7" s="35"/>
    </row>
    <row r="8" spans="1:16" ht="6.75" customHeight="1" x14ac:dyDescent="0.2">
      <c r="B8" s="41"/>
      <c r="C8" s="35"/>
      <c r="D8" s="35"/>
      <c r="E8" s="35"/>
      <c r="F8" s="35"/>
      <c r="G8" s="35"/>
      <c r="H8" s="35"/>
      <c r="I8" s="35"/>
      <c r="J8" s="35"/>
      <c r="K8" s="35"/>
      <c r="L8" s="35"/>
      <c r="M8" s="35"/>
      <c r="N8" s="35"/>
      <c r="O8" s="35"/>
      <c r="P8" s="35"/>
    </row>
    <row r="9" spans="1:16" ht="12.75" customHeight="1" x14ac:dyDescent="0.2">
      <c r="B9" s="41" t="s">
        <v>515</v>
      </c>
      <c r="C9" s="1324" t="s">
        <v>155</v>
      </c>
      <c r="D9" s="1324"/>
      <c r="E9" s="1324"/>
      <c r="F9" s="1324"/>
      <c r="G9" s="1324"/>
      <c r="H9" s="1324"/>
      <c r="I9" s="1324"/>
      <c r="J9" s="1324"/>
      <c r="K9" s="1324"/>
      <c r="L9" s="1324"/>
      <c r="M9" s="1324"/>
      <c r="N9" s="1324"/>
      <c r="O9" s="35"/>
      <c r="P9" s="35"/>
    </row>
    <row r="10" spans="1:16" ht="51" customHeight="1" x14ac:dyDescent="0.2">
      <c r="B10" s="41"/>
      <c r="C10" s="1324"/>
      <c r="D10" s="1324"/>
      <c r="E10" s="1324"/>
      <c r="F10" s="1324"/>
      <c r="G10" s="1324"/>
      <c r="H10" s="1324"/>
      <c r="I10" s="1324"/>
      <c r="J10" s="1324"/>
      <c r="K10" s="1324"/>
      <c r="L10" s="1324"/>
      <c r="M10" s="1324"/>
      <c r="N10" s="1324"/>
      <c r="O10" s="35"/>
      <c r="P10" s="35"/>
    </row>
    <row r="11" spans="1:16" ht="6.75" customHeight="1" x14ac:dyDescent="0.2">
      <c r="B11" s="41"/>
      <c r="C11" s="34"/>
      <c r="D11" s="35"/>
      <c r="E11" s="35"/>
      <c r="F11" s="35"/>
      <c r="G11" s="35"/>
      <c r="H11" s="35"/>
      <c r="I11" s="35"/>
      <c r="J11" s="35"/>
      <c r="K11" s="35"/>
      <c r="L11" s="35"/>
      <c r="M11" s="35"/>
      <c r="N11" s="35"/>
      <c r="O11" s="35"/>
      <c r="P11" s="35"/>
    </row>
    <row r="12" spans="1:16" ht="12.75" customHeight="1" x14ac:dyDescent="0.2">
      <c r="B12" s="41" t="s">
        <v>516</v>
      </c>
      <c r="C12" s="1424" t="s">
        <v>1067</v>
      </c>
      <c r="D12" s="1424"/>
      <c r="E12" s="1424"/>
      <c r="F12" s="1424"/>
      <c r="G12" s="1424"/>
      <c r="H12" s="1424"/>
      <c r="I12" s="1424"/>
      <c r="J12" s="1424"/>
      <c r="K12" s="1424"/>
      <c r="L12" s="1424"/>
      <c r="M12" s="1424"/>
      <c r="N12" s="1424"/>
      <c r="O12" s="35"/>
      <c r="P12" s="35"/>
    </row>
    <row r="13" spans="1:16" ht="12.75" customHeight="1" x14ac:dyDescent="0.2">
      <c r="B13" s="41"/>
      <c r="C13" s="1424"/>
      <c r="D13" s="1424"/>
      <c r="E13" s="1424"/>
      <c r="F13" s="1424"/>
      <c r="G13" s="1424"/>
      <c r="H13" s="1424"/>
      <c r="I13" s="1424"/>
      <c r="J13" s="1424"/>
      <c r="K13" s="1424"/>
      <c r="L13" s="1424"/>
      <c r="M13" s="1424"/>
      <c r="N13" s="1424"/>
      <c r="O13" s="35"/>
      <c r="P13" s="35"/>
    </row>
    <row r="14" spans="1:16" ht="12.75" customHeight="1" x14ac:dyDescent="0.2">
      <c r="B14" s="41"/>
      <c r="C14" s="1424"/>
      <c r="D14" s="1424"/>
      <c r="E14" s="1424"/>
      <c r="F14" s="1424"/>
      <c r="G14" s="1424"/>
      <c r="H14" s="1424"/>
      <c r="I14" s="1424"/>
      <c r="J14" s="1424"/>
      <c r="K14" s="1424"/>
      <c r="L14" s="1424"/>
      <c r="M14" s="1424"/>
      <c r="N14" s="1424"/>
      <c r="O14" s="35"/>
      <c r="P14" s="35"/>
    </row>
    <row r="15" spans="1:16" ht="12.75" customHeight="1" x14ac:dyDescent="0.2">
      <c r="B15" s="41"/>
      <c r="C15" s="1424"/>
      <c r="D15" s="1424"/>
      <c r="E15" s="1424"/>
      <c r="F15" s="1424"/>
      <c r="G15" s="1424"/>
      <c r="H15" s="1424"/>
      <c r="I15" s="1424"/>
      <c r="J15" s="1424"/>
      <c r="K15" s="1424"/>
      <c r="L15" s="1424"/>
      <c r="M15" s="1424"/>
      <c r="N15" s="1424"/>
      <c r="O15" s="35"/>
      <c r="P15" s="35"/>
    </row>
    <row r="16" spans="1:16" ht="12.75" customHeight="1" x14ac:dyDescent="0.2">
      <c r="B16" s="41"/>
      <c r="C16" s="1424"/>
      <c r="D16" s="1424"/>
      <c r="E16" s="1424"/>
      <c r="F16" s="1424"/>
      <c r="G16" s="1424"/>
      <c r="H16" s="1424"/>
      <c r="I16" s="1424"/>
      <c r="J16" s="1424"/>
      <c r="K16" s="1424"/>
      <c r="L16" s="1424"/>
      <c r="M16" s="1424"/>
      <c r="N16" s="1424"/>
      <c r="O16" s="35"/>
      <c r="P16" s="35"/>
    </row>
    <row r="17" spans="2:16" ht="7.5" customHeight="1" x14ac:dyDescent="0.2">
      <c r="B17" s="41"/>
      <c r="C17" s="34"/>
      <c r="D17" s="35"/>
      <c r="E17" s="35"/>
      <c r="F17" s="35"/>
      <c r="G17" s="35"/>
      <c r="H17" s="35"/>
      <c r="I17" s="35"/>
      <c r="J17" s="35"/>
      <c r="K17" s="35"/>
      <c r="L17" s="35"/>
      <c r="M17" s="35"/>
      <c r="N17" s="35"/>
      <c r="O17" s="35"/>
      <c r="P17" s="35"/>
    </row>
    <row r="18" spans="2:16" ht="15" customHeight="1" x14ac:dyDescent="0.2">
      <c r="B18" s="41" t="s">
        <v>542</v>
      </c>
      <c r="C18" s="1329" t="s">
        <v>629</v>
      </c>
      <c r="D18" s="1324"/>
      <c r="E18" s="1324"/>
      <c r="F18" s="1324"/>
      <c r="G18" s="1324"/>
      <c r="H18" s="1324"/>
      <c r="I18" s="1324"/>
      <c r="J18" s="1324"/>
      <c r="K18" s="1324"/>
      <c r="L18" s="1324"/>
      <c r="M18" s="1324"/>
      <c r="N18" s="1324"/>
      <c r="O18" s="35"/>
      <c r="P18" s="35"/>
    </row>
    <row r="19" spans="2:16" ht="102.6" customHeight="1" x14ac:dyDescent="0.2">
      <c r="B19" s="41"/>
      <c r="C19" s="1324"/>
      <c r="D19" s="1324"/>
      <c r="E19" s="1324"/>
      <c r="F19" s="1324"/>
      <c r="G19" s="1324"/>
      <c r="H19" s="1324"/>
      <c r="I19" s="1324"/>
      <c r="J19" s="1324"/>
      <c r="K19" s="1324"/>
      <c r="L19" s="1324"/>
      <c r="M19" s="1324"/>
      <c r="N19" s="1324"/>
      <c r="O19" s="35"/>
      <c r="P19" s="35"/>
    </row>
    <row r="20" spans="2:16" ht="7.5" customHeight="1" x14ac:dyDescent="0.2">
      <c r="B20" s="41"/>
      <c r="C20" s="34"/>
      <c r="D20" s="35"/>
      <c r="E20" s="35"/>
      <c r="F20" s="35"/>
      <c r="G20" s="35"/>
      <c r="H20" s="35"/>
      <c r="I20" s="35"/>
      <c r="J20" s="35"/>
      <c r="K20" s="35"/>
      <c r="L20" s="35"/>
      <c r="M20" s="35"/>
      <c r="N20" s="35"/>
      <c r="O20" s="35"/>
      <c r="P20" s="35"/>
    </row>
    <row r="21" spans="2:16" ht="12.75" customHeight="1" x14ac:dyDescent="0.2">
      <c r="B21" s="41" t="s">
        <v>543</v>
      </c>
      <c r="C21" s="1508" t="s">
        <v>1068</v>
      </c>
      <c r="D21" s="1508"/>
      <c r="E21" s="1508"/>
      <c r="F21" s="1508"/>
      <c r="G21" s="1508"/>
      <c r="H21" s="1508"/>
      <c r="I21" s="1508"/>
      <c r="J21" s="1508"/>
      <c r="K21" s="1508"/>
      <c r="L21" s="1508"/>
      <c r="M21" s="1508"/>
      <c r="N21" s="1508"/>
      <c r="O21" s="35"/>
      <c r="P21" s="35"/>
    </row>
    <row r="22" spans="2:16" ht="12.75" customHeight="1" x14ac:dyDescent="0.2">
      <c r="B22" s="41"/>
      <c r="C22" s="1508"/>
      <c r="D22" s="1508"/>
      <c r="E22" s="1508"/>
      <c r="F22" s="1508"/>
      <c r="G22" s="1508"/>
      <c r="H22" s="1508"/>
      <c r="I22" s="1508"/>
      <c r="J22" s="1508"/>
      <c r="K22" s="1508"/>
      <c r="L22" s="1508"/>
      <c r="M22" s="1508"/>
      <c r="N22" s="1508"/>
      <c r="O22" s="35"/>
      <c r="P22" s="35"/>
    </row>
    <row r="23" spans="2:16" ht="12.75" customHeight="1" x14ac:dyDescent="0.2">
      <c r="B23" s="41"/>
      <c r="C23" s="1508"/>
      <c r="D23" s="1508"/>
      <c r="E23" s="1508"/>
      <c r="F23" s="1508"/>
      <c r="G23" s="1508"/>
      <c r="H23" s="1508"/>
      <c r="I23" s="1508"/>
      <c r="J23" s="1508"/>
      <c r="K23" s="1508"/>
      <c r="L23" s="1508"/>
      <c r="M23" s="1508"/>
      <c r="N23" s="1508"/>
      <c r="O23" s="35"/>
      <c r="P23" s="35"/>
    </row>
    <row r="24" spans="2:16" ht="12.75" customHeight="1" x14ac:dyDescent="0.2">
      <c r="B24" s="41"/>
      <c r="C24" s="1508"/>
      <c r="D24" s="1508"/>
      <c r="E24" s="1508"/>
      <c r="F24" s="1508"/>
      <c r="G24" s="1508"/>
      <c r="H24" s="1508"/>
      <c r="I24" s="1508"/>
      <c r="J24" s="1508"/>
      <c r="K24" s="1508"/>
      <c r="L24" s="1508"/>
      <c r="M24" s="1508"/>
      <c r="N24" s="1508"/>
      <c r="O24" s="35"/>
      <c r="P24" s="35"/>
    </row>
    <row r="25" spans="2:16" ht="12.75" customHeight="1" x14ac:dyDescent="0.2">
      <c r="B25" s="41"/>
      <c r="C25" s="1508"/>
      <c r="D25" s="1508"/>
      <c r="E25" s="1508"/>
      <c r="F25" s="1508"/>
      <c r="G25" s="1508"/>
      <c r="H25" s="1508"/>
      <c r="I25" s="1508"/>
      <c r="J25" s="1508"/>
      <c r="K25" s="1508"/>
      <c r="L25" s="1508"/>
      <c r="M25" s="1508"/>
      <c r="N25" s="1508"/>
      <c r="O25" s="35"/>
      <c r="P25" s="35"/>
    </row>
    <row r="26" spans="2:16" ht="16.899999999999999" customHeight="1" x14ac:dyDescent="0.2">
      <c r="B26" s="41"/>
      <c r="C26" s="1508"/>
      <c r="D26" s="1508"/>
      <c r="E26" s="1508"/>
      <c r="F26" s="1508"/>
      <c r="G26" s="1508"/>
      <c r="H26" s="1508"/>
      <c r="I26" s="1508"/>
      <c r="J26" s="1508"/>
      <c r="K26" s="1508"/>
      <c r="L26" s="1508"/>
      <c r="M26" s="1508"/>
      <c r="N26" s="1508"/>
      <c r="O26" s="35"/>
      <c r="P26" s="35"/>
    </row>
    <row r="27" spans="2:16" ht="7.5" customHeight="1" x14ac:dyDescent="0.2">
      <c r="B27" s="41"/>
      <c r="C27" s="34"/>
      <c r="D27" s="35"/>
      <c r="E27" s="35"/>
      <c r="F27" s="35"/>
      <c r="G27" s="35"/>
      <c r="H27" s="35"/>
      <c r="I27" s="35"/>
      <c r="J27" s="35"/>
      <c r="K27" s="35"/>
      <c r="L27" s="35"/>
      <c r="M27" s="35"/>
      <c r="N27" s="35"/>
      <c r="O27" s="35"/>
      <c r="P27" s="35"/>
    </row>
    <row r="28" spans="2:16" ht="12.75" customHeight="1" x14ac:dyDescent="0.2">
      <c r="B28" s="41" t="s">
        <v>858</v>
      </c>
      <c r="C28" s="1324" t="s">
        <v>162</v>
      </c>
      <c r="D28" s="1324"/>
      <c r="E28" s="1324"/>
      <c r="F28" s="1324"/>
      <c r="G28" s="1324"/>
      <c r="H28" s="1324"/>
      <c r="I28" s="1324"/>
      <c r="J28" s="1324"/>
      <c r="K28" s="1324"/>
      <c r="L28" s="1324"/>
      <c r="M28" s="1324"/>
      <c r="N28" s="1324"/>
      <c r="O28" s="35"/>
      <c r="P28" s="35"/>
    </row>
    <row r="29" spans="2:16" ht="24.75" customHeight="1" x14ac:dyDescent="0.2">
      <c r="B29" s="41"/>
      <c r="C29" s="1324"/>
      <c r="D29" s="1324"/>
      <c r="E29" s="1324"/>
      <c r="F29" s="1324"/>
      <c r="G29" s="1324"/>
      <c r="H29" s="1324"/>
      <c r="I29" s="1324"/>
      <c r="J29" s="1324"/>
      <c r="K29" s="1324"/>
      <c r="L29" s="1324"/>
      <c r="M29" s="1324"/>
      <c r="N29" s="1324"/>
      <c r="O29" s="35"/>
      <c r="P29" s="35"/>
    </row>
    <row r="30" spans="2:16" ht="7.5" customHeight="1" x14ac:dyDescent="0.2">
      <c r="B30" s="41"/>
      <c r="C30" s="34"/>
      <c r="D30" s="35"/>
      <c r="E30" s="35"/>
      <c r="F30" s="35"/>
      <c r="G30" s="35"/>
      <c r="H30" s="35"/>
      <c r="I30" s="35"/>
      <c r="J30" s="35"/>
      <c r="K30" s="35"/>
      <c r="L30" s="35"/>
      <c r="M30" s="35"/>
      <c r="N30" s="35"/>
      <c r="O30" s="35"/>
      <c r="P30" s="35"/>
    </row>
    <row r="31" spans="2:16" ht="12.75" customHeight="1" x14ac:dyDescent="0.2">
      <c r="B31" s="41" t="s">
        <v>940</v>
      </c>
      <c r="C31" s="1324" t="s">
        <v>139</v>
      </c>
      <c r="D31" s="1324"/>
      <c r="E31" s="1324"/>
      <c r="F31" s="1324"/>
      <c r="G31" s="1324"/>
      <c r="H31" s="1324"/>
      <c r="I31" s="1324"/>
      <c r="J31" s="1324"/>
      <c r="K31" s="1324"/>
      <c r="L31" s="1324"/>
      <c r="M31" s="1324"/>
      <c r="N31" s="1324"/>
      <c r="O31" s="35"/>
      <c r="P31" s="35"/>
    </row>
    <row r="32" spans="2:16" ht="12.75" customHeight="1" x14ac:dyDescent="0.2">
      <c r="B32" s="41"/>
      <c r="C32" s="1324"/>
      <c r="D32" s="1324"/>
      <c r="E32" s="1324"/>
      <c r="F32" s="1324"/>
      <c r="G32" s="1324"/>
      <c r="H32" s="1324"/>
      <c r="I32" s="1324"/>
      <c r="J32" s="1324"/>
      <c r="K32" s="1324"/>
      <c r="L32" s="1324"/>
      <c r="M32" s="1324"/>
      <c r="N32" s="1324"/>
      <c r="O32" s="35"/>
      <c r="P32" s="35"/>
    </row>
    <row r="33" spans="1:16" ht="13.5" customHeight="1" x14ac:dyDescent="0.2">
      <c r="B33" s="41"/>
      <c r="C33" s="1324"/>
      <c r="D33" s="1324"/>
      <c r="E33" s="1324"/>
      <c r="F33" s="1324"/>
      <c r="G33" s="1324"/>
      <c r="H33" s="1324"/>
      <c r="I33" s="1324"/>
      <c r="J33" s="1324"/>
      <c r="K33" s="1324"/>
      <c r="L33" s="1324"/>
      <c r="M33" s="1324"/>
      <c r="N33" s="1324"/>
      <c r="O33" s="35"/>
      <c r="P33" s="35"/>
    </row>
    <row r="34" spans="1:16" ht="12.75" customHeight="1" x14ac:dyDescent="0.2">
      <c r="B34" s="41"/>
      <c r="C34" s="1324"/>
      <c r="D34" s="1324"/>
      <c r="E34" s="1324"/>
      <c r="F34" s="1324"/>
      <c r="G34" s="1324"/>
      <c r="H34" s="1324"/>
      <c r="I34" s="1324"/>
      <c r="J34" s="1324"/>
      <c r="K34" s="1324"/>
      <c r="L34" s="1324"/>
      <c r="M34" s="1324"/>
      <c r="N34" s="1324"/>
      <c r="O34" s="35"/>
      <c r="P34" s="35"/>
    </row>
    <row r="35" spans="1:16" ht="7.5" customHeight="1" x14ac:dyDescent="0.2">
      <c r="B35" s="41"/>
      <c r="C35" s="34"/>
      <c r="D35" s="34"/>
      <c r="E35" s="34"/>
      <c r="F35" s="34"/>
      <c r="G35" s="34"/>
      <c r="H35" s="34"/>
      <c r="I35" s="34"/>
      <c r="J35" s="34"/>
      <c r="K35" s="34"/>
      <c r="L35" s="34"/>
      <c r="M35" s="34"/>
      <c r="N35" s="34"/>
      <c r="O35" s="35"/>
      <c r="P35" s="35"/>
    </row>
    <row r="36" spans="1:16" ht="12.75" customHeight="1" x14ac:dyDescent="0.2">
      <c r="B36" s="41" t="s">
        <v>293</v>
      </c>
      <c r="C36" s="1324" t="s">
        <v>646</v>
      </c>
      <c r="D36" s="1324"/>
      <c r="E36" s="1324"/>
      <c r="F36" s="1324"/>
      <c r="G36" s="1324"/>
      <c r="H36" s="1324"/>
      <c r="I36" s="1324"/>
      <c r="J36" s="1324"/>
      <c r="K36" s="1324"/>
      <c r="L36" s="1324"/>
      <c r="M36" s="1324"/>
      <c r="N36" s="1324"/>
      <c r="O36" s="35"/>
      <c r="P36" s="35"/>
    </row>
    <row r="37" spans="1:16" ht="12.75" customHeight="1" x14ac:dyDescent="0.2">
      <c r="B37" s="41"/>
      <c r="C37" s="1324"/>
      <c r="D37" s="1324"/>
      <c r="E37" s="1324"/>
      <c r="F37" s="1324"/>
      <c r="G37" s="1324"/>
      <c r="H37" s="1324"/>
      <c r="I37" s="1324"/>
      <c r="J37" s="1324"/>
      <c r="K37" s="1324"/>
      <c r="L37" s="1324"/>
      <c r="M37" s="1324"/>
      <c r="N37" s="1324"/>
      <c r="O37" s="35"/>
      <c r="P37" s="35"/>
    </row>
    <row r="38" spans="1:16" ht="12.75" customHeight="1" x14ac:dyDescent="0.2">
      <c r="B38" s="41"/>
      <c r="C38" s="1324"/>
      <c r="D38" s="1324"/>
      <c r="E38" s="1324"/>
      <c r="F38" s="1324"/>
      <c r="G38" s="1324"/>
      <c r="H38" s="1324"/>
      <c r="I38" s="1324"/>
      <c r="J38" s="1324"/>
      <c r="K38" s="1324"/>
      <c r="L38" s="1324"/>
      <c r="M38" s="1324"/>
      <c r="N38" s="1324"/>
      <c r="O38" s="35"/>
      <c r="P38" s="35"/>
    </row>
    <row r="39" spans="1:16" ht="12.75" customHeight="1" x14ac:dyDescent="0.2">
      <c r="B39" s="41"/>
      <c r="C39" s="1324"/>
      <c r="D39" s="1324"/>
      <c r="E39" s="1324"/>
      <c r="F39" s="1324"/>
      <c r="G39" s="1324"/>
      <c r="H39" s="1324"/>
      <c r="I39" s="1324"/>
      <c r="J39" s="1324"/>
      <c r="K39" s="1324"/>
      <c r="L39" s="1324"/>
      <c r="M39" s="1324"/>
      <c r="N39" s="1324"/>
      <c r="O39" s="35"/>
      <c r="P39" s="35"/>
    </row>
    <row r="40" spans="1:16" ht="12.75" customHeight="1" x14ac:dyDescent="0.2">
      <c r="B40" s="41"/>
      <c r="C40" s="1324"/>
      <c r="D40" s="1324"/>
      <c r="E40" s="1324"/>
      <c r="F40" s="1324"/>
      <c r="G40" s="1324"/>
      <c r="H40" s="1324"/>
      <c r="I40" s="1324"/>
      <c r="J40" s="1324"/>
      <c r="K40" s="1324"/>
      <c r="L40" s="1324"/>
      <c r="M40" s="1324"/>
      <c r="N40" s="1324"/>
      <c r="O40" s="35"/>
      <c r="P40" s="35"/>
    </row>
    <row r="41" spans="1:16" ht="7.5" customHeight="1" x14ac:dyDescent="0.2">
      <c r="B41" s="41"/>
      <c r="C41" s="34"/>
      <c r="D41" s="34"/>
      <c r="E41" s="34"/>
      <c r="F41" s="34"/>
      <c r="G41" s="34"/>
      <c r="H41" s="34"/>
      <c r="I41" s="34"/>
      <c r="J41" s="34"/>
      <c r="K41" s="34"/>
      <c r="L41" s="34"/>
      <c r="M41" s="34"/>
      <c r="N41" s="34"/>
      <c r="O41" s="35"/>
      <c r="P41" s="35"/>
    </row>
    <row r="42" spans="1:16" ht="12.75" customHeight="1" x14ac:dyDescent="0.2">
      <c r="B42" s="41" t="s">
        <v>33</v>
      </c>
      <c r="C42" s="1337" t="s">
        <v>1069</v>
      </c>
      <c r="D42" s="1337"/>
      <c r="E42" s="1337"/>
      <c r="F42" s="1337"/>
      <c r="G42" s="1337"/>
      <c r="H42" s="1337"/>
      <c r="I42" s="1337"/>
      <c r="J42" s="1337"/>
      <c r="K42" s="1337"/>
      <c r="L42" s="1337"/>
      <c r="M42" s="1337"/>
      <c r="N42" s="1337"/>
      <c r="O42" s="35"/>
      <c r="P42" s="35"/>
    </row>
    <row r="43" spans="1:16" ht="12.75" customHeight="1" x14ac:dyDescent="0.2">
      <c r="B43" s="41"/>
      <c r="C43" s="1337"/>
      <c r="D43" s="1337"/>
      <c r="E43" s="1337"/>
      <c r="F43" s="1337"/>
      <c r="G43" s="1337"/>
      <c r="H43" s="1337"/>
      <c r="I43" s="1337"/>
      <c r="J43" s="1337"/>
      <c r="K43" s="1337"/>
      <c r="L43" s="1337"/>
      <c r="M43" s="1337"/>
      <c r="N43" s="1337"/>
      <c r="O43" s="35"/>
      <c r="P43" s="35"/>
    </row>
    <row r="44" spans="1:16" ht="12.75" customHeight="1" x14ac:dyDescent="0.2">
      <c r="B44" s="41"/>
      <c r="C44" s="1337"/>
      <c r="D44" s="1337"/>
      <c r="E44" s="1337"/>
      <c r="F44" s="1337"/>
      <c r="G44" s="1337"/>
      <c r="H44" s="1337"/>
      <c r="I44" s="1337"/>
      <c r="J44" s="1337"/>
      <c r="K44" s="1337"/>
      <c r="L44" s="1337"/>
      <c r="M44" s="1337"/>
      <c r="N44" s="1337"/>
      <c r="O44" s="35"/>
      <c r="P44" s="35"/>
    </row>
    <row r="45" spans="1:16" ht="22.5" customHeight="1" x14ac:dyDescent="0.2">
      <c r="B45" s="41"/>
      <c r="C45" s="34"/>
      <c r="D45" s="35"/>
      <c r="E45" s="35"/>
      <c r="F45" s="35"/>
      <c r="G45" s="35"/>
      <c r="H45" s="35"/>
      <c r="I45" s="35"/>
      <c r="J45" s="35"/>
      <c r="K45" s="35"/>
      <c r="L45" s="35"/>
      <c r="M45" s="35"/>
      <c r="N45" s="35"/>
      <c r="O45" s="35"/>
      <c r="P45" s="35"/>
    </row>
    <row r="46" spans="1:16" ht="25.5" customHeight="1" x14ac:dyDescent="0.2">
      <c r="A46" s="4" t="s">
        <v>540</v>
      </c>
      <c r="B46" s="1413" t="s">
        <v>85</v>
      </c>
      <c r="C46" s="1414"/>
      <c r="D46" s="1414"/>
      <c r="E46" s="1414"/>
      <c r="F46" s="1414"/>
      <c r="G46" s="1414"/>
      <c r="H46" s="1414"/>
      <c r="I46" s="1414"/>
      <c r="J46" s="1414"/>
      <c r="K46" s="1414"/>
      <c r="L46" s="1414"/>
      <c r="M46" s="1414"/>
      <c r="N46" s="1415"/>
      <c r="O46" s="35"/>
      <c r="P46" s="35"/>
    </row>
    <row r="49" spans="1:18" x14ac:dyDescent="0.2">
      <c r="B49" s="39" t="s">
        <v>514</v>
      </c>
      <c r="C49" s="1324" t="s">
        <v>403</v>
      </c>
      <c r="D49" s="1324"/>
      <c r="E49" s="1324"/>
      <c r="F49" s="1324"/>
      <c r="G49" s="1324"/>
      <c r="H49" s="1324"/>
      <c r="I49" s="1324"/>
      <c r="J49" s="1324"/>
      <c r="K49" s="1324"/>
      <c r="L49" s="1324"/>
      <c r="N49" s="1562">
        <f>200000+70000+619059+10000</f>
        <v>899059</v>
      </c>
    </row>
    <row r="50" spans="1:18" ht="12" customHeight="1" x14ac:dyDescent="0.2">
      <c r="C50" s="1324"/>
      <c r="D50" s="1324"/>
      <c r="E50" s="1324"/>
      <c r="F50" s="1324"/>
      <c r="G50" s="1324"/>
      <c r="H50" s="1324"/>
      <c r="I50" s="1324"/>
      <c r="J50" s="1324"/>
      <c r="K50" s="1324"/>
      <c r="L50" s="1324"/>
      <c r="N50" s="1562"/>
      <c r="Q50">
        <f>200000+70000+619059+10000</f>
        <v>899059</v>
      </c>
      <c r="R50" s="1207">
        <f>N49-Q50</f>
        <v>0</v>
      </c>
    </row>
    <row r="51" spans="1:18" x14ac:dyDescent="0.2">
      <c r="C51" s="6"/>
    </row>
    <row r="52" spans="1:18" ht="16.5" customHeight="1" x14ac:dyDescent="0.2">
      <c r="B52" s="39" t="s">
        <v>515</v>
      </c>
      <c r="C52" s="1411" t="s">
        <v>68</v>
      </c>
      <c r="D52" s="1411"/>
      <c r="E52" s="1411"/>
      <c r="F52" s="1411"/>
      <c r="G52" s="1411"/>
      <c r="H52" s="1411"/>
      <c r="I52" s="1411"/>
      <c r="J52" s="1411"/>
      <c r="K52" s="1411"/>
      <c r="L52" s="1411"/>
      <c r="N52" s="1445">
        <v>0</v>
      </c>
    </row>
    <row r="53" spans="1:18" x14ac:dyDescent="0.2">
      <c r="C53" s="1411"/>
      <c r="D53" s="1411"/>
      <c r="E53" s="1411"/>
      <c r="F53" s="1411"/>
      <c r="G53" s="1411"/>
      <c r="H53" s="1411"/>
      <c r="I53" s="1411"/>
      <c r="J53" s="1411"/>
      <c r="K53" s="1411"/>
      <c r="L53" s="1411"/>
      <c r="N53" s="1445"/>
    </row>
    <row r="54" spans="1:18" x14ac:dyDescent="0.2">
      <c r="C54" s="235"/>
      <c r="D54" s="236"/>
      <c r="E54" s="236"/>
      <c r="F54" s="236"/>
      <c r="G54" s="236"/>
      <c r="H54" s="236"/>
      <c r="I54" s="236"/>
      <c r="J54" s="236"/>
      <c r="K54" s="236"/>
      <c r="L54" s="236"/>
      <c r="M54" s="236"/>
      <c r="N54" s="13"/>
    </row>
    <row r="55" spans="1:18" x14ac:dyDescent="0.2">
      <c r="C55" s="6"/>
    </row>
    <row r="56" spans="1:18" x14ac:dyDescent="0.2">
      <c r="C56" s="6"/>
    </row>
    <row r="57" spans="1:18" ht="25.5" customHeight="1" x14ac:dyDescent="0.2">
      <c r="A57" s="4" t="s">
        <v>541</v>
      </c>
      <c r="B57" s="1419" t="s">
        <v>86</v>
      </c>
      <c r="C57" s="1422"/>
      <c r="D57" s="1422"/>
      <c r="E57" s="1422"/>
      <c r="F57" s="1422"/>
      <c r="G57" s="1422"/>
      <c r="H57" s="1422"/>
      <c r="I57" s="1422"/>
      <c r="J57" s="1422"/>
      <c r="K57" s="1422"/>
      <c r="L57" s="1422"/>
      <c r="M57" s="1422"/>
      <c r="N57" s="1423"/>
    </row>
    <row r="58" spans="1:18" x14ac:dyDescent="0.2">
      <c r="H58" s="1"/>
    </row>
    <row r="59" spans="1:18" x14ac:dyDescent="0.2">
      <c r="H59" s="1"/>
    </row>
    <row r="60" spans="1:18" x14ac:dyDescent="0.2">
      <c r="B60" s="39" t="s">
        <v>514</v>
      </c>
      <c r="C60" s="1324" t="s">
        <v>578</v>
      </c>
      <c r="D60" s="1324"/>
      <c r="E60" s="1324"/>
      <c r="F60" s="1324"/>
      <c r="G60" s="1324"/>
      <c r="H60" s="1324"/>
      <c r="I60" s="1324"/>
      <c r="J60" s="1324"/>
      <c r="K60" s="1324"/>
      <c r="L60" s="1324"/>
      <c r="N60" s="1445">
        <v>0</v>
      </c>
    </row>
    <row r="61" spans="1:18" ht="26.25" customHeight="1" x14ac:dyDescent="0.2">
      <c r="C61" s="1324"/>
      <c r="D61" s="1324"/>
      <c r="E61" s="1324"/>
      <c r="F61" s="1324"/>
      <c r="G61" s="1324"/>
      <c r="H61" s="1324"/>
      <c r="I61" s="1324"/>
      <c r="J61" s="1324"/>
      <c r="K61" s="1324"/>
      <c r="L61" s="1324"/>
      <c r="N61" s="1445"/>
    </row>
    <row r="62" spans="1:18" ht="8.25" customHeight="1" x14ac:dyDescent="0.2">
      <c r="N62" s="36"/>
    </row>
    <row r="63" spans="1:18" x14ac:dyDescent="0.2">
      <c r="B63" s="39" t="s">
        <v>515</v>
      </c>
      <c r="C63" s="1324" t="s">
        <v>480</v>
      </c>
      <c r="D63" s="1324"/>
      <c r="E63" s="1324"/>
      <c r="F63" s="1324"/>
      <c r="G63" s="1324"/>
      <c r="H63" s="1324"/>
      <c r="I63" s="1324"/>
      <c r="J63" s="1324"/>
      <c r="K63" s="1324"/>
      <c r="L63" s="1324"/>
      <c r="N63" s="1445">
        <v>0</v>
      </c>
    </row>
    <row r="64" spans="1:18" ht="24.75" customHeight="1" x14ac:dyDescent="0.2">
      <c r="C64" s="1324"/>
      <c r="D64" s="1324"/>
      <c r="E64" s="1324"/>
      <c r="F64" s="1324"/>
      <c r="G64" s="1324"/>
      <c r="H64" s="1324"/>
      <c r="I64" s="1324"/>
      <c r="J64" s="1324"/>
      <c r="K64" s="1324"/>
      <c r="L64" s="1324"/>
      <c r="N64" s="1445"/>
    </row>
    <row r="65" spans="1:17" ht="12.75" customHeight="1" x14ac:dyDescent="0.2">
      <c r="L65" s="36"/>
    </row>
    <row r="66" spans="1:17" ht="12.75" customHeight="1" x14ac:dyDescent="0.2">
      <c r="L66" s="36"/>
    </row>
    <row r="67" spans="1:17" ht="36" customHeight="1" x14ac:dyDescent="0.2">
      <c r="A67" s="4" t="s">
        <v>804</v>
      </c>
      <c r="B67" s="1419" t="s">
        <v>153</v>
      </c>
      <c r="C67" s="1422"/>
      <c r="D67" s="1422"/>
      <c r="E67" s="1422"/>
      <c r="F67" s="1422"/>
      <c r="G67" s="1422"/>
      <c r="H67" s="1422"/>
      <c r="I67" s="1422"/>
      <c r="J67" s="1422"/>
      <c r="K67" s="1422"/>
      <c r="L67" s="1422"/>
      <c r="M67" s="1422"/>
      <c r="N67" s="1423"/>
    </row>
    <row r="68" spans="1:17" ht="13.5" customHeight="1" x14ac:dyDescent="0.2">
      <c r="L68" s="36"/>
    </row>
    <row r="69" spans="1:17" ht="12.75" customHeight="1" x14ac:dyDescent="0.2">
      <c r="B69" s="39" t="s">
        <v>514</v>
      </c>
      <c r="C69" s="1337" t="s">
        <v>1070</v>
      </c>
      <c r="D69" s="1337"/>
      <c r="E69" s="1337"/>
      <c r="F69" s="1337"/>
      <c r="G69" s="1337"/>
      <c r="H69" s="1337"/>
      <c r="I69" s="1337"/>
      <c r="J69" s="1337"/>
      <c r="K69" s="1337"/>
      <c r="L69" s="1337"/>
      <c r="N69" s="1445">
        <v>0</v>
      </c>
    </row>
    <row r="70" spans="1:17" ht="12.75" customHeight="1" x14ac:dyDescent="0.2">
      <c r="B70" s="39"/>
      <c r="C70" s="1337"/>
      <c r="D70" s="1337"/>
      <c r="E70" s="1337"/>
      <c r="F70" s="1337"/>
      <c r="G70" s="1337"/>
      <c r="H70" s="1337"/>
      <c r="I70" s="1337"/>
      <c r="J70" s="1337"/>
      <c r="K70" s="1337"/>
      <c r="L70" s="1337"/>
      <c r="N70" s="1445"/>
    </row>
    <row r="71" spans="1:17" ht="12.75" customHeight="1" x14ac:dyDescent="0.2">
      <c r="B71" s="39"/>
      <c r="C71" s="1337"/>
      <c r="D71" s="1337"/>
      <c r="E71" s="1337"/>
      <c r="F71" s="1337"/>
      <c r="G71" s="1337"/>
      <c r="H71" s="1337"/>
      <c r="I71" s="1337"/>
      <c r="J71" s="1337"/>
      <c r="K71" s="1337"/>
      <c r="L71" s="1337"/>
      <c r="N71" s="1445"/>
    </row>
    <row r="72" spans="1:17" ht="6" customHeight="1" x14ac:dyDescent="0.2">
      <c r="N72" s="36"/>
    </row>
    <row r="73" spans="1:17" ht="12.75" customHeight="1" x14ac:dyDescent="0.2">
      <c r="B73" s="39" t="s">
        <v>515</v>
      </c>
      <c r="C73" s="1324" t="s">
        <v>928</v>
      </c>
      <c r="D73" s="1324"/>
      <c r="E73" s="1324"/>
      <c r="F73" s="1324"/>
      <c r="G73" s="1324"/>
      <c r="H73" s="1324"/>
      <c r="I73" s="1324"/>
      <c r="J73" s="1324"/>
      <c r="K73" s="1324"/>
      <c r="L73" s="1324"/>
      <c r="N73" s="1445"/>
    </row>
    <row r="74" spans="1:17" ht="12.75" hidden="1" customHeight="1" x14ac:dyDescent="0.2">
      <c r="C74" s="1324"/>
      <c r="D74" s="1324"/>
      <c r="E74" s="1324"/>
      <c r="F74" s="1324"/>
      <c r="G74" s="1324"/>
      <c r="H74" s="1324"/>
      <c r="I74" s="1324"/>
      <c r="J74" s="1324"/>
      <c r="K74" s="1324"/>
      <c r="L74" s="1324"/>
      <c r="N74" s="1445"/>
    </row>
    <row r="75" spans="1:17" x14ac:dyDescent="0.2">
      <c r="C75" s="1324"/>
      <c r="D75" s="1324"/>
      <c r="E75" s="1324"/>
      <c r="F75" s="1324"/>
      <c r="G75" s="1324"/>
      <c r="H75" s="1324"/>
      <c r="I75" s="1324"/>
      <c r="J75" s="1324"/>
      <c r="K75" s="1324"/>
      <c r="L75" s="1324"/>
      <c r="N75" s="1445"/>
    </row>
    <row r="76" spans="1:17" ht="9" customHeight="1" x14ac:dyDescent="0.2">
      <c r="N76" s="36"/>
    </row>
    <row r="77" spans="1:17" ht="12.75" customHeight="1" x14ac:dyDescent="0.2">
      <c r="B77" s="39" t="s">
        <v>516</v>
      </c>
      <c r="C77" s="1324" t="s">
        <v>929</v>
      </c>
      <c r="D77" s="1324"/>
      <c r="E77" s="1324"/>
      <c r="F77" s="1324"/>
      <c r="G77" s="1324"/>
      <c r="H77" s="1324"/>
      <c r="I77" s="1324"/>
      <c r="J77" s="1324"/>
      <c r="K77" s="1324"/>
      <c r="L77" s="1324"/>
      <c r="N77" s="1445">
        <v>0</v>
      </c>
      <c r="Q77" s="53"/>
    </row>
    <row r="78" spans="1:17" ht="12.75" customHeight="1" x14ac:dyDescent="0.2">
      <c r="B78" s="39"/>
      <c r="C78" s="1324"/>
      <c r="D78" s="1324"/>
      <c r="E78" s="1324"/>
      <c r="F78" s="1324"/>
      <c r="G78" s="1324"/>
      <c r="H78" s="1324"/>
      <c r="I78" s="1324"/>
      <c r="J78" s="1324"/>
      <c r="K78" s="1324"/>
      <c r="L78" s="1324"/>
      <c r="N78" s="1445"/>
      <c r="Q78" s="53"/>
    </row>
    <row r="79" spans="1:17" ht="6" customHeight="1" x14ac:dyDescent="0.2">
      <c r="B79" s="39"/>
      <c r="N79" s="36"/>
    </row>
    <row r="80" spans="1:17" ht="12.75" customHeight="1" x14ac:dyDescent="0.2">
      <c r="B80" s="39" t="s">
        <v>542</v>
      </c>
      <c r="C80" s="1324" t="s">
        <v>152</v>
      </c>
      <c r="D80" s="1324"/>
      <c r="E80" s="1324"/>
      <c r="F80" s="1324"/>
      <c r="G80" s="1324"/>
      <c r="H80" s="1324"/>
      <c r="I80" s="1324"/>
      <c r="J80" s="1324"/>
      <c r="K80" s="1324"/>
      <c r="L80" s="1324"/>
      <c r="N80" s="1445">
        <v>0</v>
      </c>
    </row>
    <row r="81" spans="1:14" ht="12.75" customHeight="1" x14ac:dyDescent="0.2">
      <c r="B81" s="39"/>
      <c r="C81" s="1324"/>
      <c r="D81" s="1324"/>
      <c r="E81" s="1324"/>
      <c r="F81" s="1324"/>
      <c r="G81" s="1324"/>
      <c r="H81" s="1324"/>
      <c r="I81" s="1324"/>
      <c r="J81" s="1324"/>
      <c r="K81" s="1324"/>
      <c r="L81" s="1324"/>
      <c r="N81" s="1445"/>
    </row>
    <row r="82" spans="1:14" ht="13.5" customHeight="1" x14ac:dyDescent="0.2">
      <c r="B82" s="39"/>
      <c r="C82" s="1324"/>
      <c r="D82" s="1324"/>
      <c r="E82" s="1324"/>
      <c r="F82" s="1324"/>
      <c r="G82" s="1324"/>
      <c r="H82" s="1324"/>
      <c r="I82" s="1324"/>
      <c r="J82" s="1324"/>
      <c r="K82" s="1324"/>
      <c r="L82" s="1324"/>
      <c r="N82" s="1445"/>
    </row>
    <row r="83" spans="1:14" ht="21.75" customHeight="1" x14ac:dyDescent="0.2"/>
    <row r="84" spans="1:14" ht="25.5" customHeight="1" x14ac:dyDescent="0.2">
      <c r="A84" s="4" t="s">
        <v>810</v>
      </c>
      <c r="B84" s="1416" t="s">
        <v>154</v>
      </c>
      <c r="C84" s="1417"/>
      <c r="D84" s="1417"/>
      <c r="E84" s="1417"/>
      <c r="F84" s="1417"/>
      <c r="G84" s="1417"/>
      <c r="H84" s="1417"/>
      <c r="I84" s="1417"/>
      <c r="J84" s="1417"/>
      <c r="K84" s="1417"/>
      <c r="L84" s="1417"/>
      <c r="M84" s="1417"/>
      <c r="N84" s="1418"/>
    </row>
    <row r="85" spans="1:14" ht="12.75" customHeight="1" x14ac:dyDescent="0.2"/>
    <row r="86" spans="1:14" ht="17.25" customHeight="1" x14ac:dyDescent="0.2">
      <c r="B86" s="39" t="s">
        <v>514</v>
      </c>
      <c r="C86" s="1324" t="s">
        <v>138</v>
      </c>
      <c r="D86" s="1324"/>
      <c r="E86" s="1324"/>
      <c r="F86" s="1324"/>
      <c r="G86" s="1324"/>
      <c r="H86" s="1324"/>
      <c r="I86" s="1324"/>
      <c r="J86" s="1324"/>
      <c r="K86" s="1324"/>
      <c r="L86" s="1324"/>
      <c r="N86" s="343">
        <v>0</v>
      </c>
    </row>
    <row r="87" spans="1:14" ht="5.25" customHeight="1" x14ac:dyDescent="0.2">
      <c r="C87" s="34"/>
      <c r="D87" s="34"/>
      <c r="E87" s="34"/>
      <c r="F87" s="34"/>
      <c r="G87" s="34"/>
      <c r="H87" s="34"/>
      <c r="I87" s="34"/>
      <c r="J87" s="34"/>
      <c r="K87" s="34"/>
      <c r="L87" s="34"/>
      <c r="N87" s="353"/>
    </row>
    <row r="88" spans="1:14" ht="17.25" customHeight="1" x14ac:dyDescent="0.2">
      <c r="B88" s="39" t="s">
        <v>515</v>
      </c>
      <c r="C88" s="1328" t="s">
        <v>681</v>
      </c>
      <c r="D88" s="1328"/>
      <c r="E88" s="1328"/>
      <c r="F88" s="1328"/>
      <c r="G88" s="1328"/>
      <c r="H88" s="1328"/>
      <c r="I88" s="1328"/>
      <c r="J88" s="1328"/>
      <c r="N88" s="343">
        <v>0</v>
      </c>
    </row>
    <row r="89" spans="1:14" ht="3.75" customHeight="1" x14ac:dyDescent="0.2">
      <c r="N89" s="354"/>
    </row>
    <row r="90" spans="1:14" ht="12.75" customHeight="1" x14ac:dyDescent="0.2"/>
    <row r="91" spans="1:14" ht="12.75" customHeight="1" x14ac:dyDescent="0.2">
      <c r="C91" s="2" t="s">
        <v>137</v>
      </c>
    </row>
    <row r="92" spans="1:14" ht="21.75" customHeight="1" x14ac:dyDescent="0.2"/>
    <row r="93" spans="1:14" ht="25.5" customHeight="1" x14ac:dyDescent="0.2">
      <c r="A93" s="4" t="s">
        <v>826</v>
      </c>
      <c r="B93" s="1416" t="s">
        <v>285</v>
      </c>
      <c r="C93" s="1417"/>
      <c r="D93" s="1417"/>
      <c r="E93" s="1417"/>
      <c r="F93" s="1417"/>
      <c r="G93" s="1417"/>
      <c r="H93" s="1417"/>
      <c r="I93" s="1417"/>
      <c r="J93" s="1417"/>
      <c r="K93" s="1417"/>
      <c r="L93" s="1417"/>
      <c r="M93" s="1417"/>
      <c r="N93" s="1418"/>
    </row>
    <row r="94" spans="1:14" ht="12.75" customHeight="1" x14ac:dyDescent="0.2"/>
    <row r="95" spans="1:14" ht="12.75" customHeight="1" x14ac:dyDescent="0.2">
      <c r="B95" s="39" t="s">
        <v>514</v>
      </c>
      <c r="C95" s="1324" t="s">
        <v>854</v>
      </c>
      <c r="D95" s="1324"/>
      <c r="E95" s="1324"/>
      <c r="F95" s="1324"/>
      <c r="G95" s="1324"/>
      <c r="H95" s="1324"/>
      <c r="I95" s="1324"/>
      <c r="J95" s="1324"/>
    </row>
    <row r="96" spans="1:14" ht="68.45" customHeight="1" x14ac:dyDescent="0.2">
      <c r="C96" s="1324"/>
      <c r="D96" s="1324"/>
      <c r="E96" s="1324"/>
      <c r="F96" s="1324"/>
      <c r="G96" s="1324"/>
      <c r="H96" s="1324"/>
      <c r="I96" s="1324"/>
      <c r="J96" s="1324"/>
    </row>
    <row r="97" spans="1:14" ht="4.5" customHeight="1" x14ac:dyDescent="0.2">
      <c r="C97" s="34"/>
      <c r="D97" s="34"/>
      <c r="E97" s="34"/>
      <c r="F97" s="34"/>
      <c r="G97" s="34"/>
      <c r="H97" s="34"/>
      <c r="I97" s="34"/>
      <c r="J97" s="34"/>
    </row>
    <row r="98" spans="1:14" ht="12.75" customHeight="1" x14ac:dyDescent="0.2">
      <c r="I98" t="s">
        <v>189</v>
      </c>
      <c r="N98" s="343">
        <v>0</v>
      </c>
    </row>
    <row r="99" spans="1:14" ht="12.75" customHeight="1" x14ac:dyDescent="0.2">
      <c r="I99" t="s">
        <v>214</v>
      </c>
      <c r="N99" s="343">
        <v>0</v>
      </c>
    </row>
    <row r="100" spans="1:14" ht="6" customHeight="1" x14ac:dyDescent="0.2">
      <c r="N100" s="422"/>
    </row>
    <row r="101" spans="1:14" ht="12.75" customHeight="1" thickBot="1" x14ac:dyDescent="0.25">
      <c r="N101" s="80">
        <f>SUM(N98:N99)</f>
        <v>0</v>
      </c>
    </row>
    <row r="102" spans="1:14" ht="24" customHeight="1" thickTop="1" x14ac:dyDescent="0.2"/>
    <row r="103" spans="1:14" ht="25.5" customHeight="1" x14ac:dyDescent="0.2">
      <c r="A103" s="4" t="s">
        <v>718</v>
      </c>
      <c r="B103" s="1416" t="s">
        <v>652</v>
      </c>
      <c r="C103" s="1417"/>
      <c r="D103" s="1417"/>
      <c r="E103" s="1417"/>
      <c r="F103" s="1417"/>
      <c r="G103" s="1417"/>
      <c r="H103" s="1417"/>
      <c r="I103" s="1417"/>
      <c r="J103" s="1417"/>
      <c r="K103" s="1417"/>
      <c r="L103" s="1417"/>
      <c r="M103" s="1417"/>
      <c r="N103" s="1418"/>
    </row>
    <row r="104" spans="1:14" ht="16.5" customHeight="1" x14ac:dyDescent="0.2"/>
    <row r="105" spans="1:14" ht="12.75" customHeight="1" x14ac:dyDescent="0.2">
      <c r="B105" s="39" t="s">
        <v>514</v>
      </c>
      <c r="C105" t="s">
        <v>712</v>
      </c>
      <c r="N105" s="343">
        <v>0</v>
      </c>
    </row>
    <row r="106" spans="1:14" ht="6" customHeight="1" x14ac:dyDescent="0.2">
      <c r="N106" s="36"/>
    </row>
    <row r="107" spans="1:14" ht="12.75" customHeight="1" x14ac:dyDescent="0.2">
      <c r="B107" s="39" t="s">
        <v>515</v>
      </c>
      <c r="C107" t="s">
        <v>161</v>
      </c>
      <c r="N107" s="343">
        <v>171429</v>
      </c>
    </row>
    <row r="108" spans="1:14" ht="6" customHeight="1" x14ac:dyDescent="0.2">
      <c r="N108" s="36"/>
    </row>
    <row r="109" spans="1:14" ht="12.75" customHeight="1" x14ac:dyDescent="0.2">
      <c r="B109" s="39" t="s">
        <v>516</v>
      </c>
      <c r="C109" t="s">
        <v>650</v>
      </c>
      <c r="N109" s="343">
        <v>625000</v>
      </c>
    </row>
    <row r="110" spans="1:14" ht="6" customHeight="1" x14ac:dyDescent="0.2">
      <c r="N110" s="36"/>
    </row>
    <row r="111" spans="1:14" ht="12.75" customHeight="1" x14ac:dyDescent="0.2">
      <c r="B111" s="39" t="s">
        <v>542</v>
      </c>
      <c r="C111" t="s">
        <v>651</v>
      </c>
      <c r="N111" s="343">
        <v>0</v>
      </c>
    </row>
    <row r="112" spans="1:14" ht="6" customHeight="1" x14ac:dyDescent="0.2">
      <c r="N112" s="36"/>
    </row>
    <row r="113" spans="1:14" ht="12.75" customHeight="1" x14ac:dyDescent="0.2">
      <c r="B113" s="39" t="s">
        <v>543</v>
      </c>
      <c r="C113" t="s">
        <v>4121</v>
      </c>
      <c r="N113" s="343">
        <v>44777</v>
      </c>
    </row>
    <row r="114" spans="1:14" s="1273" customFormat="1" ht="5.45" customHeight="1" x14ac:dyDescent="0.2">
      <c r="B114" s="39"/>
      <c r="N114" s="422"/>
    </row>
    <row r="115" spans="1:14" s="1273" customFormat="1" ht="12.75" customHeight="1" x14ac:dyDescent="0.2">
      <c r="B115" s="39" t="s">
        <v>858</v>
      </c>
      <c r="C115" s="1273" t="s">
        <v>4167</v>
      </c>
      <c r="N115" s="1275">
        <f>9515+11852</f>
        <v>21367</v>
      </c>
    </row>
    <row r="116" spans="1:14" ht="6" customHeight="1" x14ac:dyDescent="0.2">
      <c r="N116" s="36"/>
    </row>
    <row r="117" spans="1:14" ht="12.75" customHeight="1" x14ac:dyDescent="0.2">
      <c r="B117" s="39" t="s">
        <v>940</v>
      </c>
      <c r="C117" s="1324" t="s">
        <v>963</v>
      </c>
      <c r="D117" s="1328"/>
      <c r="E117" s="1328"/>
      <c r="F117" s="1328"/>
      <c r="G117" s="1328"/>
      <c r="H117" s="1328"/>
      <c r="I117" s="1328"/>
      <c r="J117" s="1328"/>
      <c r="K117" s="1328"/>
      <c r="L117" s="1328"/>
      <c r="N117" s="343">
        <v>0</v>
      </c>
    </row>
    <row r="118" spans="1:14" ht="12.75" customHeight="1" x14ac:dyDescent="0.2">
      <c r="B118" s="39"/>
      <c r="C118" s="1328"/>
      <c r="D118" s="1328"/>
      <c r="E118" s="1328"/>
      <c r="F118" s="1328"/>
      <c r="G118" s="1328"/>
      <c r="H118" s="1328"/>
      <c r="I118" s="1328"/>
      <c r="J118" s="1328"/>
      <c r="K118" s="1328"/>
      <c r="L118" s="1328"/>
      <c r="N118" s="439"/>
    </row>
    <row r="119" spans="1:14" ht="6" customHeight="1" x14ac:dyDescent="0.2">
      <c r="N119" s="36"/>
    </row>
    <row r="120" spans="1:14" ht="13.5" customHeight="1" x14ac:dyDescent="0.2">
      <c r="B120" s="39" t="s">
        <v>293</v>
      </c>
      <c r="C120" s="353" t="s">
        <v>648</v>
      </c>
      <c r="N120" s="343">
        <v>0</v>
      </c>
    </row>
    <row r="121" spans="1:14" ht="6" customHeight="1" x14ac:dyDescent="0.2">
      <c r="N121" s="36"/>
    </row>
    <row r="122" spans="1:14" ht="12.75" customHeight="1" x14ac:dyDescent="0.2">
      <c r="B122" s="39" t="s">
        <v>33</v>
      </c>
      <c r="C122" s="353" t="s">
        <v>649</v>
      </c>
      <c r="N122" s="367">
        <v>0</v>
      </c>
    </row>
    <row r="123" spans="1:14" ht="12.75" customHeight="1" x14ac:dyDescent="0.2"/>
    <row r="124" spans="1:14" ht="24" customHeight="1" x14ac:dyDescent="0.2"/>
    <row r="125" spans="1:14" ht="25.5" customHeight="1" x14ac:dyDescent="0.2">
      <c r="A125" s="4" t="s">
        <v>719</v>
      </c>
      <c r="B125" s="1416" t="s">
        <v>280</v>
      </c>
      <c r="C125" s="1417"/>
      <c r="D125" s="1417"/>
      <c r="E125" s="1417"/>
      <c r="F125" s="1417"/>
      <c r="G125" s="1417"/>
      <c r="H125" s="1417"/>
      <c r="I125" s="1417"/>
      <c r="J125" s="1417"/>
      <c r="K125" s="1417"/>
      <c r="L125" s="1417"/>
      <c r="M125" s="1417"/>
      <c r="N125" s="1418"/>
    </row>
    <row r="126" spans="1:14" ht="16.5" customHeight="1" x14ac:dyDescent="0.2"/>
    <row r="127" spans="1:14" ht="12.75" customHeight="1" x14ac:dyDescent="0.2">
      <c r="B127" s="39" t="s">
        <v>514</v>
      </c>
      <c r="C127" s="1324" t="s">
        <v>995</v>
      </c>
      <c r="D127" s="1324"/>
      <c r="E127" s="1324"/>
      <c r="F127" s="1324"/>
      <c r="G127" s="1324"/>
      <c r="H127" s="1324"/>
      <c r="I127" s="1324"/>
      <c r="J127" s="1324"/>
      <c r="M127" s="45"/>
    </row>
    <row r="128" spans="1:14" ht="51.75" customHeight="1" x14ac:dyDescent="0.2">
      <c r="C128" s="1324"/>
      <c r="D128" s="1324"/>
      <c r="E128" s="1324"/>
      <c r="F128" s="1324"/>
      <c r="G128" s="1324"/>
      <c r="H128" s="1324"/>
      <c r="I128" s="1324"/>
      <c r="J128" s="1324"/>
      <c r="L128" s="1561" t="s">
        <v>909</v>
      </c>
      <c r="M128" s="1561"/>
      <c r="N128" s="1561"/>
    </row>
    <row r="129" spans="1:14" ht="15.75" customHeight="1" x14ac:dyDescent="0.2">
      <c r="J129" s="3" t="s">
        <v>682</v>
      </c>
      <c r="L129" s="3" t="s">
        <v>881</v>
      </c>
      <c r="N129" s="3" t="s">
        <v>880</v>
      </c>
    </row>
    <row r="130" spans="1:14" ht="12.75" customHeight="1" x14ac:dyDescent="0.2">
      <c r="G130" t="s">
        <v>882</v>
      </c>
      <c r="J130" s="343">
        <v>0</v>
      </c>
      <c r="K130" s="354"/>
      <c r="L130" s="343">
        <v>0</v>
      </c>
      <c r="M130" s="354"/>
      <c r="N130" s="343">
        <v>0</v>
      </c>
    </row>
    <row r="131" spans="1:14" ht="12.75" customHeight="1" x14ac:dyDescent="0.2">
      <c r="G131" t="s">
        <v>991</v>
      </c>
      <c r="J131" s="343">
        <v>0</v>
      </c>
      <c r="K131" s="354"/>
      <c r="L131" s="343">
        <v>0</v>
      </c>
      <c r="M131" s="354"/>
      <c r="N131" s="343">
        <v>0</v>
      </c>
    </row>
    <row r="132" spans="1:14" ht="12.75" customHeight="1" x14ac:dyDescent="0.2">
      <c r="G132" t="s">
        <v>214</v>
      </c>
      <c r="J132" s="343">
        <v>0</v>
      </c>
      <c r="K132" s="354"/>
      <c r="L132" s="343">
        <v>0</v>
      </c>
      <c r="M132" s="354"/>
      <c r="N132" s="343">
        <v>0</v>
      </c>
    </row>
    <row r="133" spans="1:14" ht="12.75" customHeight="1" x14ac:dyDescent="0.2">
      <c r="G133" t="s">
        <v>819</v>
      </c>
      <c r="J133" s="343">
        <v>0</v>
      </c>
      <c r="K133" s="354"/>
      <c r="L133" s="343">
        <v>0</v>
      </c>
      <c r="M133" s="354"/>
      <c r="N133" s="343">
        <v>0</v>
      </c>
    </row>
    <row r="134" spans="1:14" ht="12.75" customHeight="1" x14ac:dyDescent="0.2">
      <c r="G134" t="s">
        <v>808</v>
      </c>
      <c r="J134" s="343">
        <v>0</v>
      </c>
      <c r="K134" s="354"/>
      <c r="L134" s="343">
        <v>0</v>
      </c>
      <c r="M134" s="354"/>
      <c r="N134" s="343">
        <v>0</v>
      </c>
    </row>
    <row r="135" spans="1:14" ht="12.75" customHeight="1" x14ac:dyDescent="0.2">
      <c r="G135" t="s">
        <v>215</v>
      </c>
      <c r="J135" s="343">
        <v>0</v>
      </c>
      <c r="K135" s="354"/>
      <c r="L135" s="343">
        <v>0</v>
      </c>
      <c r="M135" s="354"/>
      <c r="N135" s="343">
        <v>0</v>
      </c>
    </row>
    <row r="136" spans="1:14" ht="12.75" customHeight="1" x14ac:dyDescent="0.2">
      <c r="G136" t="s">
        <v>216</v>
      </c>
      <c r="J136" s="343">
        <v>0</v>
      </c>
      <c r="K136" s="354"/>
      <c r="L136" s="343">
        <v>0</v>
      </c>
      <c r="M136" s="354"/>
      <c r="N136" s="343">
        <v>0</v>
      </c>
    </row>
    <row r="137" spans="1:14" ht="12.75" customHeight="1" x14ac:dyDescent="0.2">
      <c r="G137" t="s">
        <v>172</v>
      </c>
      <c r="J137" s="343">
        <v>0</v>
      </c>
      <c r="K137" s="354"/>
      <c r="L137" s="343">
        <v>0</v>
      </c>
      <c r="M137" s="354"/>
      <c r="N137" s="343">
        <v>0</v>
      </c>
    </row>
    <row r="138" spans="1:14" ht="12.75" customHeight="1" x14ac:dyDescent="0.2">
      <c r="G138" s="353" t="s">
        <v>729</v>
      </c>
      <c r="J138" s="343">
        <v>0</v>
      </c>
      <c r="K138" s="354"/>
      <c r="L138" s="343">
        <v>0</v>
      </c>
      <c r="M138" s="336"/>
      <c r="N138" s="343">
        <v>0</v>
      </c>
    </row>
    <row r="139" spans="1:14" ht="12.75" customHeight="1" thickBot="1" x14ac:dyDescent="0.25">
      <c r="J139" s="75">
        <f>SUM(J130:J138)</f>
        <v>0</v>
      </c>
      <c r="K139" s="36"/>
      <c r="L139" s="75">
        <f>SUM(L130:L138)</f>
        <v>0</v>
      </c>
      <c r="M139" s="48"/>
      <c r="N139" s="75">
        <f>SUM(N130:N138)</f>
        <v>0</v>
      </c>
    </row>
    <row r="140" spans="1:14" ht="12.75" customHeight="1" thickTop="1" x14ac:dyDescent="0.2">
      <c r="M140" s="14"/>
    </row>
    <row r="141" spans="1:14" ht="12.75" customHeight="1" x14ac:dyDescent="0.2">
      <c r="M141" s="14"/>
    </row>
    <row r="142" spans="1:14" ht="25.5" customHeight="1" x14ac:dyDescent="0.2">
      <c r="A142" s="4" t="s">
        <v>788</v>
      </c>
      <c r="B142" s="1416" t="s">
        <v>680</v>
      </c>
      <c r="C142" s="1417"/>
      <c r="D142" s="1417"/>
      <c r="E142" s="1417"/>
      <c r="F142" s="1417"/>
      <c r="G142" s="1417"/>
      <c r="H142" s="1417"/>
      <c r="I142" s="1417"/>
      <c r="J142" s="1417"/>
      <c r="K142" s="1417"/>
      <c r="L142" s="1417"/>
      <c r="M142" s="1560"/>
      <c r="N142" s="1418"/>
    </row>
    <row r="143" spans="1:14" ht="12.75" customHeight="1" x14ac:dyDescent="0.2"/>
    <row r="144" spans="1:14" ht="12.75" customHeight="1" x14ac:dyDescent="0.2">
      <c r="B144" s="39" t="s">
        <v>514</v>
      </c>
      <c r="C144" s="1324" t="s">
        <v>576</v>
      </c>
      <c r="D144" s="1324"/>
      <c r="E144" s="1324"/>
      <c r="F144" s="1324"/>
      <c r="G144" s="1324"/>
      <c r="H144" s="1324"/>
      <c r="I144" s="1324"/>
      <c r="J144" s="1324"/>
    </row>
    <row r="145" spans="1:14" ht="50.25" customHeight="1" x14ac:dyDescent="0.2">
      <c r="C145" s="1324"/>
      <c r="D145" s="1324"/>
      <c r="E145" s="1324"/>
      <c r="F145" s="1324"/>
      <c r="G145" s="1324"/>
      <c r="H145" s="1324"/>
      <c r="I145" s="1324"/>
      <c r="J145" s="1324"/>
      <c r="L145" s="3" t="s">
        <v>510</v>
      </c>
      <c r="M145" s="45"/>
      <c r="N145" s="3" t="s">
        <v>511</v>
      </c>
    </row>
    <row r="146" spans="1:14" ht="12.75" customHeight="1" x14ac:dyDescent="0.2">
      <c r="H146" t="s">
        <v>683</v>
      </c>
      <c r="L146" s="343">
        <v>0</v>
      </c>
      <c r="M146" s="354"/>
      <c r="N146" s="343">
        <v>0</v>
      </c>
    </row>
    <row r="147" spans="1:14" ht="12.75" customHeight="1" x14ac:dyDescent="0.2">
      <c r="H147" t="s">
        <v>189</v>
      </c>
      <c r="L147" s="343">
        <v>0</v>
      </c>
      <c r="M147" s="354"/>
      <c r="N147" s="343">
        <v>0</v>
      </c>
    </row>
    <row r="148" spans="1:14" ht="12.75" customHeight="1" x14ac:dyDescent="0.2">
      <c r="H148" t="s">
        <v>991</v>
      </c>
      <c r="L148" s="343">
        <v>0</v>
      </c>
      <c r="M148" s="354"/>
      <c r="N148" s="343">
        <v>0</v>
      </c>
    </row>
    <row r="149" spans="1:14" ht="12.75" customHeight="1" x14ac:dyDescent="0.2">
      <c r="H149" t="s">
        <v>214</v>
      </c>
      <c r="L149" s="343">
        <v>0</v>
      </c>
      <c r="M149" s="354"/>
      <c r="N149" s="343">
        <v>0</v>
      </c>
    </row>
    <row r="150" spans="1:14" ht="12.75" customHeight="1" x14ac:dyDescent="0.2">
      <c r="H150" t="s">
        <v>819</v>
      </c>
      <c r="L150" s="343">
        <v>0</v>
      </c>
      <c r="M150" s="354"/>
      <c r="N150" s="343">
        <v>0</v>
      </c>
    </row>
    <row r="151" spans="1:14" ht="12.75" customHeight="1" x14ac:dyDescent="0.2">
      <c r="H151" t="s">
        <v>808</v>
      </c>
      <c r="L151" s="343">
        <v>0</v>
      </c>
      <c r="M151" s="354"/>
      <c r="N151" s="343">
        <v>0</v>
      </c>
    </row>
    <row r="152" spans="1:14" ht="12.75" customHeight="1" x14ac:dyDescent="0.2">
      <c r="H152" t="s">
        <v>215</v>
      </c>
      <c r="L152" s="343">
        <v>0</v>
      </c>
      <c r="M152" s="354"/>
      <c r="N152" s="343">
        <v>0</v>
      </c>
    </row>
    <row r="153" spans="1:14" ht="12.75" customHeight="1" x14ac:dyDescent="0.2">
      <c r="H153" t="s">
        <v>216</v>
      </c>
      <c r="L153" s="343">
        <v>0</v>
      </c>
      <c r="M153" s="354"/>
      <c r="N153" s="343">
        <v>0</v>
      </c>
    </row>
    <row r="154" spans="1:14" ht="12.75" customHeight="1" x14ac:dyDescent="0.2">
      <c r="H154" t="s">
        <v>172</v>
      </c>
      <c r="L154" s="343">
        <v>0</v>
      </c>
      <c r="M154" s="354"/>
      <c r="N154" s="343">
        <v>0</v>
      </c>
    </row>
    <row r="155" spans="1:14" ht="12.75" customHeight="1" x14ac:dyDescent="0.2">
      <c r="H155" s="353" t="s">
        <v>729</v>
      </c>
      <c r="L155" s="343">
        <v>0</v>
      </c>
      <c r="M155" s="354"/>
      <c r="N155" s="343">
        <v>0</v>
      </c>
    </row>
    <row r="156" spans="1:14" ht="12.75" customHeight="1" x14ac:dyDescent="0.2">
      <c r="H156" s="13" t="s">
        <v>1071</v>
      </c>
      <c r="L156" s="343">
        <v>0</v>
      </c>
      <c r="M156" s="354"/>
      <c r="N156" s="343">
        <v>0</v>
      </c>
    </row>
    <row r="157" spans="1:14" ht="12.75" customHeight="1" thickBot="1" x14ac:dyDescent="0.25">
      <c r="L157" s="75">
        <f>SUM(L146:L156)</f>
        <v>0</v>
      </c>
      <c r="M157" s="36"/>
      <c r="N157" s="75">
        <f>SUM(N146:N156)</f>
        <v>0</v>
      </c>
    </row>
    <row r="158" spans="1:14" ht="12.75" customHeight="1" thickTop="1" x14ac:dyDescent="0.2"/>
    <row r="159" spans="1:14" ht="25.5" customHeight="1" x14ac:dyDescent="0.2">
      <c r="A159" s="245" t="s">
        <v>996</v>
      </c>
      <c r="B159" s="1416" t="s">
        <v>36</v>
      </c>
      <c r="C159" s="1417"/>
      <c r="D159" s="1417"/>
      <c r="E159" s="1417"/>
      <c r="F159" s="1417"/>
      <c r="G159" s="1417"/>
      <c r="H159" s="1417"/>
      <c r="I159" s="1417"/>
      <c r="J159" s="1417"/>
      <c r="K159" s="1417"/>
      <c r="L159" s="1417"/>
      <c r="M159" s="1417"/>
      <c r="N159" s="1418"/>
    </row>
    <row r="160" spans="1:14" ht="12.75" customHeight="1" x14ac:dyDescent="0.2"/>
    <row r="161" spans="1:14" ht="12.75" customHeight="1" x14ac:dyDescent="0.2">
      <c r="B161" s="39" t="s">
        <v>514</v>
      </c>
      <c r="C161" s="1324" t="s">
        <v>35</v>
      </c>
      <c r="D161" s="1324"/>
      <c r="E161" s="1324"/>
      <c r="F161" s="1324"/>
      <c r="G161" s="1324"/>
      <c r="H161" s="1324"/>
      <c r="I161" s="1324"/>
      <c r="J161" s="1324"/>
      <c r="N161" s="1445"/>
    </row>
    <row r="162" spans="1:14" ht="12.75" customHeight="1" x14ac:dyDescent="0.2">
      <c r="C162" s="1324"/>
      <c r="D162" s="1324"/>
      <c r="E162" s="1324"/>
      <c r="F162" s="1324"/>
      <c r="G162" s="1324"/>
      <c r="H162" s="1324"/>
      <c r="I162" s="1324"/>
      <c r="J162" s="1324"/>
      <c r="N162" s="1445"/>
    </row>
    <row r="163" spans="1:14" ht="12.75" customHeight="1" x14ac:dyDescent="0.2"/>
    <row r="164" spans="1:14" ht="12.75" customHeight="1" x14ac:dyDescent="0.2">
      <c r="B164" s="39" t="s">
        <v>515</v>
      </c>
      <c r="C164" s="1324" t="s">
        <v>37</v>
      </c>
      <c r="D164" s="1324"/>
      <c r="E164" s="1324"/>
      <c r="F164" s="1324"/>
      <c r="G164" s="1324"/>
      <c r="H164" s="1324"/>
      <c r="I164" s="1324"/>
      <c r="J164" s="1324"/>
      <c r="N164" s="1445"/>
    </row>
    <row r="165" spans="1:14" ht="12.75" customHeight="1" x14ac:dyDescent="0.2">
      <c r="C165" s="1324"/>
      <c r="D165" s="1324"/>
      <c r="E165" s="1324"/>
      <c r="F165" s="1324"/>
      <c r="G165" s="1324"/>
      <c r="H165" s="1324"/>
      <c r="I165" s="1324"/>
      <c r="J165" s="1324"/>
      <c r="N165" s="1445"/>
    </row>
    <row r="166" spans="1:14" ht="12.75" customHeight="1" x14ac:dyDescent="0.2"/>
    <row r="167" spans="1:14" ht="25.5" customHeight="1" x14ac:dyDescent="0.2">
      <c r="A167" s="4" t="s">
        <v>789</v>
      </c>
      <c r="B167" s="1416" t="s">
        <v>1072</v>
      </c>
      <c r="C167" s="1417"/>
      <c r="D167" s="1417"/>
      <c r="E167" s="1417"/>
      <c r="F167" s="1417"/>
      <c r="G167" s="1417"/>
      <c r="H167" s="1417"/>
      <c r="I167" s="1417"/>
      <c r="J167" s="1417"/>
      <c r="K167" s="1417"/>
      <c r="L167" s="1417"/>
      <c r="M167" s="1417"/>
      <c r="N167" s="1418"/>
    </row>
    <row r="168" spans="1:14" ht="12.75" customHeight="1" x14ac:dyDescent="0.2"/>
    <row r="169" spans="1:14" ht="12.75" customHeight="1" x14ac:dyDescent="0.2">
      <c r="B169" s="147" t="s">
        <v>1061</v>
      </c>
      <c r="C169" s="13"/>
      <c r="D169" s="13"/>
      <c r="E169" s="13"/>
      <c r="F169" s="13"/>
    </row>
    <row r="170" spans="1:14" ht="12.75" customHeight="1" x14ac:dyDescent="0.2">
      <c r="B170" s="39" t="s">
        <v>514</v>
      </c>
      <c r="C170" t="s">
        <v>667</v>
      </c>
      <c r="J170" s="13"/>
      <c r="L170" s="343">
        <f>'M. Net Position Calculation'!E79</f>
        <v>15085942</v>
      </c>
    </row>
    <row r="171" spans="1:14" ht="12.75" customHeight="1" x14ac:dyDescent="0.2">
      <c r="J171" s="13"/>
      <c r="L171" s="36"/>
    </row>
    <row r="172" spans="1:14" ht="12.75" customHeight="1" x14ac:dyDescent="0.2">
      <c r="B172" s="39" t="s">
        <v>515</v>
      </c>
      <c r="C172" t="s">
        <v>563</v>
      </c>
      <c r="J172" s="13"/>
      <c r="L172" s="343">
        <f>'M. Net Position Calculation'!C92</f>
        <v>4127169</v>
      </c>
    </row>
    <row r="173" spans="1:14" ht="12.75" customHeight="1" x14ac:dyDescent="0.2">
      <c r="J173" s="13"/>
      <c r="L173" s="36"/>
    </row>
    <row r="174" spans="1:14" ht="12.75" customHeight="1" x14ac:dyDescent="0.2">
      <c r="B174" s="39"/>
      <c r="C174" s="147" t="s">
        <v>1061</v>
      </c>
      <c r="D174" s="13"/>
      <c r="E174" s="13"/>
      <c r="F174" s="13"/>
      <c r="J174" s="13"/>
      <c r="L174" s="36"/>
      <c r="N174" s="78">
        <f>L170-L172</f>
        <v>10958773</v>
      </c>
    </row>
    <row r="175" spans="1:14" ht="7.5" customHeight="1" x14ac:dyDescent="0.2">
      <c r="J175" s="13"/>
      <c r="L175" s="36"/>
    </row>
    <row r="176" spans="1:14" ht="12.75" customHeight="1" x14ac:dyDescent="0.2">
      <c r="B176" s="4" t="s">
        <v>668</v>
      </c>
      <c r="J176" s="13"/>
      <c r="L176" s="36"/>
    </row>
    <row r="177" spans="2:14" ht="12.75" customHeight="1" x14ac:dyDescent="0.2">
      <c r="C177" t="s">
        <v>669</v>
      </c>
      <c r="J177" s="13"/>
      <c r="L177" s="343">
        <v>0</v>
      </c>
    </row>
    <row r="178" spans="2:14" ht="12.75" customHeight="1" x14ac:dyDescent="0.2">
      <c r="C178" t="s">
        <v>184</v>
      </c>
      <c r="J178" s="13"/>
      <c r="L178" s="343">
        <v>0</v>
      </c>
    </row>
    <row r="179" spans="2:14" ht="12.75" customHeight="1" x14ac:dyDescent="0.2">
      <c r="C179" t="s">
        <v>992</v>
      </c>
      <c r="J179" s="13"/>
      <c r="L179" s="343">
        <v>0</v>
      </c>
    </row>
    <row r="180" spans="2:14" ht="12.75" customHeight="1" x14ac:dyDescent="0.2">
      <c r="C180" t="s">
        <v>991</v>
      </c>
      <c r="J180" s="13"/>
      <c r="L180" s="343">
        <v>1783</v>
      </c>
    </row>
    <row r="181" spans="2:14" ht="12.75" customHeight="1" x14ac:dyDescent="0.2">
      <c r="C181" t="s">
        <v>670</v>
      </c>
      <c r="J181" s="13"/>
      <c r="L181" s="343">
        <v>0</v>
      </c>
    </row>
    <row r="182" spans="2:14" s="1289" customFormat="1" ht="12.75" customHeight="1" x14ac:dyDescent="0.2">
      <c r="C182" s="697" t="s">
        <v>4203</v>
      </c>
      <c r="J182" s="1293"/>
      <c r="L182" s="1291">
        <v>46346</v>
      </c>
    </row>
    <row r="183" spans="2:14" s="1302" customFormat="1" ht="12.75" customHeight="1" x14ac:dyDescent="0.2">
      <c r="C183" s="697" t="s">
        <v>4215</v>
      </c>
      <c r="J183" s="1304"/>
      <c r="L183" s="1303">
        <v>2268038</v>
      </c>
    </row>
    <row r="184" spans="2:14" ht="12.75" customHeight="1" x14ac:dyDescent="0.2">
      <c r="C184" t="s">
        <v>745</v>
      </c>
      <c r="J184" s="13"/>
      <c r="L184" s="343">
        <v>0</v>
      </c>
    </row>
    <row r="185" spans="2:14" ht="12.75" customHeight="1" x14ac:dyDescent="0.2">
      <c r="C185" t="s">
        <v>172</v>
      </c>
      <c r="J185" s="13"/>
      <c r="L185" s="343">
        <v>561237</v>
      </c>
      <c r="M185" t="s">
        <v>4184</v>
      </c>
    </row>
    <row r="186" spans="2:14" ht="12.75" customHeight="1" x14ac:dyDescent="0.2">
      <c r="C186" t="s">
        <v>780</v>
      </c>
      <c r="J186" s="13"/>
      <c r="L186" s="343">
        <v>17285</v>
      </c>
      <c r="M186" t="s">
        <v>4184</v>
      </c>
    </row>
    <row r="187" spans="2:14" ht="12.75" customHeight="1" x14ac:dyDescent="0.2">
      <c r="C187" t="s">
        <v>1044</v>
      </c>
      <c r="J187" s="13"/>
      <c r="L187" s="343">
        <v>4159606</v>
      </c>
      <c r="M187" t="s">
        <v>4184</v>
      </c>
    </row>
    <row r="188" spans="2:14" ht="12.75" customHeight="1" x14ac:dyDescent="0.2">
      <c r="C188" s="353" t="s">
        <v>4015</v>
      </c>
      <c r="J188" s="13"/>
      <c r="L188" s="343">
        <v>76023</v>
      </c>
    </row>
    <row r="189" spans="2:14" ht="12.75" customHeight="1" x14ac:dyDescent="0.2">
      <c r="C189" s="353" t="s">
        <v>671</v>
      </c>
      <c r="J189" s="13"/>
      <c r="L189" s="343">
        <v>0</v>
      </c>
    </row>
    <row r="190" spans="2:14" ht="12.75" customHeight="1" x14ac:dyDescent="0.2">
      <c r="C190" s="353" t="s">
        <v>672</v>
      </c>
      <c r="J190" s="13"/>
      <c r="L190" s="343">
        <v>0</v>
      </c>
      <c r="N190" s="78">
        <f>SUM(L177:L190)</f>
        <v>7130318</v>
      </c>
    </row>
    <row r="191" spans="2:14" ht="7.5" customHeight="1" x14ac:dyDescent="0.2">
      <c r="J191" s="13"/>
    </row>
    <row r="192" spans="2:14" ht="12.75" customHeight="1" x14ac:dyDescent="0.2">
      <c r="B192" s="4" t="s">
        <v>673</v>
      </c>
      <c r="J192" s="13"/>
      <c r="L192" s="343">
        <v>1669081</v>
      </c>
      <c r="N192" s="1325" t="str">
        <f>IF(L194=L195," ","Recheck numbers above and detail in Worksheet M.  Above entry is out of balance.")</f>
        <v xml:space="preserve"> </v>
      </c>
    </row>
    <row r="193" spans="1:19" ht="12.75" customHeight="1" x14ac:dyDescent="0.2">
      <c r="N193" s="1325"/>
      <c r="Q193" s="5">
        <f>15681628-L194</f>
        <v>-4076544</v>
      </c>
    </row>
    <row r="194" spans="1:19" ht="12.75" customHeight="1" x14ac:dyDescent="0.2">
      <c r="C194" s="408" t="s">
        <v>264</v>
      </c>
      <c r="D194" s="408"/>
      <c r="E194" s="409" t="s">
        <v>1073</v>
      </c>
      <c r="F194" s="405"/>
      <c r="G194" s="405"/>
      <c r="H194" s="405"/>
      <c r="I194" s="405"/>
      <c r="J194" s="405"/>
      <c r="K194" s="405"/>
      <c r="L194" s="406">
        <f>ROUND(N174+N190+L192,0)</f>
        <v>19758172</v>
      </c>
      <c r="N194" s="1325"/>
      <c r="R194" s="5"/>
      <c r="S194" s="5"/>
    </row>
    <row r="195" spans="1:19" ht="12.75" customHeight="1" x14ac:dyDescent="0.2">
      <c r="E195" s="409" t="s">
        <v>265</v>
      </c>
      <c r="F195" s="405"/>
      <c r="G195" s="405"/>
      <c r="H195" s="405"/>
      <c r="I195" s="405"/>
      <c r="J195" s="405"/>
      <c r="K195" s="405"/>
      <c r="L195" s="407">
        <f>ROUND('Conversion Worksheet'!BG183+'Conversion Worksheet'!BG193-'Conversion Worksheet'!BF193,0)</f>
        <v>19758172</v>
      </c>
      <c r="N195" s="1325"/>
      <c r="Q195" s="5">
        <f>L194-L195</f>
        <v>0</v>
      </c>
    </row>
    <row r="196" spans="1:19" ht="23.25" customHeight="1" x14ac:dyDescent="0.2"/>
    <row r="197" spans="1:19" ht="25.5" customHeight="1" x14ac:dyDescent="0.2">
      <c r="A197" s="4" t="s">
        <v>789</v>
      </c>
      <c r="B197" s="1416" t="s">
        <v>691</v>
      </c>
      <c r="C197" s="1417"/>
      <c r="D197" s="1417"/>
      <c r="E197" s="1417"/>
      <c r="F197" s="1417"/>
      <c r="G197" s="1417"/>
      <c r="H197" s="1417"/>
      <c r="I197" s="1417"/>
      <c r="J197" s="1417"/>
      <c r="K197" s="1417"/>
      <c r="L197" s="1417"/>
      <c r="M197" s="1417"/>
      <c r="N197" s="1418"/>
    </row>
    <row r="198" spans="1:19" ht="6" customHeight="1" x14ac:dyDescent="0.2">
      <c r="A198" s="4"/>
      <c r="B198" s="44"/>
      <c r="C198" s="44"/>
      <c r="D198" s="44"/>
      <c r="E198" s="44"/>
      <c r="F198" s="44"/>
      <c r="G198" s="44"/>
      <c r="H198" s="44"/>
      <c r="I198" s="31"/>
      <c r="J198" s="31"/>
      <c r="K198" s="31"/>
      <c r="L198" s="31"/>
      <c r="M198" s="31"/>
      <c r="N198" s="31"/>
    </row>
    <row r="199" spans="1:19" ht="21" customHeight="1" x14ac:dyDescent="0.2">
      <c r="C199" s="280" t="s">
        <v>465</v>
      </c>
      <c r="J199" s="49" t="s">
        <v>510</v>
      </c>
      <c r="K199" s="38"/>
      <c r="L199" s="49" t="s">
        <v>511</v>
      </c>
    </row>
    <row r="200" spans="1:19" x14ac:dyDescent="0.2">
      <c r="A200" t="s">
        <v>405</v>
      </c>
      <c r="C200" s="276" t="s">
        <v>456</v>
      </c>
      <c r="D200" t="s">
        <v>406</v>
      </c>
      <c r="J200" s="83">
        <f>N49+N52</f>
        <v>899059</v>
      </c>
      <c r="K200" s="94"/>
      <c r="L200" s="83"/>
      <c r="N200" s="2"/>
    </row>
    <row r="201" spans="1:19" x14ac:dyDescent="0.2">
      <c r="C201" s="276"/>
      <c r="E201" t="s">
        <v>407</v>
      </c>
      <c r="J201" s="83"/>
      <c r="K201" s="94"/>
      <c r="L201" s="83">
        <f>N49+N52</f>
        <v>899059</v>
      </c>
    </row>
    <row r="202" spans="1:19" ht="4.5" customHeight="1" x14ac:dyDescent="0.2">
      <c r="C202" s="276"/>
      <c r="J202" s="36"/>
      <c r="K202" s="94"/>
      <c r="L202" s="36"/>
    </row>
    <row r="203" spans="1:19" x14ac:dyDescent="0.2">
      <c r="A203" t="s">
        <v>408</v>
      </c>
      <c r="C203" s="277" t="s">
        <v>457</v>
      </c>
      <c r="D203" s="13" t="s">
        <v>58</v>
      </c>
      <c r="E203" s="13"/>
      <c r="F203" s="13"/>
      <c r="G203" s="13"/>
      <c r="J203" s="83">
        <f>N60</f>
        <v>0</v>
      </c>
      <c r="K203" s="94"/>
      <c r="L203" s="83"/>
      <c r="N203" t="s">
        <v>111</v>
      </c>
    </row>
    <row r="204" spans="1:19" x14ac:dyDescent="0.2">
      <c r="C204" s="277"/>
      <c r="D204" s="13" t="s">
        <v>837</v>
      </c>
      <c r="E204" s="13"/>
      <c r="F204" s="13"/>
      <c r="G204" s="13"/>
      <c r="H204" s="2"/>
      <c r="J204" s="83">
        <f>N63</f>
        <v>0</v>
      </c>
      <c r="K204" s="94"/>
      <c r="L204" s="83"/>
      <c r="N204" s="6" t="s">
        <v>410</v>
      </c>
    </row>
    <row r="205" spans="1:19" ht="12.75" customHeight="1" x14ac:dyDescent="0.2">
      <c r="C205" s="277"/>
      <c r="D205" s="13"/>
      <c r="E205" s="13" t="s">
        <v>53</v>
      </c>
      <c r="F205" s="13"/>
      <c r="G205" s="13"/>
      <c r="J205" s="83"/>
      <c r="K205" s="94"/>
      <c r="L205" s="83">
        <f>N60</f>
        <v>0</v>
      </c>
    </row>
    <row r="206" spans="1:19" x14ac:dyDescent="0.2">
      <c r="C206" s="277"/>
      <c r="D206" s="13"/>
      <c r="E206" s="13" t="s">
        <v>838</v>
      </c>
      <c r="F206" s="13"/>
      <c r="G206" s="13"/>
      <c r="J206" s="83"/>
      <c r="K206" s="94"/>
      <c r="L206" s="83">
        <f>N63</f>
        <v>0</v>
      </c>
    </row>
    <row r="207" spans="1:19" ht="4.5" customHeight="1" x14ac:dyDescent="0.2">
      <c r="C207" s="276"/>
      <c r="J207" s="36"/>
      <c r="K207" s="94"/>
      <c r="L207" s="36"/>
    </row>
    <row r="208" spans="1:19" x14ac:dyDescent="0.2">
      <c r="A208" t="s">
        <v>409</v>
      </c>
      <c r="C208" s="276" t="s">
        <v>458</v>
      </c>
      <c r="D208" t="s">
        <v>837</v>
      </c>
      <c r="J208" s="83">
        <f>N80</f>
        <v>0</v>
      </c>
      <c r="K208" s="94"/>
      <c r="L208" s="83"/>
    </row>
    <row r="209" spans="1:14" x14ac:dyDescent="0.2">
      <c r="D209" t="s">
        <v>58</v>
      </c>
      <c r="J209" s="78">
        <f>N73</f>
        <v>0</v>
      </c>
      <c r="K209" s="94"/>
      <c r="L209" s="83"/>
      <c r="N209" s="6" t="s">
        <v>112</v>
      </c>
    </row>
    <row r="210" spans="1:14" x14ac:dyDescent="0.2">
      <c r="B210" s="19"/>
      <c r="D210" t="s">
        <v>416</v>
      </c>
      <c r="J210" s="83">
        <f>IF((L211+L212)-(J208+J209)&lt;0,0,(L211+L212)-(J208+J209))</f>
        <v>0</v>
      </c>
      <c r="K210" s="94"/>
      <c r="L210" s="83">
        <f>IF((L211+L212)-(J208+J209)&gt;0,0,(L211+L212)-(J208+J209))</f>
        <v>0</v>
      </c>
      <c r="N210" s="6" t="s">
        <v>114</v>
      </c>
    </row>
    <row r="211" spans="1:14" x14ac:dyDescent="0.2">
      <c r="E211" t="s">
        <v>838</v>
      </c>
      <c r="J211" s="83"/>
      <c r="K211" s="94"/>
      <c r="L211" s="83">
        <f>N77</f>
        <v>0</v>
      </c>
      <c r="N211" s="6" t="s">
        <v>113</v>
      </c>
    </row>
    <row r="212" spans="1:14" x14ac:dyDescent="0.2">
      <c r="E212" t="s">
        <v>53</v>
      </c>
      <c r="J212" s="83"/>
      <c r="K212" s="94"/>
      <c r="L212" s="83">
        <f>N69</f>
        <v>0</v>
      </c>
    </row>
    <row r="213" spans="1:14" ht="3.75" customHeight="1" x14ac:dyDescent="0.2">
      <c r="J213" s="94"/>
      <c r="K213" s="94"/>
      <c r="L213" s="94"/>
    </row>
    <row r="214" spans="1:14" x14ac:dyDescent="0.2">
      <c r="A214" t="s">
        <v>874</v>
      </c>
      <c r="C214" s="278" t="s">
        <v>459</v>
      </c>
      <c r="D214" t="s">
        <v>286</v>
      </c>
      <c r="J214" s="83">
        <f>N86</f>
        <v>0</v>
      </c>
      <c r="K214" s="94"/>
      <c r="L214" s="83"/>
    </row>
    <row r="215" spans="1:14" x14ac:dyDescent="0.2">
      <c r="C215" s="278"/>
      <c r="E215" t="s">
        <v>53</v>
      </c>
      <c r="J215" s="83"/>
      <c r="K215" s="94"/>
      <c r="L215" s="83">
        <f>N86</f>
        <v>0</v>
      </c>
      <c r="N215" s="6" t="s">
        <v>420</v>
      </c>
    </row>
    <row r="216" spans="1:14" x14ac:dyDescent="0.2">
      <c r="C216" s="278"/>
      <c r="D216" t="s">
        <v>58</v>
      </c>
      <c r="J216" s="83">
        <f>N88</f>
        <v>0</v>
      </c>
      <c r="K216" s="94"/>
      <c r="L216" s="83"/>
      <c r="N216" s="6" t="s">
        <v>421</v>
      </c>
    </row>
    <row r="217" spans="1:14" x14ac:dyDescent="0.2">
      <c r="C217" s="278"/>
      <c r="E217" t="s">
        <v>287</v>
      </c>
      <c r="J217" s="83"/>
      <c r="K217" s="94"/>
      <c r="L217" s="83">
        <f>N88</f>
        <v>0</v>
      </c>
    </row>
    <row r="218" spans="1:14" ht="5.25" customHeight="1" x14ac:dyDescent="0.2">
      <c r="C218" s="278"/>
      <c r="J218" s="94"/>
      <c r="K218" s="94"/>
      <c r="L218" s="94"/>
    </row>
    <row r="219" spans="1:14" x14ac:dyDescent="0.2">
      <c r="A219" t="s">
        <v>875</v>
      </c>
      <c r="C219" s="278" t="s">
        <v>460</v>
      </c>
      <c r="D219" t="s">
        <v>329</v>
      </c>
      <c r="J219" s="83">
        <f>N98</f>
        <v>0</v>
      </c>
      <c r="K219" s="94"/>
      <c r="L219" s="83"/>
    </row>
    <row r="220" spans="1:14" x14ac:dyDescent="0.2">
      <c r="C220" s="278"/>
      <c r="D220" t="s">
        <v>876</v>
      </c>
      <c r="J220" s="83">
        <f>N99</f>
        <v>0</v>
      </c>
      <c r="K220" s="94"/>
      <c r="L220" s="83"/>
      <c r="N220" s="6" t="s">
        <v>423</v>
      </c>
    </row>
    <row r="221" spans="1:14" x14ac:dyDescent="0.2">
      <c r="C221" s="278"/>
      <c r="E221" t="s">
        <v>189</v>
      </c>
      <c r="F221" s="53"/>
      <c r="J221" s="79"/>
      <c r="K221" s="13"/>
      <c r="L221" s="78">
        <f>N98</f>
        <v>0</v>
      </c>
      <c r="N221" s="6" t="s">
        <v>422</v>
      </c>
    </row>
    <row r="222" spans="1:14" x14ac:dyDescent="0.2">
      <c r="C222" s="278"/>
      <c r="E222" t="s">
        <v>214</v>
      </c>
      <c r="J222" s="79"/>
      <c r="K222" s="13"/>
      <c r="L222" s="78">
        <f>N99</f>
        <v>0</v>
      </c>
    </row>
    <row r="223" spans="1:14" ht="3.75" customHeight="1" x14ac:dyDescent="0.2">
      <c r="C223" s="278"/>
      <c r="K223" s="13"/>
    </row>
    <row r="224" spans="1:14" x14ac:dyDescent="0.2">
      <c r="A224" t="s">
        <v>877</v>
      </c>
      <c r="C224" s="278" t="s">
        <v>461</v>
      </c>
      <c r="D224" t="s">
        <v>659</v>
      </c>
      <c r="J224" s="78">
        <f>N105</f>
        <v>0</v>
      </c>
      <c r="K224" s="13"/>
      <c r="L224" s="79"/>
    </row>
    <row r="225" spans="3:14" x14ac:dyDescent="0.2">
      <c r="C225" s="278"/>
      <c r="D225" t="s">
        <v>658</v>
      </c>
      <c r="J225" s="78">
        <f>N107</f>
        <v>171429</v>
      </c>
      <c r="K225" s="13"/>
      <c r="L225" s="79"/>
      <c r="N225" s="6"/>
    </row>
    <row r="226" spans="3:14" x14ac:dyDescent="0.2">
      <c r="C226" s="278"/>
      <c r="D226" t="s">
        <v>657</v>
      </c>
      <c r="J226" s="78">
        <f>N109</f>
        <v>625000</v>
      </c>
      <c r="K226" s="13"/>
      <c r="L226" s="79"/>
      <c r="N226" s="6"/>
    </row>
    <row r="227" spans="3:14" x14ac:dyDescent="0.2">
      <c r="C227" s="278"/>
      <c r="D227" t="s">
        <v>656</v>
      </c>
      <c r="J227" s="78">
        <f>N111</f>
        <v>0</v>
      </c>
      <c r="K227" s="13"/>
      <c r="L227" s="79"/>
      <c r="N227" s="6"/>
    </row>
    <row r="228" spans="3:14" x14ac:dyDescent="0.2">
      <c r="C228" s="278"/>
      <c r="D228" t="s">
        <v>4103</v>
      </c>
      <c r="J228" s="78">
        <f>N113</f>
        <v>44777</v>
      </c>
      <c r="K228" s="13"/>
      <c r="L228" s="79"/>
      <c r="N228" s="6"/>
    </row>
    <row r="229" spans="3:14" s="1289" customFormat="1" x14ac:dyDescent="0.2">
      <c r="C229" s="278"/>
      <c r="D229" s="1289" t="s">
        <v>4186</v>
      </c>
      <c r="J229" s="1292">
        <f>N115</f>
        <v>21367</v>
      </c>
      <c r="K229" s="1293"/>
      <c r="L229" s="79"/>
      <c r="N229" s="6"/>
    </row>
    <row r="230" spans="3:14" x14ac:dyDescent="0.2">
      <c r="C230" s="278"/>
      <c r="D230" t="s">
        <v>1029</v>
      </c>
      <c r="J230" s="78">
        <f>N117</f>
        <v>0</v>
      </c>
      <c r="K230" s="13"/>
      <c r="L230" s="79"/>
      <c r="N230" s="6"/>
    </row>
    <row r="231" spans="3:14" x14ac:dyDescent="0.2">
      <c r="C231" s="278"/>
      <c r="D231" s="353" t="s">
        <v>654</v>
      </c>
      <c r="J231" s="78">
        <f>N120</f>
        <v>0</v>
      </c>
      <c r="K231" s="13"/>
      <c r="L231" s="79"/>
      <c r="N231" s="6"/>
    </row>
    <row r="232" spans="3:14" x14ac:dyDescent="0.2">
      <c r="C232" s="278"/>
      <c r="D232" s="353" t="s">
        <v>655</v>
      </c>
      <c r="J232" s="78">
        <f>N122</f>
        <v>0</v>
      </c>
      <c r="K232" s="13"/>
      <c r="L232" s="79"/>
      <c r="N232" s="6" t="s">
        <v>429</v>
      </c>
    </row>
    <row r="233" spans="3:14" x14ac:dyDescent="0.2">
      <c r="C233" s="278"/>
      <c r="E233" t="s">
        <v>660</v>
      </c>
      <c r="J233" s="79"/>
      <c r="K233" s="13"/>
      <c r="L233" s="78">
        <f>N105</f>
        <v>0</v>
      </c>
      <c r="N233" s="6" t="s">
        <v>653</v>
      </c>
    </row>
    <row r="234" spans="3:14" x14ac:dyDescent="0.2">
      <c r="C234" s="278"/>
      <c r="E234" t="s">
        <v>661</v>
      </c>
      <c r="J234" s="79"/>
      <c r="K234" s="13"/>
      <c r="L234" s="78">
        <f>N107</f>
        <v>171429</v>
      </c>
      <c r="N234" s="6"/>
    </row>
    <row r="235" spans="3:14" x14ac:dyDescent="0.2">
      <c r="C235" s="278"/>
      <c r="E235" t="s">
        <v>662</v>
      </c>
      <c r="J235" s="79"/>
      <c r="K235" s="13"/>
      <c r="L235" s="78">
        <f>N109</f>
        <v>625000</v>
      </c>
      <c r="N235" s="6"/>
    </row>
    <row r="236" spans="3:14" x14ac:dyDescent="0.2">
      <c r="C236" s="278"/>
      <c r="E236" t="s">
        <v>663</v>
      </c>
      <c r="J236" s="79"/>
      <c r="K236" s="13"/>
      <c r="L236" s="78">
        <f>N111</f>
        <v>0</v>
      </c>
      <c r="N236" s="6"/>
    </row>
    <row r="237" spans="3:14" x14ac:dyDescent="0.2">
      <c r="C237" s="278"/>
      <c r="E237" t="s">
        <v>664</v>
      </c>
      <c r="J237" s="79"/>
      <c r="K237" s="13"/>
      <c r="L237" s="78">
        <f>N113</f>
        <v>44777</v>
      </c>
      <c r="N237" s="6"/>
    </row>
    <row r="238" spans="3:14" s="1289" customFormat="1" x14ac:dyDescent="0.2">
      <c r="C238" s="278"/>
      <c r="E238" s="1289" t="s">
        <v>4187</v>
      </c>
      <c r="J238" s="79"/>
      <c r="K238" s="1293"/>
      <c r="L238" s="1292">
        <f>N115</f>
        <v>21367</v>
      </c>
      <c r="N238" s="6"/>
    </row>
    <row r="239" spans="3:14" x14ac:dyDescent="0.2">
      <c r="C239" s="278"/>
      <c r="E239" t="s">
        <v>878</v>
      </c>
      <c r="J239" s="79"/>
      <c r="K239" s="13"/>
      <c r="L239" s="78">
        <f>N117</f>
        <v>0</v>
      </c>
      <c r="N239" s="6"/>
    </row>
    <row r="240" spans="3:14" x14ac:dyDescent="0.2">
      <c r="C240" s="278"/>
      <c r="E240" s="353" t="s">
        <v>666</v>
      </c>
      <c r="J240" s="79"/>
      <c r="K240" s="13"/>
      <c r="L240" s="78">
        <f>N120</f>
        <v>0</v>
      </c>
      <c r="N240" s="6"/>
    </row>
    <row r="241" spans="1:14" x14ac:dyDescent="0.2">
      <c r="C241" s="278"/>
      <c r="E241" s="353" t="s">
        <v>665</v>
      </c>
      <c r="J241" s="79"/>
      <c r="K241" s="13"/>
      <c r="L241" s="78">
        <f>N122</f>
        <v>0</v>
      </c>
      <c r="N241" s="6"/>
    </row>
    <row r="242" spans="1:14" ht="4.5" customHeight="1" x14ac:dyDescent="0.2">
      <c r="C242" s="278"/>
      <c r="K242" s="13"/>
    </row>
    <row r="243" spans="1:14" x14ac:dyDescent="0.2">
      <c r="A243" t="s">
        <v>879</v>
      </c>
      <c r="C243" s="278" t="s">
        <v>462</v>
      </c>
      <c r="D243" t="s">
        <v>189</v>
      </c>
      <c r="J243" s="83">
        <f t="shared" ref="J243:J251" si="0">J130</f>
        <v>0</v>
      </c>
      <c r="K243" s="13"/>
      <c r="L243" s="79"/>
    </row>
    <row r="244" spans="1:14" x14ac:dyDescent="0.2">
      <c r="C244" s="278"/>
      <c r="D244" t="s">
        <v>991</v>
      </c>
      <c r="J244" s="83">
        <f t="shared" si="0"/>
        <v>0</v>
      </c>
      <c r="K244" s="13"/>
      <c r="L244" s="79"/>
    </row>
    <row r="245" spans="1:14" x14ac:dyDescent="0.2">
      <c r="C245" s="278"/>
      <c r="D245" t="s">
        <v>214</v>
      </c>
      <c r="J245" s="83">
        <f t="shared" si="0"/>
        <v>0</v>
      </c>
      <c r="K245" s="13"/>
      <c r="L245" s="79"/>
    </row>
    <row r="246" spans="1:14" x14ac:dyDescent="0.2">
      <c r="C246" s="278"/>
      <c r="D246" t="s">
        <v>819</v>
      </c>
      <c r="J246" s="83">
        <f t="shared" si="0"/>
        <v>0</v>
      </c>
      <c r="K246" s="13"/>
      <c r="L246" s="79"/>
    </row>
    <row r="247" spans="1:14" x14ac:dyDescent="0.2">
      <c r="C247" s="278"/>
      <c r="D247" t="s">
        <v>808</v>
      </c>
      <c r="J247" s="83">
        <f t="shared" si="0"/>
        <v>0</v>
      </c>
      <c r="K247" s="13"/>
      <c r="L247" s="79"/>
    </row>
    <row r="248" spans="1:14" x14ac:dyDescent="0.2">
      <c r="C248" s="278"/>
      <c r="D248" t="s">
        <v>215</v>
      </c>
      <c r="J248" s="83">
        <f t="shared" si="0"/>
        <v>0</v>
      </c>
      <c r="K248" s="13"/>
      <c r="L248" s="79"/>
    </row>
    <row r="249" spans="1:14" x14ac:dyDescent="0.2">
      <c r="C249" s="278"/>
      <c r="D249" t="s">
        <v>216</v>
      </c>
      <c r="J249" s="83">
        <f t="shared" si="0"/>
        <v>0</v>
      </c>
      <c r="K249" s="13"/>
      <c r="L249" s="79"/>
    </row>
    <row r="250" spans="1:14" x14ac:dyDescent="0.2">
      <c r="C250" s="278"/>
      <c r="D250" t="s">
        <v>172</v>
      </c>
      <c r="J250" s="83">
        <f t="shared" si="0"/>
        <v>0</v>
      </c>
      <c r="K250" s="13"/>
      <c r="L250" s="79"/>
    </row>
    <row r="251" spans="1:14" x14ac:dyDescent="0.2">
      <c r="C251" s="278"/>
      <c r="D251" s="353" t="s">
        <v>729</v>
      </c>
      <c r="J251" s="83">
        <f t="shared" si="0"/>
        <v>0</v>
      </c>
      <c r="K251" s="13"/>
      <c r="L251" s="79"/>
    </row>
    <row r="252" spans="1:14" x14ac:dyDescent="0.2">
      <c r="C252" s="278"/>
      <c r="E252" t="s">
        <v>169</v>
      </c>
      <c r="J252" s="83"/>
      <c r="K252" s="94"/>
      <c r="L252" s="83">
        <f>J139</f>
        <v>0</v>
      </c>
    </row>
    <row r="253" spans="1:14" x14ac:dyDescent="0.2">
      <c r="C253" s="278"/>
      <c r="D253" t="s">
        <v>889</v>
      </c>
      <c r="J253" s="83">
        <f>L139+N139</f>
        <v>0</v>
      </c>
      <c r="K253" s="94"/>
      <c r="L253" s="83"/>
    </row>
    <row r="254" spans="1:14" x14ac:dyDescent="0.2">
      <c r="C254" s="278"/>
      <c r="E254" t="s">
        <v>430</v>
      </c>
      <c r="J254" s="83"/>
      <c r="K254" s="94"/>
      <c r="L254" s="83">
        <f t="shared" ref="L254:L262" si="1">L130</f>
        <v>0</v>
      </c>
    </row>
    <row r="255" spans="1:14" x14ac:dyDescent="0.2">
      <c r="C255" s="278"/>
      <c r="E255" t="s">
        <v>431</v>
      </c>
      <c r="J255" s="83"/>
      <c r="K255" s="94"/>
      <c r="L255" s="83">
        <f t="shared" si="1"/>
        <v>0</v>
      </c>
    </row>
    <row r="256" spans="1:14" x14ac:dyDescent="0.2">
      <c r="C256" s="278"/>
      <c r="E256" t="s">
        <v>432</v>
      </c>
      <c r="J256" s="83"/>
      <c r="K256" s="94"/>
      <c r="L256" s="83">
        <f t="shared" si="1"/>
        <v>0</v>
      </c>
    </row>
    <row r="257" spans="3:14" x14ac:dyDescent="0.2">
      <c r="C257" s="278"/>
      <c r="E257" t="s">
        <v>433</v>
      </c>
      <c r="J257" s="83"/>
      <c r="K257" s="94"/>
      <c r="L257" s="83">
        <f t="shared" si="1"/>
        <v>0</v>
      </c>
      <c r="N257" s="6" t="s">
        <v>424</v>
      </c>
    </row>
    <row r="258" spans="3:14" x14ac:dyDescent="0.2">
      <c r="C258" s="278"/>
      <c r="E258" t="s">
        <v>434</v>
      </c>
      <c r="J258" s="83"/>
      <c r="K258" s="94"/>
      <c r="L258" s="83">
        <f t="shared" si="1"/>
        <v>0</v>
      </c>
      <c r="N258" s="6" t="s">
        <v>425</v>
      </c>
    </row>
    <row r="259" spans="3:14" x14ac:dyDescent="0.2">
      <c r="C259" s="278"/>
      <c r="E259" t="s">
        <v>435</v>
      </c>
      <c r="J259" s="83"/>
      <c r="K259" s="94"/>
      <c r="L259" s="83">
        <f t="shared" si="1"/>
        <v>0</v>
      </c>
    </row>
    <row r="260" spans="3:14" x14ac:dyDescent="0.2">
      <c r="C260" s="278"/>
      <c r="E260" t="s">
        <v>436</v>
      </c>
      <c r="J260" s="83"/>
      <c r="K260" s="94"/>
      <c r="L260" s="83">
        <f t="shared" si="1"/>
        <v>0</v>
      </c>
    </row>
    <row r="261" spans="3:14" x14ac:dyDescent="0.2">
      <c r="C261" s="278"/>
      <c r="E261" t="s">
        <v>177</v>
      </c>
      <c r="J261" s="83"/>
      <c r="K261" s="94"/>
      <c r="L261" s="83">
        <f t="shared" si="1"/>
        <v>0</v>
      </c>
    </row>
    <row r="262" spans="3:14" x14ac:dyDescent="0.2">
      <c r="C262" s="278"/>
      <c r="E262" s="353" t="s">
        <v>437</v>
      </c>
      <c r="J262" s="83"/>
      <c r="K262" s="94"/>
      <c r="L262" s="83">
        <f t="shared" si="1"/>
        <v>0</v>
      </c>
    </row>
    <row r="263" spans="3:14" x14ac:dyDescent="0.2">
      <c r="C263" s="278"/>
      <c r="E263" t="s">
        <v>438</v>
      </c>
      <c r="J263" s="83"/>
      <c r="K263" s="94"/>
      <c r="L263" s="83">
        <f t="shared" ref="L263:L271" si="2">N130</f>
        <v>0</v>
      </c>
    </row>
    <row r="264" spans="3:14" x14ac:dyDescent="0.2">
      <c r="C264" s="278"/>
      <c r="E264" t="s">
        <v>439</v>
      </c>
      <c r="J264" s="83"/>
      <c r="K264" s="94"/>
      <c r="L264" s="83">
        <f t="shared" si="2"/>
        <v>0</v>
      </c>
    </row>
    <row r="265" spans="3:14" x14ac:dyDescent="0.2">
      <c r="C265" s="278"/>
      <c r="E265" t="s">
        <v>440</v>
      </c>
      <c r="J265" s="83"/>
      <c r="K265" s="94"/>
      <c r="L265" s="83">
        <f t="shared" si="2"/>
        <v>0</v>
      </c>
    </row>
    <row r="266" spans="3:14" x14ac:dyDescent="0.2">
      <c r="C266" s="278"/>
      <c r="E266" t="s">
        <v>481</v>
      </c>
      <c r="J266" s="83"/>
      <c r="K266" s="94"/>
      <c r="L266" s="83">
        <f t="shared" si="2"/>
        <v>0</v>
      </c>
    </row>
    <row r="267" spans="3:14" x14ac:dyDescent="0.2">
      <c r="C267" s="278"/>
      <c r="E267" t="s">
        <v>482</v>
      </c>
      <c r="J267" s="83"/>
      <c r="K267" s="94"/>
      <c r="L267" s="83">
        <f t="shared" si="2"/>
        <v>0</v>
      </c>
    </row>
    <row r="268" spans="3:14" x14ac:dyDescent="0.2">
      <c r="C268" s="278"/>
      <c r="E268" t="s">
        <v>483</v>
      </c>
      <c r="J268" s="83"/>
      <c r="K268" s="94"/>
      <c r="L268" s="83">
        <f t="shared" si="2"/>
        <v>0</v>
      </c>
    </row>
    <row r="269" spans="3:14" x14ac:dyDescent="0.2">
      <c r="C269" s="278"/>
      <c r="E269" t="s">
        <v>484</v>
      </c>
      <c r="J269" s="83"/>
      <c r="K269" s="94"/>
      <c r="L269" s="83">
        <f t="shared" si="2"/>
        <v>0</v>
      </c>
    </row>
    <row r="270" spans="3:14" x14ac:dyDescent="0.2">
      <c r="C270" s="278"/>
      <c r="E270" t="s">
        <v>178</v>
      </c>
      <c r="J270" s="83"/>
      <c r="K270" s="94"/>
      <c r="L270" s="83">
        <f t="shared" si="2"/>
        <v>0</v>
      </c>
    </row>
    <row r="271" spans="3:14" x14ac:dyDescent="0.2">
      <c r="C271" s="278"/>
      <c r="E271" s="353" t="s">
        <v>538</v>
      </c>
      <c r="J271" s="83"/>
      <c r="K271" s="94"/>
      <c r="L271" s="83">
        <f t="shared" si="2"/>
        <v>0</v>
      </c>
    </row>
    <row r="272" spans="3:14" ht="3" customHeight="1" x14ac:dyDescent="0.2">
      <c r="C272" s="278"/>
      <c r="K272" s="13"/>
    </row>
    <row r="273" spans="2:16" x14ac:dyDescent="0.2">
      <c r="B273" t="s">
        <v>883</v>
      </c>
      <c r="C273" s="278" t="s">
        <v>463</v>
      </c>
      <c r="D273" t="s">
        <v>683</v>
      </c>
      <c r="J273" s="83">
        <f t="shared" ref="J273:J283" si="3">L146</f>
        <v>0</v>
      </c>
      <c r="K273" s="94"/>
      <c r="L273" s="83">
        <f t="shared" ref="L273:L283" si="4">N146</f>
        <v>0</v>
      </c>
    </row>
    <row r="274" spans="2:16" x14ac:dyDescent="0.2">
      <c r="C274" s="278"/>
      <c r="D274" t="s">
        <v>189</v>
      </c>
      <c r="J274" s="83">
        <f t="shared" si="3"/>
        <v>0</v>
      </c>
      <c r="K274" s="94"/>
      <c r="L274" s="83">
        <f t="shared" si="4"/>
        <v>0</v>
      </c>
    </row>
    <row r="275" spans="2:16" x14ac:dyDescent="0.2">
      <c r="C275" s="278"/>
      <c r="D275" t="s">
        <v>991</v>
      </c>
      <c r="J275" s="83">
        <f t="shared" si="3"/>
        <v>0</v>
      </c>
      <c r="K275" s="94"/>
      <c r="L275" s="83">
        <f t="shared" si="4"/>
        <v>0</v>
      </c>
    </row>
    <row r="276" spans="2:16" x14ac:dyDescent="0.2">
      <c r="C276" s="278"/>
      <c r="D276" t="s">
        <v>214</v>
      </c>
      <c r="J276" s="83">
        <f t="shared" si="3"/>
        <v>0</v>
      </c>
      <c r="K276" s="94"/>
      <c r="L276" s="83">
        <f t="shared" si="4"/>
        <v>0</v>
      </c>
    </row>
    <row r="277" spans="2:16" x14ac:dyDescent="0.2">
      <c r="C277" s="278"/>
      <c r="D277" t="s">
        <v>819</v>
      </c>
      <c r="J277" s="83">
        <f t="shared" si="3"/>
        <v>0</v>
      </c>
      <c r="K277" s="94"/>
      <c r="L277" s="83">
        <f t="shared" si="4"/>
        <v>0</v>
      </c>
      <c r="N277" s="6" t="s">
        <v>426</v>
      </c>
    </row>
    <row r="278" spans="2:16" x14ac:dyDescent="0.2">
      <c r="C278" s="278"/>
      <c r="D278" t="s">
        <v>808</v>
      </c>
      <c r="J278" s="83">
        <f t="shared" si="3"/>
        <v>0</v>
      </c>
      <c r="K278" s="94"/>
      <c r="L278" s="83">
        <f t="shared" si="4"/>
        <v>0</v>
      </c>
      <c r="N278" s="6" t="s">
        <v>427</v>
      </c>
    </row>
    <row r="279" spans="2:16" x14ac:dyDescent="0.2">
      <c r="C279" s="278"/>
      <c r="D279" t="s">
        <v>215</v>
      </c>
      <c r="J279" s="83">
        <f t="shared" si="3"/>
        <v>0</v>
      </c>
      <c r="K279" s="94"/>
      <c r="L279" s="83">
        <f t="shared" si="4"/>
        <v>0</v>
      </c>
      <c r="N279" s="6" t="s">
        <v>428</v>
      </c>
    </row>
    <row r="280" spans="2:16" x14ac:dyDescent="0.2">
      <c r="C280" s="278"/>
      <c r="D280" t="s">
        <v>216</v>
      </c>
      <c r="J280" s="83">
        <f t="shared" si="3"/>
        <v>0</v>
      </c>
      <c r="K280" s="94"/>
      <c r="L280" s="83">
        <f t="shared" si="4"/>
        <v>0</v>
      </c>
    </row>
    <row r="281" spans="2:16" x14ac:dyDescent="0.2">
      <c r="C281" s="278"/>
      <c r="D281" t="s">
        <v>172</v>
      </c>
      <c r="J281" s="83">
        <f t="shared" si="3"/>
        <v>0</v>
      </c>
      <c r="K281" s="94"/>
      <c r="L281" s="83">
        <f t="shared" si="4"/>
        <v>0</v>
      </c>
    </row>
    <row r="282" spans="2:16" x14ac:dyDescent="0.2">
      <c r="C282" s="278"/>
      <c r="D282" s="353" t="s">
        <v>729</v>
      </c>
      <c r="J282" s="83">
        <f t="shared" si="3"/>
        <v>0</v>
      </c>
      <c r="K282" s="94"/>
      <c r="L282" s="83">
        <f t="shared" si="4"/>
        <v>0</v>
      </c>
    </row>
    <row r="283" spans="2:16" x14ac:dyDescent="0.2">
      <c r="C283" s="278"/>
      <c r="D283" t="s">
        <v>735</v>
      </c>
      <c r="J283" s="83">
        <f t="shared" si="3"/>
        <v>0</v>
      </c>
      <c r="K283" s="94"/>
      <c r="L283" s="83">
        <f t="shared" si="4"/>
        <v>0</v>
      </c>
    </row>
    <row r="284" spans="2:16" ht="4.5" customHeight="1" x14ac:dyDescent="0.2">
      <c r="J284" s="94"/>
      <c r="K284" s="94"/>
      <c r="L284" s="94"/>
      <c r="N284" s="1325" t="s">
        <v>41</v>
      </c>
      <c r="O284" s="1325"/>
      <c r="P284" s="1325"/>
    </row>
    <row r="285" spans="2:16" ht="12.75" customHeight="1" x14ac:dyDescent="0.2">
      <c r="B285" s="423" t="s">
        <v>38</v>
      </c>
      <c r="C285" s="279" t="s">
        <v>464</v>
      </c>
      <c r="D285" t="s">
        <v>39</v>
      </c>
      <c r="J285" s="83">
        <f>N161</f>
        <v>0</v>
      </c>
      <c r="K285" s="94"/>
      <c r="L285" s="83"/>
      <c r="N285" s="1325"/>
      <c r="O285" s="1325"/>
      <c r="P285" s="1325"/>
    </row>
    <row r="286" spans="2:16" x14ac:dyDescent="0.2">
      <c r="C286" s="278"/>
      <c r="D286" t="s">
        <v>42</v>
      </c>
      <c r="J286" s="83">
        <f>N164</f>
        <v>0</v>
      </c>
      <c r="K286" s="94"/>
      <c r="L286" s="83"/>
      <c r="N286" s="1325"/>
      <c r="O286" s="1325"/>
      <c r="P286" s="1325"/>
    </row>
    <row r="287" spans="2:16" x14ac:dyDescent="0.2">
      <c r="C287" s="278"/>
      <c r="E287" t="s">
        <v>40</v>
      </c>
      <c r="J287" s="83"/>
      <c r="K287" s="94"/>
      <c r="L287" s="83">
        <f>N161+N164</f>
        <v>0</v>
      </c>
      <c r="N287" s="1325"/>
      <c r="O287" s="1325"/>
      <c r="P287" s="1325"/>
    </row>
    <row r="288" spans="2:16" ht="4.5" customHeight="1" x14ac:dyDescent="0.2">
      <c r="C288" s="278"/>
      <c r="J288" s="13"/>
      <c r="K288" s="13"/>
      <c r="L288" s="13"/>
      <c r="N288" s="1325"/>
      <c r="O288" s="1325"/>
      <c r="P288" s="1325"/>
    </row>
    <row r="289" spans="2:14" x14ac:dyDescent="0.2">
      <c r="B289" t="s">
        <v>997</v>
      </c>
      <c r="C289" s="276" t="s">
        <v>34</v>
      </c>
      <c r="D289" t="s">
        <v>735</v>
      </c>
      <c r="J289" s="78">
        <f>N174+L177+L178+L179+L180+L181+L182+L183+L184+L185+L186+L187+L188+L189+L190+L192</f>
        <v>19758172</v>
      </c>
      <c r="K289" s="13"/>
      <c r="L289" s="79"/>
    </row>
    <row r="290" spans="2:14" x14ac:dyDescent="0.2">
      <c r="E290" s="13" t="s">
        <v>1061</v>
      </c>
      <c r="F290" s="13"/>
      <c r="G290" s="13"/>
      <c r="J290" s="79"/>
      <c r="K290" s="13"/>
      <c r="L290" s="78">
        <f>N174</f>
        <v>10958773</v>
      </c>
    </row>
    <row r="291" spans="2:14" x14ac:dyDescent="0.2">
      <c r="E291" t="s">
        <v>998</v>
      </c>
      <c r="J291" s="79"/>
      <c r="K291" s="13"/>
      <c r="L291" s="78">
        <f t="shared" ref="L291:L296" si="5">L177</f>
        <v>0</v>
      </c>
    </row>
    <row r="292" spans="2:14" x14ac:dyDescent="0.2">
      <c r="E292" t="s">
        <v>999</v>
      </c>
      <c r="J292" s="79"/>
      <c r="K292" s="13"/>
      <c r="L292" s="78">
        <f t="shared" si="5"/>
        <v>0</v>
      </c>
    </row>
    <row r="293" spans="2:14" x14ac:dyDescent="0.2">
      <c r="E293" t="s">
        <v>1000</v>
      </c>
      <c r="J293" s="79"/>
      <c r="K293" s="13"/>
      <c r="L293" s="78">
        <f t="shared" si="5"/>
        <v>0</v>
      </c>
    </row>
    <row r="294" spans="2:14" x14ac:dyDescent="0.2">
      <c r="E294" t="s">
        <v>1001</v>
      </c>
      <c r="J294" s="79"/>
      <c r="K294" s="13"/>
      <c r="L294" s="78">
        <f t="shared" si="5"/>
        <v>1783</v>
      </c>
      <c r="N294" s="1421" t="s">
        <v>1074</v>
      </c>
    </row>
    <row r="295" spans="2:14" x14ac:dyDescent="0.2">
      <c r="E295" t="s">
        <v>559</v>
      </c>
      <c r="J295" s="79"/>
      <c r="K295" s="13"/>
      <c r="L295" s="78">
        <f t="shared" si="5"/>
        <v>0</v>
      </c>
      <c r="N295" s="1421"/>
    </row>
    <row r="296" spans="2:14" s="1289" customFormat="1" x14ac:dyDescent="0.2">
      <c r="E296" s="1289" t="s">
        <v>4185</v>
      </c>
      <c r="J296" s="79"/>
      <c r="K296" s="1293"/>
      <c r="L296" s="1292">
        <f t="shared" si="5"/>
        <v>46346</v>
      </c>
      <c r="N296" s="1421"/>
    </row>
    <row r="297" spans="2:14" s="1306" customFormat="1" x14ac:dyDescent="0.2">
      <c r="E297" s="1306" t="s">
        <v>4201</v>
      </c>
      <c r="J297" s="79"/>
      <c r="K297" s="1308"/>
      <c r="L297" s="1307">
        <f>L183</f>
        <v>2268038</v>
      </c>
      <c r="N297" s="1421"/>
    </row>
    <row r="298" spans="2:14" x14ac:dyDescent="0.2">
      <c r="E298" t="s">
        <v>217</v>
      </c>
      <c r="J298" s="79"/>
      <c r="K298" s="13"/>
      <c r="L298" s="78">
        <f t="shared" ref="L298:L304" si="6">L184</f>
        <v>0</v>
      </c>
      <c r="N298" s="1421"/>
    </row>
    <row r="299" spans="2:14" x14ac:dyDescent="0.2">
      <c r="E299" t="s">
        <v>218</v>
      </c>
      <c r="J299" s="79"/>
      <c r="K299" s="13"/>
      <c r="L299" s="78">
        <f t="shared" si="6"/>
        <v>561237</v>
      </c>
      <c r="N299" s="1421"/>
    </row>
    <row r="300" spans="2:14" x14ac:dyDescent="0.2">
      <c r="E300" t="s">
        <v>263</v>
      </c>
      <c r="J300" s="79"/>
      <c r="K300" s="13"/>
      <c r="L300" s="78">
        <f t="shared" si="6"/>
        <v>17285</v>
      </c>
      <c r="N300" s="157"/>
    </row>
    <row r="301" spans="2:14" x14ac:dyDescent="0.2">
      <c r="E301" t="s">
        <v>1045</v>
      </c>
      <c r="J301" s="79"/>
      <c r="K301" s="13"/>
      <c r="L301" s="78">
        <f t="shared" si="6"/>
        <v>4159606</v>
      </c>
      <c r="N301" s="157"/>
    </row>
    <row r="302" spans="2:14" x14ac:dyDescent="0.2">
      <c r="E302" s="353" t="s">
        <v>560</v>
      </c>
      <c r="J302" s="79"/>
      <c r="K302" s="13"/>
      <c r="L302" s="78">
        <f t="shared" si="6"/>
        <v>76023</v>
      </c>
    </row>
    <row r="303" spans="2:14" x14ac:dyDescent="0.2">
      <c r="E303" s="353" t="s">
        <v>561</v>
      </c>
      <c r="J303" s="79"/>
      <c r="K303" s="13"/>
      <c r="L303" s="78">
        <f t="shared" si="6"/>
        <v>0</v>
      </c>
    </row>
    <row r="304" spans="2:14" x14ac:dyDescent="0.2">
      <c r="E304" s="353" t="s">
        <v>562</v>
      </c>
      <c r="J304" s="79"/>
      <c r="K304" s="13"/>
      <c r="L304" s="78">
        <f t="shared" si="6"/>
        <v>0</v>
      </c>
    </row>
    <row r="305" spans="5:12" x14ac:dyDescent="0.2">
      <c r="E305" t="s">
        <v>955</v>
      </c>
      <c r="J305" s="79"/>
      <c r="K305" s="13"/>
      <c r="L305" s="78">
        <f>L192</f>
        <v>1669081</v>
      </c>
    </row>
    <row r="306" spans="5:12" ht="13.5" thickBot="1" x14ac:dyDescent="0.25">
      <c r="J306" s="80">
        <f>SUM(J200:J305)</f>
        <v>21519804</v>
      </c>
      <c r="K306" s="234"/>
      <c r="L306" s="80">
        <f>SUM(L200:L305)</f>
        <v>21519804</v>
      </c>
    </row>
    <row r="307" spans="5:12" ht="13.5" thickTop="1" x14ac:dyDescent="0.2"/>
  </sheetData>
  <customSheetViews>
    <customSheetView guid="{C1197650-3ED8-49E4-8E4C-0D1D4B503FC0}" scale="90" hiddenRows="1" topLeftCell="A73">
      <selection activeCell="N114" sqref="N114"/>
      <rowBreaks count="3" manualBreakCount="3">
        <brk id="64" max="15" man="1"/>
        <brk id="138" max="15" man="1"/>
        <brk id="219" max="15" man="1"/>
      </rowBreaks>
      <pageMargins left="0.5" right="0.45" top="0.72" bottom="0.71" header="0.5" footer="0.5"/>
      <printOptions horizontalCentered="1"/>
      <pageSetup scale="65" orientation="portrait" r:id="rId1"/>
      <headerFooter alignWithMargins="0">
        <oddHeader>&amp;R&amp;"Arial,Bold"&amp;12Entry  L</oddHeader>
        <oddFooter>&amp;L&amp;8&amp;D - County model&amp;R&amp;P</oddFooter>
      </headerFooter>
    </customSheetView>
    <customSheetView guid="{D2B860EA-92EC-4999-9A59-C624E1F8C7FB}" scale="90" hiddenRows="1" topLeftCell="A73">
      <selection activeCell="N114" sqref="N114"/>
      <rowBreaks count="3" manualBreakCount="3">
        <brk id="64" max="15" man="1"/>
        <brk id="138" max="15" man="1"/>
        <brk id="219" max="15" man="1"/>
      </rowBreaks>
      <pageMargins left="0.5" right="0.45" top="0.72" bottom="0.71" header="0.5" footer="0.5"/>
      <printOptions horizontalCentered="1"/>
      <pageSetup scale="65" orientation="portrait" r:id="rId2"/>
      <headerFooter alignWithMargins="0">
        <oddHeader>&amp;R&amp;"Arial,Bold"&amp;12Entry  L</oddHeader>
        <oddFooter>&amp;L&amp;8&amp;D - County model&amp;R&amp;P</oddFooter>
      </headerFooter>
    </customSheetView>
  </customSheetViews>
  <mergeCells count="52">
    <mergeCell ref="B84:N84"/>
    <mergeCell ref="B93:N93"/>
    <mergeCell ref="C95:J96"/>
    <mergeCell ref="N80:N82"/>
    <mergeCell ref="C80:L82"/>
    <mergeCell ref="B46:N46"/>
    <mergeCell ref="B57:N57"/>
    <mergeCell ref="N60:N61"/>
    <mergeCell ref="C49:L50"/>
    <mergeCell ref="C60:L61"/>
    <mergeCell ref="C52:L53"/>
    <mergeCell ref="N52:N53"/>
    <mergeCell ref="N49:N50"/>
    <mergeCell ref="N69:N71"/>
    <mergeCell ref="N73:N75"/>
    <mergeCell ref="N77:N78"/>
    <mergeCell ref="C69:L71"/>
    <mergeCell ref="C73:L75"/>
    <mergeCell ref="C77:L78"/>
    <mergeCell ref="C18:N19"/>
    <mergeCell ref="C28:N29"/>
    <mergeCell ref="C21:N26"/>
    <mergeCell ref="C12:N16"/>
    <mergeCell ref="A2:O2"/>
    <mergeCell ref="B4:P4"/>
    <mergeCell ref="C6:N7"/>
    <mergeCell ref="C9:N10"/>
    <mergeCell ref="N294:N299"/>
    <mergeCell ref="B197:N197"/>
    <mergeCell ref="B167:N167"/>
    <mergeCell ref="C144:J145"/>
    <mergeCell ref="N192:N195"/>
    <mergeCell ref="N284:P288"/>
    <mergeCell ref="C164:J165"/>
    <mergeCell ref="N161:N162"/>
    <mergeCell ref="N164:N165"/>
    <mergeCell ref="C42:N44"/>
    <mergeCell ref="C31:N34"/>
    <mergeCell ref="B159:N159"/>
    <mergeCell ref="C161:J162"/>
    <mergeCell ref="C36:N40"/>
    <mergeCell ref="B142:N142"/>
    <mergeCell ref="L128:N128"/>
    <mergeCell ref="B103:N103"/>
    <mergeCell ref="B125:N125"/>
    <mergeCell ref="C127:J128"/>
    <mergeCell ref="N63:N64"/>
    <mergeCell ref="B67:N67"/>
    <mergeCell ref="C63:L64"/>
    <mergeCell ref="C117:L118"/>
    <mergeCell ref="C88:J88"/>
    <mergeCell ref="C86:L86"/>
  </mergeCells>
  <phoneticPr fontId="14" type="noConversion"/>
  <printOptions horizontalCentered="1"/>
  <pageMargins left="0.5" right="0.45" top="0.72" bottom="0.71" header="0.5" footer="0.5"/>
  <pageSetup scale="65" orientation="portrait" r:id="rId3"/>
  <headerFooter alignWithMargins="0">
    <oddHeader>&amp;R&amp;"Arial,Bold"&amp;12Entry  L</oddHeader>
    <oddFooter>&amp;L&amp;8&amp;D - County model&amp;R&amp;P</oddFooter>
  </headerFooter>
  <rowBreaks count="3" manualBreakCount="3">
    <brk id="64" max="15" man="1"/>
    <brk id="140" max="15" man="1"/>
    <brk id="223" max="15" man="1"/>
  </rowBreak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G119"/>
  <sheetViews>
    <sheetView topLeftCell="A3" workbookViewId="0">
      <selection sqref="A1:I1"/>
    </sheetView>
  </sheetViews>
  <sheetFormatPr defaultRowHeight="12.75" x14ac:dyDescent="0.2"/>
  <cols>
    <col min="1" max="1" width="3.42578125" customWidth="1"/>
    <col min="2" max="2" width="41.140625" customWidth="1"/>
    <col min="3" max="3" width="12.5703125" customWidth="1"/>
    <col min="4" max="4" width="12.85546875" customWidth="1"/>
    <col min="5" max="5" width="14" customWidth="1"/>
    <col min="6" max="6" width="13.140625" customWidth="1"/>
    <col min="7" max="7" width="11.28515625" customWidth="1"/>
    <col min="8" max="8" width="9.140625" customWidth="1"/>
    <col min="9" max="9" width="12.85546875" bestFit="1" customWidth="1"/>
  </cols>
  <sheetData>
    <row r="1" spans="1:12" ht="36.75" customHeight="1" x14ac:dyDescent="0.3">
      <c r="A1" s="1563" t="s">
        <v>1063</v>
      </c>
      <c r="B1" s="1564"/>
      <c r="C1" s="1564"/>
      <c r="D1" s="1564"/>
      <c r="E1" s="1564"/>
      <c r="F1" s="1564"/>
      <c r="G1" s="1564"/>
      <c r="H1" s="1564"/>
      <c r="I1" s="1565"/>
      <c r="J1" s="314"/>
      <c r="K1" s="314"/>
      <c r="L1" s="314"/>
    </row>
    <row r="2" spans="1:12" ht="11.25" customHeight="1" x14ac:dyDescent="0.2"/>
    <row r="3" spans="1:12" ht="51.75" customHeight="1" x14ac:dyDescent="0.2">
      <c r="B3" s="1337" t="s">
        <v>1124</v>
      </c>
      <c r="C3" s="1337"/>
      <c r="D3" s="1337"/>
      <c r="E3" s="1337"/>
      <c r="F3" s="1337"/>
      <c r="G3" s="1337"/>
      <c r="H3" s="1337"/>
      <c r="I3" s="1337"/>
    </row>
    <row r="4" spans="1:12" ht="4.5" customHeight="1" x14ac:dyDescent="0.2"/>
    <row r="5" spans="1:12" ht="27" customHeight="1" x14ac:dyDescent="0.2">
      <c r="B5" s="1324" t="s">
        <v>123</v>
      </c>
      <c r="C5" s="1324"/>
      <c r="D5" s="1324"/>
      <c r="E5" s="1324"/>
      <c r="F5" s="1324"/>
      <c r="G5" s="1324"/>
      <c r="H5" s="1324"/>
      <c r="I5" s="1324"/>
    </row>
    <row r="6" spans="1:12" ht="11.25" customHeight="1" x14ac:dyDescent="0.2"/>
    <row r="7" spans="1:12" ht="25.5" customHeight="1" x14ac:dyDescent="0.25">
      <c r="A7" s="4" t="s">
        <v>540</v>
      </c>
      <c r="B7" s="1566" t="s">
        <v>1125</v>
      </c>
      <c r="C7" s="1567"/>
      <c r="D7" s="1567"/>
      <c r="E7" s="1567"/>
      <c r="F7" s="1567"/>
      <c r="G7" s="1567"/>
      <c r="H7" s="1567"/>
      <c r="I7" s="1568"/>
    </row>
    <row r="8" spans="1:12" ht="6.75" customHeight="1" x14ac:dyDescent="0.25">
      <c r="B8" s="315"/>
      <c r="C8" s="315"/>
      <c r="D8" s="315"/>
      <c r="E8" s="315"/>
      <c r="F8" s="315"/>
      <c r="G8" s="315"/>
      <c r="H8" s="14"/>
    </row>
    <row r="9" spans="1:12" ht="12.75" customHeight="1" x14ac:dyDescent="0.25">
      <c r="B9" s="315"/>
      <c r="C9" s="315"/>
      <c r="D9" s="315"/>
      <c r="E9" s="315"/>
      <c r="F9" s="315"/>
      <c r="G9" s="315"/>
      <c r="H9" s="14"/>
    </row>
    <row r="10" spans="1:12" ht="12.75" customHeight="1" x14ac:dyDescent="0.25">
      <c r="B10" s="315"/>
      <c r="C10" s="315"/>
      <c r="D10" s="315"/>
      <c r="E10" s="315"/>
      <c r="F10" s="315"/>
      <c r="G10" s="315"/>
      <c r="H10" s="14"/>
    </row>
    <row r="11" spans="1:12" ht="12.75" customHeight="1" x14ac:dyDescent="0.25">
      <c r="B11" s="315"/>
      <c r="C11" s="315"/>
      <c r="D11" s="315"/>
      <c r="E11" s="315"/>
      <c r="F11" s="315"/>
      <c r="G11" s="315"/>
      <c r="H11" s="14"/>
    </row>
    <row r="12" spans="1:12" ht="12.75" customHeight="1" x14ac:dyDescent="0.25">
      <c r="B12" s="315"/>
      <c r="C12" s="315"/>
      <c r="D12" s="315"/>
      <c r="E12" s="315"/>
      <c r="F12" s="315"/>
      <c r="G12" s="315"/>
      <c r="H12" s="14"/>
    </row>
    <row r="13" spans="1:12" ht="12.75" customHeight="1" x14ac:dyDescent="0.25">
      <c r="B13" s="315"/>
      <c r="C13" s="315"/>
      <c r="D13" s="315"/>
      <c r="E13" s="315"/>
      <c r="F13" s="315"/>
      <c r="G13" s="315"/>
      <c r="H13" s="14"/>
    </row>
    <row r="14" spans="1:12" ht="12.75" customHeight="1" x14ac:dyDescent="0.25">
      <c r="B14" s="315"/>
      <c r="C14" s="315"/>
      <c r="D14" s="315"/>
      <c r="E14" s="315"/>
      <c r="F14" s="315"/>
      <c r="G14" s="315"/>
      <c r="H14" s="14"/>
    </row>
    <row r="15" spans="1:12" ht="12.75" customHeight="1" x14ac:dyDescent="0.25">
      <c r="B15" s="315"/>
      <c r="C15" s="315"/>
      <c r="D15" s="315"/>
      <c r="E15" s="315"/>
      <c r="F15" s="315"/>
      <c r="G15" s="315"/>
      <c r="H15" s="14"/>
    </row>
    <row r="16" spans="1:12" ht="12.75" customHeight="1" x14ac:dyDescent="0.25">
      <c r="B16" s="315"/>
      <c r="C16" s="315"/>
      <c r="D16" s="315"/>
      <c r="E16" s="315"/>
      <c r="F16" s="315"/>
      <c r="G16" s="315"/>
      <c r="H16" s="14"/>
    </row>
    <row r="17" spans="2:9" ht="9" customHeight="1" x14ac:dyDescent="0.25">
      <c r="B17" s="315"/>
      <c r="C17" s="315"/>
      <c r="D17" s="315"/>
      <c r="E17" s="315"/>
      <c r="F17" s="315"/>
      <c r="G17" s="315"/>
      <c r="H17" s="14"/>
    </row>
    <row r="18" spans="2:9" ht="9" customHeight="1" x14ac:dyDescent="0.25">
      <c r="B18" s="315"/>
      <c r="C18" s="315"/>
      <c r="D18" s="315"/>
      <c r="E18" s="315"/>
      <c r="F18" s="315"/>
      <c r="G18" s="315"/>
      <c r="H18" s="14"/>
    </row>
    <row r="19" spans="2:9" ht="15.75" x14ac:dyDescent="0.25">
      <c r="B19" s="289"/>
      <c r="C19" s="410" t="s">
        <v>65</v>
      </c>
      <c r="D19" s="410" t="s">
        <v>65</v>
      </c>
      <c r="E19" s="411" t="s">
        <v>66</v>
      </c>
      <c r="F19" s="412" t="s">
        <v>66</v>
      </c>
      <c r="G19" s="368" t="s">
        <v>357</v>
      </c>
    </row>
    <row r="20" spans="2:9" x14ac:dyDescent="0.2">
      <c r="B20" s="290"/>
      <c r="C20" s="369" t="s">
        <v>355</v>
      </c>
      <c r="D20" s="369"/>
      <c r="E20" s="369"/>
      <c r="F20" s="332" t="s">
        <v>356</v>
      </c>
      <c r="G20" s="369" t="s">
        <v>354</v>
      </c>
    </row>
    <row r="21" spans="2:9" x14ac:dyDescent="0.2">
      <c r="B21" s="291" t="s">
        <v>358</v>
      </c>
      <c r="C21" s="370" t="s">
        <v>359</v>
      </c>
      <c r="D21" s="370" t="s">
        <v>1051</v>
      </c>
      <c r="E21" s="370" t="s">
        <v>1052</v>
      </c>
      <c r="F21" s="371" t="s">
        <v>360</v>
      </c>
      <c r="G21" s="370" t="s">
        <v>1126</v>
      </c>
    </row>
    <row r="22" spans="2:9" ht="3.75" customHeight="1" x14ac:dyDescent="0.2">
      <c r="B22" s="7"/>
      <c r="C22" s="372"/>
      <c r="D22" s="372"/>
      <c r="E22" s="372"/>
      <c r="F22" s="372"/>
      <c r="G22" s="413"/>
    </row>
    <row r="23" spans="2:9" x14ac:dyDescent="0.2">
      <c r="B23" s="292" t="s">
        <v>189</v>
      </c>
      <c r="C23" s="387">
        <v>0</v>
      </c>
      <c r="D23" s="387">
        <v>0</v>
      </c>
      <c r="E23" s="387">
        <v>0</v>
      </c>
      <c r="F23" s="387">
        <v>0</v>
      </c>
      <c r="G23" s="414">
        <f t="shared" ref="G23:G35" si="0">+C23+D23-E23-F23</f>
        <v>0</v>
      </c>
      <c r="H23" s="293"/>
    </row>
    <row r="24" spans="2:9" ht="15" x14ac:dyDescent="0.2">
      <c r="B24" s="292" t="s">
        <v>1020</v>
      </c>
      <c r="C24" s="1309">
        <v>1783</v>
      </c>
      <c r="D24" s="1309">
        <f>4478</f>
        <v>4478</v>
      </c>
      <c r="E24" s="1309">
        <v>4478</v>
      </c>
      <c r="F24" s="388">
        <v>0</v>
      </c>
      <c r="G24" s="414">
        <f>+C24+D24-E24-F24</f>
        <v>1783</v>
      </c>
      <c r="H24" s="90" t="s">
        <v>336</v>
      </c>
    </row>
    <row r="25" spans="2:9" x14ac:dyDescent="0.2">
      <c r="B25" s="292" t="s">
        <v>992</v>
      </c>
      <c r="C25" s="1310">
        <v>0</v>
      </c>
      <c r="D25" s="1310">
        <v>0</v>
      </c>
      <c r="E25" s="1310">
        <v>0</v>
      </c>
      <c r="F25" s="388">
        <v>0</v>
      </c>
      <c r="G25" s="414">
        <f t="shared" si="0"/>
        <v>0</v>
      </c>
      <c r="H25" s="293"/>
    </row>
    <row r="26" spans="2:9" x14ac:dyDescent="0.2">
      <c r="B26" s="292" t="s">
        <v>361</v>
      </c>
      <c r="C26" s="1310">
        <v>0</v>
      </c>
      <c r="D26" s="1310">
        <v>0</v>
      </c>
      <c r="E26" s="1310">
        <v>0</v>
      </c>
      <c r="F26" s="388">
        <v>0</v>
      </c>
      <c r="G26" s="414">
        <f t="shared" si="0"/>
        <v>0</v>
      </c>
      <c r="H26" s="293"/>
    </row>
    <row r="27" spans="2:9" x14ac:dyDescent="0.2">
      <c r="B27" s="292" t="s">
        <v>183</v>
      </c>
      <c r="C27" s="1311">
        <v>0</v>
      </c>
      <c r="D27" s="1310">
        <v>0</v>
      </c>
      <c r="E27" s="1310">
        <v>0</v>
      </c>
      <c r="F27" s="388">
        <v>0</v>
      </c>
      <c r="G27" s="414">
        <f t="shared" si="0"/>
        <v>0</v>
      </c>
      <c r="H27" s="293"/>
    </row>
    <row r="28" spans="2:9" x14ac:dyDescent="0.2">
      <c r="B28" s="1316" t="s">
        <v>4215</v>
      </c>
      <c r="C28" s="1311">
        <v>330000</v>
      </c>
      <c r="D28" s="1310">
        <f>2153376-215338</f>
        <v>1938038</v>
      </c>
      <c r="E28" s="1310">
        <v>0</v>
      </c>
      <c r="F28" s="388">
        <v>0</v>
      </c>
      <c r="G28" s="414">
        <f>+C28+D28-E28-F28</f>
        <v>2268038</v>
      </c>
      <c r="I28" s="13"/>
    </row>
    <row r="29" spans="2:9" ht="15" x14ac:dyDescent="0.2">
      <c r="B29" s="292" t="s">
        <v>306</v>
      </c>
      <c r="C29" s="1309">
        <v>2244</v>
      </c>
      <c r="D29" s="1309">
        <v>0</v>
      </c>
      <c r="E29" s="1309">
        <v>2244</v>
      </c>
      <c r="F29" s="388">
        <v>0</v>
      </c>
      <c r="G29" s="414">
        <f>+C29+D29-E29-F29</f>
        <v>0</v>
      </c>
      <c r="H29" s="90" t="s">
        <v>467</v>
      </c>
      <c r="I29" s="13"/>
    </row>
    <row r="30" spans="2:9" ht="15" x14ac:dyDescent="0.2">
      <c r="B30" s="292" t="s">
        <v>172</v>
      </c>
      <c r="C30" s="1309">
        <f>46000+558550+44530+72179</f>
        <v>721259</v>
      </c>
      <c r="D30" s="1309">
        <v>2687</v>
      </c>
      <c r="E30" s="1309">
        <f>90530+72179</f>
        <v>162709</v>
      </c>
      <c r="F30" s="388">
        <v>0</v>
      </c>
      <c r="G30" s="414">
        <f>+C30+D30-E30-F30</f>
        <v>561237</v>
      </c>
      <c r="H30" s="90" t="s">
        <v>191</v>
      </c>
      <c r="I30" s="359"/>
    </row>
    <row r="31" spans="2:9" ht="15" x14ac:dyDescent="0.2">
      <c r="B31" s="1252" t="s">
        <v>4100</v>
      </c>
      <c r="C31" s="1309">
        <v>53478</v>
      </c>
      <c r="D31" s="1309">
        <v>0</v>
      </c>
      <c r="E31" s="1309">
        <v>7132</v>
      </c>
      <c r="F31" s="388">
        <v>0</v>
      </c>
      <c r="G31" s="414">
        <f t="shared" si="0"/>
        <v>46346</v>
      </c>
      <c r="H31" s="90" t="s">
        <v>337</v>
      </c>
      <c r="I31" s="359">
        <v>46346</v>
      </c>
    </row>
    <row r="32" spans="2:9" ht="15" x14ac:dyDescent="0.2">
      <c r="B32" s="384" t="s">
        <v>780</v>
      </c>
      <c r="C32" s="1310">
        <f>17285+76023</f>
        <v>93308</v>
      </c>
      <c r="D32" s="1310"/>
      <c r="E32" s="1310"/>
      <c r="F32" s="388"/>
      <c r="G32" s="414">
        <f t="shared" si="0"/>
        <v>93308</v>
      </c>
      <c r="H32" s="90" t="s">
        <v>11</v>
      </c>
      <c r="I32" s="13"/>
    </row>
    <row r="33" spans="2:9" ht="15" x14ac:dyDescent="0.2">
      <c r="B33" s="384" t="s">
        <v>1044</v>
      </c>
      <c r="C33" s="1310">
        <v>0</v>
      </c>
      <c r="D33" s="1309">
        <f>4155128+4478</f>
        <v>4159606</v>
      </c>
      <c r="E33" s="1310">
        <v>0</v>
      </c>
      <c r="F33" s="388">
        <v>0</v>
      </c>
      <c r="G33" s="414">
        <f>+C33+D33-E33-F33</f>
        <v>4159606</v>
      </c>
      <c r="H33" s="90" t="s">
        <v>12</v>
      </c>
      <c r="I33" s="359">
        <v>4159606</v>
      </c>
    </row>
    <row r="34" spans="2:9" ht="15" x14ac:dyDescent="0.2">
      <c r="B34" s="292" t="s">
        <v>362</v>
      </c>
      <c r="C34" s="388">
        <v>0</v>
      </c>
      <c r="D34" s="388">
        <v>0</v>
      </c>
      <c r="E34" s="388">
        <v>0</v>
      </c>
      <c r="F34" s="388">
        <v>0</v>
      </c>
      <c r="G34" s="414">
        <f t="shared" si="0"/>
        <v>0</v>
      </c>
      <c r="H34" s="90"/>
      <c r="I34" s="13"/>
    </row>
    <row r="35" spans="2:9" x14ac:dyDescent="0.2">
      <c r="B35" s="294" t="s">
        <v>776</v>
      </c>
      <c r="C35" s="1154">
        <v>0</v>
      </c>
      <c r="D35" s="388">
        <v>0</v>
      </c>
      <c r="E35" s="388">
        <v>0</v>
      </c>
      <c r="F35" s="388">
        <v>0</v>
      </c>
      <c r="G35" s="414">
        <f t="shared" si="0"/>
        <v>0</v>
      </c>
      <c r="H35" s="293"/>
    </row>
    <row r="36" spans="2:9" x14ac:dyDescent="0.2">
      <c r="B36" s="292"/>
      <c r="C36" s="389"/>
      <c r="D36" s="389"/>
      <c r="E36" s="389"/>
      <c r="F36" s="389"/>
      <c r="G36" s="390"/>
    </row>
    <row r="37" spans="2:9" x14ac:dyDescent="0.2">
      <c r="B37" s="419" t="s">
        <v>905</v>
      </c>
      <c r="C37" s="391">
        <f>SUM(C23:C35)</f>
        <v>1202072</v>
      </c>
      <c r="D37" s="391">
        <f>SUM(D23:D35)</f>
        <v>6104809</v>
      </c>
      <c r="E37" s="391">
        <f>SUM(E23:E35)</f>
        <v>176563</v>
      </c>
      <c r="F37" s="391">
        <f>SUM(F23:F35)</f>
        <v>0</v>
      </c>
      <c r="G37" s="391">
        <f>SUM(G23:G35)</f>
        <v>7130318</v>
      </c>
    </row>
    <row r="38" spans="2:9" ht="7.5" customHeight="1" x14ac:dyDescent="0.2"/>
    <row r="39" spans="2:9" hidden="1" x14ac:dyDescent="0.2"/>
    <row r="40" spans="2:9" hidden="1" x14ac:dyDescent="0.2">
      <c r="B40" s="289"/>
      <c r="C40" s="295"/>
      <c r="D40" s="295"/>
      <c r="E40" s="295"/>
      <c r="F40" s="286"/>
      <c r="G40" s="295" t="s">
        <v>354</v>
      </c>
    </row>
    <row r="41" spans="2:9" hidden="1" x14ac:dyDescent="0.2">
      <c r="B41" s="290"/>
      <c r="C41" s="296" t="s">
        <v>355</v>
      </c>
      <c r="D41" s="296" t="s">
        <v>363</v>
      </c>
      <c r="E41" s="296" t="s">
        <v>363</v>
      </c>
      <c r="F41" s="57" t="s">
        <v>356</v>
      </c>
      <c r="G41" s="296" t="s">
        <v>357</v>
      </c>
    </row>
    <row r="42" spans="2:9" hidden="1" x14ac:dyDescent="0.2">
      <c r="B42" s="297" t="s">
        <v>364</v>
      </c>
      <c r="C42" s="298" t="s">
        <v>359</v>
      </c>
      <c r="D42" s="298" t="s">
        <v>365</v>
      </c>
      <c r="E42" s="298" t="s">
        <v>366</v>
      </c>
      <c r="F42" s="49" t="s">
        <v>360</v>
      </c>
      <c r="G42" s="298" t="s">
        <v>643</v>
      </c>
    </row>
    <row r="43" spans="2:9" hidden="1" x14ac:dyDescent="0.2">
      <c r="B43" s="299"/>
      <c r="C43" s="295"/>
      <c r="D43" s="295"/>
      <c r="E43" s="295"/>
      <c r="F43" s="286"/>
      <c r="G43" s="295"/>
    </row>
    <row r="44" spans="2:9" hidden="1" x14ac:dyDescent="0.2">
      <c r="B44" s="292" t="s">
        <v>367</v>
      </c>
      <c r="C44" s="300"/>
      <c r="D44" s="300"/>
      <c r="E44" s="300"/>
      <c r="F44" s="300"/>
      <c r="G44" s="300">
        <f t="shared" ref="G44:G49" si="1">+C44+D44-E44-F44</f>
        <v>0</v>
      </c>
    </row>
    <row r="45" spans="2:9" hidden="1" x14ac:dyDescent="0.2">
      <c r="B45" s="292" t="s">
        <v>368</v>
      </c>
      <c r="C45" s="301"/>
      <c r="D45" s="301"/>
      <c r="E45" s="301"/>
      <c r="F45" s="301"/>
      <c r="G45" s="300">
        <f t="shared" si="1"/>
        <v>0</v>
      </c>
    </row>
    <row r="46" spans="2:9" hidden="1" x14ac:dyDescent="0.2">
      <c r="B46" s="292" t="s">
        <v>23</v>
      </c>
      <c r="C46" s="301"/>
      <c r="D46" s="301"/>
      <c r="E46" s="301"/>
      <c r="F46" s="301"/>
      <c r="G46" s="300">
        <f t="shared" si="1"/>
        <v>0</v>
      </c>
    </row>
    <row r="47" spans="2:9" hidden="1" x14ac:dyDescent="0.2">
      <c r="B47" s="292" t="s">
        <v>369</v>
      </c>
      <c r="C47" s="301"/>
      <c r="D47" s="301"/>
      <c r="E47" s="301"/>
      <c r="F47" s="301"/>
      <c r="G47" s="300">
        <f t="shared" si="1"/>
        <v>0</v>
      </c>
    </row>
    <row r="48" spans="2:9" hidden="1" x14ac:dyDescent="0.2">
      <c r="B48" s="292" t="s">
        <v>370</v>
      </c>
      <c r="C48" s="301"/>
      <c r="D48" s="301"/>
      <c r="E48" s="301"/>
      <c r="F48" s="301"/>
      <c r="G48" s="300">
        <f t="shared" si="1"/>
        <v>0</v>
      </c>
    </row>
    <row r="49" spans="1:33" hidden="1" x14ac:dyDescent="0.2">
      <c r="B49" s="294" t="s">
        <v>707</v>
      </c>
      <c r="C49" s="8"/>
      <c r="D49" s="301"/>
      <c r="E49" s="301"/>
      <c r="F49" s="301"/>
      <c r="G49" s="300">
        <f t="shared" si="1"/>
        <v>0</v>
      </c>
    </row>
    <row r="50" spans="1:33" hidden="1" x14ac:dyDescent="0.2">
      <c r="B50" s="289"/>
      <c r="C50" s="289"/>
      <c r="D50" s="289"/>
      <c r="E50" s="289"/>
      <c r="F50" s="302"/>
      <c r="G50" s="289"/>
    </row>
    <row r="51" spans="1:33" hidden="1" x14ac:dyDescent="0.2">
      <c r="B51" s="300" t="s">
        <v>905</v>
      </c>
      <c r="C51" s="300">
        <f>SUM(C44:C49)</f>
        <v>0</v>
      </c>
      <c r="D51" s="300">
        <f>SUM(D44:D49)</f>
        <v>0</v>
      </c>
      <c r="E51" s="300">
        <f>SUM(E44:E49)</f>
        <v>0</v>
      </c>
      <c r="F51" s="300">
        <f>SUM(F44:F49)</f>
        <v>0</v>
      </c>
      <c r="G51" s="300">
        <f>SUM(G44:G49)</f>
        <v>0</v>
      </c>
    </row>
    <row r="52" spans="1:33" ht="15" x14ac:dyDescent="0.2">
      <c r="B52" s="386" t="s">
        <v>336</v>
      </c>
      <c r="C52" s="644" t="s">
        <v>1048</v>
      </c>
      <c r="D52" s="14"/>
      <c r="E52" s="14"/>
      <c r="F52" s="14"/>
      <c r="G52" s="14"/>
    </row>
    <row r="53" spans="1:33" ht="12.75" customHeight="1" x14ac:dyDescent="0.2">
      <c r="B53" s="386" t="s">
        <v>337</v>
      </c>
      <c r="C53" s="1253" t="s">
        <v>4097</v>
      </c>
      <c r="D53" s="14"/>
      <c r="E53" s="14"/>
      <c r="F53" s="14"/>
      <c r="G53" s="14"/>
      <c r="H53" s="34"/>
      <c r="I53" s="34"/>
      <c r="J53" s="34"/>
    </row>
    <row r="54" spans="1:33" ht="12.75" customHeight="1" x14ac:dyDescent="0.2">
      <c r="B54" s="386" t="s">
        <v>467</v>
      </c>
      <c r="C54" s="1570" t="s">
        <v>1049</v>
      </c>
      <c r="D54" s="1571"/>
      <c r="E54" s="1571"/>
      <c r="F54" s="1571"/>
      <c r="G54" s="98"/>
    </row>
    <row r="55" spans="1:33" ht="25.5" customHeight="1" x14ac:dyDescent="0.2">
      <c r="B55" s="643" t="s">
        <v>191</v>
      </c>
      <c r="C55" s="1579" t="s">
        <v>4101</v>
      </c>
      <c r="D55" s="1324"/>
      <c r="E55" s="1324"/>
      <c r="F55" s="1324"/>
      <c r="G55" s="1324"/>
      <c r="H55" s="1324"/>
    </row>
    <row r="56" spans="1:33" ht="12.75" customHeight="1" x14ac:dyDescent="0.2">
      <c r="B56" s="386" t="s">
        <v>11</v>
      </c>
      <c r="C56" s="1571" t="s">
        <v>67</v>
      </c>
      <c r="D56" s="1571"/>
      <c r="E56" s="1571"/>
      <c r="F56" s="1571"/>
      <c r="G56" s="1571"/>
      <c r="H56" s="1571"/>
      <c r="I56" s="1571"/>
      <c r="J56" s="14"/>
      <c r="K56" s="14"/>
      <c r="L56" s="14"/>
      <c r="M56" s="14"/>
      <c r="N56" s="14"/>
      <c r="O56" s="14"/>
      <c r="P56" s="14"/>
      <c r="Q56" s="14"/>
      <c r="R56" s="14"/>
      <c r="S56" s="14"/>
      <c r="T56" s="14"/>
      <c r="U56" s="14"/>
      <c r="V56" s="14"/>
      <c r="W56" s="14"/>
      <c r="X56" s="14"/>
      <c r="Y56" s="14"/>
      <c r="Z56" s="14"/>
      <c r="AA56" s="14"/>
      <c r="AB56" s="14"/>
      <c r="AC56" s="14"/>
      <c r="AD56" s="14"/>
      <c r="AE56" s="14"/>
      <c r="AF56" s="14"/>
      <c r="AG56" s="14"/>
    </row>
    <row r="57" spans="1:33" ht="15" x14ac:dyDescent="0.2">
      <c r="B57" s="386" t="s">
        <v>12</v>
      </c>
      <c r="C57" s="1570" t="s">
        <v>1047</v>
      </c>
      <c r="D57" s="1324"/>
      <c r="E57" s="1324"/>
      <c r="F57" s="1324"/>
      <c r="G57" s="1324"/>
    </row>
    <row r="58" spans="1:33" ht="27.75" customHeight="1" x14ac:dyDescent="0.2">
      <c r="B58" s="645" t="s">
        <v>513</v>
      </c>
      <c r="C58" s="1570" t="s">
        <v>1062</v>
      </c>
      <c r="D58" s="1324"/>
      <c r="E58" s="1324"/>
      <c r="F58" s="1324"/>
      <c r="G58" s="1324"/>
      <c r="H58" s="1324"/>
    </row>
    <row r="59" spans="1:33" ht="24.75" customHeight="1" x14ac:dyDescent="0.2">
      <c r="B59" s="646" t="s">
        <v>1050</v>
      </c>
      <c r="C59" s="1572" t="s">
        <v>1146</v>
      </c>
      <c r="D59" s="1573"/>
      <c r="E59" s="1573"/>
      <c r="F59" s="1573"/>
      <c r="G59" s="1573"/>
      <c r="H59" s="1573"/>
    </row>
    <row r="60" spans="1:33" ht="25.5" customHeight="1" x14ac:dyDescent="0.25">
      <c r="A60" s="4" t="s">
        <v>541</v>
      </c>
      <c r="B60" s="1566" t="s">
        <v>1059</v>
      </c>
      <c r="C60" s="1567"/>
      <c r="D60" s="1567"/>
      <c r="E60" s="1567"/>
      <c r="F60" s="1567"/>
      <c r="G60" s="1567"/>
      <c r="H60" s="1567"/>
      <c r="I60" s="1568"/>
      <c r="J60" s="303"/>
      <c r="K60" s="303"/>
      <c r="L60" s="303"/>
    </row>
    <row r="61" spans="1:33" ht="6.75" customHeight="1" x14ac:dyDescent="0.2">
      <c r="B61" s="1569"/>
      <c r="C61" s="1569"/>
      <c r="D61" s="1569"/>
      <c r="E61" s="1569"/>
      <c r="F61" s="1569"/>
      <c r="G61" s="1569"/>
      <c r="H61" s="1569"/>
      <c r="I61" s="1569"/>
      <c r="J61" s="303"/>
      <c r="K61" s="303"/>
      <c r="L61" s="303"/>
    </row>
    <row r="62" spans="1:33" x14ac:dyDescent="0.2">
      <c r="B62" s="325" t="s">
        <v>241</v>
      </c>
      <c r="C62" s="57"/>
      <c r="D62" s="57"/>
    </row>
    <row r="63" spans="1:33" x14ac:dyDescent="0.2">
      <c r="B63" s="302"/>
      <c r="C63" s="99" t="s">
        <v>631</v>
      </c>
      <c r="D63" s="46" t="s">
        <v>633</v>
      </c>
      <c r="E63" s="46" t="s">
        <v>634</v>
      </c>
    </row>
    <row r="64" spans="1:33" x14ac:dyDescent="0.2">
      <c r="B64" s="304" t="s">
        <v>630</v>
      </c>
      <c r="C64" s="320" t="s">
        <v>643</v>
      </c>
      <c r="D64" s="3" t="s">
        <v>821</v>
      </c>
      <c r="E64" s="3" t="s">
        <v>643</v>
      </c>
    </row>
    <row r="65" spans="2:9" x14ac:dyDescent="0.2">
      <c r="B65" s="326" t="s">
        <v>242</v>
      </c>
      <c r="C65" s="322">
        <f>'Conversion Worksheet'!BF43</f>
        <v>1831706</v>
      </c>
      <c r="D65" s="14"/>
    </row>
    <row r="66" spans="2:9" x14ac:dyDescent="0.2">
      <c r="B66" s="326" t="s">
        <v>243</v>
      </c>
      <c r="C66" s="321" t="str">
        <f>'Conversion Worksheet'!BF47</f>
        <v xml:space="preserve"> </v>
      </c>
      <c r="D66" s="14"/>
    </row>
    <row r="67" spans="2:9" x14ac:dyDescent="0.2">
      <c r="B67" s="326" t="s">
        <v>244</v>
      </c>
      <c r="C67" s="321">
        <f>'Conversion Worksheet'!BF48</f>
        <v>14605990</v>
      </c>
      <c r="D67" s="321">
        <f>'Conversion Worksheet'!BG51</f>
        <v>5081174</v>
      </c>
      <c r="E67" s="14"/>
    </row>
    <row r="68" spans="2:9" x14ac:dyDescent="0.2">
      <c r="B68" s="326" t="s">
        <v>245</v>
      </c>
      <c r="C68" s="321">
        <f>'Conversion Worksheet'!BF52</f>
        <v>1415948</v>
      </c>
      <c r="D68" s="321">
        <f>'Conversion Worksheet'!BG55</f>
        <v>525721</v>
      </c>
      <c r="E68" s="14"/>
    </row>
    <row r="69" spans="2:9" x14ac:dyDescent="0.2">
      <c r="B69" s="326" t="s">
        <v>246</v>
      </c>
      <c r="C69" s="321">
        <f>'Conversion Worksheet'!BF56</f>
        <v>2282567</v>
      </c>
      <c r="D69" s="321">
        <f>'Conversion Worksheet'!BG59</f>
        <v>1246433</v>
      </c>
      <c r="E69" s="14"/>
      <c r="F69" s="1577" t="s">
        <v>1145</v>
      </c>
      <c r="G69" s="1577"/>
      <c r="H69" s="1577"/>
      <c r="I69" s="1577"/>
    </row>
    <row r="70" spans="2:9" s="1273" customFormat="1" x14ac:dyDescent="0.2">
      <c r="B70" s="1297" t="s">
        <v>4182</v>
      </c>
      <c r="C70" s="321">
        <v>93279</v>
      </c>
      <c r="D70" s="321">
        <v>72777</v>
      </c>
      <c r="E70" s="14"/>
      <c r="F70" s="1577"/>
      <c r="G70" s="1577"/>
      <c r="H70" s="1577"/>
      <c r="I70" s="1577"/>
    </row>
    <row r="71" spans="2:9" x14ac:dyDescent="0.2">
      <c r="B71" s="326" t="s">
        <v>964</v>
      </c>
      <c r="C71" s="321">
        <f>'Conversion Worksheet'!BF62</f>
        <v>848170</v>
      </c>
      <c r="D71" s="321">
        <f>'Conversion Worksheet'!BG65</f>
        <v>521129</v>
      </c>
      <c r="E71" s="14"/>
      <c r="F71" s="1577"/>
      <c r="G71" s="1577"/>
      <c r="H71" s="1577"/>
      <c r="I71" s="1577"/>
    </row>
    <row r="72" spans="2:9" s="1273" customFormat="1" x14ac:dyDescent="0.2">
      <c r="B72" s="1297" t="s">
        <v>4183</v>
      </c>
      <c r="C72" s="321">
        <v>5000</v>
      </c>
      <c r="D72" s="321">
        <v>245</v>
      </c>
      <c r="E72" s="14"/>
      <c r="F72" s="1283"/>
      <c r="G72" s="1283"/>
      <c r="H72" s="1283"/>
      <c r="I72" s="1283"/>
    </row>
    <row r="73" spans="2:9" x14ac:dyDescent="0.2">
      <c r="B73" s="326" t="s">
        <v>965</v>
      </c>
      <c r="C73" s="321">
        <f>'Conversion Worksheet'!BF66</f>
        <v>1040672</v>
      </c>
      <c r="D73" s="321">
        <f>'Conversion Worksheet'!BG69</f>
        <v>338033</v>
      </c>
      <c r="E73" s="14"/>
    </row>
    <row r="74" spans="2:9" s="1273" customFormat="1" x14ac:dyDescent="0.2">
      <c r="B74" s="1297" t="s">
        <v>4180</v>
      </c>
      <c r="C74" s="321">
        <v>279755</v>
      </c>
      <c r="D74" s="321">
        <v>22999</v>
      </c>
      <c r="E74" s="14"/>
    </row>
    <row r="75" spans="2:9" s="1273" customFormat="1" x14ac:dyDescent="0.2">
      <c r="B75" s="1297" t="s">
        <v>4181</v>
      </c>
      <c r="C75" s="321">
        <v>72338</v>
      </c>
      <c r="D75" s="321">
        <v>21535</v>
      </c>
      <c r="E75" s="14"/>
    </row>
    <row r="76" spans="2:9" x14ac:dyDescent="0.2">
      <c r="B76" s="385" t="s">
        <v>966</v>
      </c>
      <c r="C76" s="321">
        <v>0</v>
      </c>
      <c r="D76" s="251">
        <v>0</v>
      </c>
      <c r="E76" s="14"/>
    </row>
    <row r="77" spans="2:9" x14ac:dyDescent="0.2">
      <c r="B77" s="385" t="s">
        <v>967</v>
      </c>
      <c r="C77" s="321" t="str">
        <f>'Conversion Worksheet'!BF74</f>
        <v xml:space="preserve"> </v>
      </c>
      <c r="D77" s="251">
        <f>'Conversion Worksheet'!BG77</f>
        <v>0</v>
      </c>
      <c r="E77" s="14"/>
    </row>
    <row r="78" spans="2:9" x14ac:dyDescent="0.2">
      <c r="B78" s="326" t="s">
        <v>968</v>
      </c>
      <c r="C78" s="323">
        <f>'Conversion Worksheet'!BF46</f>
        <v>440563</v>
      </c>
      <c r="D78" s="284"/>
      <c r="E78" s="14"/>
    </row>
    <row r="79" spans="2:9" ht="13.5" thickBot="1" x14ac:dyDescent="0.25">
      <c r="B79" s="327" t="s">
        <v>632</v>
      </c>
      <c r="C79" s="324">
        <f>SUM(C64:C78)</f>
        <v>22915988</v>
      </c>
      <c r="D79" s="324">
        <f>SUM(D67:D77)</f>
        <v>7830046</v>
      </c>
      <c r="E79" s="415">
        <f>C79-D79</f>
        <v>15085942</v>
      </c>
    </row>
    <row r="80" spans="2:9" ht="13.5" thickTop="1" x14ac:dyDescent="0.2">
      <c r="B80" s="14"/>
      <c r="C80" s="14"/>
      <c r="D80" s="14"/>
    </row>
    <row r="81" spans="2:8" x14ac:dyDescent="0.2">
      <c r="B81" s="304" t="s">
        <v>970</v>
      </c>
      <c r="D81" s="14"/>
    </row>
    <row r="82" spans="2:8" ht="25.5" x14ac:dyDescent="0.2">
      <c r="B82" s="326" t="s">
        <v>4195</v>
      </c>
      <c r="C82" s="400">
        <f>11290000+261536+50633+1200000</f>
        <v>12802169</v>
      </c>
      <c r="D82" s="14"/>
      <c r="F82">
        <v>12560874</v>
      </c>
      <c r="G82" s="400">
        <f>150000+600000+61500+52500+10025000+1050000+211089+410785</f>
        <v>12560874</v>
      </c>
    </row>
    <row r="83" spans="2:8" s="1298" customFormat="1" ht="27.6" customHeight="1" x14ac:dyDescent="0.2">
      <c r="B83" s="1301" t="s">
        <v>4196</v>
      </c>
      <c r="C83" s="400"/>
      <c r="D83" s="14"/>
      <c r="G83" s="400"/>
    </row>
    <row r="84" spans="2:8" ht="13.15" customHeight="1" x14ac:dyDescent="0.2">
      <c r="B84" s="326" t="s">
        <v>4197</v>
      </c>
      <c r="C84" s="418"/>
      <c r="D84" s="14"/>
    </row>
    <row r="85" spans="2:8" ht="25.5" x14ac:dyDescent="0.2">
      <c r="B85" s="398" t="s">
        <v>891</v>
      </c>
      <c r="C85" s="400">
        <f>2895000+1200000</f>
        <v>4095000</v>
      </c>
      <c r="D85" s="14"/>
    </row>
    <row r="86" spans="2:8" ht="24.75" customHeight="1" x14ac:dyDescent="0.2">
      <c r="B86" s="398" t="s">
        <v>892</v>
      </c>
      <c r="C86" s="400">
        <v>2250000</v>
      </c>
      <c r="D86" s="1578" t="s">
        <v>122</v>
      </c>
      <c r="E86" s="1578"/>
      <c r="F86" s="1578"/>
      <c r="H86" s="697"/>
    </row>
    <row r="87" spans="2:8" ht="25.5" x14ac:dyDescent="0.2">
      <c r="B87" s="398" t="s">
        <v>779</v>
      </c>
      <c r="C87" s="400">
        <v>2330000</v>
      </c>
      <c r="D87" s="318"/>
      <c r="H87" s="697"/>
    </row>
    <row r="88" spans="2:8" x14ac:dyDescent="0.2">
      <c r="B88" s="398" t="s">
        <v>4194</v>
      </c>
      <c r="C88" s="1153">
        <v>0</v>
      </c>
      <c r="H88" s="697"/>
    </row>
    <row r="89" spans="2:8" x14ac:dyDescent="0.2">
      <c r="B89" s="399"/>
      <c r="C89" s="338"/>
      <c r="H89" s="697"/>
    </row>
    <row r="90" spans="2:8" ht="13.5" thickBot="1" x14ac:dyDescent="0.25">
      <c r="B90" s="326" t="s">
        <v>972</v>
      </c>
      <c r="C90" s="47"/>
      <c r="D90" s="14"/>
      <c r="G90" s="107"/>
    </row>
    <row r="91" spans="2:8" ht="13.5" thickTop="1" x14ac:dyDescent="0.2">
      <c r="B91" s="326" t="s">
        <v>871</v>
      </c>
      <c r="C91" s="352">
        <v>0</v>
      </c>
      <c r="D91" s="14"/>
    </row>
    <row r="92" spans="2:8" x14ac:dyDescent="0.2">
      <c r="B92" s="304" t="s">
        <v>973</v>
      </c>
      <c r="C92" s="416">
        <f>+C82-C85-C86-C87-C88-C89+C91</f>
        <v>4127169</v>
      </c>
      <c r="D92" s="14"/>
    </row>
    <row r="93" spans="2:8" x14ac:dyDescent="0.2">
      <c r="B93" s="14"/>
      <c r="D93" s="14"/>
    </row>
    <row r="94" spans="2:8" ht="13.5" thickBot="1" x14ac:dyDescent="0.25">
      <c r="B94" s="392" t="s">
        <v>1061</v>
      </c>
      <c r="C94" s="329">
        <f>E79-C92</f>
        <v>10958773</v>
      </c>
      <c r="D94" s="6"/>
    </row>
    <row r="95" spans="2:8" ht="20.25" customHeight="1" thickTop="1" x14ac:dyDescent="0.2">
      <c r="B95" s="287"/>
      <c r="D95" s="14"/>
    </row>
    <row r="96" spans="2:8" hidden="1" x14ac:dyDescent="0.2">
      <c r="B96" s="287"/>
    </row>
    <row r="97" spans="2:7" hidden="1" x14ac:dyDescent="0.2">
      <c r="B97" s="305"/>
      <c r="C97" s="295"/>
      <c r="E97" s="295" t="s">
        <v>975</v>
      </c>
      <c r="F97" s="295" t="s">
        <v>976</v>
      </c>
      <c r="G97" s="288"/>
    </row>
    <row r="98" spans="2:7" hidden="1" x14ac:dyDescent="0.2">
      <c r="B98" s="290"/>
      <c r="C98" s="296" t="s">
        <v>977</v>
      </c>
      <c r="D98" s="295"/>
      <c r="E98" s="296" t="s">
        <v>978</v>
      </c>
      <c r="F98" s="296" t="s">
        <v>979</v>
      </c>
      <c r="G98" s="306"/>
    </row>
    <row r="99" spans="2:7" hidden="1" x14ac:dyDescent="0.2">
      <c r="B99" s="297" t="s">
        <v>364</v>
      </c>
      <c r="C99" s="298" t="s">
        <v>980</v>
      </c>
      <c r="D99" s="296" t="s">
        <v>23</v>
      </c>
      <c r="E99" s="298" t="s">
        <v>982</v>
      </c>
      <c r="F99" s="298" t="s">
        <v>983</v>
      </c>
      <c r="G99" s="307" t="s">
        <v>905</v>
      </c>
    </row>
    <row r="100" spans="2:7" hidden="1" x14ac:dyDescent="0.2">
      <c r="B100" s="289"/>
      <c r="C100" s="289"/>
      <c r="D100" s="298" t="s">
        <v>981</v>
      </c>
      <c r="E100" s="289"/>
      <c r="F100" s="289"/>
      <c r="G100" s="289"/>
    </row>
    <row r="101" spans="2:7" hidden="1" x14ac:dyDescent="0.2">
      <c r="B101" s="308" t="s">
        <v>984</v>
      </c>
      <c r="C101" s="290"/>
      <c r="D101" s="289"/>
      <c r="E101" s="290"/>
      <c r="F101" s="290"/>
      <c r="G101" s="290">
        <f>+C101+D102+E101+F101</f>
        <v>0</v>
      </c>
    </row>
    <row r="102" spans="2:7" hidden="1" x14ac:dyDescent="0.2">
      <c r="B102" s="290" t="s">
        <v>827</v>
      </c>
      <c r="C102" s="290"/>
      <c r="D102" s="290"/>
      <c r="E102" s="290"/>
      <c r="F102" s="290"/>
      <c r="G102" s="290">
        <f>+C102+D103+E102+F102</f>
        <v>0</v>
      </c>
    </row>
    <row r="103" spans="2:7" hidden="1" x14ac:dyDescent="0.2">
      <c r="B103" s="290" t="s">
        <v>985</v>
      </c>
      <c r="C103" s="290"/>
      <c r="D103" s="290"/>
      <c r="E103" s="290"/>
      <c r="F103" s="290"/>
      <c r="G103" s="290"/>
    </row>
    <row r="104" spans="2:7" hidden="1" x14ac:dyDescent="0.2">
      <c r="B104" s="290" t="s">
        <v>986</v>
      </c>
      <c r="C104" s="300"/>
      <c r="D104" s="290"/>
      <c r="E104" s="300"/>
      <c r="F104" s="300"/>
      <c r="G104" s="300">
        <f>+C104+D105+E104+F104</f>
        <v>0</v>
      </c>
    </row>
    <row r="105" spans="2:7" hidden="1" x14ac:dyDescent="0.2">
      <c r="B105" s="309" t="s">
        <v>969</v>
      </c>
      <c r="C105" s="290">
        <f>+C101+C102-C104</f>
        <v>0</v>
      </c>
      <c r="D105" s="300"/>
      <c r="E105" s="290">
        <f>+E101+E102-E104</f>
        <v>0</v>
      </c>
      <c r="F105" s="290">
        <f>+F101+F102-F104</f>
        <v>0</v>
      </c>
      <c r="G105" s="290">
        <f>+G101+G102-G104</f>
        <v>0</v>
      </c>
    </row>
    <row r="106" spans="2:7" hidden="1" x14ac:dyDescent="0.2">
      <c r="B106" s="308" t="s">
        <v>987</v>
      </c>
      <c r="C106" s="290"/>
      <c r="D106" s="290">
        <f>+D102+D103-D105</f>
        <v>0</v>
      </c>
      <c r="E106" s="290"/>
      <c r="F106" s="290"/>
      <c r="G106" s="290"/>
    </row>
    <row r="107" spans="2:7" hidden="1" x14ac:dyDescent="0.2">
      <c r="B107" s="308" t="s">
        <v>971</v>
      </c>
      <c r="C107" s="290"/>
      <c r="D107" s="290"/>
      <c r="E107" s="290"/>
      <c r="F107" s="290"/>
      <c r="G107" s="290">
        <f>+C107+D108+E107+F107</f>
        <v>0</v>
      </c>
    </row>
    <row r="108" spans="2:7" hidden="1" x14ac:dyDescent="0.2">
      <c r="B108" s="310" t="s">
        <v>635</v>
      </c>
      <c r="C108" s="290"/>
      <c r="D108" s="290"/>
      <c r="E108" s="290"/>
      <c r="F108" s="290"/>
      <c r="G108" s="290">
        <f>+C108+D109+E108+F108</f>
        <v>0</v>
      </c>
    </row>
    <row r="109" spans="2:7" hidden="1" x14ac:dyDescent="0.2">
      <c r="B109" s="308" t="s">
        <v>972</v>
      </c>
      <c r="C109" s="290"/>
      <c r="D109" s="290"/>
      <c r="E109" s="290"/>
      <c r="F109" s="290"/>
      <c r="G109" s="290"/>
    </row>
    <row r="110" spans="2:7" hidden="1" x14ac:dyDescent="0.2">
      <c r="B110" s="308" t="s">
        <v>636</v>
      </c>
      <c r="C110" s="290"/>
      <c r="D110" s="290"/>
      <c r="E110" s="290"/>
      <c r="F110" s="290"/>
      <c r="G110" s="290">
        <f>+C110+D111+E110+F110</f>
        <v>0</v>
      </c>
    </row>
    <row r="111" spans="2:7" hidden="1" x14ac:dyDescent="0.2">
      <c r="B111" s="311" t="s">
        <v>988</v>
      </c>
      <c r="C111" s="300"/>
      <c r="D111" s="290"/>
      <c r="E111" s="300"/>
      <c r="F111" s="300"/>
      <c r="G111" s="300">
        <f>+C111+D112+E111+F111</f>
        <v>0</v>
      </c>
    </row>
    <row r="112" spans="2:7" hidden="1" x14ac:dyDescent="0.2">
      <c r="B112" s="319" t="s">
        <v>974</v>
      </c>
      <c r="C112" s="289">
        <f>+C105-C107-C108+C110+C111</f>
        <v>0</v>
      </c>
      <c r="D112" s="300"/>
      <c r="E112" s="289">
        <f>+E105-E107-E108+E110+E111</f>
        <v>0</v>
      </c>
      <c r="F112" s="289">
        <f>+F105-F107-F108+F110+F111</f>
        <v>0</v>
      </c>
      <c r="G112" s="290">
        <f>+G105-G107-G108+G110+G111</f>
        <v>0</v>
      </c>
    </row>
    <row r="113" spans="1:12" ht="25.5" customHeight="1" x14ac:dyDescent="0.25">
      <c r="A113" s="4" t="s">
        <v>804</v>
      </c>
      <c r="B113" s="1574" t="s">
        <v>1064</v>
      </c>
      <c r="C113" s="1575"/>
      <c r="D113" s="1575"/>
      <c r="E113" s="1575"/>
      <c r="F113" s="1575"/>
      <c r="G113" s="1575"/>
      <c r="H113" s="1575"/>
      <c r="I113" s="1576"/>
      <c r="J113" s="303"/>
      <c r="K113" s="303"/>
      <c r="L113" s="303"/>
    </row>
    <row r="115" spans="1:12" ht="20.100000000000001" customHeight="1" x14ac:dyDescent="0.2">
      <c r="B115" s="34" t="s">
        <v>1065</v>
      </c>
      <c r="C115" s="312">
        <f>('Conversion Worksheet'!BG183)+('Conversion Worksheet'!BG193-'Conversion Worksheet'!BF193)</f>
        <v>19758172</v>
      </c>
      <c r="D115" s="318" t="s">
        <v>553</v>
      </c>
      <c r="E115" s="34"/>
      <c r="F115" s="34"/>
    </row>
    <row r="116" spans="1:12" ht="20.100000000000001" customHeight="1" x14ac:dyDescent="0.2">
      <c r="B116" s="34" t="s">
        <v>1066</v>
      </c>
      <c r="C116" s="312">
        <f>G37</f>
        <v>7130318</v>
      </c>
      <c r="D116" s="318" t="s">
        <v>551</v>
      </c>
      <c r="E116" s="34"/>
      <c r="F116" s="34"/>
    </row>
    <row r="117" spans="1:12" ht="20.100000000000001" customHeight="1" x14ac:dyDescent="0.2">
      <c r="B117" s="34" t="s">
        <v>1060</v>
      </c>
      <c r="C117" s="313">
        <f>+C94</f>
        <v>10958773</v>
      </c>
      <c r="D117" s="318" t="s">
        <v>552</v>
      </c>
      <c r="E117" s="34"/>
      <c r="F117" s="34"/>
    </row>
    <row r="118" spans="1:12" ht="20.100000000000001" customHeight="1" thickBot="1" x14ac:dyDescent="0.25">
      <c r="B118" s="648" t="s">
        <v>1138</v>
      </c>
      <c r="C118" s="417">
        <f>+C115-C116-C117</f>
        <v>1669081</v>
      </c>
      <c r="D118" s="34"/>
      <c r="E118" s="34"/>
      <c r="F118" s="34"/>
    </row>
    <row r="119" spans="1:12" ht="13.5" thickTop="1" x14ac:dyDescent="0.2">
      <c r="D119" s="34"/>
    </row>
  </sheetData>
  <customSheetViews>
    <customSheetView guid="{C1197650-3ED8-49E4-8E4C-0D1D4B503FC0}" hiddenRows="1" topLeftCell="B64">
      <selection activeCell="I53" sqref="I53"/>
      <pageMargins left="0.43" right="0.45" top="0.68" bottom="0.67" header="0.5" footer="0.5"/>
      <printOptions horizontalCentered="1"/>
      <pageSetup scale="54" orientation="portrait" r:id="rId1"/>
      <headerFooter alignWithMargins="0">
        <oddHeader xml:space="preserve">&amp;R&amp;8M - Supporting Schedule
</oddHeader>
        <oddFooter>&amp;L&amp;8&amp;D - County model&amp;R&amp;P</oddFooter>
      </headerFooter>
    </customSheetView>
    <customSheetView guid="{D2B860EA-92EC-4999-9A59-C624E1F8C7FB}" hiddenRows="1" topLeftCell="B64">
      <selection activeCell="I53" sqref="I53"/>
      <pageMargins left="0.43" right="0.45" top="0.68" bottom="0.67" header="0.5" footer="0.5"/>
      <printOptions horizontalCentered="1"/>
      <pageSetup scale="54" orientation="portrait" r:id="rId2"/>
      <headerFooter alignWithMargins="0">
        <oddHeader xml:space="preserve">&amp;R&amp;8M - Supporting Schedule
</oddHeader>
        <oddFooter>&amp;L&amp;8&amp;D - County model&amp;R&amp;P</oddFooter>
      </headerFooter>
    </customSheetView>
  </customSheetViews>
  <mergeCells count="15">
    <mergeCell ref="B113:I113"/>
    <mergeCell ref="B3:I3"/>
    <mergeCell ref="B5:I5"/>
    <mergeCell ref="F69:I71"/>
    <mergeCell ref="D86:F86"/>
    <mergeCell ref="C55:H55"/>
    <mergeCell ref="A1:I1"/>
    <mergeCell ref="B60:I60"/>
    <mergeCell ref="B61:I61"/>
    <mergeCell ref="B7:I7"/>
    <mergeCell ref="C54:F54"/>
    <mergeCell ref="C57:G57"/>
    <mergeCell ref="C59:H59"/>
    <mergeCell ref="C58:H58"/>
    <mergeCell ref="C56:I56"/>
  </mergeCells>
  <phoneticPr fontId="0" type="noConversion"/>
  <printOptions horizontalCentered="1"/>
  <pageMargins left="0.43" right="0.45" top="0.68" bottom="0.67" header="0.5" footer="0.5"/>
  <pageSetup scale="54" orientation="portrait" r:id="rId3"/>
  <headerFooter alignWithMargins="0">
    <oddHeader xml:space="preserve">&amp;R&amp;8M - Supporting Schedule
</oddHeader>
    <oddFooter>&amp;L&amp;8&amp;D - County model&amp;R&amp;P</oddFooter>
  </headerFooter>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V159"/>
  <sheetViews>
    <sheetView topLeftCell="B1" zoomScale="80" zoomScaleNormal="80" workbookViewId="0">
      <selection activeCell="B1" sqref="B1"/>
    </sheetView>
  </sheetViews>
  <sheetFormatPr defaultColWidth="9.140625" defaultRowHeight="12.75" x14ac:dyDescent="0.2"/>
  <cols>
    <col min="1" max="1" width="11.85546875" style="746" customWidth="1"/>
    <col min="2" max="2" width="55.5703125" style="746" bestFit="1" customWidth="1"/>
    <col min="3" max="3" width="26.85546875" style="746" customWidth="1"/>
    <col min="4" max="4" width="21.42578125" style="746" customWidth="1"/>
    <col min="5" max="5" width="18.28515625" style="746" customWidth="1"/>
    <col min="6" max="6" width="25.42578125" style="746" customWidth="1"/>
    <col min="7" max="7" width="18.28515625" style="746" customWidth="1"/>
    <col min="8" max="8" width="20" style="746" customWidth="1"/>
    <col min="9" max="9" width="32.85546875" style="746" customWidth="1"/>
    <col min="10" max="10" width="19.42578125" style="746" customWidth="1"/>
    <col min="11" max="11" width="23" style="746" customWidth="1"/>
    <col min="12" max="12" width="18.28515625" style="746" customWidth="1"/>
    <col min="13" max="13" width="20" style="746" customWidth="1"/>
    <col min="14" max="14" width="16.28515625" style="746" customWidth="1"/>
    <col min="15" max="15" width="19.42578125" style="746" customWidth="1"/>
    <col min="16" max="16" width="28.140625" style="746" customWidth="1"/>
    <col min="17" max="17" width="13.85546875" style="746" customWidth="1"/>
    <col min="18" max="18" width="22.42578125" style="746" customWidth="1"/>
    <col min="19" max="19" width="5.7109375" style="746" customWidth="1"/>
    <col min="20" max="20" width="13.5703125" style="746" customWidth="1"/>
    <col min="21" max="21" width="26.85546875" style="746" customWidth="1"/>
    <col min="22" max="22" width="16.7109375" style="746" customWidth="1"/>
    <col min="23" max="16384" width="9.140625" style="746"/>
  </cols>
  <sheetData>
    <row r="2" spans="1:4" ht="38.25" customHeight="1" x14ac:dyDescent="0.25">
      <c r="A2" s="1566" t="s">
        <v>2029</v>
      </c>
      <c r="B2" s="1567"/>
      <c r="C2" s="1568"/>
    </row>
    <row r="5" spans="1:4" ht="61.15" customHeight="1" x14ac:dyDescent="0.2">
      <c r="A5" s="1580" t="s">
        <v>4188</v>
      </c>
      <c r="B5" s="1580"/>
      <c r="C5" s="1580"/>
    </row>
    <row r="11" spans="1:4" ht="15" x14ac:dyDescent="0.2">
      <c r="A11" s="677" t="s">
        <v>540</v>
      </c>
      <c r="B11" s="678" t="s">
        <v>3549</v>
      </c>
      <c r="C11" s="678"/>
      <c r="D11" s="679"/>
    </row>
    <row r="13" spans="1:4" x14ac:dyDescent="0.2">
      <c r="B13" s="224" t="s">
        <v>2030</v>
      </c>
      <c r="C13" s="752" t="s">
        <v>2623</v>
      </c>
    </row>
    <row r="14" spans="1:4" x14ac:dyDescent="0.2">
      <c r="C14" s="340"/>
    </row>
    <row r="15" spans="1:4" x14ac:dyDescent="0.2">
      <c r="B15" s="746" t="s">
        <v>2088</v>
      </c>
      <c r="C15" s="787" t="s">
        <v>2089</v>
      </c>
    </row>
    <row r="16" spans="1:4" x14ac:dyDescent="0.2">
      <c r="C16" s="340"/>
    </row>
    <row r="17" spans="1:22" ht="46.5" customHeight="1" x14ac:dyDescent="0.2">
      <c r="B17" s="757" t="s">
        <v>4094</v>
      </c>
      <c r="C17" s="788">
        <v>1001000</v>
      </c>
    </row>
    <row r="18" spans="1:22" x14ac:dyDescent="0.2">
      <c r="C18" s="340" t="s">
        <v>3968</v>
      </c>
    </row>
    <row r="21" spans="1:22" hidden="1" x14ac:dyDescent="0.2">
      <c r="C21" s="746">
        <v>3</v>
      </c>
      <c r="D21" s="746">
        <v>4</v>
      </c>
      <c r="F21" s="746">
        <v>5</v>
      </c>
      <c r="G21" s="746">
        <v>6</v>
      </c>
      <c r="H21" s="746">
        <v>7</v>
      </c>
      <c r="I21" s="746">
        <v>8</v>
      </c>
      <c r="J21" s="746">
        <v>9</v>
      </c>
      <c r="K21" s="746">
        <v>10</v>
      </c>
      <c r="L21" s="746">
        <v>11</v>
      </c>
      <c r="M21" s="746">
        <v>12</v>
      </c>
      <c r="N21" s="746">
        <v>13</v>
      </c>
      <c r="O21" s="746">
        <v>14</v>
      </c>
      <c r="P21" s="746">
        <v>15</v>
      </c>
      <c r="Q21" s="746">
        <v>16</v>
      </c>
      <c r="R21" s="746">
        <v>17</v>
      </c>
      <c r="S21" s="746">
        <v>18</v>
      </c>
      <c r="T21" s="746">
        <v>19</v>
      </c>
      <c r="U21" s="746">
        <v>20</v>
      </c>
      <c r="V21" s="746">
        <v>21</v>
      </c>
    </row>
    <row r="22" spans="1:22" ht="15" x14ac:dyDescent="0.25">
      <c r="F22" s="60"/>
      <c r="G22" s="60"/>
      <c r="J22" s="675" t="s">
        <v>1147</v>
      </c>
      <c r="K22" s="675"/>
      <c r="L22" s="675"/>
      <c r="M22" s="675"/>
      <c r="O22" s="675" t="s">
        <v>1148</v>
      </c>
      <c r="P22" s="675"/>
      <c r="Q22" s="675"/>
      <c r="R22" s="675"/>
      <c r="T22" s="675" t="s">
        <v>1149</v>
      </c>
      <c r="U22" s="675"/>
      <c r="V22" s="675"/>
    </row>
    <row r="23" spans="1:22" s="1182" customFormat="1" ht="105" x14ac:dyDescent="0.25">
      <c r="A23" s="676" t="s">
        <v>1150</v>
      </c>
      <c r="B23" s="676" t="s">
        <v>1151</v>
      </c>
      <c r="C23" s="676" t="s">
        <v>2090</v>
      </c>
      <c r="D23" s="676" t="s">
        <v>2091</v>
      </c>
      <c r="E23" s="676" t="s">
        <v>2092</v>
      </c>
      <c r="F23" s="676" t="s">
        <v>2093</v>
      </c>
      <c r="G23" s="676" t="s">
        <v>2094</v>
      </c>
      <c r="H23" s="676" t="s">
        <v>2095</v>
      </c>
      <c r="I23" s="676"/>
      <c r="J23" s="676" t="s">
        <v>1153</v>
      </c>
      <c r="K23" s="676" t="s">
        <v>1154</v>
      </c>
      <c r="L23" s="676" t="s">
        <v>1155</v>
      </c>
      <c r="M23" s="676" t="s">
        <v>1156</v>
      </c>
      <c r="N23" s="676"/>
      <c r="O23" s="676" t="s">
        <v>1153</v>
      </c>
      <c r="P23" s="676" t="s">
        <v>1154</v>
      </c>
      <c r="Q23" s="676" t="s">
        <v>1155</v>
      </c>
      <c r="R23" s="676" t="s">
        <v>1156</v>
      </c>
      <c r="S23" s="676"/>
      <c r="T23" s="676" t="s">
        <v>1157</v>
      </c>
      <c r="U23" s="676" t="s">
        <v>1158</v>
      </c>
      <c r="V23" s="676" t="s">
        <v>2096</v>
      </c>
    </row>
    <row r="24" spans="1:22" s="1182" customFormat="1" ht="15" x14ac:dyDescent="0.25">
      <c r="A24" s="676"/>
      <c r="B24" s="676"/>
      <c r="C24" s="676"/>
      <c r="D24" s="676"/>
      <c r="E24" s="676"/>
      <c r="F24" s="676"/>
      <c r="G24" s="676"/>
      <c r="H24" s="676"/>
      <c r="I24" s="676"/>
      <c r="J24" s="676"/>
      <c r="K24" s="676"/>
      <c r="L24" s="676"/>
      <c r="M24" s="676"/>
      <c r="N24" s="676"/>
      <c r="O24" s="676"/>
      <c r="P24" s="676"/>
      <c r="Q24" s="676"/>
      <c r="R24" s="676"/>
      <c r="S24" s="676"/>
      <c r="T24" s="676"/>
      <c r="U24" s="676"/>
      <c r="V24" s="676"/>
    </row>
    <row r="25" spans="1:22" s="1182" customFormat="1" ht="30" x14ac:dyDescent="0.25">
      <c r="A25" s="676" t="s">
        <v>2097</v>
      </c>
      <c r="B25" s="1184" t="s">
        <v>4092</v>
      </c>
      <c r="C25" s="676"/>
      <c r="D25" s="676"/>
      <c r="E25" s="676"/>
      <c r="F25" s="676"/>
      <c r="G25" s="676"/>
      <c r="H25" s="676"/>
      <c r="I25" s="676"/>
      <c r="J25" s="676"/>
      <c r="K25" s="676"/>
      <c r="L25" s="676"/>
      <c r="M25" s="676"/>
      <c r="N25" s="676"/>
      <c r="O25" s="676"/>
      <c r="P25" s="676"/>
      <c r="Q25" s="676"/>
      <c r="R25" s="676"/>
      <c r="S25" s="676"/>
      <c r="T25" s="676"/>
      <c r="U25" s="676"/>
      <c r="V25" s="676"/>
    </row>
    <row r="26" spans="1:22" s="1182" customFormat="1" x14ac:dyDescent="0.2">
      <c r="A26" s="699" t="str">
        <f>VLOOKUP(C13,'[8]N.1b LGERS 2018 PY'!$B$911:$C$1813,2,FALSE)</f>
        <v>9xxxy</v>
      </c>
      <c r="B26" s="1182" t="str">
        <f>C13</f>
        <v>Carolina County</v>
      </c>
      <c r="C26" s="758">
        <f>VLOOKUP($A$26,'[9]2019 LGERS summary'!A:U,3,FALSE)</f>
        <v>2.6327999999999998E-3</v>
      </c>
      <c r="D26" s="758">
        <f>VLOOKUP($A$26,'[9]N.1b LGERS 2018 PY'!$A:$W,'[9]N.1 GASB 68 LGERS'!C21,FALSE)</f>
        <v>2.6581E-3</v>
      </c>
      <c r="E26" s="758">
        <f>C26-D26</f>
        <v>-2.5299999999999998E-5</v>
      </c>
      <c r="F26" s="36">
        <f>VLOOKUP($A$26,'[9]LGERS Contributions FY 2018'!$A:$W,'[9]N.1 GASB 68 LGERS'!C21,FALSE)</f>
        <v>1197982</v>
      </c>
      <c r="G26" s="36">
        <f>VLOOKUP($A$26,'[9]N.1b LGERS 2018 PY'!$A:$W,'[9]N.1 GASB 68 LGERS'!H21,FALSE)</f>
        <v>4060841</v>
      </c>
      <c r="H26" s="36">
        <f>VLOOKUP($A$26,'[9]2019 LGERS summary'!$A:$W,'[9]N.1 GASB 68 LGERS'!F21,FALSE)</f>
        <v>6245902</v>
      </c>
      <c r="I26" s="36"/>
      <c r="J26" s="36">
        <f>VLOOKUP($A$26,'[9]2019 LGERS summary'!$A:$W,'[9]N.1 GASB 68 LGERS'!H21,FALSE)</f>
        <v>963594</v>
      </c>
      <c r="K26" s="36">
        <f>VLOOKUP($A$26,'[9]2019 LGERS summary'!$A:$W,'[9]N.1 GASB 68 LGERS'!I21,FALSE)</f>
        <v>857376</v>
      </c>
      <c r="L26" s="36">
        <f>VLOOKUP($A$26,'[9]2019 LGERS summary'!$A:$W,'[9]N.1 GASB 68 LGERS'!J21,FALSE)</f>
        <v>1657421</v>
      </c>
      <c r="M26" s="36">
        <f>VLOOKUP($A$26,'[9]2019 LGERS summary'!$A:$W,'[9]N.1 GASB 68 LGERS'!K21,FALSE)</f>
        <v>84751</v>
      </c>
      <c r="N26" s="36"/>
      <c r="O26" s="36">
        <f>VLOOKUP($A$26,'[9]2019 LGERS summary'!$A:$W,'[9]N.1 GASB 68 LGERS'!N21,FALSE)</f>
        <v>32333</v>
      </c>
      <c r="P26" s="684">
        <f>VLOOKUP($A$26,'[9]N.1b LGERS 2018 PY'!$A:$W,'[9]N.1 GASB 68 LGERS'!P21,FALSE)</f>
        <v>0</v>
      </c>
      <c r="Q26" s="36">
        <f>VLOOKUP($A$26,'[9]N.1b LGERS 2018 PY'!$A:$W,'[9]N.1 GASB 68 LGERS'!Q21,FALSE)</f>
        <v>0</v>
      </c>
      <c r="R26" s="36">
        <f>VLOOKUP($A$26,'[9]2019 LGERS summary'!$A:$W,'[9]N.1 GASB 68 LGERS'!P21,FALSE)</f>
        <v>109908</v>
      </c>
      <c r="S26" s="36"/>
      <c r="T26" s="36">
        <f>VLOOKUP($A$26,'[9]2019 LGERS summary'!$A:$W,'[9]N.1 GASB 68 LGERS'!S21,FALSE)</f>
        <v>1734944</v>
      </c>
      <c r="U26" s="36">
        <f>VLOOKUP($A$26,'[9]2019 LGERS summary'!$A:$W,'[9]N.1 GASB 68 LGERS'!T21,FALSE)</f>
        <v>11083</v>
      </c>
      <c r="V26" s="36">
        <f>VLOOKUP($A$26,'[9]2019 LGERS summary'!$A:$W,'[9]N.1 GASB 68 LGERS'!U21,FALSE)</f>
        <v>1746027</v>
      </c>
    </row>
    <row r="27" spans="1:22" s="1182" customFormat="1" ht="15" x14ac:dyDescent="0.25">
      <c r="A27" s="676"/>
      <c r="B27" s="676"/>
      <c r="C27" s="676"/>
      <c r="D27" s="676"/>
      <c r="E27" s="676"/>
      <c r="F27" s="676"/>
      <c r="G27" s="676"/>
      <c r="H27" s="676"/>
      <c r="I27" s="676"/>
      <c r="J27" s="676"/>
      <c r="K27" s="676"/>
      <c r="L27" s="676"/>
      <c r="M27" s="676"/>
      <c r="N27" s="676"/>
      <c r="O27" s="676"/>
      <c r="P27" s="1011"/>
      <c r="Q27" s="676"/>
      <c r="R27" s="676"/>
      <c r="S27" s="676"/>
      <c r="T27" s="676"/>
      <c r="U27" s="676"/>
      <c r="V27" s="676"/>
    </row>
    <row r="28" spans="1:22" s="1182" customFormat="1" x14ac:dyDescent="0.2">
      <c r="A28" s="1183" t="str">
        <f>VLOOKUP(C15,'[9]N.1b LGERS 2018 PY'!B911:C1811,2,FALSE)</f>
        <v>N/A</v>
      </c>
      <c r="B28" s="759" t="str">
        <f>C15</f>
        <v>No additional agency chosen</v>
      </c>
      <c r="C28" s="758">
        <f>VLOOKUP($A$28,'[9]N.1b LGERS 2018 PY'!$A:$W,'[9]N.1 GASB 68 LGERS'!C21,FALSE)</f>
        <v>0</v>
      </c>
      <c r="D28" s="758">
        <f>VLOOKUP($A$28,'[9]N.1b LGERS 2018 PY'!$A:$W,'[9]N.1 GASB 68 LGERS'!D21,FALSE)</f>
        <v>0</v>
      </c>
      <c r="E28" s="758">
        <f>C28-D28</f>
        <v>0</v>
      </c>
      <c r="F28" s="36">
        <f>VLOOKUP($A$28,'[9]N.1b LGERS 2018 PY'!$A:$W,'[9]N.1 GASB 68 LGERS'!F21,FALSE)</f>
        <v>0</v>
      </c>
      <c r="G28" s="36">
        <f>VLOOKUP($A$28,'[9]N.1b LGERS 2018 PY'!$A:$W,'[9]N.1 GASB 68 LGERS'!G21,FALSE)</f>
        <v>0</v>
      </c>
      <c r="H28" s="36">
        <f>VLOOKUP($A$28,'[9]N.1b LGERS 2018 PY'!$A:$W,'[9]N.1 GASB 68 LGERS'!H21,FALSE)</f>
        <v>0</v>
      </c>
      <c r="I28" s="36"/>
      <c r="J28" s="36">
        <f>VLOOKUP($A$28,'[9]N.1b LGERS 2018 PY'!$A:$W,'[9]N.1 GASB 68 LGERS'!J21,FALSE)</f>
        <v>0</v>
      </c>
      <c r="K28" s="36">
        <f>VLOOKUP($A$28,'[9]N.1b LGERS 2018 PY'!$A:$W,'[9]N.1 GASB 68 LGERS'!K21,FALSE)</f>
        <v>0</v>
      </c>
      <c r="L28" s="36">
        <f>VLOOKUP($A$28,'[9]N.1b LGERS 2018 PY'!$A:$W,'[9]N.1 GASB 68 LGERS'!L21,FALSE)</f>
        <v>0</v>
      </c>
      <c r="M28" s="36">
        <f>VLOOKUP($A$28,'[9]N.1b LGERS 2018 PY'!$A:$W,'[9]N.1 GASB 68 LGERS'!M21,FALSE)</f>
        <v>0</v>
      </c>
      <c r="N28" s="36"/>
      <c r="O28" s="36">
        <f>VLOOKUP($A$28,'[9]N.1b LGERS 2018 PY'!$A:$W,'[9]N.1 GASB 68 LGERS'!O21,FALSE)</f>
        <v>0</v>
      </c>
      <c r="P28" s="684">
        <f>VLOOKUP($A$28,'[9]N.1b LGERS 2018 PY'!$A:$W,'[9]N.1 GASB 68 LGERS'!P21,FALSE)</f>
        <v>0</v>
      </c>
      <c r="Q28" s="36">
        <f>VLOOKUP($A$28,'[9]N.1b LGERS 2018 PY'!$A:$W,'[9]N.1 GASB 68 LGERS'!Q21,FALSE)</f>
        <v>0</v>
      </c>
      <c r="R28" s="36">
        <f>VLOOKUP($A$28,'[9]N.1b LGERS 2018 PY'!$A:$W,'[9]N.1 GASB 68 LGERS'!R21,FALSE)</f>
        <v>0</v>
      </c>
      <c r="S28" s="36"/>
      <c r="T28" s="36">
        <f>VLOOKUP($A$28,'[9]N.1b LGERS 2018 PY'!$A:$W,'[9]N.1 GASB 68 LGERS'!T21,FALSE)</f>
        <v>0</v>
      </c>
      <c r="U28" s="36">
        <f>VLOOKUP($A$28,'[9]N.1b LGERS 2018 PY'!$A:$W,'[9]N.1 GASB 68 LGERS'!U21,FALSE)</f>
        <v>0</v>
      </c>
      <c r="V28" s="36">
        <f>VLOOKUP($A$28,'[9]N.1b LGERS 2018 PY'!$A:$W,'[9]N.1 GASB 68 LGERS'!V21,FALSE)</f>
        <v>0</v>
      </c>
    </row>
    <row r="29" spans="1:22" s="1182" customFormat="1" ht="15" x14ac:dyDescent="0.25">
      <c r="A29" s="676"/>
      <c r="B29" s="676"/>
      <c r="C29" s="676"/>
      <c r="D29" s="676"/>
      <c r="E29" s="676"/>
      <c r="F29" s="676"/>
      <c r="G29" s="676"/>
      <c r="H29" s="676"/>
      <c r="I29" s="676"/>
      <c r="J29" s="676"/>
      <c r="K29" s="676"/>
      <c r="L29" s="676"/>
      <c r="M29" s="676"/>
      <c r="N29" s="676"/>
      <c r="O29" s="676"/>
      <c r="P29" s="676"/>
      <c r="Q29" s="676"/>
      <c r="R29" s="676"/>
      <c r="S29" s="676"/>
      <c r="T29" s="676"/>
      <c r="U29" s="676"/>
      <c r="V29" s="676"/>
    </row>
    <row r="30" spans="1:22" s="1182" customFormat="1" x14ac:dyDescent="0.2">
      <c r="B30" s="1182" t="s">
        <v>2098</v>
      </c>
      <c r="C30" s="758">
        <f>C26+C28</f>
        <v>2.6327999999999998E-3</v>
      </c>
      <c r="D30" s="758">
        <f>D26+D28</f>
        <v>2.6581E-3</v>
      </c>
      <c r="E30" s="758">
        <f>C30-D30</f>
        <v>-2.5299999999999998E-5</v>
      </c>
      <c r="F30" s="760">
        <f>F26+F28</f>
        <v>1197982</v>
      </c>
      <c r="G30" s="760">
        <f>G26+G28</f>
        <v>4060841</v>
      </c>
      <c r="H30" s="760">
        <f>H26+H28</f>
        <v>6245902</v>
      </c>
      <c r="I30" s="760"/>
      <c r="J30" s="760">
        <f>J26+J28</f>
        <v>963594</v>
      </c>
      <c r="K30" s="760">
        <f>K26+K28</f>
        <v>857376</v>
      </c>
      <c r="L30" s="760">
        <f>L26+L28</f>
        <v>1657421</v>
      </c>
      <c r="M30" s="760">
        <f>M26+M28</f>
        <v>84751</v>
      </c>
      <c r="N30" s="760"/>
      <c r="O30" s="760">
        <f>O26+O28</f>
        <v>32333</v>
      </c>
      <c r="P30" s="760">
        <f>P26+P28</f>
        <v>0</v>
      </c>
      <c r="Q30" s="760">
        <f>Q26+Q28</f>
        <v>0</v>
      </c>
      <c r="R30" s="760">
        <f>R26+R28</f>
        <v>109908</v>
      </c>
      <c r="S30" s="760"/>
      <c r="T30" s="760">
        <f>T26+T28</f>
        <v>1734944</v>
      </c>
      <c r="U30" s="760">
        <f>U26+U28</f>
        <v>11083</v>
      </c>
      <c r="V30" s="760">
        <f>V26+V28</f>
        <v>1746027</v>
      </c>
    </row>
    <row r="31" spans="1:22" s="1182" customFormat="1" x14ac:dyDescent="0.2"/>
    <row r="32" spans="1:22" s="1182" customFormat="1" x14ac:dyDescent="0.2">
      <c r="A32" s="19"/>
      <c r="B32" s="1182" t="s">
        <v>4089</v>
      </c>
      <c r="F32" s="760">
        <f>'[9]LGERS Contributions FY 2018'!C901</f>
        <v>489372689</v>
      </c>
      <c r="G32" s="760">
        <f>'[9]2018 LGERS summary'!F908</f>
        <v>1527723006</v>
      </c>
      <c r="H32" s="760">
        <f>'[9]2019 LGERS summary'!E928</f>
        <v>2372341991</v>
      </c>
      <c r="I32" s="760"/>
      <c r="J32" s="760">
        <f>'[9]2019 LGERS summary'!G928</f>
        <v>365996013</v>
      </c>
      <c r="K32" s="760">
        <f>'[9]2019 LGERS summary'!H928</f>
        <v>325651977</v>
      </c>
      <c r="L32" s="760">
        <f>'[9]2019 LGERS summary'!I928</f>
        <v>629527990</v>
      </c>
      <c r="M32" s="760">
        <f>'[9]2019 LGERS summary'!J928</f>
        <v>39321171</v>
      </c>
      <c r="N32" s="760"/>
      <c r="O32" s="760">
        <f>'[9]2019 LGERS summary'!M928</f>
        <v>12280987</v>
      </c>
      <c r="P32" s="760">
        <f>'[9]N.1b LGERS 2018 PY'!O909</f>
        <v>0</v>
      </c>
      <c r="Q32" s="760">
        <f>'[9]N.1b LGERS 2018 PY'!P909</f>
        <v>0</v>
      </c>
      <c r="R32" s="760">
        <f>'[9]2019 LGERS summary'!O928</f>
        <v>39321083</v>
      </c>
      <c r="S32" s="760"/>
      <c r="T32" s="760">
        <f>'[9]2019 LGERS summary'!R928</f>
        <v>658973009</v>
      </c>
      <c r="U32" s="760">
        <f>'[9]2019 LGERS summary'!S928</f>
        <v>6</v>
      </c>
      <c r="V32" s="760">
        <f>'[9]2019 LGERS summary'!T928</f>
        <v>658973015</v>
      </c>
    </row>
    <row r="33" spans="1:22" s="1182" customFormat="1" x14ac:dyDescent="0.2">
      <c r="A33" s="19"/>
      <c r="F33" s="760"/>
      <c r="G33" s="760"/>
      <c r="H33" s="760"/>
      <c r="J33" s="760"/>
      <c r="K33" s="760"/>
      <c r="L33" s="760"/>
      <c r="M33" s="760"/>
      <c r="O33" s="760"/>
      <c r="P33" s="760"/>
      <c r="Q33" s="760"/>
      <c r="R33" s="760"/>
      <c r="T33" s="760"/>
      <c r="U33" s="760"/>
      <c r="V33" s="760"/>
    </row>
    <row r="34" spans="1:22" s="1182" customFormat="1" ht="28.5" customHeight="1" x14ac:dyDescent="0.2">
      <c r="A34" s="1185" t="s">
        <v>2099</v>
      </c>
      <c r="B34" s="1186" t="s">
        <v>4093</v>
      </c>
      <c r="F34" s="760"/>
      <c r="G34" s="760"/>
      <c r="H34" s="760"/>
      <c r="J34" s="760"/>
      <c r="K34" s="760"/>
      <c r="L34" s="760"/>
      <c r="M34" s="760"/>
      <c r="O34" s="760"/>
      <c r="P34" s="760"/>
      <c r="Q34" s="760"/>
      <c r="R34" s="760"/>
      <c r="T34" s="760"/>
      <c r="U34" s="760"/>
      <c r="V34" s="760"/>
    </row>
    <row r="35" spans="1:22" s="1182" customFormat="1" x14ac:dyDescent="0.2">
      <c r="A35" s="699" t="str">
        <f>VLOOKUP(C13,'[9]N.1b LGERS 2018 PY'!B911:C1813,2,FALSE)</f>
        <v>9xxxy</v>
      </c>
      <c r="B35" s="1182" t="str">
        <f>C15</f>
        <v>No additional agency chosen</v>
      </c>
      <c r="C35" s="758">
        <f>VLOOKUP($A$35,'[9]N.1b LGERS 2018 PY'!$A:$U,'[9]N.1 GASB 68 LGERS'!C21,FALSE)</f>
        <v>2.6581E-3</v>
      </c>
      <c r="D35" s="758">
        <f>VLOOKUP($A$35,'[9]N.1b LGERS 2018 PY'!$A:$U,'[9]N.1 GASB 68 LGERS'!D21,FALSE)</f>
        <v>2.3587E-3</v>
      </c>
      <c r="E35" s="758">
        <f>C35-D35</f>
        <v>2.9940000000000001E-4</v>
      </c>
      <c r="F35" s="36">
        <f>VLOOKUP($A$35,'[9]N.1b LGERS 2018 PY'!$A:$U,'[9]N.1 GASB 68 LGERS'!F21,FALSE)</f>
        <v>1110621</v>
      </c>
      <c r="G35" s="36">
        <f>VLOOKUP($A$35,'[9]N.1b LGERS 2018 PY'!$A:$U,'[9]N.1 GASB 68 LGERS'!G21,FALSE)</f>
        <v>5005952</v>
      </c>
      <c r="H35" s="36">
        <f>VLOOKUP($A$35,'[9]N.1b LGERS 2018 PY'!$A:$U,'[9]N.1 GASB 68 LGERS'!H21,FALSE)</f>
        <v>4060841</v>
      </c>
      <c r="I35" s="36"/>
      <c r="J35" s="36">
        <f>VLOOKUP($A$35,'[9]N.1b LGERS 2018 PY'!$A:$U,'[9]N.1 GASB 68 LGERS'!J21,FALSE)</f>
        <v>233942</v>
      </c>
      <c r="K35" s="36">
        <f>VLOOKUP($A$35,'[9]N.1b LGERS 2018 PY'!$A:$U,'[9]N.1 GASB 68 LGERS'!K21,FALSE)</f>
        <v>985977</v>
      </c>
      <c r="L35" s="36">
        <f>VLOOKUP($A$35,'[9]N.1b LGERS 2018 PY'!$A:$U,'[9]N.1 GASB 68 LGERS'!L21,FALSE)</f>
        <v>579944</v>
      </c>
      <c r="M35" s="36">
        <f>VLOOKUP($A$35,'[9]N.1b LGERS 2018 PY'!$A:$U,'[9]N.1 GASB 68 LGERS'!M21,FALSE)</f>
        <v>130818</v>
      </c>
      <c r="N35" s="36"/>
      <c r="O35" s="36">
        <f>VLOOKUP($A$35,'[9]N.1b LGERS 2018 PY'!$A:$U,'[9]N.1 GASB 68 LGERS'!O21,FALSE)</f>
        <v>114950</v>
      </c>
      <c r="P35" s="36">
        <f>VLOOKUP($A$35,'[9]N.1b LGERS 2018 PY'!$A:$U,'[9]N.1 GASB 68 LGERS'!P21,FALSE)</f>
        <v>0</v>
      </c>
      <c r="Q35" s="36">
        <f>VLOOKUP($A$35,'[9]N.1b LGERS 2018 PY'!$A:$U,'[9]N.1 GASB 68 LGERS'!Q21,FALSE)</f>
        <v>0</v>
      </c>
      <c r="R35" s="36">
        <f>VLOOKUP($A$35,'[9]N.1b LGERS 2018 PY'!$A:$U,'[9]N.1 GASB 68 LGERS'!R21,FALSE)</f>
        <v>31847</v>
      </c>
      <c r="S35" s="36"/>
      <c r="T35" s="36">
        <f>VLOOKUP($A$35,'[9]N.1b LGERS 2018 PY'!$A:$U,'[9]N.1 GASB 68 LGERS'!T21,FALSE)</f>
        <v>1368507</v>
      </c>
      <c r="U35" s="36">
        <f>VLOOKUP($A$35,'[9]N.1b LGERS 2018 PY'!$A:$U,'[9]N.1 GASB 68 LGERS'!U21,FALSE)</f>
        <v>33872</v>
      </c>
      <c r="V35" s="36">
        <f>VLOOKUP($A$35,'[9]N.1b LGERS 2018 PY'!$A:$U,'[9]N.1 GASB 68 LGERS'!V21,FALSE)</f>
        <v>1402379</v>
      </c>
    </row>
    <row r="36" spans="1:22" s="1182" customFormat="1" x14ac:dyDescent="0.2">
      <c r="A36" s="762"/>
      <c r="C36" s="758"/>
      <c r="E36" s="758"/>
      <c r="F36" s="760"/>
      <c r="G36" s="760"/>
      <c r="H36" s="760"/>
      <c r="J36" s="760"/>
      <c r="K36" s="760"/>
      <c r="L36" s="760"/>
      <c r="M36" s="760"/>
      <c r="O36" s="760"/>
      <c r="P36" s="760"/>
      <c r="Q36" s="760"/>
      <c r="R36" s="760"/>
      <c r="T36" s="760"/>
      <c r="U36" s="760"/>
      <c r="V36" s="760"/>
    </row>
    <row r="37" spans="1:22" s="1182" customFormat="1" x14ac:dyDescent="0.2">
      <c r="A37" s="1183" t="str">
        <f>VLOOKUP(C15,'[9]N.1b LGERS 2018 PY'!B911:C1811,2,FALSE)</f>
        <v>N/A</v>
      </c>
      <c r="B37" s="763" t="str">
        <f>C15</f>
        <v>No additional agency chosen</v>
      </c>
      <c r="C37" s="758">
        <f>VLOOKUP($A$37,'[9]N.1b LGERS 2018 PY'!$A:$U,'[9]N.1 GASB 68 LGERS'!C21,FALSE)</f>
        <v>0</v>
      </c>
      <c r="D37" s="758">
        <f>VLOOKUP($A$37,'[9]N.1b LGERS 2018 PY'!$A:$U,'[8]N.1 GASB 68 LGERS'!D21,FALSE)</f>
        <v>0</v>
      </c>
      <c r="E37" s="758">
        <f t="shared" ref="E37" si="0">C37-D37</f>
        <v>0</v>
      </c>
      <c r="F37" s="758">
        <f>VLOOKUP($A$37,'[9]N.1b LGERS 2018 PY'!$A:$U,'[9]N.1 GASB 68 LGERS'!F21,FALSE)</f>
        <v>0</v>
      </c>
      <c r="G37" s="758">
        <f>VLOOKUP($A$37,'[9]N.1b LGERS 2018 PY'!$A:$U,'[9]N.1 GASB 68 LGERS'!G21,FALSE)</f>
        <v>0</v>
      </c>
      <c r="H37" s="758">
        <f>VLOOKUP($A$37,'[9]N.1b LGERS 2018 PY'!$A:$U,'[9]N.1 GASB 68 LGERS'!H21,FALSE)</f>
        <v>0</v>
      </c>
      <c r="I37" s="36"/>
      <c r="J37" s="36">
        <f>VLOOKUP($A$37,'[9]N.1b LGERS 2018 PY'!$A:$U,'[9]N.1 GASB 68 LGERS'!J21,FALSE)</f>
        <v>0</v>
      </c>
      <c r="K37" s="36">
        <f>VLOOKUP($A$37,'[9]N.1b LGERS 2018 PY'!$A:$U,'[9]N.1 GASB 68 LGERS'!K21,FALSE)</f>
        <v>0</v>
      </c>
      <c r="L37" s="36">
        <f>VLOOKUP($A$37,'[9]N.1b LGERS 2018 PY'!$A:$U,'[9]N.1 GASB 68 LGERS'!L21,FALSE)</f>
        <v>0</v>
      </c>
      <c r="M37" s="36">
        <f>VLOOKUP($A$37,'[9]N.1b LGERS 2018 PY'!$A:$U,'[9]N.1 GASB 68 LGERS'!M21,FALSE)</f>
        <v>0</v>
      </c>
      <c r="N37" s="36"/>
      <c r="O37" s="36">
        <f>VLOOKUP($A$37,'[9]N.1b LGERS 2018 PY'!$A:$U,'[9]N.1 GASB 68 LGERS'!O21,FALSE)</f>
        <v>0</v>
      </c>
      <c r="P37" s="36">
        <f>VLOOKUP($A$37,'[9]N.1b LGERS 2018 PY'!$A:$U,'[9]N.1 GASB 68 LGERS'!P21,FALSE)</f>
        <v>0</v>
      </c>
      <c r="Q37" s="36">
        <f>VLOOKUP($A$37,'[9]N.1b LGERS 2018 PY'!$A:$U,'[9]N.1 GASB 68 LGERS'!Q21,FALSE)</f>
        <v>0</v>
      </c>
      <c r="R37" s="36">
        <f>VLOOKUP($A$37,'[9]N.1b LGERS 2018 PY'!$A:$U,'[9]N.1 GASB 68 LGERS'!R21,FALSE)</f>
        <v>0</v>
      </c>
      <c r="S37" s="36"/>
      <c r="T37" s="36">
        <f>VLOOKUP($A$37,'[9]N.1b LGERS 2018 PY'!$A:$U,'[9]N.1 GASB 68 LGERS'!T21,FALSE)</f>
        <v>0</v>
      </c>
      <c r="U37" s="36">
        <f>VLOOKUP($A$37,'[9]N.1b LGERS 2018 PY'!$A:$U,'[9]N.1 GASB 68 LGERS'!U21,FALSE)</f>
        <v>0</v>
      </c>
      <c r="V37" s="36">
        <f>VLOOKUP($A$37,'[9]N.1b LGERS 2018 PY'!$A:$U,'[9]N.1 GASB 68 LGERS'!V21,FALSE)</f>
        <v>0</v>
      </c>
    </row>
    <row r="38" spans="1:22" s="1182" customFormat="1" ht="15" x14ac:dyDescent="0.25">
      <c r="A38" s="761"/>
      <c r="F38" s="760"/>
      <c r="G38" s="760"/>
      <c r="H38" s="760"/>
      <c r="J38" s="760"/>
      <c r="K38" s="760"/>
      <c r="L38" s="760"/>
      <c r="M38" s="760"/>
      <c r="O38" s="760"/>
      <c r="P38" s="760"/>
      <c r="Q38" s="760"/>
      <c r="R38" s="760"/>
      <c r="T38" s="760"/>
      <c r="U38" s="760"/>
      <c r="V38" s="760"/>
    </row>
    <row r="39" spans="1:22" s="14" customFormat="1" x14ac:dyDescent="0.2">
      <c r="A39" s="19"/>
      <c r="B39" s="1182" t="s">
        <v>2098</v>
      </c>
      <c r="C39" s="758">
        <f>C35+C37</f>
        <v>2.6581E-3</v>
      </c>
      <c r="D39" s="758">
        <f>D35+D37</f>
        <v>2.3587E-3</v>
      </c>
      <c r="E39" s="758">
        <f>C39-D39</f>
        <v>2.9940000000000001E-4</v>
      </c>
      <c r="F39" s="760">
        <f>F35+F37</f>
        <v>1110621</v>
      </c>
      <c r="G39" s="760">
        <f>G35+G37</f>
        <v>5005952</v>
      </c>
      <c r="H39" s="760">
        <f>H35+H37</f>
        <v>4060841</v>
      </c>
      <c r="I39" s="760"/>
      <c r="J39" s="760">
        <f>J35+J37</f>
        <v>233942</v>
      </c>
      <c r="K39" s="760">
        <f>K35+K37</f>
        <v>985977</v>
      </c>
      <c r="L39" s="760">
        <f>L35+L37</f>
        <v>579944</v>
      </c>
      <c r="M39" s="760">
        <f>M35+M37</f>
        <v>130818</v>
      </c>
      <c r="N39" s="760"/>
      <c r="O39" s="760">
        <f>O35+O37</f>
        <v>114950</v>
      </c>
      <c r="P39" s="760">
        <f>P35+P37</f>
        <v>0</v>
      </c>
      <c r="Q39" s="760">
        <f>Q35+Q37</f>
        <v>0</v>
      </c>
      <c r="R39" s="760">
        <f>R35+R37</f>
        <v>31847</v>
      </c>
      <c r="S39" s="760"/>
      <c r="T39" s="760">
        <f>T35+T37</f>
        <v>1368507</v>
      </c>
      <c r="U39" s="760">
        <f>U35+U37</f>
        <v>33872</v>
      </c>
      <c r="V39" s="760">
        <f>V35+V37</f>
        <v>1402379</v>
      </c>
    </row>
    <row r="40" spans="1:22" s="14" customFormat="1" x14ac:dyDescent="0.2">
      <c r="A40" s="19"/>
      <c r="B40" s="1182"/>
      <c r="C40" s="1182"/>
      <c r="D40" s="1182"/>
      <c r="E40" s="1182"/>
      <c r="F40" s="760"/>
      <c r="G40" s="760"/>
      <c r="H40" s="760"/>
      <c r="I40" s="1182"/>
      <c r="J40" s="760"/>
      <c r="K40" s="760"/>
      <c r="L40" s="760"/>
      <c r="M40" s="760"/>
      <c r="N40" s="1182"/>
      <c r="O40" s="760"/>
      <c r="P40" s="760"/>
      <c r="Q40" s="760"/>
      <c r="R40" s="760"/>
      <c r="S40" s="1182"/>
      <c r="T40" s="760"/>
      <c r="U40" s="760"/>
      <c r="V40" s="760"/>
    </row>
    <row r="41" spans="1:22" s="14" customFormat="1" x14ac:dyDescent="0.2">
      <c r="A41" s="19"/>
      <c r="B41" s="1182" t="s">
        <v>3550</v>
      </c>
      <c r="C41" s="1182"/>
      <c r="D41" s="1182"/>
      <c r="E41" s="1182"/>
      <c r="F41" s="760">
        <f>'[9]N.1b LGERS 2018 PY'!E909</f>
        <v>459076658</v>
      </c>
      <c r="G41" s="760">
        <f>'[9]N.1b LGERS 2018 PY'!F909</f>
        <v>2063974821</v>
      </c>
      <c r="H41" s="760">
        <f>'[9]N.1b LGERS 2018 PY'!G909</f>
        <v>1527723006</v>
      </c>
      <c r="I41" s="760"/>
      <c r="J41" s="760">
        <f>'[9]N.1b LGERS 2018 PY'!I909</f>
        <v>88010998</v>
      </c>
      <c r="K41" s="760">
        <f>'[9]N.1b LGERS 2018 PY'!J909</f>
        <v>370932998</v>
      </c>
      <c r="L41" s="760">
        <f>'[9]N.1b LGERS 2018 PY'!K909</f>
        <v>218179990</v>
      </c>
      <c r="M41" s="760">
        <f>'[9]N.1b LGERS 2018 PY'!L909</f>
        <v>44399345</v>
      </c>
      <c r="N41" s="760"/>
      <c r="O41" s="760">
        <f>'[9]N.1b LGERS 2018 PY'!N909</f>
        <v>43245007</v>
      </c>
      <c r="P41" s="760">
        <f>'[9]N.1b LGERS 2018 PY'!O909</f>
        <v>0</v>
      </c>
      <c r="Q41" s="760">
        <f>'[9]N.1b LGERS 2018 PY'!P909</f>
        <v>0</v>
      </c>
      <c r="R41" s="760">
        <f>'[9]N.1b LGERS 2018 PY'!Q909</f>
        <v>44399369</v>
      </c>
      <c r="S41" s="760"/>
      <c r="T41" s="760">
        <f>'[9]N.1b LGERS 2018 PY'!S909</f>
        <v>514844016</v>
      </c>
      <c r="U41" s="760">
        <f>'[9]N.1b LGERS 2018 PY'!T909</f>
        <v>36</v>
      </c>
      <c r="V41" s="760">
        <f>'[9]N.1b LGERS 2018 PY'!U909</f>
        <v>514844052</v>
      </c>
    </row>
    <row r="42" spans="1:22" s="14" customFormat="1" x14ac:dyDescent="0.2">
      <c r="C42" s="48"/>
      <c r="D42" s="48"/>
      <c r="E42" s="48"/>
      <c r="F42" s="48"/>
      <c r="G42" s="48"/>
      <c r="H42" s="48"/>
      <c r="I42" s="48"/>
      <c r="J42" s="48"/>
      <c r="K42" s="48"/>
      <c r="L42" s="48"/>
      <c r="M42" s="48"/>
      <c r="N42" s="48"/>
      <c r="O42" s="48"/>
      <c r="P42" s="48"/>
      <c r="Q42" s="48"/>
      <c r="R42" s="48"/>
      <c r="S42" s="48"/>
      <c r="U42" s="12"/>
      <c r="V42" s="12"/>
    </row>
    <row r="43" spans="1:22" s="14" customFormat="1" ht="25.5" x14ac:dyDescent="0.2">
      <c r="A43" s="784"/>
      <c r="B43" s="784"/>
      <c r="C43" s="784"/>
      <c r="D43" s="784"/>
      <c r="E43" s="784"/>
      <c r="F43" s="784"/>
      <c r="G43" s="784"/>
      <c r="H43" s="784"/>
      <c r="I43" s="784"/>
      <c r="J43" s="786" t="s">
        <v>3551</v>
      </c>
      <c r="K43" s="10">
        <f>K39-P39</f>
        <v>985977</v>
      </c>
      <c r="L43" s="784"/>
      <c r="M43" s="784"/>
      <c r="N43" s="784"/>
    </row>
    <row r="44" spans="1:22" s="14" customFormat="1" ht="15" x14ac:dyDescent="0.25">
      <c r="A44" s="829"/>
      <c r="B44" s="825"/>
      <c r="C44" s="784"/>
      <c r="D44" s="784"/>
      <c r="E44" s="784"/>
      <c r="F44" s="47"/>
      <c r="G44" s="47"/>
      <c r="H44" s="47"/>
      <c r="I44" s="784"/>
      <c r="J44" s="47"/>
      <c r="K44" s="47"/>
      <c r="L44" s="47"/>
      <c r="M44" s="47"/>
      <c r="N44" s="784"/>
      <c r="O44" s="48"/>
      <c r="Q44" s="48"/>
      <c r="R44" s="48"/>
      <c r="S44" s="48"/>
      <c r="U44" s="48"/>
      <c r="V44" s="48"/>
    </row>
    <row r="45" spans="1:22" x14ac:dyDescent="0.2">
      <c r="A45" s="829"/>
      <c r="B45" s="784" t="s">
        <v>3552</v>
      </c>
      <c r="C45" s="784"/>
      <c r="D45" s="10">
        <f>G30</f>
        <v>4060841</v>
      </c>
      <c r="E45" s="826"/>
      <c r="F45" s="47"/>
      <c r="G45" s="47"/>
      <c r="H45" s="47"/>
      <c r="I45" s="784"/>
      <c r="J45" s="47"/>
      <c r="K45" s="47"/>
      <c r="L45" s="47"/>
      <c r="M45" s="47"/>
      <c r="N45" s="784"/>
    </row>
    <row r="46" spans="1:22" ht="15" x14ac:dyDescent="0.25">
      <c r="A46" s="829"/>
      <c r="B46" s="784" t="s">
        <v>3553</v>
      </c>
      <c r="C46" s="784"/>
      <c r="D46" s="10"/>
      <c r="E46" s="826">
        <f>H30</f>
        <v>6245902</v>
      </c>
      <c r="F46" s="1021"/>
      <c r="G46" s="47"/>
      <c r="H46" s="784"/>
      <c r="I46" s="47"/>
      <c r="J46" s="47"/>
      <c r="K46" s="47"/>
      <c r="L46" s="47"/>
      <c r="M46" s="784"/>
      <c r="N46" s="47"/>
    </row>
    <row r="47" spans="1:22" x14ac:dyDescent="0.2">
      <c r="A47" s="829"/>
      <c r="B47" s="784" t="s">
        <v>3554</v>
      </c>
      <c r="C47" s="784"/>
      <c r="D47" s="10">
        <f>V30</f>
        <v>1746027</v>
      </c>
      <c r="E47" s="826"/>
      <c r="F47" s="47"/>
      <c r="G47" s="47"/>
      <c r="H47" s="784"/>
      <c r="I47" s="47"/>
      <c r="J47" s="47"/>
      <c r="K47" s="47"/>
      <c r="L47" s="47"/>
      <c r="M47" s="784"/>
      <c r="N47" s="47"/>
    </row>
    <row r="48" spans="1:22" x14ac:dyDescent="0.2">
      <c r="A48" s="829"/>
      <c r="B48" s="784" t="s">
        <v>3555</v>
      </c>
      <c r="C48" s="784"/>
      <c r="D48" s="10"/>
      <c r="E48" s="826">
        <f>J39</f>
        <v>233942</v>
      </c>
      <c r="F48" s="47"/>
      <c r="G48" s="47"/>
      <c r="H48" s="784"/>
      <c r="I48" s="47"/>
      <c r="J48" s="47"/>
      <c r="K48" s="47"/>
      <c r="L48" s="47"/>
      <c r="M48" s="784"/>
      <c r="N48" s="47"/>
    </row>
    <row r="49" spans="1:14" x14ac:dyDescent="0.2">
      <c r="A49" s="829"/>
      <c r="B49" s="784" t="s">
        <v>3556</v>
      </c>
      <c r="C49" s="784"/>
      <c r="D49" s="10"/>
      <c r="E49" s="826">
        <f>IF(K39-P39&gt;0,K39-P39,0)</f>
        <v>985977</v>
      </c>
      <c r="F49" s="47"/>
      <c r="G49" s="47"/>
      <c r="H49" s="784"/>
      <c r="I49" s="47"/>
      <c r="J49" s="47"/>
      <c r="K49" s="47"/>
      <c r="L49" s="47"/>
      <c r="M49" s="784"/>
      <c r="N49" s="47"/>
    </row>
    <row r="50" spans="1:14" x14ac:dyDescent="0.2">
      <c r="A50" s="829"/>
      <c r="B50" s="784" t="s">
        <v>3557</v>
      </c>
      <c r="C50" s="784"/>
      <c r="D50" s="10"/>
      <c r="E50" s="826">
        <f>L39</f>
        <v>579944</v>
      </c>
      <c r="F50" s="133"/>
      <c r="G50" s="133"/>
      <c r="H50" s="133"/>
      <c r="I50" s="133"/>
      <c r="J50" s="133"/>
      <c r="K50" s="133"/>
      <c r="L50" s="133"/>
      <c r="M50" s="133"/>
      <c r="N50" s="133"/>
    </row>
    <row r="51" spans="1:14" x14ac:dyDescent="0.2">
      <c r="A51" s="829"/>
      <c r="B51" s="786" t="s">
        <v>3558</v>
      </c>
      <c r="C51" s="784"/>
      <c r="D51" s="10"/>
      <c r="E51" s="826">
        <f>M39</f>
        <v>130818</v>
      </c>
      <c r="F51" s="133"/>
      <c r="G51" s="133"/>
      <c r="H51" s="133"/>
      <c r="I51" s="133"/>
      <c r="J51" s="133"/>
      <c r="K51" s="133"/>
      <c r="L51" s="133"/>
      <c r="M51" s="133"/>
      <c r="N51" s="133"/>
    </row>
    <row r="52" spans="1:14" x14ac:dyDescent="0.2">
      <c r="A52" s="829"/>
      <c r="B52" s="786" t="s">
        <v>3559</v>
      </c>
      <c r="C52" s="784"/>
      <c r="D52" s="10">
        <f>O39</f>
        <v>114950</v>
      </c>
      <c r="E52" s="145"/>
      <c r="F52" s="749"/>
      <c r="G52" s="749"/>
      <c r="H52" s="749"/>
      <c r="I52" s="784"/>
      <c r="J52" s="764"/>
      <c r="K52" s="784"/>
      <c r="L52" s="784"/>
      <c r="M52" s="784"/>
      <c r="N52" s="784"/>
    </row>
    <row r="53" spans="1:14" x14ac:dyDescent="0.2">
      <c r="A53" s="829"/>
      <c r="B53" s="784" t="s">
        <v>3560</v>
      </c>
      <c r="C53" s="784"/>
      <c r="D53" s="10">
        <f>IF(P39-K39&gt;0,P39-K39,0)</f>
        <v>0</v>
      </c>
      <c r="E53" s="826"/>
      <c r="F53" s="749"/>
      <c r="G53" s="749"/>
      <c r="H53" s="749"/>
      <c r="I53" s="784"/>
      <c r="J53" s="764"/>
      <c r="K53" s="784"/>
      <c r="L53" s="784"/>
      <c r="M53" s="784"/>
      <c r="N53" s="784"/>
    </row>
    <row r="54" spans="1:14" ht="15" x14ac:dyDescent="0.25">
      <c r="A54" s="829"/>
      <c r="B54" s="828" t="s">
        <v>3561</v>
      </c>
      <c r="C54" s="827"/>
      <c r="D54" s="833">
        <f>Q39</f>
        <v>0</v>
      </c>
      <c r="E54" s="833"/>
      <c r="F54" s="830"/>
      <c r="G54" s="830"/>
      <c r="H54" s="830"/>
      <c r="I54" s="830"/>
      <c r="J54" s="830"/>
      <c r="K54" s="830"/>
      <c r="L54" s="830"/>
      <c r="M54" s="830"/>
      <c r="N54" s="830"/>
    </row>
    <row r="55" spans="1:14" x14ac:dyDescent="0.2">
      <c r="A55" s="829"/>
      <c r="B55" s="828" t="s">
        <v>3562</v>
      </c>
      <c r="C55" s="827"/>
      <c r="D55" s="833">
        <f>R39</f>
        <v>31847</v>
      </c>
      <c r="E55" s="833"/>
      <c r="F55" s="681"/>
      <c r="G55" s="681"/>
      <c r="H55" s="681"/>
      <c r="I55" s="784"/>
      <c r="J55" s="784"/>
      <c r="K55" s="784"/>
      <c r="L55" s="784"/>
      <c r="M55" s="784"/>
      <c r="N55" s="784"/>
    </row>
    <row r="56" spans="1:14" x14ac:dyDescent="0.2">
      <c r="A56" s="829"/>
      <c r="B56" s="784" t="s">
        <v>3563</v>
      </c>
      <c r="C56" s="827"/>
      <c r="D56" s="833">
        <f>J30</f>
        <v>963594</v>
      </c>
      <c r="E56" s="833"/>
      <c r="F56" s="784"/>
      <c r="G56" s="784"/>
      <c r="H56" s="784"/>
      <c r="I56" s="784"/>
      <c r="J56" s="784"/>
      <c r="K56" s="784"/>
      <c r="L56" s="784"/>
      <c r="M56" s="784"/>
      <c r="N56" s="784"/>
    </row>
    <row r="57" spans="1:14" x14ac:dyDescent="0.2">
      <c r="A57" s="829"/>
      <c r="B57" s="784" t="s">
        <v>3564</v>
      </c>
      <c r="C57" s="827"/>
      <c r="D57" s="833">
        <f>IF(K30-P30&gt;0,K30-P30,0)</f>
        <v>857376</v>
      </c>
      <c r="E57" s="833"/>
      <c r="F57" s="823"/>
      <c r="G57" s="823"/>
      <c r="H57" s="823"/>
      <c r="I57" s="784"/>
      <c r="J57" s="784"/>
      <c r="K57" s="784"/>
      <c r="L57" s="784"/>
      <c r="M57" s="784"/>
      <c r="N57" s="784"/>
    </row>
    <row r="58" spans="1:14" x14ac:dyDescent="0.2">
      <c r="A58" s="829"/>
      <c r="B58" s="784" t="s">
        <v>3565</v>
      </c>
      <c r="C58" s="827"/>
      <c r="D58" s="833">
        <f>L30</f>
        <v>1657421</v>
      </c>
      <c r="E58" s="145"/>
      <c r="F58" s="784"/>
      <c r="G58" s="784"/>
      <c r="H58" s="784"/>
      <c r="I58" s="784"/>
      <c r="J58" s="784"/>
      <c r="K58" s="784"/>
      <c r="L58" s="784"/>
      <c r="M58" s="784"/>
      <c r="N58" s="784"/>
    </row>
    <row r="59" spans="1:14" ht="15" x14ac:dyDescent="0.25">
      <c r="A59" s="829"/>
      <c r="B59" s="786" t="s">
        <v>3566</v>
      </c>
      <c r="C59" s="827"/>
      <c r="D59" s="833">
        <f>M30</f>
        <v>84751</v>
      </c>
      <c r="E59" s="145"/>
      <c r="F59" s="824"/>
      <c r="G59" s="824"/>
      <c r="H59" s="824"/>
      <c r="I59" s="825"/>
      <c r="J59" s="825"/>
      <c r="K59" s="825"/>
      <c r="L59" s="825"/>
      <c r="M59" s="825"/>
      <c r="N59" s="825"/>
    </row>
    <row r="60" spans="1:14" x14ac:dyDescent="0.2">
      <c r="A60" s="829"/>
      <c r="B60" s="786" t="s">
        <v>3567</v>
      </c>
      <c r="C60" s="827"/>
      <c r="D60" s="833"/>
      <c r="E60" s="145">
        <f>O30</f>
        <v>32333</v>
      </c>
      <c r="F60" s="784"/>
      <c r="G60" s="784"/>
      <c r="H60" s="784"/>
      <c r="I60" s="784"/>
      <c r="J60" s="784"/>
      <c r="K60" s="784"/>
      <c r="L60" s="784"/>
      <c r="M60" s="784"/>
      <c r="N60" s="784"/>
    </row>
    <row r="61" spans="1:14" x14ac:dyDescent="0.2">
      <c r="A61" s="829"/>
      <c r="B61" s="784" t="s">
        <v>3568</v>
      </c>
      <c r="C61" s="784"/>
      <c r="D61" s="10"/>
      <c r="E61" s="826">
        <f>IF(P30-K30&gt;0,P30-K30,0)</f>
        <v>0</v>
      </c>
      <c r="F61" s="784"/>
      <c r="G61" s="784"/>
      <c r="H61" s="784"/>
      <c r="I61" s="784"/>
      <c r="J61" s="784"/>
      <c r="K61" s="784"/>
      <c r="L61" s="823"/>
      <c r="M61" s="784"/>
      <c r="N61" s="784"/>
    </row>
    <row r="62" spans="1:14" x14ac:dyDescent="0.2">
      <c r="A62" s="829"/>
      <c r="B62" s="828" t="s">
        <v>3569</v>
      </c>
      <c r="C62" s="784"/>
      <c r="D62" s="10"/>
      <c r="E62" s="826">
        <f>Q30</f>
        <v>0</v>
      </c>
      <c r="F62" s="784"/>
      <c r="G62" s="784"/>
      <c r="H62" s="784"/>
      <c r="I62" s="784"/>
      <c r="J62" s="784"/>
      <c r="K62" s="784"/>
      <c r="L62" s="823"/>
      <c r="M62" s="784"/>
      <c r="N62" s="784"/>
    </row>
    <row r="63" spans="1:14" x14ac:dyDescent="0.2">
      <c r="A63" s="829"/>
      <c r="B63" s="828" t="s">
        <v>3570</v>
      </c>
      <c r="C63" s="784"/>
      <c r="D63" s="10"/>
      <c r="E63" s="826">
        <f>R30</f>
        <v>109908</v>
      </c>
      <c r="F63" s="784"/>
      <c r="G63" s="784"/>
      <c r="H63" s="784"/>
      <c r="I63" s="784"/>
      <c r="J63" s="784"/>
      <c r="K63" s="784"/>
      <c r="L63" s="681"/>
      <c r="M63" s="784"/>
      <c r="N63" s="784"/>
    </row>
    <row r="64" spans="1:14" x14ac:dyDescent="0.2">
      <c r="A64" s="829"/>
      <c r="B64" s="784" t="s">
        <v>3571</v>
      </c>
      <c r="C64" s="784"/>
      <c r="D64" s="10"/>
      <c r="E64" s="826">
        <f>C17</f>
        <v>1001000</v>
      </c>
      <c r="F64" s="784"/>
      <c r="G64" s="784"/>
      <c r="H64" s="784"/>
      <c r="I64" s="784"/>
      <c r="J64" s="784"/>
      <c r="K64" s="784"/>
      <c r="L64" s="823"/>
      <c r="M64" s="784"/>
      <c r="N64" s="784"/>
    </row>
    <row r="65" spans="1:15" x14ac:dyDescent="0.2">
      <c r="A65" s="829"/>
      <c r="B65" s="784" t="s">
        <v>3572</v>
      </c>
      <c r="C65" s="784"/>
      <c r="D65" s="10">
        <f>IF(C17-F30&gt;0,C17-F30,0)</f>
        <v>0</v>
      </c>
      <c r="E65" s="826">
        <f>IF(F30-C17&gt;0,F30-C17,0)</f>
        <v>196982</v>
      </c>
      <c r="F65" s="823"/>
      <c r="G65" s="823"/>
      <c r="H65" s="823"/>
      <c r="I65" s="823"/>
      <c r="J65" s="823"/>
      <c r="K65" s="823"/>
      <c r="L65" s="823"/>
      <c r="M65" s="681"/>
      <c r="N65" s="823"/>
    </row>
    <row r="66" spans="1:15" x14ac:dyDescent="0.2">
      <c r="A66" s="829"/>
      <c r="B66" s="784" t="s">
        <v>3573</v>
      </c>
      <c r="C66" s="784"/>
      <c r="D66" s="10">
        <f>IF(SUM(E45:E65)&gt;SUM(D45:D65),SUM(E45:E65)-SUM(D45:D65),0)</f>
        <v>0</v>
      </c>
      <c r="E66" s="826">
        <f>IF(SUM(D45:D65)&gt;SUM(E45:E65),SUM(D45:D65)-SUM(E45:E65),0)</f>
        <v>1</v>
      </c>
      <c r="F66" s="784"/>
      <c r="G66" s="784"/>
      <c r="H66" s="784"/>
      <c r="I66" s="784"/>
      <c r="J66" s="784"/>
      <c r="K66" s="784"/>
      <c r="L66" s="784"/>
      <c r="M66" s="784"/>
      <c r="N66" s="784"/>
    </row>
    <row r="67" spans="1:15" x14ac:dyDescent="0.2">
      <c r="A67" s="829"/>
      <c r="B67" s="784"/>
      <c r="C67" s="784"/>
      <c r="D67" s="10">
        <f>SUM(D45:D66)</f>
        <v>9516807</v>
      </c>
      <c r="E67" s="10">
        <f>SUM(E45:E66)</f>
        <v>9516807</v>
      </c>
      <c r="F67" s="681"/>
      <c r="G67" s="681"/>
      <c r="H67" s="681"/>
      <c r="I67" s="681"/>
      <c r="J67" s="681"/>
      <c r="K67" s="681"/>
      <c r="L67" s="681"/>
      <c r="M67" s="681"/>
      <c r="N67" s="681"/>
    </row>
    <row r="68" spans="1:15" x14ac:dyDescent="0.2">
      <c r="A68" s="829"/>
      <c r="B68" s="784"/>
      <c r="C68" s="784"/>
      <c r="D68" s="784"/>
      <c r="E68" s="784"/>
      <c r="F68" s="784"/>
      <c r="G68" s="784"/>
      <c r="H68" s="784"/>
      <c r="I68" s="784"/>
      <c r="J68" s="784"/>
      <c r="K68" s="784"/>
      <c r="L68" s="784"/>
      <c r="M68" s="784"/>
      <c r="N68" s="784"/>
    </row>
    <row r="69" spans="1:15" ht="15" x14ac:dyDescent="0.25">
      <c r="A69" s="829"/>
      <c r="B69" s="825"/>
      <c r="C69" s="824"/>
      <c r="D69" s="824"/>
      <c r="E69" s="824"/>
      <c r="F69" s="824"/>
      <c r="G69" s="824"/>
      <c r="H69" s="824"/>
      <c r="I69" s="824"/>
      <c r="J69" s="824"/>
      <c r="K69" s="824"/>
      <c r="L69" s="824"/>
      <c r="M69" s="824"/>
      <c r="N69" s="824"/>
    </row>
    <row r="70" spans="1:15" x14ac:dyDescent="0.2">
      <c r="A70" s="829"/>
      <c r="B70" s="784"/>
      <c r="C70" s="784"/>
      <c r="D70" s="784"/>
      <c r="E70" s="47"/>
      <c r="F70" s="47"/>
      <c r="G70" s="47"/>
      <c r="H70" s="784"/>
      <c r="I70" s="47"/>
      <c r="J70" s="47"/>
      <c r="K70" s="47"/>
      <c r="L70" s="47"/>
      <c r="M70" s="784"/>
      <c r="N70" s="47"/>
    </row>
    <row r="71" spans="1:15" ht="15" x14ac:dyDescent="0.25">
      <c r="A71" s="829"/>
      <c r="B71" s="825"/>
      <c r="C71" s="784"/>
      <c r="D71" s="784"/>
      <c r="E71" s="47"/>
      <c r="F71" s="47"/>
      <c r="G71" s="47"/>
      <c r="H71" s="784"/>
      <c r="I71" s="47"/>
      <c r="J71" s="47"/>
      <c r="K71" s="47"/>
      <c r="L71" s="47"/>
      <c r="M71" s="784"/>
      <c r="N71" s="47"/>
    </row>
    <row r="72" spans="1:15" x14ac:dyDescent="0.2">
      <c r="A72" s="685" t="s">
        <v>541</v>
      </c>
      <c r="B72" s="1581" t="s">
        <v>2035</v>
      </c>
      <c r="C72" s="1582"/>
      <c r="D72" s="1582"/>
      <c r="E72" s="1582"/>
      <c r="F72" s="1582"/>
      <c r="G72" s="1582"/>
      <c r="H72" s="1582"/>
      <c r="I72" s="1583"/>
      <c r="J72" s="133"/>
      <c r="K72" s="133"/>
      <c r="L72" s="133"/>
      <c r="M72" s="133"/>
      <c r="N72" s="133"/>
      <c r="O72" s="133"/>
    </row>
    <row r="73" spans="1:15" x14ac:dyDescent="0.2">
      <c r="A73" s="685"/>
      <c r="B73" s="686"/>
      <c r="C73" s="686"/>
      <c r="D73" s="686"/>
      <c r="E73" s="686"/>
      <c r="F73" s="686"/>
      <c r="G73" s="686"/>
      <c r="H73" s="686"/>
      <c r="I73" s="686"/>
      <c r="J73" s="133"/>
      <c r="K73" s="133"/>
      <c r="L73" s="133"/>
      <c r="M73" s="133"/>
      <c r="N73" s="133"/>
      <c r="O73" s="133"/>
    </row>
    <row r="74" spans="1:15" x14ac:dyDescent="0.2">
      <c r="A74" s="685"/>
      <c r="B74" s="1584" t="s">
        <v>2078</v>
      </c>
      <c r="C74" s="1585"/>
      <c r="D74" s="1585"/>
      <c r="E74" s="1586"/>
      <c r="F74" s="686"/>
      <c r="G74" s="686"/>
      <c r="H74" s="686"/>
      <c r="I74" s="686"/>
      <c r="J74" s="133"/>
      <c r="K74" s="133"/>
      <c r="L74" s="133"/>
      <c r="M74" s="133"/>
      <c r="N74" s="133"/>
      <c r="O74" s="133"/>
    </row>
    <row r="75" spans="1:15" x14ac:dyDescent="0.2">
      <c r="A75" s="683"/>
      <c r="B75" s="730" t="s">
        <v>2036</v>
      </c>
      <c r="C75" s="1164">
        <f>'J. Other Liability &amp; Expenses'!L159</f>
        <v>0.95</v>
      </c>
      <c r="D75" s="686"/>
      <c r="E75" s="731"/>
      <c r="G75" s="747"/>
      <c r="H75" s="747"/>
      <c r="I75" s="747"/>
      <c r="J75" s="747"/>
      <c r="K75" s="747"/>
      <c r="L75" s="747"/>
      <c r="M75" s="747"/>
      <c r="N75" s="747"/>
      <c r="O75" s="747"/>
    </row>
    <row r="76" spans="1:15" x14ac:dyDescent="0.2">
      <c r="A76" s="683"/>
      <c r="B76" s="730" t="s">
        <v>2053</v>
      </c>
      <c r="C76" s="1164">
        <f>'J. Other Liability &amp; Expenses'!L160</f>
        <v>0.05</v>
      </c>
      <c r="D76" s="686"/>
      <c r="E76" s="731"/>
      <c r="G76" s="747"/>
      <c r="H76" s="747"/>
      <c r="I76" s="747"/>
      <c r="J76" s="747"/>
      <c r="K76" s="747"/>
      <c r="L76" s="747"/>
      <c r="M76" s="747"/>
      <c r="N76" s="747"/>
      <c r="O76" s="747"/>
    </row>
    <row r="77" spans="1:15" x14ac:dyDescent="0.2">
      <c r="A77" s="683"/>
      <c r="B77" s="732" t="s">
        <v>2054</v>
      </c>
      <c r="C77" s="706">
        <f>SUM(C75:C76)</f>
        <v>1</v>
      </c>
      <c r="D77" s="686" t="str">
        <f>IF(C77=1,"=100%","DOES NOT EQUAL 100%!!!")</f>
        <v>=100%</v>
      </c>
      <c r="E77" s="680"/>
      <c r="G77" s="747"/>
      <c r="H77" s="747"/>
      <c r="I77" s="747"/>
      <c r="J77" s="747"/>
      <c r="K77" s="747"/>
      <c r="L77" s="747"/>
      <c r="M77" s="747"/>
      <c r="N77" s="747"/>
      <c r="O77" s="747"/>
    </row>
    <row r="78" spans="1:15" x14ac:dyDescent="0.2">
      <c r="A78" s="683"/>
      <c r="B78" s="733"/>
      <c r="C78" s="747"/>
      <c r="D78" s="747"/>
      <c r="E78" s="680"/>
      <c r="G78" s="747"/>
      <c r="H78" s="747"/>
      <c r="I78" s="747"/>
      <c r="J78" s="747"/>
      <c r="K78" s="747"/>
      <c r="L78" s="747"/>
      <c r="M78" s="747"/>
      <c r="N78" s="747"/>
      <c r="O78" s="747"/>
    </row>
    <row r="79" spans="1:15" x14ac:dyDescent="0.2">
      <c r="A79" s="683"/>
      <c r="B79" s="734" t="s">
        <v>2064</v>
      </c>
      <c r="C79" s="747"/>
      <c r="D79" s="747"/>
      <c r="E79" s="680"/>
      <c r="G79" s="747"/>
      <c r="H79" s="747"/>
      <c r="I79" s="747"/>
      <c r="J79" s="747"/>
      <c r="K79" s="747"/>
      <c r="L79" s="747"/>
      <c r="M79" s="747"/>
      <c r="N79" s="747"/>
      <c r="O79" s="747"/>
    </row>
    <row r="80" spans="1:15" x14ac:dyDescent="0.2">
      <c r="A80" s="683"/>
      <c r="B80" s="733" t="s">
        <v>2055</v>
      </c>
      <c r="C80" s="706">
        <f>'J. Other Liability &amp; Expenses'!L164</f>
        <v>0.95</v>
      </c>
      <c r="D80" s="747"/>
      <c r="E80" s="680"/>
      <c r="G80" s="747"/>
      <c r="H80" s="747"/>
      <c r="I80" s="747"/>
      <c r="J80" s="747"/>
      <c r="K80" s="747"/>
      <c r="L80" s="747"/>
      <c r="M80" s="747"/>
      <c r="N80" s="747"/>
      <c r="O80" s="747"/>
    </row>
    <row r="81" spans="1:15" x14ac:dyDescent="0.2">
      <c r="A81" s="683"/>
      <c r="B81" s="733" t="s">
        <v>2056</v>
      </c>
      <c r="C81" s="706">
        <f>'J. Other Liability &amp; Expenses'!L165</f>
        <v>0</v>
      </c>
      <c r="D81" s="747"/>
      <c r="E81" s="680"/>
      <c r="G81" s="747"/>
      <c r="H81" s="747"/>
      <c r="I81" s="747"/>
      <c r="J81" s="747"/>
      <c r="K81" s="747"/>
      <c r="L81" s="747"/>
      <c r="M81" s="747"/>
      <c r="N81" s="747"/>
      <c r="O81" s="747"/>
    </row>
    <row r="82" spans="1:15" x14ac:dyDescent="0.2">
      <c r="A82" s="683"/>
      <c r="B82" s="733" t="s">
        <v>2057</v>
      </c>
      <c r="C82" s="706">
        <f>'J. Other Liability &amp; Expenses'!L166</f>
        <v>0</v>
      </c>
      <c r="D82" s="747"/>
      <c r="E82" s="680"/>
      <c r="G82" s="747"/>
      <c r="H82" s="747"/>
      <c r="I82" s="747"/>
      <c r="J82" s="747"/>
      <c r="K82" s="747"/>
      <c r="L82" s="747"/>
      <c r="M82" s="747"/>
      <c r="N82" s="747"/>
      <c r="O82" s="747"/>
    </row>
    <row r="83" spans="1:15" x14ac:dyDescent="0.2">
      <c r="A83" s="683"/>
      <c r="B83" s="733" t="s">
        <v>2058</v>
      </c>
      <c r="C83" s="706">
        <f>'J. Other Liability &amp; Expenses'!L167</f>
        <v>0</v>
      </c>
      <c r="D83" s="747"/>
      <c r="E83" s="680"/>
      <c r="G83" s="747"/>
      <c r="H83" s="747"/>
      <c r="I83" s="747"/>
      <c r="J83" s="747"/>
      <c r="K83" s="747"/>
      <c r="L83" s="747"/>
      <c r="M83" s="747"/>
      <c r="N83" s="747"/>
      <c r="O83" s="747"/>
    </row>
    <row r="84" spans="1:15" x14ac:dyDescent="0.2">
      <c r="A84" s="683"/>
      <c r="B84" s="733" t="s">
        <v>2059</v>
      </c>
      <c r="C84" s="706">
        <f>'J. Other Liability &amp; Expenses'!L168</f>
        <v>0</v>
      </c>
      <c r="D84" s="747"/>
      <c r="E84" s="680"/>
      <c r="G84" s="747"/>
      <c r="H84" s="747"/>
      <c r="I84" s="747"/>
      <c r="J84" s="747"/>
      <c r="K84" s="747"/>
      <c r="L84" s="747"/>
      <c r="M84" s="747"/>
      <c r="N84" s="747"/>
      <c r="O84" s="747"/>
    </row>
    <row r="85" spans="1:15" x14ac:dyDescent="0.2">
      <c r="A85" s="683"/>
      <c r="B85" s="733" t="s">
        <v>2060</v>
      </c>
      <c r="C85" s="706">
        <f>'J. Other Liability &amp; Expenses'!L169</f>
        <v>0</v>
      </c>
      <c r="D85" s="747"/>
      <c r="E85" s="680"/>
      <c r="G85" s="747"/>
      <c r="H85" s="747"/>
      <c r="I85" s="747"/>
      <c r="J85" s="747"/>
      <c r="K85" s="747"/>
      <c r="L85" s="747"/>
      <c r="M85" s="747"/>
      <c r="N85" s="747"/>
      <c r="O85" s="747"/>
    </row>
    <row r="86" spans="1:15" x14ac:dyDescent="0.2">
      <c r="A86" s="683"/>
      <c r="B86" s="733" t="s">
        <v>2061</v>
      </c>
      <c r="C86" s="706">
        <f>'J. Other Liability &amp; Expenses'!L170</f>
        <v>0</v>
      </c>
      <c r="D86" s="747"/>
      <c r="E86" s="680"/>
      <c r="G86" s="747"/>
      <c r="H86" s="747"/>
      <c r="I86" s="747"/>
      <c r="J86" s="747"/>
      <c r="K86" s="747"/>
      <c r="L86" s="747"/>
      <c r="M86" s="747"/>
      <c r="N86" s="747"/>
      <c r="O86" s="747"/>
    </row>
    <row r="87" spans="1:15" x14ac:dyDescent="0.2">
      <c r="A87" s="683"/>
      <c r="B87" s="733" t="s">
        <v>2062</v>
      </c>
      <c r="C87" s="706">
        <f>'J. Other Liability &amp; Expenses'!L171</f>
        <v>0</v>
      </c>
      <c r="D87" s="747"/>
      <c r="E87" s="680"/>
      <c r="G87" s="747"/>
      <c r="H87" s="747"/>
      <c r="I87" s="747"/>
      <c r="J87" s="747"/>
      <c r="K87" s="747"/>
      <c r="L87" s="747"/>
      <c r="M87" s="747"/>
      <c r="N87" s="747"/>
      <c r="O87" s="747"/>
    </row>
    <row r="88" spans="1:15" x14ac:dyDescent="0.2">
      <c r="A88" s="683"/>
      <c r="B88" s="733" t="s">
        <v>2063</v>
      </c>
      <c r="C88" s="706">
        <f>'J. Other Liability &amp; Expenses'!L172</f>
        <v>0</v>
      </c>
      <c r="D88" s="747"/>
      <c r="E88" s="680"/>
      <c r="G88" s="747"/>
      <c r="H88" s="747"/>
      <c r="I88" s="747"/>
      <c r="J88" s="747"/>
      <c r="K88" s="747"/>
      <c r="L88" s="747"/>
      <c r="M88" s="747"/>
      <c r="N88" s="747"/>
      <c r="O88" s="747"/>
    </row>
    <row r="89" spans="1:15" x14ac:dyDescent="0.2">
      <c r="A89" s="683"/>
      <c r="B89" s="735" t="s">
        <v>2065</v>
      </c>
      <c r="C89" s="736">
        <f>SUM(C80:C88)</f>
        <v>0.95</v>
      </c>
      <c r="D89" s="737" t="str">
        <f>IF(C89=C75,"Equals Governmental Activities","DOES NOT EQUAL Governmental Activities!!!")</f>
        <v>Equals Governmental Activities</v>
      </c>
      <c r="E89" s="738"/>
      <c r="G89" s="747"/>
      <c r="H89" s="747"/>
      <c r="I89" s="747"/>
      <c r="J89" s="747"/>
      <c r="K89" s="747"/>
      <c r="L89" s="747"/>
      <c r="M89" s="747"/>
      <c r="N89" s="747"/>
      <c r="O89" s="747"/>
    </row>
    <row r="90" spans="1:15" x14ac:dyDescent="0.2">
      <c r="A90" s="683"/>
      <c r="B90" s="748"/>
      <c r="C90" s="747"/>
      <c r="D90" s="747"/>
      <c r="E90" s="747"/>
      <c r="F90" s="747"/>
      <c r="G90" s="747"/>
      <c r="H90" s="747"/>
      <c r="I90" s="747"/>
      <c r="J90" s="747"/>
      <c r="K90" s="747"/>
      <c r="L90" s="747"/>
      <c r="M90" s="747"/>
      <c r="N90" s="747"/>
      <c r="O90" s="747"/>
    </row>
    <row r="91" spans="1:15" x14ac:dyDescent="0.2">
      <c r="A91" s="683"/>
      <c r="B91" s="748"/>
      <c r="C91" s="747"/>
      <c r="D91" s="747"/>
      <c r="E91" s="747"/>
      <c r="F91" s="747"/>
      <c r="G91" s="747"/>
      <c r="H91" s="747"/>
      <c r="I91" s="747"/>
      <c r="J91" s="747"/>
      <c r="K91" s="747"/>
      <c r="L91" s="747"/>
      <c r="M91" s="747"/>
      <c r="N91" s="747"/>
      <c r="O91" s="747"/>
    </row>
    <row r="92" spans="1:15" x14ac:dyDescent="0.2">
      <c r="A92" s="683"/>
      <c r="B92" s="748"/>
      <c r="C92" s="747"/>
      <c r="D92" s="747"/>
      <c r="E92" s="747"/>
      <c r="F92" s="686"/>
    </row>
    <row r="93" spans="1:15" x14ac:dyDescent="0.2">
      <c r="A93" s="683"/>
      <c r="B93" s="782"/>
      <c r="C93" s="765" t="s">
        <v>2032</v>
      </c>
      <c r="D93" s="765" t="s">
        <v>2033</v>
      </c>
      <c r="E93" s="783"/>
      <c r="F93" s="783"/>
      <c r="G93" s="783"/>
      <c r="H93" s="783"/>
    </row>
    <row r="94" spans="1:15" x14ac:dyDescent="0.2">
      <c r="A94" s="683"/>
      <c r="B94" s="785" t="s">
        <v>1095</v>
      </c>
      <c r="C94" s="285">
        <f t="shared" ref="C94:D101" si="1">G125</f>
        <v>0</v>
      </c>
      <c r="D94" s="285">
        <f t="shared" si="1"/>
        <v>0</v>
      </c>
      <c r="E94" s="783"/>
      <c r="F94" s="783"/>
      <c r="G94" s="783"/>
      <c r="H94" s="783"/>
    </row>
    <row r="95" spans="1:15" x14ac:dyDescent="0.2">
      <c r="A95" s="683"/>
      <c r="B95" s="785" t="s">
        <v>2100</v>
      </c>
      <c r="C95" s="285">
        <f t="shared" si="1"/>
        <v>0</v>
      </c>
      <c r="D95" s="285">
        <f t="shared" si="1"/>
        <v>0</v>
      </c>
      <c r="E95" s="688"/>
      <c r="F95" s="783"/>
      <c r="G95" s="5"/>
      <c r="H95" s="783"/>
    </row>
    <row r="96" spans="1:15" x14ac:dyDescent="0.2">
      <c r="A96" s="683"/>
      <c r="B96" s="785" t="s">
        <v>2031</v>
      </c>
      <c r="C96" s="285">
        <f t="shared" si="1"/>
        <v>0</v>
      </c>
      <c r="D96" s="285">
        <f t="shared" si="1"/>
        <v>2075808</v>
      </c>
      <c r="E96" s="688"/>
      <c r="F96" s="783"/>
      <c r="G96" s="5"/>
      <c r="H96" s="783"/>
    </row>
    <row r="97" spans="1:9" x14ac:dyDescent="0.2">
      <c r="A97" s="683"/>
      <c r="B97" s="785" t="s">
        <v>2066</v>
      </c>
      <c r="C97" s="285">
        <f t="shared" si="1"/>
        <v>1471592</v>
      </c>
      <c r="D97" s="285">
        <f t="shared" si="1"/>
        <v>0</v>
      </c>
      <c r="E97" s="688"/>
      <c r="F97" s="783"/>
      <c r="G97" s="783"/>
      <c r="H97" s="783"/>
    </row>
    <row r="98" spans="1:9" x14ac:dyDescent="0.2">
      <c r="A98" s="683"/>
      <c r="B98" s="785" t="s">
        <v>2067</v>
      </c>
      <c r="C98" s="285">
        <f t="shared" si="1"/>
        <v>0</v>
      </c>
      <c r="D98" s="285">
        <f t="shared" si="1"/>
        <v>0</v>
      </c>
      <c r="E98" s="688"/>
      <c r="F98" s="783"/>
      <c r="G98" s="783"/>
      <c r="H98" s="783"/>
    </row>
    <row r="99" spans="1:9" x14ac:dyDescent="0.2">
      <c r="A99" s="683"/>
      <c r="B99" s="785" t="s">
        <v>2068</v>
      </c>
      <c r="C99" s="285">
        <f t="shared" si="1"/>
        <v>0</v>
      </c>
      <c r="D99" s="285">
        <f t="shared" si="1"/>
        <v>0</v>
      </c>
      <c r="E99" s="688"/>
      <c r="F99" s="783"/>
      <c r="G99" s="783"/>
      <c r="H99" s="783"/>
    </row>
    <row r="100" spans="1:9" x14ac:dyDescent="0.2">
      <c r="A100" s="683"/>
      <c r="B100" s="785" t="s">
        <v>2069</v>
      </c>
      <c r="C100" s="285">
        <f t="shared" si="1"/>
        <v>0</v>
      </c>
      <c r="D100" s="285">
        <f t="shared" si="1"/>
        <v>0</v>
      </c>
      <c r="E100" s="688"/>
      <c r="F100" s="783"/>
      <c r="G100" s="783"/>
      <c r="H100" s="783"/>
    </row>
    <row r="101" spans="1:9" x14ac:dyDescent="0.2">
      <c r="A101" s="683"/>
      <c r="B101" s="785" t="s">
        <v>2070</v>
      </c>
      <c r="C101" s="285">
        <f t="shared" si="1"/>
        <v>0</v>
      </c>
      <c r="D101" s="285">
        <f t="shared" si="1"/>
        <v>0</v>
      </c>
      <c r="E101" s="688"/>
      <c r="F101" s="783"/>
      <c r="G101" s="783"/>
      <c r="H101" s="783"/>
    </row>
    <row r="102" spans="1:9" s="789" customFormat="1" x14ac:dyDescent="0.2">
      <c r="A102" s="683"/>
      <c r="B102" s="792" t="s">
        <v>3588</v>
      </c>
      <c r="C102" s="285">
        <f t="shared" ref="C102:D105" si="2">G133</f>
        <v>0</v>
      </c>
      <c r="D102" s="285">
        <f t="shared" si="2"/>
        <v>0</v>
      </c>
      <c r="E102" s="688"/>
    </row>
    <row r="103" spans="1:9" x14ac:dyDescent="0.2">
      <c r="A103" s="683"/>
      <c r="B103" s="785" t="s">
        <v>2071</v>
      </c>
      <c r="C103" s="285">
        <f t="shared" si="2"/>
        <v>0</v>
      </c>
      <c r="D103" s="285">
        <f t="shared" si="2"/>
        <v>0</v>
      </c>
      <c r="E103" s="688"/>
      <c r="F103" s="783"/>
      <c r="G103" s="697"/>
      <c r="H103" s="697"/>
    </row>
    <row r="104" spans="1:9" s="789" customFormat="1" x14ac:dyDescent="0.2">
      <c r="A104" s="683"/>
      <c r="B104" s="792" t="s">
        <v>3589</v>
      </c>
      <c r="C104" s="285">
        <f t="shared" si="2"/>
        <v>0</v>
      </c>
      <c r="D104" s="285">
        <f t="shared" si="2"/>
        <v>0</v>
      </c>
      <c r="E104" s="688"/>
      <c r="G104" s="697"/>
      <c r="H104" s="697"/>
    </row>
    <row r="105" spans="1:9" x14ac:dyDescent="0.2">
      <c r="A105" s="683"/>
      <c r="B105" s="785" t="s">
        <v>2072</v>
      </c>
      <c r="C105" s="285">
        <f t="shared" si="2"/>
        <v>0</v>
      </c>
      <c r="D105" s="285">
        <f t="shared" si="2"/>
        <v>0</v>
      </c>
      <c r="E105" s="688"/>
      <c r="F105" s="783"/>
      <c r="G105" s="783"/>
      <c r="H105" s="783"/>
      <c r="I105" s="697"/>
    </row>
    <row r="106" spans="1:9" ht="25.5" x14ac:dyDescent="0.2">
      <c r="A106" s="683"/>
      <c r="B106" s="785" t="s">
        <v>3574</v>
      </c>
      <c r="C106" s="285">
        <f t="shared" ref="C106:C114" si="3">G137</f>
        <v>693169</v>
      </c>
      <c r="D106" s="285">
        <f t="shared" ref="D106:D114" si="4">H137</f>
        <v>0</v>
      </c>
      <c r="E106" s="783"/>
      <c r="F106" s="783"/>
      <c r="G106" s="783"/>
      <c r="H106" s="783"/>
    </row>
    <row r="107" spans="1:9" ht="25.5" x14ac:dyDescent="0.2">
      <c r="A107" s="683"/>
      <c r="B107" s="785" t="s">
        <v>2101</v>
      </c>
      <c r="C107" s="285">
        <f t="shared" si="3"/>
        <v>0</v>
      </c>
      <c r="D107" s="285">
        <f t="shared" si="4"/>
        <v>122171</v>
      </c>
      <c r="E107" s="783"/>
      <c r="F107" s="783"/>
      <c r="G107" s="783"/>
      <c r="H107" s="783"/>
    </row>
    <row r="108" spans="1:9" x14ac:dyDescent="0.2">
      <c r="A108" s="683"/>
      <c r="B108" s="785" t="s">
        <v>3575</v>
      </c>
      <c r="C108" s="285">
        <f t="shared" si="3"/>
        <v>1023603</v>
      </c>
      <c r="D108" s="285">
        <f t="shared" si="4"/>
        <v>0</v>
      </c>
      <c r="E108" s="783"/>
      <c r="F108" s="783"/>
      <c r="G108" s="783"/>
      <c r="H108" s="783"/>
    </row>
    <row r="109" spans="1:9" ht="38.25" x14ac:dyDescent="0.2">
      <c r="A109" s="683"/>
      <c r="B109" s="785" t="s">
        <v>3576</v>
      </c>
      <c r="C109" s="285">
        <f t="shared" si="3"/>
        <v>0</v>
      </c>
      <c r="D109" s="285">
        <f t="shared" si="4"/>
        <v>43764</v>
      </c>
      <c r="E109" s="783"/>
      <c r="F109" s="783"/>
      <c r="G109" s="783"/>
      <c r="H109" s="783"/>
    </row>
    <row r="110" spans="1:9" ht="25.5" x14ac:dyDescent="0.2">
      <c r="A110" s="683"/>
      <c r="B110" s="785" t="s">
        <v>3577</v>
      </c>
      <c r="C110" s="285">
        <f t="shared" si="3"/>
        <v>78487</v>
      </c>
      <c r="D110" s="285">
        <f t="shared" si="4"/>
        <v>0</v>
      </c>
      <c r="E110" s="783"/>
      <c r="F110" s="783"/>
      <c r="G110" s="783"/>
      <c r="H110" s="783"/>
    </row>
    <row r="111" spans="1:9" ht="25.5" x14ac:dyDescent="0.2">
      <c r="A111" s="683"/>
      <c r="B111" s="785" t="s">
        <v>3578</v>
      </c>
      <c r="C111" s="285">
        <f t="shared" si="3"/>
        <v>0</v>
      </c>
      <c r="D111" s="285">
        <f t="shared" si="4"/>
        <v>0</v>
      </c>
      <c r="E111" s="783"/>
      <c r="F111" s="783"/>
      <c r="G111" s="783"/>
      <c r="H111" s="783"/>
    </row>
    <row r="112" spans="1:9" x14ac:dyDescent="0.2">
      <c r="A112" s="683"/>
      <c r="B112" s="785" t="s">
        <v>3579</v>
      </c>
      <c r="C112" s="285">
        <f t="shared" si="3"/>
        <v>0</v>
      </c>
      <c r="D112" s="285">
        <f t="shared" si="4"/>
        <v>0</v>
      </c>
      <c r="E112" s="783"/>
      <c r="F112" s="783"/>
      <c r="G112" s="783"/>
      <c r="H112" s="783"/>
    </row>
    <row r="113" spans="1:8" ht="38.25" x14ac:dyDescent="0.2">
      <c r="A113" s="683"/>
      <c r="B113" s="785" t="s">
        <v>3580</v>
      </c>
      <c r="C113" s="285">
        <f t="shared" si="3"/>
        <v>0</v>
      </c>
      <c r="D113" s="285">
        <f t="shared" si="4"/>
        <v>74158</v>
      </c>
      <c r="E113" s="783"/>
      <c r="F113" s="783"/>
      <c r="G113" s="783"/>
      <c r="H113" s="783"/>
    </row>
    <row r="114" spans="1:8" x14ac:dyDescent="0.2">
      <c r="A114" s="683"/>
      <c r="B114" s="785" t="s">
        <v>2034</v>
      </c>
      <c r="C114" s="285">
        <f t="shared" si="3"/>
        <v>0</v>
      </c>
      <c r="D114" s="285">
        <f t="shared" si="4"/>
        <v>950950</v>
      </c>
      <c r="E114" s="783"/>
      <c r="F114" s="783"/>
      <c r="G114" s="783"/>
      <c r="H114" s="783"/>
    </row>
    <row r="115" spans="1:8" x14ac:dyDescent="0.2">
      <c r="A115" s="683"/>
      <c r="B115" s="785"/>
      <c r="C115" s="285"/>
      <c r="D115" s="285"/>
      <c r="E115" s="783"/>
      <c r="F115" s="783"/>
      <c r="G115" s="783"/>
      <c r="H115" s="783"/>
    </row>
    <row r="116" spans="1:8" x14ac:dyDescent="0.2">
      <c r="A116" s="683"/>
      <c r="B116" s="782"/>
      <c r="C116" s="684"/>
      <c r="D116" s="684"/>
      <c r="E116" s="783"/>
      <c r="F116" s="783"/>
      <c r="G116" s="783"/>
      <c r="H116" s="783"/>
    </row>
    <row r="117" spans="1:8" ht="13.5" thickBot="1" x14ac:dyDescent="0.25">
      <c r="A117" s="683"/>
      <c r="B117" s="782"/>
      <c r="C117" s="689">
        <f>SUM(C94:C116)</f>
        <v>3266851</v>
      </c>
      <c r="D117" s="689">
        <f>SUM(D94:D116)</f>
        <v>3266851</v>
      </c>
      <c r="E117" s="783"/>
      <c r="F117" s="783"/>
      <c r="G117" s="783"/>
      <c r="H117" s="783"/>
    </row>
    <row r="118" spans="1:8" ht="13.5" thickTop="1" x14ac:dyDescent="0.2">
      <c r="A118" s="683"/>
      <c r="B118" s="782"/>
      <c r="C118" s="684"/>
      <c r="D118" s="684"/>
      <c r="E118" s="783"/>
      <c r="F118" s="783"/>
      <c r="G118" s="783"/>
      <c r="H118" s="783"/>
    </row>
    <row r="119" spans="1:8" x14ac:dyDescent="0.2">
      <c r="A119" s="683"/>
      <c r="B119" s="1587" t="s">
        <v>2074</v>
      </c>
      <c r="C119" s="1587"/>
      <c r="D119" s="1587"/>
      <c r="E119" s="1587"/>
      <c r="F119" s="1587"/>
      <c r="G119" s="1587"/>
      <c r="H119" s="1587"/>
    </row>
    <row r="120" spans="1:8" x14ac:dyDescent="0.2">
      <c r="A120" s="683"/>
      <c r="B120" s="1587"/>
      <c r="C120" s="1587"/>
      <c r="D120" s="1587"/>
      <c r="E120" s="1587"/>
      <c r="F120" s="1587"/>
      <c r="G120" s="1587"/>
      <c r="H120" s="1587"/>
    </row>
    <row r="121" spans="1:8" ht="18" x14ac:dyDescent="0.25">
      <c r="A121" s="683"/>
      <c r="B121" s="711"/>
      <c r="C121" s="711"/>
      <c r="D121" s="711"/>
      <c r="E121" s="711"/>
      <c r="F121" s="711"/>
      <c r="G121" s="711"/>
      <c r="H121" s="710"/>
    </row>
    <row r="122" spans="1:8" ht="18" x14ac:dyDescent="0.2">
      <c r="A122" s="683"/>
      <c r="B122" s="711"/>
      <c r="C122" s="712"/>
      <c r="D122" s="714"/>
      <c r="E122" s="715"/>
      <c r="F122" s="711"/>
      <c r="G122" s="1429" t="s">
        <v>905</v>
      </c>
      <c r="H122" s="1430"/>
    </row>
    <row r="123" spans="1:8" x14ac:dyDescent="0.2">
      <c r="A123" s="683"/>
      <c r="B123" s="786"/>
      <c r="C123" s="766"/>
      <c r="D123" s="767"/>
      <c r="E123" s="258"/>
      <c r="F123" s="784"/>
      <c r="G123" s="210"/>
      <c r="H123" s="211"/>
    </row>
    <row r="124" spans="1:8" x14ac:dyDescent="0.2">
      <c r="A124" s="683"/>
      <c r="B124" s="786"/>
      <c r="C124" s="713" t="s">
        <v>510</v>
      </c>
      <c r="D124" s="154" t="s">
        <v>511</v>
      </c>
      <c r="E124" s="259" t="s">
        <v>2073</v>
      </c>
      <c r="F124" s="784"/>
      <c r="G124" s="71" t="s">
        <v>510</v>
      </c>
      <c r="H124" s="72" t="s">
        <v>511</v>
      </c>
    </row>
    <row r="125" spans="1:8" ht="12.75" customHeight="1" x14ac:dyDescent="0.2">
      <c r="A125" s="683"/>
      <c r="B125" s="785" t="s">
        <v>1095</v>
      </c>
      <c r="C125" s="831">
        <v>0</v>
      </c>
      <c r="D125" s="768">
        <v>0</v>
      </c>
      <c r="E125" s="716">
        <f>C125-D125</f>
        <v>0</v>
      </c>
      <c r="F125" s="783"/>
      <c r="G125" s="114">
        <f t="shared" ref="G125:G145" si="5">IF(E125&lt;0,0,E125)</f>
        <v>0</v>
      </c>
      <c r="H125" s="718">
        <f t="shared" ref="H125:H145" si="6">IF(E125&gt;0,0,E125*-1)</f>
        <v>0</v>
      </c>
    </row>
    <row r="126" spans="1:8" ht="12.75" customHeight="1" x14ac:dyDescent="0.2">
      <c r="A126" s="683"/>
      <c r="B126" s="785" t="s">
        <v>2100</v>
      </c>
      <c r="C126" s="770">
        <v>0</v>
      </c>
      <c r="D126" s="769">
        <v>0</v>
      </c>
      <c r="E126" s="716">
        <f t="shared" ref="E126:E145" si="7">C126-D126</f>
        <v>0</v>
      </c>
      <c r="F126" s="783"/>
      <c r="G126" s="114">
        <f t="shared" si="5"/>
        <v>0</v>
      </c>
      <c r="H126" s="718">
        <f>IF(E126&gt;0,0,E126*-1)</f>
        <v>0</v>
      </c>
    </row>
    <row r="127" spans="1:8" x14ac:dyDescent="0.2">
      <c r="A127" s="683"/>
      <c r="B127" s="785" t="s">
        <v>2031</v>
      </c>
      <c r="C127" s="770">
        <f>(D45+D46)*C75</f>
        <v>3857799</v>
      </c>
      <c r="D127" s="769">
        <f>(E45+E46)*C75</f>
        <v>5933607</v>
      </c>
      <c r="E127" s="716">
        <f t="shared" si="7"/>
        <v>-2075808</v>
      </c>
      <c r="F127" s="783"/>
      <c r="G127" s="114">
        <f t="shared" si="5"/>
        <v>0</v>
      </c>
      <c r="H127" s="718">
        <f>IF(E127&gt;0,0,E127*-1)</f>
        <v>2075808</v>
      </c>
    </row>
    <row r="128" spans="1:8" x14ac:dyDescent="0.2">
      <c r="A128" s="683"/>
      <c r="B128" s="785" t="s">
        <v>2066</v>
      </c>
      <c r="C128" s="770">
        <f t="shared" ref="C128:C136" si="8">($D$47+$D$65+$D$66)*C80</f>
        <v>1658726</v>
      </c>
      <c r="D128" s="769">
        <f t="shared" ref="D128:D136" si="9">($E$47+$E$65+$E$66)*C80</f>
        <v>187134</v>
      </c>
      <c r="E128" s="716">
        <f t="shared" si="7"/>
        <v>1471592</v>
      </c>
      <c r="F128" s="783"/>
      <c r="G128" s="114">
        <f>IF(E128&lt;0,0,E128)-E146</f>
        <v>1471592</v>
      </c>
      <c r="H128" s="718">
        <f t="shared" si="6"/>
        <v>0</v>
      </c>
    </row>
    <row r="129" spans="2:8" x14ac:dyDescent="0.2">
      <c r="B129" s="785" t="s">
        <v>2067</v>
      </c>
      <c r="C129" s="770">
        <f t="shared" si="8"/>
        <v>0</v>
      </c>
      <c r="D129" s="769">
        <f t="shared" si="9"/>
        <v>0</v>
      </c>
      <c r="E129" s="716">
        <f t="shared" si="7"/>
        <v>0</v>
      </c>
      <c r="F129" s="783"/>
      <c r="G129" s="114">
        <f t="shared" si="5"/>
        <v>0</v>
      </c>
      <c r="H129" s="718">
        <f t="shared" si="6"/>
        <v>0</v>
      </c>
    </row>
    <row r="130" spans="2:8" x14ac:dyDescent="0.2">
      <c r="B130" s="785" t="s">
        <v>2068</v>
      </c>
      <c r="C130" s="770">
        <f t="shared" si="8"/>
        <v>0</v>
      </c>
      <c r="D130" s="769">
        <f t="shared" si="9"/>
        <v>0</v>
      </c>
      <c r="E130" s="716">
        <f t="shared" si="7"/>
        <v>0</v>
      </c>
      <c r="F130" s="783"/>
      <c r="G130" s="114">
        <f t="shared" si="5"/>
        <v>0</v>
      </c>
      <c r="H130" s="718">
        <f t="shared" si="6"/>
        <v>0</v>
      </c>
    </row>
    <row r="131" spans="2:8" x14ac:dyDescent="0.2">
      <c r="B131" s="785" t="s">
        <v>2069</v>
      </c>
      <c r="C131" s="770">
        <f t="shared" si="8"/>
        <v>0</v>
      </c>
      <c r="D131" s="769">
        <f t="shared" si="9"/>
        <v>0</v>
      </c>
      <c r="E131" s="716">
        <f t="shared" si="7"/>
        <v>0</v>
      </c>
      <c r="F131" s="783"/>
      <c r="G131" s="114">
        <f t="shared" si="5"/>
        <v>0</v>
      </c>
      <c r="H131" s="718">
        <f t="shared" si="6"/>
        <v>0</v>
      </c>
    </row>
    <row r="132" spans="2:8" x14ac:dyDescent="0.2">
      <c r="B132" s="785" t="s">
        <v>2070</v>
      </c>
      <c r="C132" s="770">
        <f t="shared" si="8"/>
        <v>0</v>
      </c>
      <c r="D132" s="769">
        <f t="shared" si="9"/>
        <v>0</v>
      </c>
      <c r="E132" s="716">
        <f t="shared" si="7"/>
        <v>0</v>
      </c>
      <c r="F132" s="783"/>
      <c r="G132" s="114">
        <f t="shared" si="5"/>
        <v>0</v>
      </c>
      <c r="H132" s="718">
        <f t="shared" si="6"/>
        <v>0</v>
      </c>
    </row>
    <row r="133" spans="2:8" s="789" customFormat="1" x14ac:dyDescent="0.2">
      <c r="B133" s="792" t="s">
        <v>3588</v>
      </c>
      <c r="C133" s="770">
        <f t="shared" si="8"/>
        <v>0</v>
      </c>
      <c r="D133" s="769">
        <f t="shared" si="9"/>
        <v>0</v>
      </c>
      <c r="E133" s="716">
        <f t="shared" si="7"/>
        <v>0</v>
      </c>
      <c r="G133" s="114">
        <f>IF(E133&lt;0,0,E133)</f>
        <v>0</v>
      </c>
      <c r="H133" s="718">
        <f>IF(E133&gt;0,0,E133*-1)</f>
        <v>0</v>
      </c>
    </row>
    <row r="134" spans="2:8" x14ac:dyDescent="0.2">
      <c r="B134" s="792" t="s">
        <v>2071</v>
      </c>
      <c r="C134" s="770">
        <f t="shared" si="8"/>
        <v>0</v>
      </c>
      <c r="D134" s="769">
        <f t="shared" si="9"/>
        <v>0</v>
      </c>
      <c r="E134" s="716">
        <f t="shared" si="7"/>
        <v>0</v>
      </c>
      <c r="F134" s="783"/>
      <c r="G134" s="114">
        <f>IF(E134&lt;0,0,E134)</f>
        <v>0</v>
      </c>
      <c r="H134" s="718">
        <f>IF(E134&gt;0,0,E134*-1)</f>
        <v>0</v>
      </c>
    </row>
    <row r="135" spans="2:8" s="789" customFormat="1" x14ac:dyDescent="0.2">
      <c r="B135" s="792" t="s">
        <v>3589</v>
      </c>
      <c r="C135" s="770">
        <f t="shared" si="8"/>
        <v>0</v>
      </c>
      <c r="D135" s="769">
        <f t="shared" si="9"/>
        <v>0</v>
      </c>
      <c r="E135" s="716">
        <f t="shared" si="7"/>
        <v>0</v>
      </c>
      <c r="G135" s="114">
        <f>IF(E135&lt;0,0,E135)</f>
        <v>0</v>
      </c>
      <c r="H135" s="718">
        <f>IF(E135&gt;0,0,E135*-1)</f>
        <v>0</v>
      </c>
    </row>
    <row r="136" spans="2:8" x14ac:dyDescent="0.2">
      <c r="B136" s="785" t="s">
        <v>2072</v>
      </c>
      <c r="C136" s="770">
        <f t="shared" si="8"/>
        <v>0</v>
      </c>
      <c r="D136" s="769">
        <f t="shared" si="9"/>
        <v>0</v>
      </c>
      <c r="E136" s="716">
        <f t="shared" si="7"/>
        <v>0</v>
      </c>
      <c r="F136" s="783"/>
      <c r="G136" s="114">
        <f>IF(E136&lt;0,0,E136)</f>
        <v>0</v>
      </c>
      <c r="H136" s="718">
        <f>IF(E136&gt;0,0,E136*-1)</f>
        <v>0</v>
      </c>
    </row>
    <row r="137" spans="2:8" ht="25.5" x14ac:dyDescent="0.2">
      <c r="B137" s="785" t="s">
        <v>3574</v>
      </c>
      <c r="C137" s="770">
        <f>(D48+D56)*C75</f>
        <v>915414</v>
      </c>
      <c r="D137" s="769">
        <f>(E48+E56)*C75</f>
        <v>222245</v>
      </c>
      <c r="E137" s="716">
        <f t="shared" si="7"/>
        <v>693169</v>
      </c>
      <c r="F137" s="784"/>
      <c r="G137" s="114">
        <f t="shared" si="5"/>
        <v>693169</v>
      </c>
      <c r="H137" s="718">
        <f t="shared" si="6"/>
        <v>0</v>
      </c>
    </row>
    <row r="138" spans="2:8" ht="25.5" x14ac:dyDescent="0.2">
      <c r="B138" s="785" t="s">
        <v>2101</v>
      </c>
      <c r="C138" s="770">
        <f>(D49+D57)*C75</f>
        <v>814507</v>
      </c>
      <c r="D138" s="769">
        <f>(E49+E57)*C75</f>
        <v>936678</v>
      </c>
      <c r="E138" s="716">
        <f t="shared" si="7"/>
        <v>-122171</v>
      </c>
      <c r="F138" s="784"/>
      <c r="G138" s="114">
        <f t="shared" si="5"/>
        <v>0</v>
      </c>
      <c r="H138" s="718">
        <f t="shared" si="6"/>
        <v>122171</v>
      </c>
    </row>
    <row r="139" spans="2:8" x14ac:dyDescent="0.2">
      <c r="B139" s="785" t="s">
        <v>3575</v>
      </c>
      <c r="C139" s="770">
        <f>(D50+D58)*C75</f>
        <v>1574550</v>
      </c>
      <c r="D139" s="769">
        <f>(E50+E58)*C75</f>
        <v>550947</v>
      </c>
      <c r="E139" s="716">
        <f t="shared" si="7"/>
        <v>1023603</v>
      </c>
      <c r="F139" s="784"/>
      <c r="G139" s="114">
        <f t="shared" si="5"/>
        <v>1023603</v>
      </c>
      <c r="H139" s="718">
        <f t="shared" si="6"/>
        <v>0</v>
      </c>
    </row>
    <row r="140" spans="2:8" ht="38.25" x14ac:dyDescent="0.2">
      <c r="B140" s="785" t="s">
        <v>3576</v>
      </c>
      <c r="C140" s="770">
        <f>(D51+D59)*C75</f>
        <v>80513</v>
      </c>
      <c r="D140" s="769">
        <f>(E51+E59)*C75</f>
        <v>124277</v>
      </c>
      <c r="E140" s="716">
        <f t="shared" si="7"/>
        <v>-43764</v>
      </c>
      <c r="F140" s="784"/>
      <c r="G140" s="114">
        <f t="shared" si="5"/>
        <v>0</v>
      </c>
      <c r="H140" s="718">
        <f t="shared" si="6"/>
        <v>43764</v>
      </c>
    </row>
    <row r="141" spans="2:8" ht="25.5" x14ac:dyDescent="0.2">
      <c r="B141" s="785" t="s">
        <v>3577</v>
      </c>
      <c r="C141" s="770">
        <f>(D52+D60)*C75</f>
        <v>109203</v>
      </c>
      <c r="D141" s="769">
        <f>(E52+E60)*C75</f>
        <v>30716</v>
      </c>
      <c r="E141" s="716">
        <f t="shared" si="7"/>
        <v>78487</v>
      </c>
      <c r="F141" s="784"/>
      <c r="G141" s="114">
        <f t="shared" si="5"/>
        <v>78487</v>
      </c>
      <c r="H141" s="718">
        <f t="shared" si="6"/>
        <v>0</v>
      </c>
    </row>
    <row r="142" spans="2:8" ht="25.5" x14ac:dyDescent="0.2">
      <c r="B142" s="785" t="s">
        <v>3578</v>
      </c>
      <c r="C142" s="770">
        <f>(D53+D61)*C75</f>
        <v>0</v>
      </c>
      <c r="D142" s="769">
        <f>(E53+E61)*C75</f>
        <v>0</v>
      </c>
      <c r="E142" s="716">
        <f t="shared" si="7"/>
        <v>0</v>
      </c>
      <c r="F142" s="784"/>
      <c r="G142" s="114">
        <f t="shared" si="5"/>
        <v>0</v>
      </c>
      <c r="H142" s="718">
        <f t="shared" si="6"/>
        <v>0</v>
      </c>
    </row>
    <row r="143" spans="2:8" x14ac:dyDescent="0.2">
      <c r="B143" s="785" t="s">
        <v>3579</v>
      </c>
      <c r="C143" s="770">
        <f>(D54+D62)*C75</f>
        <v>0</v>
      </c>
      <c r="D143" s="769">
        <f>(E54+E62)*C75</f>
        <v>0</v>
      </c>
      <c r="E143" s="716">
        <f t="shared" si="7"/>
        <v>0</v>
      </c>
      <c r="F143" s="784"/>
      <c r="G143" s="114">
        <f t="shared" si="5"/>
        <v>0</v>
      </c>
      <c r="H143" s="718">
        <f t="shared" si="6"/>
        <v>0</v>
      </c>
    </row>
    <row r="144" spans="2:8" ht="38.25" x14ac:dyDescent="0.2">
      <c r="B144" s="785" t="s">
        <v>3580</v>
      </c>
      <c r="C144" s="770">
        <f>(D55+D63)*C75</f>
        <v>30255</v>
      </c>
      <c r="D144" s="769">
        <f>(E55+E63)*C75</f>
        <v>104413</v>
      </c>
      <c r="E144" s="716">
        <f t="shared" si="7"/>
        <v>-74158</v>
      </c>
      <c r="F144" s="784"/>
      <c r="G144" s="114">
        <f t="shared" si="5"/>
        <v>0</v>
      </c>
      <c r="H144" s="718">
        <f t="shared" si="6"/>
        <v>74158</v>
      </c>
    </row>
    <row r="145" spans="2:9" x14ac:dyDescent="0.2">
      <c r="B145" s="785" t="s">
        <v>2034</v>
      </c>
      <c r="C145" s="770">
        <f>D64*C75</f>
        <v>0</v>
      </c>
      <c r="D145" s="769">
        <f>E64*C75</f>
        <v>950950</v>
      </c>
      <c r="E145" s="716">
        <f t="shared" si="7"/>
        <v>-950950</v>
      </c>
      <c r="F145" s="784"/>
      <c r="G145" s="114">
        <f t="shared" si="5"/>
        <v>0</v>
      </c>
      <c r="H145" s="718">
        <f t="shared" si="6"/>
        <v>950950</v>
      </c>
      <c r="I145" s="771"/>
    </row>
    <row r="146" spans="2:9" x14ac:dyDescent="0.2">
      <c r="B146" s="783"/>
      <c r="C146" s="719">
        <f>SUM(C124:C145)</f>
        <v>9040967</v>
      </c>
      <c r="D146" s="720">
        <f>SUM(D124:D145)</f>
        <v>9040967</v>
      </c>
      <c r="E146" s="717">
        <f>SUM(E124:E145)</f>
        <v>0</v>
      </c>
      <c r="F146" s="214"/>
      <c r="G146" s="719">
        <f>SUM(G124:G145)</f>
        <v>3266851</v>
      </c>
      <c r="H146" s="720">
        <f>SUM(H124:H145)</f>
        <v>3266851</v>
      </c>
      <c r="I146" s="771"/>
    </row>
    <row r="147" spans="2:9" x14ac:dyDescent="0.2">
      <c r="B147" s="709"/>
      <c r="C147" s="832"/>
      <c r="D147" s="832"/>
      <c r="E147" s="145"/>
      <c r="F147" s="784"/>
      <c r="G147" s="47"/>
      <c r="H147" s="47"/>
      <c r="I147" s="771"/>
    </row>
    <row r="148" spans="2:9" x14ac:dyDescent="0.2">
      <c r="B148" s="709"/>
      <c r="C148" s="832"/>
      <c r="D148" s="832"/>
      <c r="E148" s="145"/>
      <c r="F148" s="784"/>
      <c r="G148" s="47"/>
      <c r="H148" s="47"/>
      <c r="I148" s="771"/>
    </row>
    <row r="149" spans="2:9" x14ac:dyDescent="0.2">
      <c r="B149" s="709"/>
      <c r="C149" s="832"/>
      <c r="D149" s="832"/>
      <c r="E149" s="145"/>
      <c r="F149" s="784"/>
      <c r="G149" s="47"/>
      <c r="H149" s="47"/>
    </row>
    <row r="150" spans="2:9" x14ac:dyDescent="0.2">
      <c r="B150" s="709"/>
      <c r="C150" s="832"/>
      <c r="D150" s="832"/>
      <c r="E150" s="145"/>
      <c r="F150" s="784"/>
      <c r="G150" s="47"/>
      <c r="H150" s="47"/>
    </row>
    <row r="151" spans="2:9" x14ac:dyDescent="0.2">
      <c r="B151" s="709"/>
      <c r="C151" s="832"/>
      <c r="D151" s="832"/>
      <c r="E151" s="145"/>
      <c r="F151" s="784"/>
      <c r="G151" s="47"/>
      <c r="H151" s="47"/>
    </row>
    <row r="152" spans="2:9" x14ac:dyDescent="0.2">
      <c r="B152" s="709"/>
      <c r="C152" s="832"/>
      <c r="D152" s="832"/>
      <c r="E152" s="145"/>
      <c r="F152" s="784"/>
      <c r="G152" s="47"/>
      <c r="H152" s="47"/>
    </row>
    <row r="153" spans="2:9" x14ac:dyDescent="0.2">
      <c r="B153" s="709"/>
      <c r="C153" s="832"/>
      <c r="D153" s="832"/>
      <c r="E153" s="145"/>
      <c r="F153" s="784"/>
      <c r="G153" s="47"/>
      <c r="H153" s="47"/>
    </row>
    <row r="154" spans="2:9" x14ac:dyDescent="0.2">
      <c r="B154" s="709"/>
      <c r="C154" s="832"/>
      <c r="D154" s="832"/>
      <c r="E154" s="145"/>
      <c r="F154" s="784"/>
      <c r="G154" s="47"/>
      <c r="H154" s="47"/>
    </row>
    <row r="155" spans="2:9" x14ac:dyDescent="0.2">
      <c r="B155" s="709"/>
      <c r="C155" s="832"/>
      <c r="D155" s="832"/>
      <c r="E155" s="145"/>
      <c r="F155" s="784"/>
      <c r="G155" s="47"/>
      <c r="H155" s="47"/>
    </row>
    <row r="156" spans="2:9" x14ac:dyDescent="0.2">
      <c r="B156" s="709"/>
      <c r="C156" s="832"/>
      <c r="D156" s="832"/>
      <c r="E156" s="145"/>
      <c r="F156" s="784"/>
      <c r="G156" s="47"/>
      <c r="H156" s="47"/>
    </row>
    <row r="157" spans="2:9" x14ac:dyDescent="0.2">
      <c r="B157" s="709"/>
      <c r="C157" s="832"/>
      <c r="D157" s="832"/>
      <c r="E157" s="145"/>
      <c r="F157" s="784"/>
      <c r="G157" s="47"/>
      <c r="H157" s="47"/>
    </row>
    <row r="158" spans="2:9" x14ac:dyDescent="0.2">
      <c r="B158" s="709"/>
      <c r="C158" s="832"/>
      <c r="D158" s="832"/>
      <c r="E158" s="145"/>
      <c r="F158" s="784"/>
      <c r="G158" s="47"/>
      <c r="H158" s="47"/>
    </row>
    <row r="159" spans="2:9" x14ac:dyDescent="0.2">
      <c r="C159" s="10"/>
      <c r="D159" s="10"/>
      <c r="E159" s="145"/>
      <c r="F159" s="784"/>
      <c r="G159" s="10"/>
      <c r="H159" s="10"/>
    </row>
  </sheetData>
  <customSheetViews>
    <customSheetView guid="{C1197650-3ED8-49E4-8E4C-0D1D4B503FC0}" scale="80" fitToPage="1" hiddenRows="1" topLeftCell="A28">
      <selection activeCell="K144" sqref="K144"/>
      <pageMargins left="0.7" right="0.7" top="0.75" bottom="0.75" header="0.3" footer="0.3"/>
      <pageSetup scale="51" fitToWidth="2" fitToHeight="11" orientation="landscape" r:id="rId1"/>
    </customSheetView>
    <customSheetView guid="{D2B860EA-92EC-4999-9A59-C624E1F8C7FB}" scale="80" fitToPage="1" hiddenRows="1" topLeftCell="A28">
      <selection activeCell="K144" sqref="K144"/>
      <pageMargins left="0.7" right="0.7" top="0.75" bottom="0.75" header="0.3" footer="0.3"/>
      <pageSetup scale="51" fitToWidth="2" fitToHeight="11" orientation="landscape" r:id="rId2"/>
    </customSheetView>
  </customSheetViews>
  <mergeCells count="6">
    <mergeCell ref="G122:H122"/>
    <mergeCell ref="A2:C2"/>
    <mergeCell ref="A5:C5"/>
    <mergeCell ref="B72:I72"/>
    <mergeCell ref="B74:E74"/>
    <mergeCell ref="B119:H120"/>
  </mergeCells>
  <conditionalFormatting sqref="B46:E53 C61:E63 B64:E67">
    <cfRule type="expression" dxfId="44" priority="11">
      <formula>#REF!=2</formula>
    </cfRule>
  </conditionalFormatting>
  <conditionalFormatting sqref="B54">
    <cfRule type="expression" dxfId="43" priority="10">
      <formula>#REF!=2</formula>
    </cfRule>
  </conditionalFormatting>
  <conditionalFormatting sqref="E58:E60">
    <cfRule type="expression" dxfId="42" priority="9">
      <formula>#REF!=2</formula>
    </cfRule>
  </conditionalFormatting>
  <conditionalFormatting sqref="C54:E54">
    <cfRule type="expression" dxfId="41" priority="8">
      <formula>#REF!=2</formula>
    </cfRule>
  </conditionalFormatting>
  <conditionalFormatting sqref="B55">
    <cfRule type="expression" dxfId="40" priority="7">
      <formula>#REF!=2</formula>
    </cfRule>
  </conditionalFormatting>
  <conditionalFormatting sqref="C55:C60">
    <cfRule type="expression" dxfId="39" priority="6">
      <formula>#REF!=2</formula>
    </cfRule>
  </conditionalFormatting>
  <conditionalFormatting sqref="D55:D60">
    <cfRule type="expression" dxfId="38" priority="5">
      <formula>#REF!=2</formula>
    </cfRule>
  </conditionalFormatting>
  <conditionalFormatting sqref="E55:E57">
    <cfRule type="expression" dxfId="37" priority="4">
      <formula>#REF!=2</formula>
    </cfRule>
  </conditionalFormatting>
  <conditionalFormatting sqref="B56:B61">
    <cfRule type="expression" dxfId="36" priority="3">
      <formula>#REF!=2</formula>
    </cfRule>
  </conditionalFormatting>
  <conditionalFormatting sqref="B62">
    <cfRule type="expression" dxfId="35" priority="2">
      <formula>#REF!=2</formula>
    </cfRule>
  </conditionalFormatting>
  <conditionalFormatting sqref="B63">
    <cfRule type="expression" dxfId="34" priority="1">
      <formula>#REF!=2</formula>
    </cfRule>
  </conditionalFormatting>
  <pageMargins left="0.7" right="0.7" top="0.75" bottom="0.75" header="0.3" footer="0.3"/>
  <pageSetup scale="51" fitToWidth="2" fitToHeight="11" orientation="landscape"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100-000000000000}">
          <x14:formula1>
            <xm:f>'N.1a LGERS Data PY'!$B$911:$B$1813</xm:f>
          </x14:formula1>
          <xm:sqref>C15 C13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0EB41-F6A0-4C78-9F8C-315E057233D4}">
  <dimension ref="A1:U1813"/>
  <sheetViews>
    <sheetView workbookViewId="0"/>
  </sheetViews>
  <sheetFormatPr defaultColWidth="9.140625" defaultRowHeight="15" x14ac:dyDescent="0.25"/>
  <cols>
    <col min="1" max="1" width="10.5703125" style="958" customWidth="1"/>
    <col min="2" max="2" width="43.7109375" style="958" customWidth="1"/>
    <col min="3" max="4" width="13.85546875" style="958" customWidth="1"/>
    <col min="5" max="5" width="13.85546875" style="1006" customWidth="1"/>
    <col min="6" max="6" width="15.42578125" style="984" bestFit="1" customWidth="1"/>
    <col min="7" max="7" width="18.28515625" style="958" customWidth="1"/>
    <col min="8" max="8" width="3.85546875" style="958" customWidth="1"/>
    <col min="9" max="9" width="18.28515625" style="958" customWidth="1"/>
    <col min="10" max="10" width="20" style="959" customWidth="1"/>
    <col min="11" max="11" width="14.42578125" style="958" customWidth="1"/>
    <col min="12" max="12" width="19.42578125" style="958" customWidth="1"/>
    <col min="13" max="13" width="3.85546875" style="958" customWidth="1"/>
    <col min="14" max="15" width="18.28515625" style="958" customWidth="1"/>
    <col min="16" max="16" width="11.85546875" style="958" customWidth="1"/>
    <col min="17" max="17" width="19.42578125" style="958" customWidth="1"/>
    <col min="18" max="18" width="3.85546875" style="958" customWidth="1"/>
    <col min="19" max="19" width="13.85546875" style="958" customWidth="1"/>
    <col min="20" max="20" width="22.42578125" style="958" customWidth="1"/>
    <col min="21" max="21" width="14.85546875" style="958" bestFit="1" customWidth="1"/>
    <col min="22" max="16384" width="9.140625" style="958"/>
  </cols>
  <sheetData>
    <row r="1" spans="1:21" x14ac:dyDescent="0.25">
      <c r="A1" s="958" t="s">
        <v>4079</v>
      </c>
      <c r="J1" s="958"/>
    </row>
    <row r="2" spans="1:21" x14ac:dyDescent="0.25">
      <c r="A2" s="958" t="s">
        <v>3661</v>
      </c>
      <c r="J2" s="958"/>
    </row>
    <row r="3" spans="1:21" x14ac:dyDescent="0.25">
      <c r="C3" s="1182">
        <v>3</v>
      </c>
      <c r="D3" s="1182">
        <v>4</v>
      </c>
      <c r="E3" s="1182">
        <v>5</v>
      </c>
      <c r="F3" s="1182">
        <v>6</v>
      </c>
      <c r="G3" s="1182">
        <v>7</v>
      </c>
      <c r="H3" s="1182">
        <v>8</v>
      </c>
      <c r="I3" s="1182">
        <v>9</v>
      </c>
      <c r="J3" s="1182">
        <v>10</v>
      </c>
      <c r="K3" s="1182">
        <v>11</v>
      </c>
      <c r="L3" s="1182">
        <v>12</v>
      </c>
      <c r="M3" s="1182">
        <v>13</v>
      </c>
      <c r="N3" s="1182">
        <v>14</v>
      </c>
      <c r="O3" s="1182">
        <v>15</v>
      </c>
      <c r="P3" s="1182">
        <v>16</v>
      </c>
      <c r="Q3" s="1182">
        <v>17</v>
      </c>
      <c r="R3" s="1182">
        <v>18</v>
      </c>
      <c r="S3" s="1182">
        <v>19</v>
      </c>
      <c r="T3" s="1182">
        <v>20</v>
      </c>
      <c r="U3" s="1182">
        <v>21</v>
      </c>
    </row>
    <row r="4" spans="1:21" x14ac:dyDescent="0.25">
      <c r="I4" s="960" t="s">
        <v>1147</v>
      </c>
      <c r="J4" s="960"/>
      <c r="K4" s="960"/>
      <c r="L4" s="960"/>
      <c r="N4" s="960" t="s">
        <v>1148</v>
      </c>
      <c r="O4" s="960"/>
      <c r="P4" s="960"/>
      <c r="Q4" s="960"/>
      <c r="S4" s="960" t="s">
        <v>1149</v>
      </c>
      <c r="T4" s="960"/>
      <c r="U4" s="960"/>
    </row>
    <row r="5" spans="1:21" ht="120" x14ac:dyDescent="0.25">
      <c r="A5" s="962" t="s">
        <v>1150</v>
      </c>
      <c r="B5" s="962" t="s">
        <v>1151</v>
      </c>
      <c r="C5" s="962" t="s">
        <v>2090</v>
      </c>
      <c r="D5" s="962" t="s">
        <v>2091</v>
      </c>
      <c r="E5" s="1007" t="s">
        <v>3954</v>
      </c>
      <c r="F5" s="797" t="s">
        <v>2629</v>
      </c>
      <c r="G5" s="797" t="s">
        <v>1152</v>
      </c>
      <c r="H5" s="962"/>
      <c r="I5" s="962" t="s">
        <v>1153</v>
      </c>
      <c r="J5" s="963" t="s">
        <v>1154</v>
      </c>
      <c r="K5" s="962" t="s">
        <v>1155</v>
      </c>
      <c r="L5" s="962" t="s">
        <v>1156</v>
      </c>
      <c r="M5" s="962"/>
      <c r="N5" s="962" t="s">
        <v>1153</v>
      </c>
      <c r="O5" s="676" t="s">
        <v>1154</v>
      </c>
      <c r="P5" s="962" t="s">
        <v>1155</v>
      </c>
      <c r="Q5" s="962" t="s">
        <v>1156</v>
      </c>
      <c r="R5" s="962"/>
      <c r="S5" s="962" t="s">
        <v>1157</v>
      </c>
      <c r="T5" s="962" t="s">
        <v>1158</v>
      </c>
      <c r="U5" s="962" t="s">
        <v>1159</v>
      </c>
    </row>
    <row r="6" spans="1:21" x14ac:dyDescent="0.25">
      <c r="A6" s="964" t="s">
        <v>825</v>
      </c>
      <c r="B6" s="965" t="s">
        <v>2089</v>
      </c>
      <c r="C6" s="962"/>
      <c r="D6" s="962"/>
      <c r="E6" s="1007">
        <v>0</v>
      </c>
      <c r="F6" s="985"/>
      <c r="G6" s="962"/>
      <c r="H6" s="962"/>
      <c r="I6" s="962"/>
      <c r="J6" s="963"/>
      <c r="K6" s="962"/>
      <c r="L6" s="962"/>
      <c r="M6" s="962"/>
      <c r="N6" s="962"/>
      <c r="O6" s="962"/>
      <c r="P6" s="962"/>
      <c r="Q6" s="962"/>
      <c r="R6" s="962"/>
      <c r="S6" s="962"/>
      <c r="T6" s="962"/>
      <c r="U6" s="962"/>
    </row>
    <row r="7" spans="1:21" x14ac:dyDescent="0.25">
      <c r="A7" s="966">
        <v>70505</v>
      </c>
      <c r="B7" s="967" t="s">
        <v>2630</v>
      </c>
      <c r="C7" s="968">
        <v>4.147E-4</v>
      </c>
      <c r="D7" s="968">
        <v>4.6880000000000001E-4</v>
      </c>
      <c r="E7" s="1007">
        <v>195765</v>
      </c>
      <c r="F7" s="1010">
        <v>994951</v>
      </c>
      <c r="G7" s="969">
        <v>633547</v>
      </c>
      <c r="H7" s="969"/>
      <c r="I7" s="970">
        <v>36498</v>
      </c>
      <c r="J7" s="971">
        <v>153826</v>
      </c>
      <c r="K7" s="970">
        <v>90479</v>
      </c>
      <c r="L7" s="969">
        <v>0</v>
      </c>
      <c r="M7" s="969"/>
      <c r="N7" s="970">
        <v>17934</v>
      </c>
      <c r="O7" s="970">
        <v>0</v>
      </c>
      <c r="P7" s="970">
        <v>0</v>
      </c>
      <c r="Q7" s="969">
        <v>53472</v>
      </c>
      <c r="R7" s="969"/>
      <c r="S7" s="970">
        <v>213506</v>
      </c>
      <c r="T7" s="972">
        <v>-18259</v>
      </c>
      <c r="U7" s="972">
        <v>195247</v>
      </c>
    </row>
    <row r="8" spans="1:21" x14ac:dyDescent="0.25">
      <c r="A8" s="966">
        <v>72265</v>
      </c>
      <c r="B8" s="967" t="s">
        <v>2632</v>
      </c>
      <c r="C8" s="968">
        <v>1.4009999999999999E-4</v>
      </c>
      <c r="D8" s="968">
        <v>1.327E-4</v>
      </c>
      <c r="E8" s="1007">
        <v>61817</v>
      </c>
      <c r="F8" s="1010">
        <v>281634</v>
      </c>
      <c r="G8" s="969">
        <v>214034</v>
      </c>
      <c r="H8" s="969"/>
      <c r="I8" s="970">
        <v>12330</v>
      </c>
      <c r="J8" s="971">
        <v>51967</v>
      </c>
      <c r="K8" s="970">
        <v>30567</v>
      </c>
      <c r="L8" s="969">
        <v>6550</v>
      </c>
      <c r="M8" s="969"/>
      <c r="N8" s="970">
        <v>6059</v>
      </c>
      <c r="O8" s="970">
        <v>0</v>
      </c>
      <c r="P8" s="970">
        <v>0</v>
      </c>
      <c r="Q8" s="969">
        <v>3729</v>
      </c>
      <c r="R8" s="969"/>
      <c r="S8" s="970">
        <v>72130</v>
      </c>
      <c r="T8" s="972">
        <v>3031</v>
      </c>
      <c r="U8" s="972">
        <v>75161</v>
      </c>
    </row>
    <row r="9" spans="1:21" x14ac:dyDescent="0.25">
      <c r="A9" s="966">
        <v>72593</v>
      </c>
      <c r="B9" s="967" t="s">
        <v>3664</v>
      </c>
      <c r="C9" s="968">
        <v>5.9000000000000003E-6</v>
      </c>
      <c r="D9" s="968">
        <v>0</v>
      </c>
      <c r="E9" s="1007">
        <v>1531</v>
      </c>
      <c r="F9" s="1010">
        <v>0</v>
      </c>
      <c r="G9" s="969">
        <v>9014</v>
      </c>
      <c r="H9" s="969"/>
      <c r="I9" s="970">
        <v>519</v>
      </c>
      <c r="J9" s="971">
        <v>2188</v>
      </c>
      <c r="K9" s="970">
        <v>1287</v>
      </c>
      <c r="L9" s="969">
        <v>3014</v>
      </c>
      <c r="M9" s="969"/>
      <c r="N9" s="970">
        <v>255</v>
      </c>
      <c r="O9" s="970">
        <v>0</v>
      </c>
      <c r="P9" s="970">
        <v>0</v>
      </c>
      <c r="Q9" s="969">
        <v>0</v>
      </c>
      <c r="R9" s="969"/>
      <c r="S9" s="970">
        <v>3038</v>
      </c>
      <c r="T9" s="972">
        <v>753</v>
      </c>
      <c r="U9" s="972">
        <v>3791</v>
      </c>
    </row>
    <row r="10" spans="1:21" x14ac:dyDescent="0.25">
      <c r="A10" s="966">
        <v>72657</v>
      </c>
      <c r="B10" s="967" t="s">
        <v>2633</v>
      </c>
      <c r="C10" s="968">
        <v>3.9900000000000001E-5</v>
      </c>
      <c r="D10" s="968">
        <v>4.2799999999999997E-5</v>
      </c>
      <c r="E10" s="1007">
        <v>16620</v>
      </c>
      <c r="F10" s="1010">
        <v>90836</v>
      </c>
      <c r="G10" s="969">
        <v>60956</v>
      </c>
      <c r="H10" s="969"/>
      <c r="I10" s="970">
        <v>3512</v>
      </c>
      <c r="J10" s="971">
        <v>14801</v>
      </c>
      <c r="K10" s="970">
        <v>8705</v>
      </c>
      <c r="L10" s="969">
        <v>3272</v>
      </c>
      <c r="M10" s="969"/>
      <c r="N10" s="970">
        <v>1725</v>
      </c>
      <c r="O10" s="970">
        <v>0</v>
      </c>
      <c r="P10" s="970">
        <v>0</v>
      </c>
      <c r="Q10" s="969">
        <v>6366</v>
      </c>
      <c r="R10" s="969"/>
      <c r="S10" s="970">
        <v>20542</v>
      </c>
      <c r="T10" s="972">
        <v>900</v>
      </c>
      <c r="U10" s="972">
        <v>21442</v>
      </c>
    </row>
    <row r="11" spans="1:21" x14ac:dyDescent="0.25">
      <c r="A11" s="966">
        <v>90001</v>
      </c>
      <c r="B11" s="967" t="s">
        <v>2634</v>
      </c>
      <c r="C11" s="968">
        <v>8.6030000000000004E-4</v>
      </c>
      <c r="D11" s="968">
        <v>8.6910000000000004E-4</v>
      </c>
      <c r="E11" s="1007">
        <v>386652</v>
      </c>
      <c r="F11" s="1010">
        <v>1844521</v>
      </c>
      <c r="G11" s="969">
        <v>1314300</v>
      </c>
      <c r="H11" s="969"/>
      <c r="I11" s="970">
        <v>75716</v>
      </c>
      <c r="J11" s="971">
        <v>319114</v>
      </c>
      <c r="K11" s="970">
        <v>187700</v>
      </c>
      <c r="L11" s="969">
        <v>11972</v>
      </c>
      <c r="M11" s="969"/>
      <c r="N11" s="970">
        <v>37204</v>
      </c>
      <c r="O11" s="970">
        <v>0</v>
      </c>
      <c r="P11" s="970">
        <v>0</v>
      </c>
      <c r="Q11" s="969">
        <v>15474</v>
      </c>
      <c r="R11" s="969"/>
      <c r="S11" s="970">
        <v>442920</v>
      </c>
      <c r="T11" s="972">
        <v>891</v>
      </c>
      <c r="U11" s="972">
        <f>443812-1</f>
        <v>443811</v>
      </c>
    </row>
    <row r="12" spans="1:21" x14ac:dyDescent="0.25">
      <c r="A12" s="966">
        <v>90002</v>
      </c>
      <c r="B12" s="967" t="s">
        <v>2635</v>
      </c>
      <c r="C12" s="968">
        <v>1.06E-5</v>
      </c>
      <c r="D12" s="968">
        <v>1.15E-5</v>
      </c>
      <c r="E12" s="1007">
        <v>6253</v>
      </c>
      <c r="F12" s="1010">
        <v>24407</v>
      </c>
      <c r="G12" s="969">
        <v>16194</v>
      </c>
      <c r="H12" s="969"/>
      <c r="I12" s="970">
        <v>933</v>
      </c>
      <c r="J12" s="971">
        <v>3932</v>
      </c>
      <c r="K12" s="970">
        <v>2313</v>
      </c>
      <c r="L12" s="969">
        <v>1497</v>
      </c>
      <c r="M12" s="969"/>
      <c r="N12" s="970">
        <v>458</v>
      </c>
      <c r="O12" s="970">
        <v>0</v>
      </c>
      <c r="P12" s="970">
        <v>0</v>
      </c>
      <c r="Q12" s="969">
        <v>0</v>
      </c>
      <c r="R12" s="969"/>
      <c r="S12" s="970">
        <v>5457</v>
      </c>
      <c r="T12" s="972">
        <v>563</v>
      </c>
      <c r="U12" s="972">
        <v>6020</v>
      </c>
    </row>
    <row r="13" spans="1:21" x14ac:dyDescent="0.25">
      <c r="A13" s="966">
        <v>90011</v>
      </c>
      <c r="B13" s="967" t="s">
        <v>2636</v>
      </c>
      <c r="C13" s="968">
        <v>1.974E-4</v>
      </c>
      <c r="D13" s="968">
        <v>2.0819999999999999E-4</v>
      </c>
      <c r="E13" s="1007">
        <v>84205</v>
      </c>
      <c r="F13" s="1010">
        <v>441870</v>
      </c>
      <c r="G13" s="969">
        <v>301573</v>
      </c>
      <c r="H13" s="969"/>
      <c r="I13" s="970">
        <v>17373</v>
      </c>
      <c r="J13" s="971">
        <v>73222</v>
      </c>
      <c r="K13" s="970">
        <v>43069</v>
      </c>
      <c r="L13" s="969">
        <v>2300</v>
      </c>
      <c r="M13" s="969"/>
      <c r="N13" s="970">
        <v>8537</v>
      </c>
      <c r="O13" s="970">
        <v>0</v>
      </c>
      <c r="P13" s="970">
        <v>0</v>
      </c>
      <c r="Q13" s="969">
        <v>30094</v>
      </c>
      <c r="R13" s="969"/>
      <c r="S13" s="970">
        <v>101630</v>
      </c>
      <c r="T13" s="972">
        <v>-7615</v>
      </c>
      <c r="U13" s="972">
        <v>94015</v>
      </c>
    </row>
    <row r="14" spans="1:21" x14ac:dyDescent="0.25">
      <c r="A14" s="966">
        <v>90092</v>
      </c>
      <c r="B14" s="967" t="s">
        <v>2637</v>
      </c>
      <c r="C14" s="968">
        <v>3.5349999999999997E-4</v>
      </c>
      <c r="D14" s="968">
        <v>3.946E-4</v>
      </c>
      <c r="E14" s="1007">
        <v>186641</v>
      </c>
      <c r="F14" s="1010">
        <v>837473</v>
      </c>
      <c r="G14" s="969">
        <v>540050</v>
      </c>
      <c r="H14" s="969"/>
      <c r="I14" s="970">
        <v>31112</v>
      </c>
      <c r="J14" s="971">
        <v>131125</v>
      </c>
      <c r="K14" s="970">
        <v>77127</v>
      </c>
      <c r="L14" s="969">
        <v>0</v>
      </c>
      <c r="M14" s="969"/>
      <c r="N14" s="970">
        <v>15287</v>
      </c>
      <c r="O14" s="970">
        <v>0</v>
      </c>
      <c r="P14" s="970">
        <v>0</v>
      </c>
      <c r="Q14" s="969">
        <v>83168</v>
      </c>
      <c r="R14" s="969"/>
      <c r="S14" s="970">
        <v>181997</v>
      </c>
      <c r="T14" s="972">
        <v>-42793</v>
      </c>
      <c r="U14" s="972">
        <f>139205-1</f>
        <v>139204</v>
      </c>
    </row>
    <row r="15" spans="1:21" x14ac:dyDescent="0.25">
      <c r="A15" s="966">
        <v>90096</v>
      </c>
      <c r="B15" s="967" t="s">
        <v>2638</v>
      </c>
      <c r="C15" s="968">
        <v>9.7559999999999997E-4</v>
      </c>
      <c r="D15" s="968">
        <v>1.3860999999999999E-3</v>
      </c>
      <c r="E15" s="1007">
        <v>535127</v>
      </c>
      <c r="F15" s="1010">
        <v>2941769</v>
      </c>
      <c r="G15" s="969">
        <v>1490447</v>
      </c>
      <c r="H15" s="969"/>
      <c r="I15" s="970">
        <v>85864</v>
      </c>
      <c r="J15" s="971">
        <v>361882</v>
      </c>
      <c r="K15" s="970">
        <v>212856</v>
      </c>
      <c r="L15" s="969">
        <v>43597</v>
      </c>
      <c r="M15" s="969"/>
      <c r="N15" s="970">
        <v>42190</v>
      </c>
      <c r="O15" s="970">
        <v>0</v>
      </c>
      <c r="P15" s="970">
        <v>0</v>
      </c>
      <c r="Q15" s="969">
        <v>238564</v>
      </c>
      <c r="R15" s="969"/>
      <c r="S15" s="970">
        <v>502282</v>
      </c>
      <c r="T15" s="972">
        <v>-27538</v>
      </c>
      <c r="U15" s="972">
        <v>474744</v>
      </c>
    </row>
    <row r="16" spans="1:21" x14ac:dyDescent="0.25">
      <c r="A16" s="966">
        <v>90098</v>
      </c>
      <c r="B16" s="967" t="s">
        <v>2639</v>
      </c>
      <c r="C16" s="968">
        <v>2.9599999999999998E-4</v>
      </c>
      <c r="D16" s="968">
        <v>2.9280000000000002E-4</v>
      </c>
      <c r="E16" s="1007">
        <v>140184</v>
      </c>
      <c r="F16" s="1010">
        <v>621420</v>
      </c>
      <c r="G16" s="969">
        <v>452206</v>
      </c>
      <c r="H16" s="969"/>
      <c r="I16" s="970">
        <v>26051</v>
      </c>
      <c r="J16" s="971">
        <v>109796</v>
      </c>
      <c r="K16" s="970">
        <v>64581</v>
      </c>
      <c r="L16" s="969">
        <v>5581</v>
      </c>
      <c r="M16" s="969"/>
      <c r="N16" s="970">
        <v>12801</v>
      </c>
      <c r="O16" s="970">
        <v>0</v>
      </c>
      <c r="P16" s="970">
        <v>0</v>
      </c>
      <c r="Q16" s="969">
        <v>110893</v>
      </c>
      <c r="R16" s="969"/>
      <c r="S16" s="970">
        <v>152394</v>
      </c>
      <c r="T16" s="972">
        <v>-51374</v>
      </c>
      <c r="U16" s="972">
        <v>101020</v>
      </c>
    </row>
    <row r="17" spans="1:21" x14ac:dyDescent="0.25">
      <c r="A17" s="966">
        <v>90099</v>
      </c>
      <c r="B17" s="967" t="s">
        <v>2640</v>
      </c>
      <c r="C17" s="968">
        <v>6.6330000000000002E-4</v>
      </c>
      <c r="D17" s="968">
        <v>4.9330000000000001E-4</v>
      </c>
      <c r="E17" s="1007">
        <v>271208</v>
      </c>
      <c r="F17" s="1010">
        <v>1046948</v>
      </c>
      <c r="G17" s="969">
        <v>1013339</v>
      </c>
      <c r="H17" s="969"/>
      <c r="I17" s="970">
        <v>58378</v>
      </c>
      <c r="J17" s="971">
        <v>246040</v>
      </c>
      <c r="K17" s="970">
        <v>144719</v>
      </c>
      <c r="L17" s="969">
        <v>89744</v>
      </c>
      <c r="M17" s="969"/>
      <c r="N17" s="970">
        <v>28684</v>
      </c>
      <c r="O17" s="970">
        <v>0</v>
      </c>
      <c r="P17" s="970">
        <v>0</v>
      </c>
      <c r="Q17" s="969">
        <v>44006</v>
      </c>
      <c r="R17" s="969"/>
      <c r="S17" s="970">
        <v>341496</v>
      </c>
      <c r="T17" s="972">
        <v>7780</v>
      </c>
      <c r="U17" s="972">
        <v>349276</v>
      </c>
    </row>
    <row r="18" spans="1:21" x14ac:dyDescent="0.25">
      <c r="A18" s="966">
        <v>90101</v>
      </c>
      <c r="B18" s="967" t="s">
        <v>2641</v>
      </c>
      <c r="C18" s="968">
        <v>6.6312000000000003E-3</v>
      </c>
      <c r="D18" s="968">
        <v>6.3996000000000001E-3</v>
      </c>
      <c r="E18" s="1007">
        <v>2960721</v>
      </c>
      <c r="F18" s="1010">
        <v>13582095</v>
      </c>
      <c r="G18" s="969">
        <v>10130637</v>
      </c>
      <c r="H18" s="969"/>
      <c r="I18" s="970">
        <v>583619</v>
      </c>
      <c r="J18" s="971">
        <v>2459731</v>
      </c>
      <c r="K18" s="970">
        <v>1446795</v>
      </c>
      <c r="L18" s="969">
        <v>245836</v>
      </c>
      <c r="M18" s="969"/>
      <c r="N18" s="970">
        <v>286766</v>
      </c>
      <c r="O18" s="970">
        <v>0</v>
      </c>
      <c r="P18" s="970">
        <v>0</v>
      </c>
      <c r="Q18" s="969">
        <v>25616</v>
      </c>
      <c r="R18" s="969"/>
      <c r="S18" s="970">
        <v>3414034</v>
      </c>
      <c r="T18" s="972">
        <v>67895</v>
      </c>
      <c r="U18" s="972">
        <f>3481928+1</f>
        <v>3481929</v>
      </c>
    </row>
    <row r="19" spans="1:21" x14ac:dyDescent="0.25">
      <c r="A19" s="966">
        <v>90111</v>
      </c>
      <c r="B19" s="967" t="s">
        <v>2642</v>
      </c>
      <c r="C19" s="968">
        <v>4.9740000000000001E-3</v>
      </c>
      <c r="D19" s="968">
        <v>4.8874000000000001E-3</v>
      </c>
      <c r="E19" s="1007">
        <v>2229766</v>
      </c>
      <c r="F19" s="1010">
        <v>10372700</v>
      </c>
      <c r="G19" s="969">
        <v>7598894</v>
      </c>
      <c r="H19" s="969"/>
      <c r="I19" s="970">
        <v>437767</v>
      </c>
      <c r="J19" s="971">
        <v>1845021</v>
      </c>
      <c r="K19" s="970">
        <v>1085227</v>
      </c>
      <c r="L19" s="969">
        <v>15088</v>
      </c>
      <c r="M19" s="969"/>
      <c r="N19" s="970">
        <v>215101</v>
      </c>
      <c r="O19" s="970">
        <v>0</v>
      </c>
      <c r="P19" s="970">
        <v>0</v>
      </c>
      <c r="Q19" s="969">
        <v>106602</v>
      </c>
      <c r="R19" s="969"/>
      <c r="S19" s="970">
        <v>2560834</v>
      </c>
      <c r="T19" s="972">
        <v>-53609</v>
      </c>
      <c r="U19" s="972">
        <v>2507225</v>
      </c>
    </row>
    <row r="20" spans="1:21" x14ac:dyDescent="0.25">
      <c r="A20" s="966">
        <v>90114</v>
      </c>
      <c r="B20" s="967" t="s">
        <v>2643</v>
      </c>
      <c r="C20" s="968">
        <v>1.0919E-3</v>
      </c>
      <c r="D20" s="968">
        <v>1.0681E-3</v>
      </c>
      <c r="E20" s="1007">
        <v>1108464</v>
      </c>
      <c r="F20" s="1010">
        <v>2266866</v>
      </c>
      <c r="G20" s="969">
        <v>1668121</v>
      </c>
      <c r="H20" s="969"/>
      <c r="I20" s="970">
        <v>96099</v>
      </c>
      <c r="J20" s="971">
        <v>405022</v>
      </c>
      <c r="K20" s="970">
        <v>238231</v>
      </c>
      <c r="L20" s="969">
        <v>1077044</v>
      </c>
      <c r="M20" s="969"/>
      <c r="N20" s="970">
        <v>47219</v>
      </c>
      <c r="O20" s="970">
        <v>0</v>
      </c>
      <c r="P20" s="970">
        <v>0</v>
      </c>
      <c r="Q20" s="969">
        <v>0</v>
      </c>
      <c r="R20" s="969"/>
      <c r="S20" s="970">
        <v>562158</v>
      </c>
      <c r="T20" s="972">
        <v>371192</v>
      </c>
      <c r="U20" s="972">
        <v>933350</v>
      </c>
    </row>
    <row r="21" spans="1:21" x14ac:dyDescent="0.25">
      <c r="A21" s="966">
        <v>90117</v>
      </c>
      <c r="B21" s="967" t="s">
        <v>2644</v>
      </c>
      <c r="C21" s="968">
        <v>1.407E-4</v>
      </c>
      <c r="D21" s="968">
        <v>1.35E-4</v>
      </c>
      <c r="E21" s="1007">
        <v>80147</v>
      </c>
      <c r="F21" s="1010">
        <v>286515</v>
      </c>
      <c r="G21" s="969">
        <v>214951</v>
      </c>
      <c r="H21" s="969"/>
      <c r="I21" s="970">
        <v>12383</v>
      </c>
      <c r="J21" s="971">
        <v>52190</v>
      </c>
      <c r="K21" s="970">
        <v>30698</v>
      </c>
      <c r="L21" s="969">
        <v>44526</v>
      </c>
      <c r="M21" s="969"/>
      <c r="N21" s="970">
        <v>6085</v>
      </c>
      <c r="O21" s="970">
        <v>0</v>
      </c>
      <c r="P21" s="970">
        <v>0</v>
      </c>
      <c r="Q21" s="969">
        <v>0</v>
      </c>
      <c r="R21" s="969"/>
      <c r="S21" s="970">
        <v>72439</v>
      </c>
      <c r="T21" s="972">
        <v>18359</v>
      </c>
      <c r="U21" s="972">
        <f>90797+1</f>
        <v>90798</v>
      </c>
    </row>
    <row r="22" spans="1:21" x14ac:dyDescent="0.25">
      <c r="A22" s="966">
        <v>90121</v>
      </c>
      <c r="B22" s="967" t="s">
        <v>2645</v>
      </c>
      <c r="C22" s="968">
        <v>1.0991E-3</v>
      </c>
      <c r="D22" s="968">
        <v>1.0789E-3</v>
      </c>
      <c r="E22" s="1007">
        <v>452142</v>
      </c>
      <c r="F22" s="1010">
        <v>2289787</v>
      </c>
      <c r="G22" s="969">
        <v>1679120</v>
      </c>
      <c r="H22" s="969"/>
      <c r="I22" s="970">
        <v>96733</v>
      </c>
      <c r="J22" s="971">
        <v>407692</v>
      </c>
      <c r="K22" s="970">
        <v>239802</v>
      </c>
      <c r="L22" s="969">
        <v>3244</v>
      </c>
      <c r="M22" s="969"/>
      <c r="N22" s="970">
        <v>47531</v>
      </c>
      <c r="O22" s="970">
        <v>0</v>
      </c>
      <c r="P22" s="970">
        <v>0</v>
      </c>
      <c r="Q22" s="969">
        <v>81552</v>
      </c>
      <c r="R22" s="969"/>
      <c r="S22" s="970">
        <v>565865</v>
      </c>
      <c r="T22" s="972">
        <v>-25049</v>
      </c>
      <c r="U22" s="972">
        <v>540816</v>
      </c>
    </row>
    <row r="23" spans="1:21" x14ac:dyDescent="0.25">
      <c r="A23" s="966">
        <v>90131</v>
      </c>
      <c r="B23" s="967" t="s">
        <v>2646</v>
      </c>
      <c r="C23" s="968">
        <v>4.7639999999999998E-4</v>
      </c>
      <c r="D23" s="968">
        <v>5.0440000000000001E-4</v>
      </c>
      <c r="E23" s="1007">
        <v>207243</v>
      </c>
      <c r="F23" s="1010">
        <v>1070506</v>
      </c>
      <c r="G23" s="969">
        <v>727807</v>
      </c>
      <c r="H23" s="969"/>
      <c r="I23" s="970">
        <v>41928</v>
      </c>
      <c r="J23" s="971">
        <v>176712</v>
      </c>
      <c r="K23" s="970">
        <v>103941</v>
      </c>
      <c r="L23" s="969">
        <v>0</v>
      </c>
      <c r="M23" s="969"/>
      <c r="N23" s="970">
        <v>20602</v>
      </c>
      <c r="O23" s="970">
        <v>0</v>
      </c>
      <c r="P23" s="970">
        <v>0</v>
      </c>
      <c r="Q23" s="969">
        <v>42066</v>
      </c>
      <c r="R23" s="969"/>
      <c r="S23" s="970">
        <v>245272</v>
      </c>
      <c r="T23" s="972">
        <v>-15937</v>
      </c>
      <c r="U23" s="972">
        <v>229335</v>
      </c>
    </row>
    <row r="24" spans="1:21" x14ac:dyDescent="0.25">
      <c r="A24" s="966">
        <v>90141</v>
      </c>
      <c r="B24" s="967" t="s">
        <v>2647</v>
      </c>
      <c r="C24" s="968">
        <v>1.4779999999999999E-4</v>
      </c>
      <c r="D24" s="968">
        <v>1.306E-4</v>
      </c>
      <c r="E24" s="1007">
        <v>62655</v>
      </c>
      <c r="F24" s="1010">
        <v>277177</v>
      </c>
      <c r="G24" s="969">
        <v>225797</v>
      </c>
      <c r="H24" s="969"/>
      <c r="I24" s="970">
        <v>13008</v>
      </c>
      <c r="J24" s="971">
        <v>54824</v>
      </c>
      <c r="K24" s="970">
        <v>32247</v>
      </c>
      <c r="L24" s="969">
        <v>8660</v>
      </c>
      <c r="M24" s="969"/>
      <c r="N24" s="970">
        <v>6392</v>
      </c>
      <c r="O24" s="970">
        <v>0</v>
      </c>
      <c r="P24" s="970">
        <v>0</v>
      </c>
      <c r="Q24" s="969">
        <v>10174</v>
      </c>
      <c r="R24" s="969"/>
      <c r="S24" s="970">
        <v>76094</v>
      </c>
      <c r="T24" s="972">
        <v>-857</v>
      </c>
      <c r="U24" s="972">
        <v>75237</v>
      </c>
    </row>
    <row r="25" spans="1:21" x14ac:dyDescent="0.25">
      <c r="A25" s="966">
        <v>90151</v>
      </c>
      <c r="B25" s="967" t="s">
        <v>2648</v>
      </c>
      <c r="C25" s="968">
        <v>9.9000000000000001E-6</v>
      </c>
      <c r="D25" s="968">
        <v>1.0000000000000001E-5</v>
      </c>
      <c r="E25" s="1007">
        <v>3085</v>
      </c>
      <c r="F25" s="1010">
        <v>21223</v>
      </c>
      <c r="G25" s="969">
        <v>15124</v>
      </c>
      <c r="H25" s="969"/>
      <c r="I25" s="970">
        <v>871</v>
      </c>
      <c r="J25" s="971">
        <v>3672</v>
      </c>
      <c r="K25" s="970">
        <v>2160</v>
      </c>
      <c r="L25" s="969">
        <v>0</v>
      </c>
      <c r="M25" s="969"/>
      <c r="N25" s="970">
        <v>428</v>
      </c>
      <c r="O25" s="970">
        <v>0</v>
      </c>
      <c r="P25" s="970">
        <v>0</v>
      </c>
      <c r="Q25" s="969">
        <v>2719</v>
      </c>
      <c r="R25" s="969"/>
      <c r="S25" s="970">
        <v>5097</v>
      </c>
      <c r="T25" s="972">
        <v>-1090</v>
      </c>
      <c r="U25" s="972">
        <v>4007</v>
      </c>
    </row>
    <row r="26" spans="1:21" x14ac:dyDescent="0.25">
      <c r="A26" s="966">
        <v>90161</v>
      </c>
      <c r="B26" s="967" t="s">
        <v>2649</v>
      </c>
      <c r="C26" s="968">
        <v>3.4199999999999998E-5</v>
      </c>
      <c r="D26" s="968">
        <v>3.4799999999999999E-5</v>
      </c>
      <c r="E26" s="1007">
        <v>15627</v>
      </c>
      <c r="F26" s="1010">
        <v>73857</v>
      </c>
      <c r="G26" s="969">
        <v>52248</v>
      </c>
      <c r="H26" s="969"/>
      <c r="I26" s="970">
        <v>3010</v>
      </c>
      <c r="J26" s="971">
        <v>12686</v>
      </c>
      <c r="K26" s="970">
        <v>7462</v>
      </c>
      <c r="L26" s="969">
        <v>4022</v>
      </c>
      <c r="M26" s="969"/>
      <c r="N26" s="970">
        <v>1479</v>
      </c>
      <c r="O26" s="970">
        <v>0</v>
      </c>
      <c r="P26" s="970">
        <v>0</v>
      </c>
      <c r="Q26" s="969">
        <v>462</v>
      </c>
      <c r="R26" s="969"/>
      <c r="S26" s="970">
        <v>17608</v>
      </c>
      <c r="T26" s="972">
        <v>1591</v>
      </c>
      <c r="U26" s="972">
        <v>19199</v>
      </c>
    </row>
    <row r="27" spans="1:21" x14ac:dyDescent="0.25">
      <c r="A27" s="966">
        <v>90201</v>
      </c>
      <c r="B27" s="967" t="s">
        <v>2650</v>
      </c>
      <c r="C27" s="968">
        <v>1.2126999999999999E-3</v>
      </c>
      <c r="D27" s="968">
        <v>1.2419E-3</v>
      </c>
      <c r="E27" s="1007">
        <v>536124</v>
      </c>
      <c r="F27" s="1010">
        <v>2635728</v>
      </c>
      <c r="G27" s="969">
        <v>1852670</v>
      </c>
      <c r="H27" s="969"/>
      <c r="I27" s="970">
        <v>106731</v>
      </c>
      <c r="J27" s="971">
        <v>449830</v>
      </c>
      <c r="K27" s="970">
        <v>264587</v>
      </c>
      <c r="L27" s="969">
        <v>36621</v>
      </c>
      <c r="M27" s="969"/>
      <c r="N27" s="970">
        <v>52443</v>
      </c>
      <c r="O27" s="970">
        <v>0</v>
      </c>
      <c r="P27" s="970">
        <v>0</v>
      </c>
      <c r="Q27" s="969">
        <v>36396</v>
      </c>
      <c r="R27" s="969"/>
      <c r="S27" s="970">
        <v>624351</v>
      </c>
      <c r="T27" s="972">
        <v>24941</v>
      </c>
      <c r="U27" s="972">
        <v>649292</v>
      </c>
    </row>
    <row r="28" spans="1:21" x14ac:dyDescent="0.25">
      <c r="A28" s="966">
        <v>90203</v>
      </c>
      <c r="B28" s="967" t="s">
        <v>2651</v>
      </c>
      <c r="C28" s="968">
        <v>1.994E-4</v>
      </c>
      <c r="D28" s="968">
        <v>2.3680000000000001E-4</v>
      </c>
      <c r="E28" s="1007">
        <v>91056</v>
      </c>
      <c r="F28" s="1010">
        <v>502569</v>
      </c>
      <c r="G28" s="969">
        <v>304628</v>
      </c>
      <c r="H28" s="969"/>
      <c r="I28" s="970">
        <v>17549</v>
      </c>
      <c r="J28" s="971">
        <v>73964</v>
      </c>
      <c r="K28" s="970">
        <v>43505</v>
      </c>
      <c r="L28" s="969">
        <v>2154</v>
      </c>
      <c r="M28" s="969"/>
      <c r="N28" s="970">
        <v>8623</v>
      </c>
      <c r="O28" s="970">
        <v>0</v>
      </c>
      <c r="P28" s="970">
        <v>0</v>
      </c>
      <c r="Q28" s="969">
        <v>49077</v>
      </c>
      <c r="R28" s="969"/>
      <c r="S28" s="970">
        <v>102660</v>
      </c>
      <c r="T28" s="972">
        <v>-18026</v>
      </c>
      <c r="U28" s="972">
        <v>84634</v>
      </c>
    </row>
    <row r="29" spans="1:21" x14ac:dyDescent="0.25">
      <c r="A29" s="966">
        <v>90205</v>
      </c>
      <c r="B29" s="967" t="s">
        <v>2652</v>
      </c>
      <c r="C29" s="968">
        <v>3.0000000000000001E-5</v>
      </c>
      <c r="D29" s="968">
        <v>3.3599999999999997E-5</v>
      </c>
      <c r="E29" s="1007">
        <v>14233</v>
      </c>
      <c r="F29" s="1010">
        <v>71310</v>
      </c>
      <c r="G29" s="969">
        <v>45832</v>
      </c>
      <c r="H29" s="969"/>
      <c r="I29" s="970">
        <v>2640</v>
      </c>
      <c r="J29" s="971">
        <v>11128</v>
      </c>
      <c r="K29" s="970">
        <v>6545</v>
      </c>
      <c r="L29" s="969">
        <v>769</v>
      </c>
      <c r="M29" s="969"/>
      <c r="N29" s="970">
        <v>1297</v>
      </c>
      <c r="O29" s="970">
        <v>0</v>
      </c>
      <c r="P29" s="970">
        <v>0</v>
      </c>
      <c r="Q29" s="969">
        <v>2625</v>
      </c>
      <c r="R29" s="969"/>
      <c r="S29" s="970">
        <v>15445</v>
      </c>
      <c r="T29" s="972">
        <v>-105</v>
      </c>
      <c r="U29" s="972">
        <v>15340</v>
      </c>
    </row>
    <row r="30" spans="1:21" x14ac:dyDescent="0.25">
      <c r="A30" s="966">
        <v>90206</v>
      </c>
      <c r="B30" s="967" t="s">
        <v>2653</v>
      </c>
      <c r="C30" s="968">
        <v>4.2069999999999998E-4</v>
      </c>
      <c r="D30" s="968">
        <v>4.347E-4</v>
      </c>
      <c r="E30" s="1007">
        <v>184249</v>
      </c>
      <c r="F30" s="1010">
        <v>922579</v>
      </c>
      <c r="G30" s="969">
        <v>642713</v>
      </c>
      <c r="H30" s="969"/>
      <c r="I30" s="970">
        <v>37026</v>
      </c>
      <c r="J30" s="971">
        <v>156051</v>
      </c>
      <c r="K30" s="970">
        <v>91788</v>
      </c>
      <c r="L30" s="969">
        <v>8978</v>
      </c>
      <c r="M30" s="969"/>
      <c r="N30" s="970">
        <v>18193</v>
      </c>
      <c r="O30" s="970">
        <v>0</v>
      </c>
      <c r="P30" s="970">
        <v>0</v>
      </c>
      <c r="Q30" s="969">
        <v>25382</v>
      </c>
      <c r="R30" s="969"/>
      <c r="S30" s="970">
        <v>216595</v>
      </c>
      <c r="T30" s="972">
        <v>1315</v>
      </c>
      <c r="U30" s="972">
        <v>217910</v>
      </c>
    </row>
    <row r="31" spans="1:21" x14ac:dyDescent="0.25">
      <c r="A31" s="966">
        <v>90211</v>
      </c>
      <c r="B31" s="967" t="s">
        <v>2654</v>
      </c>
      <c r="C31" s="968">
        <v>1.4799999999999999E-4</v>
      </c>
      <c r="D31" s="968">
        <v>1.5689999999999999E-4</v>
      </c>
      <c r="E31" s="1007">
        <v>71260</v>
      </c>
      <c r="F31" s="1010">
        <v>332994</v>
      </c>
      <c r="G31" s="969">
        <v>226103</v>
      </c>
      <c r="H31" s="969"/>
      <c r="I31" s="970">
        <v>13026</v>
      </c>
      <c r="J31" s="971">
        <v>54898</v>
      </c>
      <c r="K31" s="970">
        <v>32291</v>
      </c>
      <c r="L31" s="969">
        <v>0</v>
      </c>
      <c r="M31" s="969"/>
      <c r="N31" s="970">
        <v>6400</v>
      </c>
      <c r="O31" s="970">
        <v>0</v>
      </c>
      <c r="P31" s="970">
        <v>0</v>
      </c>
      <c r="Q31" s="969">
        <v>15344</v>
      </c>
      <c r="R31" s="969"/>
      <c r="S31" s="970">
        <v>76197</v>
      </c>
      <c r="T31" s="972">
        <v>-6134</v>
      </c>
      <c r="U31" s="972">
        <v>70063</v>
      </c>
    </row>
    <row r="32" spans="1:21" x14ac:dyDescent="0.25">
      <c r="A32" s="966">
        <v>90301</v>
      </c>
      <c r="B32" s="967" t="s">
        <v>2655</v>
      </c>
      <c r="C32" s="968">
        <v>6.7040000000000003E-4</v>
      </c>
      <c r="D32" s="968">
        <v>6.4000000000000005E-4</v>
      </c>
      <c r="E32" s="1007">
        <v>280575</v>
      </c>
      <c r="F32" s="1010">
        <v>1358294</v>
      </c>
      <c r="G32" s="969">
        <v>1024185</v>
      </c>
      <c r="H32" s="969"/>
      <c r="I32" s="970">
        <v>59003</v>
      </c>
      <c r="J32" s="971">
        <v>248673</v>
      </c>
      <c r="K32" s="970">
        <v>146268</v>
      </c>
      <c r="L32" s="969">
        <v>4314</v>
      </c>
      <c r="M32" s="969"/>
      <c r="N32" s="970">
        <v>28991</v>
      </c>
      <c r="O32" s="970">
        <v>0</v>
      </c>
      <c r="P32" s="970">
        <v>0</v>
      </c>
      <c r="Q32" s="969">
        <v>13341</v>
      </c>
      <c r="R32" s="969"/>
      <c r="S32" s="970">
        <v>345151</v>
      </c>
      <c r="T32" s="972">
        <v>-5567</v>
      </c>
      <c r="U32" s="972">
        <v>339584</v>
      </c>
    </row>
    <row r="33" spans="1:21" x14ac:dyDescent="0.25">
      <c r="A33" s="966">
        <v>90305</v>
      </c>
      <c r="B33" s="967" t="s">
        <v>2656</v>
      </c>
      <c r="C33" s="968">
        <v>1.617E-4</v>
      </c>
      <c r="D33" s="968">
        <v>1.7009999999999999E-4</v>
      </c>
      <c r="E33" s="1007">
        <v>85892</v>
      </c>
      <c r="F33" s="1010">
        <v>361009</v>
      </c>
      <c r="G33" s="969">
        <v>247033</v>
      </c>
      <c r="H33" s="969"/>
      <c r="I33" s="970">
        <v>14231</v>
      </c>
      <c r="J33" s="971">
        <v>59980</v>
      </c>
      <c r="K33" s="970">
        <v>35280</v>
      </c>
      <c r="L33" s="969">
        <v>20715</v>
      </c>
      <c r="M33" s="969"/>
      <c r="N33" s="970">
        <v>6993</v>
      </c>
      <c r="O33" s="970">
        <v>0</v>
      </c>
      <c r="P33" s="970">
        <v>0</v>
      </c>
      <c r="Q33" s="969">
        <v>0</v>
      </c>
      <c r="R33" s="969"/>
      <c r="S33" s="970">
        <v>83250</v>
      </c>
      <c r="T33" s="972">
        <v>10025</v>
      </c>
      <c r="U33" s="972">
        <v>93275</v>
      </c>
    </row>
    <row r="34" spans="1:21" x14ac:dyDescent="0.25">
      <c r="A34" s="966">
        <v>90307</v>
      </c>
      <c r="B34" s="967" t="s">
        <v>2657</v>
      </c>
      <c r="C34" s="968">
        <v>7.7999999999999999E-6</v>
      </c>
      <c r="D34" s="968">
        <v>7.7000000000000008E-6</v>
      </c>
      <c r="E34" s="1007">
        <v>4130</v>
      </c>
      <c r="F34" s="1010">
        <v>16342</v>
      </c>
      <c r="G34" s="969">
        <v>11916</v>
      </c>
      <c r="H34" s="969"/>
      <c r="I34" s="970">
        <v>686</v>
      </c>
      <c r="J34" s="971">
        <v>2893</v>
      </c>
      <c r="K34" s="970">
        <v>1702</v>
      </c>
      <c r="L34" s="969">
        <v>647</v>
      </c>
      <c r="M34" s="969"/>
      <c r="N34" s="970">
        <v>337</v>
      </c>
      <c r="O34" s="970">
        <v>0</v>
      </c>
      <c r="P34" s="970">
        <v>0</v>
      </c>
      <c r="Q34" s="969">
        <v>40</v>
      </c>
      <c r="R34" s="969"/>
      <c r="S34" s="970">
        <v>4016</v>
      </c>
      <c r="T34" s="972">
        <v>160</v>
      </c>
      <c r="U34" s="972">
        <v>4176</v>
      </c>
    </row>
    <row r="35" spans="1:21" x14ac:dyDescent="0.25">
      <c r="A35" s="966">
        <v>90401</v>
      </c>
      <c r="B35" s="967" t="s">
        <v>2658</v>
      </c>
      <c r="C35" s="968">
        <v>1.3270999999999999E-3</v>
      </c>
      <c r="D35" s="968">
        <v>1.3626999999999999E-3</v>
      </c>
      <c r="E35" s="1007">
        <v>624955</v>
      </c>
      <c r="F35" s="1010">
        <v>2892106</v>
      </c>
      <c r="G35" s="969">
        <v>2027441</v>
      </c>
      <c r="H35" s="969"/>
      <c r="I35" s="970">
        <v>116799</v>
      </c>
      <c r="J35" s="971">
        <v>492266</v>
      </c>
      <c r="K35" s="970">
        <v>289547</v>
      </c>
      <c r="L35" s="969">
        <v>44019</v>
      </c>
      <c r="M35" s="969"/>
      <c r="N35" s="970">
        <v>57390</v>
      </c>
      <c r="O35" s="970">
        <v>0</v>
      </c>
      <c r="P35" s="970">
        <v>0</v>
      </c>
      <c r="Q35" s="969">
        <v>11305</v>
      </c>
      <c r="R35" s="969"/>
      <c r="S35" s="970">
        <v>683249</v>
      </c>
      <c r="T35" s="972">
        <v>23981</v>
      </c>
      <c r="U35" s="972">
        <v>707230</v>
      </c>
    </row>
    <row r="36" spans="1:21" x14ac:dyDescent="0.25">
      <c r="A36" s="966">
        <v>90411</v>
      </c>
      <c r="B36" s="967" t="s">
        <v>2659</v>
      </c>
      <c r="C36" s="968">
        <v>3.5100000000000002E-4</v>
      </c>
      <c r="D36" s="968">
        <v>3.5490000000000001E-4</v>
      </c>
      <c r="E36" s="1007">
        <v>152317</v>
      </c>
      <c r="F36" s="1010">
        <v>753217</v>
      </c>
      <c r="G36" s="969">
        <v>536231</v>
      </c>
      <c r="H36" s="969"/>
      <c r="I36" s="970">
        <v>30892</v>
      </c>
      <c r="J36" s="971">
        <v>130197</v>
      </c>
      <c r="K36" s="970">
        <v>76581</v>
      </c>
      <c r="L36" s="969">
        <v>0</v>
      </c>
      <c r="M36" s="969"/>
      <c r="N36" s="970">
        <v>15179</v>
      </c>
      <c r="O36" s="970">
        <v>0</v>
      </c>
      <c r="P36" s="970">
        <v>0</v>
      </c>
      <c r="Q36" s="969">
        <v>41985</v>
      </c>
      <c r="R36" s="969"/>
      <c r="S36" s="970">
        <v>180710</v>
      </c>
      <c r="T36" s="972">
        <v>-15971</v>
      </c>
      <c r="U36" s="972">
        <v>164739</v>
      </c>
    </row>
    <row r="37" spans="1:21" x14ac:dyDescent="0.25">
      <c r="A37" s="966">
        <v>90413</v>
      </c>
      <c r="B37" s="967" t="s">
        <v>2660</v>
      </c>
      <c r="C37" s="968">
        <v>3.4600000000000001E-5</v>
      </c>
      <c r="D37" s="968">
        <v>3.7299999999999999E-5</v>
      </c>
      <c r="E37" s="1007">
        <v>17002</v>
      </c>
      <c r="F37" s="1010">
        <v>79163</v>
      </c>
      <c r="G37" s="969">
        <v>52859</v>
      </c>
      <c r="H37" s="969"/>
      <c r="I37" s="970">
        <v>3045</v>
      </c>
      <c r="J37" s="971">
        <v>12834</v>
      </c>
      <c r="K37" s="970">
        <v>7549</v>
      </c>
      <c r="L37" s="969">
        <v>5923</v>
      </c>
      <c r="M37" s="969"/>
      <c r="N37" s="970">
        <v>1496</v>
      </c>
      <c r="O37" s="970">
        <v>0</v>
      </c>
      <c r="P37" s="970">
        <v>0</v>
      </c>
      <c r="Q37" s="969">
        <v>916</v>
      </c>
      <c r="R37" s="969"/>
      <c r="S37" s="970">
        <v>17814</v>
      </c>
      <c r="T37" s="972">
        <v>3416</v>
      </c>
      <c r="U37" s="972">
        <v>21230</v>
      </c>
    </row>
    <row r="38" spans="1:21" x14ac:dyDescent="0.25">
      <c r="A38" s="966">
        <v>90417</v>
      </c>
      <c r="B38" s="967" t="s">
        <v>2661</v>
      </c>
      <c r="C38" s="968">
        <v>1.17E-5</v>
      </c>
      <c r="D38" s="968">
        <v>1.2099999999999999E-5</v>
      </c>
      <c r="E38" s="1007">
        <v>8372</v>
      </c>
      <c r="F38" s="1010">
        <v>25680</v>
      </c>
      <c r="G38" s="969">
        <v>17874</v>
      </c>
      <c r="H38" s="969"/>
      <c r="I38" s="970">
        <v>1030</v>
      </c>
      <c r="J38" s="971">
        <v>4340</v>
      </c>
      <c r="K38" s="970">
        <v>2553</v>
      </c>
      <c r="L38" s="969">
        <v>3477</v>
      </c>
      <c r="M38" s="969"/>
      <c r="N38" s="970">
        <v>506</v>
      </c>
      <c r="O38" s="970">
        <v>0</v>
      </c>
      <c r="P38" s="970">
        <v>0</v>
      </c>
      <c r="Q38" s="969">
        <v>0</v>
      </c>
      <c r="R38" s="969"/>
      <c r="S38" s="970">
        <v>6024</v>
      </c>
      <c r="T38" s="972">
        <v>1221</v>
      </c>
      <c r="U38" s="972">
        <f>7244+1</f>
        <v>7245</v>
      </c>
    </row>
    <row r="39" spans="1:21" x14ac:dyDescent="0.25">
      <c r="A39" s="966">
        <v>90421</v>
      </c>
      <c r="B39" s="967" t="s">
        <v>2662</v>
      </c>
      <c r="C39" s="968">
        <v>2.19E-5</v>
      </c>
      <c r="D39" s="968">
        <v>2.3600000000000001E-5</v>
      </c>
      <c r="E39" s="1007">
        <v>8534</v>
      </c>
      <c r="F39" s="1010">
        <v>50087</v>
      </c>
      <c r="G39" s="969">
        <v>33457</v>
      </c>
      <c r="H39" s="969"/>
      <c r="I39" s="970">
        <v>1927</v>
      </c>
      <c r="J39" s="971">
        <v>8123</v>
      </c>
      <c r="K39" s="970">
        <v>4778</v>
      </c>
      <c r="L39" s="969">
        <v>0</v>
      </c>
      <c r="M39" s="969"/>
      <c r="N39" s="970">
        <v>947</v>
      </c>
      <c r="O39" s="970">
        <v>0</v>
      </c>
      <c r="P39" s="970">
        <v>0</v>
      </c>
      <c r="Q39" s="969">
        <v>4721</v>
      </c>
      <c r="R39" s="969"/>
      <c r="S39" s="970">
        <v>11275</v>
      </c>
      <c r="T39" s="972">
        <v>-1814</v>
      </c>
      <c r="U39" s="972">
        <v>9461</v>
      </c>
    </row>
    <row r="40" spans="1:21" x14ac:dyDescent="0.25">
      <c r="A40" s="966">
        <v>90431</v>
      </c>
      <c r="B40" s="967" t="s">
        <v>2663</v>
      </c>
      <c r="C40" s="968">
        <v>4.8300000000000002E-5</v>
      </c>
      <c r="D40" s="968">
        <v>4.2799999999999997E-5</v>
      </c>
      <c r="E40" s="1007">
        <v>21844</v>
      </c>
      <c r="F40" s="1010">
        <v>90836</v>
      </c>
      <c r="G40" s="969">
        <v>73789</v>
      </c>
      <c r="H40" s="969"/>
      <c r="I40" s="970">
        <v>4251</v>
      </c>
      <c r="J40" s="971">
        <v>17916</v>
      </c>
      <c r="K40" s="970">
        <v>10538</v>
      </c>
      <c r="L40" s="969">
        <v>8663</v>
      </c>
      <c r="M40" s="969"/>
      <c r="N40" s="970">
        <v>2089</v>
      </c>
      <c r="O40" s="970">
        <v>0</v>
      </c>
      <c r="P40" s="970">
        <v>0</v>
      </c>
      <c r="Q40" s="969">
        <v>1273</v>
      </c>
      <c r="R40" s="969"/>
      <c r="S40" s="970">
        <v>24867</v>
      </c>
      <c r="T40" s="972">
        <v>3649</v>
      </c>
      <c r="U40" s="972">
        <v>28516</v>
      </c>
    </row>
    <row r="41" spans="1:21" x14ac:dyDescent="0.25">
      <c r="A41" s="966">
        <v>90441</v>
      </c>
      <c r="B41" s="967" t="s">
        <v>2664</v>
      </c>
      <c r="C41" s="968">
        <v>8.3999999999999992E-6</v>
      </c>
      <c r="D41" s="968">
        <v>9.3999999999999998E-6</v>
      </c>
      <c r="E41" s="1007">
        <v>4910</v>
      </c>
      <c r="F41" s="1010">
        <v>19950</v>
      </c>
      <c r="G41" s="969">
        <v>12833</v>
      </c>
      <c r="H41" s="969"/>
      <c r="I41" s="970">
        <v>739</v>
      </c>
      <c r="J41" s="971">
        <v>3115</v>
      </c>
      <c r="K41" s="970">
        <v>1833</v>
      </c>
      <c r="L41" s="969">
        <v>890</v>
      </c>
      <c r="M41" s="969"/>
      <c r="N41" s="970">
        <v>363</v>
      </c>
      <c r="O41" s="970">
        <v>0</v>
      </c>
      <c r="P41" s="970">
        <v>0</v>
      </c>
      <c r="Q41" s="969">
        <v>129</v>
      </c>
      <c r="R41" s="969"/>
      <c r="S41" s="970">
        <v>4325</v>
      </c>
      <c r="T41" s="972">
        <v>621</v>
      </c>
      <c r="U41" s="972">
        <v>4946</v>
      </c>
    </row>
    <row r="42" spans="1:21" x14ac:dyDescent="0.25">
      <c r="A42" s="966">
        <v>90451</v>
      </c>
      <c r="B42" s="967" t="s">
        <v>2665</v>
      </c>
      <c r="C42" s="968">
        <v>1.6699999999999999E-5</v>
      </c>
      <c r="D42" s="968">
        <v>1.7900000000000001E-5</v>
      </c>
      <c r="E42" s="1007">
        <v>7776</v>
      </c>
      <c r="F42" s="1010">
        <v>37990</v>
      </c>
      <c r="G42" s="969">
        <v>25513</v>
      </c>
      <c r="H42" s="969"/>
      <c r="I42" s="970">
        <v>1470</v>
      </c>
      <c r="J42" s="971">
        <v>6194</v>
      </c>
      <c r="K42" s="970">
        <v>3644</v>
      </c>
      <c r="L42" s="969">
        <v>2202</v>
      </c>
      <c r="M42" s="969"/>
      <c r="N42" s="970">
        <v>722</v>
      </c>
      <c r="O42" s="970">
        <v>0</v>
      </c>
      <c r="P42" s="970">
        <v>0</v>
      </c>
      <c r="Q42" s="969">
        <v>903</v>
      </c>
      <c r="R42" s="969"/>
      <c r="S42" s="970">
        <v>8598</v>
      </c>
      <c r="T42" s="972">
        <v>635</v>
      </c>
      <c r="U42" s="972">
        <f>9232+1</f>
        <v>9233</v>
      </c>
    </row>
    <row r="43" spans="1:21" x14ac:dyDescent="0.25">
      <c r="A43" s="966">
        <v>90461</v>
      </c>
      <c r="B43" s="967" t="s">
        <v>2666</v>
      </c>
      <c r="C43" s="968">
        <v>7.4000000000000003E-6</v>
      </c>
      <c r="D43" s="968">
        <v>1.7200000000000001E-5</v>
      </c>
      <c r="E43" s="1007">
        <v>3691</v>
      </c>
      <c r="F43" s="1010">
        <v>36504</v>
      </c>
      <c r="G43" s="969">
        <v>11305</v>
      </c>
      <c r="H43" s="969"/>
      <c r="I43" s="970">
        <v>651</v>
      </c>
      <c r="J43" s="971">
        <v>2745</v>
      </c>
      <c r="K43" s="970">
        <v>1615</v>
      </c>
      <c r="L43" s="969">
        <v>3066</v>
      </c>
      <c r="M43" s="969"/>
      <c r="N43" s="970">
        <v>320</v>
      </c>
      <c r="O43" s="970">
        <v>0</v>
      </c>
      <c r="P43" s="970">
        <v>0</v>
      </c>
      <c r="Q43" s="969">
        <v>7660</v>
      </c>
      <c r="R43" s="969"/>
      <c r="S43" s="970">
        <v>3810</v>
      </c>
      <c r="T43" s="972">
        <v>-1001</v>
      </c>
      <c r="U43" s="972">
        <f>2808+1</f>
        <v>2809</v>
      </c>
    </row>
    <row r="44" spans="1:21" x14ac:dyDescent="0.25">
      <c r="A44" s="966">
        <v>90501</v>
      </c>
      <c r="B44" s="967" t="s">
        <v>2667</v>
      </c>
      <c r="C44" s="968">
        <v>1.4176E-3</v>
      </c>
      <c r="D44" s="968">
        <v>1.4001E-3</v>
      </c>
      <c r="E44" s="1007">
        <v>670210</v>
      </c>
      <c r="F44" s="1010">
        <v>2971481</v>
      </c>
      <c r="G44" s="969">
        <v>2165700</v>
      </c>
      <c r="H44" s="969"/>
      <c r="I44" s="970">
        <v>124764</v>
      </c>
      <c r="J44" s="971">
        <v>525835</v>
      </c>
      <c r="K44" s="970">
        <v>309292</v>
      </c>
      <c r="L44" s="969">
        <v>53925</v>
      </c>
      <c r="M44" s="969"/>
      <c r="N44" s="970">
        <v>61304</v>
      </c>
      <c r="O44" s="970">
        <v>0</v>
      </c>
      <c r="P44" s="970">
        <v>0</v>
      </c>
      <c r="Q44" s="969">
        <v>0</v>
      </c>
      <c r="R44" s="969"/>
      <c r="S44" s="970">
        <v>729843</v>
      </c>
      <c r="T44" s="972">
        <v>27148</v>
      </c>
      <c r="U44" s="972">
        <v>756991</v>
      </c>
    </row>
    <row r="45" spans="1:21" x14ac:dyDescent="0.25">
      <c r="A45" s="966">
        <v>90507</v>
      </c>
      <c r="B45" s="967" t="s">
        <v>1196</v>
      </c>
      <c r="C45" s="968">
        <v>6.6000000000000003E-6</v>
      </c>
      <c r="D45" s="968">
        <v>7.3000000000000004E-6</v>
      </c>
      <c r="E45" s="1007">
        <v>10408</v>
      </c>
      <c r="F45" s="1010">
        <v>15493</v>
      </c>
      <c r="G45" s="969">
        <v>10083</v>
      </c>
      <c r="H45" s="969"/>
      <c r="I45" s="970">
        <v>581</v>
      </c>
      <c r="J45" s="971">
        <v>2448</v>
      </c>
      <c r="K45" s="970">
        <v>1440</v>
      </c>
      <c r="L45" s="969">
        <v>11545</v>
      </c>
      <c r="M45" s="969"/>
      <c r="N45" s="970">
        <v>285</v>
      </c>
      <c r="O45" s="970">
        <v>0</v>
      </c>
      <c r="P45" s="970">
        <v>0</v>
      </c>
      <c r="Q45" s="969">
        <v>0</v>
      </c>
      <c r="R45" s="969"/>
      <c r="S45" s="970">
        <v>3398</v>
      </c>
      <c r="T45" s="972">
        <v>4117</v>
      </c>
      <c r="U45" s="972">
        <v>7515</v>
      </c>
    </row>
    <row r="46" spans="1:21" x14ac:dyDescent="0.25">
      <c r="A46" s="966">
        <v>90511</v>
      </c>
      <c r="B46" s="967" t="s">
        <v>2668</v>
      </c>
      <c r="C46" s="968">
        <v>8.7000000000000001E-5</v>
      </c>
      <c r="D46" s="968">
        <v>9.5500000000000004E-5</v>
      </c>
      <c r="E46" s="1007">
        <v>52403</v>
      </c>
      <c r="F46" s="1010">
        <v>202683</v>
      </c>
      <c r="G46" s="969">
        <v>132912</v>
      </c>
      <c r="H46" s="969"/>
      <c r="I46" s="970">
        <v>7657</v>
      </c>
      <c r="J46" s="971">
        <v>32271</v>
      </c>
      <c r="K46" s="970">
        <v>18982</v>
      </c>
      <c r="L46" s="969">
        <v>14433</v>
      </c>
      <c r="M46" s="969"/>
      <c r="N46" s="970">
        <v>3762</v>
      </c>
      <c r="O46" s="970">
        <v>0</v>
      </c>
      <c r="P46" s="970">
        <v>0</v>
      </c>
      <c r="Q46" s="969">
        <v>0</v>
      </c>
      <c r="R46" s="969"/>
      <c r="S46" s="970">
        <v>44791</v>
      </c>
      <c r="T46" s="972">
        <v>6485</v>
      </c>
      <c r="U46" s="972">
        <f>51277-1</f>
        <v>51276</v>
      </c>
    </row>
    <row r="47" spans="1:21" x14ac:dyDescent="0.25">
      <c r="A47" s="966">
        <v>90521</v>
      </c>
      <c r="B47" s="967" t="s">
        <v>2669</v>
      </c>
      <c r="C47" s="968">
        <v>1.3880000000000001E-4</v>
      </c>
      <c r="D47" s="968">
        <v>1.395E-4</v>
      </c>
      <c r="E47" s="1007">
        <v>56198</v>
      </c>
      <c r="F47" s="1010">
        <v>296066</v>
      </c>
      <c r="G47" s="969">
        <v>212048</v>
      </c>
      <c r="H47" s="969"/>
      <c r="I47" s="970">
        <v>12216</v>
      </c>
      <c r="J47" s="971">
        <v>51485</v>
      </c>
      <c r="K47" s="970">
        <v>30283</v>
      </c>
      <c r="L47" s="969">
        <v>0</v>
      </c>
      <c r="M47" s="969"/>
      <c r="N47" s="970">
        <v>6002</v>
      </c>
      <c r="O47" s="970">
        <v>0</v>
      </c>
      <c r="P47" s="970">
        <v>0</v>
      </c>
      <c r="Q47" s="969">
        <v>18446</v>
      </c>
      <c r="R47" s="969"/>
      <c r="S47" s="970">
        <v>71460</v>
      </c>
      <c r="T47" s="972">
        <v>-7131</v>
      </c>
      <c r="U47" s="972">
        <v>64329</v>
      </c>
    </row>
    <row r="48" spans="1:21" x14ac:dyDescent="0.25">
      <c r="A48" s="966">
        <v>90601</v>
      </c>
      <c r="B48" s="967" t="s">
        <v>2670</v>
      </c>
      <c r="C48" s="968">
        <v>1.1888000000000001E-3</v>
      </c>
      <c r="D48" s="968">
        <v>1.1785999999999999E-3</v>
      </c>
      <c r="E48" s="1007">
        <v>540985</v>
      </c>
      <c r="F48" s="1010">
        <v>2501384</v>
      </c>
      <c r="G48" s="969">
        <v>1816157</v>
      </c>
      <c r="H48" s="969"/>
      <c r="I48" s="970">
        <v>104627</v>
      </c>
      <c r="J48" s="971">
        <v>440965</v>
      </c>
      <c r="K48" s="970">
        <v>259372</v>
      </c>
      <c r="L48" s="969">
        <v>20795</v>
      </c>
      <c r="M48" s="969"/>
      <c r="N48" s="970">
        <v>51410</v>
      </c>
      <c r="O48" s="970">
        <v>0</v>
      </c>
      <c r="P48" s="970">
        <v>0</v>
      </c>
      <c r="Q48" s="969">
        <v>19784</v>
      </c>
      <c r="R48" s="969"/>
      <c r="S48" s="970">
        <v>612047</v>
      </c>
      <c r="T48" s="972">
        <v>8359</v>
      </c>
      <c r="U48" s="972">
        <v>620406</v>
      </c>
    </row>
    <row r="49" spans="1:21" x14ac:dyDescent="0.25">
      <c r="A49" s="966">
        <v>90602</v>
      </c>
      <c r="B49" s="967" t="s">
        <v>2102</v>
      </c>
      <c r="C49" s="968">
        <v>6.3899999999999995E-5</v>
      </c>
      <c r="D49" s="968">
        <v>6.3299999999999994E-5</v>
      </c>
      <c r="E49" s="1007">
        <v>34828</v>
      </c>
      <c r="F49" s="1010">
        <v>134344</v>
      </c>
      <c r="G49" s="969">
        <v>97621</v>
      </c>
      <c r="H49" s="969"/>
      <c r="I49" s="970">
        <v>5624</v>
      </c>
      <c r="J49" s="971">
        <v>23703</v>
      </c>
      <c r="K49" s="970">
        <v>13942</v>
      </c>
      <c r="L49" s="969">
        <v>38810</v>
      </c>
      <c r="M49" s="969"/>
      <c r="N49" s="970">
        <v>2763</v>
      </c>
      <c r="O49" s="970">
        <v>0</v>
      </c>
      <c r="P49" s="970">
        <v>0</v>
      </c>
      <c r="Q49" s="969">
        <v>0</v>
      </c>
      <c r="R49" s="969"/>
      <c r="S49" s="970">
        <v>32899</v>
      </c>
      <c r="T49" s="972">
        <v>14161</v>
      </c>
      <c r="U49" s="972">
        <f>47059+1</f>
        <v>47060</v>
      </c>
    </row>
    <row r="50" spans="1:21" x14ac:dyDescent="0.25">
      <c r="A50" s="966">
        <v>90605</v>
      </c>
      <c r="B50" s="967" t="s">
        <v>2671</v>
      </c>
      <c r="C50" s="968">
        <v>4.1999999999999998E-5</v>
      </c>
      <c r="D50" s="968">
        <v>3.8399999999999998E-5</v>
      </c>
      <c r="E50" s="1007">
        <v>25461</v>
      </c>
      <c r="F50" s="1010">
        <v>81498</v>
      </c>
      <c r="G50" s="969">
        <v>64164</v>
      </c>
      <c r="H50" s="969"/>
      <c r="I50" s="970">
        <v>3696</v>
      </c>
      <c r="J50" s="971">
        <v>15579</v>
      </c>
      <c r="K50" s="970">
        <v>9164</v>
      </c>
      <c r="L50" s="969">
        <v>15425</v>
      </c>
      <c r="M50" s="969"/>
      <c r="N50" s="970">
        <v>1816</v>
      </c>
      <c r="O50" s="970">
        <v>0</v>
      </c>
      <c r="P50" s="970">
        <v>0</v>
      </c>
      <c r="Q50" s="969">
        <v>0</v>
      </c>
      <c r="R50" s="969"/>
      <c r="S50" s="970">
        <v>21623</v>
      </c>
      <c r="T50" s="972">
        <v>5623</v>
      </c>
      <c r="U50" s="972">
        <f>27247-1</f>
        <v>27246</v>
      </c>
    </row>
    <row r="51" spans="1:21" x14ac:dyDescent="0.25">
      <c r="A51" s="966">
        <v>90611</v>
      </c>
      <c r="B51" s="967" t="s">
        <v>2672</v>
      </c>
      <c r="C51" s="968">
        <v>1.4880000000000001E-4</v>
      </c>
      <c r="D51" s="968">
        <v>1.5669999999999999E-4</v>
      </c>
      <c r="E51" s="1007">
        <v>64371</v>
      </c>
      <c r="F51" s="1010">
        <v>332570</v>
      </c>
      <c r="G51" s="969">
        <v>227325</v>
      </c>
      <c r="H51" s="969"/>
      <c r="I51" s="970">
        <v>13096</v>
      </c>
      <c r="J51" s="971">
        <v>55195</v>
      </c>
      <c r="K51" s="970">
        <v>32465</v>
      </c>
      <c r="L51" s="969">
        <v>2524</v>
      </c>
      <c r="M51" s="969"/>
      <c r="N51" s="970">
        <v>6435</v>
      </c>
      <c r="O51" s="970">
        <v>0</v>
      </c>
      <c r="P51" s="970">
        <v>0</v>
      </c>
      <c r="Q51" s="969">
        <v>18006</v>
      </c>
      <c r="R51" s="969"/>
      <c r="S51" s="970">
        <v>76609</v>
      </c>
      <c r="T51" s="972">
        <v>-3082</v>
      </c>
      <c r="U51" s="972">
        <v>73527</v>
      </c>
    </row>
    <row r="52" spans="1:21" x14ac:dyDescent="0.25">
      <c r="A52" s="966">
        <v>90617</v>
      </c>
      <c r="B52" s="967" t="s">
        <v>2673</v>
      </c>
      <c r="C52" s="968">
        <v>2.5999999999999998E-5</v>
      </c>
      <c r="D52" s="968">
        <v>2.6800000000000001E-5</v>
      </c>
      <c r="E52" s="1007">
        <v>15821</v>
      </c>
      <c r="F52" s="1010">
        <v>56879</v>
      </c>
      <c r="G52" s="969">
        <v>39721</v>
      </c>
      <c r="H52" s="969"/>
      <c r="I52" s="970">
        <v>2288</v>
      </c>
      <c r="J52" s="971">
        <v>9644</v>
      </c>
      <c r="K52" s="970">
        <v>5673</v>
      </c>
      <c r="L52" s="969">
        <v>7632</v>
      </c>
      <c r="M52" s="969"/>
      <c r="N52" s="970">
        <v>1124</v>
      </c>
      <c r="O52" s="970">
        <v>0</v>
      </c>
      <c r="P52" s="970">
        <v>0</v>
      </c>
      <c r="Q52" s="969">
        <v>0</v>
      </c>
      <c r="R52" s="969"/>
      <c r="S52" s="970">
        <v>13386</v>
      </c>
      <c r="T52" s="972">
        <v>4087</v>
      </c>
      <c r="U52" s="972">
        <v>17473</v>
      </c>
    </row>
    <row r="53" spans="1:21" x14ac:dyDescent="0.25">
      <c r="A53" s="966">
        <v>90621</v>
      </c>
      <c r="B53" s="967" t="s">
        <v>2674</v>
      </c>
      <c r="C53" s="968">
        <v>6.3999999999999997E-5</v>
      </c>
      <c r="D53" s="968">
        <v>8.2100000000000003E-5</v>
      </c>
      <c r="E53" s="1007">
        <v>27532</v>
      </c>
      <c r="F53" s="1010">
        <v>174244</v>
      </c>
      <c r="G53" s="969">
        <v>97774</v>
      </c>
      <c r="H53" s="969"/>
      <c r="I53" s="970">
        <v>5633</v>
      </c>
      <c r="J53" s="971">
        <v>23740</v>
      </c>
      <c r="K53" s="970">
        <v>13964</v>
      </c>
      <c r="L53" s="969">
        <v>588</v>
      </c>
      <c r="M53" s="969"/>
      <c r="N53" s="970">
        <v>2768</v>
      </c>
      <c r="O53" s="970">
        <v>0</v>
      </c>
      <c r="P53" s="970">
        <v>0</v>
      </c>
      <c r="Q53" s="969">
        <v>19000</v>
      </c>
      <c r="R53" s="969"/>
      <c r="S53" s="970">
        <v>32950</v>
      </c>
      <c r="T53" s="972">
        <v>-5337</v>
      </c>
      <c r="U53" s="972">
        <v>27613</v>
      </c>
    </row>
    <row r="54" spans="1:21" x14ac:dyDescent="0.25">
      <c r="A54" s="966">
        <v>90631</v>
      </c>
      <c r="B54" s="967" t="s">
        <v>2675</v>
      </c>
      <c r="C54" s="968">
        <v>3.9560000000000002E-4</v>
      </c>
      <c r="D54" s="968">
        <v>3.8000000000000002E-4</v>
      </c>
      <c r="E54" s="1007">
        <v>175402</v>
      </c>
      <c r="F54" s="1010">
        <v>806487</v>
      </c>
      <c r="G54" s="969">
        <v>604367</v>
      </c>
      <c r="H54" s="969"/>
      <c r="I54" s="970">
        <v>34817</v>
      </c>
      <c r="J54" s="971">
        <v>146742</v>
      </c>
      <c r="K54" s="970">
        <v>86312</v>
      </c>
      <c r="L54" s="969">
        <v>17764</v>
      </c>
      <c r="M54" s="969"/>
      <c r="N54" s="970">
        <v>17108</v>
      </c>
      <c r="O54" s="970">
        <v>0</v>
      </c>
      <c r="P54" s="970">
        <v>0</v>
      </c>
      <c r="Q54" s="969">
        <v>8233</v>
      </c>
      <c r="R54" s="969"/>
      <c r="S54" s="970">
        <v>203672</v>
      </c>
      <c r="T54" s="972">
        <v>-484</v>
      </c>
      <c r="U54" s="972">
        <f>203189-1</f>
        <v>203188</v>
      </c>
    </row>
    <row r="55" spans="1:21" x14ac:dyDescent="0.25">
      <c r="A55" s="966">
        <v>90641</v>
      </c>
      <c r="B55" s="967" t="s">
        <v>2676</v>
      </c>
      <c r="C55" s="968">
        <v>1.38E-5</v>
      </c>
      <c r="D55" s="968">
        <v>1.4399999999999999E-5</v>
      </c>
      <c r="E55" s="1007">
        <v>6944</v>
      </c>
      <c r="F55" s="1010">
        <v>30562</v>
      </c>
      <c r="G55" s="969">
        <v>21083</v>
      </c>
      <c r="H55" s="969"/>
      <c r="I55" s="970">
        <v>1215</v>
      </c>
      <c r="J55" s="971">
        <v>5118</v>
      </c>
      <c r="K55" s="970">
        <v>3011</v>
      </c>
      <c r="L55" s="969">
        <v>304</v>
      </c>
      <c r="M55" s="969"/>
      <c r="N55" s="970">
        <v>597</v>
      </c>
      <c r="O55" s="970">
        <v>0</v>
      </c>
      <c r="P55" s="970">
        <v>0</v>
      </c>
      <c r="Q55" s="969">
        <v>517</v>
      </c>
      <c r="R55" s="969"/>
      <c r="S55" s="970">
        <v>7105</v>
      </c>
      <c r="T55" s="972">
        <v>-123</v>
      </c>
      <c r="U55" s="972">
        <v>6982</v>
      </c>
    </row>
    <row r="56" spans="1:21" x14ac:dyDescent="0.25">
      <c r="A56" s="966">
        <v>90651</v>
      </c>
      <c r="B56" s="967" t="s">
        <v>2677</v>
      </c>
      <c r="C56" s="968">
        <v>1E-4</v>
      </c>
      <c r="D56" s="968">
        <v>1.108E-4</v>
      </c>
      <c r="E56" s="1007">
        <v>98054</v>
      </c>
      <c r="F56" s="1010">
        <v>235155</v>
      </c>
      <c r="G56" s="969">
        <v>152772</v>
      </c>
      <c r="H56" s="969"/>
      <c r="I56" s="970">
        <v>8801</v>
      </c>
      <c r="J56" s="971">
        <v>37093</v>
      </c>
      <c r="K56" s="970">
        <v>21818</v>
      </c>
      <c r="L56" s="969">
        <v>85885</v>
      </c>
      <c r="M56" s="969"/>
      <c r="N56" s="970">
        <v>4325</v>
      </c>
      <c r="O56" s="970">
        <v>0</v>
      </c>
      <c r="P56" s="970">
        <v>0</v>
      </c>
      <c r="Q56" s="969">
        <v>4659</v>
      </c>
      <c r="R56" s="969"/>
      <c r="S56" s="970">
        <v>51484</v>
      </c>
      <c r="T56" s="972">
        <v>25671</v>
      </c>
      <c r="U56" s="972">
        <f>77156-1</f>
        <v>77155</v>
      </c>
    </row>
    <row r="57" spans="1:21" x14ac:dyDescent="0.25">
      <c r="A57" s="966">
        <v>90701</v>
      </c>
      <c r="B57" s="967" t="s">
        <v>3665</v>
      </c>
      <c r="C57" s="968">
        <v>2.6581E-3</v>
      </c>
      <c r="D57" s="968">
        <v>2.3587E-3</v>
      </c>
      <c r="E57" s="1007">
        <v>1110621</v>
      </c>
      <c r="F57" s="1010">
        <v>0</v>
      </c>
      <c r="G57" s="969">
        <v>4060841</v>
      </c>
      <c r="H57" s="969"/>
      <c r="I57" s="970">
        <v>233942</v>
      </c>
      <c r="J57" s="971">
        <v>985977</v>
      </c>
      <c r="K57" s="970">
        <v>579944</v>
      </c>
      <c r="L57" s="969">
        <v>130818</v>
      </c>
      <c r="M57" s="969"/>
      <c r="N57" s="970">
        <v>114950</v>
      </c>
      <c r="O57" s="970">
        <v>0</v>
      </c>
      <c r="P57" s="970">
        <v>0</v>
      </c>
      <c r="Q57" s="969">
        <v>31847</v>
      </c>
      <c r="R57" s="969"/>
      <c r="S57" s="970">
        <v>1368507</v>
      </c>
      <c r="T57" s="972">
        <v>33872</v>
      </c>
      <c r="U57" s="972">
        <v>1402379</v>
      </c>
    </row>
    <row r="58" spans="1:21" x14ac:dyDescent="0.25">
      <c r="A58" s="966">
        <v>90704</v>
      </c>
      <c r="B58" s="967" t="s">
        <v>2679</v>
      </c>
      <c r="C58" s="968">
        <v>3.3300000000000003E-5</v>
      </c>
      <c r="D58" s="968">
        <v>3.4900000000000001E-5</v>
      </c>
      <c r="E58" s="1007">
        <v>23859</v>
      </c>
      <c r="F58" s="1010">
        <v>74069</v>
      </c>
      <c r="G58" s="969">
        <v>50873</v>
      </c>
      <c r="H58" s="969"/>
      <c r="I58" s="970">
        <v>2931</v>
      </c>
      <c r="J58" s="971">
        <v>12352</v>
      </c>
      <c r="K58" s="970">
        <v>7265</v>
      </c>
      <c r="L58" s="969">
        <v>14629</v>
      </c>
      <c r="M58" s="969"/>
      <c r="N58" s="970">
        <v>1440</v>
      </c>
      <c r="O58" s="970">
        <v>0</v>
      </c>
      <c r="P58" s="970">
        <v>0</v>
      </c>
      <c r="Q58" s="969">
        <v>0</v>
      </c>
      <c r="R58" s="969"/>
      <c r="S58" s="970">
        <v>17144</v>
      </c>
      <c r="T58" s="972">
        <v>5643</v>
      </c>
      <c r="U58" s="972">
        <f>22788-1</f>
        <v>22787</v>
      </c>
    </row>
    <row r="59" spans="1:21" x14ac:dyDescent="0.25">
      <c r="A59" s="966">
        <v>90705</v>
      </c>
      <c r="B59" s="967" t="s">
        <v>2680</v>
      </c>
      <c r="C59" s="968">
        <v>5.3000000000000001E-5</v>
      </c>
      <c r="D59" s="968">
        <v>3.3899999999999997E-5</v>
      </c>
      <c r="E59" s="1007">
        <v>23100</v>
      </c>
      <c r="F59" s="1010">
        <v>71947</v>
      </c>
      <c r="G59" s="969">
        <v>80969</v>
      </c>
      <c r="H59" s="969"/>
      <c r="I59" s="970">
        <v>4665</v>
      </c>
      <c r="J59" s="971">
        <v>19659</v>
      </c>
      <c r="K59" s="970">
        <v>11564</v>
      </c>
      <c r="L59" s="969">
        <v>18366</v>
      </c>
      <c r="M59" s="969"/>
      <c r="N59" s="970">
        <v>2292</v>
      </c>
      <c r="O59" s="970">
        <v>0</v>
      </c>
      <c r="P59" s="970">
        <v>0</v>
      </c>
      <c r="Q59" s="969">
        <v>0</v>
      </c>
      <c r="R59" s="969"/>
      <c r="S59" s="970">
        <v>27287</v>
      </c>
      <c r="T59" s="972">
        <v>6194</v>
      </c>
      <c r="U59" s="972">
        <v>33481</v>
      </c>
    </row>
    <row r="60" spans="1:21" x14ac:dyDescent="0.25">
      <c r="A60" s="966">
        <v>90709</v>
      </c>
      <c r="B60" s="967" t="s">
        <v>2681</v>
      </c>
      <c r="C60" s="968">
        <v>1.2650000000000001E-4</v>
      </c>
      <c r="D60" s="968">
        <v>1.4569999999999999E-4</v>
      </c>
      <c r="E60" s="1007">
        <v>61710</v>
      </c>
      <c r="F60" s="1010">
        <v>309224</v>
      </c>
      <c r="G60" s="969">
        <v>193257</v>
      </c>
      <c r="H60" s="969"/>
      <c r="I60" s="970">
        <v>11133</v>
      </c>
      <c r="J60" s="971">
        <v>46924</v>
      </c>
      <c r="K60" s="970">
        <v>27600</v>
      </c>
      <c r="L60" s="969">
        <v>5085</v>
      </c>
      <c r="M60" s="969"/>
      <c r="N60" s="970">
        <v>5470</v>
      </c>
      <c r="O60" s="970">
        <v>0</v>
      </c>
      <c r="P60" s="970">
        <v>0</v>
      </c>
      <c r="Q60" s="969">
        <v>42511</v>
      </c>
      <c r="R60" s="969"/>
      <c r="S60" s="970">
        <v>65128</v>
      </c>
      <c r="T60" s="972">
        <v>-9374</v>
      </c>
      <c r="U60" s="972">
        <v>55754</v>
      </c>
    </row>
    <row r="61" spans="1:21" x14ac:dyDescent="0.25">
      <c r="A61" s="966">
        <v>90711</v>
      </c>
      <c r="B61" s="967" t="s">
        <v>2682</v>
      </c>
      <c r="C61" s="968">
        <v>1.6877000000000001E-3</v>
      </c>
      <c r="D61" s="968">
        <v>1.7302000000000001E-3</v>
      </c>
      <c r="E61" s="1007">
        <v>774256</v>
      </c>
      <c r="F61" s="1010">
        <v>3672064</v>
      </c>
      <c r="G61" s="969">
        <v>2578338</v>
      </c>
      <c r="H61" s="969"/>
      <c r="I61" s="970">
        <v>148536</v>
      </c>
      <c r="J61" s="971">
        <v>626023</v>
      </c>
      <c r="K61" s="970">
        <v>368222</v>
      </c>
      <c r="L61" s="969">
        <v>0</v>
      </c>
      <c r="M61" s="969"/>
      <c r="N61" s="970">
        <v>72985</v>
      </c>
      <c r="O61" s="970">
        <v>0</v>
      </c>
      <c r="P61" s="970">
        <v>0</v>
      </c>
      <c r="Q61" s="969">
        <v>160849</v>
      </c>
      <c r="R61" s="969"/>
      <c r="S61" s="970">
        <v>868902</v>
      </c>
      <c r="T61" s="972">
        <v>-68798</v>
      </c>
      <c r="U61" s="972">
        <v>800104</v>
      </c>
    </row>
    <row r="62" spans="1:21" x14ac:dyDescent="0.25">
      <c r="A62" s="966">
        <v>90721</v>
      </c>
      <c r="B62" s="967" t="s">
        <v>2683</v>
      </c>
      <c r="C62" s="968">
        <v>2.8600000000000001E-5</v>
      </c>
      <c r="D62" s="968">
        <v>3.7299999999999999E-5</v>
      </c>
      <c r="E62" s="1007">
        <v>15289</v>
      </c>
      <c r="F62" s="1010">
        <v>79163</v>
      </c>
      <c r="G62" s="969">
        <v>43693</v>
      </c>
      <c r="H62" s="969"/>
      <c r="I62" s="970">
        <v>2517</v>
      </c>
      <c r="J62" s="971">
        <v>10608</v>
      </c>
      <c r="K62" s="970">
        <v>6240</v>
      </c>
      <c r="L62" s="969">
        <v>2956</v>
      </c>
      <c r="M62" s="969"/>
      <c r="N62" s="970">
        <v>1237</v>
      </c>
      <c r="O62" s="970">
        <v>0</v>
      </c>
      <c r="P62" s="970">
        <v>0</v>
      </c>
      <c r="Q62" s="969">
        <v>4943</v>
      </c>
      <c r="R62" s="969"/>
      <c r="S62" s="970">
        <v>14725</v>
      </c>
      <c r="T62" s="972">
        <v>1072</v>
      </c>
      <c r="U62" s="972">
        <f>15796+1</f>
        <v>15797</v>
      </c>
    </row>
    <row r="63" spans="1:21" x14ac:dyDescent="0.25">
      <c r="A63" s="966">
        <v>90731</v>
      </c>
      <c r="B63" s="967" t="s">
        <v>2684</v>
      </c>
      <c r="C63" s="968">
        <v>1.741E-4</v>
      </c>
      <c r="D63" s="968">
        <v>1.917E-4</v>
      </c>
      <c r="E63" s="1007">
        <v>79540</v>
      </c>
      <c r="F63" s="1010">
        <v>406852</v>
      </c>
      <c r="G63" s="969">
        <v>265977</v>
      </c>
      <c r="H63" s="969"/>
      <c r="I63" s="970">
        <v>15323</v>
      </c>
      <c r="J63" s="971">
        <v>64580</v>
      </c>
      <c r="K63" s="970">
        <v>37985</v>
      </c>
      <c r="L63" s="969">
        <v>0</v>
      </c>
      <c r="M63" s="969"/>
      <c r="N63" s="970">
        <v>7529</v>
      </c>
      <c r="O63" s="970">
        <v>0</v>
      </c>
      <c r="P63" s="970">
        <v>0</v>
      </c>
      <c r="Q63" s="969">
        <v>18148</v>
      </c>
      <c r="R63" s="969"/>
      <c r="S63" s="970">
        <v>89634</v>
      </c>
      <c r="T63" s="972">
        <v>-7025</v>
      </c>
      <c r="U63" s="972">
        <v>82609</v>
      </c>
    </row>
    <row r="64" spans="1:21" x14ac:dyDescent="0.25">
      <c r="A64" s="966">
        <v>90741</v>
      </c>
      <c r="B64" s="967" t="s">
        <v>2685</v>
      </c>
      <c r="C64" s="968">
        <v>9.0999999999999993E-6</v>
      </c>
      <c r="D64" s="968">
        <v>1.2099999999999999E-5</v>
      </c>
      <c r="E64" s="1007">
        <v>6433</v>
      </c>
      <c r="F64" s="1010">
        <v>25680</v>
      </c>
      <c r="G64" s="969">
        <v>13902</v>
      </c>
      <c r="H64" s="969"/>
      <c r="I64" s="970">
        <v>801</v>
      </c>
      <c r="J64" s="971">
        <v>3375</v>
      </c>
      <c r="K64" s="970">
        <v>1985</v>
      </c>
      <c r="L64" s="969">
        <v>2169</v>
      </c>
      <c r="M64" s="969"/>
      <c r="N64" s="970">
        <v>394</v>
      </c>
      <c r="O64" s="970">
        <v>0</v>
      </c>
      <c r="P64" s="970">
        <v>0</v>
      </c>
      <c r="Q64" s="969">
        <v>952</v>
      </c>
      <c r="R64" s="969"/>
      <c r="S64" s="970">
        <v>4685</v>
      </c>
      <c r="T64" s="972">
        <v>235</v>
      </c>
      <c r="U64" s="972">
        <v>4920</v>
      </c>
    </row>
    <row r="65" spans="1:21" x14ac:dyDescent="0.25">
      <c r="A65" s="966">
        <v>90751</v>
      </c>
      <c r="B65" s="967" t="s">
        <v>2686</v>
      </c>
      <c r="C65" s="968">
        <v>6.8700000000000003E-5</v>
      </c>
      <c r="D65" s="968">
        <v>6.5599999999999995E-5</v>
      </c>
      <c r="E65" s="1007">
        <v>27591</v>
      </c>
      <c r="F65" s="1010">
        <v>139225</v>
      </c>
      <c r="G65" s="969">
        <v>104955</v>
      </c>
      <c r="H65" s="969"/>
      <c r="I65" s="970">
        <v>6046</v>
      </c>
      <c r="J65" s="971">
        <v>25483</v>
      </c>
      <c r="K65" s="970">
        <v>14989</v>
      </c>
      <c r="L65" s="969">
        <v>4940</v>
      </c>
      <c r="M65" s="969"/>
      <c r="N65" s="970">
        <v>2971</v>
      </c>
      <c r="O65" s="970">
        <v>0</v>
      </c>
      <c r="P65" s="970">
        <v>0</v>
      </c>
      <c r="Q65" s="969">
        <v>1080</v>
      </c>
      <c r="R65" s="969"/>
      <c r="S65" s="970">
        <v>35370</v>
      </c>
      <c r="T65" s="972">
        <v>3400</v>
      </c>
      <c r="U65" s="972">
        <v>38770</v>
      </c>
    </row>
    <row r="66" spans="1:21" x14ac:dyDescent="0.25">
      <c r="A66" s="966">
        <v>90801</v>
      </c>
      <c r="B66" s="967" t="s">
        <v>2687</v>
      </c>
      <c r="C66" s="968">
        <v>1.3064000000000001E-3</v>
      </c>
      <c r="D66" s="968">
        <v>1.1404E-3</v>
      </c>
      <c r="E66" s="1007">
        <v>521156</v>
      </c>
      <c r="F66" s="1010">
        <v>2420311</v>
      </c>
      <c r="G66" s="969">
        <v>1995817</v>
      </c>
      <c r="H66" s="969"/>
      <c r="I66" s="970">
        <v>114978</v>
      </c>
      <c r="J66" s="971">
        <v>484586</v>
      </c>
      <c r="K66" s="970">
        <v>285030</v>
      </c>
      <c r="L66" s="969">
        <v>151641</v>
      </c>
      <c r="M66" s="969"/>
      <c r="N66" s="970">
        <v>56495</v>
      </c>
      <c r="O66" s="970">
        <v>0</v>
      </c>
      <c r="P66" s="970">
        <v>0</v>
      </c>
      <c r="Q66" s="969">
        <v>0</v>
      </c>
      <c r="R66" s="969"/>
      <c r="S66" s="970">
        <v>672592</v>
      </c>
      <c r="T66" s="972">
        <v>65370</v>
      </c>
      <c r="U66" s="972">
        <v>737962</v>
      </c>
    </row>
    <row r="67" spans="1:21" x14ac:dyDescent="0.25">
      <c r="A67" s="966">
        <v>90804</v>
      </c>
      <c r="B67" s="967" t="s">
        <v>2688</v>
      </c>
      <c r="C67" s="968">
        <v>6.1999999999999999E-6</v>
      </c>
      <c r="D67" s="968">
        <v>6.0000000000000002E-6</v>
      </c>
      <c r="E67" s="1007">
        <v>2751</v>
      </c>
      <c r="F67" s="1010">
        <v>12734</v>
      </c>
      <c r="G67" s="969">
        <v>9472</v>
      </c>
      <c r="H67" s="969"/>
      <c r="I67" s="970">
        <v>546</v>
      </c>
      <c r="J67" s="971">
        <v>2300</v>
      </c>
      <c r="K67" s="970">
        <v>1353</v>
      </c>
      <c r="L67" s="969">
        <v>1462</v>
      </c>
      <c r="M67" s="969"/>
      <c r="N67" s="970">
        <v>268</v>
      </c>
      <c r="O67" s="970">
        <v>0</v>
      </c>
      <c r="P67" s="970">
        <v>0</v>
      </c>
      <c r="Q67" s="969">
        <v>0</v>
      </c>
      <c r="R67" s="969"/>
      <c r="S67" s="970">
        <v>3192</v>
      </c>
      <c r="T67" s="972">
        <v>893</v>
      </c>
      <c r="U67" s="972">
        <v>4085</v>
      </c>
    </row>
    <row r="68" spans="1:21" x14ac:dyDescent="0.25">
      <c r="A68" s="966">
        <v>90805</v>
      </c>
      <c r="B68" s="967" t="s">
        <v>2689</v>
      </c>
      <c r="C68" s="968">
        <v>5.1900000000000001E-5</v>
      </c>
      <c r="D68" s="968">
        <v>5.5099999999999998E-5</v>
      </c>
      <c r="E68" s="1007">
        <v>35600</v>
      </c>
      <c r="F68" s="1010">
        <v>116941</v>
      </c>
      <c r="G68" s="969">
        <v>79289</v>
      </c>
      <c r="H68" s="969"/>
      <c r="I68" s="970">
        <v>4568</v>
      </c>
      <c r="J68" s="971">
        <v>19252</v>
      </c>
      <c r="K68" s="970">
        <v>11324</v>
      </c>
      <c r="L68" s="969">
        <v>22022</v>
      </c>
      <c r="M68" s="969"/>
      <c r="N68" s="970">
        <v>2244</v>
      </c>
      <c r="O68" s="970">
        <v>0</v>
      </c>
      <c r="P68" s="970">
        <v>0</v>
      </c>
      <c r="Q68" s="969">
        <v>0</v>
      </c>
      <c r="R68" s="969"/>
      <c r="S68" s="970">
        <v>26720</v>
      </c>
      <c r="T68" s="972">
        <v>9443</v>
      </c>
      <c r="U68" s="972">
        <v>36163</v>
      </c>
    </row>
    <row r="69" spans="1:21" x14ac:dyDescent="0.25">
      <c r="A69" s="966">
        <v>90808</v>
      </c>
      <c r="B69" s="967" t="s">
        <v>2690</v>
      </c>
      <c r="C69" s="968">
        <v>1.131E-4</v>
      </c>
      <c r="D69" s="968">
        <v>1.109E-4</v>
      </c>
      <c r="E69" s="1007">
        <v>56029</v>
      </c>
      <c r="F69" s="1010">
        <v>235367</v>
      </c>
      <c r="G69" s="969">
        <v>172785</v>
      </c>
      <c r="H69" s="969"/>
      <c r="I69" s="970">
        <v>9954</v>
      </c>
      <c r="J69" s="971">
        <v>41952</v>
      </c>
      <c r="K69" s="970">
        <v>24676</v>
      </c>
      <c r="L69" s="969">
        <v>5678</v>
      </c>
      <c r="M69" s="969"/>
      <c r="N69" s="970">
        <v>4891</v>
      </c>
      <c r="O69" s="970">
        <v>0</v>
      </c>
      <c r="P69" s="970">
        <v>0</v>
      </c>
      <c r="Q69" s="969">
        <v>2008</v>
      </c>
      <c r="R69" s="969"/>
      <c r="S69" s="970">
        <v>58229</v>
      </c>
      <c r="T69" s="972">
        <v>731</v>
      </c>
      <c r="U69" s="972">
        <f>58959+1</f>
        <v>58960</v>
      </c>
    </row>
    <row r="70" spans="1:21" x14ac:dyDescent="0.25">
      <c r="A70" s="966">
        <v>90811</v>
      </c>
      <c r="B70" s="967" t="s">
        <v>2691</v>
      </c>
      <c r="C70" s="968">
        <v>3.3599999999999997E-5</v>
      </c>
      <c r="D70" s="968">
        <v>4.0000000000000003E-5</v>
      </c>
      <c r="E70" s="1007">
        <v>11655</v>
      </c>
      <c r="F70" s="1010">
        <v>84893</v>
      </c>
      <c r="G70" s="969">
        <v>51331</v>
      </c>
      <c r="H70" s="969"/>
      <c r="I70" s="970">
        <v>2957</v>
      </c>
      <c r="J70" s="971">
        <v>12463</v>
      </c>
      <c r="K70" s="970">
        <v>7331</v>
      </c>
      <c r="L70" s="969">
        <v>471</v>
      </c>
      <c r="M70" s="969"/>
      <c r="N70" s="970">
        <v>1453</v>
      </c>
      <c r="O70" s="970">
        <v>0</v>
      </c>
      <c r="P70" s="970">
        <v>0</v>
      </c>
      <c r="Q70" s="969">
        <v>8846</v>
      </c>
      <c r="R70" s="969"/>
      <c r="S70" s="970">
        <v>17299</v>
      </c>
      <c r="T70" s="972">
        <v>-1986</v>
      </c>
      <c r="U70" s="972">
        <v>15313</v>
      </c>
    </row>
    <row r="71" spans="1:21" x14ac:dyDescent="0.25">
      <c r="A71" s="966">
        <v>90812</v>
      </c>
      <c r="B71" s="967" t="s">
        <v>2692</v>
      </c>
      <c r="C71" s="968">
        <v>2.2900000000000001E-4</v>
      </c>
      <c r="D71" s="968">
        <v>2.13E-4</v>
      </c>
      <c r="E71" s="1007">
        <v>105040</v>
      </c>
      <c r="F71" s="1010">
        <v>452057</v>
      </c>
      <c r="G71" s="969">
        <v>349849</v>
      </c>
      <c r="H71" s="969"/>
      <c r="I71" s="970">
        <v>20155</v>
      </c>
      <c r="J71" s="971">
        <v>84944</v>
      </c>
      <c r="K71" s="970">
        <v>49963</v>
      </c>
      <c r="L71" s="969">
        <v>15087</v>
      </c>
      <c r="M71" s="969"/>
      <c r="N71" s="970">
        <v>9903</v>
      </c>
      <c r="O71" s="970">
        <v>0</v>
      </c>
      <c r="P71" s="970">
        <v>0</v>
      </c>
      <c r="Q71" s="969">
        <v>10549</v>
      </c>
      <c r="R71" s="969"/>
      <c r="S71" s="970">
        <v>117899</v>
      </c>
      <c r="T71" s="972">
        <v>3117</v>
      </c>
      <c r="U71" s="972">
        <v>121016</v>
      </c>
    </row>
    <row r="72" spans="1:21" x14ac:dyDescent="0.25">
      <c r="A72" s="966">
        <v>90813</v>
      </c>
      <c r="B72" s="967" t="s">
        <v>2693</v>
      </c>
      <c r="C72" s="968">
        <v>5.3000000000000001E-6</v>
      </c>
      <c r="D72" s="968">
        <v>5.4999999999999999E-6</v>
      </c>
      <c r="E72" s="1007">
        <v>2061</v>
      </c>
      <c r="F72" s="1010">
        <v>11673</v>
      </c>
      <c r="G72" s="969">
        <v>8097</v>
      </c>
      <c r="H72" s="969"/>
      <c r="I72" s="970">
        <v>466</v>
      </c>
      <c r="J72" s="971">
        <v>1966</v>
      </c>
      <c r="K72" s="970">
        <v>1156</v>
      </c>
      <c r="L72" s="969">
        <v>0</v>
      </c>
      <c r="M72" s="969"/>
      <c r="N72" s="970">
        <v>229</v>
      </c>
      <c r="O72" s="970">
        <v>0</v>
      </c>
      <c r="P72" s="970">
        <v>0</v>
      </c>
      <c r="Q72" s="969">
        <v>1124</v>
      </c>
      <c r="R72" s="969"/>
      <c r="S72" s="970">
        <v>2729</v>
      </c>
      <c r="T72" s="972">
        <v>-505</v>
      </c>
      <c r="U72" s="972">
        <f>2223+1</f>
        <v>2224</v>
      </c>
    </row>
    <row r="73" spans="1:21" x14ac:dyDescent="0.25">
      <c r="A73" s="966">
        <v>90861</v>
      </c>
      <c r="B73" s="967" t="s">
        <v>2694</v>
      </c>
      <c r="C73" s="968">
        <v>4.1999999999999996E-6</v>
      </c>
      <c r="D73" s="968">
        <v>4.7999999999999998E-6</v>
      </c>
      <c r="E73" s="1007">
        <v>3703</v>
      </c>
      <c r="F73" s="1010">
        <v>10187</v>
      </c>
      <c r="G73" s="969">
        <v>6416</v>
      </c>
      <c r="H73" s="969"/>
      <c r="I73" s="970">
        <v>370</v>
      </c>
      <c r="J73" s="971">
        <v>1558</v>
      </c>
      <c r="K73" s="970">
        <v>916</v>
      </c>
      <c r="L73" s="969">
        <v>3211</v>
      </c>
      <c r="M73" s="969"/>
      <c r="N73" s="970">
        <v>182</v>
      </c>
      <c r="O73" s="970">
        <v>0</v>
      </c>
      <c r="P73" s="970">
        <v>0</v>
      </c>
      <c r="Q73" s="969">
        <v>1117</v>
      </c>
      <c r="R73" s="969"/>
      <c r="S73" s="970">
        <v>2162</v>
      </c>
      <c r="T73" s="972">
        <v>191</v>
      </c>
      <c r="U73" s="972">
        <v>2353</v>
      </c>
    </row>
    <row r="74" spans="1:21" x14ac:dyDescent="0.25">
      <c r="A74" s="966">
        <v>90901</v>
      </c>
      <c r="B74" s="967" t="s">
        <v>2695</v>
      </c>
      <c r="C74" s="968">
        <v>2.1814999999999998E-3</v>
      </c>
      <c r="D74" s="968">
        <v>2.1302999999999999E-3</v>
      </c>
      <c r="E74" s="1007">
        <v>980897</v>
      </c>
      <c r="F74" s="1010">
        <v>4521210</v>
      </c>
      <c r="G74" s="969">
        <v>3332728</v>
      </c>
      <c r="H74" s="969"/>
      <c r="I74" s="970">
        <v>191996</v>
      </c>
      <c r="J74" s="971">
        <v>809191</v>
      </c>
      <c r="K74" s="970">
        <v>475960</v>
      </c>
      <c r="L74" s="969">
        <v>22389</v>
      </c>
      <c r="M74" s="969"/>
      <c r="N74" s="970">
        <v>94339</v>
      </c>
      <c r="O74" s="970">
        <v>0</v>
      </c>
      <c r="P74" s="970">
        <v>0</v>
      </c>
      <c r="Q74" s="969">
        <v>38005</v>
      </c>
      <c r="R74" s="969"/>
      <c r="S74" s="970">
        <v>1123132</v>
      </c>
      <c r="T74" s="972">
        <v>-5969</v>
      </c>
      <c r="U74" s="972">
        <v>1117163</v>
      </c>
    </row>
    <row r="75" spans="1:21" x14ac:dyDescent="0.25">
      <c r="A75" s="966">
        <v>90911</v>
      </c>
      <c r="B75" s="967" t="s">
        <v>2696</v>
      </c>
      <c r="C75" s="968">
        <v>3.9780000000000002E-4</v>
      </c>
      <c r="D75" s="968">
        <v>3.6010000000000003E-4</v>
      </c>
      <c r="E75" s="1007">
        <v>159535</v>
      </c>
      <c r="F75" s="1010">
        <v>764253</v>
      </c>
      <c r="G75" s="969">
        <v>607728</v>
      </c>
      <c r="H75" s="969"/>
      <c r="I75" s="970">
        <v>35011</v>
      </c>
      <c r="J75" s="971">
        <v>147557</v>
      </c>
      <c r="K75" s="970">
        <v>86792</v>
      </c>
      <c r="L75" s="969">
        <v>6806</v>
      </c>
      <c r="M75" s="969"/>
      <c r="N75" s="970">
        <v>17203</v>
      </c>
      <c r="O75" s="970">
        <v>0</v>
      </c>
      <c r="P75" s="970">
        <v>0</v>
      </c>
      <c r="Q75" s="969">
        <v>31482</v>
      </c>
      <c r="R75" s="969"/>
      <c r="S75" s="970">
        <v>204805</v>
      </c>
      <c r="T75" s="972">
        <v>-18326</v>
      </c>
      <c r="U75" s="972">
        <v>186479</v>
      </c>
    </row>
    <row r="76" spans="1:21" x14ac:dyDescent="0.25">
      <c r="A76" s="966">
        <v>90917</v>
      </c>
      <c r="B76" s="967" t="s">
        <v>2697</v>
      </c>
      <c r="C76" s="968">
        <v>1.4399999999999999E-5</v>
      </c>
      <c r="D76" s="968">
        <v>1.42E-5</v>
      </c>
      <c r="E76" s="1007">
        <v>5784</v>
      </c>
      <c r="F76" s="1010">
        <v>30137</v>
      </c>
      <c r="G76" s="969">
        <v>21999</v>
      </c>
      <c r="H76" s="969"/>
      <c r="I76" s="970">
        <v>1267</v>
      </c>
      <c r="J76" s="971">
        <v>5342</v>
      </c>
      <c r="K76" s="970">
        <v>3142</v>
      </c>
      <c r="L76" s="969">
        <v>1461</v>
      </c>
      <c r="M76" s="969"/>
      <c r="N76" s="970">
        <v>623</v>
      </c>
      <c r="O76" s="970">
        <v>0</v>
      </c>
      <c r="P76" s="970">
        <v>0</v>
      </c>
      <c r="Q76" s="969">
        <v>966</v>
      </c>
      <c r="R76" s="969"/>
      <c r="S76" s="970">
        <v>7414</v>
      </c>
      <c r="T76" s="972">
        <v>-22</v>
      </c>
      <c r="U76" s="972">
        <v>7392</v>
      </c>
    </row>
    <row r="77" spans="1:21" x14ac:dyDescent="0.25">
      <c r="A77" s="966">
        <v>90918</v>
      </c>
      <c r="B77" s="967" t="s">
        <v>2698</v>
      </c>
      <c r="C77" s="968">
        <v>1.19E-5</v>
      </c>
      <c r="D77" s="968">
        <v>1.24E-5</v>
      </c>
      <c r="E77" s="1007">
        <v>4773</v>
      </c>
      <c r="F77" s="1010">
        <v>26317</v>
      </c>
      <c r="G77" s="969">
        <v>18180</v>
      </c>
      <c r="H77" s="969"/>
      <c r="I77" s="970">
        <v>1047</v>
      </c>
      <c r="J77" s="971">
        <v>4414</v>
      </c>
      <c r="K77" s="970">
        <v>2596</v>
      </c>
      <c r="L77" s="969">
        <v>0</v>
      </c>
      <c r="M77" s="969"/>
      <c r="N77" s="970">
        <v>515</v>
      </c>
      <c r="O77" s="970">
        <v>0</v>
      </c>
      <c r="P77" s="970">
        <v>0</v>
      </c>
      <c r="Q77" s="969">
        <v>2553</v>
      </c>
      <c r="R77" s="969"/>
      <c r="S77" s="970">
        <v>6127</v>
      </c>
      <c r="T77" s="972">
        <v>-1087</v>
      </c>
      <c r="U77" s="972">
        <f>5039+1</f>
        <v>5040</v>
      </c>
    </row>
    <row r="78" spans="1:21" x14ac:dyDescent="0.25">
      <c r="A78" s="966">
        <v>90921</v>
      </c>
      <c r="B78" s="967" t="s">
        <v>2699</v>
      </c>
      <c r="C78" s="968">
        <v>1.2970000000000001E-4</v>
      </c>
      <c r="D78" s="968">
        <v>8.7399999999999997E-5</v>
      </c>
      <c r="E78" s="1007">
        <v>59486</v>
      </c>
      <c r="F78" s="1010">
        <v>185492</v>
      </c>
      <c r="G78" s="969">
        <v>198146</v>
      </c>
      <c r="H78" s="969"/>
      <c r="I78" s="970">
        <v>11415</v>
      </c>
      <c r="J78" s="971">
        <v>48110</v>
      </c>
      <c r="K78" s="970">
        <v>28298</v>
      </c>
      <c r="L78" s="969">
        <v>31212</v>
      </c>
      <c r="M78" s="969"/>
      <c r="N78" s="970">
        <v>5609</v>
      </c>
      <c r="O78" s="970">
        <v>0</v>
      </c>
      <c r="P78" s="970">
        <v>0</v>
      </c>
      <c r="Q78" s="969">
        <v>7007</v>
      </c>
      <c r="R78" s="969"/>
      <c r="S78" s="970">
        <v>66775</v>
      </c>
      <c r="T78" s="972">
        <v>5102</v>
      </c>
      <c r="U78" s="972">
        <v>71877</v>
      </c>
    </row>
    <row r="79" spans="1:21" x14ac:dyDescent="0.25">
      <c r="A79" s="966">
        <v>90931</v>
      </c>
      <c r="B79" s="967" t="s">
        <v>2700</v>
      </c>
      <c r="C79" s="968">
        <v>4.07E-5</v>
      </c>
      <c r="D79" s="968">
        <v>5.1900000000000001E-5</v>
      </c>
      <c r="E79" s="1007">
        <v>16168</v>
      </c>
      <c r="F79" s="1010">
        <v>110149</v>
      </c>
      <c r="G79" s="969">
        <v>62178</v>
      </c>
      <c r="H79" s="969"/>
      <c r="I79" s="970">
        <v>3582</v>
      </c>
      <c r="J79" s="971">
        <v>15097</v>
      </c>
      <c r="K79" s="970">
        <v>8880</v>
      </c>
      <c r="L79" s="969">
        <v>3743</v>
      </c>
      <c r="M79" s="969"/>
      <c r="N79" s="970">
        <v>1760</v>
      </c>
      <c r="O79" s="970">
        <v>0</v>
      </c>
      <c r="P79" s="970">
        <v>0</v>
      </c>
      <c r="Q79" s="969">
        <v>14137</v>
      </c>
      <c r="R79" s="969"/>
      <c r="S79" s="970">
        <v>20954</v>
      </c>
      <c r="T79" s="972">
        <v>-1298</v>
      </c>
      <c r="U79" s="972">
        <v>19656</v>
      </c>
    </row>
    <row r="80" spans="1:21" x14ac:dyDescent="0.25">
      <c r="A80" s="966">
        <v>90941</v>
      </c>
      <c r="B80" s="967" t="s">
        <v>2701</v>
      </c>
      <c r="C80" s="968">
        <v>7.0300000000000001E-5</v>
      </c>
      <c r="D80" s="968">
        <v>9.0799999999999998E-5</v>
      </c>
      <c r="E80" s="1007">
        <v>35455</v>
      </c>
      <c r="F80" s="1010">
        <v>192708</v>
      </c>
      <c r="G80" s="969">
        <v>107399</v>
      </c>
      <c r="H80" s="969"/>
      <c r="I80" s="970">
        <v>6187</v>
      </c>
      <c r="J80" s="971">
        <v>26076</v>
      </c>
      <c r="K80" s="970">
        <v>15338</v>
      </c>
      <c r="L80" s="969">
        <v>1686</v>
      </c>
      <c r="M80" s="969"/>
      <c r="N80" s="970">
        <v>3040</v>
      </c>
      <c r="O80" s="970">
        <v>0</v>
      </c>
      <c r="P80" s="970">
        <v>0</v>
      </c>
      <c r="Q80" s="969">
        <v>16031</v>
      </c>
      <c r="R80" s="969"/>
      <c r="S80" s="970">
        <v>36194</v>
      </c>
      <c r="T80" s="972">
        <v>-4988</v>
      </c>
      <c r="U80" s="972">
        <f>31205+1</f>
        <v>31206</v>
      </c>
    </row>
    <row r="81" spans="1:21" x14ac:dyDescent="0.25">
      <c r="A81" s="966">
        <v>91001</v>
      </c>
      <c r="B81" s="967" t="s">
        <v>2702</v>
      </c>
      <c r="C81" s="968">
        <v>6.6703999999999999E-3</v>
      </c>
      <c r="D81" s="968">
        <v>6.6189999999999999E-3</v>
      </c>
      <c r="E81" s="1007">
        <v>2867178</v>
      </c>
      <c r="F81" s="1010">
        <v>14047735</v>
      </c>
      <c r="G81" s="969">
        <v>10190523</v>
      </c>
      <c r="H81" s="969"/>
      <c r="I81" s="970">
        <v>587069</v>
      </c>
      <c r="J81" s="971">
        <v>2474271</v>
      </c>
      <c r="K81" s="970">
        <v>1455348</v>
      </c>
      <c r="L81" s="969">
        <v>35831</v>
      </c>
      <c r="M81" s="969"/>
      <c r="N81" s="970">
        <v>288461</v>
      </c>
      <c r="O81" s="970">
        <v>0</v>
      </c>
      <c r="P81" s="970">
        <v>0</v>
      </c>
      <c r="Q81" s="969">
        <v>269013</v>
      </c>
      <c r="R81" s="969"/>
      <c r="S81" s="970">
        <v>3434215</v>
      </c>
      <c r="T81" s="972">
        <v>-50061</v>
      </c>
      <c r="U81" s="972">
        <v>3384154</v>
      </c>
    </row>
    <row r="82" spans="1:21" x14ac:dyDescent="0.25">
      <c r="A82" s="966">
        <v>91002</v>
      </c>
      <c r="B82" s="967" t="s">
        <v>2703</v>
      </c>
      <c r="C82" s="968">
        <v>6.8860000000000004E-4</v>
      </c>
      <c r="D82" s="968">
        <v>5.6360000000000004E-4</v>
      </c>
      <c r="E82" s="1007">
        <v>257315</v>
      </c>
      <c r="F82" s="1010">
        <v>1196148</v>
      </c>
      <c r="G82" s="969">
        <v>1051990</v>
      </c>
      <c r="H82" s="969"/>
      <c r="I82" s="970">
        <v>60604</v>
      </c>
      <c r="J82" s="971">
        <v>255424</v>
      </c>
      <c r="K82" s="970">
        <v>150239</v>
      </c>
      <c r="L82" s="969">
        <v>39390</v>
      </c>
      <c r="M82" s="969"/>
      <c r="N82" s="970">
        <v>29779</v>
      </c>
      <c r="O82" s="970">
        <v>0</v>
      </c>
      <c r="P82" s="970">
        <v>0</v>
      </c>
      <c r="Q82" s="969">
        <v>48600</v>
      </c>
      <c r="R82" s="969"/>
      <c r="S82" s="970">
        <v>354522</v>
      </c>
      <c r="T82" s="972">
        <v>-8849</v>
      </c>
      <c r="U82" s="972">
        <v>345673</v>
      </c>
    </row>
    <row r="83" spans="1:21" x14ac:dyDescent="0.25">
      <c r="A83" s="966">
        <v>91003</v>
      </c>
      <c r="B83" s="967" t="s">
        <v>2704</v>
      </c>
      <c r="C83" s="968">
        <v>5.7260000000000004E-4</v>
      </c>
      <c r="D83" s="968">
        <v>5.6550000000000003E-4</v>
      </c>
      <c r="E83" s="1007">
        <v>268789</v>
      </c>
      <c r="F83" s="1010">
        <v>1200180</v>
      </c>
      <c r="G83" s="969">
        <v>874774</v>
      </c>
      <c r="H83" s="969"/>
      <c r="I83" s="970">
        <v>50395</v>
      </c>
      <c r="J83" s="971">
        <v>212396</v>
      </c>
      <c r="K83" s="970">
        <v>124930</v>
      </c>
      <c r="L83" s="969">
        <v>27734</v>
      </c>
      <c r="M83" s="969"/>
      <c r="N83" s="970">
        <v>24762</v>
      </c>
      <c r="O83" s="970">
        <v>0</v>
      </c>
      <c r="P83" s="970">
        <v>0</v>
      </c>
      <c r="Q83" s="969">
        <v>28524</v>
      </c>
      <c r="R83" s="969"/>
      <c r="S83" s="970">
        <v>294800</v>
      </c>
      <c r="T83" s="972">
        <v>7266</v>
      </c>
      <c r="U83" s="972">
        <v>302066</v>
      </c>
    </row>
    <row r="84" spans="1:21" x14ac:dyDescent="0.25">
      <c r="A84" s="966">
        <v>91004</v>
      </c>
      <c r="B84" s="967" t="s">
        <v>2705</v>
      </c>
      <c r="C84" s="968">
        <v>2.58E-5</v>
      </c>
      <c r="D84" s="968">
        <v>1.7499999999999998E-5</v>
      </c>
      <c r="E84" s="1007">
        <v>13568</v>
      </c>
      <c r="F84" s="1010">
        <v>37141</v>
      </c>
      <c r="G84" s="969">
        <v>39415</v>
      </c>
      <c r="H84" s="969"/>
      <c r="I84" s="970">
        <v>2271</v>
      </c>
      <c r="J84" s="971">
        <v>9571</v>
      </c>
      <c r="K84" s="970">
        <v>5629</v>
      </c>
      <c r="L84" s="969">
        <v>12153</v>
      </c>
      <c r="M84" s="969"/>
      <c r="N84" s="970">
        <v>1116</v>
      </c>
      <c r="O84" s="970">
        <v>0</v>
      </c>
      <c r="P84" s="970">
        <v>0</v>
      </c>
      <c r="Q84" s="969">
        <v>108</v>
      </c>
      <c r="R84" s="969"/>
      <c r="S84" s="970">
        <v>13283</v>
      </c>
      <c r="T84" s="972">
        <v>4277</v>
      </c>
      <c r="U84" s="972">
        <v>17560</v>
      </c>
    </row>
    <row r="85" spans="1:21" x14ac:dyDescent="0.25">
      <c r="A85" s="966">
        <v>91006</v>
      </c>
      <c r="B85" s="967" t="s">
        <v>2706</v>
      </c>
      <c r="C85" s="968">
        <v>1.0317E-3</v>
      </c>
      <c r="D85" s="968">
        <v>1.0096E-3</v>
      </c>
      <c r="E85" s="1007">
        <v>446629</v>
      </c>
      <c r="F85" s="1010">
        <v>2142709</v>
      </c>
      <c r="G85" s="969">
        <v>1576152</v>
      </c>
      <c r="H85" s="969"/>
      <c r="I85" s="970">
        <v>90801</v>
      </c>
      <c r="J85" s="971">
        <v>382692</v>
      </c>
      <c r="K85" s="970">
        <v>225096</v>
      </c>
      <c r="L85" s="969">
        <v>18199</v>
      </c>
      <c r="M85" s="969"/>
      <c r="N85" s="970">
        <v>44616</v>
      </c>
      <c r="O85" s="970">
        <v>0</v>
      </c>
      <c r="P85" s="970">
        <v>0</v>
      </c>
      <c r="Q85" s="969">
        <v>22958</v>
      </c>
      <c r="R85" s="969"/>
      <c r="S85" s="970">
        <v>531165</v>
      </c>
      <c r="T85" s="972">
        <v>3230</v>
      </c>
      <c r="U85" s="972">
        <v>534395</v>
      </c>
    </row>
    <row r="86" spans="1:21" x14ac:dyDescent="0.25">
      <c r="A86" s="966">
        <v>91007</v>
      </c>
      <c r="B86" s="967" t="s">
        <v>2707</v>
      </c>
      <c r="C86" s="968">
        <v>9.5000000000000005E-6</v>
      </c>
      <c r="D86" s="968">
        <v>1.2500000000000001E-5</v>
      </c>
      <c r="E86" s="1007">
        <v>9502</v>
      </c>
      <c r="F86" s="1010">
        <v>26529</v>
      </c>
      <c r="G86" s="969">
        <v>14513</v>
      </c>
      <c r="H86" s="969"/>
      <c r="I86" s="970">
        <v>836</v>
      </c>
      <c r="J86" s="971">
        <v>3524</v>
      </c>
      <c r="K86" s="970">
        <v>2073</v>
      </c>
      <c r="L86" s="969">
        <v>7476</v>
      </c>
      <c r="M86" s="969"/>
      <c r="N86" s="970">
        <v>411</v>
      </c>
      <c r="O86" s="970">
        <v>0</v>
      </c>
      <c r="P86" s="970">
        <v>0</v>
      </c>
      <c r="Q86" s="969">
        <v>507</v>
      </c>
      <c r="R86" s="969"/>
      <c r="S86" s="970">
        <v>4891</v>
      </c>
      <c r="T86" s="972">
        <v>2150</v>
      </c>
      <c r="U86" s="972">
        <v>7041</v>
      </c>
    </row>
    <row r="87" spans="1:21" x14ac:dyDescent="0.25">
      <c r="A87" s="966">
        <v>91008</v>
      </c>
      <c r="B87" s="967" t="s">
        <v>2708</v>
      </c>
      <c r="C87" s="968">
        <v>1.236E-4</v>
      </c>
      <c r="D87" s="968">
        <v>1.273E-4</v>
      </c>
      <c r="E87" s="1007">
        <v>68974</v>
      </c>
      <c r="F87" s="1010">
        <v>270173</v>
      </c>
      <c r="G87" s="969">
        <v>188827</v>
      </c>
      <c r="H87" s="969"/>
      <c r="I87" s="970">
        <v>10878</v>
      </c>
      <c r="J87" s="971">
        <v>45847</v>
      </c>
      <c r="K87" s="970">
        <v>26967</v>
      </c>
      <c r="L87" s="969">
        <v>37042</v>
      </c>
      <c r="M87" s="969"/>
      <c r="N87" s="970">
        <v>5345</v>
      </c>
      <c r="O87" s="970">
        <v>0</v>
      </c>
      <c r="P87" s="970">
        <v>0</v>
      </c>
      <c r="Q87" s="969">
        <v>0</v>
      </c>
      <c r="R87" s="969"/>
      <c r="S87" s="970">
        <v>63635</v>
      </c>
      <c r="T87" s="972">
        <v>17548</v>
      </c>
      <c r="U87" s="972">
        <v>81183</v>
      </c>
    </row>
    <row r="88" spans="1:21" x14ac:dyDescent="0.25">
      <c r="A88" s="966">
        <v>91009</v>
      </c>
      <c r="B88" s="967" t="s">
        <v>2709</v>
      </c>
      <c r="C88" s="968">
        <v>1.7499999999999998E-5</v>
      </c>
      <c r="D88" s="968">
        <v>1.8700000000000001E-5</v>
      </c>
      <c r="E88" s="1007">
        <v>11392</v>
      </c>
      <c r="F88" s="1010">
        <v>39688</v>
      </c>
      <c r="G88" s="969">
        <v>26735</v>
      </c>
      <c r="H88" s="969"/>
      <c r="I88" s="970">
        <v>1540</v>
      </c>
      <c r="J88" s="971">
        <v>6491</v>
      </c>
      <c r="K88" s="970">
        <v>3818</v>
      </c>
      <c r="L88" s="969">
        <v>4951</v>
      </c>
      <c r="M88" s="969"/>
      <c r="N88" s="970">
        <v>757</v>
      </c>
      <c r="O88" s="970">
        <v>0</v>
      </c>
      <c r="P88" s="970">
        <v>0</v>
      </c>
      <c r="Q88" s="969">
        <v>2458</v>
      </c>
      <c r="R88" s="969"/>
      <c r="S88" s="970">
        <v>9010</v>
      </c>
      <c r="T88" s="972">
        <v>187</v>
      </c>
      <c r="U88" s="972">
        <v>9197</v>
      </c>
    </row>
    <row r="89" spans="1:21" x14ac:dyDescent="0.25">
      <c r="A89" s="966">
        <v>91010</v>
      </c>
      <c r="B89" s="967" t="s">
        <v>2710</v>
      </c>
      <c r="C89" s="968">
        <v>7.0099999999999996E-5</v>
      </c>
      <c r="D89" s="968">
        <v>6.8399999999999996E-5</v>
      </c>
      <c r="E89" s="1007">
        <v>32517</v>
      </c>
      <c r="F89" s="1010">
        <v>145168</v>
      </c>
      <c r="G89" s="969">
        <v>107093</v>
      </c>
      <c r="H89" s="969"/>
      <c r="I89" s="970">
        <v>6170</v>
      </c>
      <c r="J89" s="971">
        <v>26003</v>
      </c>
      <c r="K89" s="970">
        <v>15294</v>
      </c>
      <c r="L89" s="969">
        <v>7603</v>
      </c>
      <c r="M89" s="969"/>
      <c r="N89" s="970">
        <v>3031</v>
      </c>
      <c r="O89" s="970">
        <v>0</v>
      </c>
      <c r="P89" s="970">
        <v>0</v>
      </c>
      <c r="Q89" s="969">
        <v>296</v>
      </c>
      <c r="R89" s="969"/>
      <c r="S89" s="970">
        <v>36091</v>
      </c>
      <c r="T89" s="972">
        <v>4736</v>
      </c>
      <c r="U89" s="972">
        <v>40827</v>
      </c>
    </row>
    <row r="90" spans="1:21" x14ac:dyDescent="0.25">
      <c r="A90" s="966">
        <v>91011</v>
      </c>
      <c r="B90" s="967" t="s">
        <v>2711</v>
      </c>
      <c r="C90" s="968">
        <v>3.5760000000000002E-4</v>
      </c>
      <c r="D90" s="968">
        <v>3.1789999999999998E-4</v>
      </c>
      <c r="E90" s="1007">
        <v>159847</v>
      </c>
      <c r="F90" s="1010">
        <v>674690</v>
      </c>
      <c r="G90" s="969">
        <v>546314</v>
      </c>
      <c r="H90" s="969"/>
      <c r="I90" s="970">
        <v>31473</v>
      </c>
      <c r="J90" s="971">
        <v>132645</v>
      </c>
      <c r="K90" s="970">
        <v>78021</v>
      </c>
      <c r="L90" s="969">
        <v>43643</v>
      </c>
      <c r="M90" s="969"/>
      <c r="N90" s="970">
        <v>15464</v>
      </c>
      <c r="O90" s="970">
        <v>0</v>
      </c>
      <c r="P90" s="970">
        <v>0</v>
      </c>
      <c r="Q90" s="969">
        <v>0</v>
      </c>
      <c r="R90" s="969"/>
      <c r="S90" s="970">
        <v>184108</v>
      </c>
      <c r="T90" s="972">
        <v>16126</v>
      </c>
      <c r="U90" s="972">
        <v>200234</v>
      </c>
    </row>
    <row r="91" spans="1:21" x14ac:dyDescent="0.25">
      <c r="A91" s="966">
        <v>91012</v>
      </c>
      <c r="B91" s="967" t="s">
        <v>2712</v>
      </c>
      <c r="C91" s="968">
        <v>1.9300000000000002E-5</v>
      </c>
      <c r="D91" s="968">
        <v>1.49E-5</v>
      </c>
      <c r="E91" s="1007">
        <v>8623</v>
      </c>
      <c r="F91" s="1010">
        <v>31623</v>
      </c>
      <c r="G91" s="969">
        <v>29485</v>
      </c>
      <c r="H91" s="969"/>
      <c r="I91" s="970">
        <v>1699</v>
      </c>
      <c r="J91" s="971">
        <v>7159</v>
      </c>
      <c r="K91" s="970">
        <v>4211</v>
      </c>
      <c r="L91" s="969">
        <v>5400</v>
      </c>
      <c r="M91" s="969"/>
      <c r="N91" s="970">
        <v>835</v>
      </c>
      <c r="O91" s="970">
        <v>0</v>
      </c>
      <c r="P91" s="970">
        <v>0</v>
      </c>
      <c r="Q91" s="969">
        <v>2458</v>
      </c>
      <c r="R91" s="969"/>
      <c r="S91" s="970">
        <v>9936</v>
      </c>
      <c r="T91" s="972">
        <v>-662</v>
      </c>
      <c r="U91" s="972">
        <f>9275-1</f>
        <v>9274</v>
      </c>
    </row>
    <row r="92" spans="1:21" x14ac:dyDescent="0.25">
      <c r="A92" s="966">
        <v>91013</v>
      </c>
      <c r="B92" s="967" t="s">
        <v>2713</v>
      </c>
      <c r="C92" s="968">
        <v>2.34E-5</v>
      </c>
      <c r="D92" s="968">
        <v>2.1800000000000001E-5</v>
      </c>
      <c r="E92" s="1007">
        <v>29322</v>
      </c>
      <c r="F92" s="1010">
        <v>46267</v>
      </c>
      <c r="G92" s="969">
        <v>35749</v>
      </c>
      <c r="H92" s="969"/>
      <c r="I92" s="970">
        <v>2059</v>
      </c>
      <c r="J92" s="971">
        <v>8680</v>
      </c>
      <c r="K92" s="970">
        <v>5105</v>
      </c>
      <c r="L92" s="969">
        <v>31764</v>
      </c>
      <c r="M92" s="969"/>
      <c r="N92" s="970">
        <v>1012</v>
      </c>
      <c r="O92" s="970">
        <v>0</v>
      </c>
      <c r="P92" s="970">
        <v>0</v>
      </c>
      <c r="Q92" s="969">
        <v>0</v>
      </c>
      <c r="R92" s="969"/>
      <c r="S92" s="970">
        <v>12047</v>
      </c>
      <c r="T92" s="972">
        <v>9518</v>
      </c>
      <c r="U92" s="972">
        <v>21565</v>
      </c>
    </row>
    <row r="93" spans="1:21" x14ac:dyDescent="0.25">
      <c r="A93" s="966">
        <v>91014</v>
      </c>
      <c r="B93" s="967" t="s">
        <v>2714</v>
      </c>
      <c r="C93" s="968">
        <v>2.22E-4</v>
      </c>
      <c r="D93" s="968">
        <v>2.1499999999999999E-4</v>
      </c>
      <c r="E93" s="1007">
        <v>97692</v>
      </c>
      <c r="F93" s="1010">
        <v>456302</v>
      </c>
      <c r="G93" s="969">
        <v>339155</v>
      </c>
      <c r="H93" s="969"/>
      <c r="I93" s="970">
        <v>19538</v>
      </c>
      <c r="J93" s="971">
        <v>82347</v>
      </c>
      <c r="K93" s="970">
        <v>48436</v>
      </c>
      <c r="L93" s="969">
        <v>1313</v>
      </c>
      <c r="M93" s="969"/>
      <c r="N93" s="970">
        <v>9600</v>
      </c>
      <c r="O93" s="970">
        <v>0</v>
      </c>
      <c r="P93" s="970">
        <v>0</v>
      </c>
      <c r="Q93" s="969">
        <v>11287</v>
      </c>
      <c r="R93" s="969"/>
      <c r="S93" s="970">
        <v>114295</v>
      </c>
      <c r="T93" s="972">
        <v>-6129</v>
      </c>
      <c r="U93" s="972">
        <f>108167-1</f>
        <v>108166</v>
      </c>
    </row>
    <row r="94" spans="1:21" x14ac:dyDescent="0.25">
      <c r="A94" s="966">
        <v>91017</v>
      </c>
      <c r="B94" s="967" t="s">
        <v>2715</v>
      </c>
      <c r="C94" s="968">
        <v>2.4300000000000001E-5</v>
      </c>
      <c r="D94" s="968">
        <v>2.3E-5</v>
      </c>
      <c r="E94" s="1007">
        <v>12462</v>
      </c>
      <c r="F94" s="1010">
        <v>48814</v>
      </c>
      <c r="G94" s="969">
        <v>37124</v>
      </c>
      <c r="H94" s="969"/>
      <c r="I94" s="970">
        <v>2139</v>
      </c>
      <c r="J94" s="971">
        <v>9014</v>
      </c>
      <c r="K94" s="970">
        <v>5302</v>
      </c>
      <c r="L94" s="969">
        <v>10242</v>
      </c>
      <c r="M94" s="969"/>
      <c r="N94" s="970">
        <v>1051</v>
      </c>
      <c r="O94" s="970">
        <v>0</v>
      </c>
      <c r="P94" s="970">
        <v>0</v>
      </c>
      <c r="Q94" s="969">
        <v>0</v>
      </c>
      <c r="R94" s="969"/>
      <c r="S94" s="970">
        <v>12511</v>
      </c>
      <c r="T94" s="972">
        <v>4025</v>
      </c>
      <c r="U94" s="972">
        <v>16536</v>
      </c>
    </row>
    <row r="95" spans="1:21" x14ac:dyDescent="0.25">
      <c r="A95" s="966">
        <v>91020</v>
      </c>
      <c r="B95" s="967" t="s">
        <v>2716</v>
      </c>
      <c r="C95" s="968">
        <v>2.27E-5</v>
      </c>
      <c r="D95" s="968">
        <v>1.9899999999999999E-5</v>
      </c>
      <c r="E95" s="1007">
        <v>10949</v>
      </c>
      <c r="F95" s="1010">
        <v>42234</v>
      </c>
      <c r="G95" s="969">
        <v>34679</v>
      </c>
      <c r="H95" s="969"/>
      <c r="I95" s="970">
        <v>1998</v>
      </c>
      <c r="J95" s="971">
        <v>8420</v>
      </c>
      <c r="K95" s="970">
        <v>4953</v>
      </c>
      <c r="L95" s="969">
        <v>4064</v>
      </c>
      <c r="M95" s="969"/>
      <c r="N95" s="970">
        <v>982</v>
      </c>
      <c r="O95" s="970">
        <v>0</v>
      </c>
      <c r="P95" s="970">
        <v>0</v>
      </c>
      <c r="Q95" s="969">
        <v>376</v>
      </c>
      <c r="R95" s="969"/>
      <c r="S95" s="970">
        <v>11687</v>
      </c>
      <c r="T95" s="972">
        <v>1259</v>
      </c>
      <c r="U95" s="972">
        <v>12946</v>
      </c>
    </row>
    <row r="96" spans="1:21" x14ac:dyDescent="0.25">
      <c r="A96" s="966">
        <v>91021</v>
      </c>
      <c r="B96" s="967" t="s">
        <v>2717</v>
      </c>
      <c r="C96" s="968">
        <v>8.6450000000000003E-4</v>
      </c>
      <c r="D96" s="968">
        <v>8.6989999999999995E-4</v>
      </c>
      <c r="E96" s="1007">
        <v>387782</v>
      </c>
      <c r="F96" s="1010">
        <v>1846219</v>
      </c>
      <c r="G96" s="969">
        <v>1320717</v>
      </c>
      <c r="H96" s="969"/>
      <c r="I96" s="970">
        <v>76086</v>
      </c>
      <c r="J96" s="971">
        <v>320672</v>
      </c>
      <c r="K96" s="970">
        <v>188617</v>
      </c>
      <c r="L96" s="969">
        <v>0</v>
      </c>
      <c r="M96" s="969"/>
      <c r="N96" s="970">
        <v>37385</v>
      </c>
      <c r="O96" s="970">
        <v>0</v>
      </c>
      <c r="P96" s="970">
        <v>0</v>
      </c>
      <c r="Q96" s="969">
        <v>82677</v>
      </c>
      <c r="R96" s="969"/>
      <c r="S96" s="970">
        <v>445083</v>
      </c>
      <c r="T96" s="972">
        <v>-48679</v>
      </c>
      <c r="U96" s="972">
        <v>396404</v>
      </c>
    </row>
    <row r="97" spans="1:21" x14ac:dyDescent="0.25">
      <c r="A97" s="966">
        <v>91024</v>
      </c>
      <c r="B97" s="967" t="s">
        <v>2718</v>
      </c>
      <c r="C97" s="968">
        <v>7.2999999999999999E-5</v>
      </c>
      <c r="D97" s="968">
        <v>6.6299999999999999E-5</v>
      </c>
      <c r="E97" s="1007">
        <v>34458</v>
      </c>
      <c r="F97" s="1010">
        <v>140711</v>
      </c>
      <c r="G97" s="969">
        <v>111524</v>
      </c>
      <c r="H97" s="969"/>
      <c r="I97" s="970">
        <v>6425</v>
      </c>
      <c r="J97" s="971">
        <v>27078</v>
      </c>
      <c r="K97" s="970">
        <v>15927</v>
      </c>
      <c r="L97" s="969">
        <v>24081</v>
      </c>
      <c r="M97" s="969"/>
      <c r="N97" s="970">
        <v>3157</v>
      </c>
      <c r="O97" s="970">
        <v>0</v>
      </c>
      <c r="P97" s="970">
        <v>0</v>
      </c>
      <c r="Q97" s="969">
        <v>0</v>
      </c>
      <c r="R97" s="969"/>
      <c r="S97" s="970">
        <v>37584</v>
      </c>
      <c r="T97" s="972">
        <v>10843</v>
      </c>
      <c r="U97" s="972">
        <f>48426+1</f>
        <v>48427</v>
      </c>
    </row>
    <row r="98" spans="1:21" x14ac:dyDescent="0.25">
      <c r="A98" s="966">
        <v>91026</v>
      </c>
      <c r="B98" s="967" t="s">
        <v>1245</v>
      </c>
      <c r="C98" s="968">
        <v>4.18E-5</v>
      </c>
      <c r="D98" s="968">
        <v>6.0900000000000003E-5</v>
      </c>
      <c r="E98" s="1007">
        <v>40781</v>
      </c>
      <c r="F98" s="1010">
        <v>129250</v>
      </c>
      <c r="G98" s="969">
        <v>63859</v>
      </c>
      <c r="H98" s="969"/>
      <c r="I98" s="970">
        <v>3679</v>
      </c>
      <c r="J98" s="971">
        <v>15505</v>
      </c>
      <c r="K98" s="970">
        <v>9120</v>
      </c>
      <c r="L98" s="969">
        <v>34468</v>
      </c>
      <c r="M98" s="969"/>
      <c r="N98" s="970">
        <v>1808</v>
      </c>
      <c r="O98" s="970">
        <v>0</v>
      </c>
      <c r="P98" s="970">
        <v>0</v>
      </c>
      <c r="Q98" s="969">
        <v>3103</v>
      </c>
      <c r="R98" s="969"/>
      <c r="S98" s="970">
        <v>21520</v>
      </c>
      <c r="T98" s="972">
        <v>11546</v>
      </c>
      <c r="U98" s="972">
        <v>33066</v>
      </c>
    </row>
    <row r="99" spans="1:21" x14ac:dyDescent="0.25">
      <c r="A99" s="966">
        <v>91027</v>
      </c>
      <c r="B99" s="967" t="s">
        <v>2719</v>
      </c>
      <c r="C99" s="968">
        <v>1.4E-5</v>
      </c>
      <c r="D99" s="968">
        <v>1.6099999999999998E-5</v>
      </c>
      <c r="E99" s="1007">
        <v>15968</v>
      </c>
      <c r="F99" s="1010">
        <v>34170</v>
      </c>
      <c r="G99" s="969">
        <v>21388</v>
      </c>
      <c r="H99" s="969"/>
      <c r="I99" s="970">
        <v>1232</v>
      </c>
      <c r="J99" s="971">
        <v>5193</v>
      </c>
      <c r="K99" s="970">
        <v>3055</v>
      </c>
      <c r="L99" s="969">
        <v>16343</v>
      </c>
      <c r="M99" s="969"/>
      <c r="N99" s="970">
        <v>605</v>
      </c>
      <c r="O99" s="970">
        <v>0</v>
      </c>
      <c r="P99" s="970">
        <v>0</v>
      </c>
      <c r="Q99" s="969">
        <v>0</v>
      </c>
      <c r="R99" s="969"/>
      <c r="S99" s="970">
        <v>7208</v>
      </c>
      <c r="T99" s="972">
        <v>6601</v>
      </c>
      <c r="U99" s="972">
        <f>13808+1</f>
        <v>13809</v>
      </c>
    </row>
    <row r="100" spans="1:21" x14ac:dyDescent="0.25">
      <c r="A100" s="966">
        <v>91032</v>
      </c>
      <c r="B100" s="967" t="s">
        <v>2720</v>
      </c>
      <c r="C100" s="968">
        <v>1.8E-5</v>
      </c>
      <c r="D100" s="968">
        <v>1.8600000000000001E-5</v>
      </c>
      <c r="E100" s="1007">
        <v>16168</v>
      </c>
      <c r="F100" s="1010">
        <v>39475</v>
      </c>
      <c r="G100" s="969">
        <v>27499</v>
      </c>
      <c r="H100" s="969"/>
      <c r="I100" s="970">
        <v>1584</v>
      </c>
      <c r="J100" s="971">
        <v>6677</v>
      </c>
      <c r="K100" s="970">
        <v>3927</v>
      </c>
      <c r="L100" s="969">
        <v>14996</v>
      </c>
      <c r="M100" s="969"/>
      <c r="N100" s="970">
        <v>778</v>
      </c>
      <c r="O100" s="970">
        <v>0</v>
      </c>
      <c r="P100" s="970">
        <v>0</v>
      </c>
      <c r="Q100" s="969">
        <v>0</v>
      </c>
      <c r="R100" s="969"/>
      <c r="S100" s="970">
        <v>9267</v>
      </c>
      <c r="T100" s="972">
        <v>6458</v>
      </c>
      <c r="U100" s="972">
        <v>15725</v>
      </c>
    </row>
    <row r="101" spans="1:21" x14ac:dyDescent="0.25">
      <c r="A101" s="966">
        <v>91041</v>
      </c>
      <c r="B101" s="967" t="s">
        <v>2721</v>
      </c>
      <c r="C101" s="968">
        <v>4.0400000000000001E-4</v>
      </c>
      <c r="D101" s="968">
        <v>4.3609999999999998E-4</v>
      </c>
      <c r="E101" s="1007">
        <v>157511</v>
      </c>
      <c r="F101" s="1010">
        <v>925550</v>
      </c>
      <c r="G101" s="969">
        <v>617200</v>
      </c>
      <c r="H101" s="969"/>
      <c r="I101" s="970">
        <v>35556</v>
      </c>
      <c r="J101" s="971">
        <v>149857</v>
      </c>
      <c r="K101" s="970">
        <v>88145</v>
      </c>
      <c r="L101" s="969">
        <v>0</v>
      </c>
      <c r="M101" s="969"/>
      <c r="N101" s="970">
        <v>17471</v>
      </c>
      <c r="O101" s="970">
        <v>0</v>
      </c>
      <c r="P101" s="970">
        <v>0</v>
      </c>
      <c r="Q101" s="969">
        <v>109443</v>
      </c>
      <c r="R101" s="969"/>
      <c r="S101" s="970">
        <v>207997</v>
      </c>
      <c r="T101" s="972">
        <v>-39088</v>
      </c>
      <c r="U101" s="972">
        <v>168909</v>
      </c>
    </row>
    <row r="102" spans="1:21" x14ac:dyDescent="0.25">
      <c r="A102" s="966">
        <v>91042</v>
      </c>
      <c r="B102" s="967" t="s">
        <v>2722</v>
      </c>
      <c r="C102" s="968">
        <v>2.3360000000000001E-4</v>
      </c>
      <c r="D102" s="968">
        <v>2.062E-4</v>
      </c>
      <c r="E102" s="1007">
        <v>99551</v>
      </c>
      <c r="F102" s="1010">
        <v>437625</v>
      </c>
      <c r="G102" s="969">
        <v>356876</v>
      </c>
      <c r="H102" s="969"/>
      <c r="I102" s="970">
        <v>20559</v>
      </c>
      <c r="J102" s="971">
        <v>86650</v>
      </c>
      <c r="K102" s="970">
        <v>50967</v>
      </c>
      <c r="L102" s="969">
        <v>12354</v>
      </c>
      <c r="M102" s="969"/>
      <c r="N102" s="970">
        <v>10102</v>
      </c>
      <c r="O102" s="970">
        <v>0</v>
      </c>
      <c r="P102" s="970">
        <v>0</v>
      </c>
      <c r="Q102" s="969">
        <v>6985</v>
      </c>
      <c r="R102" s="969"/>
      <c r="S102" s="970">
        <v>120268</v>
      </c>
      <c r="T102" s="972">
        <v>717</v>
      </c>
      <c r="U102" s="972">
        <f>120984+1</f>
        <v>120985</v>
      </c>
    </row>
    <row r="103" spans="1:21" x14ac:dyDescent="0.25">
      <c r="A103" s="966">
        <v>91047</v>
      </c>
      <c r="B103" s="967" t="s">
        <v>2723</v>
      </c>
      <c r="C103" s="968">
        <v>1.31E-5</v>
      </c>
      <c r="D103" s="968">
        <v>1.3200000000000001E-5</v>
      </c>
      <c r="E103" s="1007">
        <v>16396</v>
      </c>
      <c r="F103" s="1010">
        <v>28015</v>
      </c>
      <c r="G103" s="969">
        <v>20013</v>
      </c>
      <c r="H103" s="969"/>
      <c r="I103" s="970">
        <v>1153</v>
      </c>
      <c r="J103" s="971">
        <v>4859</v>
      </c>
      <c r="K103" s="970">
        <v>2858</v>
      </c>
      <c r="L103" s="969">
        <v>20507</v>
      </c>
      <c r="M103" s="969"/>
      <c r="N103" s="970">
        <v>567</v>
      </c>
      <c r="O103" s="970">
        <v>0</v>
      </c>
      <c r="P103" s="970">
        <v>0</v>
      </c>
      <c r="Q103" s="969">
        <v>0</v>
      </c>
      <c r="R103" s="969"/>
      <c r="S103" s="970">
        <v>6744</v>
      </c>
      <c r="T103" s="972">
        <v>7559</v>
      </c>
      <c r="U103" s="972">
        <v>14303</v>
      </c>
    </row>
    <row r="104" spans="1:21" x14ac:dyDescent="0.25">
      <c r="A104" s="966">
        <v>91051</v>
      </c>
      <c r="B104" s="967" t="s">
        <v>2724</v>
      </c>
      <c r="C104" s="968">
        <v>6.6400000000000001E-5</v>
      </c>
      <c r="D104" s="968">
        <v>7.6600000000000005E-5</v>
      </c>
      <c r="E104" s="1007">
        <v>30964</v>
      </c>
      <c r="F104" s="1010">
        <v>162571</v>
      </c>
      <c r="G104" s="969">
        <v>101441</v>
      </c>
      <c r="H104" s="969"/>
      <c r="I104" s="970">
        <v>5844</v>
      </c>
      <c r="J104" s="971">
        <v>24630</v>
      </c>
      <c r="K104" s="970">
        <v>14487</v>
      </c>
      <c r="L104" s="969">
        <v>1619</v>
      </c>
      <c r="M104" s="969"/>
      <c r="N104" s="970">
        <v>2871</v>
      </c>
      <c r="O104" s="970">
        <v>0</v>
      </c>
      <c r="P104" s="970">
        <v>0</v>
      </c>
      <c r="Q104" s="969">
        <v>8430</v>
      </c>
      <c r="R104" s="969"/>
      <c r="S104" s="970">
        <v>34186</v>
      </c>
      <c r="T104" s="972">
        <v>-1576</v>
      </c>
      <c r="U104" s="972">
        <f>32609+1</f>
        <v>32610</v>
      </c>
    </row>
    <row r="105" spans="1:21" x14ac:dyDescent="0.25">
      <c r="A105" s="966">
        <v>91057</v>
      </c>
      <c r="B105" s="967" t="s">
        <v>2725</v>
      </c>
      <c r="C105" s="968">
        <v>1.4399999999999999E-5</v>
      </c>
      <c r="D105" s="968">
        <v>1.5E-5</v>
      </c>
      <c r="E105" s="1007">
        <v>9616</v>
      </c>
      <c r="F105" s="1010">
        <v>31835</v>
      </c>
      <c r="G105" s="969">
        <v>21999</v>
      </c>
      <c r="H105" s="969"/>
      <c r="I105" s="970">
        <v>1267</v>
      </c>
      <c r="J105" s="971">
        <v>5342</v>
      </c>
      <c r="K105" s="970">
        <v>3142</v>
      </c>
      <c r="L105" s="969">
        <v>5805</v>
      </c>
      <c r="M105" s="969"/>
      <c r="N105" s="970">
        <v>623</v>
      </c>
      <c r="O105" s="970">
        <v>0</v>
      </c>
      <c r="P105" s="970">
        <v>0</v>
      </c>
      <c r="Q105" s="969">
        <v>0</v>
      </c>
      <c r="R105" s="969"/>
      <c r="S105" s="970">
        <v>7414</v>
      </c>
      <c r="T105" s="972">
        <v>2191</v>
      </c>
      <c r="U105" s="972">
        <v>9605</v>
      </c>
    </row>
    <row r="106" spans="1:21" x14ac:dyDescent="0.25">
      <c r="A106" s="966">
        <v>91061</v>
      </c>
      <c r="B106" s="967" t="s">
        <v>2726</v>
      </c>
      <c r="C106" s="968">
        <v>4.104E-4</v>
      </c>
      <c r="D106" s="968">
        <v>3.7730000000000001E-4</v>
      </c>
      <c r="E106" s="1007">
        <v>172504</v>
      </c>
      <c r="F106" s="1010">
        <v>800757</v>
      </c>
      <c r="G106" s="969">
        <v>626978</v>
      </c>
      <c r="H106" s="969"/>
      <c r="I106" s="970">
        <v>36120</v>
      </c>
      <c r="J106" s="971">
        <v>152231</v>
      </c>
      <c r="K106" s="970">
        <v>89541</v>
      </c>
      <c r="L106" s="969">
        <v>19267</v>
      </c>
      <c r="M106" s="969"/>
      <c r="N106" s="970">
        <v>17748</v>
      </c>
      <c r="O106" s="970">
        <v>0</v>
      </c>
      <c r="P106" s="970">
        <v>0</v>
      </c>
      <c r="Q106" s="969">
        <v>27800</v>
      </c>
      <c r="R106" s="969"/>
      <c r="S106" s="970">
        <v>211292</v>
      </c>
      <c r="T106" s="972">
        <v>-13384</v>
      </c>
      <c r="U106" s="972">
        <v>197908</v>
      </c>
    </row>
    <row r="107" spans="1:21" x14ac:dyDescent="0.25">
      <c r="A107" s="966">
        <v>91067</v>
      </c>
      <c r="B107" s="967" t="s">
        <v>2727</v>
      </c>
      <c r="C107" s="968">
        <v>1.5699999999999999E-5</v>
      </c>
      <c r="D107" s="968">
        <v>1.8499999999999999E-5</v>
      </c>
      <c r="E107" s="1007">
        <v>9046</v>
      </c>
      <c r="F107" s="1010">
        <v>39263</v>
      </c>
      <c r="G107" s="969">
        <v>23985</v>
      </c>
      <c r="H107" s="969"/>
      <c r="I107" s="970">
        <v>1382</v>
      </c>
      <c r="J107" s="971">
        <v>5824</v>
      </c>
      <c r="K107" s="970">
        <v>3425</v>
      </c>
      <c r="L107" s="969">
        <v>2413</v>
      </c>
      <c r="M107" s="969"/>
      <c r="N107" s="970">
        <v>679</v>
      </c>
      <c r="O107" s="970">
        <v>0</v>
      </c>
      <c r="P107" s="970">
        <v>0</v>
      </c>
      <c r="Q107" s="969">
        <v>406</v>
      </c>
      <c r="R107" s="969"/>
      <c r="S107" s="970">
        <v>8083</v>
      </c>
      <c r="T107" s="972">
        <v>1156</v>
      </c>
      <c r="U107" s="972">
        <v>9239</v>
      </c>
    </row>
    <row r="108" spans="1:21" x14ac:dyDescent="0.25">
      <c r="A108" s="966">
        <v>91071</v>
      </c>
      <c r="B108" s="967" t="s">
        <v>2728</v>
      </c>
      <c r="C108" s="968">
        <v>2.2770000000000001E-4</v>
      </c>
      <c r="D108" s="968">
        <v>2.4379999999999999E-4</v>
      </c>
      <c r="E108" s="1007">
        <v>93245</v>
      </c>
      <c r="F108" s="1010">
        <v>517425</v>
      </c>
      <c r="G108" s="969">
        <v>347863</v>
      </c>
      <c r="H108" s="969"/>
      <c r="I108" s="970">
        <v>20040</v>
      </c>
      <c r="J108" s="971">
        <v>84462</v>
      </c>
      <c r="K108" s="970">
        <v>49680</v>
      </c>
      <c r="L108" s="969">
        <v>8372</v>
      </c>
      <c r="M108" s="969"/>
      <c r="N108" s="970">
        <v>9847</v>
      </c>
      <c r="O108" s="970">
        <v>0</v>
      </c>
      <c r="P108" s="970">
        <v>0</v>
      </c>
      <c r="Q108" s="969">
        <v>22478</v>
      </c>
      <c r="R108" s="969"/>
      <c r="S108" s="970">
        <v>117230</v>
      </c>
      <c r="T108" s="972">
        <v>2353</v>
      </c>
      <c r="U108" s="972">
        <v>119583</v>
      </c>
    </row>
    <row r="109" spans="1:21" x14ac:dyDescent="0.25">
      <c r="A109" s="966">
        <v>91077</v>
      </c>
      <c r="B109" s="967" t="s">
        <v>2729</v>
      </c>
      <c r="C109" s="968">
        <v>3.5999999999999998E-6</v>
      </c>
      <c r="D109" s="968">
        <v>3.9999999999999998E-6</v>
      </c>
      <c r="E109" s="1007">
        <v>3277</v>
      </c>
      <c r="F109" s="1010">
        <v>8489</v>
      </c>
      <c r="G109" s="969">
        <v>5500</v>
      </c>
      <c r="H109" s="969"/>
      <c r="I109" s="970">
        <v>317</v>
      </c>
      <c r="J109" s="971">
        <v>1336</v>
      </c>
      <c r="K109" s="970">
        <v>785</v>
      </c>
      <c r="L109" s="969">
        <v>1826</v>
      </c>
      <c r="M109" s="969"/>
      <c r="N109" s="970">
        <v>156</v>
      </c>
      <c r="O109" s="970">
        <v>0</v>
      </c>
      <c r="P109" s="970">
        <v>0</v>
      </c>
      <c r="Q109" s="969">
        <v>51</v>
      </c>
      <c r="R109" s="969"/>
      <c r="S109" s="970">
        <v>1853</v>
      </c>
      <c r="T109" s="972">
        <v>551</v>
      </c>
      <c r="U109" s="972">
        <f>2405-1</f>
        <v>2404</v>
      </c>
    </row>
    <row r="110" spans="1:21" x14ac:dyDescent="0.25">
      <c r="A110" s="966">
        <v>91081</v>
      </c>
      <c r="B110" s="967" t="s">
        <v>2730</v>
      </c>
      <c r="C110" s="968">
        <v>3.6240000000000003E-4</v>
      </c>
      <c r="D110" s="968">
        <v>3.6499999999999998E-4</v>
      </c>
      <c r="E110" s="1007">
        <v>169112</v>
      </c>
      <c r="F110" s="1010">
        <v>774652</v>
      </c>
      <c r="G110" s="969">
        <v>553647</v>
      </c>
      <c r="H110" s="969"/>
      <c r="I110" s="970">
        <v>31895</v>
      </c>
      <c r="J110" s="971">
        <v>134426</v>
      </c>
      <c r="K110" s="970">
        <v>79068</v>
      </c>
      <c r="L110" s="969">
        <v>1618</v>
      </c>
      <c r="M110" s="969"/>
      <c r="N110" s="970">
        <v>15672</v>
      </c>
      <c r="O110" s="970">
        <v>0</v>
      </c>
      <c r="P110" s="970">
        <v>0</v>
      </c>
      <c r="Q110" s="969">
        <v>13549</v>
      </c>
      <c r="R110" s="969"/>
      <c r="S110" s="970">
        <v>186579</v>
      </c>
      <c r="T110" s="972">
        <v>-13101</v>
      </c>
      <c r="U110" s="972">
        <v>173478</v>
      </c>
    </row>
    <row r="111" spans="1:21" x14ac:dyDescent="0.25">
      <c r="A111" s="966">
        <v>91091</v>
      </c>
      <c r="B111" s="967" t="s">
        <v>2731</v>
      </c>
      <c r="C111" s="968">
        <v>5.3790000000000001E-4</v>
      </c>
      <c r="D111" s="968">
        <v>5.6380000000000004E-4</v>
      </c>
      <c r="E111" s="1007">
        <v>225749</v>
      </c>
      <c r="F111" s="1010">
        <v>1196572</v>
      </c>
      <c r="G111" s="969">
        <v>821762</v>
      </c>
      <c r="H111" s="969"/>
      <c r="I111" s="970">
        <v>47341</v>
      </c>
      <c r="J111" s="971">
        <v>199525</v>
      </c>
      <c r="K111" s="970">
        <v>117359</v>
      </c>
      <c r="L111" s="969">
        <v>0</v>
      </c>
      <c r="M111" s="969"/>
      <c r="N111" s="970">
        <v>23261</v>
      </c>
      <c r="O111" s="970">
        <v>0</v>
      </c>
      <c r="P111" s="970">
        <v>0</v>
      </c>
      <c r="Q111" s="969">
        <v>66212</v>
      </c>
      <c r="R111" s="969"/>
      <c r="S111" s="970">
        <v>276935</v>
      </c>
      <c r="T111" s="972">
        <v>-30835</v>
      </c>
      <c r="U111" s="972">
        <f>246099+1</f>
        <v>246100</v>
      </c>
    </row>
    <row r="112" spans="1:21" x14ac:dyDescent="0.25">
      <c r="A112" s="966">
        <v>91101</v>
      </c>
      <c r="B112" s="967" t="s">
        <v>2732</v>
      </c>
      <c r="C112" s="968">
        <v>1.35581E-2</v>
      </c>
      <c r="D112" s="968">
        <v>1.36685E-2</v>
      </c>
      <c r="E112" s="1007">
        <v>5894551</v>
      </c>
      <c r="F112" s="1010">
        <v>29009136</v>
      </c>
      <c r="G112" s="969">
        <v>20713021</v>
      </c>
      <c r="H112" s="969"/>
      <c r="I112" s="970">
        <v>1193262</v>
      </c>
      <c r="J112" s="971">
        <v>5029146</v>
      </c>
      <c r="K112" s="970">
        <v>2958106</v>
      </c>
      <c r="L112" s="969">
        <v>471609</v>
      </c>
      <c r="M112" s="969"/>
      <c r="N112" s="970">
        <v>586320</v>
      </c>
      <c r="O112" s="970">
        <v>0</v>
      </c>
      <c r="P112" s="970">
        <v>0</v>
      </c>
      <c r="Q112" s="969">
        <v>587664</v>
      </c>
      <c r="R112" s="969"/>
      <c r="S112" s="970">
        <v>6980306</v>
      </c>
      <c r="T112" s="972">
        <v>147859</v>
      </c>
      <c r="U112" s="972">
        <v>7128165</v>
      </c>
    </row>
    <row r="113" spans="1:21" x14ac:dyDescent="0.25">
      <c r="A113" s="966">
        <v>91102</v>
      </c>
      <c r="B113" s="967" t="s">
        <v>2733</v>
      </c>
      <c r="C113" s="968">
        <v>3.2919999999999998E-4</v>
      </c>
      <c r="D113" s="968">
        <v>3.034E-4</v>
      </c>
      <c r="E113" s="1007">
        <v>156560</v>
      </c>
      <c r="F113" s="1010">
        <v>643916</v>
      </c>
      <c r="G113" s="969">
        <v>502926</v>
      </c>
      <c r="H113" s="969"/>
      <c r="I113" s="970">
        <v>28973</v>
      </c>
      <c r="J113" s="971">
        <v>122111</v>
      </c>
      <c r="K113" s="970">
        <v>71825</v>
      </c>
      <c r="L113" s="969">
        <v>35240</v>
      </c>
      <c r="M113" s="969"/>
      <c r="N113" s="970">
        <v>14236</v>
      </c>
      <c r="O113" s="970">
        <v>0</v>
      </c>
      <c r="P113" s="970">
        <v>0</v>
      </c>
      <c r="Q113" s="969">
        <v>33978</v>
      </c>
      <c r="R113" s="969"/>
      <c r="S113" s="970">
        <v>169487</v>
      </c>
      <c r="T113" s="972">
        <v>-8323</v>
      </c>
      <c r="U113" s="972">
        <f>161163+1</f>
        <v>161164</v>
      </c>
    </row>
    <row r="114" spans="1:21" x14ac:dyDescent="0.25">
      <c r="A114" s="966">
        <v>91104</v>
      </c>
      <c r="B114" s="967" t="s">
        <v>2734</v>
      </c>
      <c r="C114" s="968">
        <v>7.9000000000000006E-6</v>
      </c>
      <c r="D114" s="968">
        <v>8.1999999999999994E-6</v>
      </c>
      <c r="E114" s="1007">
        <v>5628</v>
      </c>
      <c r="F114" s="1010">
        <v>17403</v>
      </c>
      <c r="G114" s="969">
        <v>12069</v>
      </c>
      <c r="H114" s="969"/>
      <c r="I114" s="970">
        <v>695</v>
      </c>
      <c r="J114" s="971">
        <v>2930</v>
      </c>
      <c r="K114" s="970">
        <v>1724</v>
      </c>
      <c r="L114" s="969">
        <v>2115</v>
      </c>
      <c r="M114" s="969"/>
      <c r="N114" s="970">
        <v>342</v>
      </c>
      <c r="O114" s="970">
        <v>0</v>
      </c>
      <c r="P114" s="970">
        <v>0</v>
      </c>
      <c r="Q114" s="969">
        <v>39</v>
      </c>
      <c r="R114" s="969"/>
      <c r="S114" s="970">
        <v>4067</v>
      </c>
      <c r="T114" s="972">
        <v>589</v>
      </c>
      <c r="U114" s="972">
        <v>4656</v>
      </c>
    </row>
    <row r="115" spans="1:21" x14ac:dyDescent="0.25">
      <c r="A115" s="966">
        <v>91107</v>
      </c>
      <c r="B115" s="967" t="s">
        <v>3666</v>
      </c>
      <c r="C115" s="968">
        <v>7.08E-5</v>
      </c>
      <c r="D115" s="968">
        <v>6.7899999999999997E-5</v>
      </c>
      <c r="E115" s="1007">
        <v>36616</v>
      </c>
      <c r="F115" s="1010">
        <v>0</v>
      </c>
      <c r="G115" s="969">
        <v>108163</v>
      </c>
      <c r="H115" s="969"/>
      <c r="I115" s="970">
        <v>6231</v>
      </c>
      <c r="J115" s="971">
        <v>26263</v>
      </c>
      <c r="K115" s="970">
        <v>15447</v>
      </c>
      <c r="L115" s="969">
        <v>13143</v>
      </c>
      <c r="M115" s="969"/>
      <c r="N115" s="970">
        <v>3062</v>
      </c>
      <c r="O115" s="970">
        <v>0</v>
      </c>
      <c r="P115" s="970">
        <v>0</v>
      </c>
      <c r="Q115" s="969">
        <v>0</v>
      </c>
      <c r="R115" s="969"/>
      <c r="S115" s="970">
        <v>36451</v>
      </c>
      <c r="T115" s="972">
        <v>5162</v>
      </c>
      <c r="U115" s="972">
        <v>41613</v>
      </c>
    </row>
    <row r="116" spans="1:21" x14ac:dyDescent="0.25">
      <c r="A116" s="966">
        <v>91108</v>
      </c>
      <c r="B116" s="967" t="s">
        <v>2736</v>
      </c>
      <c r="C116" s="968">
        <v>1.2413999999999999E-3</v>
      </c>
      <c r="D116" s="968">
        <v>1.2622E-3</v>
      </c>
      <c r="E116" s="1007">
        <v>613476</v>
      </c>
      <c r="F116" s="1010">
        <v>2678811</v>
      </c>
      <c r="G116" s="969">
        <v>1896515</v>
      </c>
      <c r="H116" s="969"/>
      <c r="I116" s="970">
        <v>109257</v>
      </c>
      <c r="J116" s="971">
        <v>460476</v>
      </c>
      <c r="K116" s="970">
        <v>270849</v>
      </c>
      <c r="L116" s="969">
        <v>74887</v>
      </c>
      <c r="M116" s="969"/>
      <c r="N116" s="970">
        <v>53684</v>
      </c>
      <c r="O116" s="970">
        <v>0</v>
      </c>
      <c r="P116" s="970">
        <v>0</v>
      </c>
      <c r="Q116" s="969">
        <v>0</v>
      </c>
      <c r="R116" s="969"/>
      <c r="S116" s="970">
        <v>639127</v>
      </c>
      <c r="T116" s="972">
        <v>34876</v>
      </c>
      <c r="U116" s="972">
        <v>674003</v>
      </c>
    </row>
    <row r="117" spans="1:21" x14ac:dyDescent="0.25">
      <c r="A117" s="966">
        <v>91109</v>
      </c>
      <c r="B117" s="967" t="s">
        <v>2737</v>
      </c>
      <c r="C117" s="968">
        <v>9.9599999999999995E-5</v>
      </c>
      <c r="D117" s="968">
        <v>9.2100000000000003E-5</v>
      </c>
      <c r="E117" s="1007">
        <v>45066</v>
      </c>
      <c r="F117" s="1010">
        <v>195467</v>
      </c>
      <c r="G117" s="969">
        <v>152161</v>
      </c>
      <c r="H117" s="969"/>
      <c r="I117" s="970">
        <v>8766</v>
      </c>
      <c r="J117" s="971">
        <v>36945</v>
      </c>
      <c r="K117" s="970">
        <v>21731</v>
      </c>
      <c r="L117" s="969">
        <v>5921</v>
      </c>
      <c r="M117" s="969"/>
      <c r="N117" s="970">
        <v>4307</v>
      </c>
      <c r="O117" s="970">
        <v>0</v>
      </c>
      <c r="P117" s="970">
        <v>0</v>
      </c>
      <c r="Q117" s="969">
        <v>920</v>
      </c>
      <c r="R117" s="969"/>
      <c r="S117" s="970">
        <v>51278</v>
      </c>
      <c r="T117" s="972">
        <v>1215</v>
      </c>
      <c r="U117" s="972">
        <v>52493</v>
      </c>
    </row>
    <row r="118" spans="1:21" x14ac:dyDescent="0.25">
      <c r="A118" s="966">
        <v>91111</v>
      </c>
      <c r="B118" s="967" t="s">
        <v>2738</v>
      </c>
      <c r="C118" s="968">
        <v>2.2719999999999999E-4</v>
      </c>
      <c r="D118" s="968">
        <v>2.2359999999999999E-4</v>
      </c>
      <c r="E118" s="1007">
        <v>110903</v>
      </c>
      <c r="F118" s="1010">
        <v>474554</v>
      </c>
      <c r="G118" s="969">
        <v>347099</v>
      </c>
      <c r="H118" s="969"/>
      <c r="I118" s="970">
        <v>19996</v>
      </c>
      <c r="J118" s="971">
        <v>84276</v>
      </c>
      <c r="K118" s="970">
        <v>49570</v>
      </c>
      <c r="L118" s="969">
        <v>25492</v>
      </c>
      <c r="M118" s="969"/>
      <c r="N118" s="970">
        <v>9825</v>
      </c>
      <c r="O118" s="970">
        <v>0</v>
      </c>
      <c r="P118" s="970">
        <v>0</v>
      </c>
      <c r="Q118" s="969">
        <v>0</v>
      </c>
      <c r="R118" s="969"/>
      <c r="S118" s="970">
        <v>116973</v>
      </c>
      <c r="T118" s="972">
        <v>10793</v>
      </c>
      <c r="U118" s="972">
        <v>127766</v>
      </c>
    </row>
    <row r="119" spans="1:21" x14ac:dyDescent="0.25">
      <c r="A119" s="966">
        <v>91119</v>
      </c>
      <c r="B119" s="967" t="s">
        <v>1265</v>
      </c>
      <c r="C119" s="968">
        <v>0</v>
      </c>
      <c r="D119" s="968">
        <v>0</v>
      </c>
      <c r="E119" s="1007">
        <v>0</v>
      </c>
      <c r="F119" s="1010">
        <v>0</v>
      </c>
      <c r="G119" s="969">
        <v>0</v>
      </c>
      <c r="H119" s="969"/>
      <c r="I119" s="970">
        <v>0</v>
      </c>
      <c r="J119" s="971">
        <v>0</v>
      </c>
      <c r="K119" s="970">
        <v>0</v>
      </c>
      <c r="L119" s="969">
        <v>0</v>
      </c>
      <c r="M119" s="969"/>
      <c r="N119" s="970">
        <v>0</v>
      </c>
      <c r="O119" s="970">
        <v>0</v>
      </c>
      <c r="P119" s="970">
        <v>0</v>
      </c>
      <c r="Q119" s="969">
        <v>321091</v>
      </c>
      <c r="R119" s="969"/>
      <c r="S119" s="970">
        <v>0</v>
      </c>
      <c r="T119" s="972">
        <v>-324334</v>
      </c>
      <c r="U119" s="972">
        <v>-324334</v>
      </c>
    </row>
    <row r="120" spans="1:21" x14ac:dyDescent="0.25">
      <c r="A120" s="966">
        <v>91120</v>
      </c>
      <c r="B120" s="967" t="s">
        <v>2739</v>
      </c>
      <c r="C120" s="968">
        <v>1.3019999999999999E-4</v>
      </c>
      <c r="D120" s="968">
        <v>1.184E-4</v>
      </c>
      <c r="E120" s="1007">
        <v>45449</v>
      </c>
      <c r="F120" s="1010">
        <v>251284</v>
      </c>
      <c r="G120" s="969">
        <v>198910</v>
      </c>
      <c r="H120" s="969"/>
      <c r="I120" s="970">
        <v>11459</v>
      </c>
      <c r="J120" s="971">
        <v>48295</v>
      </c>
      <c r="K120" s="970">
        <v>28407</v>
      </c>
      <c r="L120" s="969">
        <v>0</v>
      </c>
      <c r="M120" s="969"/>
      <c r="N120" s="970">
        <v>5630</v>
      </c>
      <c r="O120" s="970">
        <v>0</v>
      </c>
      <c r="P120" s="970">
        <v>0</v>
      </c>
      <c r="Q120" s="969">
        <v>21939</v>
      </c>
      <c r="R120" s="969"/>
      <c r="S120" s="970">
        <v>67033</v>
      </c>
      <c r="T120" s="972">
        <v>-12131</v>
      </c>
      <c r="U120" s="972">
        <v>54902</v>
      </c>
    </row>
    <row r="121" spans="1:21" x14ac:dyDescent="0.25">
      <c r="A121" s="966">
        <v>91121</v>
      </c>
      <c r="B121" s="967" t="s">
        <v>2740</v>
      </c>
      <c r="C121" s="968">
        <v>9.9927999999999996E-3</v>
      </c>
      <c r="D121" s="968">
        <v>9.7842999999999992E-3</v>
      </c>
      <c r="E121" s="1007">
        <v>4272051</v>
      </c>
      <c r="F121" s="1010">
        <v>20765562</v>
      </c>
      <c r="G121" s="969">
        <v>15266230</v>
      </c>
      <c r="H121" s="969"/>
      <c r="I121" s="970">
        <v>879476</v>
      </c>
      <c r="J121" s="971">
        <v>3706660</v>
      </c>
      <c r="K121" s="970">
        <v>2180229</v>
      </c>
      <c r="L121" s="969">
        <v>0</v>
      </c>
      <c r="M121" s="969"/>
      <c r="N121" s="970">
        <v>432139</v>
      </c>
      <c r="O121" s="970">
        <v>0</v>
      </c>
      <c r="P121" s="970">
        <v>0</v>
      </c>
      <c r="Q121" s="969">
        <v>650994</v>
      </c>
      <c r="R121" s="969"/>
      <c r="S121" s="970">
        <v>5144733</v>
      </c>
      <c r="T121" s="972">
        <v>-324255</v>
      </c>
      <c r="U121" s="972">
        <f>4820479-1</f>
        <v>4820478</v>
      </c>
    </row>
    <row r="122" spans="1:21" x14ac:dyDescent="0.25">
      <c r="A122" s="966">
        <v>91127</v>
      </c>
      <c r="B122" s="967" t="s">
        <v>2741</v>
      </c>
      <c r="C122" s="968">
        <v>2.6879999999999997E-4</v>
      </c>
      <c r="D122" s="968">
        <v>2.8229999999999998E-4</v>
      </c>
      <c r="E122" s="1007">
        <v>146935</v>
      </c>
      <c r="F122" s="1010">
        <v>599135</v>
      </c>
      <c r="G122" s="969">
        <v>410652</v>
      </c>
      <c r="H122" s="969"/>
      <c r="I122" s="970">
        <v>23657</v>
      </c>
      <c r="J122" s="971">
        <v>99706</v>
      </c>
      <c r="K122" s="970">
        <v>58647</v>
      </c>
      <c r="L122" s="969">
        <v>46863</v>
      </c>
      <c r="M122" s="969"/>
      <c r="N122" s="970">
        <v>11624</v>
      </c>
      <c r="O122" s="970">
        <v>0</v>
      </c>
      <c r="P122" s="970">
        <v>0</v>
      </c>
      <c r="Q122" s="969">
        <v>0</v>
      </c>
      <c r="R122" s="969"/>
      <c r="S122" s="970">
        <v>138390</v>
      </c>
      <c r="T122" s="972">
        <v>25061</v>
      </c>
      <c r="U122" s="972">
        <v>163451</v>
      </c>
    </row>
    <row r="123" spans="1:21" x14ac:dyDescent="0.25">
      <c r="A123" s="966">
        <v>91128</v>
      </c>
      <c r="B123" s="967" t="s">
        <v>2742</v>
      </c>
      <c r="C123" s="968">
        <v>5.2380000000000005E-4</v>
      </c>
      <c r="D123" s="968">
        <v>5.0929999999999997E-4</v>
      </c>
      <c r="E123" s="1007">
        <v>238305</v>
      </c>
      <c r="F123" s="1010">
        <v>1080905</v>
      </c>
      <c r="G123" s="969">
        <v>800221</v>
      </c>
      <c r="H123" s="969"/>
      <c r="I123" s="970">
        <v>46100</v>
      </c>
      <c r="J123" s="971">
        <v>194295</v>
      </c>
      <c r="K123" s="970">
        <v>114283</v>
      </c>
      <c r="L123" s="969">
        <v>15169</v>
      </c>
      <c r="M123" s="969"/>
      <c r="N123" s="970">
        <v>22652</v>
      </c>
      <c r="O123" s="970">
        <v>0</v>
      </c>
      <c r="P123" s="970">
        <v>0</v>
      </c>
      <c r="Q123" s="969">
        <v>6263</v>
      </c>
      <c r="R123" s="969"/>
      <c r="S123" s="970">
        <v>269675</v>
      </c>
      <c r="T123" s="972">
        <v>-679</v>
      </c>
      <c r="U123" s="972">
        <v>268996</v>
      </c>
    </row>
    <row r="124" spans="1:21" x14ac:dyDescent="0.25">
      <c r="A124" s="966">
        <v>91138</v>
      </c>
      <c r="B124" s="967" t="s">
        <v>2743</v>
      </c>
      <c r="C124" s="968">
        <v>6.2629999999999999E-4</v>
      </c>
      <c r="D124" s="968">
        <v>6.2350000000000003E-4</v>
      </c>
      <c r="E124" s="1007">
        <v>220646</v>
      </c>
      <c r="F124" s="1010">
        <v>1323276</v>
      </c>
      <c r="G124" s="969">
        <v>956813</v>
      </c>
      <c r="H124" s="969"/>
      <c r="I124" s="970">
        <v>55121</v>
      </c>
      <c r="J124" s="971">
        <v>232316</v>
      </c>
      <c r="K124" s="970">
        <v>136646</v>
      </c>
      <c r="L124" s="969">
        <v>0</v>
      </c>
      <c r="M124" s="969"/>
      <c r="N124" s="970">
        <v>27084</v>
      </c>
      <c r="O124" s="970">
        <v>0</v>
      </c>
      <c r="P124" s="970">
        <v>0</v>
      </c>
      <c r="Q124" s="969">
        <v>127984</v>
      </c>
      <c r="R124" s="969"/>
      <c r="S124" s="970">
        <v>322447</v>
      </c>
      <c r="T124" s="972">
        <v>-48531</v>
      </c>
      <c r="U124" s="972">
        <v>273916</v>
      </c>
    </row>
    <row r="125" spans="1:21" x14ac:dyDescent="0.25">
      <c r="A125" s="966">
        <v>91141</v>
      </c>
      <c r="B125" s="967" t="s">
        <v>2744</v>
      </c>
      <c r="C125" s="968">
        <v>5.7569999999999995E-4</v>
      </c>
      <c r="D125" s="968">
        <v>5.5679999999999998E-4</v>
      </c>
      <c r="E125" s="1007">
        <v>236315</v>
      </c>
      <c r="F125" s="1010">
        <v>1181716</v>
      </c>
      <c r="G125" s="969">
        <v>879510</v>
      </c>
      <c r="H125" s="969"/>
      <c r="I125" s="970">
        <v>50668</v>
      </c>
      <c r="J125" s="971">
        <v>213546</v>
      </c>
      <c r="K125" s="970">
        <v>125606</v>
      </c>
      <c r="L125" s="969">
        <v>0</v>
      </c>
      <c r="M125" s="969"/>
      <c r="N125" s="970">
        <v>24896</v>
      </c>
      <c r="O125" s="970">
        <v>0</v>
      </c>
      <c r="P125" s="970">
        <v>0</v>
      </c>
      <c r="Q125" s="969">
        <v>80393</v>
      </c>
      <c r="R125" s="969"/>
      <c r="S125" s="970">
        <v>296396</v>
      </c>
      <c r="T125" s="972">
        <v>-38126</v>
      </c>
      <c r="U125" s="972">
        <v>258270</v>
      </c>
    </row>
    <row r="126" spans="1:21" x14ac:dyDescent="0.25">
      <c r="A126" s="966">
        <v>91147</v>
      </c>
      <c r="B126" s="967" t="s">
        <v>2745</v>
      </c>
      <c r="C126" s="968">
        <v>2.6699999999999998E-5</v>
      </c>
      <c r="D126" s="968">
        <v>2.4199999999999999E-5</v>
      </c>
      <c r="E126" s="1007">
        <v>12125</v>
      </c>
      <c r="F126" s="1010">
        <v>51361</v>
      </c>
      <c r="G126" s="969">
        <v>40790</v>
      </c>
      <c r="H126" s="969"/>
      <c r="I126" s="970">
        <v>2350</v>
      </c>
      <c r="J126" s="971">
        <v>9904</v>
      </c>
      <c r="K126" s="970">
        <v>5825</v>
      </c>
      <c r="L126" s="969">
        <v>8489</v>
      </c>
      <c r="M126" s="969"/>
      <c r="N126" s="970">
        <v>1155</v>
      </c>
      <c r="O126" s="970">
        <v>0</v>
      </c>
      <c r="P126" s="970">
        <v>0</v>
      </c>
      <c r="Q126" s="969">
        <v>0</v>
      </c>
      <c r="R126" s="969"/>
      <c r="S126" s="970">
        <v>13746</v>
      </c>
      <c r="T126" s="972">
        <v>4333</v>
      </c>
      <c r="U126" s="972">
        <f>18080-1</f>
        <v>18079</v>
      </c>
    </row>
    <row r="127" spans="1:21" x14ac:dyDescent="0.25">
      <c r="A127" s="966">
        <v>91151</v>
      </c>
      <c r="B127" s="967" t="s">
        <v>2746</v>
      </c>
      <c r="C127" s="968">
        <v>6.3409999999999996E-4</v>
      </c>
      <c r="D127" s="968">
        <v>6.1180000000000002E-4</v>
      </c>
      <c r="E127" s="1007">
        <v>254760</v>
      </c>
      <c r="F127" s="1010">
        <v>1298445</v>
      </c>
      <c r="G127" s="969">
        <v>968729</v>
      </c>
      <c r="H127" s="969"/>
      <c r="I127" s="970">
        <v>55808</v>
      </c>
      <c r="J127" s="971">
        <v>235208</v>
      </c>
      <c r="K127" s="970">
        <v>138348</v>
      </c>
      <c r="L127" s="969">
        <v>6907</v>
      </c>
      <c r="M127" s="969"/>
      <c r="N127" s="970">
        <v>27422</v>
      </c>
      <c r="O127" s="970">
        <v>0</v>
      </c>
      <c r="P127" s="970">
        <v>0</v>
      </c>
      <c r="Q127" s="969">
        <v>49311</v>
      </c>
      <c r="R127" s="969"/>
      <c r="S127" s="970">
        <v>326463</v>
      </c>
      <c r="T127" s="972">
        <v>-15290</v>
      </c>
      <c r="U127" s="972">
        <f>311172+1</f>
        <v>311173</v>
      </c>
    </row>
    <row r="128" spans="1:21" x14ac:dyDescent="0.25">
      <c r="A128" s="966">
        <v>91154</v>
      </c>
      <c r="B128" s="967" t="s">
        <v>2747</v>
      </c>
      <c r="C128" s="968">
        <v>2.6299999999999999E-5</v>
      </c>
      <c r="D128" s="968">
        <v>1.9599999999999999E-5</v>
      </c>
      <c r="E128" s="1007">
        <v>10902</v>
      </c>
      <c r="F128" s="1010">
        <v>41598</v>
      </c>
      <c r="G128" s="969">
        <v>40179</v>
      </c>
      <c r="H128" s="969"/>
      <c r="I128" s="970">
        <v>2315</v>
      </c>
      <c r="J128" s="971">
        <v>9756</v>
      </c>
      <c r="K128" s="970">
        <v>5738</v>
      </c>
      <c r="L128" s="969">
        <v>7326</v>
      </c>
      <c r="M128" s="969"/>
      <c r="N128" s="970">
        <v>1137</v>
      </c>
      <c r="O128" s="970">
        <v>0</v>
      </c>
      <c r="P128" s="970">
        <v>0</v>
      </c>
      <c r="Q128" s="969">
        <v>0</v>
      </c>
      <c r="R128" s="969"/>
      <c r="S128" s="970">
        <v>13540</v>
      </c>
      <c r="T128" s="972">
        <v>2962</v>
      </c>
      <c r="U128" s="972">
        <f>16503-1</f>
        <v>16502</v>
      </c>
    </row>
    <row r="129" spans="1:21" x14ac:dyDescent="0.25">
      <c r="A129" s="966">
        <v>91161</v>
      </c>
      <c r="B129" s="967" t="s">
        <v>2748</v>
      </c>
      <c r="C129" s="968">
        <v>9.2600000000000001E-5</v>
      </c>
      <c r="D129" s="968">
        <v>9.4599999999999996E-5</v>
      </c>
      <c r="E129" s="1007">
        <v>44457</v>
      </c>
      <c r="F129" s="1010">
        <v>200773</v>
      </c>
      <c r="G129" s="969">
        <v>141467</v>
      </c>
      <c r="H129" s="969"/>
      <c r="I129" s="970">
        <v>8150</v>
      </c>
      <c r="J129" s="971">
        <v>34348</v>
      </c>
      <c r="K129" s="970">
        <v>20203</v>
      </c>
      <c r="L129" s="969">
        <v>5327</v>
      </c>
      <c r="M129" s="969"/>
      <c r="N129" s="970">
        <v>4004</v>
      </c>
      <c r="O129" s="970">
        <v>0</v>
      </c>
      <c r="P129" s="970">
        <v>0</v>
      </c>
      <c r="Q129" s="969">
        <v>3079</v>
      </c>
      <c r="R129" s="969"/>
      <c r="S129" s="970">
        <v>47675</v>
      </c>
      <c r="T129" s="972">
        <v>935</v>
      </c>
      <c r="U129" s="972">
        <v>48610</v>
      </c>
    </row>
    <row r="130" spans="1:21" x14ac:dyDescent="0.25">
      <c r="A130" s="966">
        <v>91171</v>
      </c>
      <c r="B130" s="967" t="s">
        <v>2749</v>
      </c>
      <c r="C130" s="968">
        <v>1.95E-4</v>
      </c>
      <c r="D130" s="968">
        <v>2.5589999999999999E-4</v>
      </c>
      <c r="E130" s="1007">
        <v>93651</v>
      </c>
      <c r="F130" s="1010">
        <v>543106</v>
      </c>
      <c r="G130" s="969">
        <v>297906</v>
      </c>
      <c r="H130" s="969"/>
      <c r="I130" s="970">
        <v>17162</v>
      </c>
      <c r="J130" s="971">
        <v>72331</v>
      </c>
      <c r="K130" s="970">
        <v>42545</v>
      </c>
      <c r="L130" s="969">
        <v>0</v>
      </c>
      <c r="M130" s="969"/>
      <c r="N130" s="970">
        <v>8433</v>
      </c>
      <c r="O130" s="970">
        <v>0</v>
      </c>
      <c r="P130" s="970">
        <v>0</v>
      </c>
      <c r="Q130" s="969">
        <v>58020</v>
      </c>
      <c r="R130" s="969"/>
      <c r="S130" s="970">
        <v>100395</v>
      </c>
      <c r="T130" s="972">
        <v>-21400</v>
      </c>
      <c r="U130" s="972">
        <f>78994+1</f>
        <v>78995</v>
      </c>
    </row>
    <row r="131" spans="1:21" x14ac:dyDescent="0.25">
      <c r="A131" s="966">
        <v>91201</v>
      </c>
      <c r="B131" s="967" t="s">
        <v>2750</v>
      </c>
      <c r="C131" s="968">
        <v>2.2878E-3</v>
      </c>
      <c r="D131" s="968">
        <v>2.3127999999999998E-3</v>
      </c>
      <c r="E131" s="1007">
        <v>970291</v>
      </c>
      <c r="F131" s="1010">
        <v>4908536</v>
      </c>
      <c r="G131" s="969">
        <v>3495125</v>
      </c>
      <c r="H131" s="969"/>
      <c r="I131" s="970">
        <v>201352</v>
      </c>
      <c r="J131" s="971">
        <v>848620</v>
      </c>
      <c r="K131" s="970">
        <v>499152</v>
      </c>
      <c r="L131" s="969">
        <v>40348</v>
      </c>
      <c r="M131" s="969"/>
      <c r="N131" s="970">
        <v>98936</v>
      </c>
      <c r="O131" s="970">
        <v>0</v>
      </c>
      <c r="P131" s="970">
        <v>0</v>
      </c>
      <c r="Q131" s="969">
        <v>96428</v>
      </c>
      <c r="R131" s="969"/>
      <c r="S131" s="970">
        <v>1177860</v>
      </c>
      <c r="T131" s="972">
        <v>-568</v>
      </c>
      <c r="U131" s="972">
        <v>1177292</v>
      </c>
    </row>
    <row r="132" spans="1:21" x14ac:dyDescent="0.25">
      <c r="A132" s="966">
        <v>91202</v>
      </c>
      <c r="B132" s="967" t="s">
        <v>2751</v>
      </c>
      <c r="C132" s="968">
        <v>1.9330000000000001E-4</v>
      </c>
      <c r="D132" s="968">
        <v>1.897E-4</v>
      </c>
      <c r="E132" s="1007">
        <v>96479</v>
      </c>
      <c r="F132" s="1010">
        <v>402607</v>
      </c>
      <c r="G132" s="969">
        <v>295309</v>
      </c>
      <c r="H132" s="969"/>
      <c r="I132" s="970">
        <v>17013</v>
      </c>
      <c r="J132" s="971">
        <v>71701</v>
      </c>
      <c r="K132" s="970">
        <v>42174</v>
      </c>
      <c r="L132" s="969">
        <v>27893</v>
      </c>
      <c r="M132" s="969"/>
      <c r="N132" s="970">
        <v>8359</v>
      </c>
      <c r="O132" s="970">
        <v>0</v>
      </c>
      <c r="P132" s="970">
        <v>0</v>
      </c>
      <c r="Q132" s="969">
        <v>0</v>
      </c>
      <c r="R132" s="969"/>
      <c r="S132" s="970">
        <v>99519</v>
      </c>
      <c r="T132" s="972">
        <v>12367</v>
      </c>
      <c r="U132" s="972">
        <v>111886</v>
      </c>
    </row>
    <row r="133" spans="1:21" x14ac:dyDescent="0.25">
      <c r="A133" s="966">
        <v>91203</v>
      </c>
      <c r="B133" s="967" t="s">
        <v>2752</v>
      </c>
      <c r="C133" s="968">
        <v>2.1939999999999999E-4</v>
      </c>
      <c r="D133" s="968">
        <v>2.4479999999999999E-4</v>
      </c>
      <c r="E133" s="1007">
        <v>127249</v>
      </c>
      <c r="F133" s="1010">
        <v>519548</v>
      </c>
      <c r="G133" s="969">
        <v>335182</v>
      </c>
      <c r="H133" s="969"/>
      <c r="I133" s="970">
        <v>19310</v>
      </c>
      <c r="J133" s="971">
        <v>81383</v>
      </c>
      <c r="K133" s="970">
        <v>47869</v>
      </c>
      <c r="L133" s="969">
        <v>25236</v>
      </c>
      <c r="M133" s="969"/>
      <c r="N133" s="970">
        <v>9488</v>
      </c>
      <c r="O133" s="970">
        <v>0</v>
      </c>
      <c r="P133" s="970">
        <v>0</v>
      </c>
      <c r="Q133" s="969">
        <v>0</v>
      </c>
      <c r="R133" s="969"/>
      <c r="S133" s="970">
        <v>112957</v>
      </c>
      <c r="T133" s="972">
        <v>12508</v>
      </c>
      <c r="U133" s="972">
        <f>125464+1</f>
        <v>125465</v>
      </c>
    </row>
    <row r="134" spans="1:21" x14ac:dyDescent="0.25">
      <c r="A134" s="966">
        <v>91206</v>
      </c>
      <c r="B134" s="967" t="s">
        <v>2753</v>
      </c>
      <c r="C134" s="968">
        <v>8.6450000000000003E-4</v>
      </c>
      <c r="D134" s="968">
        <v>8.2129999999999996E-4</v>
      </c>
      <c r="E134" s="1007">
        <v>388200</v>
      </c>
      <c r="F134" s="1010">
        <v>1743074</v>
      </c>
      <c r="G134" s="969">
        <v>1320717</v>
      </c>
      <c r="H134" s="969"/>
      <c r="I134" s="970">
        <v>76086</v>
      </c>
      <c r="J134" s="971">
        <v>320672</v>
      </c>
      <c r="K134" s="970">
        <v>188617</v>
      </c>
      <c r="L134" s="969">
        <v>32943</v>
      </c>
      <c r="M134" s="969"/>
      <c r="N134" s="970">
        <v>37385</v>
      </c>
      <c r="O134" s="970">
        <v>0</v>
      </c>
      <c r="P134" s="970">
        <v>0</v>
      </c>
      <c r="Q134" s="969">
        <v>1131</v>
      </c>
      <c r="R134" s="969"/>
      <c r="S134" s="970">
        <v>445083</v>
      </c>
      <c r="T134" s="972">
        <v>15708</v>
      </c>
      <c r="U134" s="972">
        <v>460791</v>
      </c>
    </row>
    <row r="135" spans="1:21" x14ac:dyDescent="0.25">
      <c r="A135" s="966">
        <v>91208</v>
      </c>
      <c r="B135" s="967" t="s">
        <v>2754</v>
      </c>
      <c r="C135" s="968">
        <v>1.42E-5</v>
      </c>
      <c r="D135" s="968">
        <v>1.3699999999999999E-5</v>
      </c>
      <c r="E135" s="1007">
        <v>6398</v>
      </c>
      <c r="F135" s="1010">
        <v>29076</v>
      </c>
      <c r="G135" s="969">
        <v>21694</v>
      </c>
      <c r="H135" s="969"/>
      <c r="I135" s="970">
        <v>1250</v>
      </c>
      <c r="J135" s="971">
        <v>5267</v>
      </c>
      <c r="K135" s="970">
        <v>3098</v>
      </c>
      <c r="L135" s="969">
        <v>3961</v>
      </c>
      <c r="M135" s="969"/>
      <c r="N135" s="970">
        <v>614</v>
      </c>
      <c r="O135" s="970">
        <v>0</v>
      </c>
      <c r="P135" s="970">
        <v>0</v>
      </c>
      <c r="Q135" s="969">
        <v>0</v>
      </c>
      <c r="R135" s="969"/>
      <c r="S135" s="970">
        <v>7311</v>
      </c>
      <c r="T135" s="972">
        <v>3460</v>
      </c>
      <c r="U135" s="972">
        <v>10771</v>
      </c>
    </row>
    <row r="136" spans="1:21" x14ac:dyDescent="0.25">
      <c r="A136" s="966">
        <v>91211</v>
      </c>
      <c r="B136" s="967" t="s">
        <v>2755</v>
      </c>
      <c r="C136" s="968">
        <v>4.5530000000000001E-4</v>
      </c>
      <c r="D136" s="968">
        <v>4.6789999999999999E-4</v>
      </c>
      <c r="E136" s="1007">
        <v>223513</v>
      </c>
      <c r="F136" s="1010">
        <v>993041</v>
      </c>
      <c r="G136" s="969">
        <v>695572</v>
      </c>
      <c r="H136" s="969"/>
      <c r="I136" s="970">
        <v>40071</v>
      </c>
      <c r="J136" s="971">
        <v>168886</v>
      </c>
      <c r="K136" s="970">
        <v>99337</v>
      </c>
      <c r="L136" s="969">
        <v>6745</v>
      </c>
      <c r="M136" s="969"/>
      <c r="N136" s="970">
        <v>19689</v>
      </c>
      <c r="O136" s="970">
        <v>0</v>
      </c>
      <c r="P136" s="970">
        <v>0</v>
      </c>
      <c r="Q136" s="969">
        <v>3315</v>
      </c>
      <c r="R136" s="969"/>
      <c r="S136" s="970">
        <v>234408</v>
      </c>
      <c r="T136" s="972">
        <v>1355</v>
      </c>
      <c r="U136" s="972">
        <v>235763</v>
      </c>
    </row>
    <row r="137" spans="1:21" x14ac:dyDescent="0.25">
      <c r="A137" s="966">
        <v>91213</v>
      </c>
      <c r="B137" s="967" t="s">
        <v>2756</v>
      </c>
      <c r="C137" s="968">
        <v>3.2499999999999997E-5</v>
      </c>
      <c r="D137" s="968">
        <v>3.57E-5</v>
      </c>
      <c r="E137" s="1007">
        <v>12090</v>
      </c>
      <c r="F137" s="1010">
        <v>75767</v>
      </c>
      <c r="G137" s="969">
        <v>49651</v>
      </c>
      <c r="H137" s="969"/>
      <c r="I137" s="970">
        <v>2860</v>
      </c>
      <c r="J137" s="971">
        <v>12056</v>
      </c>
      <c r="K137" s="970">
        <v>7091</v>
      </c>
      <c r="L137" s="969">
        <v>0</v>
      </c>
      <c r="M137" s="969"/>
      <c r="N137" s="970">
        <v>1405</v>
      </c>
      <c r="O137" s="970">
        <v>0</v>
      </c>
      <c r="P137" s="970">
        <v>0</v>
      </c>
      <c r="Q137" s="969">
        <v>7680</v>
      </c>
      <c r="R137" s="969"/>
      <c r="S137" s="970">
        <v>16732</v>
      </c>
      <c r="T137" s="972">
        <v>-2660</v>
      </c>
      <c r="U137" s="972">
        <v>14072</v>
      </c>
    </row>
    <row r="138" spans="1:21" x14ac:dyDescent="0.25">
      <c r="A138" s="966">
        <v>91214</v>
      </c>
      <c r="B138" s="967" t="s">
        <v>2757</v>
      </c>
      <c r="C138" s="968">
        <v>2.9300000000000001E-5</v>
      </c>
      <c r="D138" s="968">
        <v>2.8200000000000001E-5</v>
      </c>
      <c r="E138" s="1007">
        <v>9669</v>
      </c>
      <c r="F138" s="1010">
        <v>59850</v>
      </c>
      <c r="G138" s="969">
        <v>44762</v>
      </c>
      <c r="H138" s="969"/>
      <c r="I138" s="970">
        <v>2579</v>
      </c>
      <c r="J138" s="971">
        <v>10868</v>
      </c>
      <c r="K138" s="970">
        <v>6393</v>
      </c>
      <c r="L138" s="969">
        <v>1300</v>
      </c>
      <c r="M138" s="969"/>
      <c r="N138" s="970">
        <v>1267</v>
      </c>
      <c r="O138" s="970">
        <v>0</v>
      </c>
      <c r="P138" s="970">
        <v>0</v>
      </c>
      <c r="Q138" s="969">
        <v>3669</v>
      </c>
      <c r="R138" s="969"/>
      <c r="S138" s="970">
        <v>15085</v>
      </c>
      <c r="T138" s="972">
        <v>-283</v>
      </c>
      <c r="U138" s="972">
        <v>14802</v>
      </c>
    </row>
    <row r="139" spans="1:21" x14ac:dyDescent="0.25">
      <c r="A139" s="966">
        <v>91217</v>
      </c>
      <c r="B139" s="967" t="s">
        <v>2758</v>
      </c>
      <c r="C139" s="968">
        <v>2.8799999999999999E-5</v>
      </c>
      <c r="D139" s="968">
        <v>2.6699999999999998E-5</v>
      </c>
      <c r="E139" s="1007">
        <v>14934</v>
      </c>
      <c r="F139" s="1010">
        <v>56666</v>
      </c>
      <c r="G139" s="969">
        <v>43998</v>
      </c>
      <c r="H139" s="969"/>
      <c r="I139" s="970">
        <v>2535</v>
      </c>
      <c r="J139" s="971">
        <v>10683</v>
      </c>
      <c r="K139" s="970">
        <v>6284</v>
      </c>
      <c r="L139" s="969">
        <v>10784</v>
      </c>
      <c r="M139" s="969"/>
      <c r="N139" s="970">
        <v>1245</v>
      </c>
      <c r="O139" s="970">
        <v>0</v>
      </c>
      <c r="P139" s="970">
        <v>0</v>
      </c>
      <c r="Q139" s="969">
        <v>0</v>
      </c>
      <c r="R139" s="969"/>
      <c r="S139" s="970">
        <v>14828</v>
      </c>
      <c r="T139" s="972">
        <v>4311</v>
      </c>
      <c r="U139" s="972">
        <v>19139</v>
      </c>
    </row>
    <row r="140" spans="1:21" x14ac:dyDescent="0.25">
      <c r="A140" s="966">
        <v>91221</v>
      </c>
      <c r="B140" s="967" t="s">
        <v>2759</v>
      </c>
      <c r="C140" s="968">
        <v>1.3359999999999999E-4</v>
      </c>
      <c r="D140" s="968">
        <v>1.294E-4</v>
      </c>
      <c r="E140" s="1007">
        <v>59449</v>
      </c>
      <c r="F140" s="1010">
        <v>274630</v>
      </c>
      <c r="G140" s="969">
        <v>204104</v>
      </c>
      <c r="H140" s="969"/>
      <c r="I140" s="970">
        <v>11758</v>
      </c>
      <c r="J140" s="971">
        <v>49557</v>
      </c>
      <c r="K140" s="970">
        <v>29149</v>
      </c>
      <c r="L140" s="969">
        <v>5038</v>
      </c>
      <c r="M140" s="969"/>
      <c r="N140" s="970">
        <v>5778</v>
      </c>
      <c r="O140" s="970">
        <v>0</v>
      </c>
      <c r="P140" s="970">
        <v>0</v>
      </c>
      <c r="Q140" s="969">
        <v>7113</v>
      </c>
      <c r="R140" s="969"/>
      <c r="S140" s="970">
        <v>68783</v>
      </c>
      <c r="T140" s="972">
        <v>1397</v>
      </c>
      <c r="U140" s="972">
        <v>70180</v>
      </c>
    </row>
    <row r="141" spans="1:21" x14ac:dyDescent="0.25">
      <c r="A141" s="966">
        <v>91231</v>
      </c>
      <c r="B141" s="967" t="s">
        <v>2760</v>
      </c>
      <c r="C141" s="968">
        <v>1.8856000000000001E-3</v>
      </c>
      <c r="D141" s="968">
        <v>1.9957E-3</v>
      </c>
      <c r="E141" s="1007">
        <v>867955</v>
      </c>
      <c r="F141" s="1010">
        <v>4235544</v>
      </c>
      <c r="G141" s="969">
        <v>2880674</v>
      </c>
      <c r="H141" s="969"/>
      <c r="I141" s="970">
        <v>165954</v>
      </c>
      <c r="J141" s="971">
        <v>699431</v>
      </c>
      <c r="K141" s="970">
        <v>411400</v>
      </c>
      <c r="L141" s="969">
        <v>10587</v>
      </c>
      <c r="M141" s="969"/>
      <c r="N141" s="970">
        <v>81543</v>
      </c>
      <c r="O141" s="970">
        <v>0</v>
      </c>
      <c r="P141" s="970">
        <v>0</v>
      </c>
      <c r="Q141" s="969">
        <v>132995</v>
      </c>
      <c r="R141" s="969"/>
      <c r="S141" s="970">
        <v>970790</v>
      </c>
      <c r="T141" s="972">
        <v>-32073</v>
      </c>
      <c r="U141" s="972">
        <v>938717</v>
      </c>
    </row>
    <row r="142" spans="1:21" x14ac:dyDescent="0.25">
      <c r="A142" s="966">
        <v>91233</v>
      </c>
      <c r="B142" s="967" t="s">
        <v>2761</v>
      </c>
      <c r="C142" s="968">
        <v>5.8100000000000003E-5</v>
      </c>
      <c r="D142" s="968">
        <v>4.5599999999999997E-5</v>
      </c>
      <c r="E142" s="1007">
        <v>21828</v>
      </c>
      <c r="F142" s="1010">
        <v>96778</v>
      </c>
      <c r="G142" s="969">
        <v>88761</v>
      </c>
      <c r="H142" s="969"/>
      <c r="I142" s="970">
        <v>5113</v>
      </c>
      <c r="J142" s="971">
        <v>21551</v>
      </c>
      <c r="K142" s="970">
        <v>12676</v>
      </c>
      <c r="L142" s="969">
        <v>9544</v>
      </c>
      <c r="M142" s="969"/>
      <c r="N142" s="970">
        <v>2513</v>
      </c>
      <c r="O142" s="970">
        <v>0</v>
      </c>
      <c r="P142" s="970">
        <v>0</v>
      </c>
      <c r="Q142" s="969">
        <v>117</v>
      </c>
      <c r="R142" s="969"/>
      <c r="S142" s="970">
        <v>29912</v>
      </c>
      <c r="T142" s="972">
        <v>4289</v>
      </c>
      <c r="U142" s="972">
        <f>34202-1</f>
        <v>34201</v>
      </c>
    </row>
    <row r="143" spans="1:21" x14ac:dyDescent="0.25">
      <c r="A143" s="966">
        <v>91241</v>
      </c>
      <c r="B143" s="967" t="s">
        <v>2762</v>
      </c>
      <c r="C143" s="968">
        <v>3.5500000000000002E-5</v>
      </c>
      <c r="D143" s="968">
        <v>3.68E-5</v>
      </c>
      <c r="E143" s="1007">
        <v>17216</v>
      </c>
      <c r="F143" s="1010">
        <v>78102</v>
      </c>
      <c r="G143" s="969">
        <v>54234</v>
      </c>
      <c r="H143" s="969"/>
      <c r="I143" s="970">
        <v>3124</v>
      </c>
      <c r="J143" s="971">
        <v>13168</v>
      </c>
      <c r="K143" s="970">
        <v>7745</v>
      </c>
      <c r="L143" s="969">
        <v>0</v>
      </c>
      <c r="M143" s="969"/>
      <c r="N143" s="970">
        <v>1535</v>
      </c>
      <c r="O143" s="970">
        <v>0</v>
      </c>
      <c r="P143" s="970">
        <v>0</v>
      </c>
      <c r="Q143" s="969">
        <v>4391</v>
      </c>
      <c r="R143" s="969"/>
      <c r="S143" s="970">
        <v>18277</v>
      </c>
      <c r="T143" s="972">
        <v>-2564</v>
      </c>
      <c r="U143" s="972">
        <v>15713</v>
      </c>
    </row>
    <row r="144" spans="1:21" x14ac:dyDescent="0.25">
      <c r="A144" s="966">
        <v>91251</v>
      </c>
      <c r="B144" s="967" t="s">
        <v>2763</v>
      </c>
      <c r="C144" s="968">
        <v>1.9899999999999999E-5</v>
      </c>
      <c r="D144" s="968">
        <v>2.65E-5</v>
      </c>
      <c r="E144" s="1007">
        <v>11339</v>
      </c>
      <c r="F144" s="1010">
        <v>56242</v>
      </c>
      <c r="G144" s="969">
        <v>30402</v>
      </c>
      <c r="H144" s="969"/>
      <c r="I144" s="970">
        <v>1751</v>
      </c>
      <c r="J144" s="971">
        <v>7381</v>
      </c>
      <c r="K144" s="970">
        <v>4342</v>
      </c>
      <c r="L144" s="969">
        <v>2341</v>
      </c>
      <c r="M144" s="969"/>
      <c r="N144" s="970">
        <v>861</v>
      </c>
      <c r="O144" s="970">
        <v>0</v>
      </c>
      <c r="P144" s="970">
        <v>0</v>
      </c>
      <c r="Q144" s="969">
        <v>3540</v>
      </c>
      <c r="R144" s="969"/>
      <c r="S144" s="970">
        <v>10245</v>
      </c>
      <c r="T144" s="972">
        <v>1340</v>
      </c>
      <c r="U144" s="972">
        <f>11586-1</f>
        <v>11585</v>
      </c>
    </row>
    <row r="145" spans="1:21" x14ac:dyDescent="0.25">
      <c r="A145" s="966">
        <v>91261</v>
      </c>
      <c r="B145" s="967" t="s">
        <v>2764</v>
      </c>
      <c r="C145" s="968">
        <v>1.03E-5</v>
      </c>
      <c r="D145" s="968">
        <v>9.5000000000000005E-6</v>
      </c>
      <c r="E145" s="1007">
        <v>4666</v>
      </c>
      <c r="F145" s="1010">
        <v>20162</v>
      </c>
      <c r="G145" s="969">
        <v>15736</v>
      </c>
      <c r="H145" s="969"/>
      <c r="I145" s="970">
        <v>907</v>
      </c>
      <c r="J145" s="971">
        <v>3821</v>
      </c>
      <c r="K145" s="970">
        <v>2247</v>
      </c>
      <c r="L145" s="969">
        <v>1784</v>
      </c>
      <c r="M145" s="969"/>
      <c r="N145" s="970">
        <v>445</v>
      </c>
      <c r="O145" s="970">
        <v>0</v>
      </c>
      <c r="P145" s="970">
        <v>0</v>
      </c>
      <c r="Q145" s="969">
        <v>0</v>
      </c>
      <c r="R145" s="969"/>
      <c r="S145" s="970">
        <v>5303</v>
      </c>
      <c r="T145" s="972">
        <v>850</v>
      </c>
      <c r="U145" s="972">
        <v>6153</v>
      </c>
    </row>
    <row r="146" spans="1:21" x14ac:dyDescent="0.25">
      <c r="A146" s="966">
        <v>91301</v>
      </c>
      <c r="B146" s="967" t="s">
        <v>2765</v>
      </c>
      <c r="C146" s="968">
        <v>7.6985999999999999E-3</v>
      </c>
      <c r="D146" s="968">
        <v>7.7765000000000004E-3</v>
      </c>
      <c r="E146" s="1007">
        <v>3428603</v>
      </c>
      <c r="F146" s="1010">
        <v>16504338</v>
      </c>
      <c r="G146" s="969">
        <v>11761328</v>
      </c>
      <c r="H146" s="969"/>
      <c r="I146" s="970">
        <v>677561</v>
      </c>
      <c r="J146" s="971">
        <v>2855665</v>
      </c>
      <c r="K146" s="970">
        <v>1679681</v>
      </c>
      <c r="L146" s="969">
        <v>19915</v>
      </c>
      <c r="M146" s="969"/>
      <c r="N146" s="970">
        <v>332926</v>
      </c>
      <c r="O146" s="970">
        <v>0</v>
      </c>
      <c r="P146" s="970">
        <v>0</v>
      </c>
      <c r="Q146" s="969">
        <v>249856</v>
      </c>
      <c r="R146" s="969"/>
      <c r="S146" s="970">
        <v>3963578</v>
      </c>
      <c r="T146" s="972">
        <v>-98741</v>
      </c>
      <c r="U146" s="972">
        <v>3864837</v>
      </c>
    </row>
    <row r="147" spans="1:21" x14ac:dyDescent="0.25">
      <c r="A147" s="973">
        <v>91302</v>
      </c>
      <c r="B147" s="967" t="s">
        <v>3667</v>
      </c>
      <c r="C147" s="968">
        <v>6.0300000000000002E-4</v>
      </c>
      <c r="D147" s="968">
        <v>5.9190000000000002E-4</v>
      </c>
      <c r="E147" s="1007">
        <v>259187</v>
      </c>
      <c r="F147" s="1010">
        <v>0</v>
      </c>
      <c r="G147" s="969">
        <v>921217</v>
      </c>
      <c r="H147" s="969"/>
      <c r="I147" s="970">
        <v>53071</v>
      </c>
      <c r="J147" s="971">
        <v>223673</v>
      </c>
      <c r="K147" s="970">
        <v>131563</v>
      </c>
      <c r="L147" s="969">
        <v>32897</v>
      </c>
      <c r="M147" s="969"/>
      <c r="N147" s="970">
        <v>26077</v>
      </c>
      <c r="O147" s="970">
        <v>0</v>
      </c>
      <c r="P147" s="970">
        <v>0</v>
      </c>
      <c r="Q147" s="969">
        <v>6670</v>
      </c>
      <c r="R147" s="969"/>
      <c r="S147" s="970">
        <v>310451</v>
      </c>
      <c r="T147" s="972">
        <v>18435</v>
      </c>
      <c r="U147" s="972">
        <v>328886</v>
      </c>
    </row>
    <row r="148" spans="1:21" x14ac:dyDescent="0.25">
      <c r="A148" s="973">
        <v>91306</v>
      </c>
      <c r="B148" s="967" t="s">
        <v>2767</v>
      </c>
      <c r="C148" s="968">
        <v>1.6412E-3</v>
      </c>
      <c r="D148" s="968">
        <v>1.6676E-3</v>
      </c>
      <c r="E148" s="1007">
        <v>766698</v>
      </c>
      <c r="F148" s="1010">
        <v>3539206</v>
      </c>
      <c r="G148" s="969">
        <v>2507299</v>
      </c>
      <c r="H148" s="969"/>
      <c r="I148" s="970">
        <v>144444</v>
      </c>
      <c r="J148" s="971">
        <v>608776</v>
      </c>
      <c r="K148" s="970">
        <v>358077</v>
      </c>
      <c r="L148" s="969">
        <v>113707</v>
      </c>
      <c r="M148" s="969"/>
      <c r="N148" s="970">
        <v>70974</v>
      </c>
      <c r="O148" s="970">
        <v>0</v>
      </c>
      <c r="P148" s="970">
        <v>0</v>
      </c>
      <c r="Q148" s="969">
        <v>7101</v>
      </c>
      <c r="R148" s="969"/>
      <c r="S148" s="970">
        <v>844962</v>
      </c>
      <c r="T148" s="972">
        <v>59215</v>
      </c>
      <c r="U148" s="972">
        <v>904177</v>
      </c>
    </row>
    <row r="149" spans="1:21" x14ac:dyDescent="0.25">
      <c r="A149" s="973">
        <v>91308</v>
      </c>
      <c r="B149" s="967" t="s">
        <v>2768</v>
      </c>
      <c r="C149" s="968">
        <v>1.8009999999999999E-4</v>
      </c>
      <c r="D149" s="968">
        <v>2.05E-4</v>
      </c>
      <c r="E149" s="1007">
        <v>80232</v>
      </c>
      <c r="F149" s="1010">
        <v>435079</v>
      </c>
      <c r="G149" s="969">
        <v>275143</v>
      </c>
      <c r="H149" s="969"/>
      <c r="I149" s="970">
        <v>15851</v>
      </c>
      <c r="J149" s="971">
        <v>66805</v>
      </c>
      <c r="K149" s="970">
        <v>39294</v>
      </c>
      <c r="L149" s="969">
        <v>2442</v>
      </c>
      <c r="M149" s="969"/>
      <c r="N149" s="970">
        <v>7788</v>
      </c>
      <c r="O149" s="970">
        <v>0</v>
      </c>
      <c r="P149" s="970">
        <v>0</v>
      </c>
      <c r="Q149" s="969">
        <v>21144</v>
      </c>
      <c r="R149" s="969"/>
      <c r="S149" s="970">
        <v>92723</v>
      </c>
      <c r="T149" s="972">
        <v>-3684</v>
      </c>
      <c r="U149" s="972">
        <f>89040-1</f>
        <v>89039</v>
      </c>
    </row>
    <row r="150" spans="1:21" x14ac:dyDescent="0.25">
      <c r="A150" s="966">
        <v>91311</v>
      </c>
      <c r="B150" s="967" t="s">
        <v>2769</v>
      </c>
      <c r="C150" s="968">
        <v>7.6685E-3</v>
      </c>
      <c r="D150" s="968">
        <v>7.6649999999999999E-3</v>
      </c>
      <c r="E150" s="1007">
        <v>3305761</v>
      </c>
      <c r="F150" s="1010">
        <v>16267698</v>
      </c>
      <c r="G150" s="969">
        <v>11715344</v>
      </c>
      <c r="H150" s="969"/>
      <c r="I150" s="970">
        <v>674912</v>
      </c>
      <c r="J150" s="971">
        <v>2844500</v>
      </c>
      <c r="K150" s="970">
        <v>1673113</v>
      </c>
      <c r="L150" s="969">
        <v>78345</v>
      </c>
      <c r="M150" s="969"/>
      <c r="N150" s="970">
        <v>331624</v>
      </c>
      <c r="O150" s="970">
        <v>0</v>
      </c>
      <c r="P150" s="970">
        <v>0</v>
      </c>
      <c r="Q150" s="969">
        <v>516736</v>
      </c>
      <c r="R150" s="969"/>
      <c r="S150" s="970">
        <v>3948081</v>
      </c>
      <c r="T150" s="972">
        <v>-187514</v>
      </c>
      <c r="U150" s="972">
        <v>3760567</v>
      </c>
    </row>
    <row r="151" spans="1:21" x14ac:dyDescent="0.25">
      <c r="A151" s="966">
        <v>91317</v>
      </c>
      <c r="B151" s="967" t="s">
        <v>2770</v>
      </c>
      <c r="C151" s="968">
        <v>1.016E-4</v>
      </c>
      <c r="D151" s="968">
        <v>9.0500000000000004E-5</v>
      </c>
      <c r="E151" s="1007">
        <v>50865</v>
      </c>
      <c r="F151" s="1010">
        <v>192071</v>
      </c>
      <c r="G151" s="969">
        <v>155217</v>
      </c>
      <c r="H151" s="969"/>
      <c r="I151" s="970">
        <v>8942</v>
      </c>
      <c r="J151" s="971">
        <v>37687</v>
      </c>
      <c r="K151" s="970">
        <v>22167</v>
      </c>
      <c r="L151" s="969">
        <v>13159</v>
      </c>
      <c r="M151" s="969"/>
      <c r="N151" s="970">
        <v>4394</v>
      </c>
      <c r="O151" s="970">
        <v>0</v>
      </c>
      <c r="P151" s="970">
        <v>0</v>
      </c>
      <c r="Q151" s="969">
        <v>1760</v>
      </c>
      <c r="R151" s="969"/>
      <c r="S151" s="970">
        <v>52308</v>
      </c>
      <c r="T151" s="972">
        <v>2823</v>
      </c>
      <c r="U151" s="972">
        <f>55132-1</f>
        <v>55131</v>
      </c>
    </row>
    <row r="152" spans="1:21" x14ac:dyDescent="0.25">
      <c r="A152" s="966">
        <v>91321</v>
      </c>
      <c r="B152" s="967" t="s">
        <v>2771</v>
      </c>
      <c r="C152" s="968">
        <v>4.2799999999999997E-5</v>
      </c>
      <c r="D152" s="968">
        <v>4.1999999999999998E-5</v>
      </c>
      <c r="E152" s="1007">
        <v>37213</v>
      </c>
      <c r="F152" s="1010">
        <v>89138</v>
      </c>
      <c r="G152" s="969">
        <v>65387</v>
      </c>
      <c r="H152" s="969"/>
      <c r="I152" s="970">
        <v>3767</v>
      </c>
      <c r="J152" s="971">
        <v>15876</v>
      </c>
      <c r="K152" s="970">
        <v>9338</v>
      </c>
      <c r="L152" s="969">
        <v>18992</v>
      </c>
      <c r="M152" s="969"/>
      <c r="N152" s="970">
        <v>1851</v>
      </c>
      <c r="O152" s="970">
        <v>0</v>
      </c>
      <c r="P152" s="970">
        <v>0</v>
      </c>
      <c r="Q152" s="969">
        <v>3760</v>
      </c>
      <c r="R152" s="969"/>
      <c r="S152" s="970">
        <v>22035</v>
      </c>
      <c r="T152" s="972">
        <v>3437</v>
      </c>
      <c r="U152" s="972">
        <v>25472</v>
      </c>
    </row>
    <row r="153" spans="1:21" x14ac:dyDescent="0.25">
      <c r="A153" s="966">
        <v>91327</v>
      </c>
      <c r="B153" s="967" t="s">
        <v>2772</v>
      </c>
      <c r="C153" s="968">
        <v>8.1999999999999994E-6</v>
      </c>
      <c r="D153" s="968">
        <v>1.03E-5</v>
      </c>
      <c r="E153" s="1007">
        <v>4495</v>
      </c>
      <c r="F153" s="1010">
        <v>21860</v>
      </c>
      <c r="G153" s="969">
        <v>12527</v>
      </c>
      <c r="H153" s="969"/>
      <c r="I153" s="970">
        <v>722</v>
      </c>
      <c r="J153" s="971">
        <v>3042</v>
      </c>
      <c r="K153" s="970">
        <v>1789</v>
      </c>
      <c r="L153" s="969">
        <v>36</v>
      </c>
      <c r="M153" s="969"/>
      <c r="N153" s="970">
        <v>355</v>
      </c>
      <c r="O153" s="970">
        <v>0</v>
      </c>
      <c r="P153" s="970">
        <v>0</v>
      </c>
      <c r="Q153" s="969">
        <v>1563</v>
      </c>
      <c r="R153" s="969"/>
      <c r="S153" s="970">
        <v>4222</v>
      </c>
      <c r="T153" s="972">
        <v>-481</v>
      </c>
      <c r="U153" s="972">
        <v>3741</v>
      </c>
    </row>
    <row r="154" spans="1:21" x14ac:dyDescent="0.25">
      <c r="A154" s="966">
        <v>91331</v>
      </c>
      <c r="B154" s="967" t="s">
        <v>2773</v>
      </c>
      <c r="C154" s="968">
        <v>3.0033E-3</v>
      </c>
      <c r="D154" s="968">
        <v>2.8509999999999998E-3</v>
      </c>
      <c r="E154" s="1007">
        <v>1190887</v>
      </c>
      <c r="F154" s="1010">
        <v>6050777</v>
      </c>
      <c r="G154" s="969">
        <v>4588210</v>
      </c>
      <c r="H154" s="969"/>
      <c r="I154" s="970">
        <v>264323</v>
      </c>
      <c r="J154" s="971">
        <v>1114023</v>
      </c>
      <c r="K154" s="970">
        <v>655260</v>
      </c>
      <c r="L154" s="969">
        <v>0</v>
      </c>
      <c r="M154" s="969"/>
      <c r="N154" s="970">
        <v>129878</v>
      </c>
      <c r="O154" s="970">
        <v>0</v>
      </c>
      <c r="P154" s="970">
        <v>0</v>
      </c>
      <c r="Q154" s="969">
        <v>342951</v>
      </c>
      <c r="R154" s="969"/>
      <c r="S154" s="970">
        <v>1546231</v>
      </c>
      <c r="T154" s="972">
        <v>-176510</v>
      </c>
      <c r="U154" s="972">
        <v>1369721</v>
      </c>
    </row>
    <row r="155" spans="1:21" x14ac:dyDescent="0.25">
      <c r="A155" s="966">
        <v>91341</v>
      </c>
      <c r="B155" s="967" t="s">
        <v>2774</v>
      </c>
      <c r="C155" s="968">
        <v>2.51E-5</v>
      </c>
      <c r="D155" s="968">
        <v>1.4399999999999999E-5</v>
      </c>
      <c r="E155" s="1007">
        <v>9161</v>
      </c>
      <c r="F155" s="1010">
        <v>30562</v>
      </c>
      <c r="G155" s="969">
        <v>38346</v>
      </c>
      <c r="H155" s="969"/>
      <c r="I155" s="970">
        <v>2209</v>
      </c>
      <c r="J155" s="971">
        <v>9311</v>
      </c>
      <c r="K155" s="970">
        <v>5476</v>
      </c>
      <c r="L155" s="969">
        <v>5566</v>
      </c>
      <c r="M155" s="969"/>
      <c r="N155" s="970">
        <v>1085</v>
      </c>
      <c r="O155" s="970">
        <v>0</v>
      </c>
      <c r="P155" s="970">
        <v>0</v>
      </c>
      <c r="Q155" s="969">
        <v>1759</v>
      </c>
      <c r="R155" s="969"/>
      <c r="S155" s="970">
        <v>12923</v>
      </c>
      <c r="T155" s="972">
        <v>939</v>
      </c>
      <c r="U155" s="972">
        <f>13861+1</f>
        <v>13862</v>
      </c>
    </row>
    <row r="156" spans="1:21" x14ac:dyDescent="0.25">
      <c r="A156" s="966">
        <v>91401</v>
      </c>
      <c r="B156" s="967" t="s">
        <v>2775</v>
      </c>
      <c r="C156" s="968">
        <v>3.5885000000000001E-3</v>
      </c>
      <c r="D156" s="968">
        <v>3.6841E-3</v>
      </c>
      <c r="E156" s="1007">
        <v>1559430</v>
      </c>
      <c r="F156" s="1010">
        <v>7818894</v>
      </c>
      <c r="G156" s="969">
        <v>5482234</v>
      </c>
      <c r="H156" s="969"/>
      <c r="I156" s="970">
        <v>315827</v>
      </c>
      <c r="J156" s="971">
        <v>1331093</v>
      </c>
      <c r="K156" s="970">
        <v>782939</v>
      </c>
      <c r="L156" s="969">
        <v>17446</v>
      </c>
      <c r="M156" s="969"/>
      <c r="N156" s="970">
        <v>155185</v>
      </c>
      <c r="O156" s="970">
        <v>0</v>
      </c>
      <c r="P156" s="970">
        <v>0</v>
      </c>
      <c r="Q156" s="969">
        <v>142927</v>
      </c>
      <c r="R156" s="969"/>
      <c r="S156" s="970">
        <v>1847518</v>
      </c>
      <c r="T156" s="972">
        <v>-23160</v>
      </c>
      <c r="U156" s="972">
        <v>1824358</v>
      </c>
    </row>
    <row r="157" spans="1:21" x14ac:dyDescent="0.25">
      <c r="A157" s="966">
        <v>91411</v>
      </c>
      <c r="B157" s="967" t="s">
        <v>2776</v>
      </c>
      <c r="C157" s="968">
        <v>3.7829999999999998E-4</v>
      </c>
      <c r="D157" s="968">
        <v>3.5379999999999998E-4</v>
      </c>
      <c r="E157" s="1007">
        <v>168365</v>
      </c>
      <c r="F157" s="1010">
        <v>750882</v>
      </c>
      <c r="G157" s="969">
        <v>577938</v>
      </c>
      <c r="H157" s="969"/>
      <c r="I157" s="970">
        <v>33295</v>
      </c>
      <c r="J157" s="971">
        <v>140324</v>
      </c>
      <c r="K157" s="970">
        <v>82537</v>
      </c>
      <c r="L157" s="969">
        <v>28581</v>
      </c>
      <c r="M157" s="969"/>
      <c r="N157" s="970">
        <v>16360</v>
      </c>
      <c r="O157" s="970">
        <v>0</v>
      </c>
      <c r="P157" s="970">
        <v>0</v>
      </c>
      <c r="Q157" s="969">
        <v>1394</v>
      </c>
      <c r="R157" s="969"/>
      <c r="S157" s="970">
        <v>194765</v>
      </c>
      <c r="T157" s="972">
        <v>7766</v>
      </c>
      <c r="U157" s="972">
        <v>202531</v>
      </c>
    </row>
    <row r="158" spans="1:21" x14ac:dyDescent="0.25">
      <c r="A158" s="966">
        <v>91417</v>
      </c>
      <c r="B158" s="967" t="s">
        <v>2777</v>
      </c>
      <c r="C158" s="968">
        <v>9.3000000000000007E-6</v>
      </c>
      <c r="D158" s="968">
        <v>9.9000000000000001E-6</v>
      </c>
      <c r="E158" s="1007">
        <v>5289</v>
      </c>
      <c r="F158" s="1010">
        <v>21011</v>
      </c>
      <c r="G158" s="969">
        <v>14208</v>
      </c>
      <c r="H158" s="969"/>
      <c r="I158" s="970">
        <v>819</v>
      </c>
      <c r="J158" s="971">
        <v>3450</v>
      </c>
      <c r="K158" s="970">
        <v>2029</v>
      </c>
      <c r="L158" s="969">
        <v>2388</v>
      </c>
      <c r="M158" s="969"/>
      <c r="N158" s="970">
        <v>402</v>
      </c>
      <c r="O158" s="970">
        <v>0</v>
      </c>
      <c r="P158" s="970">
        <v>0</v>
      </c>
      <c r="Q158" s="969">
        <v>0</v>
      </c>
      <c r="R158" s="969"/>
      <c r="S158" s="970">
        <v>4788</v>
      </c>
      <c r="T158" s="972">
        <v>1814</v>
      </c>
      <c r="U158" s="972">
        <v>6602</v>
      </c>
    </row>
    <row r="159" spans="1:21" x14ac:dyDescent="0.25">
      <c r="A159" s="966">
        <v>91421</v>
      </c>
      <c r="B159" s="967" t="s">
        <v>2778</v>
      </c>
      <c r="C159" s="968">
        <v>6.9499999999999995E-5</v>
      </c>
      <c r="D159" s="968">
        <v>7.0400000000000004E-5</v>
      </c>
      <c r="E159" s="1007">
        <v>36488</v>
      </c>
      <c r="F159" s="1010">
        <v>149412</v>
      </c>
      <c r="G159" s="969">
        <v>106177</v>
      </c>
      <c r="H159" s="969"/>
      <c r="I159" s="970">
        <v>6117</v>
      </c>
      <c r="J159" s="971">
        <v>25779</v>
      </c>
      <c r="K159" s="970">
        <v>15164</v>
      </c>
      <c r="L159" s="969">
        <v>4339</v>
      </c>
      <c r="M159" s="969"/>
      <c r="N159" s="970">
        <v>3006</v>
      </c>
      <c r="O159" s="970">
        <v>0</v>
      </c>
      <c r="P159" s="970">
        <v>0</v>
      </c>
      <c r="Q159" s="969">
        <v>3143</v>
      </c>
      <c r="R159" s="969"/>
      <c r="S159" s="970">
        <v>35782</v>
      </c>
      <c r="T159" s="972">
        <v>365</v>
      </c>
      <c r="U159" s="972">
        <v>36147</v>
      </c>
    </row>
    <row r="160" spans="1:21" x14ac:dyDescent="0.25">
      <c r="A160" s="966">
        <v>91423</v>
      </c>
      <c r="B160" s="967" t="s">
        <v>2779</v>
      </c>
      <c r="C160" s="968">
        <v>5.38E-5</v>
      </c>
      <c r="D160" s="968">
        <v>3.8699999999999999E-5</v>
      </c>
      <c r="E160" s="1007">
        <v>20620</v>
      </c>
      <c r="F160" s="1010">
        <v>82134</v>
      </c>
      <c r="G160" s="969">
        <v>82191</v>
      </c>
      <c r="H160" s="969"/>
      <c r="I160" s="970">
        <v>4735</v>
      </c>
      <c r="J160" s="971">
        <v>19956</v>
      </c>
      <c r="K160" s="970">
        <v>11738</v>
      </c>
      <c r="L160" s="969">
        <v>13454</v>
      </c>
      <c r="M160" s="969"/>
      <c r="N160" s="970">
        <v>2327</v>
      </c>
      <c r="O160" s="970">
        <v>0</v>
      </c>
      <c r="P160" s="970">
        <v>0</v>
      </c>
      <c r="Q160" s="969">
        <v>2026</v>
      </c>
      <c r="R160" s="969"/>
      <c r="S160" s="970">
        <v>27699</v>
      </c>
      <c r="T160" s="972">
        <v>3208</v>
      </c>
      <c r="U160" s="972">
        <f>30906+1</f>
        <v>30907</v>
      </c>
    </row>
    <row r="161" spans="1:21" x14ac:dyDescent="0.25">
      <c r="A161" s="966">
        <v>91431</v>
      </c>
      <c r="B161" s="967" t="s">
        <v>2780</v>
      </c>
      <c r="C161" s="968">
        <v>1.562E-4</v>
      </c>
      <c r="D161" s="968">
        <v>1.417E-4</v>
      </c>
      <c r="E161" s="1007">
        <v>80270</v>
      </c>
      <c r="F161" s="1010">
        <v>300735</v>
      </c>
      <c r="G161" s="969">
        <v>238630</v>
      </c>
      <c r="H161" s="969"/>
      <c r="I161" s="970">
        <v>13747</v>
      </c>
      <c r="J161" s="971">
        <v>57939</v>
      </c>
      <c r="K161" s="970">
        <v>34080</v>
      </c>
      <c r="L161" s="969">
        <v>17694</v>
      </c>
      <c r="M161" s="969"/>
      <c r="N161" s="970">
        <v>6755</v>
      </c>
      <c r="O161" s="970">
        <v>0</v>
      </c>
      <c r="P161" s="970">
        <v>0</v>
      </c>
      <c r="Q161" s="969">
        <v>1767</v>
      </c>
      <c r="R161" s="969"/>
      <c r="S161" s="970">
        <v>80419</v>
      </c>
      <c r="T161" s="972">
        <v>4026</v>
      </c>
      <c r="U161" s="972">
        <v>84445</v>
      </c>
    </row>
    <row r="162" spans="1:21" x14ac:dyDescent="0.25">
      <c r="A162" s="966">
        <v>91441</v>
      </c>
      <c r="B162" s="967" t="s">
        <v>2781</v>
      </c>
      <c r="C162" s="968">
        <v>9.5140000000000003E-4</v>
      </c>
      <c r="D162" s="968">
        <v>7.3800000000000005E-4</v>
      </c>
      <c r="E162" s="1007">
        <v>316618</v>
      </c>
      <c r="F162" s="1010">
        <v>1566283</v>
      </c>
      <c r="G162" s="969">
        <v>1453476</v>
      </c>
      <c r="H162" s="969"/>
      <c r="I162" s="970">
        <v>83734</v>
      </c>
      <c r="J162" s="971">
        <v>352905</v>
      </c>
      <c r="K162" s="970">
        <v>207576</v>
      </c>
      <c r="L162" s="969">
        <v>46954</v>
      </c>
      <c r="M162" s="969"/>
      <c r="N162" s="970">
        <v>41143</v>
      </c>
      <c r="O162" s="970">
        <v>0</v>
      </c>
      <c r="P162" s="970">
        <v>0</v>
      </c>
      <c r="Q162" s="969">
        <v>103301</v>
      </c>
      <c r="R162" s="969"/>
      <c r="S162" s="970">
        <v>489823</v>
      </c>
      <c r="T162" s="972">
        <v>-39929</v>
      </c>
      <c r="U162" s="972">
        <v>449894</v>
      </c>
    </row>
    <row r="163" spans="1:21" x14ac:dyDescent="0.25">
      <c r="A163" s="966">
        <v>91451</v>
      </c>
      <c r="B163" s="967" t="s">
        <v>2782</v>
      </c>
      <c r="C163" s="968">
        <v>1.4760000000000001E-3</v>
      </c>
      <c r="D163" s="968">
        <v>1.5629000000000001E-3</v>
      </c>
      <c r="E163" s="1007">
        <v>670223</v>
      </c>
      <c r="F163" s="1010">
        <v>3316997</v>
      </c>
      <c r="G163" s="969">
        <v>2254919</v>
      </c>
      <c r="H163" s="969"/>
      <c r="I163" s="970">
        <v>129904</v>
      </c>
      <c r="J163" s="971">
        <v>547497</v>
      </c>
      <c r="K163" s="970">
        <v>322034</v>
      </c>
      <c r="L163" s="969">
        <v>0</v>
      </c>
      <c r="M163" s="969"/>
      <c r="N163" s="970">
        <v>63830</v>
      </c>
      <c r="O163" s="970">
        <v>0</v>
      </c>
      <c r="P163" s="970">
        <v>0</v>
      </c>
      <c r="Q163" s="969">
        <v>199933</v>
      </c>
      <c r="R163" s="969"/>
      <c r="S163" s="970">
        <v>759910</v>
      </c>
      <c r="T163" s="972">
        <v>-85072</v>
      </c>
      <c r="U163" s="972">
        <v>674838</v>
      </c>
    </row>
    <row r="164" spans="1:21" x14ac:dyDescent="0.25">
      <c r="A164" s="966">
        <v>91457</v>
      </c>
      <c r="B164" s="967" t="s">
        <v>2783</v>
      </c>
      <c r="C164" s="968">
        <v>2.23E-5</v>
      </c>
      <c r="D164" s="968">
        <v>2.58E-5</v>
      </c>
      <c r="E164" s="1007">
        <v>30670</v>
      </c>
      <c r="F164" s="1010">
        <v>54756</v>
      </c>
      <c r="G164" s="969">
        <v>34068</v>
      </c>
      <c r="H164" s="969"/>
      <c r="I164" s="970">
        <v>1963</v>
      </c>
      <c r="J164" s="971">
        <v>8272</v>
      </c>
      <c r="K164" s="970">
        <v>4865</v>
      </c>
      <c r="L164" s="969">
        <v>30858</v>
      </c>
      <c r="M164" s="969"/>
      <c r="N164" s="970">
        <v>964</v>
      </c>
      <c r="O164" s="970">
        <v>0</v>
      </c>
      <c r="P164" s="970">
        <v>0</v>
      </c>
      <c r="Q164" s="969">
        <v>0</v>
      </c>
      <c r="R164" s="969"/>
      <c r="S164" s="970">
        <v>11481</v>
      </c>
      <c r="T164" s="972">
        <v>10929</v>
      </c>
      <c r="U164" s="972">
        <v>22410</v>
      </c>
    </row>
    <row r="165" spans="1:21" x14ac:dyDescent="0.25">
      <c r="A165" s="966">
        <v>91461</v>
      </c>
      <c r="B165" s="967" t="s">
        <v>2784</v>
      </c>
      <c r="C165" s="968">
        <v>9.3999999999999998E-6</v>
      </c>
      <c r="D165" s="968">
        <v>8.6999999999999997E-6</v>
      </c>
      <c r="E165" s="1007">
        <v>2932</v>
      </c>
      <c r="F165" s="1010">
        <v>18464</v>
      </c>
      <c r="G165" s="969">
        <v>14361</v>
      </c>
      <c r="H165" s="969"/>
      <c r="I165" s="970">
        <v>827</v>
      </c>
      <c r="J165" s="971">
        <v>3487</v>
      </c>
      <c r="K165" s="970">
        <v>2051</v>
      </c>
      <c r="L165" s="969">
        <v>2052</v>
      </c>
      <c r="M165" s="969"/>
      <c r="N165" s="970">
        <v>407</v>
      </c>
      <c r="O165" s="970">
        <v>0</v>
      </c>
      <c r="P165" s="970">
        <v>0</v>
      </c>
      <c r="Q165" s="969">
        <v>637</v>
      </c>
      <c r="R165" s="969"/>
      <c r="S165" s="970">
        <v>4840</v>
      </c>
      <c r="T165" s="972">
        <v>945</v>
      </c>
      <c r="U165" s="972">
        <f>5784+1</f>
        <v>5785</v>
      </c>
    </row>
    <row r="166" spans="1:21" x14ac:dyDescent="0.25">
      <c r="A166" s="966">
        <v>91501</v>
      </c>
      <c r="B166" s="967" t="s">
        <v>2785</v>
      </c>
      <c r="C166" s="968">
        <v>4.9700000000000005E-4</v>
      </c>
      <c r="D166" s="968">
        <v>5.1099999999999995E-4</v>
      </c>
      <c r="E166" s="1007">
        <v>231246</v>
      </c>
      <c r="F166" s="1010">
        <v>1084513</v>
      </c>
      <c r="G166" s="969">
        <v>759278</v>
      </c>
      <c r="H166" s="969"/>
      <c r="I166" s="970">
        <v>43741</v>
      </c>
      <c r="J166" s="971">
        <v>184353</v>
      </c>
      <c r="K166" s="970">
        <v>108435</v>
      </c>
      <c r="L166" s="969">
        <v>24430</v>
      </c>
      <c r="M166" s="969"/>
      <c r="N166" s="970">
        <v>21493</v>
      </c>
      <c r="O166" s="970">
        <v>0</v>
      </c>
      <c r="P166" s="970">
        <v>0</v>
      </c>
      <c r="Q166" s="969">
        <v>6922</v>
      </c>
      <c r="R166" s="969"/>
      <c r="S166" s="970">
        <v>255877</v>
      </c>
      <c r="T166" s="972">
        <v>15592</v>
      </c>
      <c r="U166" s="972">
        <v>271469</v>
      </c>
    </row>
    <row r="167" spans="1:21" x14ac:dyDescent="0.25">
      <c r="A167" s="966">
        <v>91504</v>
      </c>
      <c r="B167" s="967" t="s">
        <v>2786</v>
      </c>
      <c r="C167" s="968">
        <v>9.7000000000000003E-6</v>
      </c>
      <c r="D167" s="968">
        <v>1.0200000000000001E-5</v>
      </c>
      <c r="E167" s="1007">
        <v>6531</v>
      </c>
      <c r="F167" s="1010">
        <v>21648</v>
      </c>
      <c r="G167" s="969">
        <v>14819</v>
      </c>
      <c r="H167" s="969"/>
      <c r="I167" s="970">
        <v>854</v>
      </c>
      <c r="J167" s="971">
        <v>3599</v>
      </c>
      <c r="K167" s="970">
        <v>2116</v>
      </c>
      <c r="L167" s="969">
        <v>5620</v>
      </c>
      <c r="M167" s="969"/>
      <c r="N167" s="970">
        <v>419</v>
      </c>
      <c r="O167" s="970">
        <v>0</v>
      </c>
      <c r="P167" s="970">
        <v>0</v>
      </c>
      <c r="Q167" s="969">
        <v>0</v>
      </c>
      <c r="R167" s="969"/>
      <c r="S167" s="970">
        <v>4994</v>
      </c>
      <c r="T167" s="972">
        <v>2602</v>
      </c>
      <c r="U167" s="972">
        <v>7596</v>
      </c>
    </row>
    <row r="168" spans="1:21" x14ac:dyDescent="0.25">
      <c r="A168" s="966">
        <v>91601</v>
      </c>
      <c r="B168" s="967" t="s">
        <v>2787</v>
      </c>
      <c r="C168" s="968">
        <v>2.8040000000000001E-3</v>
      </c>
      <c r="D168" s="968">
        <v>2.9077999999999999E-3</v>
      </c>
      <c r="E168" s="1007">
        <v>1323806</v>
      </c>
      <c r="F168" s="1010">
        <v>6171326</v>
      </c>
      <c r="G168" s="969">
        <v>4283735</v>
      </c>
      <c r="H168" s="969"/>
      <c r="I168" s="970">
        <v>246783</v>
      </c>
      <c r="J168" s="971">
        <v>1040096</v>
      </c>
      <c r="K168" s="970">
        <v>611777</v>
      </c>
      <c r="L168" s="969">
        <v>168530</v>
      </c>
      <c r="M168" s="969"/>
      <c r="N168" s="970">
        <v>121259</v>
      </c>
      <c r="O168" s="970">
        <v>0</v>
      </c>
      <c r="P168" s="970">
        <v>0</v>
      </c>
      <c r="Q168" s="969">
        <v>40367</v>
      </c>
      <c r="R168" s="969"/>
      <c r="S168" s="970">
        <v>1443623</v>
      </c>
      <c r="T168" s="972">
        <v>76132</v>
      </c>
      <c r="U168" s="972">
        <v>1519755</v>
      </c>
    </row>
    <row r="169" spans="1:21" x14ac:dyDescent="0.25">
      <c r="A169" s="966">
        <v>91604</v>
      </c>
      <c r="B169" s="967" t="s">
        <v>2788</v>
      </c>
      <c r="C169" s="968">
        <v>8.8499999999999996E-5</v>
      </c>
      <c r="D169" s="968">
        <v>8.6799999999999996E-5</v>
      </c>
      <c r="E169" s="1007">
        <v>50507</v>
      </c>
      <c r="F169" s="1010">
        <v>184219</v>
      </c>
      <c r="G169" s="969">
        <v>135203</v>
      </c>
      <c r="H169" s="969"/>
      <c r="I169" s="970">
        <v>7789</v>
      </c>
      <c r="J169" s="971">
        <v>32827</v>
      </c>
      <c r="K169" s="970">
        <v>19309</v>
      </c>
      <c r="L169" s="969">
        <v>20977</v>
      </c>
      <c r="M169" s="969"/>
      <c r="N169" s="970">
        <v>3827</v>
      </c>
      <c r="O169" s="970">
        <v>0</v>
      </c>
      <c r="P169" s="970">
        <v>0</v>
      </c>
      <c r="Q169" s="969">
        <v>0</v>
      </c>
      <c r="R169" s="969"/>
      <c r="S169" s="970">
        <v>45564</v>
      </c>
      <c r="T169" s="972">
        <v>7680</v>
      </c>
      <c r="U169" s="972">
        <v>53244</v>
      </c>
    </row>
    <row r="170" spans="1:21" x14ac:dyDescent="0.25">
      <c r="A170" s="966">
        <v>91608</v>
      </c>
      <c r="B170" s="967" t="s">
        <v>2789</v>
      </c>
      <c r="C170" s="968">
        <v>1.5349999999999999E-4</v>
      </c>
      <c r="D170" s="968">
        <v>1.208E-4</v>
      </c>
      <c r="E170" s="1007">
        <v>45013</v>
      </c>
      <c r="F170" s="1010">
        <v>256378</v>
      </c>
      <c r="G170" s="969">
        <v>234505</v>
      </c>
      <c r="H170" s="969"/>
      <c r="I170" s="970">
        <v>13510</v>
      </c>
      <c r="J170" s="971">
        <v>56938</v>
      </c>
      <c r="K170" s="970">
        <v>33491</v>
      </c>
      <c r="L170" s="969">
        <v>2430</v>
      </c>
      <c r="M170" s="969"/>
      <c r="N170" s="970">
        <v>6638</v>
      </c>
      <c r="O170" s="970">
        <v>0</v>
      </c>
      <c r="P170" s="970">
        <v>0</v>
      </c>
      <c r="Q170" s="969">
        <v>28763</v>
      </c>
      <c r="R170" s="969"/>
      <c r="S170" s="970">
        <v>79029</v>
      </c>
      <c r="T170" s="972">
        <v>-12888</v>
      </c>
      <c r="U170" s="972">
        <f>66140+1</f>
        <v>66141</v>
      </c>
    </row>
    <row r="171" spans="1:21" x14ac:dyDescent="0.25">
      <c r="A171" s="966">
        <v>91611</v>
      </c>
      <c r="B171" s="967" t="s">
        <v>2790</v>
      </c>
      <c r="C171" s="968">
        <v>1.4708E-3</v>
      </c>
      <c r="D171" s="968">
        <v>1.4345E-3</v>
      </c>
      <c r="E171" s="1007">
        <v>598449</v>
      </c>
      <c r="F171" s="1010">
        <v>3044490</v>
      </c>
      <c r="G171" s="969">
        <v>2246975</v>
      </c>
      <c r="H171" s="969"/>
      <c r="I171" s="970">
        <v>129447</v>
      </c>
      <c r="J171" s="971">
        <v>545569</v>
      </c>
      <c r="K171" s="970">
        <v>320899</v>
      </c>
      <c r="L171" s="969">
        <v>19333</v>
      </c>
      <c r="M171" s="969"/>
      <c r="N171" s="970">
        <v>63605</v>
      </c>
      <c r="O171" s="970">
        <v>0</v>
      </c>
      <c r="P171" s="970">
        <v>0</v>
      </c>
      <c r="Q171" s="969">
        <v>53335</v>
      </c>
      <c r="R171" s="969"/>
      <c r="S171" s="970">
        <v>757233</v>
      </c>
      <c r="T171" s="972">
        <v>2483</v>
      </c>
      <c r="U171" s="972">
        <f>759715+1</f>
        <v>759716</v>
      </c>
    </row>
    <row r="172" spans="1:21" x14ac:dyDescent="0.25">
      <c r="A172" s="966">
        <v>91621</v>
      </c>
      <c r="B172" s="967" t="s">
        <v>2791</v>
      </c>
      <c r="C172" s="968">
        <v>2.7050000000000002E-4</v>
      </c>
      <c r="D172" s="968">
        <v>2.5240000000000001E-4</v>
      </c>
      <c r="E172" s="1007">
        <v>108514</v>
      </c>
      <c r="F172" s="1010">
        <v>535677</v>
      </c>
      <c r="G172" s="969">
        <v>413249</v>
      </c>
      <c r="H172" s="969"/>
      <c r="I172" s="970">
        <v>23807</v>
      </c>
      <c r="J172" s="971">
        <v>100337</v>
      </c>
      <c r="K172" s="970">
        <v>59018</v>
      </c>
      <c r="L172" s="969">
        <v>13260</v>
      </c>
      <c r="M172" s="969"/>
      <c r="N172" s="970">
        <v>11698</v>
      </c>
      <c r="O172" s="970">
        <v>0</v>
      </c>
      <c r="P172" s="970">
        <v>0</v>
      </c>
      <c r="Q172" s="969">
        <v>14620</v>
      </c>
      <c r="R172" s="969"/>
      <c r="S172" s="970">
        <v>139265</v>
      </c>
      <c r="T172" s="972">
        <v>-4185</v>
      </c>
      <c r="U172" s="972">
        <v>135080</v>
      </c>
    </row>
    <row r="173" spans="1:21" x14ac:dyDescent="0.25">
      <c r="A173" s="966">
        <v>91631</v>
      </c>
      <c r="B173" s="967" t="s">
        <v>2792</v>
      </c>
      <c r="C173" s="968">
        <v>5.2249999999999996E-4</v>
      </c>
      <c r="D173" s="968">
        <v>5.3870000000000003E-4</v>
      </c>
      <c r="E173" s="1007">
        <v>219722</v>
      </c>
      <c r="F173" s="1010">
        <v>1143302</v>
      </c>
      <c r="G173" s="969">
        <v>798235</v>
      </c>
      <c r="H173" s="969"/>
      <c r="I173" s="970">
        <v>45986</v>
      </c>
      <c r="J173" s="971">
        <v>193812</v>
      </c>
      <c r="K173" s="970">
        <v>113999</v>
      </c>
      <c r="L173" s="969">
        <v>0</v>
      </c>
      <c r="M173" s="969"/>
      <c r="N173" s="970">
        <v>22596</v>
      </c>
      <c r="O173" s="970">
        <v>0</v>
      </c>
      <c r="P173" s="970">
        <v>0</v>
      </c>
      <c r="Q173" s="969">
        <v>52272</v>
      </c>
      <c r="R173" s="969"/>
      <c r="S173" s="970">
        <v>269006</v>
      </c>
      <c r="T173" s="972">
        <v>-16747</v>
      </c>
      <c r="U173" s="972">
        <v>252259</v>
      </c>
    </row>
    <row r="174" spans="1:21" x14ac:dyDescent="0.25">
      <c r="A174" s="966">
        <v>91633</v>
      </c>
      <c r="B174" s="967" t="s">
        <v>2793</v>
      </c>
      <c r="C174" s="968">
        <v>2.51E-5</v>
      </c>
      <c r="D174" s="968">
        <v>2.3799999999999999E-5</v>
      </c>
      <c r="E174" s="1007">
        <v>11022</v>
      </c>
      <c r="F174" s="1010">
        <v>50512</v>
      </c>
      <c r="G174" s="969">
        <v>38346</v>
      </c>
      <c r="H174" s="969"/>
      <c r="I174" s="970">
        <v>2209</v>
      </c>
      <c r="J174" s="971">
        <v>9311</v>
      </c>
      <c r="K174" s="970">
        <v>5476</v>
      </c>
      <c r="L174" s="969">
        <v>1513</v>
      </c>
      <c r="M174" s="969"/>
      <c r="N174" s="970">
        <v>1085</v>
      </c>
      <c r="O174" s="970">
        <v>0</v>
      </c>
      <c r="P174" s="970">
        <v>0</v>
      </c>
      <c r="Q174" s="969">
        <v>3215</v>
      </c>
      <c r="R174" s="969"/>
      <c r="S174" s="970">
        <v>12923</v>
      </c>
      <c r="T174" s="972">
        <v>-1367</v>
      </c>
      <c r="U174" s="972">
        <f>11555+1</f>
        <v>11556</v>
      </c>
    </row>
    <row r="175" spans="1:21" x14ac:dyDescent="0.25">
      <c r="A175" s="966">
        <v>91641</v>
      </c>
      <c r="B175" s="967" t="s">
        <v>2794</v>
      </c>
      <c r="C175" s="968">
        <v>3.1139999999999998E-4</v>
      </c>
      <c r="D175" s="968">
        <v>2.742E-4</v>
      </c>
      <c r="E175" s="1007">
        <v>104379</v>
      </c>
      <c r="F175" s="1010">
        <v>581944</v>
      </c>
      <c r="G175" s="969">
        <v>475733</v>
      </c>
      <c r="H175" s="969"/>
      <c r="I175" s="970">
        <v>27407</v>
      </c>
      <c r="J175" s="971">
        <v>115509</v>
      </c>
      <c r="K175" s="970">
        <v>67941</v>
      </c>
      <c r="L175" s="969">
        <v>0</v>
      </c>
      <c r="M175" s="969"/>
      <c r="N175" s="970">
        <v>13466</v>
      </c>
      <c r="O175" s="970">
        <v>0</v>
      </c>
      <c r="P175" s="970">
        <v>0</v>
      </c>
      <c r="Q175" s="969">
        <v>55139</v>
      </c>
      <c r="R175" s="969"/>
      <c r="S175" s="970">
        <v>160322</v>
      </c>
      <c r="T175" s="972">
        <v>-25877</v>
      </c>
      <c r="U175" s="972">
        <v>134445</v>
      </c>
    </row>
    <row r="176" spans="1:21" x14ac:dyDescent="0.25">
      <c r="A176" s="966">
        <v>91651</v>
      </c>
      <c r="B176" s="967" t="s">
        <v>2795</v>
      </c>
      <c r="C176" s="968">
        <v>4.4440000000000001E-4</v>
      </c>
      <c r="D176" s="968">
        <v>4.6099999999999998E-4</v>
      </c>
      <c r="E176" s="1007">
        <v>205102</v>
      </c>
      <c r="F176" s="1010">
        <v>978396</v>
      </c>
      <c r="G176" s="969">
        <v>678920</v>
      </c>
      <c r="H176" s="969"/>
      <c r="I176" s="970">
        <v>39112</v>
      </c>
      <c r="J176" s="971">
        <v>164843</v>
      </c>
      <c r="K176" s="970">
        <v>96959</v>
      </c>
      <c r="L176" s="969">
        <v>0</v>
      </c>
      <c r="M176" s="969"/>
      <c r="N176" s="970">
        <v>19218</v>
      </c>
      <c r="O176" s="970">
        <v>0</v>
      </c>
      <c r="P176" s="970">
        <v>0</v>
      </c>
      <c r="Q176" s="969">
        <v>30696</v>
      </c>
      <c r="R176" s="969"/>
      <c r="S176" s="970">
        <v>228797</v>
      </c>
      <c r="T176" s="972">
        <v>-12407</v>
      </c>
      <c r="U176" s="972">
        <v>216390</v>
      </c>
    </row>
    <row r="177" spans="1:21" x14ac:dyDescent="0.25">
      <c r="A177" s="966">
        <v>91661</v>
      </c>
      <c r="B177" s="967" t="s">
        <v>2796</v>
      </c>
      <c r="C177" s="968">
        <v>1.673E-4</v>
      </c>
      <c r="D177" s="968">
        <v>1.6750000000000001E-4</v>
      </c>
      <c r="E177" s="1007">
        <v>56241</v>
      </c>
      <c r="F177" s="1010">
        <v>355491</v>
      </c>
      <c r="G177" s="969">
        <v>255588</v>
      </c>
      <c r="H177" s="969"/>
      <c r="I177" s="970">
        <v>14724</v>
      </c>
      <c r="J177" s="971">
        <v>62057</v>
      </c>
      <c r="K177" s="970">
        <v>36502</v>
      </c>
      <c r="L177" s="969">
        <v>0</v>
      </c>
      <c r="M177" s="969"/>
      <c r="N177" s="970">
        <v>7235</v>
      </c>
      <c r="O177" s="970">
        <v>0</v>
      </c>
      <c r="P177" s="970">
        <v>0</v>
      </c>
      <c r="Q177" s="969">
        <v>45519</v>
      </c>
      <c r="R177" s="969"/>
      <c r="S177" s="970">
        <v>86133</v>
      </c>
      <c r="T177" s="972">
        <v>-16188</v>
      </c>
      <c r="U177" s="972">
        <v>69945</v>
      </c>
    </row>
    <row r="178" spans="1:21" x14ac:dyDescent="0.25">
      <c r="A178" s="966">
        <v>91671</v>
      </c>
      <c r="B178" s="967" t="s">
        <v>2797</v>
      </c>
      <c r="C178" s="968">
        <v>9.6700000000000006E-5</v>
      </c>
      <c r="D178" s="968">
        <v>9.7600000000000001E-5</v>
      </c>
      <c r="E178" s="1007">
        <v>43651</v>
      </c>
      <c r="F178" s="1010">
        <v>207140</v>
      </c>
      <c r="G178" s="969">
        <v>147731</v>
      </c>
      <c r="H178" s="969"/>
      <c r="I178" s="970">
        <v>8511</v>
      </c>
      <c r="J178" s="971">
        <v>35869</v>
      </c>
      <c r="K178" s="970">
        <v>21098</v>
      </c>
      <c r="L178" s="969">
        <v>11497</v>
      </c>
      <c r="M178" s="969"/>
      <c r="N178" s="970">
        <v>4182</v>
      </c>
      <c r="O178" s="970">
        <v>0</v>
      </c>
      <c r="P178" s="970">
        <v>0</v>
      </c>
      <c r="Q178" s="969">
        <v>1197</v>
      </c>
      <c r="R178" s="969"/>
      <c r="S178" s="970">
        <v>49785</v>
      </c>
      <c r="T178" s="972">
        <v>5725</v>
      </c>
      <c r="U178" s="972">
        <v>55510</v>
      </c>
    </row>
    <row r="179" spans="1:21" x14ac:dyDescent="0.25">
      <c r="A179" s="966">
        <v>91681</v>
      </c>
      <c r="B179" s="967" t="s">
        <v>2798</v>
      </c>
      <c r="C179" s="968">
        <v>4.728E-4</v>
      </c>
      <c r="D179" s="968">
        <v>4.7130000000000002E-4</v>
      </c>
      <c r="E179" s="1007">
        <v>387832</v>
      </c>
      <c r="F179" s="1010">
        <v>1000256</v>
      </c>
      <c r="G179" s="969">
        <v>722307</v>
      </c>
      <c r="H179" s="969"/>
      <c r="I179" s="970">
        <v>41612</v>
      </c>
      <c r="J179" s="971">
        <v>175378</v>
      </c>
      <c r="K179" s="970">
        <v>103156</v>
      </c>
      <c r="L179" s="969">
        <v>274278</v>
      </c>
      <c r="M179" s="969"/>
      <c r="N179" s="970">
        <v>20446</v>
      </c>
      <c r="O179" s="970">
        <v>0</v>
      </c>
      <c r="P179" s="970">
        <v>0</v>
      </c>
      <c r="Q179" s="969">
        <v>4516</v>
      </c>
      <c r="R179" s="969"/>
      <c r="S179" s="970">
        <v>243418</v>
      </c>
      <c r="T179" s="972">
        <v>89641</v>
      </c>
      <c r="U179" s="972">
        <v>333059</v>
      </c>
    </row>
    <row r="180" spans="1:21" x14ac:dyDescent="0.25">
      <c r="A180" s="966">
        <v>91691</v>
      </c>
      <c r="B180" s="967" t="s">
        <v>2799</v>
      </c>
      <c r="C180" s="968">
        <v>2.3200000000000001E-5</v>
      </c>
      <c r="D180" s="968">
        <v>2.4199999999999999E-5</v>
      </c>
      <c r="E180" s="1007">
        <v>10219</v>
      </c>
      <c r="F180" s="1010">
        <v>51361</v>
      </c>
      <c r="G180" s="969">
        <v>35443</v>
      </c>
      <c r="H180" s="969"/>
      <c r="I180" s="970">
        <v>2042</v>
      </c>
      <c r="J180" s="971">
        <v>8605</v>
      </c>
      <c r="K180" s="970">
        <v>5062</v>
      </c>
      <c r="L180" s="969">
        <v>1782</v>
      </c>
      <c r="M180" s="969"/>
      <c r="N180" s="970">
        <v>1003</v>
      </c>
      <c r="O180" s="970">
        <v>0</v>
      </c>
      <c r="P180" s="970">
        <v>0</v>
      </c>
      <c r="Q180" s="969">
        <v>1533</v>
      </c>
      <c r="R180" s="969"/>
      <c r="S180" s="970">
        <v>11944</v>
      </c>
      <c r="T180" s="972">
        <v>129</v>
      </c>
      <c r="U180" s="972">
        <f>12074-1</f>
        <v>12073</v>
      </c>
    </row>
    <row r="181" spans="1:21" x14ac:dyDescent="0.25">
      <c r="A181" s="966">
        <v>91701</v>
      </c>
      <c r="B181" s="967" t="s">
        <v>2800</v>
      </c>
      <c r="C181" s="968">
        <v>1.2451999999999999E-3</v>
      </c>
      <c r="D181" s="968">
        <v>1.0897000000000001E-3</v>
      </c>
      <c r="E181" s="1007">
        <v>542906</v>
      </c>
      <c r="F181" s="1010">
        <v>2312708</v>
      </c>
      <c r="G181" s="969">
        <v>1902321</v>
      </c>
      <c r="H181" s="969"/>
      <c r="I181" s="970">
        <v>109591</v>
      </c>
      <c r="J181" s="971">
        <v>461886</v>
      </c>
      <c r="K181" s="970">
        <v>271678</v>
      </c>
      <c r="L181" s="969">
        <v>95964</v>
      </c>
      <c r="M181" s="969"/>
      <c r="N181" s="970">
        <v>53849</v>
      </c>
      <c r="O181" s="970">
        <v>0</v>
      </c>
      <c r="P181" s="970">
        <v>0</v>
      </c>
      <c r="Q181" s="969">
        <v>6949</v>
      </c>
      <c r="R181" s="969"/>
      <c r="S181" s="970">
        <v>641084</v>
      </c>
      <c r="T181" s="972">
        <v>18725</v>
      </c>
      <c r="U181" s="972">
        <v>659809</v>
      </c>
    </row>
    <row r="182" spans="1:21" x14ac:dyDescent="0.25">
      <c r="A182" s="966">
        <v>91704</v>
      </c>
      <c r="B182" s="967" t="s">
        <v>2801</v>
      </c>
      <c r="C182" s="968">
        <v>1.73E-5</v>
      </c>
      <c r="D182" s="968">
        <v>1.6699999999999999E-5</v>
      </c>
      <c r="E182" s="1007">
        <v>7506</v>
      </c>
      <c r="F182" s="1010">
        <v>35443</v>
      </c>
      <c r="G182" s="969">
        <v>26430</v>
      </c>
      <c r="H182" s="969"/>
      <c r="I182" s="970">
        <v>1523</v>
      </c>
      <c r="J182" s="971">
        <v>6417</v>
      </c>
      <c r="K182" s="970">
        <v>3775</v>
      </c>
      <c r="L182" s="969">
        <v>1084</v>
      </c>
      <c r="M182" s="969"/>
      <c r="N182" s="970">
        <v>748</v>
      </c>
      <c r="O182" s="970">
        <v>0</v>
      </c>
      <c r="P182" s="970">
        <v>0</v>
      </c>
      <c r="Q182" s="969">
        <v>0</v>
      </c>
      <c r="R182" s="969"/>
      <c r="S182" s="970">
        <v>8907</v>
      </c>
      <c r="T182" s="972">
        <v>641</v>
      </c>
      <c r="U182" s="972">
        <v>9548</v>
      </c>
    </row>
    <row r="183" spans="1:21" x14ac:dyDescent="0.25">
      <c r="A183" s="966">
        <v>91706</v>
      </c>
      <c r="B183" s="967" t="s">
        <v>2802</v>
      </c>
      <c r="C183" s="968">
        <v>2.4340000000000001E-4</v>
      </c>
      <c r="D183" s="968">
        <v>2.4279999999999999E-4</v>
      </c>
      <c r="E183" s="1007">
        <v>121963</v>
      </c>
      <c r="F183" s="1010">
        <v>515303</v>
      </c>
      <c r="G183" s="969">
        <v>371848</v>
      </c>
      <c r="H183" s="969"/>
      <c r="I183" s="970">
        <v>21422</v>
      </c>
      <c r="J183" s="971">
        <v>90285</v>
      </c>
      <c r="K183" s="970">
        <v>53105</v>
      </c>
      <c r="L183" s="969">
        <v>9101</v>
      </c>
      <c r="M183" s="969"/>
      <c r="N183" s="970">
        <v>10526</v>
      </c>
      <c r="O183" s="970">
        <v>0</v>
      </c>
      <c r="P183" s="970">
        <v>0</v>
      </c>
      <c r="Q183" s="969">
        <v>8271</v>
      </c>
      <c r="R183" s="969"/>
      <c r="S183" s="970">
        <v>125313</v>
      </c>
      <c r="T183" s="972">
        <v>-4120</v>
      </c>
      <c r="U183" s="972">
        <v>121193</v>
      </c>
    </row>
    <row r="184" spans="1:21" x14ac:dyDescent="0.25">
      <c r="A184" s="966">
        <v>91719</v>
      </c>
      <c r="B184" s="967" t="s">
        <v>2803</v>
      </c>
      <c r="C184" s="968">
        <v>4.9700000000000002E-5</v>
      </c>
      <c r="D184" s="968">
        <v>4.9299999999999999E-5</v>
      </c>
      <c r="E184" s="1007">
        <v>19656</v>
      </c>
      <c r="F184" s="1010">
        <v>104631</v>
      </c>
      <c r="G184" s="969">
        <v>75928</v>
      </c>
      <c r="H184" s="969"/>
      <c r="I184" s="970">
        <v>4374</v>
      </c>
      <c r="J184" s="971">
        <v>18435</v>
      </c>
      <c r="K184" s="970">
        <v>10844</v>
      </c>
      <c r="L184" s="969">
        <v>4395</v>
      </c>
      <c r="M184" s="969"/>
      <c r="N184" s="970">
        <v>2149</v>
      </c>
      <c r="O184" s="970">
        <v>0</v>
      </c>
      <c r="P184" s="970">
        <v>0</v>
      </c>
      <c r="Q184" s="969">
        <v>4419</v>
      </c>
      <c r="R184" s="969"/>
      <c r="S184" s="970">
        <v>25588</v>
      </c>
      <c r="T184" s="972">
        <v>37</v>
      </c>
      <c r="U184" s="972">
        <v>25625</v>
      </c>
    </row>
    <row r="185" spans="1:21" x14ac:dyDescent="0.25">
      <c r="A185" s="966">
        <v>91801</v>
      </c>
      <c r="B185" s="967" t="s">
        <v>2804</v>
      </c>
      <c r="C185" s="968">
        <v>8.0961000000000002E-3</v>
      </c>
      <c r="D185" s="968">
        <v>8.3853999999999995E-3</v>
      </c>
      <c r="E185" s="1007">
        <v>3752769</v>
      </c>
      <c r="F185" s="1010">
        <v>17796628</v>
      </c>
      <c r="G185" s="969">
        <v>12368598</v>
      </c>
      <c r="H185" s="969"/>
      <c r="I185" s="970">
        <v>712546</v>
      </c>
      <c r="J185" s="971">
        <v>3003111</v>
      </c>
      <c r="K185" s="970">
        <v>1766407</v>
      </c>
      <c r="L185" s="969">
        <v>0</v>
      </c>
      <c r="M185" s="969"/>
      <c r="N185" s="970">
        <v>350116</v>
      </c>
      <c r="O185" s="970">
        <v>0</v>
      </c>
      <c r="P185" s="970">
        <v>0</v>
      </c>
      <c r="Q185" s="969">
        <v>242225</v>
      </c>
      <c r="R185" s="969"/>
      <c r="S185" s="970">
        <v>4168229</v>
      </c>
      <c r="T185" s="972">
        <v>-87031</v>
      </c>
      <c r="U185" s="972">
        <f>4081197+1</f>
        <v>4081198</v>
      </c>
    </row>
    <row r="186" spans="1:21" x14ac:dyDescent="0.25">
      <c r="A186" s="966">
        <v>91804</v>
      </c>
      <c r="B186" s="967" t="s">
        <v>2805</v>
      </c>
      <c r="C186" s="968">
        <v>1.3439999999999999E-4</v>
      </c>
      <c r="D186" s="968">
        <v>1.462E-4</v>
      </c>
      <c r="E186" s="1007">
        <v>95886</v>
      </c>
      <c r="F186" s="1010">
        <v>310285</v>
      </c>
      <c r="G186" s="969">
        <v>205326</v>
      </c>
      <c r="H186" s="969"/>
      <c r="I186" s="970">
        <v>11829</v>
      </c>
      <c r="J186" s="971">
        <v>49854</v>
      </c>
      <c r="K186" s="970">
        <v>29323</v>
      </c>
      <c r="L186" s="969">
        <v>55699</v>
      </c>
      <c r="M186" s="969"/>
      <c r="N186" s="970">
        <v>5812</v>
      </c>
      <c r="O186" s="970">
        <v>0</v>
      </c>
      <c r="P186" s="970">
        <v>0</v>
      </c>
      <c r="Q186" s="969">
        <v>0</v>
      </c>
      <c r="R186" s="969"/>
      <c r="S186" s="970">
        <v>69195</v>
      </c>
      <c r="T186" s="972">
        <v>23621</v>
      </c>
      <c r="U186" s="972">
        <v>92816</v>
      </c>
    </row>
    <row r="187" spans="1:21" x14ac:dyDescent="0.25">
      <c r="A187" s="966">
        <v>91811</v>
      </c>
      <c r="B187" s="967" t="s">
        <v>2806</v>
      </c>
      <c r="C187" s="968">
        <v>4.5555999999999999E-3</v>
      </c>
      <c r="D187" s="968">
        <v>4.6454000000000001E-3</v>
      </c>
      <c r="E187" s="1007">
        <v>1964158</v>
      </c>
      <c r="F187" s="1010">
        <v>9859095</v>
      </c>
      <c r="G187" s="969">
        <v>6959695</v>
      </c>
      <c r="H187" s="969"/>
      <c r="I187" s="970">
        <v>400943</v>
      </c>
      <c r="J187" s="971">
        <v>1689822</v>
      </c>
      <c r="K187" s="970">
        <v>993941</v>
      </c>
      <c r="L187" s="969">
        <v>0</v>
      </c>
      <c r="M187" s="969"/>
      <c r="N187" s="970">
        <v>197007</v>
      </c>
      <c r="O187" s="970">
        <v>0</v>
      </c>
      <c r="P187" s="970">
        <v>0</v>
      </c>
      <c r="Q187" s="969">
        <v>519421</v>
      </c>
      <c r="R187" s="969"/>
      <c r="S187" s="970">
        <v>2345423</v>
      </c>
      <c r="T187" s="972">
        <v>-197590</v>
      </c>
      <c r="U187" s="972">
        <v>2147833</v>
      </c>
    </row>
    <row r="188" spans="1:21" x14ac:dyDescent="0.25">
      <c r="A188" s="966">
        <v>91812</v>
      </c>
      <c r="B188" s="967" t="s">
        <v>2807</v>
      </c>
      <c r="C188" s="968">
        <v>5.0800000000000002E-5</v>
      </c>
      <c r="D188" s="968">
        <v>5.8199999999999998E-5</v>
      </c>
      <c r="E188" s="1007">
        <v>26136</v>
      </c>
      <c r="F188" s="1010">
        <v>123520</v>
      </c>
      <c r="G188" s="969">
        <v>77608</v>
      </c>
      <c r="H188" s="969"/>
      <c r="I188" s="970">
        <v>4471</v>
      </c>
      <c r="J188" s="971">
        <v>18843</v>
      </c>
      <c r="K188" s="970">
        <v>11084</v>
      </c>
      <c r="L188" s="969">
        <v>11326</v>
      </c>
      <c r="M188" s="969"/>
      <c r="N188" s="970">
        <v>2197</v>
      </c>
      <c r="O188" s="970">
        <v>0</v>
      </c>
      <c r="P188" s="970">
        <v>0</v>
      </c>
      <c r="Q188" s="969">
        <v>2710</v>
      </c>
      <c r="R188" s="969"/>
      <c r="S188" s="970">
        <v>26154</v>
      </c>
      <c r="T188" s="972">
        <v>4584</v>
      </c>
      <c r="U188" s="972">
        <v>30738</v>
      </c>
    </row>
    <row r="189" spans="1:21" x14ac:dyDescent="0.25">
      <c r="A189" s="966">
        <v>91813</v>
      </c>
      <c r="B189" s="967" t="s">
        <v>2808</v>
      </c>
      <c r="C189" s="968">
        <v>8.6100000000000006E-5</v>
      </c>
      <c r="D189" s="968">
        <v>1.083E-4</v>
      </c>
      <c r="E189" s="1007">
        <v>44452</v>
      </c>
      <c r="F189" s="1010">
        <v>229849</v>
      </c>
      <c r="G189" s="969">
        <v>131537</v>
      </c>
      <c r="H189" s="969"/>
      <c r="I189" s="970">
        <v>7578</v>
      </c>
      <c r="J189" s="971">
        <v>31938</v>
      </c>
      <c r="K189" s="970">
        <v>18785</v>
      </c>
      <c r="L189" s="969">
        <v>10986</v>
      </c>
      <c r="M189" s="969"/>
      <c r="N189" s="970">
        <v>3723</v>
      </c>
      <c r="O189" s="970">
        <v>0</v>
      </c>
      <c r="P189" s="970">
        <v>0</v>
      </c>
      <c r="Q189" s="969">
        <v>13565</v>
      </c>
      <c r="R189" s="969"/>
      <c r="S189" s="970">
        <v>44328</v>
      </c>
      <c r="T189" s="972">
        <v>-155</v>
      </c>
      <c r="U189" s="972">
        <v>44173</v>
      </c>
    </row>
    <row r="190" spans="1:21" x14ac:dyDescent="0.25">
      <c r="A190" s="966">
        <v>91818</v>
      </c>
      <c r="B190" s="967" t="s">
        <v>2809</v>
      </c>
      <c r="C190" s="968">
        <v>4.0079999999999998E-4</v>
      </c>
      <c r="D190" s="968">
        <v>3.8559999999999999E-4</v>
      </c>
      <c r="E190" s="1007">
        <v>453409</v>
      </c>
      <c r="F190" s="1010">
        <v>818372</v>
      </c>
      <c r="G190" s="969">
        <v>612311</v>
      </c>
      <c r="H190" s="969"/>
      <c r="I190" s="970">
        <v>35275</v>
      </c>
      <c r="J190" s="971">
        <v>148670</v>
      </c>
      <c r="K190" s="970">
        <v>87447</v>
      </c>
      <c r="L190" s="969">
        <v>469231</v>
      </c>
      <c r="M190" s="969"/>
      <c r="N190" s="970">
        <v>17333</v>
      </c>
      <c r="O190" s="970">
        <v>0</v>
      </c>
      <c r="P190" s="970">
        <v>0</v>
      </c>
      <c r="Q190" s="969">
        <v>5024</v>
      </c>
      <c r="R190" s="969"/>
      <c r="S190" s="970">
        <v>206349</v>
      </c>
      <c r="T190" s="972">
        <v>155106</v>
      </c>
      <c r="U190" s="972">
        <f>361456-1</f>
        <v>361455</v>
      </c>
    </row>
    <row r="191" spans="1:21" x14ac:dyDescent="0.25">
      <c r="A191" s="966">
        <v>91819</v>
      </c>
      <c r="B191" s="967" t="s">
        <v>2810</v>
      </c>
      <c r="C191" s="968">
        <v>2.8489999999999999E-4</v>
      </c>
      <c r="D191" s="968">
        <v>2.8200000000000002E-4</v>
      </c>
      <c r="E191" s="1007">
        <v>138657</v>
      </c>
      <c r="F191" s="1010">
        <v>598498</v>
      </c>
      <c r="G191" s="969">
        <v>435248</v>
      </c>
      <c r="H191" s="969"/>
      <c r="I191" s="970">
        <v>25074</v>
      </c>
      <c r="J191" s="971">
        <v>105678</v>
      </c>
      <c r="K191" s="970">
        <v>62159</v>
      </c>
      <c r="L191" s="969">
        <v>15073</v>
      </c>
      <c r="M191" s="969"/>
      <c r="N191" s="970">
        <v>12321</v>
      </c>
      <c r="O191" s="970">
        <v>0</v>
      </c>
      <c r="P191" s="970">
        <v>0</v>
      </c>
      <c r="Q191" s="969">
        <v>8276</v>
      </c>
      <c r="R191" s="969"/>
      <c r="S191" s="970">
        <v>146679</v>
      </c>
      <c r="T191" s="972">
        <v>5278</v>
      </c>
      <c r="U191" s="972">
        <v>151957</v>
      </c>
    </row>
    <row r="192" spans="1:21" x14ac:dyDescent="0.25">
      <c r="A192" s="966">
        <v>91821</v>
      </c>
      <c r="B192" s="967" t="s">
        <v>2811</v>
      </c>
      <c r="C192" s="968">
        <v>1.7330000000000001E-4</v>
      </c>
      <c r="D192" s="968">
        <v>1.63E-4</v>
      </c>
      <c r="E192" s="1007">
        <v>71126</v>
      </c>
      <c r="F192" s="1010">
        <v>345941</v>
      </c>
      <c r="G192" s="969">
        <v>264754</v>
      </c>
      <c r="H192" s="969"/>
      <c r="I192" s="970">
        <v>15252</v>
      </c>
      <c r="J192" s="971">
        <v>64283</v>
      </c>
      <c r="K192" s="970">
        <v>37811</v>
      </c>
      <c r="L192" s="969">
        <v>2434</v>
      </c>
      <c r="M192" s="969"/>
      <c r="N192" s="970">
        <v>7494</v>
      </c>
      <c r="O192" s="970">
        <v>0</v>
      </c>
      <c r="P192" s="970">
        <v>0</v>
      </c>
      <c r="Q192" s="969">
        <v>1112</v>
      </c>
      <c r="R192" s="969"/>
      <c r="S192" s="970">
        <v>89222</v>
      </c>
      <c r="T192" s="972">
        <v>1572</v>
      </c>
      <c r="U192" s="972">
        <f>90795-1</f>
        <v>90794</v>
      </c>
    </row>
    <row r="193" spans="1:21" x14ac:dyDescent="0.25">
      <c r="A193" s="966">
        <v>91831</v>
      </c>
      <c r="B193" s="967" t="s">
        <v>2812</v>
      </c>
      <c r="C193" s="968">
        <v>3.366E-4</v>
      </c>
      <c r="D193" s="968">
        <v>3.414E-4</v>
      </c>
      <c r="E193" s="1007">
        <v>150178</v>
      </c>
      <c r="F193" s="1010">
        <v>724565</v>
      </c>
      <c r="G193" s="969">
        <v>514232</v>
      </c>
      <c r="H193" s="969"/>
      <c r="I193" s="970">
        <v>29625</v>
      </c>
      <c r="J193" s="971">
        <v>124856</v>
      </c>
      <c r="K193" s="970">
        <v>73439</v>
      </c>
      <c r="L193" s="969">
        <v>7847</v>
      </c>
      <c r="M193" s="969"/>
      <c r="N193" s="970">
        <v>14556</v>
      </c>
      <c r="O193" s="970">
        <v>0</v>
      </c>
      <c r="P193" s="970">
        <v>0</v>
      </c>
      <c r="Q193" s="969">
        <v>13475</v>
      </c>
      <c r="R193" s="969"/>
      <c r="S193" s="970">
        <v>173296</v>
      </c>
      <c r="T193" s="972">
        <v>520</v>
      </c>
      <c r="U193" s="972">
        <v>173816</v>
      </c>
    </row>
    <row r="194" spans="1:21" x14ac:dyDescent="0.25">
      <c r="A194" s="966">
        <v>91841</v>
      </c>
      <c r="B194" s="967" t="s">
        <v>2813</v>
      </c>
      <c r="C194" s="968">
        <v>2.5339999999999998E-4</v>
      </c>
      <c r="D194" s="968">
        <v>2.63E-4</v>
      </c>
      <c r="E194" s="1007">
        <v>126479</v>
      </c>
      <c r="F194" s="1010">
        <v>558174</v>
      </c>
      <c r="G194" s="969">
        <v>387125</v>
      </c>
      <c r="H194" s="969"/>
      <c r="I194" s="970">
        <v>22302</v>
      </c>
      <c r="J194" s="971">
        <v>93994</v>
      </c>
      <c r="K194" s="970">
        <v>55287</v>
      </c>
      <c r="L194" s="969">
        <v>1681</v>
      </c>
      <c r="M194" s="969"/>
      <c r="N194" s="970">
        <v>10958</v>
      </c>
      <c r="O194" s="970">
        <v>0</v>
      </c>
      <c r="P194" s="970">
        <v>0</v>
      </c>
      <c r="Q194" s="969">
        <v>14711</v>
      </c>
      <c r="R194" s="969"/>
      <c r="S194" s="970">
        <v>130461</v>
      </c>
      <c r="T194" s="972">
        <v>-9727</v>
      </c>
      <c r="U194" s="972">
        <v>120734</v>
      </c>
    </row>
    <row r="195" spans="1:21" x14ac:dyDescent="0.25">
      <c r="A195" s="966">
        <v>91851</v>
      </c>
      <c r="B195" s="967" t="s">
        <v>2814</v>
      </c>
      <c r="C195" s="968">
        <v>7.4910000000000005E-4</v>
      </c>
      <c r="D195" s="968">
        <v>7.2059999999999995E-4</v>
      </c>
      <c r="E195" s="1007">
        <v>326836</v>
      </c>
      <c r="F195" s="1010">
        <v>1529355</v>
      </c>
      <c r="G195" s="969">
        <v>1144417</v>
      </c>
      <c r="H195" s="969"/>
      <c r="I195" s="970">
        <v>65929</v>
      </c>
      <c r="J195" s="971">
        <v>277866</v>
      </c>
      <c r="K195" s="970">
        <v>163439</v>
      </c>
      <c r="L195" s="969">
        <v>9030</v>
      </c>
      <c r="M195" s="969"/>
      <c r="N195" s="970">
        <v>32395</v>
      </c>
      <c r="O195" s="970">
        <v>0</v>
      </c>
      <c r="P195" s="970">
        <v>0</v>
      </c>
      <c r="Q195" s="969">
        <v>44287</v>
      </c>
      <c r="R195" s="969"/>
      <c r="S195" s="970">
        <v>385670</v>
      </c>
      <c r="T195" s="972">
        <v>-13424</v>
      </c>
      <c r="U195" s="972">
        <v>372246</v>
      </c>
    </row>
    <row r="196" spans="1:21" x14ac:dyDescent="0.25">
      <c r="A196" s="966">
        <v>91861</v>
      </c>
      <c r="B196" s="967" t="s">
        <v>2815</v>
      </c>
      <c r="C196" s="968">
        <v>1.9700000000000001E-5</v>
      </c>
      <c r="D196" s="968">
        <v>1.9899999999999999E-5</v>
      </c>
      <c r="E196" s="1007">
        <v>8023</v>
      </c>
      <c r="F196" s="1010">
        <v>42234</v>
      </c>
      <c r="G196" s="969">
        <v>30096</v>
      </c>
      <c r="H196" s="969"/>
      <c r="I196" s="970">
        <v>1734</v>
      </c>
      <c r="J196" s="971">
        <v>7308</v>
      </c>
      <c r="K196" s="970">
        <v>4298</v>
      </c>
      <c r="L196" s="969">
        <v>2050</v>
      </c>
      <c r="M196" s="969"/>
      <c r="N196" s="970">
        <v>852</v>
      </c>
      <c r="O196" s="970">
        <v>0</v>
      </c>
      <c r="P196" s="970">
        <v>0</v>
      </c>
      <c r="Q196" s="969">
        <v>1061</v>
      </c>
      <c r="R196" s="969"/>
      <c r="S196" s="970">
        <v>10142</v>
      </c>
      <c r="T196" s="972">
        <v>692</v>
      </c>
      <c r="U196" s="972">
        <f>10835-1</f>
        <v>10834</v>
      </c>
    </row>
    <row r="197" spans="1:21" x14ac:dyDescent="0.25">
      <c r="A197" s="966">
        <v>91871</v>
      </c>
      <c r="B197" s="967" t="s">
        <v>2816</v>
      </c>
      <c r="C197" s="968">
        <v>1.3319E-3</v>
      </c>
      <c r="D197" s="968">
        <v>1.2712000000000001E-3</v>
      </c>
      <c r="E197" s="1007">
        <v>588755</v>
      </c>
      <c r="F197" s="1010">
        <v>2697912</v>
      </c>
      <c r="G197" s="969">
        <v>2034774</v>
      </c>
      <c r="H197" s="969"/>
      <c r="I197" s="970">
        <v>117222</v>
      </c>
      <c r="J197" s="971">
        <v>494045</v>
      </c>
      <c r="K197" s="970">
        <v>290594</v>
      </c>
      <c r="L197" s="969">
        <v>22538</v>
      </c>
      <c r="M197" s="969"/>
      <c r="N197" s="970">
        <v>57598</v>
      </c>
      <c r="O197" s="970">
        <v>0</v>
      </c>
      <c r="P197" s="970">
        <v>0</v>
      </c>
      <c r="Q197" s="969">
        <v>73797</v>
      </c>
      <c r="R197" s="969"/>
      <c r="S197" s="970">
        <v>685721</v>
      </c>
      <c r="T197" s="972">
        <v>-28802</v>
      </c>
      <c r="U197" s="972">
        <v>656919</v>
      </c>
    </row>
    <row r="198" spans="1:21" x14ac:dyDescent="0.25">
      <c r="A198" s="966">
        <v>91881</v>
      </c>
      <c r="B198" s="967" t="s">
        <v>2817</v>
      </c>
      <c r="C198" s="968">
        <v>9.3000000000000007E-6</v>
      </c>
      <c r="D198" s="968">
        <v>1.01E-5</v>
      </c>
      <c r="E198" s="1007">
        <v>6384</v>
      </c>
      <c r="F198" s="1010">
        <v>21436</v>
      </c>
      <c r="G198" s="969">
        <v>14208</v>
      </c>
      <c r="H198" s="969"/>
      <c r="I198" s="970">
        <v>819</v>
      </c>
      <c r="J198" s="971">
        <v>3450</v>
      </c>
      <c r="K198" s="970">
        <v>2029</v>
      </c>
      <c r="L198" s="969">
        <v>1155</v>
      </c>
      <c r="M198" s="969"/>
      <c r="N198" s="970">
        <v>402</v>
      </c>
      <c r="O198" s="970">
        <v>0</v>
      </c>
      <c r="P198" s="970">
        <v>0</v>
      </c>
      <c r="Q198" s="969">
        <v>8809</v>
      </c>
      <c r="R198" s="969"/>
      <c r="S198" s="970">
        <v>4788</v>
      </c>
      <c r="T198" s="972">
        <v>-5615</v>
      </c>
      <c r="U198" s="972">
        <v>-827</v>
      </c>
    </row>
    <row r="199" spans="1:21" x14ac:dyDescent="0.25">
      <c r="A199" s="966">
        <v>91901</v>
      </c>
      <c r="B199" s="967" t="s">
        <v>2818</v>
      </c>
      <c r="C199" s="968">
        <v>3.6706999999999998E-3</v>
      </c>
      <c r="D199" s="968">
        <v>3.6564000000000002E-3</v>
      </c>
      <c r="E199" s="1007">
        <v>1652493</v>
      </c>
      <c r="F199" s="1010">
        <v>7760106</v>
      </c>
      <c r="G199" s="969">
        <v>5607813</v>
      </c>
      <c r="H199" s="969"/>
      <c r="I199" s="970">
        <v>323062</v>
      </c>
      <c r="J199" s="971">
        <v>1361584</v>
      </c>
      <c r="K199" s="970">
        <v>800873</v>
      </c>
      <c r="L199" s="969">
        <v>89719</v>
      </c>
      <c r="M199" s="969"/>
      <c r="N199" s="970">
        <v>158739</v>
      </c>
      <c r="O199" s="970">
        <v>0</v>
      </c>
      <c r="P199" s="970">
        <v>0</v>
      </c>
      <c r="Q199" s="969">
        <v>16546</v>
      </c>
      <c r="R199" s="969"/>
      <c r="S199" s="970">
        <v>1889838</v>
      </c>
      <c r="T199" s="972">
        <v>53714</v>
      </c>
      <c r="U199" s="972">
        <v>1943552</v>
      </c>
    </row>
    <row r="200" spans="1:21" x14ac:dyDescent="0.25">
      <c r="A200" s="966">
        <v>91903</v>
      </c>
      <c r="B200" s="967" t="s">
        <v>2819</v>
      </c>
      <c r="C200" s="968">
        <v>8.6999999999999997E-6</v>
      </c>
      <c r="D200" s="968">
        <v>8.3999999999999992E-6</v>
      </c>
      <c r="E200" s="1007">
        <v>5739</v>
      </c>
      <c r="F200" s="1010">
        <v>17828</v>
      </c>
      <c r="G200" s="969">
        <v>13291</v>
      </c>
      <c r="H200" s="969"/>
      <c r="I200" s="970">
        <v>766</v>
      </c>
      <c r="J200" s="971">
        <v>3227</v>
      </c>
      <c r="K200" s="970">
        <v>1898</v>
      </c>
      <c r="L200" s="969">
        <v>2037</v>
      </c>
      <c r="M200" s="969"/>
      <c r="N200" s="970">
        <v>376</v>
      </c>
      <c r="O200" s="970">
        <v>0</v>
      </c>
      <c r="P200" s="970">
        <v>0</v>
      </c>
      <c r="Q200" s="969">
        <v>3011</v>
      </c>
      <c r="R200" s="969"/>
      <c r="S200" s="970">
        <v>4479</v>
      </c>
      <c r="T200" s="972">
        <v>-2426</v>
      </c>
      <c r="U200" s="972">
        <v>2053</v>
      </c>
    </row>
    <row r="201" spans="1:21" x14ac:dyDescent="0.25">
      <c r="A201" s="966">
        <v>91904</v>
      </c>
      <c r="B201" s="967" t="s">
        <v>2820</v>
      </c>
      <c r="C201" s="968">
        <v>3.3399999999999999E-5</v>
      </c>
      <c r="D201" s="968">
        <v>2.3300000000000001E-5</v>
      </c>
      <c r="E201" s="1007">
        <v>13231</v>
      </c>
      <c r="F201" s="1010">
        <v>49450</v>
      </c>
      <c r="G201" s="969">
        <v>51026</v>
      </c>
      <c r="H201" s="969"/>
      <c r="I201" s="970">
        <v>2940</v>
      </c>
      <c r="J201" s="971">
        <v>12389</v>
      </c>
      <c r="K201" s="970">
        <v>7287</v>
      </c>
      <c r="L201" s="969">
        <v>11190</v>
      </c>
      <c r="M201" s="969"/>
      <c r="N201" s="970">
        <v>1444</v>
      </c>
      <c r="O201" s="970">
        <v>0</v>
      </c>
      <c r="P201" s="970">
        <v>0</v>
      </c>
      <c r="Q201" s="969">
        <v>0</v>
      </c>
      <c r="R201" s="969"/>
      <c r="S201" s="970">
        <v>17196</v>
      </c>
      <c r="T201" s="972">
        <v>4334</v>
      </c>
      <c r="U201" s="972">
        <v>21530</v>
      </c>
    </row>
    <row r="202" spans="1:21" x14ac:dyDescent="0.25">
      <c r="A202" s="966">
        <v>91908</v>
      </c>
      <c r="B202" s="967" t="s">
        <v>2821</v>
      </c>
      <c r="C202" s="968">
        <v>1.6900000000000001E-5</v>
      </c>
      <c r="D202" s="968">
        <v>1.3699999999999999E-5</v>
      </c>
      <c r="E202" s="1007">
        <v>5211</v>
      </c>
      <c r="F202" s="1010">
        <v>29076</v>
      </c>
      <c r="G202" s="969">
        <v>25819</v>
      </c>
      <c r="H202" s="969"/>
      <c r="I202" s="970">
        <v>1487</v>
      </c>
      <c r="J202" s="971">
        <v>6269</v>
      </c>
      <c r="K202" s="970">
        <v>3687</v>
      </c>
      <c r="L202" s="969">
        <v>935</v>
      </c>
      <c r="M202" s="969"/>
      <c r="N202" s="970">
        <v>731</v>
      </c>
      <c r="O202" s="970">
        <v>0</v>
      </c>
      <c r="P202" s="970">
        <v>0</v>
      </c>
      <c r="Q202" s="969">
        <v>2553</v>
      </c>
      <c r="R202" s="969"/>
      <c r="S202" s="970">
        <v>8701</v>
      </c>
      <c r="T202" s="972">
        <v>-56</v>
      </c>
      <c r="U202" s="972">
        <v>8645</v>
      </c>
    </row>
    <row r="203" spans="1:21" x14ac:dyDescent="0.25">
      <c r="A203" s="966">
        <v>91911</v>
      </c>
      <c r="B203" s="967" t="s">
        <v>2822</v>
      </c>
      <c r="C203" s="968">
        <v>4.5580000000000002E-4</v>
      </c>
      <c r="D203" s="968">
        <v>4.639E-4</v>
      </c>
      <c r="E203" s="1007">
        <v>224257</v>
      </c>
      <c r="F203" s="1010">
        <v>984551</v>
      </c>
      <c r="G203" s="969">
        <v>696336</v>
      </c>
      <c r="H203" s="969"/>
      <c r="I203" s="970">
        <v>40115</v>
      </c>
      <c r="J203" s="971">
        <v>169071</v>
      </c>
      <c r="K203" s="970">
        <v>99446</v>
      </c>
      <c r="L203" s="969">
        <v>13510</v>
      </c>
      <c r="M203" s="969"/>
      <c r="N203" s="970">
        <v>19711</v>
      </c>
      <c r="O203" s="970">
        <v>0</v>
      </c>
      <c r="P203" s="970">
        <v>0</v>
      </c>
      <c r="Q203" s="969">
        <v>5011</v>
      </c>
      <c r="R203" s="969"/>
      <c r="S203" s="970">
        <v>234666</v>
      </c>
      <c r="T203" s="972">
        <v>598</v>
      </c>
      <c r="U203" s="972">
        <v>235264</v>
      </c>
    </row>
    <row r="204" spans="1:21" x14ac:dyDescent="0.25">
      <c r="A204" s="966">
        <v>91917</v>
      </c>
      <c r="B204" s="967" t="s">
        <v>2823</v>
      </c>
      <c r="C204" s="968">
        <v>1.22E-5</v>
      </c>
      <c r="D204" s="968">
        <v>1.36E-5</v>
      </c>
      <c r="E204" s="1007">
        <v>6387</v>
      </c>
      <c r="F204" s="1010">
        <v>28864</v>
      </c>
      <c r="G204" s="969">
        <v>18638</v>
      </c>
      <c r="H204" s="969"/>
      <c r="I204" s="970">
        <v>1074</v>
      </c>
      <c r="J204" s="971">
        <v>4526</v>
      </c>
      <c r="K204" s="970">
        <v>2662</v>
      </c>
      <c r="L204" s="969">
        <v>527</v>
      </c>
      <c r="M204" s="969"/>
      <c r="N204" s="970">
        <v>528</v>
      </c>
      <c r="O204" s="970">
        <v>0</v>
      </c>
      <c r="P204" s="970">
        <v>0</v>
      </c>
      <c r="Q204" s="969">
        <v>310</v>
      </c>
      <c r="R204" s="969"/>
      <c r="S204" s="970">
        <v>6281</v>
      </c>
      <c r="T204" s="972">
        <v>126</v>
      </c>
      <c r="U204" s="972">
        <v>6407</v>
      </c>
    </row>
    <row r="205" spans="1:21" x14ac:dyDescent="0.25">
      <c r="A205" s="966">
        <v>91921</v>
      </c>
      <c r="B205" s="967" t="s">
        <v>2824</v>
      </c>
      <c r="C205" s="968">
        <v>3.769E-4</v>
      </c>
      <c r="D205" s="968">
        <v>3.6600000000000001E-4</v>
      </c>
      <c r="E205" s="1007">
        <v>160505</v>
      </c>
      <c r="F205" s="1010">
        <v>776775</v>
      </c>
      <c r="G205" s="969">
        <v>575799</v>
      </c>
      <c r="H205" s="969"/>
      <c r="I205" s="970">
        <v>33171</v>
      </c>
      <c r="J205" s="971">
        <v>139804</v>
      </c>
      <c r="K205" s="970">
        <v>82232</v>
      </c>
      <c r="L205" s="969">
        <v>0</v>
      </c>
      <c r="M205" s="969"/>
      <c r="N205" s="970">
        <v>16299</v>
      </c>
      <c r="O205" s="970">
        <v>0</v>
      </c>
      <c r="P205" s="970">
        <v>0</v>
      </c>
      <c r="Q205" s="969">
        <v>10651</v>
      </c>
      <c r="R205" s="969"/>
      <c r="S205" s="970">
        <v>194045</v>
      </c>
      <c r="T205" s="972">
        <v>-5316</v>
      </c>
      <c r="U205" s="972">
        <v>188729</v>
      </c>
    </row>
    <row r="206" spans="1:21" x14ac:dyDescent="0.25">
      <c r="A206" s="966">
        <v>92001</v>
      </c>
      <c r="B206" s="967" t="s">
        <v>2825</v>
      </c>
      <c r="C206" s="968">
        <v>1.8143E-3</v>
      </c>
      <c r="D206" s="968">
        <v>1.9604000000000002E-3</v>
      </c>
      <c r="E206" s="1007">
        <v>790603</v>
      </c>
      <c r="F206" s="1010">
        <v>4160626</v>
      </c>
      <c r="G206" s="969">
        <v>2771748</v>
      </c>
      <c r="H206" s="969"/>
      <c r="I206" s="970">
        <v>159678</v>
      </c>
      <c r="J206" s="971">
        <v>672984</v>
      </c>
      <c r="K206" s="970">
        <v>395844</v>
      </c>
      <c r="L206" s="969">
        <v>48219</v>
      </c>
      <c r="M206" s="969"/>
      <c r="N206" s="970">
        <v>78459</v>
      </c>
      <c r="O206" s="970">
        <v>0</v>
      </c>
      <c r="P206" s="970">
        <v>0</v>
      </c>
      <c r="Q206" s="969">
        <v>157894</v>
      </c>
      <c r="R206" s="969"/>
      <c r="S206" s="970">
        <v>934081</v>
      </c>
      <c r="T206" s="972">
        <v>-42009</v>
      </c>
      <c r="U206" s="972">
        <f>892073-1</f>
        <v>892072</v>
      </c>
    </row>
    <row r="207" spans="1:21" x14ac:dyDescent="0.25">
      <c r="A207" s="966">
        <v>92005</v>
      </c>
      <c r="B207" s="967" t="s">
        <v>2826</v>
      </c>
      <c r="C207" s="968">
        <v>4.1399999999999997E-5</v>
      </c>
      <c r="D207" s="968">
        <v>4.6499999999999999E-5</v>
      </c>
      <c r="E207" s="1007">
        <v>20947</v>
      </c>
      <c r="F207" s="1010">
        <v>98689</v>
      </c>
      <c r="G207" s="969">
        <v>63248</v>
      </c>
      <c r="H207" s="969"/>
      <c r="I207" s="970">
        <v>3644</v>
      </c>
      <c r="J207" s="971">
        <v>15356</v>
      </c>
      <c r="K207" s="970">
        <v>9033</v>
      </c>
      <c r="L207" s="969">
        <v>1741</v>
      </c>
      <c r="M207" s="969"/>
      <c r="N207" s="970">
        <v>1790</v>
      </c>
      <c r="O207" s="970">
        <v>0</v>
      </c>
      <c r="P207" s="970">
        <v>0</v>
      </c>
      <c r="Q207" s="969">
        <v>2252</v>
      </c>
      <c r="R207" s="969"/>
      <c r="S207" s="970">
        <v>21315</v>
      </c>
      <c r="T207" s="972">
        <v>208</v>
      </c>
      <c r="U207" s="972">
        <f>21522+1</f>
        <v>21523</v>
      </c>
    </row>
    <row r="208" spans="1:21" x14ac:dyDescent="0.25">
      <c r="A208" s="966">
        <v>92011</v>
      </c>
      <c r="B208" s="967" t="s">
        <v>2827</v>
      </c>
      <c r="C208" s="968">
        <v>2.0049999999999999E-4</v>
      </c>
      <c r="D208" s="968">
        <v>1.8660000000000001E-4</v>
      </c>
      <c r="E208" s="1007">
        <v>90383</v>
      </c>
      <c r="F208" s="1010">
        <v>396028</v>
      </c>
      <c r="G208" s="969">
        <v>306308</v>
      </c>
      <c r="H208" s="969"/>
      <c r="I208" s="970">
        <v>17646</v>
      </c>
      <c r="J208" s="971">
        <v>74372</v>
      </c>
      <c r="K208" s="970">
        <v>43745</v>
      </c>
      <c r="L208" s="969">
        <v>17614</v>
      </c>
      <c r="M208" s="969"/>
      <c r="N208" s="970">
        <v>8671</v>
      </c>
      <c r="O208" s="970">
        <v>0</v>
      </c>
      <c r="P208" s="970">
        <v>0</v>
      </c>
      <c r="Q208" s="969">
        <v>0</v>
      </c>
      <c r="R208" s="969"/>
      <c r="S208" s="970">
        <v>103226</v>
      </c>
      <c r="T208" s="972">
        <v>9780</v>
      </c>
      <c r="U208" s="972">
        <v>113006</v>
      </c>
    </row>
    <row r="209" spans="1:21" x14ac:dyDescent="0.25">
      <c r="A209" s="966">
        <v>92017</v>
      </c>
      <c r="B209" s="967" t="s">
        <v>2828</v>
      </c>
      <c r="C209" s="968">
        <v>3.4199999999999998E-5</v>
      </c>
      <c r="D209" s="968">
        <v>3.5099999999999999E-5</v>
      </c>
      <c r="E209" s="1007">
        <v>16941</v>
      </c>
      <c r="F209" s="1010">
        <v>74494</v>
      </c>
      <c r="G209" s="969">
        <v>52248</v>
      </c>
      <c r="H209" s="969"/>
      <c r="I209" s="970">
        <v>3010</v>
      </c>
      <c r="J209" s="971">
        <v>12686</v>
      </c>
      <c r="K209" s="970">
        <v>7462</v>
      </c>
      <c r="L209" s="969">
        <v>639</v>
      </c>
      <c r="M209" s="969"/>
      <c r="N209" s="970">
        <v>1479</v>
      </c>
      <c r="O209" s="970">
        <v>0</v>
      </c>
      <c r="P209" s="970">
        <v>0</v>
      </c>
      <c r="Q209" s="969">
        <v>1257</v>
      </c>
      <c r="R209" s="969"/>
      <c r="S209" s="970">
        <v>17608</v>
      </c>
      <c r="T209" s="972">
        <v>-668</v>
      </c>
      <c r="U209" s="972">
        <f>16939+1</f>
        <v>16940</v>
      </c>
    </row>
    <row r="210" spans="1:21" x14ac:dyDescent="0.25">
      <c r="A210" s="966">
        <v>92021</v>
      </c>
      <c r="B210" s="967" t="s">
        <v>2829</v>
      </c>
      <c r="C210" s="968">
        <v>1.5779999999999999E-4</v>
      </c>
      <c r="D210" s="968">
        <v>1.4249999999999999E-4</v>
      </c>
      <c r="E210" s="1007">
        <v>72635</v>
      </c>
      <c r="F210" s="1010">
        <v>302433</v>
      </c>
      <c r="G210" s="969">
        <v>241075</v>
      </c>
      <c r="H210" s="969"/>
      <c r="I210" s="970">
        <v>13888</v>
      </c>
      <c r="J210" s="971">
        <v>58533</v>
      </c>
      <c r="K210" s="970">
        <v>34429</v>
      </c>
      <c r="L210" s="969">
        <v>30504</v>
      </c>
      <c r="M210" s="969"/>
      <c r="N210" s="970">
        <v>6824</v>
      </c>
      <c r="O210" s="970">
        <v>0</v>
      </c>
      <c r="P210" s="970">
        <v>0</v>
      </c>
      <c r="Q210" s="969">
        <v>11142</v>
      </c>
      <c r="R210" s="969"/>
      <c r="S210" s="970">
        <v>81242</v>
      </c>
      <c r="T210" s="972">
        <v>1771</v>
      </c>
      <c r="U210" s="972">
        <f>83014-1</f>
        <v>83013</v>
      </c>
    </row>
    <row r="211" spans="1:21" x14ac:dyDescent="0.25">
      <c r="A211" s="966">
        <v>92101</v>
      </c>
      <c r="B211" s="967" t="s">
        <v>2830</v>
      </c>
      <c r="C211" s="968">
        <v>8.5209999999999995E-4</v>
      </c>
      <c r="D211" s="968">
        <v>8.6870000000000003E-4</v>
      </c>
      <c r="E211" s="1007">
        <v>368519</v>
      </c>
      <c r="F211" s="1010">
        <v>1843672</v>
      </c>
      <c r="G211" s="969">
        <v>1301773</v>
      </c>
      <c r="H211" s="969"/>
      <c r="I211" s="970">
        <v>74994</v>
      </c>
      <c r="J211" s="971">
        <v>316072</v>
      </c>
      <c r="K211" s="970">
        <v>185911</v>
      </c>
      <c r="L211" s="969">
        <v>9505</v>
      </c>
      <c r="M211" s="969"/>
      <c r="N211" s="970">
        <v>36849</v>
      </c>
      <c r="O211" s="970">
        <v>0</v>
      </c>
      <c r="P211" s="970">
        <v>0</v>
      </c>
      <c r="Q211" s="969">
        <v>63189</v>
      </c>
      <c r="R211" s="969"/>
      <c r="S211" s="970">
        <v>438699</v>
      </c>
      <c r="T211" s="972">
        <v>-10164</v>
      </c>
      <c r="U211" s="972">
        <v>428535</v>
      </c>
    </row>
    <row r="212" spans="1:21" x14ac:dyDescent="0.25">
      <c r="A212" s="966">
        <v>92104</v>
      </c>
      <c r="B212" s="967" t="s">
        <v>2831</v>
      </c>
      <c r="C212" s="968">
        <v>8.6000000000000007E-6</v>
      </c>
      <c r="D212" s="968">
        <v>8.8000000000000004E-6</v>
      </c>
      <c r="E212" s="1007">
        <v>5180</v>
      </c>
      <c r="F212" s="1010">
        <v>18677</v>
      </c>
      <c r="G212" s="969">
        <v>13138</v>
      </c>
      <c r="H212" s="969"/>
      <c r="I212" s="970">
        <v>757</v>
      </c>
      <c r="J212" s="971">
        <v>3190</v>
      </c>
      <c r="K212" s="970">
        <v>1876</v>
      </c>
      <c r="L212" s="969">
        <v>3377</v>
      </c>
      <c r="M212" s="969"/>
      <c r="N212" s="970">
        <v>372</v>
      </c>
      <c r="O212" s="970">
        <v>0</v>
      </c>
      <c r="P212" s="970">
        <v>0</v>
      </c>
      <c r="Q212" s="969">
        <v>0</v>
      </c>
      <c r="R212" s="969"/>
      <c r="S212" s="970">
        <v>4428</v>
      </c>
      <c r="T212" s="972">
        <v>1850</v>
      </c>
      <c r="U212" s="972">
        <f>6277+1</f>
        <v>6278</v>
      </c>
    </row>
    <row r="213" spans="1:21" x14ac:dyDescent="0.25">
      <c r="A213" s="966">
        <v>92109</v>
      </c>
      <c r="B213" s="967" t="s">
        <v>2832</v>
      </c>
      <c r="C213" s="968">
        <v>1.8809999999999999E-4</v>
      </c>
      <c r="D213" s="968">
        <v>1.7909999999999999E-4</v>
      </c>
      <c r="E213" s="1007">
        <v>79223</v>
      </c>
      <c r="F213" s="1010">
        <v>380110</v>
      </c>
      <c r="G213" s="969">
        <v>287365</v>
      </c>
      <c r="H213" s="969"/>
      <c r="I213" s="970">
        <v>16555</v>
      </c>
      <c r="J213" s="971">
        <v>69773</v>
      </c>
      <c r="K213" s="970">
        <v>41040</v>
      </c>
      <c r="L213" s="969">
        <v>2067</v>
      </c>
      <c r="M213" s="969"/>
      <c r="N213" s="970">
        <v>8134</v>
      </c>
      <c r="O213" s="970">
        <v>0</v>
      </c>
      <c r="P213" s="970">
        <v>0</v>
      </c>
      <c r="Q213" s="969">
        <v>12612</v>
      </c>
      <c r="R213" s="969"/>
      <c r="S213" s="970">
        <v>96842</v>
      </c>
      <c r="T213" s="972">
        <v>-5396</v>
      </c>
      <c r="U213" s="972">
        <v>91446</v>
      </c>
    </row>
    <row r="214" spans="1:21" x14ac:dyDescent="0.25">
      <c r="A214" s="966">
        <v>92111</v>
      </c>
      <c r="B214" s="967" t="s">
        <v>2833</v>
      </c>
      <c r="C214" s="968">
        <v>5.0460000000000001E-4</v>
      </c>
      <c r="D214" s="968">
        <v>5.0009999999999996E-4</v>
      </c>
      <c r="E214" s="1007">
        <v>231049</v>
      </c>
      <c r="F214" s="1010">
        <v>1061380</v>
      </c>
      <c r="G214" s="969">
        <v>770889</v>
      </c>
      <c r="H214" s="969"/>
      <c r="I214" s="970">
        <v>44410</v>
      </c>
      <c r="J214" s="971">
        <v>187173</v>
      </c>
      <c r="K214" s="970">
        <v>110094</v>
      </c>
      <c r="L214" s="969">
        <v>10602</v>
      </c>
      <c r="M214" s="969"/>
      <c r="N214" s="970">
        <v>21821</v>
      </c>
      <c r="O214" s="970">
        <v>0</v>
      </c>
      <c r="P214" s="970">
        <v>0</v>
      </c>
      <c r="Q214" s="969">
        <v>13269</v>
      </c>
      <c r="R214" s="969"/>
      <c r="S214" s="970">
        <v>259790</v>
      </c>
      <c r="T214" s="972">
        <v>2449</v>
      </c>
      <c r="U214" s="972">
        <v>262239</v>
      </c>
    </row>
    <row r="215" spans="1:21" x14ac:dyDescent="0.25">
      <c r="A215" s="966">
        <v>92113</v>
      </c>
      <c r="B215" s="967" t="s">
        <v>2834</v>
      </c>
      <c r="C215" s="968">
        <v>1.4399999999999999E-5</v>
      </c>
      <c r="D215" s="968">
        <v>2.2099999999999998E-5</v>
      </c>
      <c r="E215" s="1007">
        <v>10341</v>
      </c>
      <c r="F215" s="1010">
        <v>46904</v>
      </c>
      <c r="G215" s="969">
        <v>21999</v>
      </c>
      <c r="H215" s="969"/>
      <c r="I215" s="970">
        <v>1267</v>
      </c>
      <c r="J215" s="971">
        <v>5342</v>
      </c>
      <c r="K215" s="970">
        <v>3142</v>
      </c>
      <c r="L215" s="969">
        <v>17604</v>
      </c>
      <c r="M215" s="969"/>
      <c r="N215" s="970">
        <v>623</v>
      </c>
      <c r="O215" s="970">
        <v>0</v>
      </c>
      <c r="P215" s="970">
        <v>0</v>
      </c>
      <c r="Q215" s="969">
        <v>2179</v>
      </c>
      <c r="R215" s="969"/>
      <c r="S215" s="970">
        <v>7414</v>
      </c>
      <c r="T215" s="972">
        <v>7173</v>
      </c>
      <c r="U215" s="972">
        <v>14587</v>
      </c>
    </row>
    <row r="216" spans="1:21" x14ac:dyDescent="0.25">
      <c r="A216" s="966">
        <v>92201</v>
      </c>
      <c r="B216" s="967" t="s">
        <v>2835</v>
      </c>
      <c r="C216" s="968">
        <v>9.3389999999999999E-4</v>
      </c>
      <c r="D216" s="968">
        <v>1.0267E-3</v>
      </c>
      <c r="E216" s="1007">
        <v>452318</v>
      </c>
      <c r="F216" s="1010">
        <v>2179001</v>
      </c>
      <c r="G216" s="969">
        <v>1426741</v>
      </c>
      <c r="H216" s="969"/>
      <c r="I216" s="970">
        <v>82193</v>
      </c>
      <c r="J216" s="971">
        <v>346414</v>
      </c>
      <c r="K216" s="970">
        <v>203758</v>
      </c>
      <c r="L216" s="969">
        <v>36804</v>
      </c>
      <c r="M216" s="969"/>
      <c r="N216" s="970">
        <v>40387</v>
      </c>
      <c r="O216" s="970">
        <v>0</v>
      </c>
      <c r="P216" s="970">
        <v>0</v>
      </c>
      <c r="Q216" s="969">
        <v>43356</v>
      </c>
      <c r="R216" s="969"/>
      <c r="S216" s="970">
        <v>480813</v>
      </c>
      <c r="T216" s="972">
        <v>13056</v>
      </c>
      <c r="U216" s="972">
        <v>493869</v>
      </c>
    </row>
    <row r="217" spans="1:21" x14ac:dyDescent="0.25">
      <c r="A217" s="966">
        <v>92301</v>
      </c>
      <c r="B217" s="967" t="s">
        <v>2836</v>
      </c>
      <c r="C217" s="968">
        <v>5.2129999999999998E-3</v>
      </c>
      <c r="D217" s="968">
        <v>5.2411000000000003E-3</v>
      </c>
      <c r="E217" s="1007">
        <v>2376668</v>
      </c>
      <c r="F217" s="1010">
        <v>11123370</v>
      </c>
      <c r="G217" s="969">
        <v>7964020</v>
      </c>
      <c r="H217" s="969"/>
      <c r="I217" s="970">
        <v>458801</v>
      </c>
      <c r="J217" s="971">
        <v>1933674</v>
      </c>
      <c r="K217" s="970">
        <v>1137372</v>
      </c>
      <c r="L217" s="969">
        <v>53669</v>
      </c>
      <c r="M217" s="969"/>
      <c r="N217" s="970">
        <v>225436</v>
      </c>
      <c r="O217" s="970">
        <v>0</v>
      </c>
      <c r="P217" s="970">
        <v>0</v>
      </c>
      <c r="Q217" s="969">
        <v>40357</v>
      </c>
      <c r="R217" s="969"/>
      <c r="S217" s="970">
        <v>2683882</v>
      </c>
      <c r="T217" s="972">
        <v>7360</v>
      </c>
      <c r="U217" s="972">
        <v>2691242</v>
      </c>
    </row>
    <row r="218" spans="1:21" x14ac:dyDescent="0.25">
      <c r="A218" s="966">
        <v>92302</v>
      </c>
      <c r="B218" s="967" t="s">
        <v>3668</v>
      </c>
      <c r="C218" s="968">
        <v>2.9740000000000002E-4</v>
      </c>
      <c r="D218" s="968">
        <v>3.168E-4</v>
      </c>
      <c r="E218" s="1007">
        <v>124071</v>
      </c>
      <c r="F218" s="1010">
        <v>0</v>
      </c>
      <c r="G218" s="969">
        <v>454345</v>
      </c>
      <c r="H218" s="969"/>
      <c r="I218" s="970">
        <v>26174</v>
      </c>
      <c r="J218" s="971">
        <v>110316</v>
      </c>
      <c r="K218" s="970">
        <v>64887</v>
      </c>
      <c r="L218" s="969">
        <v>0</v>
      </c>
      <c r="M218" s="969"/>
      <c r="N218" s="970">
        <v>12861</v>
      </c>
      <c r="O218" s="970">
        <v>0</v>
      </c>
      <c r="P218" s="970">
        <v>0</v>
      </c>
      <c r="Q218" s="969">
        <v>28639</v>
      </c>
      <c r="R218" s="969"/>
      <c r="S218" s="970">
        <v>153115</v>
      </c>
      <c r="T218" s="972">
        <v>-9739</v>
      </c>
      <c r="U218" s="972">
        <v>143376</v>
      </c>
    </row>
    <row r="219" spans="1:21" x14ac:dyDescent="0.25">
      <c r="A219" s="966">
        <v>92311</v>
      </c>
      <c r="B219" s="967" t="s">
        <v>2838</v>
      </c>
      <c r="C219" s="968">
        <v>2.2504999999999999E-3</v>
      </c>
      <c r="D219" s="968">
        <v>2.1857000000000001E-3</v>
      </c>
      <c r="E219" s="1007">
        <v>989308</v>
      </c>
      <c r="F219" s="1010">
        <v>4638788</v>
      </c>
      <c r="G219" s="969">
        <v>3438141</v>
      </c>
      <c r="H219" s="969"/>
      <c r="I219" s="970">
        <v>198069</v>
      </c>
      <c r="J219" s="971">
        <v>834785</v>
      </c>
      <c r="K219" s="970">
        <v>491014</v>
      </c>
      <c r="L219" s="969">
        <v>8358</v>
      </c>
      <c r="M219" s="969"/>
      <c r="N219" s="970">
        <v>97323</v>
      </c>
      <c r="O219" s="970">
        <v>0</v>
      </c>
      <c r="P219" s="970">
        <v>0</v>
      </c>
      <c r="Q219" s="969">
        <v>54246</v>
      </c>
      <c r="R219" s="969"/>
      <c r="S219" s="970">
        <v>1158656</v>
      </c>
      <c r="T219" s="972">
        <v>-36529</v>
      </c>
      <c r="U219" s="972">
        <v>1122127</v>
      </c>
    </row>
    <row r="220" spans="1:21" x14ac:dyDescent="0.25">
      <c r="A220" s="966">
        <v>92317</v>
      </c>
      <c r="B220" s="967" t="s">
        <v>2839</v>
      </c>
      <c r="C220" s="968">
        <v>2.94E-5</v>
      </c>
      <c r="D220" s="968">
        <v>2.9600000000000001E-5</v>
      </c>
      <c r="E220" s="1007">
        <v>22749</v>
      </c>
      <c r="F220" s="1010">
        <v>62821</v>
      </c>
      <c r="G220" s="969">
        <v>44915</v>
      </c>
      <c r="H220" s="969"/>
      <c r="I220" s="970">
        <v>2588</v>
      </c>
      <c r="J220" s="971">
        <v>10905</v>
      </c>
      <c r="K220" s="970">
        <v>6414</v>
      </c>
      <c r="L220" s="969">
        <v>15615</v>
      </c>
      <c r="M220" s="969"/>
      <c r="N220" s="970">
        <v>1271</v>
      </c>
      <c r="O220" s="970">
        <v>0</v>
      </c>
      <c r="P220" s="970">
        <v>0</v>
      </c>
      <c r="Q220" s="969">
        <v>0</v>
      </c>
      <c r="R220" s="969"/>
      <c r="S220" s="970">
        <v>15136</v>
      </c>
      <c r="T220" s="972">
        <v>6218</v>
      </c>
      <c r="U220" s="972">
        <v>21354</v>
      </c>
    </row>
    <row r="221" spans="1:21" x14ac:dyDescent="0.25">
      <c r="A221" s="966">
        <v>92321</v>
      </c>
      <c r="B221" s="967" t="s">
        <v>2840</v>
      </c>
      <c r="C221" s="968">
        <v>1.1773E-3</v>
      </c>
      <c r="D221" s="968">
        <v>1.2218999999999999E-3</v>
      </c>
      <c r="E221" s="1007">
        <v>553266</v>
      </c>
      <c r="F221" s="1010">
        <v>2593281</v>
      </c>
      <c r="G221" s="969">
        <v>1798588</v>
      </c>
      <c r="H221" s="969"/>
      <c r="I221" s="970">
        <v>103615</v>
      </c>
      <c r="J221" s="971">
        <v>436700</v>
      </c>
      <c r="K221" s="970">
        <v>256863</v>
      </c>
      <c r="L221" s="969">
        <v>35464</v>
      </c>
      <c r="M221" s="969"/>
      <c r="N221" s="970">
        <v>50912</v>
      </c>
      <c r="O221" s="970">
        <v>0</v>
      </c>
      <c r="P221" s="970">
        <v>0</v>
      </c>
      <c r="Q221" s="969">
        <v>20669</v>
      </c>
      <c r="R221" s="969"/>
      <c r="S221" s="970">
        <v>606126</v>
      </c>
      <c r="T221" s="972">
        <v>20498</v>
      </c>
      <c r="U221" s="972">
        <v>626624</v>
      </c>
    </row>
    <row r="222" spans="1:21" x14ac:dyDescent="0.25">
      <c r="A222" s="966">
        <v>92327</v>
      </c>
      <c r="B222" s="967" t="s">
        <v>2841</v>
      </c>
      <c r="C222" s="968">
        <v>5.6999999999999996E-6</v>
      </c>
      <c r="D222" s="968">
        <v>7.6000000000000001E-6</v>
      </c>
      <c r="E222" s="1007">
        <v>5653</v>
      </c>
      <c r="F222" s="1010">
        <v>16130</v>
      </c>
      <c r="G222" s="969">
        <v>8708</v>
      </c>
      <c r="H222" s="969"/>
      <c r="I222" s="970">
        <v>502</v>
      </c>
      <c r="J222" s="971">
        <v>2115</v>
      </c>
      <c r="K222" s="970">
        <v>1244</v>
      </c>
      <c r="L222" s="969">
        <v>2932</v>
      </c>
      <c r="M222" s="969"/>
      <c r="N222" s="970">
        <v>246</v>
      </c>
      <c r="O222" s="970">
        <v>0</v>
      </c>
      <c r="P222" s="970">
        <v>0</v>
      </c>
      <c r="Q222" s="969">
        <v>0</v>
      </c>
      <c r="R222" s="969"/>
      <c r="S222" s="970">
        <v>2935</v>
      </c>
      <c r="T222" s="972">
        <v>1142</v>
      </c>
      <c r="U222" s="972">
        <v>4077</v>
      </c>
    </row>
    <row r="223" spans="1:21" x14ac:dyDescent="0.25">
      <c r="A223" s="966">
        <v>92331</v>
      </c>
      <c r="B223" s="967" t="s">
        <v>2842</v>
      </c>
      <c r="C223" s="968">
        <v>1.3970000000000001E-4</v>
      </c>
      <c r="D223" s="968">
        <v>1.393E-4</v>
      </c>
      <c r="E223" s="1007">
        <v>60878</v>
      </c>
      <c r="F223" s="1010">
        <v>295641</v>
      </c>
      <c r="G223" s="969">
        <v>213423</v>
      </c>
      <c r="H223" s="969"/>
      <c r="I223" s="970">
        <v>12295</v>
      </c>
      <c r="J223" s="971">
        <v>51819</v>
      </c>
      <c r="K223" s="970">
        <v>30480</v>
      </c>
      <c r="L223" s="969">
        <v>2070</v>
      </c>
      <c r="M223" s="969"/>
      <c r="N223" s="970">
        <v>6041</v>
      </c>
      <c r="O223" s="970">
        <v>0</v>
      </c>
      <c r="P223" s="970">
        <v>0</v>
      </c>
      <c r="Q223" s="969">
        <v>7559</v>
      </c>
      <c r="R223" s="969"/>
      <c r="S223" s="970">
        <v>71924</v>
      </c>
      <c r="T223" s="972">
        <v>-755</v>
      </c>
      <c r="U223" s="972">
        <v>71169</v>
      </c>
    </row>
    <row r="224" spans="1:21" x14ac:dyDescent="0.25">
      <c r="A224" s="966">
        <v>92341</v>
      </c>
      <c r="B224" s="967" t="s">
        <v>2843</v>
      </c>
      <c r="C224" s="968">
        <v>9.7999999999999993E-6</v>
      </c>
      <c r="D224" s="968">
        <v>7.9000000000000006E-6</v>
      </c>
      <c r="E224" s="1007">
        <v>3179</v>
      </c>
      <c r="F224" s="1010">
        <v>16766</v>
      </c>
      <c r="G224" s="969">
        <v>14972</v>
      </c>
      <c r="H224" s="969"/>
      <c r="I224" s="970">
        <v>863</v>
      </c>
      <c r="J224" s="971">
        <v>3635</v>
      </c>
      <c r="K224" s="970">
        <v>2138</v>
      </c>
      <c r="L224" s="969">
        <v>523</v>
      </c>
      <c r="M224" s="969"/>
      <c r="N224" s="970">
        <v>424</v>
      </c>
      <c r="O224" s="970">
        <v>0</v>
      </c>
      <c r="P224" s="970">
        <v>0</v>
      </c>
      <c r="Q224" s="969">
        <v>1977</v>
      </c>
      <c r="R224" s="969"/>
      <c r="S224" s="970">
        <v>5045</v>
      </c>
      <c r="T224" s="972">
        <v>-859</v>
      </c>
      <c r="U224" s="972">
        <f>4187-1</f>
        <v>4186</v>
      </c>
    </row>
    <row r="225" spans="1:21" x14ac:dyDescent="0.25">
      <c r="A225" s="966">
        <v>92351</v>
      </c>
      <c r="B225" s="967" t="s">
        <v>2844</v>
      </c>
      <c r="C225" s="968">
        <v>1.8600000000000001E-5</v>
      </c>
      <c r="D225" s="968">
        <v>1.95E-5</v>
      </c>
      <c r="E225" s="1007">
        <v>9507</v>
      </c>
      <c r="F225" s="1010">
        <v>41386</v>
      </c>
      <c r="G225" s="969">
        <v>28416</v>
      </c>
      <c r="H225" s="969"/>
      <c r="I225" s="970">
        <v>1637</v>
      </c>
      <c r="J225" s="971">
        <v>6899</v>
      </c>
      <c r="K225" s="970">
        <v>4058</v>
      </c>
      <c r="L225" s="969">
        <v>746</v>
      </c>
      <c r="M225" s="969"/>
      <c r="N225" s="970">
        <v>804</v>
      </c>
      <c r="O225" s="970">
        <v>0</v>
      </c>
      <c r="P225" s="970">
        <v>0</v>
      </c>
      <c r="Q225" s="969">
        <v>4166</v>
      </c>
      <c r="R225" s="969"/>
      <c r="S225" s="970">
        <v>9576</v>
      </c>
      <c r="T225" s="972">
        <v>-1010</v>
      </c>
      <c r="U225" s="972">
        <f>8567-1</f>
        <v>8566</v>
      </c>
    </row>
    <row r="226" spans="1:21" x14ac:dyDescent="0.25">
      <c r="A226" s="966">
        <v>92401</v>
      </c>
      <c r="B226" s="967" t="s">
        <v>2845</v>
      </c>
      <c r="C226" s="968">
        <v>2.6890999999999998E-3</v>
      </c>
      <c r="D226" s="968">
        <v>2.7449000000000002E-3</v>
      </c>
      <c r="E226" s="1007">
        <v>1303903</v>
      </c>
      <c r="F226" s="1010">
        <v>5825597</v>
      </c>
      <c r="G226" s="969">
        <v>4108200</v>
      </c>
      <c r="H226" s="969"/>
      <c r="I226" s="970">
        <v>236670</v>
      </c>
      <c r="J226" s="971">
        <v>997476</v>
      </c>
      <c r="K226" s="970">
        <v>586708</v>
      </c>
      <c r="L226" s="969">
        <v>34938</v>
      </c>
      <c r="M226" s="969"/>
      <c r="N226" s="970">
        <v>116290</v>
      </c>
      <c r="O226" s="970">
        <v>0</v>
      </c>
      <c r="P226" s="970">
        <v>0</v>
      </c>
      <c r="Q226" s="969">
        <v>3448</v>
      </c>
      <c r="R226" s="969"/>
      <c r="S226" s="970">
        <v>1384467</v>
      </c>
      <c r="T226" s="972">
        <v>19009</v>
      </c>
      <c r="U226" s="972">
        <v>1403476</v>
      </c>
    </row>
    <row r="227" spans="1:21" x14ac:dyDescent="0.25">
      <c r="A227" s="966">
        <v>92403</v>
      </c>
      <c r="B227" s="967" t="s">
        <v>2846</v>
      </c>
      <c r="C227" s="968">
        <v>1.11E-5</v>
      </c>
      <c r="D227" s="968">
        <v>9.7999999999999993E-6</v>
      </c>
      <c r="E227" s="1007">
        <v>5892</v>
      </c>
      <c r="F227" s="1010">
        <v>20799</v>
      </c>
      <c r="G227" s="969">
        <v>16958</v>
      </c>
      <c r="H227" s="969"/>
      <c r="I227" s="970">
        <v>977</v>
      </c>
      <c r="J227" s="971">
        <v>4117</v>
      </c>
      <c r="K227" s="970">
        <v>2422</v>
      </c>
      <c r="L227" s="969">
        <v>1858</v>
      </c>
      <c r="M227" s="969"/>
      <c r="N227" s="970">
        <v>480</v>
      </c>
      <c r="O227" s="970">
        <v>0</v>
      </c>
      <c r="P227" s="970">
        <v>0</v>
      </c>
      <c r="Q227" s="969">
        <v>1307</v>
      </c>
      <c r="R227" s="969"/>
      <c r="S227" s="970">
        <v>5715</v>
      </c>
      <c r="T227" s="972">
        <v>135</v>
      </c>
      <c r="U227" s="972">
        <f>5849+1</f>
        <v>5850</v>
      </c>
    </row>
    <row r="228" spans="1:21" x14ac:dyDescent="0.25">
      <c r="A228" s="966">
        <v>92411</v>
      </c>
      <c r="B228" s="967" t="s">
        <v>2847</v>
      </c>
      <c r="C228" s="968">
        <v>5.0469999999999996E-4</v>
      </c>
      <c r="D228" s="968">
        <v>4.8030000000000002E-4</v>
      </c>
      <c r="E228" s="1007">
        <v>203732</v>
      </c>
      <c r="F228" s="1010">
        <v>1019358</v>
      </c>
      <c r="G228" s="969">
        <v>771042</v>
      </c>
      <c r="H228" s="969"/>
      <c r="I228" s="970">
        <v>44419</v>
      </c>
      <c r="J228" s="971">
        <v>187210</v>
      </c>
      <c r="K228" s="970">
        <v>110115</v>
      </c>
      <c r="L228" s="969">
        <v>369</v>
      </c>
      <c r="M228" s="969"/>
      <c r="N228" s="970">
        <v>21826</v>
      </c>
      <c r="O228" s="970">
        <v>0</v>
      </c>
      <c r="P228" s="970">
        <v>0</v>
      </c>
      <c r="Q228" s="969">
        <v>44165</v>
      </c>
      <c r="R228" s="969"/>
      <c r="S228" s="970">
        <v>259842</v>
      </c>
      <c r="T228" s="972">
        <v>-17900</v>
      </c>
      <c r="U228" s="972">
        <v>241942</v>
      </c>
    </row>
    <row r="229" spans="1:21" x14ac:dyDescent="0.25">
      <c r="A229" s="966">
        <v>92414</v>
      </c>
      <c r="B229" s="967" t="s">
        <v>1373</v>
      </c>
      <c r="C229" s="968">
        <v>0</v>
      </c>
      <c r="D229" s="968">
        <v>0</v>
      </c>
      <c r="E229" s="1007">
        <v>0</v>
      </c>
      <c r="F229" s="1010">
        <v>0</v>
      </c>
      <c r="G229" s="969">
        <v>0</v>
      </c>
      <c r="H229" s="969"/>
      <c r="I229" s="970">
        <v>0</v>
      </c>
      <c r="J229" s="971">
        <v>0</v>
      </c>
      <c r="K229" s="970">
        <v>0</v>
      </c>
      <c r="L229" s="969">
        <v>0</v>
      </c>
      <c r="M229" s="969"/>
      <c r="N229" s="970">
        <v>0</v>
      </c>
      <c r="O229" s="970">
        <v>0</v>
      </c>
      <c r="P229" s="970">
        <v>0</v>
      </c>
      <c r="Q229" s="969">
        <v>5712</v>
      </c>
      <c r="R229" s="969"/>
      <c r="S229" s="970">
        <v>0</v>
      </c>
      <c r="T229" s="972">
        <v>-2445</v>
      </c>
      <c r="U229" s="972">
        <v>-2445</v>
      </c>
    </row>
    <row r="230" spans="1:21" x14ac:dyDescent="0.25">
      <c r="A230" s="966">
        <v>92417</v>
      </c>
      <c r="B230" s="967" t="s">
        <v>2848</v>
      </c>
      <c r="C230" s="968">
        <v>1.8300000000000001E-5</v>
      </c>
      <c r="D230" s="968">
        <v>1.77E-5</v>
      </c>
      <c r="E230" s="1007">
        <v>5972</v>
      </c>
      <c r="F230" s="1010">
        <v>37565</v>
      </c>
      <c r="G230" s="969">
        <v>27957</v>
      </c>
      <c r="H230" s="969"/>
      <c r="I230" s="970">
        <v>1611</v>
      </c>
      <c r="J230" s="971">
        <v>6788</v>
      </c>
      <c r="K230" s="970">
        <v>3993</v>
      </c>
      <c r="L230" s="969">
        <v>0</v>
      </c>
      <c r="M230" s="969"/>
      <c r="N230" s="970">
        <v>791</v>
      </c>
      <c r="O230" s="970">
        <v>0</v>
      </c>
      <c r="P230" s="970">
        <v>0</v>
      </c>
      <c r="Q230" s="969">
        <v>2726</v>
      </c>
      <c r="R230" s="969"/>
      <c r="S230" s="970">
        <v>9422</v>
      </c>
      <c r="T230" s="972">
        <v>-895</v>
      </c>
      <c r="U230" s="972">
        <v>8527</v>
      </c>
    </row>
    <row r="231" spans="1:21" x14ac:dyDescent="0.25">
      <c r="A231" s="966">
        <v>92421</v>
      </c>
      <c r="B231" s="967" t="s">
        <v>2849</v>
      </c>
      <c r="C231" s="968">
        <v>8.8000000000000004E-6</v>
      </c>
      <c r="D231" s="968">
        <v>9.0000000000000002E-6</v>
      </c>
      <c r="E231" s="1007">
        <v>7580</v>
      </c>
      <c r="F231" s="1010">
        <v>19101</v>
      </c>
      <c r="G231" s="969">
        <v>13444</v>
      </c>
      <c r="H231" s="969"/>
      <c r="I231" s="970">
        <v>774</v>
      </c>
      <c r="J231" s="971">
        <v>3264</v>
      </c>
      <c r="K231" s="970">
        <v>1920</v>
      </c>
      <c r="L231" s="969">
        <v>3546</v>
      </c>
      <c r="M231" s="969"/>
      <c r="N231" s="970">
        <v>381</v>
      </c>
      <c r="O231" s="970">
        <v>0</v>
      </c>
      <c r="P231" s="970">
        <v>0</v>
      </c>
      <c r="Q231" s="969">
        <v>1149</v>
      </c>
      <c r="R231" s="969"/>
      <c r="S231" s="970">
        <v>4531</v>
      </c>
      <c r="T231" s="972">
        <v>935</v>
      </c>
      <c r="U231" s="972">
        <v>5466</v>
      </c>
    </row>
    <row r="232" spans="1:21" x14ac:dyDescent="0.25">
      <c r="A232" s="966">
        <v>92427</v>
      </c>
      <c r="B232" s="967" t="s">
        <v>2850</v>
      </c>
      <c r="C232" s="968">
        <v>3.9999999999999998E-7</v>
      </c>
      <c r="D232" s="968">
        <v>6.9999999999999997E-7</v>
      </c>
      <c r="E232" s="1007">
        <v>1463</v>
      </c>
      <c r="F232" s="1010">
        <v>1486</v>
      </c>
      <c r="G232" s="969">
        <v>611</v>
      </c>
      <c r="H232" s="969"/>
      <c r="I232" s="970">
        <v>35</v>
      </c>
      <c r="J232" s="971">
        <v>148</v>
      </c>
      <c r="K232" s="970">
        <v>87</v>
      </c>
      <c r="L232" s="969">
        <v>1998</v>
      </c>
      <c r="M232" s="969"/>
      <c r="N232" s="970">
        <v>17</v>
      </c>
      <c r="O232" s="970">
        <v>0</v>
      </c>
      <c r="P232" s="970">
        <v>0</v>
      </c>
      <c r="Q232" s="969">
        <v>0</v>
      </c>
      <c r="R232" s="969"/>
      <c r="S232" s="970">
        <v>206</v>
      </c>
      <c r="T232" s="972">
        <v>841</v>
      </c>
      <c r="U232" s="972">
        <v>1047</v>
      </c>
    </row>
    <row r="233" spans="1:21" x14ac:dyDescent="0.25">
      <c r="A233" s="966">
        <v>92431</v>
      </c>
      <c r="B233" s="967" t="s">
        <v>2851</v>
      </c>
      <c r="C233" s="968">
        <v>3.0800000000000003E-5</v>
      </c>
      <c r="D233" s="968">
        <v>1.8499999999999999E-5</v>
      </c>
      <c r="E233" s="1007">
        <v>22456</v>
      </c>
      <c r="F233" s="1010">
        <v>39263</v>
      </c>
      <c r="G233" s="969">
        <v>47054</v>
      </c>
      <c r="H233" s="969"/>
      <c r="I233" s="970">
        <v>2711</v>
      </c>
      <c r="J233" s="971">
        <v>11425</v>
      </c>
      <c r="K233" s="970">
        <v>6720</v>
      </c>
      <c r="L233" s="969">
        <v>18832</v>
      </c>
      <c r="M233" s="969"/>
      <c r="N233" s="970">
        <v>1332</v>
      </c>
      <c r="O233" s="970">
        <v>0</v>
      </c>
      <c r="P233" s="970">
        <v>0</v>
      </c>
      <c r="Q233" s="969">
        <v>3766</v>
      </c>
      <c r="R233" s="969"/>
      <c r="S233" s="970">
        <v>15857</v>
      </c>
      <c r="T233" s="972">
        <v>4147</v>
      </c>
      <c r="U233" s="972">
        <v>20004</v>
      </c>
    </row>
    <row r="234" spans="1:21" x14ac:dyDescent="0.25">
      <c r="A234" s="966">
        <v>92441</v>
      </c>
      <c r="B234" s="967" t="s">
        <v>2852</v>
      </c>
      <c r="C234" s="968">
        <v>7.7999999999999999E-5</v>
      </c>
      <c r="D234" s="968">
        <v>9.2299999999999994E-5</v>
      </c>
      <c r="E234" s="1007">
        <v>38185</v>
      </c>
      <c r="F234" s="1010">
        <v>195892</v>
      </c>
      <c r="G234" s="969">
        <v>119162</v>
      </c>
      <c r="H234" s="969"/>
      <c r="I234" s="970">
        <v>6865</v>
      </c>
      <c r="J234" s="971">
        <v>28933</v>
      </c>
      <c r="K234" s="970">
        <v>17018</v>
      </c>
      <c r="L234" s="969">
        <v>0</v>
      </c>
      <c r="M234" s="969"/>
      <c r="N234" s="970">
        <v>3373</v>
      </c>
      <c r="O234" s="970">
        <v>0</v>
      </c>
      <c r="P234" s="970">
        <v>0</v>
      </c>
      <c r="Q234" s="969">
        <v>15306</v>
      </c>
      <c r="R234" s="969"/>
      <c r="S234" s="970">
        <v>40158</v>
      </c>
      <c r="T234" s="972">
        <v>-6990</v>
      </c>
      <c r="U234" s="972">
        <f>33167+1</f>
        <v>33168</v>
      </c>
    </row>
    <row r="235" spans="1:21" x14ac:dyDescent="0.25">
      <c r="A235" s="966">
        <v>92444</v>
      </c>
      <c r="B235" s="967" t="s">
        <v>2853</v>
      </c>
      <c r="C235" s="968">
        <v>1.7999999999999999E-6</v>
      </c>
      <c r="D235" s="968">
        <v>1.9999999999999999E-6</v>
      </c>
      <c r="E235" s="1007">
        <v>2108</v>
      </c>
      <c r="F235" s="1010">
        <v>4245</v>
      </c>
      <c r="G235" s="969">
        <v>2750</v>
      </c>
      <c r="H235" s="969"/>
      <c r="I235" s="970">
        <v>158</v>
      </c>
      <c r="J235" s="971">
        <v>667</v>
      </c>
      <c r="K235" s="970">
        <v>393</v>
      </c>
      <c r="L235" s="969">
        <v>2573</v>
      </c>
      <c r="M235" s="969"/>
      <c r="N235" s="970">
        <v>78</v>
      </c>
      <c r="O235" s="970">
        <v>0</v>
      </c>
      <c r="P235" s="970">
        <v>0</v>
      </c>
      <c r="Q235" s="969">
        <v>0</v>
      </c>
      <c r="R235" s="969"/>
      <c r="S235" s="970">
        <v>927</v>
      </c>
      <c r="T235" s="972">
        <v>1194</v>
      </c>
      <c r="U235" s="972">
        <v>2121</v>
      </c>
    </row>
    <row r="236" spans="1:21" x14ac:dyDescent="0.25">
      <c r="A236" s="966">
        <v>92451</v>
      </c>
      <c r="B236" s="967" t="s">
        <v>2854</v>
      </c>
      <c r="C236" s="968">
        <v>1.3070000000000001E-4</v>
      </c>
      <c r="D236" s="968">
        <v>1.4559999999999999E-4</v>
      </c>
      <c r="E236" s="1007">
        <v>77938</v>
      </c>
      <c r="F236" s="1010">
        <v>309012</v>
      </c>
      <c r="G236" s="969">
        <v>199673</v>
      </c>
      <c r="H236" s="969"/>
      <c r="I236" s="970">
        <v>11503</v>
      </c>
      <c r="J236" s="971">
        <v>48481</v>
      </c>
      <c r="K236" s="970">
        <v>28516</v>
      </c>
      <c r="L236" s="969">
        <v>29255</v>
      </c>
      <c r="M236" s="969"/>
      <c r="N236" s="970">
        <v>5652</v>
      </c>
      <c r="O236" s="970">
        <v>0</v>
      </c>
      <c r="P236" s="970">
        <v>0</v>
      </c>
      <c r="Q236" s="969">
        <v>0</v>
      </c>
      <c r="R236" s="969"/>
      <c r="S236" s="970">
        <v>67290</v>
      </c>
      <c r="T236" s="972">
        <v>12363</v>
      </c>
      <c r="U236" s="972">
        <v>79653</v>
      </c>
    </row>
    <row r="237" spans="1:21" x14ac:dyDescent="0.25">
      <c r="A237" s="966">
        <v>92461</v>
      </c>
      <c r="B237" s="967" t="s">
        <v>2855</v>
      </c>
      <c r="C237" s="968">
        <v>7.1099999999999994E-5</v>
      </c>
      <c r="D237" s="968">
        <v>7.2999999999999999E-5</v>
      </c>
      <c r="E237" s="1007">
        <v>40872</v>
      </c>
      <c r="F237" s="1010">
        <v>154930</v>
      </c>
      <c r="G237" s="969">
        <v>108621</v>
      </c>
      <c r="H237" s="969"/>
      <c r="I237" s="970">
        <v>6258</v>
      </c>
      <c r="J237" s="971">
        <v>26373</v>
      </c>
      <c r="K237" s="970">
        <v>15513</v>
      </c>
      <c r="L237" s="969">
        <v>12982</v>
      </c>
      <c r="M237" s="969"/>
      <c r="N237" s="970">
        <v>3075</v>
      </c>
      <c r="O237" s="970">
        <v>0</v>
      </c>
      <c r="P237" s="970">
        <v>0</v>
      </c>
      <c r="Q237" s="969">
        <v>4965</v>
      </c>
      <c r="R237" s="969"/>
      <c r="S237" s="970">
        <v>36605</v>
      </c>
      <c r="T237" s="972">
        <v>1157</v>
      </c>
      <c r="U237" s="972">
        <f>37763-1</f>
        <v>37762</v>
      </c>
    </row>
    <row r="238" spans="1:21" x14ac:dyDescent="0.25">
      <c r="A238" s="966">
        <v>92501</v>
      </c>
      <c r="B238" s="967" t="s">
        <v>2856</v>
      </c>
      <c r="C238" s="968">
        <v>3.8252E-3</v>
      </c>
      <c r="D238" s="968">
        <v>3.8141E-3</v>
      </c>
      <c r="E238" s="1007">
        <v>1869584</v>
      </c>
      <c r="F238" s="1010">
        <v>8094798</v>
      </c>
      <c r="G238" s="969">
        <v>5843846</v>
      </c>
      <c r="H238" s="969"/>
      <c r="I238" s="970">
        <v>336660</v>
      </c>
      <c r="J238" s="971">
        <v>1418892</v>
      </c>
      <c r="K238" s="970">
        <v>834582</v>
      </c>
      <c r="L238" s="969">
        <v>137822</v>
      </c>
      <c r="M238" s="969"/>
      <c r="N238" s="970">
        <v>165421</v>
      </c>
      <c r="O238" s="970">
        <v>0</v>
      </c>
      <c r="P238" s="970">
        <v>0</v>
      </c>
      <c r="Q238" s="969">
        <v>9032</v>
      </c>
      <c r="R238" s="969"/>
      <c r="S238" s="970">
        <v>1969381</v>
      </c>
      <c r="T238" s="972">
        <v>45362</v>
      </c>
      <c r="U238" s="972">
        <v>2014743</v>
      </c>
    </row>
    <row r="239" spans="1:21" x14ac:dyDescent="0.25">
      <c r="A239" s="966">
        <v>92502</v>
      </c>
      <c r="B239" s="967" t="s">
        <v>2857</v>
      </c>
      <c r="C239" s="968">
        <v>2.7500000000000001E-5</v>
      </c>
      <c r="D239" s="968">
        <v>2.8799999999999999E-5</v>
      </c>
      <c r="E239" s="1007">
        <v>14164</v>
      </c>
      <c r="F239" s="1010">
        <v>61123</v>
      </c>
      <c r="G239" s="969">
        <v>42012</v>
      </c>
      <c r="H239" s="969"/>
      <c r="I239" s="970">
        <v>2420</v>
      </c>
      <c r="J239" s="971">
        <v>10201</v>
      </c>
      <c r="K239" s="970">
        <v>6000</v>
      </c>
      <c r="L239" s="969">
        <v>3940</v>
      </c>
      <c r="M239" s="969"/>
      <c r="N239" s="970">
        <v>1189</v>
      </c>
      <c r="O239" s="970">
        <v>0</v>
      </c>
      <c r="P239" s="970">
        <v>0</v>
      </c>
      <c r="Q239" s="969">
        <v>2154</v>
      </c>
      <c r="R239" s="969"/>
      <c r="S239" s="970">
        <v>14158</v>
      </c>
      <c r="T239" s="972">
        <v>-13</v>
      </c>
      <c r="U239" s="972">
        <v>14145</v>
      </c>
    </row>
    <row r="240" spans="1:21" x14ac:dyDescent="0.25">
      <c r="A240" s="966">
        <v>92504</v>
      </c>
      <c r="B240" s="967" t="s">
        <v>2858</v>
      </c>
      <c r="C240" s="968">
        <v>8.4300000000000003E-5</v>
      </c>
      <c r="D240" s="968">
        <v>7.2799999999999994E-5</v>
      </c>
      <c r="E240" s="1007">
        <v>49664</v>
      </c>
      <c r="F240" s="1010">
        <v>154506</v>
      </c>
      <c r="G240" s="969">
        <v>128787</v>
      </c>
      <c r="H240" s="969"/>
      <c r="I240" s="970">
        <v>7419</v>
      </c>
      <c r="J240" s="971">
        <v>31269</v>
      </c>
      <c r="K240" s="970">
        <v>18393</v>
      </c>
      <c r="L240" s="969">
        <v>29049</v>
      </c>
      <c r="M240" s="969"/>
      <c r="N240" s="970">
        <v>3646</v>
      </c>
      <c r="O240" s="970">
        <v>0</v>
      </c>
      <c r="P240" s="970">
        <v>0</v>
      </c>
      <c r="Q240" s="969">
        <v>27</v>
      </c>
      <c r="R240" s="969"/>
      <c r="S240" s="970">
        <v>43401</v>
      </c>
      <c r="T240" s="972">
        <v>10026</v>
      </c>
      <c r="U240" s="972">
        <v>53427</v>
      </c>
    </row>
    <row r="241" spans="1:21" x14ac:dyDescent="0.25">
      <c r="A241" s="966">
        <v>92505</v>
      </c>
      <c r="B241" s="967" t="s">
        <v>2859</v>
      </c>
      <c r="C241" s="968">
        <v>1.9239999999999999E-4</v>
      </c>
      <c r="D241" s="968">
        <v>1.8709999999999999E-4</v>
      </c>
      <c r="E241" s="1007">
        <v>119136</v>
      </c>
      <c r="F241" s="1010">
        <v>397089</v>
      </c>
      <c r="G241" s="969">
        <v>293934</v>
      </c>
      <c r="H241" s="969"/>
      <c r="I241" s="970">
        <v>16933</v>
      </c>
      <c r="J241" s="971">
        <v>71367</v>
      </c>
      <c r="K241" s="970">
        <v>41978</v>
      </c>
      <c r="L241" s="969">
        <v>59108</v>
      </c>
      <c r="M241" s="969"/>
      <c r="N241" s="970">
        <v>8320</v>
      </c>
      <c r="O241" s="970">
        <v>0</v>
      </c>
      <c r="P241" s="970">
        <v>0</v>
      </c>
      <c r="Q241" s="969">
        <v>0</v>
      </c>
      <c r="R241" s="969"/>
      <c r="S241" s="970">
        <v>99056</v>
      </c>
      <c r="T241" s="972">
        <v>23320</v>
      </c>
      <c r="U241" s="972">
        <v>122376</v>
      </c>
    </row>
    <row r="242" spans="1:21" x14ac:dyDescent="0.25">
      <c r="A242" s="966">
        <v>92506</v>
      </c>
      <c r="B242" s="967" t="s">
        <v>2860</v>
      </c>
      <c r="C242" s="968">
        <v>4.7500000000000003E-5</v>
      </c>
      <c r="D242" s="968">
        <v>4.3699999999999998E-5</v>
      </c>
      <c r="E242" s="1007">
        <v>26570</v>
      </c>
      <c r="F242" s="1010">
        <v>92746</v>
      </c>
      <c r="G242" s="969">
        <v>72567</v>
      </c>
      <c r="H242" s="969"/>
      <c r="I242" s="970">
        <v>4181</v>
      </c>
      <c r="J242" s="971">
        <v>17619</v>
      </c>
      <c r="K242" s="970">
        <v>10364</v>
      </c>
      <c r="L242" s="969">
        <v>17893</v>
      </c>
      <c r="M242" s="969"/>
      <c r="N242" s="970">
        <v>2054</v>
      </c>
      <c r="O242" s="970">
        <v>0</v>
      </c>
      <c r="P242" s="970">
        <v>0</v>
      </c>
      <c r="Q242" s="969">
        <v>0</v>
      </c>
      <c r="R242" s="969"/>
      <c r="S242" s="970">
        <v>24455</v>
      </c>
      <c r="T242" s="972">
        <v>7399</v>
      </c>
      <c r="U242" s="972">
        <v>31854</v>
      </c>
    </row>
    <row r="243" spans="1:21" x14ac:dyDescent="0.25">
      <c r="A243" s="966">
        <v>92507</v>
      </c>
      <c r="B243" s="967" t="s">
        <v>2861</v>
      </c>
      <c r="C243" s="968">
        <v>9.5699999999999995E-5</v>
      </c>
      <c r="D243" s="968">
        <v>7.6799999999999997E-5</v>
      </c>
      <c r="E243" s="1007">
        <v>40750</v>
      </c>
      <c r="F243" s="1010">
        <v>162995</v>
      </c>
      <c r="G243" s="969">
        <v>146203</v>
      </c>
      <c r="H243" s="969"/>
      <c r="I243" s="970">
        <v>8423</v>
      </c>
      <c r="J243" s="971">
        <v>35498</v>
      </c>
      <c r="K243" s="970">
        <v>20880</v>
      </c>
      <c r="L243" s="969">
        <v>10349</v>
      </c>
      <c r="M243" s="969"/>
      <c r="N243" s="970">
        <v>4139</v>
      </c>
      <c r="O243" s="970">
        <v>0</v>
      </c>
      <c r="P243" s="970">
        <v>0</v>
      </c>
      <c r="Q243" s="969">
        <v>14283</v>
      </c>
      <c r="R243" s="969"/>
      <c r="S243" s="970">
        <v>49271</v>
      </c>
      <c r="T243" s="972">
        <v>-5512</v>
      </c>
      <c r="U243" s="972">
        <f>43758+1</f>
        <v>43759</v>
      </c>
    </row>
    <row r="244" spans="1:21" x14ac:dyDescent="0.25">
      <c r="A244" s="966">
        <v>92508</v>
      </c>
      <c r="B244" s="967" t="s">
        <v>2862</v>
      </c>
      <c r="C244" s="968">
        <v>3.1E-4</v>
      </c>
      <c r="D244" s="968">
        <v>3.1930000000000001E-4</v>
      </c>
      <c r="E244" s="1007">
        <v>152021</v>
      </c>
      <c r="F244" s="1010">
        <v>677662</v>
      </c>
      <c r="G244" s="969">
        <v>473594</v>
      </c>
      <c r="H244" s="969"/>
      <c r="I244" s="970">
        <v>27283</v>
      </c>
      <c r="J244" s="971">
        <v>114989</v>
      </c>
      <c r="K244" s="970">
        <v>67636</v>
      </c>
      <c r="L244" s="969">
        <v>5884</v>
      </c>
      <c r="M244" s="969"/>
      <c r="N244" s="970">
        <v>13406</v>
      </c>
      <c r="O244" s="970">
        <v>0</v>
      </c>
      <c r="P244" s="970">
        <v>0</v>
      </c>
      <c r="Q244" s="969">
        <v>1407</v>
      </c>
      <c r="R244" s="969"/>
      <c r="S244" s="970">
        <v>159602</v>
      </c>
      <c r="T244" s="972">
        <v>3411</v>
      </c>
      <c r="U244" s="972">
        <v>163013</v>
      </c>
    </row>
    <row r="245" spans="1:21" x14ac:dyDescent="0.25">
      <c r="A245" s="966">
        <v>92511</v>
      </c>
      <c r="B245" s="967" t="s">
        <v>2864</v>
      </c>
      <c r="C245" s="968">
        <v>3.3240000000000001E-3</v>
      </c>
      <c r="D245" s="968">
        <v>3.4164E-3</v>
      </c>
      <c r="E245" s="1007">
        <v>1524503</v>
      </c>
      <c r="F245" s="1010">
        <v>7250745</v>
      </c>
      <c r="G245" s="969">
        <v>5078151</v>
      </c>
      <c r="H245" s="969"/>
      <c r="I245" s="970">
        <v>292549</v>
      </c>
      <c r="J245" s="971">
        <v>1232981</v>
      </c>
      <c r="K245" s="970">
        <v>725230</v>
      </c>
      <c r="L245" s="969">
        <v>12146</v>
      </c>
      <c r="M245" s="969"/>
      <c r="N245" s="970">
        <v>143746</v>
      </c>
      <c r="O245" s="970">
        <v>0</v>
      </c>
      <c r="P245" s="970">
        <v>0</v>
      </c>
      <c r="Q245" s="969">
        <v>237633</v>
      </c>
      <c r="R245" s="969"/>
      <c r="S245" s="970">
        <v>1711341</v>
      </c>
      <c r="T245" s="972">
        <v>-72839</v>
      </c>
      <c r="U245" s="972">
        <f>1638503-1</f>
        <v>1638502</v>
      </c>
    </row>
    <row r="246" spans="1:21" x14ac:dyDescent="0.25">
      <c r="A246" s="966">
        <v>92513</v>
      </c>
      <c r="B246" s="967" t="s">
        <v>2865</v>
      </c>
      <c r="C246" s="968">
        <v>4.0328999999999999E-3</v>
      </c>
      <c r="D246" s="968">
        <v>3.9753000000000002E-3</v>
      </c>
      <c r="E246" s="1007">
        <v>1669954</v>
      </c>
      <c r="F246" s="1010">
        <v>8436918</v>
      </c>
      <c r="G246" s="969">
        <v>6161154</v>
      </c>
      <c r="H246" s="969"/>
      <c r="I246" s="970">
        <v>354940</v>
      </c>
      <c r="J246" s="971">
        <v>1495936</v>
      </c>
      <c r="K246" s="970">
        <v>879898</v>
      </c>
      <c r="L246" s="969">
        <f>1481541+87063+162533</f>
        <v>1731137</v>
      </c>
      <c r="M246" s="969"/>
      <c r="N246" s="970">
        <v>174403</v>
      </c>
      <c r="O246" s="970">
        <v>0</v>
      </c>
      <c r="P246" s="970">
        <v>0</v>
      </c>
      <c r="Q246" s="969">
        <f>106570+867533+690246</f>
        <v>1664349</v>
      </c>
      <c r="R246" s="969"/>
      <c r="S246" s="970">
        <v>2076314</v>
      </c>
      <c r="T246" s="972">
        <f>491379-223763-102954</f>
        <v>164662</v>
      </c>
      <c r="U246" s="972">
        <f>2567693-223763-102954</f>
        <v>2240976</v>
      </c>
    </row>
    <row r="247" spans="1:21" x14ac:dyDescent="0.25">
      <c r="A247" s="966">
        <v>92521</v>
      </c>
      <c r="B247" s="967" t="s">
        <v>2866</v>
      </c>
      <c r="C247" s="968">
        <v>8.6899999999999998E-5</v>
      </c>
      <c r="D247" s="968">
        <v>8.9800000000000001E-5</v>
      </c>
      <c r="E247" s="1007">
        <v>37384</v>
      </c>
      <c r="F247" s="1010">
        <v>190586</v>
      </c>
      <c r="G247" s="969">
        <v>132759</v>
      </c>
      <c r="H247" s="969"/>
      <c r="I247" s="970">
        <v>7648</v>
      </c>
      <c r="J247" s="971">
        <v>32235</v>
      </c>
      <c r="K247" s="970">
        <v>18960</v>
      </c>
      <c r="L247" s="969">
        <v>3168</v>
      </c>
      <c r="M247" s="969"/>
      <c r="N247" s="970">
        <v>3758</v>
      </c>
      <c r="O247" s="970">
        <v>0</v>
      </c>
      <c r="P247" s="970">
        <v>0</v>
      </c>
      <c r="Q247" s="969">
        <v>10611</v>
      </c>
      <c r="R247" s="969"/>
      <c r="S247" s="970">
        <v>44740</v>
      </c>
      <c r="T247" s="972">
        <v>-2554</v>
      </c>
      <c r="U247" s="972">
        <v>42186</v>
      </c>
    </row>
    <row r="248" spans="1:21" x14ac:dyDescent="0.25">
      <c r="A248" s="966">
        <v>92531</v>
      </c>
      <c r="B248" s="967" t="s">
        <v>2867</v>
      </c>
      <c r="C248" s="968">
        <v>8.6490000000000004E-4</v>
      </c>
      <c r="D248" s="968">
        <v>8.3779999999999998E-4</v>
      </c>
      <c r="E248" s="1007">
        <v>358464</v>
      </c>
      <c r="F248" s="1010">
        <v>1778092</v>
      </c>
      <c r="G248" s="969">
        <v>1321328</v>
      </c>
      <c r="H248" s="969"/>
      <c r="I248" s="970">
        <v>76121</v>
      </c>
      <c r="J248" s="971">
        <v>320820</v>
      </c>
      <c r="K248" s="970">
        <v>188704</v>
      </c>
      <c r="L248" s="969">
        <v>0</v>
      </c>
      <c r="M248" s="969"/>
      <c r="N248" s="970">
        <v>37403</v>
      </c>
      <c r="O248" s="970">
        <v>0</v>
      </c>
      <c r="P248" s="970">
        <v>0</v>
      </c>
      <c r="Q248" s="969">
        <v>124043</v>
      </c>
      <c r="R248" s="969"/>
      <c r="S248" s="970">
        <v>445289</v>
      </c>
      <c r="T248" s="972">
        <v>-61397</v>
      </c>
      <c r="U248" s="972">
        <v>383892</v>
      </c>
    </row>
    <row r="249" spans="1:21" x14ac:dyDescent="0.25">
      <c r="A249" s="966">
        <v>92541</v>
      </c>
      <c r="B249" s="967" t="s">
        <v>2868</v>
      </c>
      <c r="C249" s="968">
        <v>1.4469999999999999E-4</v>
      </c>
      <c r="D249" s="968">
        <v>1.4300000000000001E-4</v>
      </c>
      <c r="E249" s="1007">
        <v>58964</v>
      </c>
      <c r="F249" s="1010">
        <v>303494</v>
      </c>
      <c r="G249" s="969">
        <v>221062</v>
      </c>
      <c r="H249" s="969"/>
      <c r="I249" s="970">
        <v>12735</v>
      </c>
      <c r="J249" s="971">
        <v>53674</v>
      </c>
      <c r="K249" s="970">
        <v>31571</v>
      </c>
      <c r="L249" s="969">
        <v>7292</v>
      </c>
      <c r="M249" s="969"/>
      <c r="N249" s="970">
        <v>6258</v>
      </c>
      <c r="O249" s="970">
        <v>0</v>
      </c>
      <c r="P249" s="970">
        <v>0</v>
      </c>
      <c r="Q249" s="969">
        <v>7300</v>
      </c>
      <c r="R249" s="969"/>
      <c r="S249" s="970">
        <v>74498</v>
      </c>
      <c r="T249" s="972">
        <v>2019</v>
      </c>
      <c r="U249" s="972">
        <v>76517</v>
      </c>
    </row>
    <row r="250" spans="1:21" x14ac:dyDescent="0.25">
      <c r="A250" s="966">
        <v>92551</v>
      </c>
      <c r="B250" s="967" t="s">
        <v>2869</v>
      </c>
      <c r="C250" s="968">
        <v>5.3300000000000001E-5</v>
      </c>
      <c r="D250" s="968">
        <v>4.18E-5</v>
      </c>
      <c r="E250" s="1007">
        <v>19992</v>
      </c>
      <c r="F250" s="1010">
        <v>88714</v>
      </c>
      <c r="G250" s="969">
        <v>81428</v>
      </c>
      <c r="H250" s="969"/>
      <c r="I250" s="970">
        <v>4691</v>
      </c>
      <c r="J250" s="971">
        <v>19771</v>
      </c>
      <c r="K250" s="970">
        <v>11629</v>
      </c>
      <c r="L250" s="969">
        <v>7529</v>
      </c>
      <c r="M250" s="969"/>
      <c r="N250" s="970">
        <v>2305</v>
      </c>
      <c r="O250" s="970">
        <v>0</v>
      </c>
      <c r="P250" s="970">
        <v>0</v>
      </c>
      <c r="Q250" s="969">
        <v>8359</v>
      </c>
      <c r="R250" s="969"/>
      <c r="S250" s="970">
        <v>27441</v>
      </c>
      <c r="T250" s="972">
        <v>961</v>
      </c>
      <c r="U250" s="972">
        <v>28402</v>
      </c>
    </row>
    <row r="251" spans="1:21" x14ac:dyDescent="0.25">
      <c r="A251" s="966">
        <v>92561</v>
      </c>
      <c r="B251" s="967" t="s">
        <v>2870</v>
      </c>
      <c r="C251" s="968">
        <v>2.2200000000000001E-5</v>
      </c>
      <c r="D251" s="968">
        <v>2.2900000000000001E-5</v>
      </c>
      <c r="E251" s="1007">
        <v>11716</v>
      </c>
      <c r="F251" s="1010">
        <v>48601</v>
      </c>
      <c r="G251" s="969">
        <v>33915</v>
      </c>
      <c r="H251" s="969"/>
      <c r="I251" s="970">
        <v>1954</v>
      </c>
      <c r="J251" s="971">
        <v>8235</v>
      </c>
      <c r="K251" s="970">
        <v>4844</v>
      </c>
      <c r="L251" s="969">
        <v>5369</v>
      </c>
      <c r="M251" s="969"/>
      <c r="N251" s="970">
        <v>960</v>
      </c>
      <c r="O251" s="970">
        <v>0</v>
      </c>
      <c r="P251" s="970">
        <v>0</v>
      </c>
      <c r="Q251" s="969">
        <v>0</v>
      </c>
      <c r="R251" s="969"/>
      <c r="S251" s="970">
        <v>11430</v>
      </c>
      <c r="T251" s="972">
        <v>2639</v>
      </c>
      <c r="U251" s="972">
        <f>14068+1</f>
        <v>14069</v>
      </c>
    </row>
    <row r="252" spans="1:21" x14ac:dyDescent="0.25">
      <c r="A252" s="966">
        <v>92571</v>
      </c>
      <c r="B252" s="967" t="s">
        <v>2871</v>
      </c>
      <c r="C252" s="968">
        <v>1.01E-5</v>
      </c>
      <c r="D252" s="968">
        <v>3.1E-6</v>
      </c>
      <c r="E252" s="1007">
        <v>6486</v>
      </c>
      <c r="F252" s="1010">
        <v>6579</v>
      </c>
      <c r="G252" s="969">
        <v>15430</v>
      </c>
      <c r="H252" s="969"/>
      <c r="I252" s="970">
        <v>889</v>
      </c>
      <c r="J252" s="971">
        <v>3746</v>
      </c>
      <c r="K252" s="970">
        <v>2204</v>
      </c>
      <c r="L252" s="969">
        <v>9367</v>
      </c>
      <c r="M252" s="969"/>
      <c r="N252" s="970">
        <v>437</v>
      </c>
      <c r="O252" s="970">
        <v>0</v>
      </c>
      <c r="P252" s="970">
        <v>0</v>
      </c>
      <c r="Q252" s="969">
        <v>100</v>
      </c>
      <c r="R252" s="969"/>
      <c r="S252" s="970">
        <v>5200</v>
      </c>
      <c r="T252" s="972">
        <v>2687</v>
      </c>
      <c r="U252" s="972">
        <v>7887</v>
      </c>
    </row>
    <row r="253" spans="1:21" x14ac:dyDescent="0.25">
      <c r="A253" s="966">
        <v>92601</v>
      </c>
      <c r="B253" s="967" t="s">
        <v>2872</v>
      </c>
      <c r="C253" s="968">
        <v>1.51874E-2</v>
      </c>
      <c r="D253" s="968">
        <v>1.54185E-2</v>
      </c>
      <c r="E253" s="1007">
        <v>7108398</v>
      </c>
      <c r="F253" s="1010">
        <v>32723222</v>
      </c>
      <c r="G253" s="969">
        <v>23202140</v>
      </c>
      <c r="H253" s="969"/>
      <c r="I253" s="970">
        <v>1336658</v>
      </c>
      <c r="J253" s="971">
        <v>5633508</v>
      </c>
      <c r="K253" s="970">
        <v>3313587</v>
      </c>
      <c r="L253" s="969">
        <v>134811</v>
      </c>
      <c r="M253" s="969"/>
      <c r="N253" s="970">
        <v>656779</v>
      </c>
      <c r="O253" s="970">
        <v>0</v>
      </c>
      <c r="P253" s="970">
        <v>0</v>
      </c>
      <c r="Q253" s="969">
        <v>46060</v>
      </c>
      <c r="R253" s="969"/>
      <c r="S253" s="970">
        <v>7819142</v>
      </c>
      <c r="T253" s="972">
        <v>112074</v>
      </c>
      <c r="U253" s="972">
        <f>7931215+1</f>
        <v>7931216</v>
      </c>
    </row>
    <row r="254" spans="1:21" x14ac:dyDescent="0.25">
      <c r="A254" s="966">
        <v>92602</v>
      </c>
      <c r="B254" s="967" t="s">
        <v>2873</v>
      </c>
      <c r="C254" s="968">
        <v>8.3000000000000002E-6</v>
      </c>
      <c r="D254" s="968">
        <v>8.1999999999999994E-6</v>
      </c>
      <c r="E254" s="1007">
        <v>3605</v>
      </c>
      <c r="F254" s="1010">
        <v>17403</v>
      </c>
      <c r="G254" s="969">
        <v>12680</v>
      </c>
      <c r="H254" s="969"/>
      <c r="I254" s="970">
        <v>730</v>
      </c>
      <c r="J254" s="971">
        <v>3079</v>
      </c>
      <c r="K254" s="970">
        <v>1811</v>
      </c>
      <c r="L254" s="969">
        <v>352</v>
      </c>
      <c r="M254" s="969"/>
      <c r="N254" s="970">
        <v>359</v>
      </c>
      <c r="O254" s="970">
        <v>0</v>
      </c>
      <c r="P254" s="970">
        <v>0</v>
      </c>
      <c r="Q254" s="969">
        <v>927</v>
      </c>
      <c r="R254" s="969"/>
      <c r="S254" s="970">
        <v>4273</v>
      </c>
      <c r="T254" s="972">
        <v>-99</v>
      </c>
      <c r="U254" s="972">
        <v>4174</v>
      </c>
    </row>
    <row r="255" spans="1:21" x14ac:dyDescent="0.25">
      <c r="A255" s="966">
        <v>92604</v>
      </c>
      <c r="B255" s="967" t="s">
        <v>2874</v>
      </c>
      <c r="C255" s="968">
        <v>3.4099999999999999E-4</v>
      </c>
      <c r="D255" s="968">
        <v>3.4380000000000001E-4</v>
      </c>
      <c r="E255" s="1007">
        <v>178691</v>
      </c>
      <c r="F255" s="1010">
        <v>729659</v>
      </c>
      <c r="G255" s="969">
        <v>520954</v>
      </c>
      <c r="H255" s="969"/>
      <c r="I255" s="970">
        <v>30012</v>
      </c>
      <c r="J255" s="971">
        <v>126488</v>
      </c>
      <c r="K255" s="970">
        <v>74399</v>
      </c>
      <c r="L255" s="969">
        <v>52760</v>
      </c>
      <c r="M255" s="969"/>
      <c r="N255" s="970">
        <v>14747</v>
      </c>
      <c r="O255" s="970">
        <v>0</v>
      </c>
      <c r="P255" s="970">
        <v>0</v>
      </c>
      <c r="Q255" s="969">
        <v>0</v>
      </c>
      <c r="R255" s="969"/>
      <c r="S255" s="970">
        <v>175562</v>
      </c>
      <c r="T255" s="972">
        <v>23975</v>
      </c>
      <c r="U255" s="972">
        <v>199537</v>
      </c>
    </row>
    <row r="256" spans="1:21" x14ac:dyDescent="0.25">
      <c r="A256" s="966">
        <v>92607</v>
      </c>
      <c r="B256" s="967" t="s">
        <v>2875</v>
      </c>
      <c r="C256" s="968">
        <v>6.6400000000000001E-5</v>
      </c>
      <c r="D256" s="968">
        <v>7.0400000000000004E-5</v>
      </c>
      <c r="E256" s="1007">
        <v>38427</v>
      </c>
      <c r="F256" s="1010">
        <v>149412</v>
      </c>
      <c r="G256" s="969">
        <v>101441</v>
      </c>
      <c r="H256" s="969"/>
      <c r="I256" s="970">
        <v>5844</v>
      </c>
      <c r="J256" s="971">
        <v>24630</v>
      </c>
      <c r="K256" s="970">
        <v>14487</v>
      </c>
      <c r="L256" s="969">
        <v>9416</v>
      </c>
      <c r="M256" s="969"/>
      <c r="N256" s="970">
        <v>2871</v>
      </c>
      <c r="O256" s="970">
        <v>0</v>
      </c>
      <c r="P256" s="970">
        <v>0</v>
      </c>
      <c r="Q256" s="969">
        <v>0</v>
      </c>
      <c r="R256" s="969"/>
      <c r="S256" s="970">
        <v>34186</v>
      </c>
      <c r="T256" s="972">
        <v>4781</v>
      </c>
      <c r="U256" s="972">
        <f>38966+1</f>
        <v>38967</v>
      </c>
    </row>
    <row r="257" spans="1:21" x14ac:dyDescent="0.25">
      <c r="A257" s="966">
        <v>92608</v>
      </c>
      <c r="B257" s="967" t="s">
        <v>2876</v>
      </c>
      <c r="C257" s="968">
        <v>0</v>
      </c>
      <c r="D257" s="968">
        <v>0</v>
      </c>
      <c r="E257" s="1007">
        <v>0</v>
      </c>
      <c r="F257" s="1010">
        <v>0</v>
      </c>
      <c r="G257" s="969">
        <v>0</v>
      </c>
      <c r="H257" s="969"/>
      <c r="I257" s="970">
        <v>0</v>
      </c>
      <c r="J257" s="971">
        <v>0</v>
      </c>
      <c r="K257" s="970">
        <v>0</v>
      </c>
      <c r="L257" s="969">
        <v>0</v>
      </c>
      <c r="M257" s="969"/>
      <c r="N257" s="970">
        <v>0</v>
      </c>
      <c r="O257" s="970">
        <v>0</v>
      </c>
      <c r="P257" s="970">
        <v>0</v>
      </c>
      <c r="Q257" s="969">
        <v>69935</v>
      </c>
      <c r="R257" s="969"/>
      <c r="S257" s="970">
        <v>0</v>
      </c>
      <c r="T257" s="972">
        <v>-69872</v>
      </c>
      <c r="U257" s="972">
        <v>-69872</v>
      </c>
    </row>
    <row r="258" spans="1:21" x14ac:dyDescent="0.25">
      <c r="A258" s="966">
        <v>92611</v>
      </c>
      <c r="B258" s="967" t="s">
        <v>2877</v>
      </c>
      <c r="C258" s="968">
        <v>1.3080899999999999E-2</v>
      </c>
      <c r="D258" s="968">
        <v>1.3650799999999999E-2</v>
      </c>
      <c r="E258" s="1007">
        <v>5890415</v>
      </c>
      <c r="F258" s="1010">
        <v>28971571</v>
      </c>
      <c r="G258" s="969">
        <v>19983992</v>
      </c>
      <c r="H258" s="969"/>
      <c r="I258" s="970">
        <v>1151263</v>
      </c>
      <c r="J258" s="971">
        <v>4852137</v>
      </c>
      <c r="K258" s="970">
        <v>2853991</v>
      </c>
      <c r="L258" s="969">
        <v>10109</v>
      </c>
      <c r="M258" s="969"/>
      <c r="N258" s="970">
        <v>565684</v>
      </c>
      <c r="O258" s="970">
        <v>0</v>
      </c>
      <c r="P258" s="970">
        <v>0</v>
      </c>
      <c r="Q258" s="969">
        <v>976593</v>
      </c>
      <c r="R258" s="969"/>
      <c r="S258" s="970">
        <v>6734623</v>
      </c>
      <c r="T258" s="972">
        <v>-313138</v>
      </c>
      <c r="U258" s="972">
        <v>6421485</v>
      </c>
    </row>
    <row r="259" spans="1:21" x14ac:dyDescent="0.25">
      <c r="A259" s="966">
        <v>92613</v>
      </c>
      <c r="B259" s="967" t="s">
        <v>2878</v>
      </c>
      <c r="C259" s="968">
        <v>2.6439999999999998E-4</v>
      </c>
      <c r="D259" s="968">
        <v>2.81E-4</v>
      </c>
      <c r="E259" s="1007">
        <v>143121</v>
      </c>
      <c r="F259" s="1010">
        <v>596376</v>
      </c>
      <c r="G259" s="969">
        <v>403930</v>
      </c>
      <c r="H259" s="969"/>
      <c r="I259" s="970">
        <v>23270</v>
      </c>
      <c r="J259" s="971">
        <v>98075</v>
      </c>
      <c r="K259" s="970">
        <v>57687</v>
      </c>
      <c r="L259" s="969">
        <v>84489</v>
      </c>
      <c r="M259" s="969"/>
      <c r="N259" s="970">
        <v>11434</v>
      </c>
      <c r="O259" s="970">
        <v>0</v>
      </c>
      <c r="P259" s="970">
        <v>0</v>
      </c>
      <c r="Q259" s="969">
        <v>941</v>
      </c>
      <c r="R259" s="969"/>
      <c r="S259" s="970">
        <v>136125</v>
      </c>
      <c r="T259" s="972">
        <v>41506</v>
      </c>
      <c r="U259" s="972">
        <v>177631</v>
      </c>
    </row>
    <row r="260" spans="1:21" x14ac:dyDescent="0.25">
      <c r="A260" s="966">
        <v>92614</v>
      </c>
      <c r="B260" s="967" t="s">
        <v>2879</v>
      </c>
      <c r="C260" s="968">
        <v>5.7273000000000003E-3</v>
      </c>
      <c r="D260" s="968">
        <v>5.6468000000000004E-3</v>
      </c>
      <c r="E260" s="1007">
        <v>4788008</v>
      </c>
      <c r="F260" s="1010">
        <v>11984401</v>
      </c>
      <c r="G260" s="969">
        <v>8749728</v>
      </c>
      <c r="H260" s="969"/>
      <c r="I260" s="970">
        <v>504065</v>
      </c>
      <c r="J260" s="971">
        <v>2124444</v>
      </c>
      <c r="K260" s="970">
        <v>1249582</v>
      </c>
      <c r="L260" s="969">
        <v>3908054</v>
      </c>
      <c r="M260" s="969"/>
      <c r="N260" s="970">
        <v>247677</v>
      </c>
      <c r="O260" s="970">
        <v>0</v>
      </c>
      <c r="P260" s="970">
        <v>0</v>
      </c>
      <c r="Q260" s="969">
        <v>0</v>
      </c>
      <c r="R260" s="969"/>
      <c r="S260" s="970">
        <v>2948666</v>
      </c>
      <c r="T260" s="972">
        <v>1416067</v>
      </c>
      <c r="U260" s="972">
        <v>4364733</v>
      </c>
    </row>
    <row r="261" spans="1:21" x14ac:dyDescent="0.25">
      <c r="A261" s="966">
        <v>92621</v>
      </c>
      <c r="B261" s="967" t="s">
        <v>2880</v>
      </c>
      <c r="C261" s="968">
        <v>2.72E-5</v>
      </c>
      <c r="D261" s="968">
        <v>3.2799999999999998E-5</v>
      </c>
      <c r="E261" s="1007">
        <v>11243</v>
      </c>
      <c r="F261" s="1010">
        <v>69613</v>
      </c>
      <c r="G261" s="969">
        <v>41554</v>
      </c>
      <c r="H261" s="969"/>
      <c r="I261" s="970">
        <v>2394</v>
      </c>
      <c r="J261" s="971">
        <v>10089</v>
      </c>
      <c r="K261" s="970">
        <v>5934</v>
      </c>
      <c r="L261" s="969">
        <v>872</v>
      </c>
      <c r="M261" s="969"/>
      <c r="N261" s="970">
        <v>1176</v>
      </c>
      <c r="O261" s="970">
        <v>0</v>
      </c>
      <c r="P261" s="970">
        <v>0</v>
      </c>
      <c r="Q261" s="969">
        <v>6521</v>
      </c>
      <c r="R261" s="969"/>
      <c r="S261" s="970">
        <v>14004</v>
      </c>
      <c r="T261" s="972">
        <v>-1988</v>
      </c>
      <c r="U261" s="972">
        <v>12016</v>
      </c>
    </row>
    <row r="262" spans="1:21" x14ac:dyDescent="0.25">
      <c r="A262" s="966">
        <v>92631</v>
      </c>
      <c r="B262" s="967" t="s">
        <v>2881</v>
      </c>
      <c r="C262" s="968">
        <v>9.2710000000000004E-4</v>
      </c>
      <c r="D262" s="968">
        <v>1.0068E-3</v>
      </c>
      <c r="E262" s="1007">
        <v>397128</v>
      </c>
      <c r="F262" s="1010">
        <v>2136767</v>
      </c>
      <c r="G262" s="969">
        <v>1416352</v>
      </c>
      <c r="H262" s="969"/>
      <c r="I262" s="970">
        <v>81595</v>
      </c>
      <c r="J262" s="971">
        <v>343892</v>
      </c>
      <c r="K262" s="970">
        <v>202275</v>
      </c>
      <c r="L262" s="969">
        <v>0</v>
      </c>
      <c r="M262" s="969"/>
      <c r="N262" s="970">
        <v>40092</v>
      </c>
      <c r="O262" s="970">
        <v>0</v>
      </c>
      <c r="P262" s="970">
        <v>0</v>
      </c>
      <c r="Q262" s="969">
        <v>146834</v>
      </c>
      <c r="R262" s="969"/>
      <c r="S262" s="970">
        <v>477312</v>
      </c>
      <c r="T262" s="972">
        <v>-49734</v>
      </c>
      <c r="U262" s="972">
        <v>427578</v>
      </c>
    </row>
    <row r="263" spans="1:21" x14ac:dyDescent="0.25">
      <c r="A263" s="966">
        <v>92641</v>
      </c>
      <c r="B263" s="967" t="s">
        <v>2882</v>
      </c>
      <c r="C263" s="968">
        <v>1.0200000000000001E-5</v>
      </c>
      <c r="D263" s="968">
        <v>1.03E-5</v>
      </c>
      <c r="E263" s="1007">
        <v>5720</v>
      </c>
      <c r="F263" s="1010">
        <v>21860</v>
      </c>
      <c r="G263" s="969">
        <v>15583</v>
      </c>
      <c r="H263" s="969"/>
      <c r="I263" s="970">
        <v>898</v>
      </c>
      <c r="J263" s="971">
        <v>3784</v>
      </c>
      <c r="K263" s="970">
        <v>2225</v>
      </c>
      <c r="L263" s="969">
        <v>2556</v>
      </c>
      <c r="M263" s="969"/>
      <c r="N263" s="970">
        <v>441</v>
      </c>
      <c r="O263" s="970">
        <v>0</v>
      </c>
      <c r="P263" s="970">
        <v>0</v>
      </c>
      <c r="Q263" s="969">
        <v>945</v>
      </c>
      <c r="R263" s="969"/>
      <c r="S263" s="970">
        <v>5251</v>
      </c>
      <c r="T263" s="972">
        <v>173</v>
      </c>
      <c r="U263" s="972">
        <v>5424</v>
      </c>
    </row>
    <row r="264" spans="1:21" x14ac:dyDescent="0.25">
      <c r="A264" s="966">
        <v>92651</v>
      </c>
      <c r="B264" s="967" t="s">
        <v>2883</v>
      </c>
      <c r="C264" s="968">
        <v>2.6000000000000001E-6</v>
      </c>
      <c r="D264" s="968">
        <v>2.6000000000000001E-6</v>
      </c>
      <c r="E264" s="1007">
        <v>3151</v>
      </c>
      <c r="F264" s="1010">
        <v>5518</v>
      </c>
      <c r="G264" s="969">
        <v>3972</v>
      </c>
      <c r="H264" s="969"/>
      <c r="I264" s="970">
        <v>229</v>
      </c>
      <c r="J264" s="971">
        <v>964</v>
      </c>
      <c r="K264" s="970">
        <v>567</v>
      </c>
      <c r="L264" s="969">
        <v>3432</v>
      </c>
      <c r="M264" s="969"/>
      <c r="N264" s="970">
        <v>112</v>
      </c>
      <c r="O264" s="970">
        <v>0</v>
      </c>
      <c r="P264" s="970">
        <v>0</v>
      </c>
      <c r="Q264" s="969">
        <v>0</v>
      </c>
      <c r="R264" s="969"/>
      <c r="S264" s="970">
        <v>1339</v>
      </c>
      <c r="T264" s="972">
        <v>1345</v>
      </c>
      <c r="U264" s="972">
        <f>2683+1</f>
        <v>2684</v>
      </c>
    </row>
    <row r="265" spans="1:21" x14ac:dyDescent="0.25">
      <c r="A265" s="966">
        <v>92661</v>
      </c>
      <c r="B265" s="967" t="s">
        <v>2884</v>
      </c>
      <c r="C265" s="968">
        <v>6.9999999999999999E-4</v>
      </c>
      <c r="D265" s="968">
        <v>6.6299999999999996E-4</v>
      </c>
      <c r="E265" s="1007">
        <v>591164</v>
      </c>
      <c r="F265" s="1010">
        <v>1407108</v>
      </c>
      <c r="G265" s="969">
        <v>1069406</v>
      </c>
      <c r="H265" s="969"/>
      <c r="I265" s="970">
        <v>61608</v>
      </c>
      <c r="J265" s="971">
        <v>259653</v>
      </c>
      <c r="K265" s="970">
        <v>152726</v>
      </c>
      <c r="L265" s="969">
        <v>446841</v>
      </c>
      <c r="M265" s="969"/>
      <c r="N265" s="970">
        <v>30272</v>
      </c>
      <c r="O265" s="970">
        <v>0</v>
      </c>
      <c r="P265" s="970">
        <v>0</v>
      </c>
      <c r="Q265" s="969">
        <v>16877</v>
      </c>
      <c r="R265" s="969"/>
      <c r="S265" s="970">
        <v>360391</v>
      </c>
      <c r="T265" s="972">
        <v>130287</v>
      </c>
      <c r="U265" s="972">
        <v>490678</v>
      </c>
    </row>
    <row r="266" spans="1:21" x14ac:dyDescent="0.25">
      <c r="A266" s="966">
        <v>92671</v>
      </c>
      <c r="B266" s="967" t="s">
        <v>2885</v>
      </c>
      <c r="C266" s="968">
        <v>2.6000000000000001E-6</v>
      </c>
      <c r="D266" s="968">
        <v>2.9000000000000002E-6</v>
      </c>
      <c r="E266" s="1007">
        <v>5279</v>
      </c>
      <c r="F266" s="1010">
        <v>6155</v>
      </c>
      <c r="G266" s="969">
        <v>3972</v>
      </c>
      <c r="H266" s="969"/>
      <c r="I266" s="970">
        <v>229</v>
      </c>
      <c r="J266" s="971">
        <v>964</v>
      </c>
      <c r="K266" s="970">
        <v>567</v>
      </c>
      <c r="L266" s="969">
        <v>6237</v>
      </c>
      <c r="M266" s="969"/>
      <c r="N266" s="970">
        <v>112</v>
      </c>
      <c r="O266" s="970">
        <v>0</v>
      </c>
      <c r="P266" s="970">
        <v>0</v>
      </c>
      <c r="Q266" s="969">
        <v>0</v>
      </c>
      <c r="R266" s="969"/>
      <c r="S266" s="970">
        <v>1339</v>
      </c>
      <c r="T266" s="972">
        <v>2205</v>
      </c>
      <c r="U266" s="972">
        <f>3543+1</f>
        <v>3544</v>
      </c>
    </row>
    <row r="267" spans="1:21" x14ac:dyDescent="0.25">
      <c r="A267" s="966">
        <v>92681</v>
      </c>
      <c r="B267" s="967" t="s">
        <v>2886</v>
      </c>
      <c r="C267" s="968">
        <v>1.17E-5</v>
      </c>
      <c r="D267" s="968">
        <v>1.01E-5</v>
      </c>
      <c r="E267" s="1007">
        <v>11572</v>
      </c>
      <c r="F267" s="1010">
        <v>21436</v>
      </c>
      <c r="G267" s="969">
        <v>17874</v>
      </c>
      <c r="H267" s="969"/>
      <c r="I267" s="970">
        <v>1030</v>
      </c>
      <c r="J267" s="971">
        <v>4340</v>
      </c>
      <c r="K267" s="970">
        <v>2553</v>
      </c>
      <c r="L267" s="969">
        <v>13621</v>
      </c>
      <c r="M267" s="969"/>
      <c r="N267" s="970">
        <v>506</v>
      </c>
      <c r="O267" s="970">
        <v>0</v>
      </c>
      <c r="P267" s="970">
        <v>0</v>
      </c>
      <c r="Q267" s="969">
        <v>0</v>
      </c>
      <c r="R267" s="969"/>
      <c r="S267" s="970">
        <v>6024</v>
      </c>
      <c r="T267" s="972">
        <v>4960</v>
      </c>
      <c r="U267" s="972">
        <v>10984</v>
      </c>
    </row>
    <row r="268" spans="1:21" x14ac:dyDescent="0.25">
      <c r="A268" s="966">
        <v>92701</v>
      </c>
      <c r="B268" s="967" t="s">
        <v>2887</v>
      </c>
      <c r="C268" s="968">
        <v>3.0777000000000001E-3</v>
      </c>
      <c r="D268" s="968">
        <v>2.9588000000000001E-3</v>
      </c>
      <c r="E268" s="1007">
        <v>1358591</v>
      </c>
      <c r="F268" s="1010">
        <v>6279565</v>
      </c>
      <c r="G268" s="969">
        <v>4701873</v>
      </c>
      <c r="H268" s="969"/>
      <c r="I268" s="970">
        <v>270871</v>
      </c>
      <c r="J268" s="971">
        <v>1141620</v>
      </c>
      <c r="K268" s="970">
        <v>671493</v>
      </c>
      <c r="L268" s="969">
        <v>48990</v>
      </c>
      <c r="M268" s="969"/>
      <c r="N268" s="970">
        <v>133095</v>
      </c>
      <c r="O268" s="970">
        <v>0</v>
      </c>
      <c r="P268" s="970">
        <v>0</v>
      </c>
      <c r="Q268" s="969">
        <v>42924</v>
      </c>
      <c r="R268" s="969"/>
      <c r="S268" s="970">
        <v>1584535</v>
      </c>
      <c r="T268" s="972">
        <v>-25139</v>
      </c>
      <c r="U268" s="972">
        <f>1559397-1</f>
        <v>1559396</v>
      </c>
    </row>
    <row r="269" spans="1:21" x14ac:dyDescent="0.25">
      <c r="A269" s="966">
        <v>92704</v>
      </c>
      <c r="B269" s="967" t="s">
        <v>2888</v>
      </c>
      <c r="C269" s="968">
        <v>4.1600000000000002E-5</v>
      </c>
      <c r="D269" s="968">
        <v>4.7700000000000001E-5</v>
      </c>
      <c r="E269" s="1007">
        <v>18894</v>
      </c>
      <c r="F269" s="1010">
        <v>101235</v>
      </c>
      <c r="G269" s="969">
        <v>63553</v>
      </c>
      <c r="H269" s="969"/>
      <c r="I269" s="970">
        <v>3661</v>
      </c>
      <c r="J269" s="971">
        <v>15431</v>
      </c>
      <c r="K269" s="970">
        <v>9076</v>
      </c>
      <c r="L269" s="969">
        <v>1560</v>
      </c>
      <c r="M269" s="969"/>
      <c r="N269" s="970">
        <v>1799</v>
      </c>
      <c r="O269" s="970">
        <v>0</v>
      </c>
      <c r="P269" s="970">
        <v>0</v>
      </c>
      <c r="Q269" s="969">
        <v>5674</v>
      </c>
      <c r="R269" s="969"/>
      <c r="S269" s="970">
        <v>21418</v>
      </c>
      <c r="T269" s="972">
        <v>-706</v>
      </c>
      <c r="U269" s="972">
        <f>20711+1</f>
        <v>20712</v>
      </c>
    </row>
    <row r="270" spans="1:21" x14ac:dyDescent="0.25">
      <c r="A270" s="966">
        <v>92801</v>
      </c>
      <c r="B270" s="967" t="s">
        <v>2889</v>
      </c>
      <c r="C270" s="968">
        <v>5.0951E-3</v>
      </c>
      <c r="D270" s="968">
        <v>5.1701000000000004E-3</v>
      </c>
      <c r="E270" s="1007">
        <v>2417020</v>
      </c>
      <c r="F270" s="1010">
        <v>10972684</v>
      </c>
      <c r="G270" s="969">
        <v>7783901</v>
      </c>
      <c r="H270" s="969"/>
      <c r="I270" s="970">
        <v>448425</v>
      </c>
      <c r="J270" s="971">
        <v>1889940</v>
      </c>
      <c r="K270" s="970">
        <v>1111649</v>
      </c>
      <c r="L270" s="969">
        <v>152907</v>
      </c>
      <c r="M270" s="969"/>
      <c r="N270" s="970">
        <v>220338</v>
      </c>
      <c r="O270" s="970">
        <v>0</v>
      </c>
      <c r="P270" s="970">
        <v>0</v>
      </c>
      <c r="Q270" s="969">
        <v>0</v>
      </c>
      <c r="R270" s="969"/>
      <c r="S270" s="970">
        <v>2623182</v>
      </c>
      <c r="T270" s="972">
        <v>81450</v>
      </c>
      <c r="U270" s="972">
        <f>2704631+1</f>
        <v>2704632</v>
      </c>
    </row>
    <row r="271" spans="1:21" x14ac:dyDescent="0.25">
      <c r="A271" s="966">
        <v>92802</v>
      </c>
      <c r="B271" s="967" t="s">
        <v>2890</v>
      </c>
      <c r="C271" s="968">
        <v>1.2970000000000001E-4</v>
      </c>
      <c r="D271" s="968">
        <v>1.3410000000000001E-4</v>
      </c>
      <c r="E271" s="1007">
        <v>55828</v>
      </c>
      <c r="F271" s="1010">
        <v>284605</v>
      </c>
      <c r="G271" s="969">
        <v>198146</v>
      </c>
      <c r="H271" s="969"/>
      <c r="I271" s="970">
        <v>11415</v>
      </c>
      <c r="J271" s="971">
        <v>48110</v>
      </c>
      <c r="K271" s="970">
        <v>28298</v>
      </c>
      <c r="L271" s="969">
        <v>0</v>
      </c>
      <c r="M271" s="969"/>
      <c r="N271" s="970">
        <v>5609</v>
      </c>
      <c r="O271" s="970">
        <v>0</v>
      </c>
      <c r="P271" s="970">
        <v>0</v>
      </c>
      <c r="Q271" s="969">
        <v>17517</v>
      </c>
      <c r="R271" s="969"/>
      <c r="S271" s="970">
        <v>66775</v>
      </c>
      <c r="T271" s="972">
        <v>-6938</v>
      </c>
      <c r="U271" s="972">
        <v>59837</v>
      </c>
    </row>
    <row r="272" spans="1:21" x14ac:dyDescent="0.25">
      <c r="A272" s="966">
        <v>92804</v>
      </c>
      <c r="B272" s="967" t="s">
        <v>2891</v>
      </c>
      <c r="C272" s="968">
        <v>1.36E-4</v>
      </c>
      <c r="D272" s="968">
        <v>1.47E-4</v>
      </c>
      <c r="E272" s="1007">
        <v>57777</v>
      </c>
      <c r="F272" s="1010">
        <v>311983</v>
      </c>
      <c r="G272" s="969">
        <v>207770</v>
      </c>
      <c r="H272" s="969"/>
      <c r="I272" s="970">
        <v>11969</v>
      </c>
      <c r="J272" s="971">
        <v>50447</v>
      </c>
      <c r="K272" s="970">
        <v>29672</v>
      </c>
      <c r="L272" s="969">
        <v>8730</v>
      </c>
      <c r="M272" s="969"/>
      <c r="N272" s="970">
        <v>5881</v>
      </c>
      <c r="O272" s="970">
        <v>0</v>
      </c>
      <c r="P272" s="970">
        <v>0</v>
      </c>
      <c r="Q272" s="969">
        <v>12427</v>
      </c>
      <c r="R272" s="969"/>
      <c r="S272" s="970">
        <v>70019</v>
      </c>
      <c r="T272" s="972">
        <v>-172</v>
      </c>
      <c r="U272" s="972">
        <v>69847</v>
      </c>
    </row>
    <row r="273" spans="1:21" x14ac:dyDescent="0.25">
      <c r="A273" s="966">
        <v>92811</v>
      </c>
      <c r="B273" s="967" t="s">
        <v>2892</v>
      </c>
      <c r="C273" s="968">
        <v>1.0036000000000001E-3</v>
      </c>
      <c r="D273" s="968">
        <v>9.8569999999999994E-4</v>
      </c>
      <c r="E273" s="1007">
        <v>442635</v>
      </c>
      <c r="F273" s="1010">
        <v>2091986</v>
      </c>
      <c r="G273" s="969">
        <v>1533223</v>
      </c>
      <c r="H273" s="969"/>
      <c r="I273" s="970">
        <v>88328</v>
      </c>
      <c r="J273" s="971">
        <v>372269</v>
      </c>
      <c r="K273" s="970">
        <v>218965</v>
      </c>
      <c r="L273" s="969">
        <v>0</v>
      </c>
      <c r="M273" s="969"/>
      <c r="N273" s="970">
        <v>43401</v>
      </c>
      <c r="O273" s="970">
        <v>0</v>
      </c>
      <c r="P273" s="970">
        <v>0</v>
      </c>
      <c r="Q273" s="969">
        <v>85272</v>
      </c>
      <c r="R273" s="969"/>
      <c r="S273" s="970">
        <v>516697</v>
      </c>
      <c r="T273" s="972">
        <v>-36667</v>
      </c>
      <c r="U273" s="972">
        <v>480030</v>
      </c>
    </row>
    <row r="274" spans="1:21" x14ac:dyDescent="0.25">
      <c r="A274" s="966">
        <v>92821</v>
      </c>
      <c r="B274" s="967" t="s">
        <v>2893</v>
      </c>
      <c r="C274" s="968">
        <v>9.9400000000000009E-4</v>
      </c>
      <c r="D274" s="968">
        <v>1.0139999999999999E-3</v>
      </c>
      <c r="E274" s="1007">
        <v>481049</v>
      </c>
      <c r="F274" s="1010">
        <v>2152048</v>
      </c>
      <c r="G274" s="969">
        <v>1518557</v>
      </c>
      <c r="H274" s="969"/>
      <c r="I274" s="970">
        <v>87483</v>
      </c>
      <c r="J274" s="971">
        <v>368707</v>
      </c>
      <c r="K274" s="970">
        <v>216871</v>
      </c>
      <c r="L274" s="969">
        <v>24870</v>
      </c>
      <c r="M274" s="969"/>
      <c r="N274" s="970">
        <v>42986</v>
      </c>
      <c r="O274" s="970">
        <v>0</v>
      </c>
      <c r="P274" s="970">
        <v>0</v>
      </c>
      <c r="Q274" s="969">
        <v>0</v>
      </c>
      <c r="R274" s="969"/>
      <c r="S274" s="970">
        <v>511755</v>
      </c>
      <c r="T274" s="972">
        <v>10495</v>
      </c>
      <c r="U274" s="972">
        <v>522250</v>
      </c>
    </row>
    <row r="275" spans="1:21" x14ac:dyDescent="0.25">
      <c r="A275" s="966">
        <v>92831</v>
      </c>
      <c r="B275" s="967" t="s">
        <v>2894</v>
      </c>
      <c r="C275" s="968">
        <v>2.1829999999999999E-4</v>
      </c>
      <c r="D275" s="968">
        <v>2.476E-4</v>
      </c>
      <c r="E275" s="1007">
        <v>122076</v>
      </c>
      <c r="F275" s="1010">
        <v>525490</v>
      </c>
      <c r="G275" s="969">
        <v>333502</v>
      </c>
      <c r="H275" s="969"/>
      <c r="I275" s="970">
        <v>19213</v>
      </c>
      <c r="J275" s="971">
        <v>80975</v>
      </c>
      <c r="K275" s="970">
        <v>47629</v>
      </c>
      <c r="L275" s="969">
        <v>19156</v>
      </c>
      <c r="M275" s="969"/>
      <c r="N275" s="970">
        <v>9440</v>
      </c>
      <c r="O275" s="970">
        <v>0</v>
      </c>
      <c r="P275" s="970">
        <v>0</v>
      </c>
      <c r="Q275" s="969">
        <v>2159</v>
      </c>
      <c r="R275" s="969"/>
      <c r="S275" s="970">
        <v>112390</v>
      </c>
      <c r="T275" s="972">
        <v>9503</v>
      </c>
      <c r="U275" s="972">
        <f>121894-1</f>
        <v>121893</v>
      </c>
    </row>
    <row r="276" spans="1:21" x14ac:dyDescent="0.25">
      <c r="A276" s="966">
        <v>92841</v>
      </c>
      <c r="B276" s="967" t="s">
        <v>2895</v>
      </c>
      <c r="C276" s="968">
        <v>2.7809999999999998E-4</v>
      </c>
      <c r="D276" s="968">
        <v>2.8160000000000001E-4</v>
      </c>
      <c r="E276" s="1007">
        <v>116983</v>
      </c>
      <c r="F276" s="1010">
        <v>597650</v>
      </c>
      <c r="G276" s="969">
        <v>424860</v>
      </c>
      <c r="H276" s="969"/>
      <c r="I276" s="970">
        <v>24476</v>
      </c>
      <c r="J276" s="971">
        <v>103157</v>
      </c>
      <c r="K276" s="970">
        <v>60676</v>
      </c>
      <c r="L276" s="969">
        <v>5821</v>
      </c>
      <c r="M276" s="969"/>
      <c r="N276" s="970">
        <v>12026</v>
      </c>
      <c r="O276" s="970">
        <v>0</v>
      </c>
      <c r="P276" s="970">
        <v>0</v>
      </c>
      <c r="Q276" s="969">
        <v>13149</v>
      </c>
      <c r="R276" s="969"/>
      <c r="S276" s="970">
        <v>143178</v>
      </c>
      <c r="T276" s="972">
        <v>2288</v>
      </c>
      <c r="U276" s="972">
        <v>145466</v>
      </c>
    </row>
    <row r="277" spans="1:21" x14ac:dyDescent="0.25">
      <c r="A277" s="966">
        <v>92851</v>
      </c>
      <c r="B277" s="967" t="s">
        <v>2896</v>
      </c>
      <c r="C277" s="968">
        <v>4.6079999999999998E-4</v>
      </c>
      <c r="D277" s="968">
        <v>4.3909999999999999E-4</v>
      </c>
      <c r="E277" s="1007">
        <v>187164</v>
      </c>
      <c r="F277" s="1010">
        <v>931917</v>
      </c>
      <c r="G277" s="969">
        <v>703975</v>
      </c>
      <c r="H277" s="969"/>
      <c r="I277" s="970">
        <v>40555</v>
      </c>
      <c r="J277" s="971">
        <v>170926</v>
      </c>
      <c r="K277" s="970">
        <v>100537</v>
      </c>
      <c r="L277" s="969">
        <v>0</v>
      </c>
      <c r="M277" s="969"/>
      <c r="N277" s="970">
        <v>19927</v>
      </c>
      <c r="O277" s="970">
        <v>0</v>
      </c>
      <c r="P277" s="970">
        <v>0</v>
      </c>
      <c r="Q277" s="969">
        <v>62664</v>
      </c>
      <c r="R277" s="969"/>
      <c r="S277" s="970">
        <v>237240</v>
      </c>
      <c r="T277" s="972">
        <v>-35531</v>
      </c>
      <c r="U277" s="972">
        <v>201709</v>
      </c>
    </row>
    <row r="278" spans="1:21" x14ac:dyDescent="0.25">
      <c r="A278" s="966">
        <v>92861</v>
      </c>
      <c r="B278" s="967" t="s">
        <v>2897</v>
      </c>
      <c r="C278" s="968">
        <v>3.6010000000000003E-4</v>
      </c>
      <c r="D278" s="968">
        <v>3.3629999999999999E-4</v>
      </c>
      <c r="E278" s="1007">
        <v>121951</v>
      </c>
      <c r="F278" s="1010">
        <v>713741</v>
      </c>
      <c r="G278" s="969">
        <v>550133</v>
      </c>
      <c r="H278" s="969"/>
      <c r="I278" s="970">
        <v>31693</v>
      </c>
      <c r="J278" s="971">
        <v>133573</v>
      </c>
      <c r="K278" s="970">
        <v>78567</v>
      </c>
      <c r="L278" s="969">
        <v>0</v>
      </c>
      <c r="M278" s="969"/>
      <c r="N278" s="970">
        <v>15573</v>
      </c>
      <c r="O278" s="970">
        <v>0</v>
      </c>
      <c r="P278" s="970">
        <v>0</v>
      </c>
      <c r="Q278" s="969">
        <v>83092</v>
      </c>
      <c r="R278" s="969"/>
      <c r="S278" s="970">
        <v>185395</v>
      </c>
      <c r="T278" s="972">
        <v>-36908</v>
      </c>
      <c r="U278" s="972">
        <f>148488-1</f>
        <v>148487</v>
      </c>
    </row>
    <row r="279" spans="1:21" x14ac:dyDescent="0.25">
      <c r="A279" s="966">
        <v>92901</v>
      </c>
      <c r="B279" s="967" t="s">
        <v>2898</v>
      </c>
      <c r="C279" s="968">
        <v>5.5082999999999998E-3</v>
      </c>
      <c r="D279" s="968">
        <v>5.7581000000000004E-3</v>
      </c>
      <c r="E279" s="1007">
        <v>2645958</v>
      </c>
      <c r="F279" s="1010">
        <v>12220617</v>
      </c>
      <c r="G279" s="969">
        <v>8415157</v>
      </c>
      <c r="H279" s="969"/>
      <c r="I279" s="970">
        <v>484791</v>
      </c>
      <c r="J279" s="971">
        <v>2043211</v>
      </c>
      <c r="K279" s="970">
        <v>1201801</v>
      </c>
      <c r="L279" s="969">
        <v>65697</v>
      </c>
      <c r="M279" s="969"/>
      <c r="N279" s="970">
        <v>238206</v>
      </c>
      <c r="O279" s="970">
        <v>0</v>
      </c>
      <c r="P279" s="970">
        <v>0</v>
      </c>
      <c r="Q279" s="969">
        <v>124949</v>
      </c>
      <c r="R279" s="969"/>
      <c r="S279" s="970">
        <v>2835915</v>
      </c>
      <c r="T279" s="972">
        <v>6522</v>
      </c>
      <c r="U279" s="972">
        <f>2842438-1</f>
        <v>2842437</v>
      </c>
    </row>
    <row r="280" spans="1:21" x14ac:dyDescent="0.25">
      <c r="A280" s="966">
        <v>92911</v>
      </c>
      <c r="B280" s="967" t="s">
        <v>2899</v>
      </c>
      <c r="C280" s="968">
        <v>1.9548999999999999E-3</v>
      </c>
      <c r="D280" s="968">
        <v>1.9442999999999999E-3</v>
      </c>
      <c r="E280" s="1007">
        <v>924132</v>
      </c>
      <c r="F280" s="1010">
        <v>4126456</v>
      </c>
      <c r="G280" s="969">
        <v>2986546</v>
      </c>
      <c r="H280" s="969"/>
      <c r="I280" s="970">
        <v>172053</v>
      </c>
      <c r="J280" s="971">
        <v>725137</v>
      </c>
      <c r="K280" s="970">
        <v>426520</v>
      </c>
      <c r="L280" s="969">
        <v>28442</v>
      </c>
      <c r="M280" s="969"/>
      <c r="N280" s="970">
        <v>84540</v>
      </c>
      <c r="O280" s="970">
        <v>0</v>
      </c>
      <c r="P280" s="970">
        <v>0</v>
      </c>
      <c r="Q280" s="969">
        <v>113525</v>
      </c>
      <c r="R280" s="969"/>
      <c r="S280" s="970">
        <v>1006469</v>
      </c>
      <c r="T280" s="972">
        <v>-55041</v>
      </c>
      <c r="U280" s="972">
        <v>951428</v>
      </c>
    </row>
    <row r="281" spans="1:21" x14ac:dyDescent="0.25">
      <c r="A281" s="966">
        <v>92913</v>
      </c>
      <c r="B281" s="967" t="s">
        <v>2900</v>
      </c>
      <c r="C281" s="968">
        <v>2.1999999999999999E-5</v>
      </c>
      <c r="D281" s="968">
        <v>2.37E-5</v>
      </c>
      <c r="E281" s="1007">
        <v>57760</v>
      </c>
      <c r="F281" s="1010">
        <v>50299</v>
      </c>
      <c r="G281" s="969">
        <v>33610</v>
      </c>
      <c r="H281" s="969"/>
      <c r="I281" s="970">
        <v>1936</v>
      </c>
      <c r="J281" s="971">
        <v>8160</v>
      </c>
      <c r="K281" s="970">
        <v>4800</v>
      </c>
      <c r="L281" s="969">
        <v>79442</v>
      </c>
      <c r="M281" s="969"/>
      <c r="N281" s="970">
        <v>951</v>
      </c>
      <c r="O281" s="970">
        <v>0</v>
      </c>
      <c r="P281" s="970">
        <v>0</v>
      </c>
      <c r="Q281" s="969">
        <v>2047</v>
      </c>
      <c r="R281" s="969"/>
      <c r="S281" s="970">
        <v>11327</v>
      </c>
      <c r="T281" s="972">
        <v>25513</v>
      </c>
      <c r="U281" s="972">
        <v>36840</v>
      </c>
    </row>
    <row r="282" spans="1:21" x14ac:dyDescent="0.25">
      <c r="A282" s="966">
        <v>92914</v>
      </c>
      <c r="B282" s="967" t="s">
        <v>3669</v>
      </c>
      <c r="C282" s="968">
        <v>2.8900000000000001E-5</v>
      </c>
      <c r="D282" s="968">
        <v>0</v>
      </c>
      <c r="E282" s="1007">
        <v>10513</v>
      </c>
      <c r="F282" s="1010">
        <v>0</v>
      </c>
      <c r="G282" s="969">
        <v>44151</v>
      </c>
      <c r="H282" s="969"/>
      <c r="I282" s="970">
        <v>2544</v>
      </c>
      <c r="J282" s="971">
        <v>10720</v>
      </c>
      <c r="K282" s="970">
        <v>6305</v>
      </c>
      <c r="L282" s="969">
        <v>17173</v>
      </c>
      <c r="M282" s="969"/>
      <c r="N282" s="970">
        <v>1250</v>
      </c>
      <c r="O282" s="970">
        <v>0</v>
      </c>
      <c r="P282" s="970">
        <v>0</v>
      </c>
      <c r="Q282" s="969">
        <v>0</v>
      </c>
      <c r="R282" s="969"/>
      <c r="S282" s="970">
        <v>14879</v>
      </c>
      <c r="T282" s="972">
        <v>4293</v>
      </c>
      <c r="U282" s="972">
        <v>19172</v>
      </c>
    </row>
    <row r="283" spans="1:21" x14ac:dyDescent="0.25">
      <c r="A283" s="966">
        <v>92917</v>
      </c>
      <c r="B283" s="967" t="s">
        <v>2901</v>
      </c>
      <c r="C283" s="968">
        <v>1.4800000000000001E-5</v>
      </c>
      <c r="D283" s="968">
        <v>2.0000000000000002E-5</v>
      </c>
      <c r="E283" s="1007">
        <v>16082</v>
      </c>
      <c r="F283" s="1010">
        <v>42447</v>
      </c>
      <c r="G283" s="969">
        <v>22610</v>
      </c>
      <c r="H283" s="969"/>
      <c r="I283" s="970">
        <v>1303</v>
      </c>
      <c r="J283" s="971">
        <v>5490</v>
      </c>
      <c r="K283" s="970">
        <v>3229</v>
      </c>
      <c r="L283" s="969">
        <v>13223</v>
      </c>
      <c r="M283" s="969"/>
      <c r="N283" s="970">
        <v>640</v>
      </c>
      <c r="O283" s="970">
        <v>0</v>
      </c>
      <c r="P283" s="970">
        <v>0</v>
      </c>
      <c r="Q283" s="969">
        <v>0</v>
      </c>
      <c r="R283" s="969"/>
      <c r="S283" s="970">
        <v>7620</v>
      </c>
      <c r="T283" s="972">
        <v>6352</v>
      </c>
      <c r="U283" s="972">
        <f>13971+1</f>
        <v>13972</v>
      </c>
    </row>
    <row r="284" spans="1:21" x14ac:dyDescent="0.25">
      <c r="A284" s="966">
        <v>92921</v>
      </c>
      <c r="B284" s="967" t="s">
        <v>2902</v>
      </c>
      <c r="C284" s="968">
        <v>7.4400000000000006E-5</v>
      </c>
      <c r="D284" s="968">
        <v>6.2899999999999997E-5</v>
      </c>
      <c r="E284" s="1007">
        <v>41073</v>
      </c>
      <c r="F284" s="1010">
        <v>133495</v>
      </c>
      <c r="G284" s="969">
        <v>113663</v>
      </c>
      <c r="H284" s="969"/>
      <c r="I284" s="970">
        <v>6548</v>
      </c>
      <c r="J284" s="971">
        <v>27597</v>
      </c>
      <c r="K284" s="970">
        <v>16233</v>
      </c>
      <c r="L284" s="969">
        <v>13244</v>
      </c>
      <c r="M284" s="969"/>
      <c r="N284" s="970">
        <v>3217</v>
      </c>
      <c r="O284" s="970">
        <v>0</v>
      </c>
      <c r="P284" s="970">
        <v>0</v>
      </c>
      <c r="Q284" s="969">
        <v>7831</v>
      </c>
      <c r="R284" s="969"/>
      <c r="S284" s="970">
        <v>38304</v>
      </c>
      <c r="T284" s="972">
        <v>-2914</v>
      </c>
      <c r="U284" s="972">
        <v>35390</v>
      </c>
    </row>
    <row r="285" spans="1:21" x14ac:dyDescent="0.25">
      <c r="A285" s="966">
        <v>92931</v>
      </c>
      <c r="B285" s="967" t="s">
        <v>2903</v>
      </c>
      <c r="C285" s="968">
        <v>2.3996E-3</v>
      </c>
      <c r="D285" s="968">
        <v>2.5048000000000002E-3</v>
      </c>
      <c r="E285" s="1007">
        <v>1109331</v>
      </c>
      <c r="F285" s="1010">
        <v>5316025</v>
      </c>
      <c r="G285" s="969">
        <v>3665924</v>
      </c>
      <c r="H285" s="969"/>
      <c r="I285" s="970">
        <v>211191</v>
      </c>
      <c r="J285" s="971">
        <v>890091</v>
      </c>
      <c r="K285" s="970">
        <v>523545</v>
      </c>
      <c r="L285" s="969">
        <v>7721</v>
      </c>
      <c r="M285" s="969"/>
      <c r="N285" s="970">
        <v>103771</v>
      </c>
      <c r="O285" s="970">
        <v>0</v>
      </c>
      <c r="P285" s="970">
        <v>0</v>
      </c>
      <c r="Q285" s="969">
        <v>147858</v>
      </c>
      <c r="R285" s="969"/>
      <c r="S285" s="970">
        <v>1235420</v>
      </c>
      <c r="T285" s="972">
        <v>-41276</v>
      </c>
      <c r="U285" s="972">
        <v>1194144</v>
      </c>
    </row>
    <row r="286" spans="1:21" x14ac:dyDescent="0.25">
      <c r="A286" s="966">
        <v>92941</v>
      </c>
      <c r="B286" s="967" t="s">
        <v>1426</v>
      </c>
      <c r="C286" s="968">
        <v>1.2300000000000001E-5</v>
      </c>
      <c r="D286" s="968">
        <v>1.84E-5</v>
      </c>
      <c r="E286" s="1007">
        <v>8547</v>
      </c>
      <c r="F286" s="1010">
        <v>39051</v>
      </c>
      <c r="G286" s="969">
        <v>18791</v>
      </c>
      <c r="H286" s="969"/>
      <c r="I286" s="970">
        <v>1083</v>
      </c>
      <c r="J286" s="971">
        <v>4563</v>
      </c>
      <c r="K286" s="970">
        <v>2684</v>
      </c>
      <c r="L286" s="969">
        <v>6612</v>
      </c>
      <c r="M286" s="969"/>
      <c r="N286" s="970">
        <v>532</v>
      </c>
      <c r="O286" s="970">
        <v>0</v>
      </c>
      <c r="P286" s="970">
        <v>0</v>
      </c>
      <c r="Q286" s="969">
        <v>1770</v>
      </c>
      <c r="R286" s="969"/>
      <c r="S286" s="970">
        <v>6333</v>
      </c>
      <c r="T286" s="972">
        <v>3162</v>
      </c>
      <c r="U286" s="972">
        <v>9495</v>
      </c>
    </row>
    <row r="287" spans="1:21" x14ac:dyDescent="0.25">
      <c r="A287" s="966">
        <v>93001</v>
      </c>
      <c r="B287" s="967" t="s">
        <v>2904</v>
      </c>
      <c r="C287" s="968">
        <v>2.2227000000000002E-3</v>
      </c>
      <c r="D287" s="968">
        <v>2.2739000000000001E-3</v>
      </c>
      <c r="E287" s="1007">
        <v>981066</v>
      </c>
      <c r="F287" s="1010">
        <v>4825978</v>
      </c>
      <c r="G287" s="969">
        <v>3395670</v>
      </c>
      <c r="H287" s="969"/>
      <c r="I287" s="970">
        <v>195622</v>
      </c>
      <c r="J287" s="971">
        <v>824473</v>
      </c>
      <c r="K287" s="970">
        <v>484949</v>
      </c>
      <c r="L287" s="969">
        <v>8733</v>
      </c>
      <c r="M287" s="969"/>
      <c r="N287" s="970">
        <v>96121</v>
      </c>
      <c r="O287" s="970">
        <v>0</v>
      </c>
      <c r="P287" s="970">
        <v>0</v>
      </c>
      <c r="Q287" s="969">
        <v>123729</v>
      </c>
      <c r="R287" s="969"/>
      <c r="S287" s="970">
        <v>1144344</v>
      </c>
      <c r="T287" s="972">
        <v>-57358</v>
      </c>
      <c r="U287" s="972">
        <v>1086986</v>
      </c>
    </row>
    <row r="288" spans="1:21" x14ac:dyDescent="0.25">
      <c r="A288" s="966">
        <v>93009</v>
      </c>
      <c r="B288" s="967" t="s">
        <v>2905</v>
      </c>
      <c r="C288" s="968">
        <v>1.47E-5</v>
      </c>
      <c r="D288" s="968">
        <v>1.5400000000000002E-5</v>
      </c>
      <c r="E288" s="1007">
        <v>5348</v>
      </c>
      <c r="F288" s="1010">
        <v>32684</v>
      </c>
      <c r="G288" s="969">
        <v>22458</v>
      </c>
      <c r="H288" s="969"/>
      <c r="I288" s="970">
        <v>1294</v>
      </c>
      <c r="J288" s="971">
        <v>5453</v>
      </c>
      <c r="K288" s="970">
        <v>3207</v>
      </c>
      <c r="L288" s="969">
        <v>0</v>
      </c>
      <c r="M288" s="969"/>
      <c r="N288" s="970">
        <v>636</v>
      </c>
      <c r="O288" s="970">
        <v>0</v>
      </c>
      <c r="P288" s="970">
        <v>0</v>
      </c>
      <c r="Q288" s="969">
        <v>4280</v>
      </c>
      <c r="R288" s="969"/>
      <c r="S288" s="970">
        <v>7568</v>
      </c>
      <c r="T288" s="972">
        <v>-1918</v>
      </c>
      <c r="U288" s="972">
        <v>5650</v>
      </c>
    </row>
    <row r="289" spans="1:21" x14ac:dyDescent="0.25">
      <c r="A289" s="966">
        <v>93011</v>
      </c>
      <c r="B289" s="967" t="s">
        <v>2906</v>
      </c>
      <c r="C289" s="968">
        <v>2.2699999999999999E-4</v>
      </c>
      <c r="D289" s="968">
        <v>2.6160000000000002E-4</v>
      </c>
      <c r="E289" s="1007">
        <v>118523</v>
      </c>
      <c r="F289" s="1010">
        <v>555203</v>
      </c>
      <c r="G289" s="969">
        <v>346793</v>
      </c>
      <c r="H289" s="969"/>
      <c r="I289" s="970">
        <v>19978</v>
      </c>
      <c r="J289" s="971">
        <v>84202</v>
      </c>
      <c r="K289" s="970">
        <v>49527</v>
      </c>
      <c r="L289" s="969">
        <v>1542</v>
      </c>
      <c r="M289" s="969"/>
      <c r="N289" s="970">
        <v>9817</v>
      </c>
      <c r="O289" s="970">
        <v>0</v>
      </c>
      <c r="P289" s="970">
        <v>0</v>
      </c>
      <c r="Q289" s="969">
        <v>15019</v>
      </c>
      <c r="R289" s="969"/>
      <c r="S289" s="970">
        <v>116870</v>
      </c>
      <c r="T289" s="972">
        <v>-3863</v>
      </c>
      <c r="U289" s="972">
        <v>113007</v>
      </c>
    </row>
    <row r="290" spans="1:21" x14ac:dyDescent="0.25">
      <c r="A290" s="966">
        <v>93021</v>
      </c>
      <c r="B290" s="967" t="s">
        <v>2907</v>
      </c>
      <c r="C290" s="968">
        <v>3.4199999999999998E-5</v>
      </c>
      <c r="D290" s="968">
        <v>2.8900000000000001E-5</v>
      </c>
      <c r="E290" s="1007">
        <v>12994</v>
      </c>
      <c r="F290" s="1010">
        <v>61335</v>
      </c>
      <c r="G290" s="969">
        <v>52248</v>
      </c>
      <c r="H290" s="969"/>
      <c r="I290" s="970">
        <v>3010</v>
      </c>
      <c r="J290" s="971">
        <v>12686</v>
      </c>
      <c r="K290" s="970">
        <v>7462</v>
      </c>
      <c r="L290" s="969">
        <v>3788</v>
      </c>
      <c r="M290" s="969"/>
      <c r="N290" s="970">
        <v>1479</v>
      </c>
      <c r="O290" s="970">
        <v>0</v>
      </c>
      <c r="P290" s="970">
        <v>0</v>
      </c>
      <c r="Q290" s="969">
        <v>4978</v>
      </c>
      <c r="R290" s="969"/>
      <c r="S290" s="970">
        <v>17608</v>
      </c>
      <c r="T290" s="972">
        <v>260</v>
      </c>
      <c r="U290" s="972">
        <v>17868</v>
      </c>
    </row>
    <row r="291" spans="1:21" x14ac:dyDescent="0.25">
      <c r="A291" s="966">
        <v>93027</v>
      </c>
      <c r="B291" s="967" t="s">
        <v>2908</v>
      </c>
      <c r="C291" s="968">
        <v>1.6699999999999999E-5</v>
      </c>
      <c r="D291" s="968">
        <v>1.6699999999999999E-5</v>
      </c>
      <c r="E291" s="1007">
        <v>8270</v>
      </c>
      <c r="F291" s="1010">
        <v>35443</v>
      </c>
      <c r="G291" s="969">
        <v>25513</v>
      </c>
      <c r="H291" s="969"/>
      <c r="I291" s="970">
        <v>1470</v>
      </c>
      <c r="J291" s="971">
        <v>6194</v>
      </c>
      <c r="K291" s="970">
        <v>3644</v>
      </c>
      <c r="L291" s="969">
        <v>1152</v>
      </c>
      <c r="M291" s="969"/>
      <c r="N291" s="970">
        <v>722</v>
      </c>
      <c r="O291" s="970">
        <v>0</v>
      </c>
      <c r="P291" s="970">
        <v>0</v>
      </c>
      <c r="Q291" s="969">
        <v>834</v>
      </c>
      <c r="R291" s="969"/>
      <c r="S291" s="970">
        <v>8598</v>
      </c>
      <c r="T291" s="972">
        <v>-308</v>
      </c>
      <c r="U291" s="972">
        <v>8290</v>
      </c>
    </row>
    <row r="292" spans="1:21" x14ac:dyDescent="0.25">
      <c r="A292" s="966">
        <v>93031</v>
      </c>
      <c r="B292" s="967" t="s">
        <v>2909</v>
      </c>
      <c r="C292" s="968">
        <v>2.1699999999999999E-5</v>
      </c>
      <c r="D292" s="968">
        <v>2.2399999999999999E-5</v>
      </c>
      <c r="E292" s="1007">
        <v>20397</v>
      </c>
      <c r="F292" s="1010">
        <v>47540</v>
      </c>
      <c r="G292" s="969">
        <v>33152</v>
      </c>
      <c r="H292" s="969"/>
      <c r="I292" s="970">
        <v>1910</v>
      </c>
      <c r="J292" s="971">
        <v>8050</v>
      </c>
      <c r="K292" s="970">
        <v>4735</v>
      </c>
      <c r="L292" s="969">
        <v>18910</v>
      </c>
      <c r="M292" s="969"/>
      <c r="N292" s="970">
        <v>938</v>
      </c>
      <c r="O292" s="970">
        <v>0</v>
      </c>
      <c r="P292" s="970">
        <v>0</v>
      </c>
      <c r="Q292" s="969">
        <v>221</v>
      </c>
      <c r="R292" s="969"/>
      <c r="S292" s="970">
        <v>11172</v>
      </c>
      <c r="T292" s="972">
        <v>5880</v>
      </c>
      <c r="U292" s="972">
        <v>17052</v>
      </c>
    </row>
    <row r="293" spans="1:21" x14ac:dyDescent="0.25">
      <c r="A293" s="966">
        <v>93101</v>
      </c>
      <c r="B293" s="967" t="s">
        <v>2910</v>
      </c>
      <c r="C293" s="968">
        <v>3.5159000000000002E-3</v>
      </c>
      <c r="D293" s="968">
        <v>3.5771000000000002E-3</v>
      </c>
      <c r="E293" s="1007">
        <v>1521217</v>
      </c>
      <c r="F293" s="1010">
        <v>7591805</v>
      </c>
      <c r="G293" s="969">
        <v>5371321</v>
      </c>
      <c r="H293" s="969"/>
      <c r="I293" s="970">
        <v>309438</v>
      </c>
      <c r="J293" s="971">
        <v>1304163</v>
      </c>
      <c r="K293" s="970">
        <v>767099</v>
      </c>
      <c r="L293" s="969">
        <v>104257</v>
      </c>
      <c r="M293" s="969"/>
      <c r="N293" s="970">
        <v>152045</v>
      </c>
      <c r="O293" s="970">
        <v>0</v>
      </c>
      <c r="P293" s="970">
        <v>0</v>
      </c>
      <c r="Q293" s="969">
        <v>115334</v>
      </c>
      <c r="R293" s="969"/>
      <c r="S293" s="970">
        <v>1810140</v>
      </c>
      <c r="T293" s="972">
        <v>39451</v>
      </c>
      <c r="U293" s="972">
        <v>1849591</v>
      </c>
    </row>
    <row r="294" spans="1:21" x14ac:dyDescent="0.25">
      <c r="A294" s="966">
        <v>93103</v>
      </c>
      <c r="B294" s="967" t="s">
        <v>2103</v>
      </c>
      <c r="C294" s="968">
        <v>1.7099999999999999E-5</v>
      </c>
      <c r="D294" s="968">
        <v>1.7200000000000001E-5</v>
      </c>
      <c r="E294" s="1007">
        <v>5686</v>
      </c>
      <c r="F294" s="1010">
        <v>36504</v>
      </c>
      <c r="G294" s="969">
        <v>26124</v>
      </c>
      <c r="H294" s="969"/>
      <c r="I294" s="970">
        <v>1505</v>
      </c>
      <c r="J294" s="971">
        <v>6343</v>
      </c>
      <c r="K294" s="970">
        <v>3731</v>
      </c>
      <c r="L294" s="969">
        <v>6718</v>
      </c>
      <c r="M294" s="969"/>
      <c r="N294" s="970">
        <v>739</v>
      </c>
      <c r="O294" s="970">
        <v>0</v>
      </c>
      <c r="P294" s="970">
        <v>0</v>
      </c>
      <c r="Q294" s="969">
        <v>1798</v>
      </c>
      <c r="R294" s="969"/>
      <c r="S294" s="970">
        <v>8804</v>
      </c>
      <c r="T294" s="972">
        <v>2085</v>
      </c>
      <c r="U294" s="972">
        <v>10889</v>
      </c>
    </row>
    <row r="295" spans="1:21" x14ac:dyDescent="0.25">
      <c r="A295" s="966">
        <v>93108</v>
      </c>
      <c r="B295" s="967" t="s">
        <v>2911</v>
      </c>
      <c r="C295" s="968">
        <v>2.6624999999999999E-3</v>
      </c>
      <c r="D295" s="968">
        <v>2.5661999999999998E-3</v>
      </c>
      <c r="E295" s="1007">
        <v>1189197</v>
      </c>
      <c r="F295" s="1010">
        <v>5446336</v>
      </c>
      <c r="G295" s="969">
        <v>4067562</v>
      </c>
      <c r="H295" s="969"/>
      <c r="I295" s="970">
        <v>234329</v>
      </c>
      <c r="J295" s="971">
        <v>987609</v>
      </c>
      <c r="K295" s="970">
        <v>580904</v>
      </c>
      <c r="L295" s="969">
        <v>274861</v>
      </c>
      <c r="M295" s="969"/>
      <c r="N295" s="970">
        <v>115140</v>
      </c>
      <c r="O295" s="970">
        <v>0</v>
      </c>
      <c r="P295" s="970">
        <v>0</v>
      </c>
      <c r="Q295" s="969">
        <v>0</v>
      </c>
      <c r="R295" s="969"/>
      <c r="S295" s="970">
        <v>1370772</v>
      </c>
      <c r="T295" s="972">
        <v>189775</v>
      </c>
      <c r="U295" s="972">
        <v>1560547</v>
      </c>
    </row>
    <row r="296" spans="1:21" x14ac:dyDescent="0.25">
      <c r="A296" s="966">
        <v>93111</v>
      </c>
      <c r="B296" s="967" t="s">
        <v>2912</v>
      </c>
      <c r="C296" s="968">
        <v>5.8499999999999999E-5</v>
      </c>
      <c r="D296" s="968">
        <v>7.08E-5</v>
      </c>
      <c r="E296" s="1007">
        <v>27143</v>
      </c>
      <c r="F296" s="1010">
        <v>150261</v>
      </c>
      <c r="G296" s="969">
        <v>89372</v>
      </c>
      <c r="H296" s="969"/>
      <c r="I296" s="970">
        <v>5149</v>
      </c>
      <c r="J296" s="971">
        <v>21700</v>
      </c>
      <c r="K296" s="970">
        <v>12764</v>
      </c>
      <c r="L296" s="969">
        <v>0</v>
      </c>
      <c r="M296" s="969"/>
      <c r="N296" s="970">
        <v>2530</v>
      </c>
      <c r="O296" s="970">
        <v>0</v>
      </c>
      <c r="P296" s="970">
        <v>0</v>
      </c>
      <c r="Q296" s="969">
        <v>15463</v>
      </c>
      <c r="R296" s="969"/>
      <c r="S296" s="970">
        <v>30118</v>
      </c>
      <c r="T296" s="972">
        <v>-5541</v>
      </c>
      <c r="U296" s="972">
        <f>24578-1</f>
        <v>24577</v>
      </c>
    </row>
    <row r="297" spans="1:21" x14ac:dyDescent="0.25">
      <c r="A297" s="966">
        <v>93121</v>
      </c>
      <c r="B297" s="967" t="s">
        <v>2913</v>
      </c>
      <c r="C297" s="968">
        <v>6.2299999999999996E-5</v>
      </c>
      <c r="D297" s="968">
        <v>5.8900000000000002E-5</v>
      </c>
      <c r="E297" s="1007">
        <v>28306</v>
      </c>
      <c r="F297" s="1010">
        <v>125006</v>
      </c>
      <c r="G297" s="969">
        <v>95177</v>
      </c>
      <c r="H297" s="969"/>
      <c r="I297" s="970">
        <v>5483</v>
      </c>
      <c r="J297" s="971">
        <v>23109</v>
      </c>
      <c r="K297" s="970">
        <v>13593</v>
      </c>
      <c r="L297" s="969">
        <v>2043</v>
      </c>
      <c r="M297" s="969"/>
      <c r="N297" s="970">
        <v>2694</v>
      </c>
      <c r="O297" s="970">
        <v>0</v>
      </c>
      <c r="P297" s="970">
        <v>0</v>
      </c>
      <c r="Q297" s="969">
        <v>9059</v>
      </c>
      <c r="R297" s="969"/>
      <c r="S297" s="970">
        <v>32075</v>
      </c>
      <c r="T297" s="972">
        <v>-3552</v>
      </c>
      <c r="U297" s="972">
        <f>28522+1</f>
        <v>28523</v>
      </c>
    </row>
    <row r="298" spans="1:21" x14ac:dyDescent="0.25">
      <c r="A298" s="966">
        <v>93127</v>
      </c>
      <c r="B298" s="967" t="s">
        <v>2914</v>
      </c>
      <c r="C298" s="968">
        <v>6.9E-6</v>
      </c>
      <c r="D298" s="968">
        <v>6.8000000000000001E-6</v>
      </c>
      <c r="E298" s="1007">
        <v>3239</v>
      </c>
      <c r="F298" s="1010">
        <v>14432</v>
      </c>
      <c r="G298" s="969">
        <v>10541</v>
      </c>
      <c r="H298" s="969"/>
      <c r="I298" s="970">
        <v>607</v>
      </c>
      <c r="J298" s="971">
        <v>2560</v>
      </c>
      <c r="K298" s="970">
        <v>1505</v>
      </c>
      <c r="L298" s="969">
        <v>124</v>
      </c>
      <c r="M298" s="969"/>
      <c r="N298" s="970">
        <v>298</v>
      </c>
      <c r="O298" s="970">
        <v>0</v>
      </c>
      <c r="P298" s="970">
        <v>0</v>
      </c>
      <c r="Q298" s="969">
        <v>731</v>
      </c>
      <c r="R298" s="969"/>
      <c r="S298" s="970">
        <v>3552</v>
      </c>
      <c r="T298" s="972">
        <v>-369</v>
      </c>
      <c r="U298" s="972">
        <v>3183</v>
      </c>
    </row>
    <row r="299" spans="1:21" x14ac:dyDescent="0.25">
      <c r="A299" s="966">
        <v>93131</v>
      </c>
      <c r="B299" s="967" t="s">
        <v>2915</v>
      </c>
      <c r="C299" s="968">
        <v>2.218E-4</v>
      </c>
      <c r="D299" s="968">
        <v>2.3939999999999999E-4</v>
      </c>
      <c r="E299" s="1007">
        <v>95091</v>
      </c>
      <c r="F299" s="1010">
        <v>508087</v>
      </c>
      <c r="G299" s="969">
        <v>338849</v>
      </c>
      <c r="H299" s="969"/>
      <c r="I299" s="970">
        <v>19521</v>
      </c>
      <c r="J299" s="971">
        <v>82273</v>
      </c>
      <c r="K299" s="970">
        <v>48392</v>
      </c>
      <c r="L299" s="969">
        <v>7888</v>
      </c>
      <c r="M299" s="969"/>
      <c r="N299" s="970">
        <v>9592</v>
      </c>
      <c r="O299" s="970">
        <v>0</v>
      </c>
      <c r="P299" s="970">
        <v>0</v>
      </c>
      <c r="Q299" s="969">
        <v>21906</v>
      </c>
      <c r="R299" s="969"/>
      <c r="S299" s="970">
        <v>114192</v>
      </c>
      <c r="T299" s="972">
        <v>-530</v>
      </c>
      <c r="U299" s="972">
        <v>113662</v>
      </c>
    </row>
    <row r="300" spans="1:21" x14ac:dyDescent="0.25">
      <c r="A300" s="966">
        <v>93137</v>
      </c>
      <c r="B300" s="967" t="s">
        <v>2916</v>
      </c>
      <c r="C300" s="968">
        <v>3.3000000000000002E-6</v>
      </c>
      <c r="D300" s="968">
        <v>1.9E-6</v>
      </c>
      <c r="E300" s="1007">
        <v>2530</v>
      </c>
      <c r="F300" s="1010">
        <v>4032</v>
      </c>
      <c r="G300" s="969">
        <v>5041</v>
      </c>
      <c r="H300" s="969"/>
      <c r="I300" s="970">
        <v>290</v>
      </c>
      <c r="J300" s="971">
        <v>1224</v>
      </c>
      <c r="K300" s="970">
        <v>720</v>
      </c>
      <c r="L300" s="969">
        <v>2709</v>
      </c>
      <c r="M300" s="969"/>
      <c r="N300" s="970">
        <v>143</v>
      </c>
      <c r="O300" s="970">
        <v>0</v>
      </c>
      <c r="P300" s="970">
        <v>0</v>
      </c>
      <c r="Q300" s="969">
        <v>0</v>
      </c>
      <c r="R300" s="969"/>
      <c r="S300" s="970">
        <v>1699</v>
      </c>
      <c r="T300" s="972">
        <v>839</v>
      </c>
      <c r="U300" s="972">
        <v>2538</v>
      </c>
    </row>
    <row r="301" spans="1:21" x14ac:dyDescent="0.25">
      <c r="A301" s="966">
        <v>93141</v>
      </c>
      <c r="B301" s="967" t="s">
        <v>2917</v>
      </c>
      <c r="C301" s="968">
        <v>4.1100000000000003E-5</v>
      </c>
      <c r="D301" s="968">
        <v>4.5500000000000001E-5</v>
      </c>
      <c r="E301" s="1007">
        <v>16199</v>
      </c>
      <c r="F301" s="1010">
        <v>96566</v>
      </c>
      <c r="G301" s="969">
        <v>62789</v>
      </c>
      <c r="H301" s="969"/>
      <c r="I301" s="970">
        <v>3617</v>
      </c>
      <c r="J301" s="971">
        <v>15246</v>
      </c>
      <c r="K301" s="970">
        <v>8967</v>
      </c>
      <c r="L301" s="969">
        <v>2083</v>
      </c>
      <c r="M301" s="969"/>
      <c r="N301" s="970">
        <v>1777</v>
      </c>
      <c r="O301" s="970">
        <v>0</v>
      </c>
      <c r="P301" s="970">
        <v>0</v>
      </c>
      <c r="Q301" s="969">
        <v>7408</v>
      </c>
      <c r="R301" s="969"/>
      <c r="S301" s="970">
        <v>21160</v>
      </c>
      <c r="T301" s="972">
        <v>-351</v>
      </c>
      <c r="U301" s="972">
        <v>20809</v>
      </c>
    </row>
    <row r="302" spans="1:21" x14ac:dyDescent="0.25">
      <c r="A302" s="966">
        <v>93151</v>
      </c>
      <c r="B302" s="967" t="s">
        <v>2918</v>
      </c>
      <c r="C302" s="968">
        <v>3.4279999999999998E-4</v>
      </c>
      <c r="D302" s="968">
        <v>3.6539999999999999E-4</v>
      </c>
      <c r="E302" s="1007">
        <v>156182</v>
      </c>
      <c r="F302" s="1010">
        <v>775501</v>
      </c>
      <c r="G302" s="969">
        <v>523703</v>
      </c>
      <c r="H302" s="969"/>
      <c r="I302" s="970">
        <v>30170</v>
      </c>
      <c r="J302" s="971">
        <v>127156</v>
      </c>
      <c r="K302" s="970">
        <v>74792</v>
      </c>
      <c r="L302" s="969">
        <v>3795</v>
      </c>
      <c r="M302" s="969"/>
      <c r="N302" s="970">
        <v>14824</v>
      </c>
      <c r="O302" s="970">
        <v>0</v>
      </c>
      <c r="P302" s="970">
        <v>0</v>
      </c>
      <c r="Q302" s="969">
        <v>19989</v>
      </c>
      <c r="R302" s="969"/>
      <c r="S302" s="970">
        <v>176489</v>
      </c>
      <c r="T302" s="972">
        <v>-4355</v>
      </c>
      <c r="U302" s="972">
        <f>172133+1</f>
        <v>172134</v>
      </c>
    </row>
    <row r="303" spans="1:21" x14ac:dyDescent="0.25">
      <c r="A303" s="966">
        <v>93157</v>
      </c>
      <c r="B303" s="967" t="s">
        <v>2919</v>
      </c>
      <c r="C303" s="968">
        <v>3.5999999999999998E-6</v>
      </c>
      <c r="D303" s="968">
        <v>3.8E-6</v>
      </c>
      <c r="E303" s="1007">
        <v>6045</v>
      </c>
      <c r="F303" s="1010">
        <v>8065</v>
      </c>
      <c r="G303" s="969">
        <v>5500</v>
      </c>
      <c r="H303" s="969"/>
      <c r="I303" s="970">
        <v>317</v>
      </c>
      <c r="J303" s="971">
        <v>1336</v>
      </c>
      <c r="K303" s="970">
        <v>785</v>
      </c>
      <c r="L303" s="969">
        <v>6931</v>
      </c>
      <c r="M303" s="969"/>
      <c r="N303" s="970">
        <v>156</v>
      </c>
      <c r="O303" s="970">
        <v>0</v>
      </c>
      <c r="P303" s="970">
        <v>0</v>
      </c>
      <c r="Q303" s="969">
        <v>340</v>
      </c>
      <c r="R303" s="969"/>
      <c r="S303" s="970">
        <v>1853</v>
      </c>
      <c r="T303" s="972">
        <v>2783</v>
      </c>
      <c r="U303" s="972">
        <f>4637-1</f>
        <v>4636</v>
      </c>
    </row>
    <row r="304" spans="1:21" x14ac:dyDescent="0.25">
      <c r="A304" s="966">
        <v>93161</v>
      </c>
      <c r="B304" s="967" t="s">
        <v>2920</v>
      </c>
      <c r="C304" s="968">
        <v>1.038E-4</v>
      </c>
      <c r="D304" s="968">
        <v>6.2500000000000001E-5</v>
      </c>
      <c r="E304" s="1007">
        <v>47956</v>
      </c>
      <c r="F304" s="1010">
        <v>132646</v>
      </c>
      <c r="G304" s="969">
        <v>158578</v>
      </c>
      <c r="H304" s="969"/>
      <c r="I304" s="970">
        <v>9136</v>
      </c>
      <c r="J304" s="971">
        <v>38503</v>
      </c>
      <c r="K304" s="970">
        <v>22647</v>
      </c>
      <c r="L304" s="969">
        <v>35990</v>
      </c>
      <c r="M304" s="969"/>
      <c r="N304" s="970">
        <v>4489</v>
      </c>
      <c r="O304" s="970">
        <v>0</v>
      </c>
      <c r="P304" s="970">
        <v>0</v>
      </c>
      <c r="Q304" s="969">
        <v>0</v>
      </c>
      <c r="R304" s="969"/>
      <c r="S304" s="970">
        <v>53441</v>
      </c>
      <c r="T304" s="972">
        <v>13001</v>
      </c>
      <c r="U304" s="972">
        <v>66442</v>
      </c>
    </row>
    <row r="305" spans="1:21" x14ac:dyDescent="0.25">
      <c r="A305" s="966">
        <v>93171</v>
      </c>
      <c r="B305" s="967" t="s">
        <v>2921</v>
      </c>
      <c r="C305" s="968">
        <v>5.2000000000000002E-6</v>
      </c>
      <c r="D305" s="968">
        <v>5.8000000000000004E-6</v>
      </c>
      <c r="E305" s="1007">
        <v>3889</v>
      </c>
      <c r="F305" s="1010">
        <v>12310</v>
      </c>
      <c r="G305" s="969">
        <v>7944</v>
      </c>
      <c r="H305" s="969"/>
      <c r="I305" s="970">
        <v>458</v>
      </c>
      <c r="J305" s="971">
        <v>1929</v>
      </c>
      <c r="K305" s="970">
        <v>1135</v>
      </c>
      <c r="L305" s="969">
        <v>1960</v>
      </c>
      <c r="M305" s="969"/>
      <c r="N305" s="970">
        <v>225</v>
      </c>
      <c r="O305" s="970">
        <v>0</v>
      </c>
      <c r="P305" s="970">
        <v>0</v>
      </c>
      <c r="Q305" s="969">
        <v>0</v>
      </c>
      <c r="R305" s="969"/>
      <c r="S305" s="970">
        <v>2677</v>
      </c>
      <c r="T305" s="972">
        <v>791</v>
      </c>
      <c r="U305" s="972">
        <v>3468</v>
      </c>
    </row>
    <row r="306" spans="1:21" x14ac:dyDescent="0.25">
      <c r="A306" s="966">
        <v>93181</v>
      </c>
      <c r="B306" s="967" t="s">
        <v>2922</v>
      </c>
      <c r="C306" s="968">
        <v>1.13E-5</v>
      </c>
      <c r="D306" s="968">
        <v>1.1E-5</v>
      </c>
      <c r="E306" s="1007">
        <v>5393</v>
      </c>
      <c r="F306" s="1010">
        <v>23346</v>
      </c>
      <c r="G306" s="969">
        <v>17263</v>
      </c>
      <c r="H306" s="969"/>
      <c r="I306" s="970">
        <v>995</v>
      </c>
      <c r="J306" s="971">
        <v>4191</v>
      </c>
      <c r="K306" s="970">
        <v>2465</v>
      </c>
      <c r="L306" s="969">
        <v>772</v>
      </c>
      <c r="M306" s="969"/>
      <c r="N306" s="970">
        <v>489</v>
      </c>
      <c r="O306" s="970">
        <v>0</v>
      </c>
      <c r="P306" s="970">
        <v>0</v>
      </c>
      <c r="Q306" s="969">
        <v>28</v>
      </c>
      <c r="R306" s="969"/>
      <c r="S306" s="970">
        <v>5818</v>
      </c>
      <c r="T306" s="972">
        <v>412</v>
      </c>
      <c r="U306" s="972">
        <v>6230</v>
      </c>
    </row>
    <row r="307" spans="1:21" x14ac:dyDescent="0.25">
      <c r="A307" s="966">
        <v>93191</v>
      </c>
      <c r="B307" s="967" t="s">
        <v>2923</v>
      </c>
      <c r="C307" s="968">
        <v>2.4600000000000002E-5</v>
      </c>
      <c r="D307" s="968">
        <v>3.3000000000000003E-5</v>
      </c>
      <c r="E307" s="1007">
        <v>16089</v>
      </c>
      <c r="F307" s="1010">
        <v>70037</v>
      </c>
      <c r="G307" s="969">
        <v>37582</v>
      </c>
      <c r="H307" s="969"/>
      <c r="I307" s="970">
        <v>2165</v>
      </c>
      <c r="J307" s="971">
        <v>9125</v>
      </c>
      <c r="K307" s="970">
        <v>5367</v>
      </c>
      <c r="L307" s="969">
        <v>1713</v>
      </c>
      <c r="M307" s="969"/>
      <c r="N307" s="970">
        <v>1064</v>
      </c>
      <c r="O307" s="970">
        <v>0</v>
      </c>
      <c r="P307" s="970">
        <v>0</v>
      </c>
      <c r="Q307" s="969">
        <v>2443</v>
      </c>
      <c r="R307" s="969"/>
      <c r="S307" s="970">
        <v>12665</v>
      </c>
      <c r="T307" s="972">
        <v>-169</v>
      </c>
      <c r="U307" s="972">
        <v>12496</v>
      </c>
    </row>
    <row r="308" spans="1:21" x14ac:dyDescent="0.25">
      <c r="A308" s="966">
        <v>93201</v>
      </c>
      <c r="B308" s="967" t="s">
        <v>2924</v>
      </c>
      <c r="C308" s="968">
        <v>1.5517E-2</v>
      </c>
      <c r="D308" s="968">
        <v>1.5819699999999999E-2</v>
      </c>
      <c r="E308" s="1007">
        <v>7119270</v>
      </c>
      <c r="F308" s="1010">
        <v>33574703</v>
      </c>
      <c r="G308" s="969">
        <v>23705678</v>
      </c>
      <c r="H308" s="969"/>
      <c r="I308" s="970">
        <v>1365667</v>
      </c>
      <c r="J308" s="971">
        <v>5755768</v>
      </c>
      <c r="K308" s="970">
        <v>3385499</v>
      </c>
      <c r="L308" s="969">
        <v>809545</v>
      </c>
      <c r="M308" s="969"/>
      <c r="N308" s="970">
        <v>671033</v>
      </c>
      <c r="O308" s="970">
        <v>0</v>
      </c>
      <c r="P308" s="970">
        <v>0</v>
      </c>
      <c r="Q308" s="969">
        <v>206420</v>
      </c>
      <c r="R308" s="969"/>
      <c r="S308" s="970">
        <v>7988834</v>
      </c>
      <c r="T308" s="972">
        <v>397964</v>
      </c>
      <c r="U308" s="972">
        <f>8386799-1</f>
        <v>8386798</v>
      </c>
    </row>
    <row r="309" spans="1:21" x14ac:dyDescent="0.25">
      <c r="A309" s="966">
        <v>93202</v>
      </c>
      <c r="B309" s="967" t="s">
        <v>2925</v>
      </c>
      <c r="C309" s="968">
        <v>0</v>
      </c>
      <c r="D309" s="968">
        <v>0</v>
      </c>
      <c r="E309" s="1007">
        <v>0</v>
      </c>
      <c r="F309" s="1010">
        <v>0</v>
      </c>
      <c r="G309" s="969">
        <v>0</v>
      </c>
      <c r="H309" s="969"/>
      <c r="I309" s="970">
        <v>0</v>
      </c>
      <c r="J309" s="971">
        <v>0</v>
      </c>
      <c r="K309" s="970">
        <v>0</v>
      </c>
      <c r="L309" s="969">
        <v>0</v>
      </c>
      <c r="M309" s="969"/>
      <c r="N309" s="970">
        <v>0</v>
      </c>
      <c r="O309" s="970">
        <v>0</v>
      </c>
      <c r="P309" s="970">
        <v>0</v>
      </c>
      <c r="Q309" s="969">
        <v>212519</v>
      </c>
      <c r="R309" s="969"/>
      <c r="S309" s="970">
        <v>0</v>
      </c>
      <c r="T309" s="972">
        <v>-109544</v>
      </c>
      <c r="U309" s="972">
        <v>-109544</v>
      </c>
    </row>
    <row r="310" spans="1:21" x14ac:dyDescent="0.25">
      <c r="A310" s="966">
        <v>93204</v>
      </c>
      <c r="B310" s="967" t="s">
        <v>2926</v>
      </c>
      <c r="C310" s="968">
        <v>3.0279999999999999E-4</v>
      </c>
      <c r="D310" s="968">
        <v>2.9480000000000001E-4</v>
      </c>
      <c r="E310" s="1007">
        <v>157546</v>
      </c>
      <c r="F310" s="1010">
        <v>625664</v>
      </c>
      <c r="G310" s="969">
        <v>462595</v>
      </c>
      <c r="H310" s="969"/>
      <c r="I310" s="970">
        <v>26650</v>
      </c>
      <c r="J310" s="971">
        <v>112319</v>
      </c>
      <c r="K310" s="970">
        <v>66065</v>
      </c>
      <c r="L310" s="969">
        <v>24167</v>
      </c>
      <c r="M310" s="969"/>
      <c r="N310" s="970">
        <v>13095</v>
      </c>
      <c r="O310" s="970">
        <v>0</v>
      </c>
      <c r="P310" s="970">
        <v>0</v>
      </c>
      <c r="Q310" s="969">
        <v>9452</v>
      </c>
      <c r="R310" s="969"/>
      <c r="S310" s="970">
        <v>155895</v>
      </c>
      <c r="T310" s="972">
        <v>782</v>
      </c>
      <c r="U310" s="972">
        <v>156677</v>
      </c>
    </row>
    <row r="311" spans="1:21" x14ac:dyDescent="0.25">
      <c r="A311" s="966">
        <v>93209</v>
      </c>
      <c r="B311" s="967" t="s">
        <v>2927</v>
      </c>
      <c r="C311" s="968">
        <v>4.6693999999999998E-3</v>
      </c>
      <c r="D311" s="968">
        <v>4.5113999999999996E-3</v>
      </c>
      <c r="E311" s="1007">
        <v>2094525</v>
      </c>
      <c r="F311" s="1010">
        <v>9574702</v>
      </c>
      <c r="G311" s="969">
        <v>7133550</v>
      </c>
      <c r="H311" s="969"/>
      <c r="I311" s="970">
        <v>410959</v>
      </c>
      <c r="J311" s="971">
        <v>1732035</v>
      </c>
      <c r="K311" s="970">
        <v>1018770</v>
      </c>
      <c r="L311" s="969">
        <v>838336</v>
      </c>
      <c r="M311" s="969"/>
      <c r="N311" s="970">
        <v>201928</v>
      </c>
      <c r="O311" s="970">
        <v>0</v>
      </c>
      <c r="P311" s="970">
        <v>0</v>
      </c>
      <c r="Q311" s="969">
        <v>0</v>
      </c>
      <c r="R311" s="969"/>
      <c r="S311" s="970">
        <v>2404013</v>
      </c>
      <c r="T311" s="972">
        <v>551077</v>
      </c>
      <c r="U311" s="972">
        <v>2955090</v>
      </c>
    </row>
    <row r="312" spans="1:21" x14ac:dyDescent="0.25">
      <c r="A312" s="966">
        <v>93211</v>
      </c>
      <c r="B312" s="967" t="s">
        <v>2928</v>
      </c>
      <c r="C312" s="968">
        <v>2.0374099999999999E-2</v>
      </c>
      <c r="D312" s="968">
        <v>2.0456800000000001E-2</v>
      </c>
      <c r="E312" s="1007">
        <v>9330077</v>
      </c>
      <c r="F312" s="1010">
        <v>43416183</v>
      </c>
      <c r="G312" s="969">
        <v>31125981</v>
      </c>
      <c r="H312" s="969"/>
      <c r="I312" s="970">
        <v>1793145</v>
      </c>
      <c r="J312" s="971">
        <v>7557426</v>
      </c>
      <c r="K312" s="970">
        <v>4445221</v>
      </c>
      <c r="L312" s="969">
        <v>0</v>
      </c>
      <c r="M312" s="969"/>
      <c r="N312" s="970">
        <v>881078</v>
      </c>
      <c r="O312" s="970">
        <v>0</v>
      </c>
      <c r="P312" s="970">
        <v>0</v>
      </c>
      <c r="Q312" s="969">
        <v>991023</v>
      </c>
      <c r="R312" s="969"/>
      <c r="S312" s="970">
        <v>10489483</v>
      </c>
      <c r="T312" s="972">
        <v>-507236</v>
      </c>
      <c r="U312" s="972">
        <v>9982247</v>
      </c>
    </row>
    <row r="313" spans="1:21" x14ac:dyDescent="0.25">
      <c r="A313" s="966">
        <v>93212</v>
      </c>
      <c r="B313" s="967" t="s">
        <v>2929</v>
      </c>
      <c r="C313" s="968">
        <v>2.2130000000000001E-4</v>
      </c>
      <c r="D313" s="968">
        <v>2.052E-4</v>
      </c>
      <c r="E313" s="1007">
        <v>193584</v>
      </c>
      <c r="F313" s="1010">
        <v>435503</v>
      </c>
      <c r="G313" s="969">
        <v>338085</v>
      </c>
      <c r="H313" s="969"/>
      <c r="I313" s="970">
        <v>19477</v>
      </c>
      <c r="J313" s="971">
        <v>82087</v>
      </c>
      <c r="K313" s="970">
        <v>48283</v>
      </c>
      <c r="L313" s="969">
        <v>158429</v>
      </c>
      <c r="M313" s="969"/>
      <c r="N313" s="970">
        <v>9570</v>
      </c>
      <c r="O313" s="970">
        <v>0</v>
      </c>
      <c r="P313" s="970">
        <v>0</v>
      </c>
      <c r="Q313" s="969">
        <v>0</v>
      </c>
      <c r="R313" s="969"/>
      <c r="S313" s="970">
        <v>113935</v>
      </c>
      <c r="T313" s="972">
        <v>53448</v>
      </c>
      <c r="U313" s="972">
        <v>167383</v>
      </c>
    </row>
    <row r="314" spans="1:21" x14ac:dyDescent="0.25">
      <c r="A314" s="966">
        <v>93219</v>
      </c>
      <c r="B314" s="967" t="s">
        <v>2930</v>
      </c>
      <c r="C314" s="968">
        <v>2.6289999999999999E-4</v>
      </c>
      <c r="D314" s="968">
        <v>2.286E-4</v>
      </c>
      <c r="E314" s="1007">
        <v>120179</v>
      </c>
      <c r="F314" s="1010">
        <v>485166</v>
      </c>
      <c r="G314" s="969">
        <v>401638</v>
      </c>
      <c r="H314" s="969"/>
      <c r="I314" s="970">
        <v>23138</v>
      </c>
      <c r="J314" s="971">
        <v>97518</v>
      </c>
      <c r="K314" s="970">
        <v>57360</v>
      </c>
      <c r="L314" s="969">
        <v>22706</v>
      </c>
      <c r="M314" s="969"/>
      <c r="N314" s="970">
        <v>11369</v>
      </c>
      <c r="O314" s="970">
        <v>0</v>
      </c>
      <c r="P314" s="970">
        <v>0</v>
      </c>
      <c r="Q314" s="969">
        <v>9094</v>
      </c>
      <c r="R314" s="969"/>
      <c r="S314" s="970">
        <v>135352</v>
      </c>
      <c r="T314" s="972">
        <v>1456</v>
      </c>
      <c r="U314" s="972">
        <f>136809-1</f>
        <v>136808</v>
      </c>
    </row>
    <row r="315" spans="1:21" x14ac:dyDescent="0.25">
      <c r="A315" s="966">
        <v>93301</v>
      </c>
      <c r="B315" s="967" t="s">
        <v>2931</v>
      </c>
      <c r="C315" s="968">
        <v>2.5243000000000002E-3</v>
      </c>
      <c r="D315" s="968">
        <v>2.5330999999999999E-3</v>
      </c>
      <c r="E315" s="1007">
        <v>1153746</v>
      </c>
      <c r="F315" s="1010">
        <v>5376087</v>
      </c>
      <c r="G315" s="969">
        <v>3856431</v>
      </c>
      <c r="H315" s="969"/>
      <c r="I315" s="970">
        <v>222166</v>
      </c>
      <c r="J315" s="971">
        <v>936346</v>
      </c>
      <c r="K315" s="970">
        <v>550752</v>
      </c>
      <c r="L315" s="969">
        <v>47371</v>
      </c>
      <c r="M315" s="969"/>
      <c r="N315" s="970">
        <v>109163</v>
      </c>
      <c r="O315" s="970">
        <v>0</v>
      </c>
      <c r="P315" s="970">
        <v>0</v>
      </c>
      <c r="Q315" s="969">
        <v>61692</v>
      </c>
      <c r="R315" s="969"/>
      <c r="S315" s="970">
        <v>1299621</v>
      </c>
      <c r="T315" s="972">
        <v>-19789</v>
      </c>
      <c r="U315" s="972">
        <f>1279831+1</f>
        <v>1279832</v>
      </c>
    </row>
    <row r="316" spans="1:21" x14ac:dyDescent="0.25">
      <c r="A316" s="966">
        <v>93304</v>
      </c>
      <c r="B316" s="967" t="s">
        <v>2932</v>
      </c>
      <c r="C316" s="968">
        <v>3.0300000000000001E-5</v>
      </c>
      <c r="D316" s="968">
        <v>3.4400000000000003E-5</v>
      </c>
      <c r="E316" s="1007">
        <v>18289</v>
      </c>
      <c r="F316" s="1010">
        <v>73008</v>
      </c>
      <c r="G316" s="969">
        <v>46290</v>
      </c>
      <c r="H316" s="969"/>
      <c r="I316" s="970">
        <v>2667</v>
      </c>
      <c r="J316" s="971">
        <v>11239</v>
      </c>
      <c r="K316" s="970">
        <v>6611</v>
      </c>
      <c r="L316" s="969">
        <v>9418</v>
      </c>
      <c r="M316" s="969"/>
      <c r="N316" s="970">
        <v>1310</v>
      </c>
      <c r="O316" s="970">
        <v>0</v>
      </c>
      <c r="P316" s="970">
        <v>0</v>
      </c>
      <c r="Q316" s="969">
        <v>0</v>
      </c>
      <c r="R316" s="969"/>
      <c r="S316" s="970">
        <v>15600</v>
      </c>
      <c r="T316" s="972">
        <v>5129</v>
      </c>
      <c r="U316" s="972">
        <v>20729</v>
      </c>
    </row>
    <row r="317" spans="1:21" x14ac:dyDescent="0.25">
      <c r="A317" s="966">
        <v>93305</v>
      </c>
      <c r="B317" s="967" t="s">
        <v>2933</v>
      </c>
      <c r="C317" s="968">
        <v>4.6999999999999997E-5</v>
      </c>
      <c r="D317" s="968">
        <v>4.9400000000000001E-5</v>
      </c>
      <c r="E317" s="1007">
        <v>19565</v>
      </c>
      <c r="F317" s="1010">
        <v>104843</v>
      </c>
      <c r="G317" s="969">
        <v>71803</v>
      </c>
      <c r="H317" s="969"/>
      <c r="I317" s="970">
        <v>4137</v>
      </c>
      <c r="J317" s="971">
        <v>17434</v>
      </c>
      <c r="K317" s="970">
        <v>10254</v>
      </c>
      <c r="L317" s="969">
        <v>0</v>
      </c>
      <c r="M317" s="969"/>
      <c r="N317" s="970">
        <v>2033</v>
      </c>
      <c r="O317" s="970">
        <v>0</v>
      </c>
      <c r="P317" s="970">
        <v>0</v>
      </c>
      <c r="Q317" s="969">
        <v>5631</v>
      </c>
      <c r="R317" s="969"/>
      <c r="S317" s="970">
        <v>24198</v>
      </c>
      <c r="T317" s="972">
        <v>-1929</v>
      </c>
      <c r="U317" s="972">
        <v>22269</v>
      </c>
    </row>
    <row r="318" spans="1:21" x14ac:dyDescent="0.25">
      <c r="A318" s="966">
        <v>93309</v>
      </c>
      <c r="B318" s="967" t="s">
        <v>2934</v>
      </c>
      <c r="C318" s="968">
        <v>1.63E-4</v>
      </c>
      <c r="D318" s="968">
        <v>1.716E-4</v>
      </c>
      <c r="E318" s="1007">
        <v>89051</v>
      </c>
      <c r="F318" s="1010">
        <v>364193</v>
      </c>
      <c r="G318" s="969">
        <v>249019</v>
      </c>
      <c r="H318" s="969"/>
      <c r="I318" s="970">
        <v>14346</v>
      </c>
      <c r="J318" s="971">
        <v>60462</v>
      </c>
      <c r="K318" s="970">
        <v>35563</v>
      </c>
      <c r="L318" s="969">
        <v>22457</v>
      </c>
      <c r="M318" s="969"/>
      <c r="N318" s="970">
        <v>7049</v>
      </c>
      <c r="O318" s="970">
        <v>0</v>
      </c>
      <c r="P318" s="970">
        <v>0</v>
      </c>
      <c r="Q318" s="969">
        <v>981</v>
      </c>
      <c r="R318" s="969"/>
      <c r="S318" s="970">
        <v>83920</v>
      </c>
      <c r="T318" s="972">
        <v>7147</v>
      </c>
      <c r="U318" s="972">
        <v>91067</v>
      </c>
    </row>
    <row r="319" spans="1:21" x14ac:dyDescent="0.25">
      <c r="A319" s="966">
        <v>93311</v>
      </c>
      <c r="B319" s="967" t="s">
        <v>2935</v>
      </c>
      <c r="C319" s="968">
        <v>1.1665E-3</v>
      </c>
      <c r="D319" s="968">
        <v>1.1567000000000001E-3</v>
      </c>
      <c r="E319" s="1007">
        <v>529432</v>
      </c>
      <c r="F319" s="1010">
        <v>2454905</v>
      </c>
      <c r="G319" s="969">
        <v>1782089</v>
      </c>
      <c r="H319" s="969"/>
      <c r="I319" s="970">
        <v>102665</v>
      </c>
      <c r="J319" s="971">
        <v>432693</v>
      </c>
      <c r="K319" s="970">
        <v>254507</v>
      </c>
      <c r="L319" s="969">
        <v>1699</v>
      </c>
      <c r="M319" s="969"/>
      <c r="N319" s="970">
        <v>50445</v>
      </c>
      <c r="O319" s="970">
        <v>0</v>
      </c>
      <c r="P319" s="970">
        <v>0</v>
      </c>
      <c r="Q319" s="969">
        <v>83745</v>
      </c>
      <c r="R319" s="969"/>
      <c r="S319" s="970">
        <v>600566</v>
      </c>
      <c r="T319" s="972">
        <v>-37677</v>
      </c>
      <c r="U319" s="972">
        <v>562889</v>
      </c>
    </row>
    <row r="320" spans="1:21" x14ac:dyDescent="0.25">
      <c r="A320" s="966">
        <v>93317</v>
      </c>
      <c r="B320" s="967" t="s">
        <v>2936</v>
      </c>
      <c r="C320" s="968">
        <v>5.0099999999999998E-5</v>
      </c>
      <c r="D320" s="968">
        <v>4.8099999999999997E-5</v>
      </c>
      <c r="E320" s="1007">
        <v>21779</v>
      </c>
      <c r="F320" s="1010">
        <v>102084</v>
      </c>
      <c r="G320" s="969">
        <v>76539</v>
      </c>
      <c r="H320" s="969"/>
      <c r="I320" s="970">
        <v>4409</v>
      </c>
      <c r="J320" s="971">
        <v>18583</v>
      </c>
      <c r="K320" s="970">
        <v>10931</v>
      </c>
      <c r="L320" s="969">
        <v>805</v>
      </c>
      <c r="M320" s="969"/>
      <c r="N320" s="970">
        <v>2167</v>
      </c>
      <c r="O320" s="970">
        <v>0</v>
      </c>
      <c r="P320" s="970">
        <v>0</v>
      </c>
      <c r="Q320" s="969">
        <v>277</v>
      </c>
      <c r="R320" s="969"/>
      <c r="S320" s="970">
        <v>25794</v>
      </c>
      <c r="T320" s="972">
        <v>-23</v>
      </c>
      <c r="U320" s="972">
        <f>25770+1</f>
        <v>25771</v>
      </c>
    </row>
    <row r="321" spans="1:21" x14ac:dyDescent="0.25">
      <c r="A321" s="966">
        <v>93321</v>
      </c>
      <c r="B321" s="967" t="s">
        <v>2937</v>
      </c>
      <c r="C321" s="968">
        <v>7.3600000000000002E-3</v>
      </c>
      <c r="D321" s="968">
        <v>7.4706E-3</v>
      </c>
      <c r="E321" s="1007">
        <v>3205902</v>
      </c>
      <c r="F321" s="1010">
        <v>15855116</v>
      </c>
      <c r="G321" s="969">
        <v>11244041</v>
      </c>
      <c r="H321" s="969"/>
      <c r="I321" s="970">
        <v>647761</v>
      </c>
      <c r="J321" s="971">
        <v>2730067</v>
      </c>
      <c r="K321" s="970">
        <v>1605805</v>
      </c>
      <c r="L321" s="969">
        <v>0</v>
      </c>
      <c r="M321" s="969"/>
      <c r="N321" s="970">
        <v>318283</v>
      </c>
      <c r="O321" s="970">
        <v>0</v>
      </c>
      <c r="P321" s="970">
        <v>0</v>
      </c>
      <c r="Q321" s="969">
        <v>681688</v>
      </c>
      <c r="R321" s="969"/>
      <c r="S321" s="970">
        <v>3789252</v>
      </c>
      <c r="T321" s="972">
        <v>-330030</v>
      </c>
      <c r="U321" s="972">
        <f>3459221+1</f>
        <v>3459222</v>
      </c>
    </row>
    <row r="322" spans="1:21" x14ac:dyDescent="0.25">
      <c r="A322" s="966">
        <v>93323</v>
      </c>
      <c r="B322" s="967" t="s">
        <v>2938</v>
      </c>
      <c r="C322" s="968">
        <v>2.19E-5</v>
      </c>
      <c r="D322" s="968">
        <v>1.0200000000000001E-5</v>
      </c>
      <c r="E322" s="1007">
        <v>8923</v>
      </c>
      <c r="F322" s="1010">
        <v>21648</v>
      </c>
      <c r="G322" s="969">
        <v>33457</v>
      </c>
      <c r="H322" s="969"/>
      <c r="I322" s="970">
        <v>1927</v>
      </c>
      <c r="J322" s="971">
        <v>8123</v>
      </c>
      <c r="K322" s="970">
        <v>4778</v>
      </c>
      <c r="L322" s="969">
        <v>8607</v>
      </c>
      <c r="M322" s="969"/>
      <c r="N322" s="970">
        <v>947</v>
      </c>
      <c r="O322" s="970">
        <v>0</v>
      </c>
      <c r="P322" s="970">
        <v>0</v>
      </c>
      <c r="Q322" s="969">
        <v>1100</v>
      </c>
      <c r="R322" s="969"/>
      <c r="S322" s="970">
        <v>11275</v>
      </c>
      <c r="T322" s="972">
        <v>2519</v>
      </c>
      <c r="U322" s="972">
        <v>13794</v>
      </c>
    </row>
    <row r="323" spans="1:21" x14ac:dyDescent="0.25">
      <c r="A323" s="966">
        <v>93331</v>
      </c>
      <c r="B323" s="967" t="s">
        <v>2939</v>
      </c>
      <c r="C323" s="968">
        <v>1.208E-4</v>
      </c>
      <c r="D323" s="968">
        <v>1.3090000000000001E-4</v>
      </c>
      <c r="E323" s="1007">
        <v>56936</v>
      </c>
      <c r="F323" s="1010">
        <v>277814</v>
      </c>
      <c r="G323" s="969">
        <v>184549</v>
      </c>
      <c r="H323" s="969"/>
      <c r="I323" s="970">
        <v>10632</v>
      </c>
      <c r="J323" s="971">
        <v>44809</v>
      </c>
      <c r="K323" s="970">
        <v>26356</v>
      </c>
      <c r="L323" s="969">
        <v>2512</v>
      </c>
      <c r="M323" s="969"/>
      <c r="N323" s="970">
        <v>5224</v>
      </c>
      <c r="O323" s="970">
        <v>0</v>
      </c>
      <c r="P323" s="970">
        <v>0</v>
      </c>
      <c r="Q323" s="969">
        <v>11531</v>
      </c>
      <c r="R323" s="969"/>
      <c r="S323" s="970">
        <v>62193</v>
      </c>
      <c r="T323" s="972">
        <v>-2506</v>
      </c>
      <c r="U323" s="972">
        <v>59687</v>
      </c>
    </row>
    <row r="324" spans="1:21" x14ac:dyDescent="0.25">
      <c r="A324" s="966">
        <v>93333</v>
      </c>
      <c r="B324" s="967" t="s">
        <v>2940</v>
      </c>
      <c r="C324" s="968">
        <v>1.796E-4</v>
      </c>
      <c r="D324" s="968">
        <v>1.9990000000000001E-4</v>
      </c>
      <c r="E324" s="1007">
        <v>190543</v>
      </c>
      <c r="F324" s="1010">
        <v>424255</v>
      </c>
      <c r="G324" s="969">
        <v>274379</v>
      </c>
      <c r="H324" s="969"/>
      <c r="I324" s="970">
        <v>15807</v>
      </c>
      <c r="J324" s="971">
        <v>66619</v>
      </c>
      <c r="K324" s="970">
        <v>39185</v>
      </c>
      <c r="L324" s="969">
        <v>194737</v>
      </c>
      <c r="M324" s="969"/>
      <c r="N324" s="970">
        <v>7767</v>
      </c>
      <c r="O324" s="970">
        <v>0</v>
      </c>
      <c r="P324" s="970">
        <v>0</v>
      </c>
      <c r="Q324" s="969">
        <v>0</v>
      </c>
      <c r="R324" s="969"/>
      <c r="S324" s="970">
        <v>92466</v>
      </c>
      <c r="T324" s="972">
        <v>74695</v>
      </c>
      <c r="U324" s="972">
        <v>167161</v>
      </c>
    </row>
    <row r="325" spans="1:21" x14ac:dyDescent="0.25">
      <c r="A325" s="966">
        <v>93341</v>
      </c>
      <c r="B325" s="967" t="s">
        <v>2941</v>
      </c>
      <c r="C325" s="968">
        <v>2.34E-5</v>
      </c>
      <c r="D325" s="968">
        <v>2.73E-5</v>
      </c>
      <c r="E325" s="1007">
        <v>12933</v>
      </c>
      <c r="F325" s="1010">
        <v>57940</v>
      </c>
      <c r="G325" s="969">
        <v>35749</v>
      </c>
      <c r="H325" s="969"/>
      <c r="I325" s="970">
        <v>2059</v>
      </c>
      <c r="J325" s="971">
        <v>8680</v>
      </c>
      <c r="K325" s="970">
        <v>5105</v>
      </c>
      <c r="L325" s="969">
        <v>1866</v>
      </c>
      <c r="M325" s="969"/>
      <c r="N325" s="970">
        <v>1012</v>
      </c>
      <c r="O325" s="970">
        <v>0</v>
      </c>
      <c r="P325" s="970">
        <v>0</v>
      </c>
      <c r="Q325" s="969">
        <v>863</v>
      </c>
      <c r="R325" s="969"/>
      <c r="S325" s="970">
        <v>12047</v>
      </c>
      <c r="T325" s="972">
        <v>708</v>
      </c>
      <c r="U325" s="972">
        <v>12755</v>
      </c>
    </row>
    <row r="326" spans="1:21" x14ac:dyDescent="0.25">
      <c r="A326" s="966">
        <v>93351</v>
      </c>
      <c r="B326" s="967" t="s">
        <v>2942</v>
      </c>
      <c r="C326" s="968">
        <v>3.4E-5</v>
      </c>
      <c r="D326" s="968">
        <v>1.5999999999999999E-5</v>
      </c>
      <c r="E326" s="1007">
        <v>16319</v>
      </c>
      <c r="F326" s="1010">
        <v>33957</v>
      </c>
      <c r="G326" s="969">
        <v>51943</v>
      </c>
      <c r="H326" s="969"/>
      <c r="I326" s="970">
        <v>2992</v>
      </c>
      <c r="J326" s="971">
        <v>12611</v>
      </c>
      <c r="K326" s="970">
        <v>7418</v>
      </c>
      <c r="L326" s="969">
        <v>18867</v>
      </c>
      <c r="M326" s="969"/>
      <c r="N326" s="970">
        <v>1470</v>
      </c>
      <c r="O326" s="970">
        <v>0</v>
      </c>
      <c r="P326" s="970">
        <v>0</v>
      </c>
      <c r="Q326" s="969">
        <v>4169</v>
      </c>
      <c r="R326" s="969"/>
      <c r="S326" s="970">
        <v>17505</v>
      </c>
      <c r="T326" s="972">
        <v>2906</v>
      </c>
      <c r="U326" s="972">
        <f>20410+1</f>
        <v>20411</v>
      </c>
    </row>
    <row r="327" spans="1:21" x14ac:dyDescent="0.25">
      <c r="A327" s="966">
        <v>93401</v>
      </c>
      <c r="B327" s="967" t="s">
        <v>2943</v>
      </c>
      <c r="C327" s="968">
        <v>1.3834900000000001E-2</v>
      </c>
      <c r="D327" s="968">
        <v>1.37997E-2</v>
      </c>
      <c r="E327" s="1007">
        <v>6356857</v>
      </c>
      <c r="F327" s="1010">
        <v>29287586</v>
      </c>
      <c r="G327" s="969">
        <v>21135895</v>
      </c>
      <c r="H327" s="969"/>
      <c r="I327" s="970">
        <v>1217623</v>
      </c>
      <c r="J327" s="971">
        <v>5131821</v>
      </c>
      <c r="K327" s="970">
        <v>3018498</v>
      </c>
      <c r="L327" s="969">
        <v>99926</v>
      </c>
      <c r="M327" s="969"/>
      <c r="N327" s="970">
        <v>598290</v>
      </c>
      <c r="O327" s="970">
        <v>0</v>
      </c>
      <c r="P327" s="970">
        <v>0</v>
      </c>
      <c r="Q327" s="969">
        <v>186001</v>
      </c>
      <c r="R327" s="969"/>
      <c r="S327" s="970">
        <v>7122815</v>
      </c>
      <c r="T327" s="972">
        <v>-76616</v>
      </c>
      <c r="U327" s="972">
        <v>7046199</v>
      </c>
    </row>
    <row r="328" spans="1:21" x14ac:dyDescent="0.25">
      <c r="A328" s="966">
        <v>93402</v>
      </c>
      <c r="B328" s="967" t="s">
        <v>2944</v>
      </c>
      <c r="C328" s="968">
        <v>9.8800000000000003E-5</v>
      </c>
      <c r="D328" s="968">
        <v>9.2999999999999997E-5</v>
      </c>
      <c r="E328" s="1007">
        <v>38604</v>
      </c>
      <c r="F328" s="1010">
        <v>197377</v>
      </c>
      <c r="G328" s="969">
        <v>150939</v>
      </c>
      <c r="H328" s="969"/>
      <c r="I328" s="970">
        <v>8695</v>
      </c>
      <c r="J328" s="971">
        <v>36648</v>
      </c>
      <c r="K328" s="970">
        <v>21556</v>
      </c>
      <c r="L328" s="969">
        <v>5545</v>
      </c>
      <c r="M328" s="969"/>
      <c r="N328" s="970">
        <v>4273</v>
      </c>
      <c r="O328" s="970">
        <v>0</v>
      </c>
      <c r="P328" s="970">
        <v>0</v>
      </c>
      <c r="Q328" s="969">
        <v>3446</v>
      </c>
      <c r="R328" s="969"/>
      <c r="S328" s="970">
        <v>50867</v>
      </c>
      <c r="T328" s="972">
        <v>3029</v>
      </c>
      <c r="U328" s="972">
        <f>53895+1</f>
        <v>53896</v>
      </c>
    </row>
    <row r="329" spans="1:21" x14ac:dyDescent="0.25">
      <c r="A329" s="966">
        <v>93406</v>
      </c>
      <c r="B329" s="967" t="s">
        <v>2945</v>
      </c>
      <c r="C329" s="968">
        <v>6.5059999999999998E-4</v>
      </c>
      <c r="D329" s="968">
        <v>7.1170000000000001E-4</v>
      </c>
      <c r="E329" s="1007">
        <v>289720</v>
      </c>
      <c r="F329" s="1010">
        <v>1510466</v>
      </c>
      <c r="G329" s="969">
        <v>993937</v>
      </c>
      <c r="H329" s="969"/>
      <c r="I329" s="970">
        <v>57260</v>
      </c>
      <c r="J329" s="971">
        <v>241329</v>
      </c>
      <c r="K329" s="970">
        <v>141948</v>
      </c>
      <c r="L329" s="969">
        <v>26056</v>
      </c>
      <c r="M329" s="969"/>
      <c r="N329" s="970">
        <v>28135</v>
      </c>
      <c r="O329" s="970">
        <v>0</v>
      </c>
      <c r="P329" s="970">
        <v>0</v>
      </c>
      <c r="Q329" s="969">
        <v>48133</v>
      </c>
      <c r="R329" s="969"/>
      <c r="S329" s="970">
        <v>334958</v>
      </c>
      <c r="T329" s="972">
        <v>7011</v>
      </c>
      <c r="U329" s="972">
        <f>341968+1</f>
        <v>341969</v>
      </c>
    </row>
    <row r="330" spans="1:21" x14ac:dyDescent="0.25">
      <c r="A330" s="966">
        <v>93408</v>
      </c>
      <c r="B330" s="967" t="s">
        <v>2946</v>
      </c>
      <c r="C330" s="968">
        <v>0</v>
      </c>
      <c r="D330" s="968">
        <v>1.8967999999999999E-3</v>
      </c>
      <c r="E330" s="1007">
        <v>73962</v>
      </c>
      <c r="F330" s="1010">
        <v>4025645</v>
      </c>
      <c r="G330" s="969">
        <v>0</v>
      </c>
      <c r="H330" s="969"/>
      <c r="I330" s="970">
        <v>0</v>
      </c>
      <c r="J330" s="971">
        <v>0</v>
      </c>
      <c r="K330" s="970">
        <v>0</v>
      </c>
      <c r="L330" s="969">
        <v>173575</v>
      </c>
      <c r="M330" s="969"/>
      <c r="N330" s="970">
        <v>0</v>
      </c>
      <c r="O330" s="970">
        <v>0</v>
      </c>
      <c r="P330" s="970">
        <v>0</v>
      </c>
      <c r="Q330" s="969">
        <v>1605024</v>
      </c>
      <c r="R330" s="969"/>
      <c r="S330" s="970">
        <v>0</v>
      </c>
      <c r="T330" s="972">
        <v>-292149</v>
      </c>
      <c r="U330" s="972">
        <v>-292149</v>
      </c>
    </row>
    <row r="331" spans="1:21" x14ac:dyDescent="0.25">
      <c r="A331" s="966">
        <v>93411</v>
      </c>
      <c r="B331" s="967" t="s">
        <v>2947</v>
      </c>
      <c r="C331" s="968">
        <v>1.7454999999999998E-2</v>
      </c>
      <c r="D331" s="968">
        <v>1.73309E-2</v>
      </c>
      <c r="E331" s="1007">
        <v>8222694</v>
      </c>
      <c r="F331" s="1010">
        <v>36781976</v>
      </c>
      <c r="G331" s="969">
        <v>26666405</v>
      </c>
      <c r="H331" s="969"/>
      <c r="I331" s="970">
        <v>1536232</v>
      </c>
      <c r="J331" s="971">
        <v>6474635</v>
      </c>
      <c r="K331" s="970">
        <v>3808332</v>
      </c>
      <c r="L331" s="969">
        <v>250711</v>
      </c>
      <c r="M331" s="969"/>
      <c r="N331" s="970">
        <v>754841</v>
      </c>
      <c r="O331" s="970">
        <v>0</v>
      </c>
      <c r="P331" s="970">
        <v>0</v>
      </c>
      <c r="Q331" s="969">
        <v>594754</v>
      </c>
      <c r="R331" s="969"/>
      <c r="S331" s="970">
        <v>8986602</v>
      </c>
      <c r="T331" s="972">
        <v>-306468</v>
      </c>
      <c r="U331" s="972">
        <v>8680134</v>
      </c>
    </row>
    <row r="332" spans="1:21" x14ac:dyDescent="0.25">
      <c r="A332" s="966">
        <v>93413</v>
      </c>
      <c r="B332" s="967" t="s">
        <v>2948</v>
      </c>
      <c r="C332" s="968">
        <v>7.7070000000000003E-4</v>
      </c>
      <c r="D332" s="968">
        <v>8.0130000000000002E-4</v>
      </c>
      <c r="E332" s="1007">
        <v>378796</v>
      </c>
      <c r="F332" s="1010">
        <v>1700627</v>
      </c>
      <c r="G332" s="969">
        <v>1177416</v>
      </c>
      <c r="H332" s="969"/>
      <c r="I332" s="970">
        <v>67830</v>
      </c>
      <c r="J332" s="971">
        <v>285878</v>
      </c>
      <c r="K332" s="970">
        <v>168151</v>
      </c>
      <c r="L332" s="969">
        <v>0</v>
      </c>
      <c r="M332" s="969"/>
      <c r="N332" s="970">
        <v>33329</v>
      </c>
      <c r="O332" s="970">
        <v>0</v>
      </c>
      <c r="P332" s="970">
        <v>0</v>
      </c>
      <c r="Q332" s="969">
        <v>35372</v>
      </c>
      <c r="R332" s="969"/>
      <c r="S332" s="970">
        <v>396790</v>
      </c>
      <c r="T332" s="972">
        <v>-17507</v>
      </c>
      <c r="U332" s="972">
        <v>379283</v>
      </c>
    </row>
    <row r="333" spans="1:21" x14ac:dyDescent="0.25">
      <c r="A333" s="966">
        <v>93417</v>
      </c>
      <c r="B333" s="967" t="s">
        <v>2949</v>
      </c>
      <c r="C333" s="968">
        <v>3.4430000000000002E-4</v>
      </c>
      <c r="D333" s="968">
        <v>4.1130000000000002E-4</v>
      </c>
      <c r="E333" s="1007">
        <v>172878</v>
      </c>
      <c r="F333" s="1010">
        <v>872916</v>
      </c>
      <c r="G333" s="969">
        <v>525995</v>
      </c>
      <c r="H333" s="969"/>
      <c r="I333" s="970">
        <v>30302</v>
      </c>
      <c r="J333" s="971">
        <v>127712</v>
      </c>
      <c r="K333" s="970">
        <v>75119</v>
      </c>
      <c r="L333" s="969">
        <v>15432</v>
      </c>
      <c r="M333" s="969"/>
      <c r="N333" s="970">
        <v>14889</v>
      </c>
      <c r="O333" s="970">
        <v>0</v>
      </c>
      <c r="P333" s="970">
        <v>0</v>
      </c>
      <c r="Q333" s="969">
        <v>33069</v>
      </c>
      <c r="R333" s="969"/>
      <c r="S333" s="970">
        <v>177261</v>
      </c>
      <c r="T333" s="972">
        <v>5883</v>
      </c>
      <c r="U333" s="972">
        <v>183144</v>
      </c>
    </row>
    <row r="334" spans="1:21" x14ac:dyDescent="0.25">
      <c r="A334" s="966">
        <v>93421</v>
      </c>
      <c r="B334" s="967" t="s">
        <v>2950</v>
      </c>
      <c r="C334" s="968">
        <v>2.1294999999999999E-3</v>
      </c>
      <c r="D334" s="968">
        <v>2.1646E-3</v>
      </c>
      <c r="E334" s="1007">
        <v>893357</v>
      </c>
      <c r="F334" s="1010">
        <v>4594006</v>
      </c>
      <c r="G334" s="969">
        <v>3253286</v>
      </c>
      <c r="H334" s="969"/>
      <c r="I334" s="970">
        <v>187419</v>
      </c>
      <c r="J334" s="971">
        <v>789902</v>
      </c>
      <c r="K334" s="970">
        <v>464614</v>
      </c>
      <c r="L334" s="969">
        <v>0</v>
      </c>
      <c r="M334" s="969"/>
      <c r="N334" s="970">
        <v>92090</v>
      </c>
      <c r="O334" s="970">
        <v>0</v>
      </c>
      <c r="P334" s="970">
        <v>0</v>
      </c>
      <c r="Q334" s="969">
        <v>273225</v>
      </c>
      <c r="R334" s="969"/>
      <c r="S334" s="970">
        <v>1096360</v>
      </c>
      <c r="T334" s="972">
        <v>-126565</v>
      </c>
      <c r="U334" s="972">
        <v>969795</v>
      </c>
    </row>
    <row r="335" spans="1:21" x14ac:dyDescent="0.25">
      <c r="A335" s="966">
        <v>93431</v>
      </c>
      <c r="B335" s="967" t="s">
        <v>2951</v>
      </c>
      <c r="C335" s="968">
        <v>1.2689999999999999E-4</v>
      </c>
      <c r="D335" s="968">
        <v>1.127E-4</v>
      </c>
      <c r="E335" s="1007">
        <v>61080</v>
      </c>
      <c r="F335" s="1010">
        <v>239187</v>
      </c>
      <c r="G335" s="969">
        <v>193868</v>
      </c>
      <c r="H335" s="969"/>
      <c r="I335" s="970">
        <v>11169</v>
      </c>
      <c r="J335" s="971">
        <v>47071</v>
      </c>
      <c r="K335" s="970">
        <v>27687</v>
      </c>
      <c r="L335" s="969">
        <v>12612</v>
      </c>
      <c r="M335" s="969"/>
      <c r="N335" s="970">
        <v>5488</v>
      </c>
      <c r="O335" s="970">
        <v>0</v>
      </c>
      <c r="P335" s="970">
        <v>0</v>
      </c>
      <c r="Q335" s="969">
        <v>5397</v>
      </c>
      <c r="R335" s="969"/>
      <c r="S335" s="970">
        <v>65334</v>
      </c>
      <c r="T335" s="972">
        <v>1734</v>
      </c>
      <c r="U335" s="972">
        <v>67068</v>
      </c>
    </row>
    <row r="336" spans="1:21" x14ac:dyDescent="0.25">
      <c r="A336" s="966">
        <v>93441</v>
      </c>
      <c r="B336" s="967" t="s">
        <v>2952</v>
      </c>
      <c r="C336" s="968">
        <v>1.54E-4</v>
      </c>
      <c r="D336" s="968">
        <v>1.4970000000000001E-4</v>
      </c>
      <c r="E336" s="1007">
        <v>77933</v>
      </c>
      <c r="F336" s="1010">
        <v>317714</v>
      </c>
      <c r="G336" s="969">
        <v>235269</v>
      </c>
      <c r="H336" s="969"/>
      <c r="I336" s="970">
        <v>13554</v>
      </c>
      <c r="J336" s="971">
        <v>57124</v>
      </c>
      <c r="K336" s="970">
        <v>33600</v>
      </c>
      <c r="L336" s="969">
        <v>30786</v>
      </c>
      <c r="M336" s="969"/>
      <c r="N336" s="970">
        <v>6660</v>
      </c>
      <c r="O336" s="970">
        <v>0</v>
      </c>
      <c r="P336" s="970">
        <v>0</v>
      </c>
      <c r="Q336" s="969">
        <v>0</v>
      </c>
      <c r="R336" s="969"/>
      <c r="S336" s="970">
        <v>79286</v>
      </c>
      <c r="T336" s="972">
        <v>14822</v>
      </c>
      <c r="U336" s="972">
        <v>94108</v>
      </c>
    </row>
    <row r="337" spans="1:21" x14ac:dyDescent="0.25">
      <c r="A337" s="966">
        <v>93442</v>
      </c>
      <c r="B337" s="967" t="s">
        <v>2953</v>
      </c>
      <c r="C337" s="968">
        <v>1.505E-4</v>
      </c>
      <c r="D337" s="968">
        <v>1.3540000000000001E-4</v>
      </c>
      <c r="E337" s="1007">
        <v>57507</v>
      </c>
      <c r="F337" s="1010">
        <v>287364</v>
      </c>
      <c r="G337" s="969">
        <v>229922</v>
      </c>
      <c r="H337" s="969"/>
      <c r="I337" s="970">
        <v>13246</v>
      </c>
      <c r="J337" s="971">
        <v>55826</v>
      </c>
      <c r="K337" s="970">
        <v>32836</v>
      </c>
      <c r="L337" s="969">
        <v>5191</v>
      </c>
      <c r="M337" s="969"/>
      <c r="N337" s="970">
        <v>6508</v>
      </c>
      <c r="O337" s="970">
        <v>0</v>
      </c>
      <c r="P337" s="970">
        <v>0</v>
      </c>
      <c r="Q337" s="969">
        <v>20988</v>
      </c>
      <c r="R337" s="969"/>
      <c r="S337" s="970">
        <v>77484</v>
      </c>
      <c r="T337" s="972">
        <v>-6353</v>
      </c>
      <c r="U337" s="972">
        <v>71131</v>
      </c>
    </row>
    <row r="338" spans="1:21" x14ac:dyDescent="0.25">
      <c r="A338" s="966">
        <v>93451</v>
      </c>
      <c r="B338" s="967" t="s">
        <v>2954</v>
      </c>
      <c r="C338" s="968">
        <v>7.0900000000000002E-5</v>
      </c>
      <c r="D338" s="968">
        <v>7.6899999999999999E-5</v>
      </c>
      <c r="E338" s="1007">
        <v>41775</v>
      </c>
      <c r="F338" s="1010">
        <v>163208</v>
      </c>
      <c r="G338" s="969">
        <v>108316</v>
      </c>
      <c r="H338" s="969"/>
      <c r="I338" s="970">
        <v>6240</v>
      </c>
      <c r="J338" s="971">
        <v>26299</v>
      </c>
      <c r="K338" s="970">
        <v>15469</v>
      </c>
      <c r="L338" s="969">
        <v>16242</v>
      </c>
      <c r="M338" s="969"/>
      <c r="N338" s="970">
        <v>3066</v>
      </c>
      <c r="O338" s="970">
        <v>0</v>
      </c>
      <c r="P338" s="970">
        <v>0</v>
      </c>
      <c r="Q338" s="969">
        <v>1492</v>
      </c>
      <c r="R338" s="969"/>
      <c r="S338" s="970">
        <v>36502</v>
      </c>
      <c r="T338" s="972">
        <v>5181</v>
      </c>
      <c r="U338" s="972">
        <f>41684-1</f>
        <v>41683</v>
      </c>
    </row>
    <row r="339" spans="1:21" x14ac:dyDescent="0.25">
      <c r="A339" s="966">
        <v>93461</v>
      </c>
      <c r="B339" s="967" t="s">
        <v>2955</v>
      </c>
      <c r="C339" s="968">
        <v>1.66E-5</v>
      </c>
      <c r="D339" s="968">
        <v>1.7200000000000001E-5</v>
      </c>
      <c r="E339" s="1007">
        <v>8264</v>
      </c>
      <c r="F339" s="1010">
        <v>36504</v>
      </c>
      <c r="G339" s="969">
        <v>25360</v>
      </c>
      <c r="H339" s="969"/>
      <c r="I339" s="970">
        <v>1461</v>
      </c>
      <c r="J339" s="971">
        <v>6157</v>
      </c>
      <c r="K339" s="970">
        <v>3622</v>
      </c>
      <c r="L339" s="969">
        <v>580</v>
      </c>
      <c r="M339" s="969"/>
      <c r="N339" s="970">
        <v>718</v>
      </c>
      <c r="O339" s="970">
        <v>0</v>
      </c>
      <c r="P339" s="970">
        <v>0</v>
      </c>
      <c r="Q339" s="969">
        <v>0</v>
      </c>
      <c r="R339" s="969"/>
      <c r="S339" s="970">
        <v>8546</v>
      </c>
      <c r="T339" s="972">
        <v>254</v>
      </c>
      <c r="U339" s="972">
        <f>8801-1</f>
        <v>8800</v>
      </c>
    </row>
    <row r="340" spans="1:21" x14ac:dyDescent="0.25">
      <c r="A340" s="966">
        <v>93471</v>
      </c>
      <c r="B340" s="967" t="s">
        <v>2956</v>
      </c>
      <c r="C340" s="968">
        <v>1.31E-5</v>
      </c>
      <c r="D340" s="968">
        <v>1.1800000000000001E-5</v>
      </c>
      <c r="E340" s="1007">
        <v>8324</v>
      </c>
      <c r="F340" s="1010">
        <v>25044</v>
      </c>
      <c r="G340" s="969">
        <v>20013</v>
      </c>
      <c r="H340" s="969"/>
      <c r="I340" s="970">
        <v>1153</v>
      </c>
      <c r="J340" s="971">
        <v>4859</v>
      </c>
      <c r="K340" s="970">
        <v>2858</v>
      </c>
      <c r="L340" s="969">
        <v>4280</v>
      </c>
      <c r="M340" s="969"/>
      <c r="N340" s="970">
        <v>567</v>
      </c>
      <c r="O340" s="970">
        <v>0</v>
      </c>
      <c r="P340" s="970">
        <v>0</v>
      </c>
      <c r="Q340" s="969">
        <v>63</v>
      </c>
      <c r="R340" s="969"/>
      <c r="S340" s="970">
        <v>6744</v>
      </c>
      <c r="T340" s="972">
        <v>1243</v>
      </c>
      <c r="U340" s="972">
        <v>7987</v>
      </c>
    </row>
    <row r="341" spans="1:21" x14ac:dyDescent="0.25">
      <c r="A341" s="966">
        <v>93501</v>
      </c>
      <c r="B341" s="967" t="s">
        <v>2957</v>
      </c>
      <c r="C341" s="968">
        <v>3.6113999999999999E-3</v>
      </c>
      <c r="D341" s="968">
        <v>3.4039000000000001E-3</v>
      </c>
      <c r="E341" s="1007">
        <v>1661033</v>
      </c>
      <c r="F341" s="1010">
        <v>7224216</v>
      </c>
      <c r="G341" s="969">
        <v>5517219</v>
      </c>
      <c r="H341" s="969"/>
      <c r="I341" s="970">
        <v>317843</v>
      </c>
      <c r="J341" s="971">
        <v>1339587</v>
      </c>
      <c r="K341" s="970">
        <v>787935</v>
      </c>
      <c r="L341" s="969">
        <v>233815</v>
      </c>
      <c r="M341" s="969"/>
      <c r="N341" s="970">
        <v>156175</v>
      </c>
      <c r="O341" s="970">
        <v>0</v>
      </c>
      <c r="P341" s="970">
        <v>0</v>
      </c>
      <c r="Q341" s="969">
        <v>57589</v>
      </c>
      <c r="R341" s="969"/>
      <c r="S341" s="970">
        <v>1859308</v>
      </c>
      <c r="T341" s="972">
        <v>88331</v>
      </c>
      <c r="U341" s="972">
        <v>1947639</v>
      </c>
    </row>
    <row r="342" spans="1:21" x14ac:dyDescent="0.25">
      <c r="A342" s="966">
        <v>93511</v>
      </c>
      <c r="B342" s="967" t="s">
        <v>2958</v>
      </c>
      <c r="C342" s="968">
        <v>8.8300000000000005E-5</v>
      </c>
      <c r="D342" s="968">
        <v>9.8999999999999994E-5</v>
      </c>
      <c r="E342" s="1007">
        <v>45050</v>
      </c>
      <c r="F342" s="1010">
        <v>210111</v>
      </c>
      <c r="G342" s="969">
        <v>134898</v>
      </c>
      <c r="H342" s="969"/>
      <c r="I342" s="970">
        <v>7771</v>
      </c>
      <c r="J342" s="971">
        <v>32753</v>
      </c>
      <c r="K342" s="970">
        <v>19265</v>
      </c>
      <c r="L342" s="969">
        <v>2589</v>
      </c>
      <c r="M342" s="969"/>
      <c r="N342" s="970">
        <v>3819</v>
      </c>
      <c r="O342" s="970">
        <v>0</v>
      </c>
      <c r="P342" s="970">
        <v>0</v>
      </c>
      <c r="Q342" s="969">
        <v>13801</v>
      </c>
      <c r="R342" s="969"/>
      <c r="S342" s="970">
        <v>45461</v>
      </c>
      <c r="T342" s="972">
        <v>-2683</v>
      </c>
      <c r="U342" s="972">
        <v>42778</v>
      </c>
    </row>
    <row r="343" spans="1:21" x14ac:dyDescent="0.25">
      <c r="A343" s="966">
        <v>93517</v>
      </c>
      <c r="B343" s="967" t="s">
        <v>2959</v>
      </c>
      <c r="C343" s="968">
        <v>6.0000000000000002E-6</v>
      </c>
      <c r="D343" s="968">
        <v>6.4999999999999996E-6</v>
      </c>
      <c r="E343" s="1007">
        <v>4387</v>
      </c>
      <c r="F343" s="1010">
        <v>13795</v>
      </c>
      <c r="G343" s="969">
        <v>9166</v>
      </c>
      <c r="H343" s="969"/>
      <c r="I343" s="970">
        <v>528</v>
      </c>
      <c r="J343" s="971">
        <v>2226</v>
      </c>
      <c r="K343" s="970">
        <v>1309</v>
      </c>
      <c r="L343" s="969">
        <v>3133</v>
      </c>
      <c r="M343" s="969"/>
      <c r="N343" s="970">
        <v>259</v>
      </c>
      <c r="O343" s="970">
        <v>0</v>
      </c>
      <c r="P343" s="970">
        <v>0</v>
      </c>
      <c r="Q343" s="969">
        <v>503</v>
      </c>
      <c r="R343" s="969"/>
      <c r="S343" s="970">
        <v>3089</v>
      </c>
      <c r="T343" s="972">
        <v>771</v>
      </c>
      <c r="U343" s="972">
        <v>3860</v>
      </c>
    </row>
    <row r="344" spans="1:21" x14ac:dyDescent="0.25">
      <c r="A344" s="966">
        <v>93521</v>
      </c>
      <c r="B344" s="967" t="s">
        <v>2960</v>
      </c>
      <c r="C344" s="968">
        <v>4.5649999999999998E-4</v>
      </c>
      <c r="D344" s="968">
        <v>5.6389999999999999E-4</v>
      </c>
      <c r="E344" s="1007">
        <v>213305</v>
      </c>
      <c r="F344" s="1010">
        <v>1196785</v>
      </c>
      <c r="G344" s="969">
        <v>697406</v>
      </c>
      <c r="H344" s="969"/>
      <c r="I344" s="970">
        <v>40177</v>
      </c>
      <c r="J344" s="971">
        <v>169331</v>
      </c>
      <c r="K344" s="970">
        <v>99599</v>
      </c>
      <c r="L344" s="969">
        <v>7159</v>
      </c>
      <c r="M344" s="969"/>
      <c r="N344" s="970">
        <v>19741</v>
      </c>
      <c r="O344" s="970">
        <v>0</v>
      </c>
      <c r="P344" s="970">
        <v>0</v>
      </c>
      <c r="Q344" s="969">
        <v>74583</v>
      </c>
      <c r="R344" s="969"/>
      <c r="S344" s="970">
        <v>235026</v>
      </c>
      <c r="T344" s="972">
        <v>-19847</v>
      </c>
      <c r="U344" s="972">
        <f>215180-1</f>
        <v>215179</v>
      </c>
    </row>
    <row r="345" spans="1:21" x14ac:dyDescent="0.25">
      <c r="A345" s="966">
        <v>93527</v>
      </c>
      <c r="B345" s="967" t="s">
        <v>2961</v>
      </c>
      <c r="C345" s="968">
        <v>1.2099999999999999E-5</v>
      </c>
      <c r="D345" s="968">
        <v>5.4E-6</v>
      </c>
      <c r="E345" s="1007">
        <v>9591</v>
      </c>
      <c r="F345" s="1010">
        <v>11461</v>
      </c>
      <c r="G345" s="969">
        <v>18485</v>
      </c>
      <c r="H345" s="969"/>
      <c r="I345" s="970">
        <v>1065</v>
      </c>
      <c r="J345" s="971">
        <v>4488</v>
      </c>
      <c r="K345" s="970">
        <v>2640</v>
      </c>
      <c r="L345" s="969">
        <v>15016</v>
      </c>
      <c r="M345" s="969"/>
      <c r="N345" s="970">
        <v>523</v>
      </c>
      <c r="O345" s="970">
        <v>0</v>
      </c>
      <c r="P345" s="970">
        <v>0</v>
      </c>
      <c r="Q345" s="969">
        <v>0</v>
      </c>
      <c r="R345" s="969"/>
      <c r="S345" s="970">
        <v>6230</v>
      </c>
      <c r="T345" s="972">
        <v>5872</v>
      </c>
      <c r="U345" s="972">
        <f>12101+1</f>
        <v>12102</v>
      </c>
    </row>
    <row r="346" spans="1:21" x14ac:dyDescent="0.25">
      <c r="A346" s="966">
        <v>93531</v>
      </c>
      <c r="B346" s="967" t="s">
        <v>2962</v>
      </c>
      <c r="C346" s="968">
        <v>1.7E-5</v>
      </c>
      <c r="D346" s="968">
        <v>2.4000000000000001E-5</v>
      </c>
      <c r="E346" s="1007">
        <v>11624</v>
      </c>
      <c r="F346" s="1010">
        <v>50936</v>
      </c>
      <c r="G346" s="969">
        <v>25971</v>
      </c>
      <c r="H346" s="969"/>
      <c r="I346" s="970">
        <v>1496</v>
      </c>
      <c r="J346" s="971">
        <v>6306</v>
      </c>
      <c r="K346" s="970">
        <v>3709</v>
      </c>
      <c r="L346" s="969">
        <v>791</v>
      </c>
      <c r="M346" s="969"/>
      <c r="N346" s="970">
        <v>735</v>
      </c>
      <c r="O346" s="970">
        <v>0</v>
      </c>
      <c r="P346" s="970">
        <v>0</v>
      </c>
      <c r="Q346" s="969">
        <v>2743</v>
      </c>
      <c r="R346" s="969"/>
      <c r="S346" s="970">
        <v>8752</v>
      </c>
      <c r="T346" s="972">
        <v>-1210</v>
      </c>
      <c r="U346" s="972">
        <v>7542</v>
      </c>
    </row>
    <row r="347" spans="1:21" x14ac:dyDescent="0.25">
      <c r="A347" s="966">
        <v>93537</v>
      </c>
      <c r="B347" s="967" t="s">
        <v>2963</v>
      </c>
      <c r="C347" s="968">
        <v>1.1199999999999999E-5</v>
      </c>
      <c r="D347" s="968">
        <v>1.17E-5</v>
      </c>
      <c r="E347" s="1007">
        <v>4064</v>
      </c>
      <c r="F347" s="1010">
        <v>24831</v>
      </c>
      <c r="G347" s="969">
        <v>17110</v>
      </c>
      <c r="H347" s="969"/>
      <c r="I347" s="970">
        <v>986</v>
      </c>
      <c r="J347" s="971">
        <v>4154</v>
      </c>
      <c r="K347" s="970">
        <v>2444</v>
      </c>
      <c r="L347" s="969">
        <v>0</v>
      </c>
      <c r="M347" s="969"/>
      <c r="N347" s="970">
        <v>484</v>
      </c>
      <c r="O347" s="970">
        <v>0</v>
      </c>
      <c r="P347" s="970">
        <v>0</v>
      </c>
      <c r="Q347" s="969">
        <v>1898</v>
      </c>
      <c r="R347" s="969"/>
      <c r="S347" s="970">
        <v>5766</v>
      </c>
      <c r="T347" s="972">
        <v>-575</v>
      </c>
      <c r="U347" s="972">
        <v>5191</v>
      </c>
    </row>
    <row r="348" spans="1:21" x14ac:dyDescent="0.25">
      <c r="A348" s="966">
        <v>93541</v>
      </c>
      <c r="B348" s="967" t="s">
        <v>2964</v>
      </c>
      <c r="C348" s="968">
        <v>1.0560000000000001E-4</v>
      </c>
      <c r="D348" s="968">
        <v>1.061E-4</v>
      </c>
      <c r="E348" s="1007">
        <v>49276</v>
      </c>
      <c r="F348" s="1010">
        <v>225180</v>
      </c>
      <c r="G348" s="969">
        <v>161328</v>
      </c>
      <c r="H348" s="969"/>
      <c r="I348" s="970">
        <v>9294</v>
      </c>
      <c r="J348" s="971">
        <v>39171</v>
      </c>
      <c r="K348" s="970">
        <v>23040</v>
      </c>
      <c r="L348" s="969">
        <v>4560</v>
      </c>
      <c r="M348" s="969"/>
      <c r="N348" s="970">
        <v>4567</v>
      </c>
      <c r="O348" s="970">
        <v>0</v>
      </c>
      <c r="P348" s="970">
        <v>0</v>
      </c>
      <c r="Q348" s="969">
        <v>781</v>
      </c>
      <c r="R348" s="969"/>
      <c r="S348" s="970">
        <v>54368</v>
      </c>
      <c r="T348" s="972">
        <v>4003</v>
      </c>
      <c r="U348" s="972">
        <f>58370+1</f>
        <v>58371</v>
      </c>
    </row>
    <row r="349" spans="1:21" x14ac:dyDescent="0.25">
      <c r="A349" s="966">
        <v>93601</v>
      </c>
      <c r="B349" s="967" t="s">
        <v>2965</v>
      </c>
      <c r="C349" s="968">
        <v>1.0721400000000001E-2</v>
      </c>
      <c r="D349" s="968">
        <v>1.1139899999999999E-2</v>
      </c>
      <c r="E349" s="1007">
        <v>5038240</v>
      </c>
      <c r="F349" s="1010">
        <v>23642600</v>
      </c>
      <c r="G349" s="969">
        <v>16379329</v>
      </c>
      <c r="H349" s="969"/>
      <c r="I349" s="970">
        <v>943601</v>
      </c>
      <c r="J349" s="971">
        <v>3976921</v>
      </c>
      <c r="K349" s="970">
        <v>2339195</v>
      </c>
      <c r="L349" s="969">
        <v>65732</v>
      </c>
      <c r="M349" s="969"/>
      <c r="N349" s="970">
        <v>463647</v>
      </c>
      <c r="O349" s="970">
        <v>0</v>
      </c>
      <c r="P349" s="970">
        <v>0</v>
      </c>
      <c r="Q349" s="969">
        <v>282932</v>
      </c>
      <c r="R349" s="969"/>
      <c r="S349" s="970">
        <v>5519848</v>
      </c>
      <c r="T349" s="972">
        <v>-87424</v>
      </c>
      <c r="U349" s="972">
        <f>5432425-1</f>
        <v>5432424</v>
      </c>
    </row>
    <row r="350" spans="1:21" x14ac:dyDescent="0.25">
      <c r="A350" s="966">
        <v>93602</v>
      </c>
      <c r="B350" s="967" t="s">
        <v>2966</v>
      </c>
      <c r="C350" s="968">
        <v>1.7540000000000001E-4</v>
      </c>
      <c r="D350" s="968">
        <v>1.7200000000000001E-4</v>
      </c>
      <c r="E350" s="1007">
        <v>82188</v>
      </c>
      <c r="F350" s="1010">
        <v>365042</v>
      </c>
      <c r="G350" s="969">
        <v>267963</v>
      </c>
      <c r="H350" s="969"/>
      <c r="I350" s="970">
        <v>15437</v>
      </c>
      <c r="J350" s="971">
        <v>65062</v>
      </c>
      <c r="K350" s="970">
        <v>38269</v>
      </c>
      <c r="L350" s="969">
        <v>4381</v>
      </c>
      <c r="M350" s="969"/>
      <c r="N350" s="970">
        <v>7585</v>
      </c>
      <c r="O350" s="970">
        <v>0</v>
      </c>
      <c r="P350" s="970">
        <v>0</v>
      </c>
      <c r="Q350" s="969">
        <v>10262</v>
      </c>
      <c r="R350" s="969"/>
      <c r="S350" s="970">
        <v>90304</v>
      </c>
      <c r="T350" s="972">
        <v>-2871</v>
      </c>
      <c r="U350" s="972">
        <v>87433</v>
      </c>
    </row>
    <row r="351" spans="1:21" x14ac:dyDescent="0.25">
      <c r="A351" s="966">
        <v>93609</v>
      </c>
      <c r="B351" s="967" t="s">
        <v>2967</v>
      </c>
      <c r="C351" s="968">
        <v>3.7629999999999999E-3</v>
      </c>
      <c r="D351" s="968">
        <v>3.0569E-3</v>
      </c>
      <c r="E351" s="1007">
        <v>1743934</v>
      </c>
      <c r="F351" s="1010">
        <v>6487766</v>
      </c>
      <c r="G351" s="969">
        <v>5748822</v>
      </c>
      <c r="H351" s="969"/>
      <c r="I351" s="970">
        <v>331185</v>
      </c>
      <c r="J351" s="971">
        <v>1395821</v>
      </c>
      <c r="K351" s="970">
        <v>821011</v>
      </c>
      <c r="L351" s="969">
        <v>823315</v>
      </c>
      <c r="M351" s="969"/>
      <c r="N351" s="970">
        <v>162731</v>
      </c>
      <c r="O351" s="970">
        <v>0</v>
      </c>
      <c r="P351" s="970">
        <v>0</v>
      </c>
      <c r="Q351" s="969">
        <v>0</v>
      </c>
      <c r="R351" s="969"/>
      <c r="S351" s="970">
        <v>1937358</v>
      </c>
      <c r="T351" s="972">
        <v>360052</v>
      </c>
      <c r="U351" s="972">
        <v>2297410</v>
      </c>
    </row>
    <row r="352" spans="1:21" x14ac:dyDescent="0.25">
      <c r="A352" s="966">
        <v>93610</v>
      </c>
      <c r="B352" s="967" t="s">
        <v>2968</v>
      </c>
      <c r="C352" s="968">
        <v>1.33E-5</v>
      </c>
      <c r="D352" s="968">
        <v>6.4999999999999996E-6</v>
      </c>
      <c r="E352" s="1007">
        <v>5846</v>
      </c>
      <c r="F352" s="1010">
        <v>13795</v>
      </c>
      <c r="G352" s="969">
        <v>20319</v>
      </c>
      <c r="H352" s="969"/>
      <c r="I352" s="970">
        <v>1171</v>
      </c>
      <c r="J352" s="971">
        <v>4933</v>
      </c>
      <c r="K352" s="970">
        <v>2902</v>
      </c>
      <c r="L352" s="969">
        <v>6303</v>
      </c>
      <c r="M352" s="969"/>
      <c r="N352" s="970">
        <v>575</v>
      </c>
      <c r="O352" s="970">
        <v>0</v>
      </c>
      <c r="P352" s="970">
        <v>0</v>
      </c>
      <c r="Q352" s="969">
        <v>3373</v>
      </c>
      <c r="R352" s="969"/>
      <c r="S352" s="970">
        <v>6847</v>
      </c>
      <c r="T352" s="972">
        <v>1242</v>
      </c>
      <c r="U352" s="972">
        <f>8090-1</f>
        <v>8089</v>
      </c>
    </row>
    <row r="353" spans="1:21" x14ac:dyDescent="0.25">
      <c r="A353" s="966">
        <v>93611</v>
      </c>
      <c r="B353" s="967" t="s">
        <v>2969</v>
      </c>
      <c r="C353" s="968">
        <v>6.9544000000000003E-3</v>
      </c>
      <c r="D353" s="968">
        <v>6.9325000000000003E-3</v>
      </c>
      <c r="E353" s="1007">
        <v>3250733</v>
      </c>
      <c r="F353" s="1010">
        <v>14713087</v>
      </c>
      <c r="G353" s="969">
        <v>10624397</v>
      </c>
      <c r="H353" s="969"/>
      <c r="I353" s="970">
        <v>612064</v>
      </c>
      <c r="J353" s="971">
        <v>2579617</v>
      </c>
      <c r="K353" s="970">
        <v>1517311</v>
      </c>
      <c r="L353" s="969">
        <v>61146</v>
      </c>
      <c r="M353" s="969"/>
      <c r="N353" s="970">
        <v>300743</v>
      </c>
      <c r="O353" s="970">
        <v>0</v>
      </c>
      <c r="P353" s="970">
        <v>0</v>
      </c>
      <c r="Q353" s="969">
        <v>153061</v>
      </c>
      <c r="R353" s="969"/>
      <c r="S353" s="970">
        <v>3580431</v>
      </c>
      <c r="T353" s="972">
        <v>-98066</v>
      </c>
      <c r="U353" s="972">
        <v>3482365</v>
      </c>
    </row>
    <row r="354" spans="1:21" x14ac:dyDescent="0.25">
      <c r="A354" s="966">
        <v>93617</v>
      </c>
      <c r="B354" s="967" t="s">
        <v>2970</v>
      </c>
      <c r="C354" s="968">
        <v>8.2799999999999993E-5</v>
      </c>
      <c r="D354" s="968">
        <v>9.5000000000000005E-5</v>
      </c>
      <c r="E354" s="1007">
        <v>49100</v>
      </c>
      <c r="F354" s="1010">
        <v>201622</v>
      </c>
      <c r="G354" s="969">
        <v>126495</v>
      </c>
      <c r="H354" s="969"/>
      <c r="I354" s="970">
        <v>7287</v>
      </c>
      <c r="J354" s="971">
        <v>30714</v>
      </c>
      <c r="K354" s="970">
        <v>18065</v>
      </c>
      <c r="L354" s="969">
        <v>19622</v>
      </c>
      <c r="M354" s="969"/>
      <c r="N354" s="970">
        <v>3581</v>
      </c>
      <c r="O354" s="970">
        <v>0</v>
      </c>
      <c r="P354" s="970">
        <v>0</v>
      </c>
      <c r="Q354" s="969">
        <v>0</v>
      </c>
      <c r="R354" s="969"/>
      <c r="S354" s="970">
        <v>42629</v>
      </c>
      <c r="T354" s="972">
        <v>10180</v>
      </c>
      <c r="U354" s="972">
        <v>52809</v>
      </c>
    </row>
    <row r="355" spans="1:21" x14ac:dyDescent="0.25">
      <c r="A355" s="966">
        <v>93618</v>
      </c>
      <c r="B355" s="967" t="s">
        <v>2971</v>
      </c>
      <c r="C355" s="968">
        <v>1.11E-5</v>
      </c>
      <c r="D355" s="968">
        <v>1.17E-5</v>
      </c>
      <c r="E355" s="1007">
        <v>23982</v>
      </c>
      <c r="F355" s="1010">
        <v>24831</v>
      </c>
      <c r="G355" s="969">
        <v>16958</v>
      </c>
      <c r="H355" s="969"/>
      <c r="I355" s="970">
        <v>977</v>
      </c>
      <c r="J355" s="971">
        <v>4117</v>
      </c>
      <c r="K355" s="970">
        <v>2422</v>
      </c>
      <c r="L355" s="969">
        <v>33625</v>
      </c>
      <c r="M355" s="969"/>
      <c r="N355" s="970">
        <v>480</v>
      </c>
      <c r="O355" s="970">
        <v>0</v>
      </c>
      <c r="P355" s="970">
        <v>0</v>
      </c>
      <c r="Q355" s="969">
        <v>0</v>
      </c>
      <c r="R355" s="969"/>
      <c r="S355" s="970">
        <v>5715</v>
      </c>
      <c r="T355" s="972">
        <v>12182</v>
      </c>
      <c r="U355" s="972">
        <v>17897</v>
      </c>
    </row>
    <row r="356" spans="1:21" x14ac:dyDescent="0.25">
      <c r="A356" s="966">
        <v>93621</v>
      </c>
      <c r="B356" s="967" t="s">
        <v>2972</v>
      </c>
      <c r="C356" s="968">
        <v>9.5719999999999996E-4</v>
      </c>
      <c r="D356" s="968">
        <v>8.5320000000000003E-4</v>
      </c>
      <c r="E356" s="1007">
        <v>412639</v>
      </c>
      <c r="F356" s="1010">
        <v>1810776</v>
      </c>
      <c r="G356" s="969">
        <v>1462336</v>
      </c>
      <c r="H356" s="969"/>
      <c r="I356" s="970">
        <v>84244</v>
      </c>
      <c r="J356" s="971">
        <v>355057</v>
      </c>
      <c r="K356" s="970">
        <v>208842</v>
      </c>
      <c r="L356" s="969">
        <v>48292</v>
      </c>
      <c r="M356" s="969"/>
      <c r="N356" s="970">
        <v>41394</v>
      </c>
      <c r="O356" s="970">
        <v>0</v>
      </c>
      <c r="P356" s="970">
        <v>0</v>
      </c>
      <c r="Q356" s="969">
        <v>79767</v>
      </c>
      <c r="R356" s="969"/>
      <c r="S356" s="970">
        <v>492809</v>
      </c>
      <c r="T356" s="972">
        <v>-26570</v>
      </c>
      <c r="U356" s="972">
        <f>466238+1</f>
        <v>466239</v>
      </c>
    </row>
    <row r="357" spans="1:21" x14ac:dyDescent="0.25">
      <c r="A357" s="966">
        <v>93623</v>
      </c>
      <c r="B357" s="967" t="s">
        <v>2973</v>
      </c>
      <c r="C357" s="968">
        <v>1.2799999999999999E-5</v>
      </c>
      <c r="D357" s="968">
        <v>1.2500000000000001E-5</v>
      </c>
      <c r="E357" s="1007">
        <v>8720</v>
      </c>
      <c r="F357" s="1010">
        <v>26529</v>
      </c>
      <c r="G357" s="969">
        <v>19555</v>
      </c>
      <c r="H357" s="969"/>
      <c r="I357" s="970">
        <v>1127</v>
      </c>
      <c r="J357" s="971">
        <v>4748</v>
      </c>
      <c r="K357" s="970">
        <v>2793</v>
      </c>
      <c r="L357" s="969">
        <v>5501</v>
      </c>
      <c r="M357" s="969"/>
      <c r="N357" s="970">
        <v>554</v>
      </c>
      <c r="O357" s="970">
        <v>0</v>
      </c>
      <c r="P357" s="970">
        <v>0</v>
      </c>
      <c r="Q357" s="969">
        <v>1</v>
      </c>
      <c r="R357" s="969"/>
      <c r="S357" s="970">
        <v>6590</v>
      </c>
      <c r="T357" s="972">
        <v>1908</v>
      </c>
      <c r="U357" s="972">
        <v>8498</v>
      </c>
    </row>
    <row r="358" spans="1:21" x14ac:dyDescent="0.25">
      <c r="A358" s="966">
        <v>93631</v>
      </c>
      <c r="B358" s="967" t="s">
        <v>2974</v>
      </c>
      <c r="C358" s="968">
        <v>2.252E-4</v>
      </c>
      <c r="D358" s="968">
        <v>2.3440000000000001E-4</v>
      </c>
      <c r="E358" s="1007">
        <v>100501</v>
      </c>
      <c r="F358" s="1010">
        <v>497475</v>
      </c>
      <c r="G358" s="969">
        <v>344043</v>
      </c>
      <c r="H358" s="969"/>
      <c r="I358" s="970">
        <v>19820</v>
      </c>
      <c r="J358" s="971">
        <v>83534</v>
      </c>
      <c r="K358" s="970">
        <v>49134</v>
      </c>
      <c r="L358" s="969">
        <v>435</v>
      </c>
      <c r="M358" s="969"/>
      <c r="N358" s="970">
        <v>9739</v>
      </c>
      <c r="O358" s="970">
        <v>0</v>
      </c>
      <c r="P358" s="970">
        <v>0</v>
      </c>
      <c r="Q358" s="969">
        <v>20459</v>
      </c>
      <c r="R358" s="969"/>
      <c r="S358" s="970">
        <v>115943</v>
      </c>
      <c r="T358" s="972">
        <v>-7001</v>
      </c>
      <c r="U358" s="972">
        <v>108942</v>
      </c>
    </row>
    <row r="359" spans="1:21" x14ac:dyDescent="0.25">
      <c r="A359" s="966">
        <v>93641</v>
      </c>
      <c r="B359" s="967" t="s">
        <v>2975</v>
      </c>
      <c r="C359" s="968">
        <v>4.0450000000000002E-4</v>
      </c>
      <c r="D359" s="968">
        <v>4.3550000000000001E-4</v>
      </c>
      <c r="E359" s="1007">
        <v>197852</v>
      </c>
      <c r="F359" s="1010">
        <v>924277</v>
      </c>
      <c r="G359" s="969">
        <v>617964</v>
      </c>
      <c r="H359" s="969"/>
      <c r="I359" s="970">
        <v>35600</v>
      </c>
      <c r="J359" s="971">
        <v>150042</v>
      </c>
      <c r="K359" s="970">
        <v>88254</v>
      </c>
      <c r="L359" s="969">
        <v>14033</v>
      </c>
      <c r="M359" s="969"/>
      <c r="N359" s="970">
        <v>17493</v>
      </c>
      <c r="O359" s="970">
        <v>0</v>
      </c>
      <c r="P359" s="970">
        <v>0</v>
      </c>
      <c r="Q359" s="969">
        <v>11062</v>
      </c>
      <c r="R359" s="969"/>
      <c r="S359" s="970">
        <v>208254</v>
      </c>
      <c r="T359" s="972">
        <v>4772</v>
      </c>
      <c r="U359" s="972">
        <v>213026</v>
      </c>
    </row>
    <row r="360" spans="1:21" x14ac:dyDescent="0.25">
      <c r="A360" s="966">
        <v>93647</v>
      </c>
      <c r="B360" s="967" t="s">
        <v>2976</v>
      </c>
      <c r="C360" s="968">
        <v>6.0000000000000002E-6</v>
      </c>
      <c r="D360" s="968">
        <v>6.1E-6</v>
      </c>
      <c r="E360" s="1007">
        <v>9062</v>
      </c>
      <c r="F360" s="1010">
        <v>12946</v>
      </c>
      <c r="G360" s="969">
        <v>9166</v>
      </c>
      <c r="H360" s="969"/>
      <c r="I360" s="970">
        <v>528</v>
      </c>
      <c r="J360" s="971">
        <v>2226</v>
      </c>
      <c r="K360" s="970">
        <v>1309</v>
      </c>
      <c r="L360" s="969">
        <v>12039</v>
      </c>
      <c r="M360" s="969"/>
      <c r="N360" s="970">
        <v>259</v>
      </c>
      <c r="O360" s="970">
        <v>0</v>
      </c>
      <c r="P360" s="970">
        <v>0</v>
      </c>
      <c r="Q360" s="969">
        <v>0</v>
      </c>
      <c r="R360" s="969"/>
      <c r="S360" s="970">
        <v>3089</v>
      </c>
      <c r="T360" s="972">
        <v>4642</v>
      </c>
      <c r="U360" s="972">
        <v>7731</v>
      </c>
    </row>
    <row r="361" spans="1:21" x14ac:dyDescent="0.25">
      <c r="A361" s="966">
        <v>93651</v>
      </c>
      <c r="B361" s="967" t="s">
        <v>2977</v>
      </c>
      <c r="C361" s="968">
        <v>4.3800000000000002E-4</v>
      </c>
      <c r="D361" s="968">
        <v>4.282E-4</v>
      </c>
      <c r="E361" s="1007">
        <v>185953</v>
      </c>
      <c r="F361" s="1010">
        <v>908784</v>
      </c>
      <c r="G361" s="969">
        <v>669143</v>
      </c>
      <c r="H361" s="969"/>
      <c r="I361" s="970">
        <v>38549</v>
      </c>
      <c r="J361" s="971">
        <v>162468</v>
      </c>
      <c r="K361" s="970">
        <v>95563</v>
      </c>
      <c r="L361" s="969">
        <v>5830</v>
      </c>
      <c r="M361" s="969"/>
      <c r="N361" s="970">
        <v>18941</v>
      </c>
      <c r="O361" s="970">
        <v>0</v>
      </c>
      <c r="P361" s="970">
        <v>0</v>
      </c>
      <c r="Q361" s="969">
        <v>13910</v>
      </c>
      <c r="R361" s="969"/>
      <c r="S361" s="970">
        <v>225502</v>
      </c>
      <c r="T361" s="972">
        <v>-1521</v>
      </c>
      <c r="U361" s="972">
        <f>223980+1</f>
        <v>223981</v>
      </c>
    </row>
    <row r="362" spans="1:21" x14ac:dyDescent="0.25">
      <c r="A362" s="966">
        <v>93661</v>
      </c>
      <c r="B362" s="967" t="s">
        <v>2978</v>
      </c>
      <c r="C362" s="968">
        <v>1.3410000000000001E-4</v>
      </c>
      <c r="D362" s="968">
        <v>1.3420000000000001E-4</v>
      </c>
      <c r="E362" s="1007">
        <v>66084</v>
      </c>
      <c r="F362" s="1010">
        <v>284817</v>
      </c>
      <c r="G362" s="969">
        <v>204868</v>
      </c>
      <c r="H362" s="969"/>
      <c r="I362" s="970">
        <v>11802</v>
      </c>
      <c r="J362" s="971">
        <v>49742</v>
      </c>
      <c r="K362" s="970">
        <v>29258</v>
      </c>
      <c r="L362" s="969">
        <v>11769</v>
      </c>
      <c r="M362" s="969"/>
      <c r="N362" s="970">
        <v>5799</v>
      </c>
      <c r="O362" s="970">
        <v>0</v>
      </c>
      <c r="P362" s="970">
        <v>0</v>
      </c>
      <c r="Q362" s="969">
        <v>0</v>
      </c>
      <c r="R362" s="969"/>
      <c r="S362" s="970">
        <v>69041</v>
      </c>
      <c r="T362" s="972">
        <v>4842</v>
      </c>
      <c r="U362" s="972">
        <v>73883</v>
      </c>
    </row>
    <row r="363" spans="1:21" x14ac:dyDescent="0.25">
      <c r="A363" s="966">
        <v>93671</v>
      </c>
      <c r="B363" s="967" t="s">
        <v>2979</v>
      </c>
      <c r="C363" s="968">
        <v>3.5530000000000002E-4</v>
      </c>
      <c r="D363" s="968">
        <v>3.6900000000000002E-4</v>
      </c>
      <c r="E363" s="1007">
        <v>172672</v>
      </c>
      <c r="F363" s="1010">
        <v>783142</v>
      </c>
      <c r="G363" s="969">
        <v>542800</v>
      </c>
      <c r="H363" s="969"/>
      <c r="I363" s="970">
        <v>31270</v>
      </c>
      <c r="J363" s="971">
        <v>131793</v>
      </c>
      <c r="K363" s="970">
        <v>77519</v>
      </c>
      <c r="L363" s="969">
        <v>38666</v>
      </c>
      <c r="M363" s="969"/>
      <c r="N363" s="970">
        <v>15365</v>
      </c>
      <c r="O363" s="970">
        <v>0</v>
      </c>
      <c r="P363" s="970">
        <v>0</v>
      </c>
      <c r="Q363" s="969">
        <v>2899</v>
      </c>
      <c r="R363" s="969"/>
      <c r="S363" s="970">
        <v>182924</v>
      </c>
      <c r="T363" s="972">
        <v>28467</v>
      </c>
      <c r="U363" s="972">
        <v>211391</v>
      </c>
    </row>
    <row r="364" spans="1:21" x14ac:dyDescent="0.25">
      <c r="A364" s="966">
        <v>93677</v>
      </c>
      <c r="B364" s="967" t="s">
        <v>1498</v>
      </c>
      <c r="C364" s="968">
        <v>0</v>
      </c>
      <c r="D364" s="968">
        <v>0</v>
      </c>
      <c r="E364" s="1007">
        <v>0</v>
      </c>
      <c r="F364" s="1010">
        <v>0</v>
      </c>
      <c r="G364" s="969">
        <v>0</v>
      </c>
      <c r="H364" s="969"/>
      <c r="I364" s="970">
        <v>0</v>
      </c>
      <c r="J364" s="971">
        <v>0</v>
      </c>
      <c r="K364" s="970">
        <v>0</v>
      </c>
      <c r="L364" s="969">
        <v>0</v>
      </c>
      <c r="M364" s="969"/>
      <c r="N364" s="970">
        <v>0</v>
      </c>
      <c r="O364" s="970">
        <v>0</v>
      </c>
      <c r="P364" s="970">
        <v>0</v>
      </c>
      <c r="Q364" s="969">
        <v>718</v>
      </c>
      <c r="R364" s="969"/>
      <c r="S364" s="970">
        <v>0</v>
      </c>
      <c r="T364" s="972">
        <v>-725</v>
      </c>
      <c r="U364" s="972">
        <v>-725</v>
      </c>
    </row>
    <row r="365" spans="1:21" x14ac:dyDescent="0.25">
      <c r="A365" s="966">
        <v>93681</v>
      </c>
      <c r="B365" s="967" t="s">
        <v>2980</v>
      </c>
      <c r="C365" s="968">
        <v>1.1179999999999999E-4</v>
      </c>
      <c r="D365" s="968">
        <v>1.1010000000000001E-4</v>
      </c>
      <c r="E365" s="1007">
        <v>48115</v>
      </c>
      <c r="F365" s="1010">
        <v>233669</v>
      </c>
      <c r="G365" s="969">
        <v>170799</v>
      </c>
      <c r="H365" s="969"/>
      <c r="I365" s="970">
        <v>9840</v>
      </c>
      <c r="J365" s="971">
        <v>41470</v>
      </c>
      <c r="K365" s="970">
        <v>24393</v>
      </c>
      <c r="L365" s="969">
        <v>264</v>
      </c>
      <c r="M365" s="969"/>
      <c r="N365" s="970">
        <v>4835</v>
      </c>
      <c r="O365" s="970">
        <v>0</v>
      </c>
      <c r="P365" s="970">
        <v>0</v>
      </c>
      <c r="Q365" s="969">
        <v>12629</v>
      </c>
      <c r="R365" s="969"/>
      <c r="S365" s="970">
        <v>57560</v>
      </c>
      <c r="T365" s="972">
        <v>-6498</v>
      </c>
      <c r="U365" s="972">
        <f>51061+1</f>
        <v>51062</v>
      </c>
    </row>
    <row r="366" spans="1:21" x14ac:dyDescent="0.25">
      <c r="A366" s="966">
        <v>93691</v>
      </c>
      <c r="B366" s="967" t="s">
        <v>2981</v>
      </c>
      <c r="C366" s="968">
        <v>1.0858E-3</v>
      </c>
      <c r="D366" s="968">
        <v>1.1251E-3</v>
      </c>
      <c r="E366" s="1007">
        <v>464182</v>
      </c>
      <c r="F366" s="1010">
        <v>2387839</v>
      </c>
      <c r="G366" s="969">
        <v>1658802</v>
      </c>
      <c r="H366" s="969"/>
      <c r="I366" s="970">
        <v>95562</v>
      </c>
      <c r="J366" s="971">
        <v>402759</v>
      </c>
      <c r="K366" s="970">
        <v>236900</v>
      </c>
      <c r="L366" s="969">
        <v>0</v>
      </c>
      <c r="M366" s="969"/>
      <c r="N366" s="970">
        <v>46955</v>
      </c>
      <c r="O366" s="970">
        <v>0</v>
      </c>
      <c r="P366" s="970">
        <v>0</v>
      </c>
      <c r="Q366" s="969">
        <v>115438</v>
      </c>
      <c r="R366" s="969"/>
      <c r="S366" s="970">
        <v>559018</v>
      </c>
      <c r="T366" s="972">
        <v>-42411</v>
      </c>
      <c r="U366" s="972">
        <v>516607</v>
      </c>
    </row>
    <row r="367" spans="1:21" x14ac:dyDescent="0.25">
      <c r="A367" s="966">
        <v>93701</v>
      </c>
      <c r="B367" s="967" t="s">
        <v>3670</v>
      </c>
      <c r="C367" s="968">
        <v>4.5800000000000002E-4</v>
      </c>
      <c r="D367" s="968">
        <v>4.6200000000000001E-4</v>
      </c>
      <c r="E367" s="1007">
        <v>201820</v>
      </c>
      <c r="F367" s="1010">
        <v>0</v>
      </c>
      <c r="G367" s="969">
        <v>699697</v>
      </c>
      <c r="H367" s="969"/>
      <c r="I367" s="970">
        <v>40309</v>
      </c>
      <c r="J367" s="971">
        <v>169888</v>
      </c>
      <c r="K367" s="970">
        <v>99926</v>
      </c>
      <c r="L367" s="969">
        <v>7923</v>
      </c>
      <c r="M367" s="969"/>
      <c r="N367" s="970">
        <v>19806</v>
      </c>
      <c r="O367" s="970">
        <v>0</v>
      </c>
      <c r="P367" s="970">
        <v>0</v>
      </c>
      <c r="Q367" s="969">
        <v>17631</v>
      </c>
      <c r="R367" s="969"/>
      <c r="S367" s="970">
        <v>235799</v>
      </c>
      <c r="T367" s="972">
        <v>566</v>
      </c>
      <c r="U367" s="972">
        <v>236365</v>
      </c>
    </row>
    <row r="368" spans="1:21" x14ac:dyDescent="0.25">
      <c r="A368" s="966">
        <v>93704</v>
      </c>
      <c r="B368" s="967" t="s">
        <v>2983</v>
      </c>
      <c r="C368" s="968">
        <v>3.0000000000000001E-6</v>
      </c>
      <c r="D368" s="968">
        <v>3.3000000000000002E-6</v>
      </c>
      <c r="E368" s="1007">
        <v>1962</v>
      </c>
      <c r="F368" s="1010">
        <v>7004</v>
      </c>
      <c r="G368" s="969">
        <v>4583</v>
      </c>
      <c r="H368" s="969"/>
      <c r="I368" s="970">
        <v>264</v>
      </c>
      <c r="J368" s="971">
        <v>1113</v>
      </c>
      <c r="K368" s="970">
        <v>655</v>
      </c>
      <c r="L368" s="969">
        <v>578</v>
      </c>
      <c r="M368" s="969"/>
      <c r="N368" s="970">
        <v>130</v>
      </c>
      <c r="O368" s="970">
        <v>0</v>
      </c>
      <c r="P368" s="970">
        <v>0</v>
      </c>
      <c r="Q368" s="969">
        <v>49</v>
      </c>
      <c r="R368" s="969"/>
      <c r="S368" s="970">
        <v>1545</v>
      </c>
      <c r="T368" s="972">
        <v>136</v>
      </c>
      <c r="U368" s="972">
        <v>1681</v>
      </c>
    </row>
    <row r="369" spans="1:21" x14ac:dyDescent="0.25">
      <c r="A369" s="966">
        <v>93801</v>
      </c>
      <c r="B369" s="967" t="s">
        <v>2984</v>
      </c>
      <c r="C369" s="968">
        <v>4.7889999999999999E-4</v>
      </c>
      <c r="D369" s="968">
        <v>5.4180000000000005E-4</v>
      </c>
      <c r="E369" s="1007">
        <v>205984</v>
      </c>
      <c r="F369" s="1010">
        <v>1149881</v>
      </c>
      <c r="G369" s="969">
        <v>731627</v>
      </c>
      <c r="H369" s="969"/>
      <c r="I369" s="970">
        <v>42148</v>
      </c>
      <c r="J369" s="971">
        <v>177639</v>
      </c>
      <c r="K369" s="970">
        <v>104486</v>
      </c>
      <c r="L369" s="969">
        <v>113630</v>
      </c>
      <c r="M369" s="969"/>
      <c r="N369" s="970">
        <v>20710</v>
      </c>
      <c r="O369" s="970">
        <v>0</v>
      </c>
      <c r="P369" s="970">
        <v>0</v>
      </c>
      <c r="Q369" s="969">
        <v>54734</v>
      </c>
      <c r="R369" s="969"/>
      <c r="S369" s="970">
        <v>246559</v>
      </c>
      <c r="T369" s="972">
        <v>28052</v>
      </c>
      <c r="U369" s="972">
        <v>274611</v>
      </c>
    </row>
    <row r="370" spans="1:21" x14ac:dyDescent="0.25">
      <c r="A370" s="966">
        <v>93803</v>
      </c>
      <c r="B370" s="967" t="s">
        <v>2985</v>
      </c>
      <c r="C370" s="968">
        <v>1.1900000000000001E-4</v>
      </c>
      <c r="D370" s="968">
        <v>1.4469999999999999E-4</v>
      </c>
      <c r="E370" s="1007">
        <v>50573</v>
      </c>
      <c r="F370" s="1010">
        <v>307102</v>
      </c>
      <c r="G370" s="969">
        <v>181799</v>
      </c>
      <c r="H370" s="969"/>
      <c r="I370" s="970">
        <v>10473</v>
      </c>
      <c r="J370" s="971">
        <v>44141</v>
      </c>
      <c r="K370" s="970">
        <v>25963</v>
      </c>
      <c r="L370" s="969">
        <v>0</v>
      </c>
      <c r="M370" s="969"/>
      <c r="N370" s="970">
        <v>5146</v>
      </c>
      <c r="O370" s="970">
        <v>0</v>
      </c>
      <c r="P370" s="970">
        <v>0</v>
      </c>
      <c r="Q370" s="969">
        <v>42594</v>
      </c>
      <c r="R370" s="969"/>
      <c r="S370" s="970">
        <v>61266</v>
      </c>
      <c r="T370" s="972">
        <v>-17510</v>
      </c>
      <c r="U370" s="972">
        <v>43756</v>
      </c>
    </row>
    <row r="371" spans="1:21" x14ac:dyDescent="0.25">
      <c r="A371" s="966">
        <v>93806</v>
      </c>
      <c r="B371" s="967" t="s">
        <v>2986</v>
      </c>
      <c r="C371" s="968">
        <v>9.3900000000000006E-5</v>
      </c>
      <c r="D371" s="968">
        <v>7.3700000000000002E-5</v>
      </c>
      <c r="E371" s="1007">
        <v>41336</v>
      </c>
      <c r="F371" s="1010">
        <v>156416</v>
      </c>
      <c r="G371" s="969">
        <v>143453</v>
      </c>
      <c r="H371" s="969"/>
      <c r="I371" s="970">
        <v>8264</v>
      </c>
      <c r="J371" s="971">
        <v>34831</v>
      </c>
      <c r="K371" s="970">
        <v>20487</v>
      </c>
      <c r="L371" s="969">
        <v>13283</v>
      </c>
      <c r="M371" s="969"/>
      <c r="N371" s="970">
        <v>4061</v>
      </c>
      <c r="O371" s="970">
        <v>0</v>
      </c>
      <c r="P371" s="970">
        <v>0</v>
      </c>
      <c r="Q371" s="969">
        <v>10049</v>
      </c>
      <c r="R371" s="969"/>
      <c r="S371" s="970">
        <v>48344</v>
      </c>
      <c r="T371" s="972">
        <v>-6121</v>
      </c>
      <c r="U371" s="972">
        <v>42223</v>
      </c>
    </row>
    <row r="372" spans="1:21" x14ac:dyDescent="0.25">
      <c r="A372" s="966">
        <v>93821</v>
      </c>
      <c r="B372" s="967" t="s">
        <v>2987</v>
      </c>
      <c r="C372" s="968">
        <v>2.9899999999999998E-5</v>
      </c>
      <c r="D372" s="968">
        <v>5.7200000000000001E-5</v>
      </c>
      <c r="E372" s="1007">
        <v>36177</v>
      </c>
      <c r="F372" s="1010">
        <v>121398</v>
      </c>
      <c r="G372" s="969">
        <v>45679</v>
      </c>
      <c r="H372" s="969"/>
      <c r="I372" s="970">
        <v>2632</v>
      </c>
      <c r="J372" s="971">
        <v>11090</v>
      </c>
      <c r="K372" s="970">
        <v>6524</v>
      </c>
      <c r="L372" s="969">
        <v>18424</v>
      </c>
      <c r="M372" s="969"/>
      <c r="N372" s="970">
        <v>1293</v>
      </c>
      <c r="O372" s="970">
        <v>0</v>
      </c>
      <c r="P372" s="970">
        <v>0</v>
      </c>
      <c r="Q372" s="969">
        <v>343</v>
      </c>
      <c r="R372" s="969"/>
      <c r="S372" s="970">
        <v>15394</v>
      </c>
      <c r="T372" s="972">
        <v>7633</v>
      </c>
      <c r="U372" s="972">
        <f>23026+1</f>
        <v>23027</v>
      </c>
    </row>
    <row r="373" spans="1:21" x14ac:dyDescent="0.25">
      <c r="A373" s="966">
        <v>93901</v>
      </c>
      <c r="B373" s="967" t="s">
        <v>2988</v>
      </c>
      <c r="C373" s="968">
        <v>1.7974E-3</v>
      </c>
      <c r="D373" s="968">
        <v>1.8059E-3</v>
      </c>
      <c r="E373" s="1007">
        <v>887170</v>
      </c>
      <c r="F373" s="1010">
        <v>3832725</v>
      </c>
      <c r="G373" s="969">
        <v>2745929</v>
      </c>
      <c r="H373" s="969"/>
      <c r="I373" s="970">
        <v>158191</v>
      </c>
      <c r="J373" s="971">
        <v>666715</v>
      </c>
      <c r="K373" s="970">
        <v>392157</v>
      </c>
      <c r="L373" s="969">
        <v>89069</v>
      </c>
      <c r="M373" s="969"/>
      <c r="N373" s="970">
        <v>77729</v>
      </c>
      <c r="O373" s="970">
        <v>0</v>
      </c>
      <c r="P373" s="970">
        <v>0</v>
      </c>
      <c r="Q373" s="969">
        <v>0</v>
      </c>
      <c r="R373" s="969"/>
      <c r="S373" s="970">
        <v>925381</v>
      </c>
      <c r="T373" s="972">
        <v>32657</v>
      </c>
      <c r="U373" s="972">
        <v>958038</v>
      </c>
    </row>
    <row r="374" spans="1:21" x14ac:dyDescent="0.25">
      <c r="A374" s="966">
        <v>93904</v>
      </c>
      <c r="B374" s="967" t="s">
        <v>2989</v>
      </c>
      <c r="C374" s="968">
        <v>3.0000000000000001E-5</v>
      </c>
      <c r="D374" s="968">
        <v>2.4700000000000001E-5</v>
      </c>
      <c r="E374" s="1007">
        <v>17302</v>
      </c>
      <c r="F374" s="1010">
        <v>52422</v>
      </c>
      <c r="G374" s="969">
        <v>45832</v>
      </c>
      <c r="H374" s="969"/>
      <c r="I374" s="970">
        <v>2640</v>
      </c>
      <c r="J374" s="971">
        <v>11128</v>
      </c>
      <c r="K374" s="970">
        <v>6545</v>
      </c>
      <c r="L374" s="969">
        <v>9710</v>
      </c>
      <c r="M374" s="969"/>
      <c r="N374" s="970">
        <v>1297</v>
      </c>
      <c r="O374" s="970">
        <v>0</v>
      </c>
      <c r="P374" s="970">
        <v>0</v>
      </c>
      <c r="Q374" s="969">
        <v>28</v>
      </c>
      <c r="R374" s="969"/>
      <c r="S374" s="970">
        <v>15445</v>
      </c>
      <c r="T374" s="972">
        <v>3144</v>
      </c>
      <c r="U374" s="972">
        <v>18589</v>
      </c>
    </row>
    <row r="375" spans="1:21" x14ac:dyDescent="0.25">
      <c r="A375" s="966">
        <v>93906</v>
      </c>
      <c r="B375" s="967" t="s">
        <v>2990</v>
      </c>
      <c r="C375" s="968">
        <v>3.3882000000000001E-3</v>
      </c>
      <c r="D375" s="968">
        <v>3.4513E-3</v>
      </c>
      <c r="E375" s="1007">
        <v>1486051</v>
      </c>
      <c r="F375" s="1010">
        <v>7324815</v>
      </c>
      <c r="G375" s="969">
        <v>5176231</v>
      </c>
      <c r="H375" s="969"/>
      <c r="I375" s="970">
        <v>298199</v>
      </c>
      <c r="J375" s="971">
        <v>1256796</v>
      </c>
      <c r="K375" s="970">
        <v>739237</v>
      </c>
      <c r="L375" s="969">
        <v>14983</v>
      </c>
      <c r="M375" s="969"/>
      <c r="N375" s="970">
        <v>146523</v>
      </c>
      <c r="O375" s="970">
        <v>0</v>
      </c>
      <c r="P375" s="970">
        <v>0</v>
      </c>
      <c r="Q375" s="969">
        <v>222323</v>
      </c>
      <c r="R375" s="969"/>
      <c r="S375" s="970">
        <v>1744394</v>
      </c>
      <c r="T375" s="972">
        <v>-70525</v>
      </c>
      <c r="U375" s="972">
        <v>1673869</v>
      </c>
    </row>
    <row r="376" spans="1:21" x14ac:dyDescent="0.25">
      <c r="A376" s="966">
        <v>93908</v>
      </c>
      <c r="B376" s="967" t="s">
        <v>3671</v>
      </c>
      <c r="C376" s="968">
        <v>5.1219999999999998E-4</v>
      </c>
      <c r="D376" s="968">
        <v>5.0239999999999996E-4</v>
      </c>
      <c r="E376" s="1007">
        <v>237114</v>
      </c>
      <c r="F376" s="1010">
        <v>0</v>
      </c>
      <c r="G376" s="969">
        <v>782500</v>
      </c>
      <c r="H376" s="969"/>
      <c r="I376" s="970">
        <v>45079</v>
      </c>
      <c r="J376" s="971">
        <v>189992</v>
      </c>
      <c r="K376" s="970">
        <v>111752</v>
      </c>
      <c r="L376" s="969">
        <v>12340</v>
      </c>
      <c r="M376" s="969"/>
      <c r="N376" s="970">
        <v>22150</v>
      </c>
      <c r="O376" s="970">
        <v>0</v>
      </c>
      <c r="P376" s="970">
        <v>0</v>
      </c>
      <c r="Q376" s="969">
        <v>16479</v>
      </c>
      <c r="R376" s="969"/>
      <c r="S376" s="970">
        <v>263703</v>
      </c>
      <c r="T376" s="972">
        <v>-2302</v>
      </c>
      <c r="U376" s="972">
        <v>261401</v>
      </c>
    </row>
    <row r="377" spans="1:21" x14ac:dyDescent="0.25">
      <c r="A377" s="966">
        <v>93910</v>
      </c>
      <c r="B377" s="967" t="s">
        <v>2992</v>
      </c>
      <c r="C377" s="968">
        <v>2.786E-4</v>
      </c>
      <c r="D377" s="968">
        <v>2.9129999999999998E-4</v>
      </c>
      <c r="E377" s="1007">
        <v>117578</v>
      </c>
      <c r="F377" s="1010">
        <v>618236</v>
      </c>
      <c r="G377" s="969">
        <v>425624</v>
      </c>
      <c r="H377" s="969"/>
      <c r="I377" s="970">
        <v>24520</v>
      </c>
      <c r="J377" s="971">
        <v>103342</v>
      </c>
      <c r="K377" s="970">
        <v>60785</v>
      </c>
      <c r="L377" s="969">
        <v>0</v>
      </c>
      <c r="M377" s="969"/>
      <c r="N377" s="970">
        <v>12048</v>
      </c>
      <c r="O377" s="970">
        <v>0</v>
      </c>
      <c r="P377" s="970">
        <v>0</v>
      </c>
      <c r="Q377" s="969">
        <v>34002</v>
      </c>
      <c r="R377" s="969"/>
      <c r="S377" s="970">
        <v>143436</v>
      </c>
      <c r="T377" s="972">
        <v>-14513</v>
      </c>
      <c r="U377" s="972">
        <v>128923</v>
      </c>
    </row>
    <row r="378" spans="1:21" x14ac:dyDescent="0.25">
      <c r="A378" s="966">
        <v>93911</v>
      </c>
      <c r="B378" s="967" t="s">
        <v>2993</v>
      </c>
      <c r="C378" s="968">
        <v>6.3429999999999997E-4</v>
      </c>
      <c r="D378" s="968">
        <v>6.9890000000000002E-4</v>
      </c>
      <c r="E378" s="1007">
        <v>301989</v>
      </c>
      <c r="F378" s="1010">
        <v>1483300</v>
      </c>
      <c r="G378" s="969">
        <v>969035</v>
      </c>
      <c r="H378" s="969"/>
      <c r="I378" s="970">
        <v>55825</v>
      </c>
      <c r="J378" s="971">
        <v>235283</v>
      </c>
      <c r="K378" s="970">
        <v>138392</v>
      </c>
      <c r="L378" s="969">
        <v>13175</v>
      </c>
      <c r="M378" s="969"/>
      <c r="N378" s="970">
        <v>27430</v>
      </c>
      <c r="O378" s="970">
        <v>0</v>
      </c>
      <c r="P378" s="970">
        <v>0</v>
      </c>
      <c r="Q378" s="969">
        <v>54353</v>
      </c>
      <c r="R378" s="969"/>
      <c r="S378" s="970">
        <v>326566</v>
      </c>
      <c r="T378" s="972">
        <v>-6922</v>
      </c>
      <c r="U378" s="972">
        <v>319644</v>
      </c>
    </row>
    <row r="379" spans="1:21" x14ac:dyDescent="0.25">
      <c r="A379" s="966">
        <v>93913</v>
      </c>
      <c r="B379" s="967" t="s">
        <v>2994</v>
      </c>
      <c r="C379" s="968">
        <v>5.8799999999999999E-5</v>
      </c>
      <c r="D379" s="968">
        <v>6.2600000000000004E-5</v>
      </c>
      <c r="E379" s="1007">
        <v>29910</v>
      </c>
      <c r="F379" s="1010">
        <v>132858</v>
      </c>
      <c r="G379" s="969">
        <v>89830</v>
      </c>
      <c r="H379" s="969"/>
      <c r="I379" s="970">
        <v>5175</v>
      </c>
      <c r="J379" s="971">
        <v>21810</v>
      </c>
      <c r="K379" s="970">
        <v>12829</v>
      </c>
      <c r="L379" s="969">
        <v>2902</v>
      </c>
      <c r="M379" s="969"/>
      <c r="N379" s="970">
        <v>2543</v>
      </c>
      <c r="O379" s="970">
        <v>0</v>
      </c>
      <c r="P379" s="970">
        <v>0</v>
      </c>
      <c r="Q379" s="969">
        <v>1064</v>
      </c>
      <c r="R379" s="969"/>
      <c r="S379" s="970">
        <v>30273</v>
      </c>
      <c r="T379" s="972">
        <v>476</v>
      </c>
      <c r="U379" s="972">
        <v>30749</v>
      </c>
    </row>
    <row r="380" spans="1:21" x14ac:dyDescent="0.25">
      <c r="A380" s="966">
        <v>93914</v>
      </c>
      <c r="B380" s="967" t="s">
        <v>2995</v>
      </c>
      <c r="C380" s="968">
        <v>8.1000000000000004E-6</v>
      </c>
      <c r="D380" s="968">
        <v>9.0999999999999993E-6</v>
      </c>
      <c r="E380" s="1007">
        <v>6536</v>
      </c>
      <c r="F380" s="1010">
        <v>19313</v>
      </c>
      <c r="G380" s="969">
        <v>12375</v>
      </c>
      <c r="H380" s="969"/>
      <c r="I380" s="970">
        <v>713</v>
      </c>
      <c r="J380" s="971">
        <v>3005</v>
      </c>
      <c r="K380" s="970">
        <v>1767</v>
      </c>
      <c r="L380" s="969">
        <v>3568</v>
      </c>
      <c r="M380" s="969"/>
      <c r="N380" s="970">
        <v>350</v>
      </c>
      <c r="O380" s="970">
        <v>0</v>
      </c>
      <c r="P380" s="970">
        <v>0</v>
      </c>
      <c r="Q380" s="969">
        <v>0</v>
      </c>
      <c r="R380" s="969"/>
      <c r="S380" s="970">
        <v>4170</v>
      </c>
      <c r="T380" s="972">
        <v>1520</v>
      </c>
      <c r="U380" s="972">
        <v>5690</v>
      </c>
    </row>
    <row r="381" spans="1:21" x14ac:dyDescent="0.25">
      <c r="A381" s="966">
        <v>93921</v>
      </c>
      <c r="B381" s="967" t="s">
        <v>2996</v>
      </c>
      <c r="C381" s="968">
        <v>2.9020000000000001E-4</v>
      </c>
      <c r="D381" s="968">
        <v>2.7139999999999998E-4</v>
      </c>
      <c r="E381" s="1007">
        <v>126884</v>
      </c>
      <c r="F381" s="1010">
        <v>576002</v>
      </c>
      <c r="G381" s="969">
        <v>443345</v>
      </c>
      <c r="H381" s="969"/>
      <c r="I381" s="970">
        <v>25541</v>
      </c>
      <c r="J381" s="971">
        <v>107645</v>
      </c>
      <c r="K381" s="970">
        <v>63316</v>
      </c>
      <c r="L381" s="969">
        <v>16222</v>
      </c>
      <c r="M381" s="969"/>
      <c r="N381" s="970">
        <v>12550</v>
      </c>
      <c r="O381" s="970">
        <v>0</v>
      </c>
      <c r="P381" s="970">
        <v>0</v>
      </c>
      <c r="Q381" s="969">
        <v>5036</v>
      </c>
      <c r="R381" s="969"/>
      <c r="S381" s="970">
        <v>149408</v>
      </c>
      <c r="T381" s="972">
        <v>6326</v>
      </c>
      <c r="U381" s="972">
        <v>155734</v>
      </c>
    </row>
    <row r="382" spans="1:21" x14ac:dyDescent="0.25">
      <c r="A382" s="966">
        <v>93931</v>
      </c>
      <c r="B382" s="967" t="s">
        <v>2997</v>
      </c>
      <c r="C382" s="968">
        <v>5.0029999999999996E-4</v>
      </c>
      <c r="D382" s="968">
        <v>5.2260000000000002E-4</v>
      </c>
      <c r="E382" s="1007">
        <v>212623</v>
      </c>
      <c r="F382" s="1010">
        <v>1109132</v>
      </c>
      <c r="G382" s="969">
        <v>764320</v>
      </c>
      <c r="H382" s="969"/>
      <c r="I382" s="970">
        <v>44032</v>
      </c>
      <c r="J382" s="971">
        <v>185578</v>
      </c>
      <c r="K382" s="970">
        <v>109155</v>
      </c>
      <c r="L382" s="969">
        <v>107572</v>
      </c>
      <c r="M382" s="969"/>
      <c r="N382" s="970">
        <v>21635</v>
      </c>
      <c r="O382" s="970">
        <v>0</v>
      </c>
      <c r="P382" s="970">
        <v>0</v>
      </c>
      <c r="Q382" s="969">
        <v>39017</v>
      </c>
      <c r="R382" s="969"/>
      <c r="S382" s="970">
        <v>257576</v>
      </c>
      <c r="T382" s="972">
        <v>79129</v>
      </c>
      <c r="U382" s="972">
        <v>336705</v>
      </c>
    </row>
    <row r="383" spans="1:21" x14ac:dyDescent="0.25">
      <c r="A383" s="966">
        <v>94001</v>
      </c>
      <c r="B383" s="967" t="s">
        <v>2998</v>
      </c>
      <c r="C383" s="968">
        <v>9.209E-4</v>
      </c>
      <c r="D383" s="968">
        <v>9.0240000000000003E-4</v>
      </c>
      <c r="E383" s="1007">
        <v>430503</v>
      </c>
      <c r="F383" s="1010">
        <v>1915195</v>
      </c>
      <c r="G383" s="969">
        <v>1406880</v>
      </c>
      <c r="H383" s="969"/>
      <c r="I383" s="970">
        <v>81049</v>
      </c>
      <c r="J383" s="971">
        <v>341592</v>
      </c>
      <c r="K383" s="970">
        <v>200922</v>
      </c>
      <c r="L383" s="969">
        <v>45532</v>
      </c>
      <c r="M383" s="969"/>
      <c r="N383" s="970">
        <v>39824</v>
      </c>
      <c r="O383" s="970">
        <v>0</v>
      </c>
      <c r="P383" s="970">
        <v>0</v>
      </c>
      <c r="Q383" s="969">
        <v>27168</v>
      </c>
      <c r="R383" s="969"/>
      <c r="S383" s="970">
        <v>474120</v>
      </c>
      <c r="T383" s="972">
        <v>-12411</v>
      </c>
      <c r="U383" s="972">
        <v>461709</v>
      </c>
    </row>
    <row r="384" spans="1:21" x14ac:dyDescent="0.25">
      <c r="A384" s="966">
        <v>94002</v>
      </c>
      <c r="B384" s="967" t="s">
        <v>2999</v>
      </c>
      <c r="C384" s="968">
        <v>7.0999999999999998E-6</v>
      </c>
      <c r="D384" s="968">
        <v>7.6000000000000001E-6</v>
      </c>
      <c r="E384" s="1007">
        <v>4693</v>
      </c>
      <c r="F384" s="1010">
        <v>16130</v>
      </c>
      <c r="G384" s="969">
        <v>10847</v>
      </c>
      <c r="H384" s="969"/>
      <c r="I384" s="970">
        <v>625</v>
      </c>
      <c r="J384" s="971">
        <v>2633</v>
      </c>
      <c r="K384" s="970">
        <v>1549</v>
      </c>
      <c r="L384" s="969">
        <v>1428</v>
      </c>
      <c r="M384" s="969"/>
      <c r="N384" s="970">
        <v>307</v>
      </c>
      <c r="O384" s="970">
        <v>0</v>
      </c>
      <c r="P384" s="970">
        <v>0</v>
      </c>
      <c r="Q384" s="969">
        <v>214</v>
      </c>
      <c r="R384" s="969"/>
      <c r="S384" s="970">
        <v>3655</v>
      </c>
      <c r="T384" s="972">
        <v>237</v>
      </c>
      <c r="U384" s="972">
        <v>3892</v>
      </c>
    </row>
    <row r="385" spans="1:21" x14ac:dyDescent="0.25">
      <c r="A385" s="966">
        <v>94004</v>
      </c>
      <c r="B385" s="967" t="s">
        <v>3000</v>
      </c>
      <c r="C385" s="968">
        <v>7.3000000000000004E-6</v>
      </c>
      <c r="D385" s="968">
        <v>2.7999999999999999E-6</v>
      </c>
      <c r="E385" s="1007">
        <v>4145</v>
      </c>
      <c r="F385" s="1010">
        <v>5943</v>
      </c>
      <c r="G385" s="969">
        <v>11152</v>
      </c>
      <c r="H385" s="969"/>
      <c r="I385" s="970">
        <v>642</v>
      </c>
      <c r="J385" s="971">
        <v>2708</v>
      </c>
      <c r="K385" s="970">
        <v>1593</v>
      </c>
      <c r="L385" s="969">
        <v>4768</v>
      </c>
      <c r="M385" s="969"/>
      <c r="N385" s="970">
        <v>316</v>
      </c>
      <c r="O385" s="970">
        <v>0</v>
      </c>
      <c r="P385" s="970">
        <v>0</v>
      </c>
      <c r="Q385" s="969">
        <v>626</v>
      </c>
      <c r="R385" s="969"/>
      <c r="S385" s="970">
        <v>3758</v>
      </c>
      <c r="T385" s="972">
        <v>706</v>
      </c>
      <c r="U385" s="972">
        <v>4464</v>
      </c>
    </row>
    <row r="386" spans="1:21" x14ac:dyDescent="0.25">
      <c r="A386" s="966">
        <v>94005</v>
      </c>
      <c r="B386" s="967" t="s">
        <v>3001</v>
      </c>
      <c r="C386" s="968">
        <v>0</v>
      </c>
      <c r="D386" s="968">
        <v>5.4999999999999999E-6</v>
      </c>
      <c r="E386" s="1007">
        <v>560</v>
      </c>
      <c r="F386" s="1010">
        <v>11673</v>
      </c>
      <c r="G386" s="969">
        <v>0</v>
      </c>
      <c r="H386" s="969"/>
      <c r="I386" s="970">
        <v>0</v>
      </c>
      <c r="J386" s="971">
        <v>0</v>
      </c>
      <c r="K386" s="970">
        <v>0</v>
      </c>
      <c r="L386" s="969">
        <v>0</v>
      </c>
      <c r="M386" s="969"/>
      <c r="N386" s="970">
        <v>0</v>
      </c>
      <c r="O386" s="970">
        <v>0</v>
      </c>
      <c r="P386" s="970">
        <v>0</v>
      </c>
      <c r="Q386" s="969">
        <v>5864</v>
      </c>
      <c r="R386" s="969"/>
      <c r="S386" s="970">
        <v>0</v>
      </c>
      <c r="T386" s="972">
        <v>-1984</v>
      </c>
      <c r="U386" s="972">
        <v>-1984</v>
      </c>
    </row>
    <row r="387" spans="1:21" x14ac:dyDescent="0.25">
      <c r="A387" s="966">
        <v>94011</v>
      </c>
      <c r="B387" s="967" t="s">
        <v>3002</v>
      </c>
      <c r="C387" s="968">
        <v>2.3600000000000001E-5</v>
      </c>
      <c r="D387" s="968">
        <v>2.5599999999999999E-5</v>
      </c>
      <c r="E387" s="1007">
        <v>9233</v>
      </c>
      <c r="F387" s="1010">
        <v>54332</v>
      </c>
      <c r="G387" s="969">
        <v>36054</v>
      </c>
      <c r="H387" s="969"/>
      <c r="I387" s="970">
        <v>2077</v>
      </c>
      <c r="J387" s="971">
        <v>8754</v>
      </c>
      <c r="K387" s="970">
        <v>5149</v>
      </c>
      <c r="L387" s="969">
        <v>3216</v>
      </c>
      <c r="M387" s="969"/>
      <c r="N387" s="970">
        <v>1021</v>
      </c>
      <c r="O387" s="970">
        <v>0</v>
      </c>
      <c r="P387" s="970">
        <v>0</v>
      </c>
      <c r="Q387" s="969">
        <v>3156</v>
      </c>
      <c r="R387" s="969"/>
      <c r="S387" s="970">
        <v>12150</v>
      </c>
      <c r="T387" s="972">
        <v>-16</v>
      </c>
      <c r="U387" s="972">
        <v>12134</v>
      </c>
    </row>
    <row r="388" spans="1:21" x14ac:dyDescent="0.25">
      <c r="A388" s="966">
        <v>94021</v>
      </c>
      <c r="B388" s="967" t="s">
        <v>3003</v>
      </c>
      <c r="C388" s="968">
        <v>9.3399999999999993E-5</v>
      </c>
      <c r="D388" s="968">
        <v>8.1699999999999994E-5</v>
      </c>
      <c r="E388" s="1007">
        <v>47346</v>
      </c>
      <c r="F388" s="1010">
        <v>173395</v>
      </c>
      <c r="G388" s="969">
        <v>142689</v>
      </c>
      <c r="H388" s="969"/>
      <c r="I388" s="970">
        <v>8220</v>
      </c>
      <c r="J388" s="971">
        <v>34645</v>
      </c>
      <c r="K388" s="970">
        <v>20378</v>
      </c>
      <c r="L388" s="969">
        <v>20025</v>
      </c>
      <c r="M388" s="969"/>
      <c r="N388" s="970">
        <v>4039</v>
      </c>
      <c r="O388" s="970">
        <v>0</v>
      </c>
      <c r="P388" s="970">
        <v>0</v>
      </c>
      <c r="Q388" s="969">
        <v>0</v>
      </c>
      <c r="R388" s="969"/>
      <c r="S388" s="970">
        <v>48086</v>
      </c>
      <c r="T388" s="972">
        <v>8567</v>
      </c>
      <c r="U388" s="972">
        <v>56653</v>
      </c>
    </row>
    <row r="389" spans="1:21" x14ac:dyDescent="0.25">
      <c r="A389" s="966">
        <v>94031</v>
      </c>
      <c r="B389" s="967" t="s">
        <v>3004</v>
      </c>
      <c r="C389" s="968">
        <v>5.4E-6</v>
      </c>
      <c r="D389" s="968">
        <v>8.1000000000000004E-6</v>
      </c>
      <c r="E389" s="1007">
        <v>6800</v>
      </c>
      <c r="F389" s="1010">
        <v>17191</v>
      </c>
      <c r="G389" s="969">
        <v>8250</v>
      </c>
      <c r="H389" s="969"/>
      <c r="I389" s="970">
        <v>475</v>
      </c>
      <c r="J389" s="971">
        <v>2003</v>
      </c>
      <c r="K389" s="970">
        <v>1178</v>
      </c>
      <c r="L389" s="969">
        <v>7232</v>
      </c>
      <c r="M389" s="969"/>
      <c r="N389" s="970">
        <v>234</v>
      </c>
      <c r="O389" s="970">
        <v>0</v>
      </c>
      <c r="P389" s="970">
        <v>0</v>
      </c>
      <c r="Q389" s="969">
        <v>41</v>
      </c>
      <c r="R389" s="969"/>
      <c r="S389" s="970">
        <v>2780</v>
      </c>
      <c r="T389" s="972">
        <v>2829</v>
      </c>
      <c r="U389" s="972">
        <v>5609</v>
      </c>
    </row>
    <row r="390" spans="1:21" x14ac:dyDescent="0.25">
      <c r="A390" s="966">
        <v>94101</v>
      </c>
      <c r="B390" s="967" t="s">
        <v>3005</v>
      </c>
      <c r="C390" s="968">
        <v>1.8321799999999999E-2</v>
      </c>
      <c r="D390" s="968">
        <v>1.85028E-2</v>
      </c>
      <c r="E390" s="1007">
        <v>8515875</v>
      </c>
      <c r="F390" s="1010">
        <v>39269140</v>
      </c>
      <c r="G390" s="969">
        <v>27990635</v>
      </c>
      <c r="H390" s="969"/>
      <c r="I390" s="970">
        <v>1612520</v>
      </c>
      <c r="J390" s="971">
        <v>6796161</v>
      </c>
      <c r="K390" s="970">
        <v>3997450</v>
      </c>
      <c r="L390" s="969">
        <v>271577</v>
      </c>
      <c r="M390" s="969"/>
      <c r="N390" s="970">
        <v>792326</v>
      </c>
      <c r="O390" s="970">
        <v>0</v>
      </c>
      <c r="P390" s="970">
        <v>0</v>
      </c>
      <c r="Q390" s="969">
        <v>721969</v>
      </c>
      <c r="R390" s="969"/>
      <c r="S390" s="970">
        <v>9432869</v>
      </c>
      <c r="T390" s="972">
        <v>-270678</v>
      </c>
      <c r="U390" s="972">
        <v>9162191</v>
      </c>
    </row>
    <row r="391" spans="1:21" x14ac:dyDescent="0.25">
      <c r="A391" s="966">
        <v>94102</v>
      </c>
      <c r="B391" s="967" t="s">
        <v>3006</v>
      </c>
      <c r="C391" s="968">
        <v>2.965E-4</v>
      </c>
      <c r="D391" s="968">
        <v>2.7569999999999998E-4</v>
      </c>
      <c r="E391" s="1007">
        <v>104557</v>
      </c>
      <c r="F391" s="1010">
        <v>585128</v>
      </c>
      <c r="G391" s="969">
        <v>452970</v>
      </c>
      <c r="H391" s="969"/>
      <c r="I391" s="970">
        <v>26095</v>
      </c>
      <c r="J391" s="971">
        <v>109981</v>
      </c>
      <c r="K391" s="970">
        <v>64690</v>
      </c>
      <c r="L391" s="969">
        <v>2570</v>
      </c>
      <c r="M391" s="969"/>
      <c r="N391" s="970">
        <v>12822</v>
      </c>
      <c r="O391" s="970">
        <v>0</v>
      </c>
      <c r="P391" s="970">
        <v>0</v>
      </c>
      <c r="Q391" s="969">
        <v>36856</v>
      </c>
      <c r="R391" s="969"/>
      <c r="S391" s="970">
        <v>152651</v>
      </c>
      <c r="T391" s="972">
        <v>-11311</v>
      </c>
      <c r="U391" s="972">
        <v>141340</v>
      </c>
    </row>
    <row r="392" spans="1:21" x14ac:dyDescent="0.25">
      <c r="A392" s="966">
        <v>94108</v>
      </c>
      <c r="B392" s="967" t="s">
        <v>3007</v>
      </c>
      <c r="C392" s="968">
        <v>3.1389999999999999E-4</v>
      </c>
      <c r="D392" s="968">
        <v>3.1809999999999998E-4</v>
      </c>
      <c r="E392" s="1007">
        <v>112936</v>
      </c>
      <c r="F392" s="1010">
        <v>675115</v>
      </c>
      <c r="G392" s="969">
        <v>479552</v>
      </c>
      <c r="H392" s="969"/>
      <c r="I392" s="970">
        <v>27627</v>
      </c>
      <c r="J392" s="971">
        <v>116436</v>
      </c>
      <c r="K392" s="970">
        <v>68487</v>
      </c>
      <c r="L392" s="969">
        <v>0</v>
      </c>
      <c r="M392" s="969"/>
      <c r="N392" s="970">
        <v>13575</v>
      </c>
      <c r="O392" s="970">
        <v>0</v>
      </c>
      <c r="P392" s="970">
        <v>0</v>
      </c>
      <c r="Q392" s="969">
        <v>108607</v>
      </c>
      <c r="R392" s="969"/>
      <c r="S392" s="970">
        <v>161610</v>
      </c>
      <c r="T392" s="972">
        <v>-47459</v>
      </c>
      <c r="U392" s="972">
        <v>114151</v>
      </c>
    </row>
    <row r="393" spans="1:21" x14ac:dyDescent="0.25">
      <c r="A393" s="966">
        <v>94109</v>
      </c>
      <c r="B393" s="967" t="s">
        <v>3008</v>
      </c>
      <c r="C393" s="968">
        <v>9.09E-5</v>
      </c>
      <c r="D393" s="968">
        <v>1.0399999999999999E-4</v>
      </c>
      <c r="E393" s="1007">
        <v>31710</v>
      </c>
      <c r="F393" s="1010">
        <v>220723</v>
      </c>
      <c r="G393" s="969">
        <v>138870</v>
      </c>
      <c r="H393" s="969"/>
      <c r="I393" s="970">
        <v>8000</v>
      </c>
      <c r="J393" s="971">
        <v>33718</v>
      </c>
      <c r="K393" s="970">
        <v>19833</v>
      </c>
      <c r="L393" s="969">
        <v>796</v>
      </c>
      <c r="M393" s="969"/>
      <c r="N393" s="970">
        <v>3931</v>
      </c>
      <c r="O393" s="970">
        <v>0</v>
      </c>
      <c r="P393" s="970">
        <v>0</v>
      </c>
      <c r="Q393" s="969">
        <v>41294</v>
      </c>
      <c r="R393" s="969"/>
      <c r="S393" s="970">
        <v>46799</v>
      </c>
      <c r="T393" s="972">
        <v>-12890</v>
      </c>
      <c r="U393" s="972">
        <v>33909</v>
      </c>
    </row>
    <row r="394" spans="1:21" x14ac:dyDescent="0.25">
      <c r="A394" s="966">
        <v>94111</v>
      </c>
      <c r="B394" s="967" t="s">
        <v>3009</v>
      </c>
      <c r="C394" s="968">
        <v>2.5682300000000002E-2</v>
      </c>
      <c r="D394" s="968">
        <v>2.5623300000000002E-2</v>
      </c>
      <c r="E394" s="1007">
        <v>11270051</v>
      </c>
      <c r="F394" s="1010">
        <v>54381226</v>
      </c>
      <c r="G394" s="969">
        <v>39235440</v>
      </c>
      <c r="H394" s="969"/>
      <c r="I394" s="970">
        <v>2260325</v>
      </c>
      <c r="J394" s="971">
        <v>9526412</v>
      </c>
      <c r="K394" s="970">
        <v>5603364</v>
      </c>
      <c r="L394" s="969">
        <v>7528</v>
      </c>
      <c r="M394" s="969"/>
      <c r="N394" s="970">
        <v>1110631</v>
      </c>
      <c r="O394" s="970">
        <v>0</v>
      </c>
      <c r="P394" s="970">
        <v>0</v>
      </c>
      <c r="Q394" s="969">
        <v>1491627</v>
      </c>
      <c r="R394" s="969"/>
      <c r="S394" s="970">
        <v>13222378</v>
      </c>
      <c r="T394" s="972">
        <v>-524586</v>
      </c>
      <c r="U394" s="972">
        <v>12697792</v>
      </c>
    </row>
    <row r="395" spans="1:21" x14ac:dyDescent="0.25">
      <c r="A395" s="966">
        <v>94112</v>
      </c>
      <c r="B395" s="967" t="s">
        <v>3010</v>
      </c>
      <c r="C395" s="968">
        <v>1.6699999999999999E-4</v>
      </c>
      <c r="D395" s="968">
        <v>1.6530000000000001E-4</v>
      </c>
      <c r="E395" s="1007">
        <v>68640</v>
      </c>
      <c r="F395" s="1010">
        <v>350822</v>
      </c>
      <c r="G395" s="969">
        <v>255130</v>
      </c>
      <c r="H395" s="969"/>
      <c r="I395" s="970">
        <v>14698</v>
      </c>
      <c r="J395" s="971">
        <v>61946</v>
      </c>
      <c r="K395" s="970">
        <v>36436</v>
      </c>
      <c r="L395" s="969">
        <v>0</v>
      </c>
      <c r="M395" s="969"/>
      <c r="N395" s="970">
        <v>7222</v>
      </c>
      <c r="O395" s="970">
        <v>0</v>
      </c>
      <c r="P395" s="970">
        <v>0</v>
      </c>
      <c r="Q395" s="969">
        <v>18973</v>
      </c>
      <c r="R395" s="969"/>
      <c r="S395" s="970">
        <v>85979</v>
      </c>
      <c r="T395" s="972">
        <v>-8534</v>
      </c>
      <c r="U395" s="972">
        <v>77445</v>
      </c>
    </row>
    <row r="396" spans="1:21" x14ac:dyDescent="0.25">
      <c r="A396" s="966">
        <v>94117</v>
      </c>
      <c r="B396" s="967" t="s">
        <v>3011</v>
      </c>
      <c r="C396" s="968">
        <v>3.9809999999999997E-4</v>
      </c>
      <c r="D396" s="968">
        <v>4.0709999999999997E-4</v>
      </c>
      <c r="E396" s="1007">
        <v>179744</v>
      </c>
      <c r="F396" s="1010">
        <v>864003</v>
      </c>
      <c r="G396" s="969">
        <v>608187</v>
      </c>
      <c r="H396" s="969"/>
      <c r="I396" s="970">
        <v>35037</v>
      </c>
      <c r="J396" s="971">
        <v>147669</v>
      </c>
      <c r="K396" s="970">
        <v>86857</v>
      </c>
      <c r="L396" s="969">
        <v>8133</v>
      </c>
      <c r="M396" s="969"/>
      <c r="N396" s="970">
        <v>17216</v>
      </c>
      <c r="O396" s="970">
        <v>0</v>
      </c>
      <c r="P396" s="970">
        <v>0</v>
      </c>
      <c r="Q396" s="969">
        <v>15587</v>
      </c>
      <c r="R396" s="969"/>
      <c r="S396" s="970">
        <v>204959</v>
      </c>
      <c r="T396" s="972">
        <v>-79</v>
      </c>
      <c r="U396" s="972">
        <v>204880</v>
      </c>
    </row>
    <row r="397" spans="1:21" x14ac:dyDescent="0.25">
      <c r="A397" s="966">
        <v>94118</v>
      </c>
      <c r="B397" s="967" t="s">
        <v>3012</v>
      </c>
      <c r="C397" s="968">
        <v>1.494E-4</v>
      </c>
      <c r="D397" s="968">
        <v>1.63E-4</v>
      </c>
      <c r="E397" s="1007">
        <v>57233</v>
      </c>
      <c r="F397" s="1010">
        <v>345941</v>
      </c>
      <c r="G397" s="969">
        <v>228242</v>
      </c>
      <c r="H397" s="969"/>
      <c r="I397" s="970">
        <v>13149</v>
      </c>
      <c r="J397" s="971">
        <v>55417</v>
      </c>
      <c r="K397" s="970">
        <v>32596</v>
      </c>
      <c r="L397" s="969">
        <v>0</v>
      </c>
      <c r="M397" s="969"/>
      <c r="N397" s="970">
        <v>6461</v>
      </c>
      <c r="O397" s="970">
        <v>0</v>
      </c>
      <c r="P397" s="970">
        <v>0</v>
      </c>
      <c r="Q397" s="969">
        <v>56599</v>
      </c>
      <c r="R397" s="969"/>
      <c r="S397" s="970">
        <v>76918</v>
      </c>
      <c r="T397" s="972">
        <v>-24768</v>
      </c>
      <c r="U397" s="972">
        <v>52150</v>
      </c>
    </row>
    <row r="398" spans="1:21" x14ac:dyDescent="0.25">
      <c r="A398" s="966">
        <v>94121</v>
      </c>
      <c r="B398" s="967" t="s">
        <v>3013</v>
      </c>
      <c r="C398" s="968">
        <v>1.1246000000000001E-2</v>
      </c>
      <c r="D398" s="968">
        <v>1.12823E-2</v>
      </c>
      <c r="E398" s="1007">
        <v>5240634</v>
      </c>
      <c r="F398" s="1010">
        <v>23944820</v>
      </c>
      <c r="G398" s="969">
        <v>17180773</v>
      </c>
      <c r="H398" s="969"/>
      <c r="I398" s="970">
        <v>989772</v>
      </c>
      <c r="J398" s="971">
        <v>4171512</v>
      </c>
      <c r="K398" s="970">
        <v>2453652</v>
      </c>
      <c r="L398" s="969">
        <v>65556</v>
      </c>
      <c r="M398" s="969"/>
      <c r="N398" s="970">
        <v>486333</v>
      </c>
      <c r="O398" s="970">
        <v>0</v>
      </c>
      <c r="P398" s="970">
        <v>0</v>
      </c>
      <c r="Q398" s="969">
        <v>276825</v>
      </c>
      <c r="R398" s="969"/>
      <c r="S398" s="970">
        <v>5789936</v>
      </c>
      <c r="T398" s="972">
        <v>-128084</v>
      </c>
      <c r="U398" s="972">
        <v>5661852</v>
      </c>
    </row>
    <row r="399" spans="1:21" x14ac:dyDescent="0.25">
      <c r="A399" s="966">
        <v>94127</v>
      </c>
      <c r="B399" s="967" t="s">
        <v>3014</v>
      </c>
      <c r="C399" s="968">
        <v>1.7310000000000001E-4</v>
      </c>
      <c r="D399" s="968">
        <v>1.528E-4</v>
      </c>
      <c r="E399" s="1007">
        <v>70093</v>
      </c>
      <c r="F399" s="1010">
        <v>324293</v>
      </c>
      <c r="G399" s="969">
        <v>264449</v>
      </c>
      <c r="H399" s="969"/>
      <c r="I399" s="970">
        <v>15235</v>
      </c>
      <c r="J399" s="971">
        <v>64208</v>
      </c>
      <c r="K399" s="970">
        <v>37767</v>
      </c>
      <c r="L399" s="969">
        <v>8697</v>
      </c>
      <c r="M399" s="969"/>
      <c r="N399" s="970">
        <v>7486</v>
      </c>
      <c r="O399" s="970">
        <v>0</v>
      </c>
      <c r="P399" s="970">
        <v>0</v>
      </c>
      <c r="Q399" s="969">
        <v>398</v>
      </c>
      <c r="R399" s="969"/>
      <c r="S399" s="970">
        <v>89119</v>
      </c>
      <c r="T399" s="972">
        <v>2605</v>
      </c>
      <c r="U399" s="972">
        <v>91724</v>
      </c>
    </row>
    <row r="400" spans="1:21" x14ac:dyDescent="0.25">
      <c r="A400" s="966">
        <v>94131</v>
      </c>
      <c r="B400" s="967" t="s">
        <v>3015</v>
      </c>
      <c r="C400" s="968">
        <v>1.7479999999999999E-4</v>
      </c>
      <c r="D400" s="968">
        <v>2.0049999999999999E-4</v>
      </c>
      <c r="E400" s="1007">
        <v>91156</v>
      </c>
      <c r="F400" s="1010">
        <v>425528</v>
      </c>
      <c r="G400" s="969">
        <v>267046</v>
      </c>
      <c r="H400" s="969"/>
      <c r="I400" s="970">
        <v>15384</v>
      </c>
      <c r="J400" s="971">
        <v>64840</v>
      </c>
      <c r="K400" s="970">
        <v>38138</v>
      </c>
      <c r="L400" s="969">
        <v>3004</v>
      </c>
      <c r="M400" s="969"/>
      <c r="N400" s="970">
        <v>7559</v>
      </c>
      <c r="O400" s="970">
        <v>0</v>
      </c>
      <c r="P400" s="970">
        <v>0</v>
      </c>
      <c r="Q400" s="969">
        <v>9062</v>
      </c>
      <c r="R400" s="969"/>
      <c r="S400" s="970">
        <v>89995</v>
      </c>
      <c r="T400" s="972">
        <v>-1148</v>
      </c>
      <c r="U400" s="972">
        <v>88847</v>
      </c>
    </row>
    <row r="401" spans="1:21" x14ac:dyDescent="0.25">
      <c r="A401" s="966">
        <v>94151</v>
      </c>
      <c r="B401" s="967" t="s">
        <v>3016</v>
      </c>
      <c r="C401" s="968">
        <v>4.1590000000000003E-4</v>
      </c>
      <c r="D401" s="968">
        <v>4.2870000000000001E-4</v>
      </c>
      <c r="E401" s="1007">
        <v>171244</v>
      </c>
      <c r="F401" s="1010">
        <v>909845</v>
      </c>
      <c r="G401" s="969">
        <v>635380</v>
      </c>
      <c r="H401" s="969"/>
      <c r="I401" s="970">
        <v>36604</v>
      </c>
      <c r="J401" s="971">
        <v>154271</v>
      </c>
      <c r="K401" s="970">
        <v>90741</v>
      </c>
      <c r="L401" s="969">
        <v>0</v>
      </c>
      <c r="M401" s="969"/>
      <c r="N401" s="970">
        <v>17986</v>
      </c>
      <c r="O401" s="970">
        <v>0</v>
      </c>
      <c r="P401" s="970">
        <v>0</v>
      </c>
      <c r="Q401" s="969">
        <v>36672</v>
      </c>
      <c r="R401" s="969"/>
      <c r="S401" s="970">
        <v>214124</v>
      </c>
      <c r="T401" s="972">
        <v>-12878</v>
      </c>
      <c r="U401" s="972">
        <v>201246</v>
      </c>
    </row>
    <row r="402" spans="1:21" x14ac:dyDescent="0.25">
      <c r="A402" s="966">
        <v>94157</v>
      </c>
      <c r="B402" s="967" t="s">
        <v>3017</v>
      </c>
      <c r="C402" s="968">
        <v>8.8999999999999995E-6</v>
      </c>
      <c r="D402" s="968">
        <v>9.3999999999999998E-6</v>
      </c>
      <c r="E402" s="1007">
        <v>5186</v>
      </c>
      <c r="F402" s="1010">
        <v>19950</v>
      </c>
      <c r="G402" s="969">
        <v>13597</v>
      </c>
      <c r="H402" s="969"/>
      <c r="I402" s="970">
        <v>783</v>
      </c>
      <c r="J402" s="971">
        <v>3302</v>
      </c>
      <c r="K402" s="970">
        <v>1942</v>
      </c>
      <c r="L402" s="969">
        <v>3748</v>
      </c>
      <c r="M402" s="969"/>
      <c r="N402" s="970">
        <v>385</v>
      </c>
      <c r="O402" s="970">
        <v>0</v>
      </c>
      <c r="P402" s="970">
        <v>0</v>
      </c>
      <c r="Q402" s="969">
        <v>0</v>
      </c>
      <c r="R402" s="969"/>
      <c r="S402" s="970">
        <v>4582</v>
      </c>
      <c r="T402" s="972">
        <v>2084</v>
      </c>
      <c r="U402" s="972">
        <v>6666</v>
      </c>
    </row>
    <row r="403" spans="1:21" x14ac:dyDescent="0.25">
      <c r="A403" s="966">
        <v>94161</v>
      </c>
      <c r="B403" s="967" t="s">
        <v>3018</v>
      </c>
      <c r="C403" s="968">
        <v>5.1900000000000001E-5</v>
      </c>
      <c r="D403" s="968">
        <v>5.7899999999999998E-5</v>
      </c>
      <c r="E403" s="1007">
        <v>24925</v>
      </c>
      <c r="F403" s="1010">
        <v>122883</v>
      </c>
      <c r="G403" s="969">
        <v>79289</v>
      </c>
      <c r="H403" s="969"/>
      <c r="I403" s="970">
        <v>4568</v>
      </c>
      <c r="J403" s="971">
        <v>19252</v>
      </c>
      <c r="K403" s="970">
        <v>11324</v>
      </c>
      <c r="L403" s="969">
        <v>5455</v>
      </c>
      <c r="M403" s="969"/>
      <c r="N403" s="970">
        <v>2244</v>
      </c>
      <c r="O403" s="970">
        <v>0</v>
      </c>
      <c r="P403" s="970">
        <v>0</v>
      </c>
      <c r="Q403" s="969">
        <v>3144</v>
      </c>
      <c r="R403" s="969"/>
      <c r="S403" s="970">
        <v>26720</v>
      </c>
      <c r="T403" s="972">
        <v>2302</v>
      </c>
      <c r="U403" s="972">
        <v>29022</v>
      </c>
    </row>
    <row r="404" spans="1:21" x14ac:dyDescent="0.25">
      <c r="A404" s="966">
        <v>94168</v>
      </c>
      <c r="B404" s="967" t="s">
        <v>3019</v>
      </c>
      <c r="C404" s="968">
        <v>2.5899999999999999E-5</v>
      </c>
      <c r="D404" s="968">
        <v>3.4E-5</v>
      </c>
      <c r="E404" s="1007">
        <v>14686</v>
      </c>
      <c r="F404" s="1010">
        <v>72159</v>
      </c>
      <c r="G404" s="969">
        <v>39568</v>
      </c>
      <c r="H404" s="969"/>
      <c r="I404" s="970">
        <v>2279</v>
      </c>
      <c r="J404" s="971">
        <v>9607</v>
      </c>
      <c r="K404" s="970">
        <v>5651</v>
      </c>
      <c r="L404" s="969">
        <v>0</v>
      </c>
      <c r="M404" s="969"/>
      <c r="N404" s="970">
        <v>1120</v>
      </c>
      <c r="O404" s="970">
        <v>0</v>
      </c>
      <c r="P404" s="970">
        <v>0</v>
      </c>
      <c r="Q404" s="969">
        <v>11664</v>
      </c>
      <c r="R404" s="969"/>
      <c r="S404" s="970">
        <v>13334</v>
      </c>
      <c r="T404" s="972">
        <v>-5442</v>
      </c>
      <c r="U404" s="972">
        <v>7892</v>
      </c>
    </row>
    <row r="405" spans="1:21" x14ac:dyDescent="0.25">
      <c r="A405" s="966">
        <v>94171</v>
      </c>
      <c r="B405" s="967" t="s">
        <v>3020</v>
      </c>
      <c r="C405" s="968">
        <v>6.9800000000000003E-5</v>
      </c>
      <c r="D405" s="968">
        <v>5.5000000000000002E-5</v>
      </c>
      <c r="E405" s="1007">
        <v>26828</v>
      </c>
      <c r="F405" s="1010">
        <v>116728</v>
      </c>
      <c r="G405" s="969">
        <v>106635</v>
      </c>
      <c r="H405" s="969"/>
      <c r="I405" s="970">
        <v>6143</v>
      </c>
      <c r="J405" s="971">
        <v>25891</v>
      </c>
      <c r="K405" s="970">
        <v>15229</v>
      </c>
      <c r="L405" s="969">
        <v>10026</v>
      </c>
      <c r="M405" s="969"/>
      <c r="N405" s="970">
        <v>3019</v>
      </c>
      <c r="O405" s="970">
        <v>0</v>
      </c>
      <c r="P405" s="970">
        <v>0</v>
      </c>
      <c r="Q405" s="969">
        <v>862</v>
      </c>
      <c r="R405" s="969"/>
      <c r="S405" s="970">
        <v>35936</v>
      </c>
      <c r="T405" s="972">
        <v>2780</v>
      </c>
      <c r="U405" s="972">
        <v>38716</v>
      </c>
    </row>
    <row r="406" spans="1:21" x14ac:dyDescent="0.25">
      <c r="A406" s="966">
        <v>94172</v>
      </c>
      <c r="B406" s="967" t="s">
        <v>3021</v>
      </c>
      <c r="C406" s="968">
        <v>2.6289999999999999E-4</v>
      </c>
      <c r="D406" s="968">
        <v>2.6699999999999998E-4</v>
      </c>
      <c r="E406" s="1007">
        <v>91553</v>
      </c>
      <c r="F406" s="1010">
        <v>566663</v>
      </c>
      <c r="G406" s="969">
        <v>401638</v>
      </c>
      <c r="H406" s="969"/>
      <c r="I406" s="970">
        <v>23138</v>
      </c>
      <c r="J406" s="971">
        <v>97518</v>
      </c>
      <c r="K406" s="970">
        <v>57360</v>
      </c>
      <c r="L406" s="969">
        <v>0</v>
      </c>
      <c r="M406" s="969"/>
      <c r="N406" s="970">
        <v>11369</v>
      </c>
      <c r="O406" s="970">
        <v>0</v>
      </c>
      <c r="P406" s="970">
        <v>0</v>
      </c>
      <c r="Q406" s="969">
        <v>90059</v>
      </c>
      <c r="R406" s="969"/>
      <c r="S406" s="970">
        <v>135352</v>
      </c>
      <c r="T406" s="972">
        <v>-41178</v>
      </c>
      <c r="U406" s="972">
        <v>94174</v>
      </c>
    </row>
    <row r="407" spans="1:21" x14ac:dyDescent="0.25">
      <c r="A407" s="966">
        <v>94201</v>
      </c>
      <c r="B407" s="967" t="s">
        <v>3022</v>
      </c>
      <c r="C407" s="968">
        <v>3.3658999999999998E-3</v>
      </c>
      <c r="D407" s="968">
        <v>3.4813000000000001E-3</v>
      </c>
      <c r="E407" s="1007">
        <v>1556105</v>
      </c>
      <c r="F407" s="1010">
        <v>7388485</v>
      </c>
      <c r="G407" s="969">
        <v>5142163</v>
      </c>
      <c r="H407" s="969"/>
      <c r="I407" s="970">
        <v>296236</v>
      </c>
      <c r="J407" s="971">
        <v>1248524</v>
      </c>
      <c r="K407" s="970">
        <v>734372</v>
      </c>
      <c r="L407" s="969">
        <v>37947</v>
      </c>
      <c r="M407" s="969"/>
      <c r="N407" s="970">
        <v>145558</v>
      </c>
      <c r="O407" s="970">
        <v>0</v>
      </c>
      <c r="P407" s="970">
        <v>0</v>
      </c>
      <c r="Q407" s="969">
        <v>70514</v>
      </c>
      <c r="R407" s="969"/>
      <c r="S407" s="970">
        <v>1732913</v>
      </c>
      <c r="T407" s="972">
        <v>-942</v>
      </c>
      <c r="U407" s="972">
        <v>1731971</v>
      </c>
    </row>
    <row r="408" spans="1:21" x14ac:dyDescent="0.25">
      <c r="A408" s="966">
        <v>94204</v>
      </c>
      <c r="B408" s="967" t="s">
        <v>3023</v>
      </c>
      <c r="C408" s="968">
        <v>2.5899999999999999E-5</v>
      </c>
      <c r="D408" s="968">
        <v>2.4899999999999999E-5</v>
      </c>
      <c r="E408" s="1007">
        <v>17428</v>
      </c>
      <c r="F408" s="1010">
        <v>52846</v>
      </c>
      <c r="G408" s="969">
        <v>39568</v>
      </c>
      <c r="H408" s="969"/>
      <c r="I408" s="970">
        <v>2279</v>
      </c>
      <c r="J408" s="971">
        <v>9607</v>
      </c>
      <c r="K408" s="970">
        <v>5651</v>
      </c>
      <c r="L408" s="969">
        <v>12190</v>
      </c>
      <c r="M408" s="969"/>
      <c r="N408" s="970">
        <v>1120</v>
      </c>
      <c r="O408" s="970">
        <v>0</v>
      </c>
      <c r="P408" s="970">
        <v>0</v>
      </c>
      <c r="Q408" s="969">
        <v>0</v>
      </c>
      <c r="R408" s="969"/>
      <c r="S408" s="970">
        <v>13334</v>
      </c>
      <c r="T408" s="972">
        <v>4996</v>
      </c>
      <c r="U408" s="972">
        <v>18330</v>
      </c>
    </row>
    <row r="409" spans="1:21" x14ac:dyDescent="0.25">
      <c r="A409" s="966">
        <v>94205</v>
      </c>
      <c r="B409" s="967" t="s">
        <v>3024</v>
      </c>
      <c r="C409" s="968">
        <v>2.0699999999999998E-5</v>
      </c>
      <c r="D409" s="968">
        <v>2.6100000000000001E-5</v>
      </c>
      <c r="E409" s="1007">
        <v>11902</v>
      </c>
      <c r="F409" s="1010">
        <v>55393</v>
      </c>
      <c r="G409" s="969">
        <v>31624</v>
      </c>
      <c r="H409" s="969"/>
      <c r="I409" s="970">
        <v>1822</v>
      </c>
      <c r="J409" s="971">
        <v>7678</v>
      </c>
      <c r="K409" s="970">
        <v>4516</v>
      </c>
      <c r="L409" s="969">
        <v>1652</v>
      </c>
      <c r="M409" s="969"/>
      <c r="N409" s="970">
        <v>895</v>
      </c>
      <c r="O409" s="970">
        <v>0</v>
      </c>
      <c r="P409" s="970">
        <v>0</v>
      </c>
      <c r="Q409" s="969">
        <v>5048</v>
      </c>
      <c r="R409" s="969"/>
      <c r="S409" s="970">
        <v>10657</v>
      </c>
      <c r="T409" s="972">
        <v>-3026</v>
      </c>
      <c r="U409" s="972">
        <v>7631</v>
      </c>
    </row>
    <row r="410" spans="1:21" x14ac:dyDescent="0.25">
      <c r="A410" s="966">
        <v>94209</v>
      </c>
      <c r="B410" s="967" t="s">
        <v>3025</v>
      </c>
      <c r="C410" s="968">
        <v>3.4190000000000002E-4</v>
      </c>
      <c r="D410" s="968">
        <v>3.2909999999999998E-4</v>
      </c>
      <c r="E410" s="1007">
        <v>157003</v>
      </c>
      <c r="F410" s="1010">
        <v>698460</v>
      </c>
      <c r="G410" s="969">
        <v>522328</v>
      </c>
      <c r="H410" s="969"/>
      <c r="I410" s="970">
        <v>30091</v>
      </c>
      <c r="J410" s="971">
        <v>126822</v>
      </c>
      <c r="K410" s="970">
        <v>74596</v>
      </c>
      <c r="L410" s="969">
        <v>23431</v>
      </c>
      <c r="M410" s="969"/>
      <c r="N410" s="970">
        <v>14785</v>
      </c>
      <c r="O410" s="970">
        <v>0</v>
      </c>
      <c r="P410" s="970">
        <v>0</v>
      </c>
      <c r="Q410" s="969">
        <v>7196</v>
      </c>
      <c r="R410" s="969"/>
      <c r="S410" s="970">
        <v>176025</v>
      </c>
      <c r="T410" s="972">
        <v>9128</v>
      </c>
      <c r="U410" s="972">
        <v>185153</v>
      </c>
    </row>
    <row r="411" spans="1:21" x14ac:dyDescent="0.25">
      <c r="A411" s="966">
        <v>94211</v>
      </c>
      <c r="B411" s="967" t="s">
        <v>3026</v>
      </c>
      <c r="C411" s="968">
        <v>1.3660000000000001E-4</v>
      </c>
      <c r="D411" s="968">
        <v>1.2400000000000001E-4</v>
      </c>
      <c r="E411" s="1007">
        <v>61663</v>
      </c>
      <c r="F411" s="1010">
        <v>263170</v>
      </c>
      <c r="G411" s="969">
        <v>208687</v>
      </c>
      <c r="H411" s="969"/>
      <c r="I411" s="970">
        <v>12022</v>
      </c>
      <c r="J411" s="971">
        <v>50669</v>
      </c>
      <c r="K411" s="970">
        <v>29803</v>
      </c>
      <c r="L411" s="969">
        <v>7857</v>
      </c>
      <c r="M411" s="969"/>
      <c r="N411" s="970">
        <v>5907</v>
      </c>
      <c r="O411" s="970">
        <v>0</v>
      </c>
      <c r="P411" s="970">
        <v>0</v>
      </c>
      <c r="Q411" s="969">
        <v>17326</v>
      </c>
      <c r="R411" s="969"/>
      <c r="S411" s="970">
        <v>70328</v>
      </c>
      <c r="T411" s="972">
        <v>-11553</v>
      </c>
      <c r="U411" s="972">
        <v>58775</v>
      </c>
    </row>
    <row r="412" spans="1:21" x14ac:dyDescent="0.25">
      <c r="A412" s="966">
        <v>94221</v>
      </c>
      <c r="B412" s="967" t="s">
        <v>3027</v>
      </c>
      <c r="C412" s="968">
        <v>1.0436E-3</v>
      </c>
      <c r="D412" s="968">
        <v>1.0705999999999999E-3</v>
      </c>
      <c r="E412" s="1007">
        <v>459328</v>
      </c>
      <c r="F412" s="1010">
        <v>2272172</v>
      </c>
      <c r="G412" s="969">
        <v>1594332</v>
      </c>
      <c r="H412" s="969"/>
      <c r="I412" s="970">
        <v>91848</v>
      </c>
      <c r="J412" s="971">
        <v>387106</v>
      </c>
      <c r="K412" s="970">
        <v>227693</v>
      </c>
      <c r="L412" s="969">
        <v>63725</v>
      </c>
      <c r="M412" s="969"/>
      <c r="N412" s="970">
        <v>45130</v>
      </c>
      <c r="O412" s="970">
        <v>0</v>
      </c>
      <c r="P412" s="970">
        <v>0</v>
      </c>
      <c r="Q412" s="969">
        <v>120971</v>
      </c>
      <c r="R412" s="969"/>
      <c r="S412" s="970">
        <v>537291</v>
      </c>
      <c r="T412" s="972">
        <v>-24799</v>
      </c>
      <c r="U412" s="972">
        <v>512492</v>
      </c>
    </row>
    <row r="413" spans="1:21" x14ac:dyDescent="0.25">
      <c r="A413" s="966">
        <v>94231</v>
      </c>
      <c r="B413" s="967" t="s">
        <v>3028</v>
      </c>
      <c r="C413" s="968">
        <v>2.2609999999999999E-4</v>
      </c>
      <c r="D413" s="968">
        <v>2.1269999999999999E-4</v>
      </c>
      <c r="E413" s="1007">
        <v>101171</v>
      </c>
      <c r="F413" s="1010">
        <v>451421</v>
      </c>
      <c r="G413" s="969">
        <v>345418</v>
      </c>
      <c r="H413" s="969"/>
      <c r="I413" s="970">
        <v>19899</v>
      </c>
      <c r="J413" s="971">
        <v>83868</v>
      </c>
      <c r="K413" s="970">
        <v>49330</v>
      </c>
      <c r="L413" s="969">
        <v>8354</v>
      </c>
      <c r="M413" s="969"/>
      <c r="N413" s="970">
        <v>9778</v>
      </c>
      <c r="O413" s="970">
        <v>0</v>
      </c>
      <c r="P413" s="970">
        <v>0</v>
      </c>
      <c r="Q413" s="969">
        <v>6714</v>
      </c>
      <c r="R413" s="969"/>
      <c r="S413" s="970">
        <v>116406</v>
      </c>
      <c r="T413" s="972">
        <v>-2799</v>
      </c>
      <c r="U413" s="972">
        <v>113607</v>
      </c>
    </row>
    <row r="414" spans="1:21" x14ac:dyDescent="0.25">
      <c r="A414" s="966">
        <v>94241</v>
      </c>
      <c r="B414" s="967" t="s">
        <v>3029</v>
      </c>
      <c r="C414" s="968">
        <v>1.2669999999999999E-4</v>
      </c>
      <c r="D414" s="968">
        <v>8.4099999999999998E-5</v>
      </c>
      <c r="E414" s="1007">
        <v>53317</v>
      </c>
      <c r="F414" s="1010">
        <v>178488</v>
      </c>
      <c r="G414" s="969">
        <v>193563</v>
      </c>
      <c r="H414" s="969"/>
      <c r="I414" s="970">
        <v>11151</v>
      </c>
      <c r="J414" s="971">
        <v>46997</v>
      </c>
      <c r="K414" s="970">
        <v>27643</v>
      </c>
      <c r="L414" s="969">
        <v>26711</v>
      </c>
      <c r="M414" s="969"/>
      <c r="N414" s="970">
        <v>5479</v>
      </c>
      <c r="O414" s="970">
        <v>0</v>
      </c>
      <c r="P414" s="970">
        <v>0</v>
      </c>
      <c r="Q414" s="969">
        <v>856</v>
      </c>
      <c r="R414" s="969"/>
      <c r="S414" s="970">
        <v>65231</v>
      </c>
      <c r="T414" s="972">
        <v>6835</v>
      </c>
      <c r="U414" s="972">
        <v>72066</v>
      </c>
    </row>
    <row r="415" spans="1:21" x14ac:dyDescent="0.25">
      <c r="A415" s="966">
        <v>94251</v>
      </c>
      <c r="B415" s="967" t="s">
        <v>3030</v>
      </c>
      <c r="C415" s="968">
        <v>1.95E-5</v>
      </c>
      <c r="D415" s="968">
        <v>1.4E-5</v>
      </c>
      <c r="E415" s="1007">
        <v>8455</v>
      </c>
      <c r="F415" s="1010">
        <v>29713</v>
      </c>
      <c r="G415" s="969">
        <v>29791</v>
      </c>
      <c r="H415" s="969"/>
      <c r="I415" s="970">
        <v>1716</v>
      </c>
      <c r="J415" s="971">
        <v>7233</v>
      </c>
      <c r="K415" s="970">
        <v>4255</v>
      </c>
      <c r="L415" s="969">
        <v>3290</v>
      </c>
      <c r="M415" s="969"/>
      <c r="N415" s="970">
        <v>843</v>
      </c>
      <c r="O415" s="970">
        <v>0</v>
      </c>
      <c r="P415" s="970">
        <v>0</v>
      </c>
      <c r="Q415" s="969">
        <v>6508</v>
      </c>
      <c r="R415" s="969"/>
      <c r="S415" s="970">
        <v>10039</v>
      </c>
      <c r="T415" s="972">
        <v>-2297</v>
      </c>
      <c r="U415" s="972">
        <v>7742</v>
      </c>
    </row>
    <row r="416" spans="1:21" x14ac:dyDescent="0.25">
      <c r="A416" s="966">
        <v>94261</v>
      </c>
      <c r="B416" s="967" t="s">
        <v>3031</v>
      </c>
      <c r="C416" s="968">
        <v>3.9199999999999997E-5</v>
      </c>
      <c r="D416" s="968">
        <v>2.9499999999999999E-5</v>
      </c>
      <c r="E416" s="1007">
        <v>18726</v>
      </c>
      <c r="F416" s="1010">
        <v>62609</v>
      </c>
      <c r="G416" s="969">
        <v>59887</v>
      </c>
      <c r="H416" s="969"/>
      <c r="I416" s="970">
        <v>3450</v>
      </c>
      <c r="J416" s="971">
        <v>14541</v>
      </c>
      <c r="K416" s="970">
        <v>8553</v>
      </c>
      <c r="L416" s="969">
        <v>15518</v>
      </c>
      <c r="M416" s="969"/>
      <c r="N416" s="970">
        <v>1695</v>
      </c>
      <c r="O416" s="970">
        <v>0</v>
      </c>
      <c r="P416" s="970">
        <v>0</v>
      </c>
      <c r="Q416" s="969">
        <v>0</v>
      </c>
      <c r="R416" s="969"/>
      <c r="S416" s="970">
        <v>20182</v>
      </c>
      <c r="T416" s="972">
        <v>5508</v>
      </c>
      <c r="U416" s="972">
        <v>25690</v>
      </c>
    </row>
    <row r="417" spans="1:21" x14ac:dyDescent="0.25">
      <c r="A417" s="966">
        <v>94301</v>
      </c>
      <c r="B417" s="967" t="s">
        <v>3032</v>
      </c>
      <c r="C417" s="968">
        <v>6.2988999999999996E-3</v>
      </c>
      <c r="D417" s="968">
        <v>6.0746999999999997E-3</v>
      </c>
      <c r="E417" s="1007">
        <v>2799560</v>
      </c>
      <c r="F417" s="1010">
        <v>12892548</v>
      </c>
      <c r="G417" s="969">
        <v>9622974</v>
      </c>
      <c r="H417" s="969"/>
      <c r="I417" s="970">
        <v>554372</v>
      </c>
      <c r="J417" s="971">
        <v>2336470</v>
      </c>
      <c r="K417" s="970">
        <v>1374294</v>
      </c>
      <c r="L417" s="969">
        <v>85982</v>
      </c>
      <c r="M417" s="969"/>
      <c r="N417" s="970">
        <v>272396</v>
      </c>
      <c r="O417" s="970">
        <v>0</v>
      </c>
      <c r="P417" s="970">
        <v>0</v>
      </c>
      <c r="Q417" s="969">
        <v>117980</v>
      </c>
      <c r="R417" s="969"/>
      <c r="S417" s="970">
        <v>3242951</v>
      </c>
      <c r="T417" s="972">
        <v>-22710</v>
      </c>
      <c r="U417" s="972">
        <v>3220241</v>
      </c>
    </row>
    <row r="418" spans="1:21" x14ac:dyDescent="0.25">
      <c r="A418" s="966">
        <v>94311</v>
      </c>
      <c r="B418" s="967" t="s">
        <v>3033</v>
      </c>
      <c r="C418" s="968">
        <v>7.8540000000000001E-4</v>
      </c>
      <c r="D418" s="968">
        <v>7.4399999999999998E-4</v>
      </c>
      <c r="E418" s="1007">
        <v>355079</v>
      </c>
      <c r="F418" s="1010">
        <v>1579017</v>
      </c>
      <c r="G418" s="969">
        <v>1199874</v>
      </c>
      <c r="H418" s="969"/>
      <c r="I418" s="970">
        <v>69124</v>
      </c>
      <c r="J418" s="971">
        <v>291331</v>
      </c>
      <c r="K418" s="970">
        <v>171359</v>
      </c>
      <c r="L418" s="969">
        <v>26150</v>
      </c>
      <c r="M418" s="969"/>
      <c r="N418" s="970">
        <v>33965</v>
      </c>
      <c r="O418" s="970">
        <v>0</v>
      </c>
      <c r="P418" s="970">
        <v>0</v>
      </c>
      <c r="Q418" s="969">
        <v>52115</v>
      </c>
      <c r="R418" s="969"/>
      <c r="S418" s="970">
        <v>404358</v>
      </c>
      <c r="T418" s="972">
        <v>-13365</v>
      </c>
      <c r="U418" s="972">
        <v>390993</v>
      </c>
    </row>
    <row r="419" spans="1:21" x14ac:dyDescent="0.25">
      <c r="A419" s="966">
        <v>94313</v>
      </c>
      <c r="B419" s="967" t="s">
        <v>3034</v>
      </c>
      <c r="C419" s="968">
        <v>1.8700000000000001E-5</v>
      </c>
      <c r="D419" s="968">
        <v>2.0299999999999999E-5</v>
      </c>
      <c r="E419" s="1007">
        <v>12663</v>
      </c>
      <c r="F419" s="1010">
        <v>43083</v>
      </c>
      <c r="G419" s="969">
        <v>28568</v>
      </c>
      <c r="H419" s="969"/>
      <c r="I419" s="970">
        <v>1646</v>
      </c>
      <c r="J419" s="971">
        <v>6936</v>
      </c>
      <c r="K419" s="970">
        <v>4080</v>
      </c>
      <c r="L419" s="969">
        <v>7421</v>
      </c>
      <c r="M419" s="969"/>
      <c r="N419" s="970">
        <v>809</v>
      </c>
      <c r="O419" s="970">
        <v>0</v>
      </c>
      <c r="P419" s="970">
        <v>0</v>
      </c>
      <c r="Q419" s="969">
        <v>0</v>
      </c>
      <c r="R419" s="969"/>
      <c r="S419" s="970">
        <v>9628</v>
      </c>
      <c r="T419" s="972">
        <v>3124</v>
      </c>
      <c r="U419" s="972">
        <v>12752</v>
      </c>
    </row>
    <row r="420" spans="1:21" x14ac:dyDescent="0.25">
      <c r="A420" s="966">
        <v>94317</v>
      </c>
      <c r="B420" s="967" t="s">
        <v>3035</v>
      </c>
      <c r="C420" s="968">
        <v>1.2E-5</v>
      </c>
      <c r="D420" s="968">
        <v>1.2099999999999999E-5</v>
      </c>
      <c r="E420" s="1007">
        <v>9618</v>
      </c>
      <c r="F420" s="1010">
        <v>25680</v>
      </c>
      <c r="G420" s="969">
        <v>18333</v>
      </c>
      <c r="H420" s="969"/>
      <c r="I420" s="970">
        <v>1056</v>
      </c>
      <c r="J420" s="971">
        <v>4451</v>
      </c>
      <c r="K420" s="970">
        <v>2618</v>
      </c>
      <c r="L420" s="969">
        <v>7663</v>
      </c>
      <c r="M420" s="969"/>
      <c r="N420" s="970">
        <v>519</v>
      </c>
      <c r="O420" s="970">
        <v>0</v>
      </c>
      <c r="P420" s="970">
        <v>0</v>
      </c>
      <c r="Q420" s="969">
        <v>0</v>
      </c>
      <c r="R420" s="969"/>
      <c r="S420" s="970">
        <v>6178</v>
      </c>
      <c r="T420" s="972">
        <v>3130</v>
      </c>
      <c r="U420" s="972">
        <v>9308</v>
      </c>
    </row>
    <row r="421" spans="1:21" x14ac:dyDescent="0.25">
      <c r="A421" s="966">
        <v>94321</v>
      </c>
      <c r="B421" s="967" t="s">
        <v>3036</v>
      </c>
      <c r="C421" s="968">
        <v>2.7760000000000003E-4</v>
      </c>
      <c r="D421" s="968">
        <v>2.7070000000000002E-4</v>
      </c>
      <c r="E421" s="1007">
        <v>115395</v>
      </c>
      <c r="F421" s="1010">
        <v>574516</v>
      </c>
      <c r="G421" s="969">
        <v>424096</v>
      </c>
      <c r="H421" s="969"/>
      <c r="I421" s="970">
        <v>24432</v>
      </c>
      <c r="J421" s="971">
        <v>102971</v>
      </c>
      <c r="K421" s="970">
        <v>60567</v>
      </c>
      <c r="L421" s="969">
        <v>1692</v>
      </c>
      <c r="M421" s="969"/>
      <c r="N421" s="970">
        <v>12005</v>
      </c>
      <c r="O421" s="970">
        <v>0</v>
      </c>
      <c r="P421" s="970">
        <v>0</v>
      </c>
      <c r="Q421" s="969">
        <v>19924</v>
      </c>
      <c r="R421" s="969"/>
      <c r="S421" s="970">
        <v>142921</v>
      </c>
      <c r="T421" s="972">
        <v>-5646</v>
      </c>
      <c r="U421" s="972">
        <v>137275</v>
      </c>
    </row>
    <row r="422" spans="1:21" x14ac:dyDescent="0.25">
      <c r="A422" s="966">
        <v>94331</v>
      </c>
      <c r="B422" s="967" t="s">
        <v>3037</v>
      </c>
      <c r="C422" s="968">
        <v>1.3569999999999999E-4</v>
      </c>
      <c r="D422" s="968">
        <v>1.517E-4</v>
      </c>
      <c r="E422" s="1007">
        <v>68284</v>
      </c>
      <c r="F422" s="1010">
        <v>321958</v>
      </c>
      <c r="G422" s="969">
        <v>207312</v>
      </c>
      <c r="H422" s="969"/>
      <c r="I422" s="970">
        <v>11943</v>
      </c>
      <c r="J422" s="971">
        <v>50336</v>
      </c>
      <c r="K422" s="970">
        <v>29607</v>
      </c>
      <c r="L422" s="969">
        <v>7715</v>
      </c>
      <c r="M422" s="969"/>
      <c r="N422" s="970">
        <v>5868</v>
      </c>
      <c r="O422" s="970">
        <v>0</v>
      </c>
      <c r="P422" s="970">
        <v>0</v>
      </c>
      <c r="Q422" s="969">
        <v>10557</v>
      </c>
      <c r="R422" s="969"/>
      <c r="S422" s="970">
        <v>69864</v>
      </c>
      <c r="T422" s="972">
        <v>2981</v>
      </c>
      <c r="U422" s="972">
        <v>72845</v>
      </c>
    </row>
    <row r="423" spans="1:21" x14ac:dyDescent="0.25">
      <c r="A423" s="966">
        <v>94341</v>
      </c>
      <c r="B423" s="967" t="s">
        <v>3038</v>
      </c>
      <c r="C423" s="968">
        <v>9.4699999999999998E-5</v>
      </c>
      <c r="D423" s="968">
        <v>8.1000000000000004E-5</v>
      </c>
      <c r="E423" s="1007">
        <v>38534</v>
      </c>
      <c r="F423" s="1010">
        <v>171909</v>
      </c>
      <c r="G423" s="969">
        <v>144675</v>
      </c>
      <c r="H423" s="969"/>
      <c r="I423" s="970">
        <v>8335</v>
      </c>
      <c r="J423" s="971">
        <v>35127</v>
      </c>
      <c r="K423" s="970">
        <v>20662</v>
      </c>
      <c r="L423" s="969">
        <v>5564</v>
      </c>
      <c r="M423" s="969"/>
      <c r="N423" s="970">
        <v>4095</v>
      </c>
      <c r="O423" s="970">
        <v>0</v>
      </c>
      <c r="P423" s="970">
        <v>0</v>
      </c>
      <c r="Q423" s="969">
        <v>5713</v>
      </c>
      <c r="R423" s="969"/>
      <c r="S423" s="970">
        <v>48756</v>
      </c>
      <c r="T423" s="972">
        <v>-1783</v>
      </c>
      <c r="U423" s="972">
        <v>46973</v>
      </c>
    </row>
    <row r="424" spans="1:21" x14ac:dyDescent="0.25">
      <c r="A424" s="966">
        <v>94347</v>
      </c>
      <c r="B424" s="967" t="s">
        <v>3039</v>
      </c>
      <c r="C424" s="968">
        <v>1.22E-5</v>
      </c>
      <c r="D424" s="968">
        <v>1.2300000000000001E-5</v>
      </c>
      <c r="E424" s="1007">
        <v>8691</v>
      </c>
      <c r="F424" s="1010">
        <v>26105</v>
      </c>
      <c r="G424" s="969">
        <v>18638</v>
      </c>
      <c r="H424" s="969"/>
      <c r="I424" s="970">
        <v>1074</v>
      </c>
      <c r="J424" s="971">
        <v>4526</v>
      </c>
      <c r="K424" s="970">
        <v>2662</v>
      </c>
      <c r="L424" s="969">
        <v>4271</v>
      </c>
      <c r="M424" s="969"/>
      <c r="N424" s="970">
        <v>528</v>
      </c>
      <c r="O424" s="970">
        <v>0</v>
      </c>
      <c r="P424" s="970">
        <v>0</v>
      </c>
      <c r="Q424" s="969">
        <v>0</v>
      </c>
      <c r="R424" s="969"/>
      <c r="S424" s="970">
        <v>6281</v>
      </c>
      <c r="T424" s="972">
        <v>1892</v>
      </c>
      <c r="U424" s="972">
        <v>8173</v>
      </c>
    </row>
    <row r="425" spans="1:21" x14ac:dyDescent="0.25">
      <c r="A425" s="966">
        <v>94351</v>
      </c>
      <c r="B425" s="967" t="s">
        <v>3040</v>
      </c>
      <c r="C425" s="968">
        <v>2.433E-4</v>
      </c>
      <c r="D425" s="968">
        <v>2.377E-4</v>
      </c>
      <c r="E425" s="1007">
        <v>104639</v>
      </c>
      <c r="F425" s="1010">
        <v>504479</v>
      </c>
      <c r="G425" s="969">
        <v>371695</v>
      </c>
      <c r="H425" s="969"/>
      <c r="I425" s="970">
        <v>21413</v>
      </c>
      <c r="J425" s="971">
        <v>90248</v>
      </c>
      <c r="K425" s="970">
        <v>53083</v>
      </c>
      <c r="L425" s="969">
        <v>1592</v>
      </c>
      <c r="M425" s="969"/>
      <c r="N425" s="970">
        <v>10522</v>
      </c>
      <c r="O425" s="970">
        <v>0</v>
      </c>
      <c r="P425" s="970">
        <v>0</v>
      </c>
      <c r="Q425" s="969">
        <v>4723</v>
      </c>
      <c r="R425" s="969"/>
      <c r="S425" s="970">
        <v>125262</v>
      </c>
      <c r="T425" s="972">
        <v>-1683</v>
      </c>
      <c r="U425" s="972">
        <v>123579</v>
      </c>
    </row>
    <row r="426" spans="1:21" x14ac:dyDescent="0.25">
      <c r="A426" s="966">
        <v>94401</v>
      </c>
      <c r="B426" s="967" t="s">
        <v>3672</v>
      </c>
      <c r="C426" s="968">
        <v>3.2718000000000001E-3</v>
      </c>
      <c r="D426" s="968">
        <v>3.4548999999999999E-3</v>
      </c>
      <c r="E426" s="1007">
        <v>1551159</v>
      </c>
      <c r="F426" s="1010">
        <v>0</v>
      </c>
      <c r="G426" s="969">
        <v>4998404</v>
      </c>
      <c r="H426" s="969"/>
      <c r="I426" s="970">
        <v>287954</v>
      </c>
      <c r="J426" s="971">
        <v>1213619</v>
      </c>
      <c r="K426" s="970">
        <v>713841</v>
      </c>
      <c r="L426" s="969">
        <v>20795</v>
      </c>
      <c r="M426" s="969"/>
      <c r="N426" s="970">
        <v>141489</v>
      </c>
      <c r="O426" s="970">
        <v>0</v>
      </c>
      <c r="P426" s="970">
        <v>0</v>
      </c>
      <c r="Q426" s="969">
        <v>83776</v>
      </c>
      <c r="R426" s="969"/>
      <c r="S426" s="970">
        <v>1684467</v>
      </c>
      <c r="T426" s="972">
        <v>-11283</v>
      </c>
      <c r="U426" s="972">
        <v>1673184</v>
      </c>
    </row>
    <row r="427" spans="1:21" x14ac:dyDescent="0.25">
      <c r="A427" s="966">
        <v>94402</v>
      </c>
      <c r="B427" s="967" t="s">
        <v>3041</v>
      </c>
      <c r="C427" s="968">
        <v>0</v>
      </c>
      <c r="D427" s="968">
        <v>0</v>
      </c>
      <c r="E427" s="1007">
        <v>0</v>
      </c>
      <c r="F427" s="1010">
        <v>0</v>
      </c>
      <c r="G427" s="969">
        <v>0</v>
      </c>
      <c r="H427" s="969"/>
      <c r="I427" s="970">
        <v>0</v>
      </c>
      <c r="J427" s="971">
        <v>0</v>
      </c>
      <c r="K427" s="970">
        <v>0</v>
      </c>
      <c r="L427" s="969">
        <v>0</v>
      </c>
      <c r="M427" s="969"/>
      <c r="N427" s="970">
        <v>0</v>
      </c>
      <c r="O427" s="970">
        <v>0</v>
      </c>
      <c r="P427" s="970">
        <v>0</v>
      </c>
      <c r="Q427" s="969">
        <v>1774367</v>
      </c>
      <c r="R427" s="969"/>
      <c r="S427" s="970">
        <v>0</v>
      </c>
      <c r="T427" s="972">
        <v>-1007431</v>
      </c>
      <c r="U427" s="972">
        <v>-1007431</v>
      </c>
    </row>
    <row r="428" spans="1:21" x14ac:dyDescent="0.25">
      <c r="A428" s="966">
        <v>94403</v>
      </c>
      <c r="B428" s="967" t="s">
        <v>3673</v>
      </c>
      <c r="C428" s="968">
        <v>2.2099999999999998E-5</v>
      </c>
      <c r="D428" s="968">
        <v>0</v>
      </c>
      <c r="E428" s="1007">
        <v>9904</v>
      </c>
      <c r="F428" s="1010">
        <v>0</v>
      </c>
      <c r="G428" s="969">
        <v>33763</v>
      </c>
      <c r="H428" s="969"/>
      <c r="I428" s="970">
        <v>1945</v>
      </c>
      <c r="J428" s="971">
        <v>8198</v>
      </c>
      <c r="K428" s="970">
        <v>4822</v>
      </c>
      <c r="L428" s="969">
        <v>14624</v>
      </c>
      <c r="M428" s="969"/>
      <c r="N428" s="970">
        <v>956</v>
      </c>
      <c r="O428" s="970">
        <v>0</v>
      </c>
      <c r="P428" s="970">
        <v>0</v>
      </c>
      <c r="Q428" s="969">
        <v>0</v>
      </c>
      <c r="R428" s="969"/>
      <c r="S428" s="970">
        <v>11378</v>
      </c>
      <c r="T428" s="972">
        <v>3656</v>
      </c>
      <c r="U428" s="972">
        <v>15034</v>
      </c>
    </row>
    <row r="429" spans="1:21" x14ac:dyDescent="0.25">
      <c r="A429" s="966">
        <v>94408</v>
      </c>
      <c r="B429" s="967" t="s">
        <v>3042</v>
      </c>
      <c r="C429" s="968">
        <v>4.2400000000000001E-5</v>
      </c>
      <c r="D429" s="968">
        <v>4.0099999999999999E-5</v>
      </c>
      <c r="E429" s="1007">
        <v>14750</v>
      </c>
      <c r="F429" s="1010">
        <v>85106</v>
      </c>
      <c r="G429" s="969">
        <v>64775</v>
      </c>
      <c r="H429" s="969"/>
      <c r="I429" s="970">
        <v>3732</v>
      </c>
      <c r="J429" s="971">
        <v>15728</v>
      </c>
      <c r="K429" s="970">
        <v>9251</v>
      </c>
      <c r="L429" s="969">
        <v>7577</v>
      </c>
      <c r="M429" s="969"/>
      <c r="N429" s="970">
        <v>1834</v>
      </c>
      <c r="O429" s="970">
        <v>0</v>
      </c>
      <c r="P429" s="970">
        <v>0</v>
      </c>
      <c r="Q429" s="969">
        <v>4064</v>
      </c>
      <c r="R429" s="969"/>
      <c r="S429" s="970">
        <v>21829</v>
      </c>
      <c r="T429" s="972">
        <v>382</v>
      </c>
      <c r="U429" s="972">
        <v>22211</v>
      </c>
    </row>
    <row r="430" spans="1:21" x14ac:dyDescent="0.25">
      <c r="A430" s="966">
        <v>94411</v>
      </c>
      <c r="B430" s="967" t="s">
        <v>3043</v>
      </c>
      <c r="C430" s="968">
        <v>1.2672E-3</v>
      </c>
      <c r="D430" s="968">
        <v>1.1592E-3</v>
      </c>
      <c r="E430" s="1007">
        <v>555106</v>
      </c>
      <c r="F430" s="1010">
        <v>2460211</v>
      </c>
      <c r="G430" s="969">
        <v>1935931</v>
      </c>
      <c r="H430" s="969"/>
      <c r="I430" s="970">
        <v>111528</v>
      </c>
      <c r="J430" s="971">
        <v>470046</v>
      </c>
      <c r="K430" s="970">
        <v>276478</v>
      </c>
      <c r="L430" s="969">
        <v>63511</v>
      </c>
      <c r="M430" s="969"/>
      <c r="N430" s="970">
        <v>54800</v>
      </c>
      <c r="O430" s="970">
        <v>0</v>
      </c>
      <c r="P430" s="970">
        <v>0</v>
      </c>
      <c r="Q430" s="969">
        <v>4125</v>
      </c>
      <c r="R430" s="969"/>
      <c r="S430" s="970">
        <v>652410</v>
      </c>
      <c r="T430" s="972">
        <v>18114</v>
      </c>
      <c r="U430" s="972">
        <v>670524</v>
      </c>
    </row>
    <row r="431" spans="1:21" x14ac:dyDescent="0.25">
      <c r="A431" s="966">
        <v>94412</v>
      </c>
      <c r="B431" s="967" t="s">
        <v>3044</v>
      </c>
      <c r="C431" s="968">
        <v>1.5099999999999999E-5</v>
      </c>
      <c r="D431" s="968">
        <v>1.63E-5</v>
      </c>
      <c r="E431" s="1007">
        <v>13059</v>
      </c>
      <c r="F431" s="1010">
        <v>34594</v>
      </c>
      <c r="G431" s="969">
        <v>23069</v>
      </c>
      <c r="H431" s="969"/>
      <c r="I431" s="970">
        <v>1329</v>
      </c>
      <c r="J431" s="971">
        <v>5602</v>
      </c>
      <c r="K431" s="970">
        <v>3295</v>
      </c>
      <c r="L431" s="969">
        <v>12533</v>
      </c>
      <c r="M431" s="969"/>
      <c r="N431" s="970">
        <v>653</v>
      </c>
      <c r="O431" s="970">
        <v>0</v>
      </c>
      <c r="P431" s="970">
        <v>0</v>
      </c>
      <c r="Q431" s="969">
        <v>0</v>
      </c>
      <c r="R431" s="969"/>
      <c r="S431" s="970">
        <v>7774</v>
      </c>
      <c r="T431" s="972">
        <v>5893</v>
      </c>
      <c r="U431" s="972">
        <v>13667</v>
      </c>
    </row>
    <row r="432" spans="1:21" x14ac:dyDescent="0.25">
      <c r="A432" s="966">
        <v>94421</v>
      </c>
      <c r="B432" s="967" t="s">
        <v>3045</v>
      </c>
      <c r="C432" s="968">
        <v>1.6679999999999999E-4</v>
      </c>
      <c r="D432" s="968">
        <v>1.6899999999999999E-4</v>
      </c>
      <c r="E432" s="1007">
        <v>80768</v>
      </c>
      <c r="F432" s="1010">
        <v>358675</v>
      </c>
      <c r="G432" s="969">
        <v>254824</v>
      </c>
      <c r="H432" s="969"/>
      <c r="I432" s="970">
        <v>14680</v>
      </c>
      <c r="J432" s="971">
        <v>61871</v>
      </c>
      <c r="K432" s="970">
        <v>36392</v>
      </c>
      <c r="L432" s="969">
        <v>4157</v>
      </c>
      <c r="M432" s="969"/>
      <c r="N432" s="970">
        <v>7213</v>
      </c>
      <c r="O432" s="970">
        <v>0</v>
      </c>
      <c r="P432" s="970">
        <v>0</v>
      </c>
      <c r="Q432" s="969">
        <v>6763</v>
      </c>
      <c r="R432" s="969"/>
      <c r="S432" s="970">
        <v>85876</v>
      </c>
      <c r="T432" s="972">
        <v>-3870</v>
      </c>
      <c r="U432" s="972">
        <v>82006</v>
      </c>
    </row>
    <row r="433" spans="1:21" x14ac:dyDescent="0.25">
      <c r="A433" s="966">
        <v>94427</v>
      </c>
      <c r="B433" s="967" t="s">
        <v>3046</v>
      </c>
      <c r="C433" s="968">
        <v>1.5699999999999999E-5</v>
      </c>
      <c r="D433" s="968">
        <v>1.29E-5</v>
      </c>
      <c r="E433" s="1007">
        <v>9340</v>
      </c>
      <c r="F433" s="1010">
        <v>27378</v>
      </c>
      <c r="G433" s="969">
        <v>23985</v>
      </c>
      <c r="H433" s="969"/>
      <c r="I433" s="970">
        <v>1382</v>
      </c>
      <c r="J433" s="971">
        <v>5824</v>
      </c>
      <c r="K433" s="970">
        <v>3425</v>
      </c>
      <c r="L433" s="969">
        <v>4090</v>
      </c>
      <c r="M433" s="969"/>
      <c r="N433" s="970">
        <v>679</v>
      </c>
      <c r="O433" s="970">
        <v>0</v>
      </c>
      <c r="P433" s="970">
        <v>0</v>
      </c>
      <c r="Q433" s="969">
        <v>478</v>
      </c>
      <c r="R433" s="969"/>
      <c r="S433" s="970">
        <v>8083</v>
      </c>
      <c r="T433" s="972">
        <v>943</v>
      </c>
      <c r="U433" s="972">
        <v>9026</v>
      </c>
    </row>
    <row r="434" spans="1:21" x14ac:dyDescent="0.25">
      <c r="A434" s="966">
        <v>94428</v>
      </c>
      <c r="B434" s="967" t="s">
        <v>3047</v>
      </c>
      <c r="C434" s="968">
        <v>6.5199999999999999E-5</v>
      </c>
      <c r="D434" s="968">
        <v>7.4400000000000006E-5</v>
      </c>
      <c r="E434" s="1007">
        <v>33460</v>
      </c>
      <c r="F434" s="1010">
        <v>157902</v>
      </c>
      <c r="G434" s="969">
        <v>99608</v>
      </c>
      <c r="H434" s="969"/>
      <c r="I434" s="970">
        <v>5738</v>
      </c>
      <c r="J434" s="971">
        <v>24185</v>
      </c>
      <c r="K434" s="970">
        <v>14225</v>
      </c>
      <c r="L434" s="969">
        <v>2315</v>
      </c>
      <c r="M434" s="969"/>
      <c r="N434" s="970">
        <v>2820</v>
      </c>
      <c r="O434" s="970">
        <v>0</v>
      </c>
      <c r="P434" s="970">
        <v>0</v>
      </c>
      <c r="Q434" s="969">
        <v>3346</v>
      </c>
      <c r="R434" s="969"/>
      <c r="S434" s="970">
        <v>33568</v>
      </c>
      <c r="T434" s="972">
        <v>366</v>
      </c>
      <c r="U434" s="972">
        <v>33934</v>
      </c>
    </row>
    <row r="435" spans="1:21" x14ac:dyDescent="0.25">
      <c r="A435" s="966">
        <v>94431</v>
      </c>
      <c r="B435" s="967" t="s">
        <v>3048</v>
      </c>
      <c r="C435" s="968">
        <v>4.2440000000000002E-4</v>
      </c>
      <c r="D435" s="968">
        <v>3.7589999999999998E-4</v>
      </c>
      <c r="E435" s="1007">
        <v>293286</v>
      </c>
      <c r="F435" s="1010">
        <v>797786</v>
      </c>
      <c r="G435" s="969">
        <v>648366</v>
      </c>
      <c r="H435" s="969"/>
      <c r="I435" s="970">
        <v>37352</v>
      </c>
      <c r="J435" s="971">
        <v>157424</v>
      </c>
      <c r="K435" s="970">
        <v>92596</v>
      </c>
      <c r="L435" s="969">
        <v>210809</v>
      </c>
      <c r="M435" s="969"/>
      <c r="N435" s="970">
        <v>18353</v>
      </c>
      <c r="O435" s="970">
        <v>0</v>
      </c>
      <c r="P435" s="970">
        <v>0</v>
      </c>
      <c r="Q435" s="969">
        <v>611</v>
      </c>
      <c r="R435" s="969"/>
      <c r="S435" s="970">
        <v>218500</v>
      </c>
      <c r="T435" s="972">
        <v>68328</v>
      </c>
      <c r="U435" s="972">
        <v>286828</v>
      </c>
    </row>
    <row r="436" spans="1:21" x14ac:dyDescent="0.25">
      <c r="A436" s="966">
        <v>94437</v>
      </c>
      <c r="B436" s="967" t="s">
        <v>3049</v>
      </c>
      <c r="C436" s="968">
        <v>1.5299999999999999E-5</v>
      </c>
      <c r="D436" s="968">
        <v>1.34E-5</v>
      </c>
      <c r="E436" s="1007">
        <v>12848</v>
      </c>
      <c r="F436" s="1010">
        <v>28439</v>
      </c>
      <c r="G436" s="969">
        <v>23374</v>
      </c>
      <c r="H436" s="969"/>
      <c r="I436" s="970">
        <v>1347</v>
      </c>
      <c r="J436" s="971">
        <v>5675</v>
      </c>
      <c r="K436" s="970">
        <v>3338</v>
      </c>
      <c r="L436" s="969">
        <v>13868</v>
      </c>
      <c r="M436" s="969"/>
      <c r="N436" s="970">
        <v>662</v>
      </c>
      <c r="O436" s="970">
        <v>0</v>
      </c>
      <c r="P436" s="970">
        <v>0</v>
      </c>
      <c r="Q436" s="969">
        <v>0</v>
      </c>
      <c r="R436" s="969"/>
      <c r="S436" s="970">
        <v>7877</v>
      </c>
      <c r="T436" s="972">
        <v>5640</v>
      </c>
      <c r="U436" s="972">
        <v>13517</v>
      </c>
    </row>
    <row r="437" spans="1:21" x14ac:dyDescent="0.25">
      <c r="A437" s="966">
        <v>94501</v>
      </c>
      <c r="B437" s="967" t="s">
        <v>3050</v>
      </c>
      <c r="C437" s="968">
        <v>5.6991000000000003E-3</v>
      </c>
      <c r="D437" s="968">
        <v>5.8474E-3</v>
      </c>
      <c r="E437" s="1007">
        <v>2726192</v>
      </c>
      <c r="F437" s="1010">
        <v>12410142</v>
      </c>
      <c r="G437" s="969">
        <v>8706646</v>
      </c>
      <c r="H437" s="969"/>
      <c r="I437" s="970">
        <v>501583</v>
      </c>
      <c r="J437" s="971">
        <v>2113984</v>
      </c>
      <c r="K437" s="970">
        <v>1243430</v>
      </c>
      <c r="L437" s="969">
        <v>145440</v>
      </c>
      <c r="M437" s="969"/>
      <c r="N437" s="970">
        <v>246458</v>
      </c>
      <c r="O437" s="970">
        <v>0</v>
      </c>
      <c r="P437" s="970">
        <v>0</v>
      </c>
      <c r="Q437" s="969">
        <v>11569</v>
      </c>
      <c r="R437" s="969"/>
      <c r="S437" s="970">
        <v>2934147</v>
      </c>
      <c r="T437" s="972">
        <v>99795</v>
      </c>
      <c r="U437" s="972">
        <v>3033942</v>
      </c>
    </row>
    <row r="438" spans="1:21" x14ac:dyDescent="0.25">
      <c r="A438" s="966">
        <v>94511</v>
      </c>
      <c r="B438" s="967" t="s">
        <v>3051</v>
      </c>
      <c r="C438" s="968">
        <v>1.8538999999999999E-3</v>
      </c>
      <c r="D438" s="968">
        <v>1.7432000000000001E-3</v>
      </c>
      <c r="E438" s="1007">
        <v>773013</v>
      </c>
      <c r="F438" s="1010">
        <v>3699654</v>
      </c>
      <c r="G438" s="969">
        <v>2832246</v>
      </c>
      <c r="H438" s="969"/>
      <c r="I438" s="970">
        <v>163164</v>
      </c>
      <c r="J438" s="971">
        <v>687673</v>
      </c>
      <c r="K438" s="970">
        <v>404484</v>
      </c>
      <c r="L438" s="969">
        <v>155537</v>
      </c>
      <c r="M438" s="969"/>
      <c r="N438" s="970">
        <v>80172</v>
      </c>
      <c r="O438" s="970">
        <v>0</v>
      </c>
      <c r="P438" s="970">
        <v>0</v>
      </c>
      <c r="Q438" s="969">
        <v>31633</v>
      </c>
      <c r="R438" s="969"/>
      <c r="S438" s="970">
        <v>954469</v>
      </c>
      <c r="T438" s="972">
        <v>72914</v>
      </c>
      <c r="U438" s="972">
        <v>1027383</v>
      </c>
    </row>
    <row r="439" spans="1:21" x14ac:dyDescent="0.25">
      <c r="A439" s="966">
        <v>94512</v>
      </c>
      <c r="B439" s="967" t="s">
        <v>3052</v>
      </c>
      <c r="C439" s="968">
        <v>0</v>
      </c>
      <c r="D439" s="968">
        <v>0</v>
      </c>
      <c r="E439" s="1007">
        <v>0</v>
      </c>
      <c r="F439" s="1010">
        <v>0</v>
      </c>
      <c r="G439" s="969">
        <v>0</v>
      </c>
      <c r="H439" s="969"/>
      <c r="I439" s="970">
        <v>0</v>
      </c>
      <c r="J439" s="971">
        <v>0</v>
      </c>
      <c r="K439" s="970">
        <v>0</v>
      </c>
      <c r="L439" s="969">
        <v>0</v>
      </c>
      <c r="M439" s="969"/>
      <c r="N439" s="970">
        <v>0</v>
      </c>
      <c r="O439" s="970">
        <v>0</v>
      </c>
      <c r="P439" s="970">
        <v>0</v>
      </c>
      <c r="Q439" s="969">
        <v>138579</v>
      </c>
      <c r="R439" s="969"/>
      <c r="S439" s="970">
        <v>0</v>
      </c>
      <c r="T439" s="972">
        <v>-78713</v>
      </c>
      <c r="U439" s="972">
        <v>-78713</v>
      </c>
    </row>
    <row r="440" spans="1:21" x14ac:dyDescent="0.25">
      <c r="A440" s="966">
        <v>94517</v>
      </c>
      <c r="B440" s="967" t="s">
        <v>3053</v>
      </c>
      <c r="C440" s="968">
        <v>4.7599999999999998E-5</v>
      </c>
      <c r="D440" s="968">
        <v>4.9599999999999999E-5</v>
      </c>
      <c r="E440" s="1007">
        <v>31750</v>
      </c>
      <c r="F440" s="1010">
        <v>105268</v>
      </c>
      <c r="G440" s="969">
        <v>72720</v>
      </c>
      <c r="H440" s="969"/>
      <c r="I440" s="970">
        <v>4189</v>
      </c>
      <c r="J440" s="971">
        <v>17656</v>
      </c>
      <c r="K440" s="970">
        <v>10385</v>
      </c>
      <c r="L440" s="969">
        <v>18702</v>
      </c>
      <c r="M440" s="969"/>
      <c r="N440" s="970">
        <v>2058</v>
      </c>
      <c r="O440" s="970">
        <v>0</v>
      </c>
      <c r="P440" s="970">
        <v>0</v>
      </c>
      <c r="Q440" s="969">
        <v>0</v>
      </c>
      <c r="R440" s="969"/>
      <c r="S440" s="970">
        <v>24507</v>
      </c>
      <c r="T440" s="972">
        <v>9021</v>
      </c>
      <c r="U440" s="972">
        <v>33528</v>
      </c>
    </row>
    <row r="441" spans="1:21" x14ac:dyDescent="0.25">
      <c r="A441" s="966">
        <v>94521</v>
      </c>
      <c r="B441" s="967" t="s">
        <v>3054</v>
      </c>
      <c r="C441" s="968">
        <v>1.517E-4</v>
      </c>
      <c r="D441" s="968">
        <v>1.2410000000000001E-4</v>
      </c>
      <c r="E441" s="1007">
        <v>61289</v>
      </c>
      <c r="F441" s="1010">
        <v>263382</v>
      </c>
      <c r="G441" s="969">
        <v>231756</v>
      </c>
      <c r="H441" s="969"/>
      <c r="I441" s="970">
        <v>13351</v>
      </c>
      <c r="J441" s="971">
        <v>56271</v>
      </c>
      <c r="K441" s="970">
        <v>33098</v>
      </c>
      <c r="L441" s="969">
        <v>15354</v>
      </c>
      <c r="M441" s="969"/>
      <c r="N441" s="970">
        <v>6560</v>
      </c>
      <c r="O441" s="970">
        <v>0</v>
      </c>
      <c r="P441" s="970">
        <v>0</v>
      </c>
      <c r="Q441" s="969">
        <v>13856</v>
      </c>
      <c r="R441" s="969"/>
      <c r="S441" s="970">
        <v>78102</v>
      </c>
      <c r="T441" s="972">
        <v>429</v>
      </c>
      <c r="U441" s="972">
        <v>78531</v>
      </c>
    </row>
    <row r="442" spans="1:21" x14ac:dyDescent="0.25">
      <c r="A442" s="966">
        <v>94527</v>
      </c>
      <c r="B442" s="967" t="s">
        <v>3055</v>
      </c>
      <c r="C442" s="968">
        <v>5.4E-6</v>
      </c>
      <c r="D442" s="968">
        <v>6.3999999999999997E-6</v>
      </c>
      <c r="E442" s="1007">
        <v>2382</v>
      </c>
      <c r="F442" s="1010">
        <v>13583</v>
      </c>
      <c r="G442" s="969">
        <v>8250</v>
      </c>
      <c r="H442" s="969"/>
      <c r="I442" s="970">
        <v>475</v>
      </c>
      <c r="J442" s="971">
        <v>2003</v>
      </c>
      <c r="K442" s="970">
        <v>1178</v>
      </c>
      <c r="L442" s="969">
        <v>308</v>
      </c>
      <c r="M442" s="969"/>
      <c r="N442" s="970">
        <v>234</v>
      </c>
      <c r="O442" s="970">
        <v>0</v>
      </c>
      <c r="P442" s="970">
        <v>0</v>
      </c>
      <c r="Q442" s="969">
        <v>3369</v>
      </c>
      <c r="R442" s="969"/>
      <c r="S442" s="970">
        <v>2780</v>
      </c>
      <c r="T442" s="972">
        <v>-953</v>
      </c>
      <c r="U442" s="972">
        <v>1827</v>
      </c>
    </row>
    <row r="443" spans="1:21" x14ac:dyDescent="0.25">
      <c r="A443" s="966">
        <v>94531</v>
      </c>
      <c r="B443" s="967" t="s">
        <v>3056</v>
      </c>
      <c r="C443" s="968">
        <v>1.5E-5</v>
      </c>
      <c r="D443" s="968">
        <v>1.5500000000000001E-5</v>
      </c>
      <c r="E443" s="1007">
        <v>11396</v>
      </c>
      <c r="F443" s="1010">
        <v>32896</v>
      </c>
      <c r="G443" s="969">
        <v>22916</v>
      </c>
      <c r="H443" s="969"/>
      <c r="I443" s="970">
        <v>1320</v>
      </c>
      <c r="J443" s="971">
        <v>5564</v>
      </c>
      <c r="K443" s="970">
        <v>3273</v>
      </c>
      <c r="L443" s="969">
        <v>6665</v>
      </c>
      <c r="M443" s="969"/>
      <c r="N443" s="970">
        <v>649</v>
      </c>
      <c r="O443" s="970">
        <v>0</v>
      </c>
      <c r="P443" s="970">
        <v>0</v>
      </c>
      <c r="Q443" s="969">
        <v>0</v>
      </c>
      <c r="R443" s="969"/>
      <c r="S443" s="970">
        <v>7723</v>
      </c>
      <c r="T443" s="972">
        <v>2681</v>
      </c>
      <c r="U443" s="972">
        <v>10404</v>
      </c>
    </row>
    <row r="444" spans="1:21" x14ac:dyDescent="0.25">
      <c r="A444" s="966">
        <v>94532</v>
      </c>
      <c r="B444" s="967" t="s">
        <v>3057</v>
      </c>
      <c r="C444" s="968">
        <v>8.7800000000000006E-5</v>
      </c>
      <c r="D444" s="968">
        <v>9.4099999999999997E-5</v>
      </c>
      <c r="E444" s="1007">
        <v>45014</v>
      </c>
      <c r="F444" s="1010">
        <v>199712</v>
      </c>
      <c r="G444" s="969">
        <v>134134</v>
      </c>
      <c r="H444" s="969"/>
      <c r="I444" s="970">
        <v>7727</v>
      </c>
      <c r="J444" s="971">
        <v>32568</v>
      </c>
      <c r="K444" s="970">
        <v>19156</v>
      </c>
      <c r="L444" s="969">
        <v>0</v>
      </c>
      <c r="M444" s="969"/>
      <c r="N444" s="970">
        <v>3797</v>
      </c>
      <c r="O444" s="970">
        <v>0</v>
      </c>
      <c r="P444" s="970">
        <v>0</v>
      </c>
      <c r="Q444" s="969">
        <v>10367</v>
      </c>
      <c r="R444" s="969"/>
      <c r="S444" s="970">
        <v>45203</v>
      </c>
      <c r="T444" s="972">
        <v>-5525</v>
      </c>
      <c r="U444" s="972">
        <v>39678</v>
      </c>
    </row>
    <row r="445" spans="1:21" x14ac:dyDescent="0.25">
      <c r="A445" s="966">
        <v>94541</v>
      </c>
      <c r="B445" s="967" t="s">
        <v>3058</v>
      </c>
      <c r="C445" s="968">
        <v>2.9300000000000002E-4</v>
      </c>
      <c r="D445" s="968">
        <v>2.9839999999999999E-4</v>
      </c>
      <c r="E445" s="1007">
        <v>124372</v>
      </c>
      <c r="F445" s="1010">
        <v>633305</v>
      </c>
      <c r="G445" s="969">
        <v>447623</v>
      </c>
      <c r="H445" s="969"/>
      <c r="I445" s="970">
        <v>25787</v>
      </c>
      <c r="J445" s="971">
        <v>108683</v>
      </c>
      <c r="K445" s="970">
        <v>63927</v>
      </c>
      <c r="L445" s="969">
        <v>0</v>
      </c>
      <c r="M445" s="969"/>
      <c r="N445" s="970">
        <v>12671</v>
      </c>
      <c r="O445" s="970">
        <v>0</v>
      </c>
      <c r="P445" s="970">
        <v>0</v>
      </c>
      <c r="Q445" s="969">
        <v>27614</v>
      </c>
      <c r="R445" s="969"/>
      <c r="S445" s="970">
        <v>150849</v>
      </c>
      <c r="T445" s="972">
        <v>-10625</v>
      </c>
      <c r="U445" s="972">
        <v>140224</v>
      </c>
    </row>
    <row r="446" spans="1:21" x14ac:dyDescent="0.25">
      <c r="A446" s="966">
        <v>94547</v>
      </c>
      <c r="B446" s="967" t="s">
        <v>3059</v>
      </c>
      <c r="C446" s="968">
        <v>1.08E-5</v>
      </c>
      <c r="D446" s="968">
        <v>1.24E-5</v>
      </c>
      <c r="E446" s="1007">
        <v>8019</v>
      </c>
      <c r="F446" s="1010">
        <v>26317</v>
      </c>
      <c r="G446" s="969">
        <v>16499</v>
      </c>
      <c r="H446" s="969"/>
      <c r="I446" s="970">
        <v>951</v>
      </c>
      <c r="J446" s="971">
        <v>4006</v>
      </c>
      <c r="K446" s="970">
        <v>2356</v>
      </c>
      <c r="L446" s="969">
        <v>2853</v>
      </c>
      <c r="M446" s="969"/>
      <c r="N446" s="970">
        <v>467</v>
      </c>
      <c r="O446" s="970">
        <v>0</v>
      </c>
      <c r="P446" s="970">
        <v>0</v>
      </c>
      <c r="Q446" s="969">
        <v>0</v>
      </c>
      <c r="R446" s="969"/>
      <c r="S446" s="970">
        <v>5560</v>
      </c>
      <c r="T446" s="972">
        <v>1000</v>
      </c>
      <c r="U446" s="972">
        <v>6560</v>
      </c>
    </row>
    <row r="447" spans="1:21" x14ac:dyDescent="0.25">
      <c r="A447" s="966">
        <v>94551</v>
      </c>
      <c r="B447" s="967" t="s">
        <v>3060</v>
      </c>
      <c r="C447" s="968">
        <v>4.1900000000000002E-5</v>
      </c>
      <c r="D447" s="968">
        <v>4.5899999999999998E-5</v>
      </c>
      <c r="E447" s="1007">
        <v>24929</v>
      </c>
      <c r="F447" s="1010">
        <v>97415</v>
      </c>
      <c r="G447" s="969">
        <v>64012</v>
      </c>
      <c r="H447" s="969"/>
      <c r="I447" s="970">
        <v>3688</v>
      </c>
      <c r="J447" s="971">
        <v>15543</v>
      </c>
      <c r="K447" s="970">
        <v>9142</v>
      </c>
      <c r="L447" s="969">
        <v>11600</v>
      </c>
      <c r="M447" s="969"/>
      <c r="N447" s="970">
        <v>1812</v>
      </c>
      <c r="O447" s="970">
        <v>0</v>
      </c>
      <c r="P447" s="970">
        <v>0</v>
      </c>
      <c r="Q447" s="969">
        <v>1576</v>
      </c>
      <c r="R447" s="969"/>
      <c r="S447" s="970">
        <v>21572</v>
      </c>
      <c r="T447" s="972">
        <v>4116</v>
      </c>
      <c r="U447" s="972">
        <v>25688</v>
      </c>
    </row>
    <row r="448" spans="1:21" x14ac:dyDescent="0.25">
      <c r="A448" s="966">
        <v>94601</v>
      </c>
      <c r="B448" s="967" t="s">
        <v>3061</v>
      </c>
      <c r="C448" s="968">
        <v>1.0602999999999999E-3</v>
      </c>
      <c r="D448" s="968">
        <v>1.0011E-3</v>
      </c>
      <c r="E448" s="1007">
        <v>501425</v>
      </c>
      <c r="F448" s="1010">
        <v>2124670</v>
      </c>
      <c r="G448" s="969">
        <v>1619845</v>
      </c>
      <c r="H448" s="969"/>
      <c r="I448" s="970">
        <v>93318</v>
      </c>
      <c r="J448" s="971">
        <v>393300</v>
      </c>
      <c r="K448" s="970">
        <v>231336</v>
      </c>
      <c r="L448" s="969">
        <v>77480</v>
      </c>
      <c r="M448" s="969"/>
      <c r="N448" s="970">
        <v>45853</v>
      </c>
      <c r="O448" s="970">
        <v>0</v>
      </c>
      <c r="P448" s="970">
        <v>0</v>
      </c>
      <c r="Q448" s="969">
        <v>2182</v>
      </c>
      <c r="R448" s="969"/>
      <c r="S448" s="970">
        <v>545889</v>
      </c>
      <c r="T448" s="972">
        <v>21640</v>
      </c>
      <c r="U448" s="972">
        <v>567529</v>
      </c>
    </row>
    <row r="449" spans="1:21" x14ac:dyDescent="0.25">
      <c r="A449" s="966">
        <v>94604</v>
      </c>
      <c r="B449" s="967" t="s">
        <v>3062</v>
      </c>
      <c r="C449" s="968">
        <v>2.62E-5</v>
      </c>
      <c r="D449" s="968">
        <v>2.65E-5</v>
      </c>
      <c r="E449" s="1007">
        <v>14408</v>
      </c>
      <c r="F449" s="1010">
        <v>56242</v>
      </c>
      <c r="G449" s="969">
        <v>40026</v>
      </c>
      <c r="H449" s="969"/>
      <c r="I449" s="970">
        <v>2306</v>
      </c>
      <c r="J449" s="971">
        <v>9718</v>
      </c>
      <c r="K449" s="970">
        <v>5716</v>
      </c>
      <c r="L449" s="969">
        <v>2471</v>
      </c>
      <c r="M449" s="969"/>
      <c r="N449" s="970">
        <v>1133</v>
      </c>
      <c r="O449" s="970">
        <v>0</v>
      </c>
      <c r="P449" s="970">
        <v>0</v>
      </c>
      <c r="Q449" s="969">
        <v>26</v>
      </c>
      <c r="R449" s="969"/>
      <c r="S449" s="970">
        <v>13489</v>
      </c>
      <c r="T449" s="972">
        <v>697</v>
      </c>
      <c r="U449" s="972">
        <v>14186</v>
      </c>
    </row>
    <row r="450" spans="1:21" x14ac:dyDescent="0.25">
      <c r="A450" s="966">
        <v>94606</v>
      </c>
      <c r="B450" s="967" t="s">
        <v>3063</v>
      </c>
      <c r="C450" s="968">
        <v>2.3550000000000001E-4</v>
      </c>
      <c r="D450" s="968">
        <v>2.6229999999999998E-4</v>
      </c>
      <c r="E450" s="1007">
        <v>106916</v>
      </c>
      <c r="F450" s="1010">
        <v>556688</v>
      </c>
      <c r="G450" s="969">
        <v>359779</v>
      </c>
      <c r="H450" s="969"/>
      <c r="I450" s="970">
        <v>20727</v>
      </c>
      <c r="J450" s="971">
        <v>87355</v>
      </c>
      <c r="K450" s="970">
        <v>51381</v>
      </c>
      <c r="L450" s="969">
        <v>0</v>
      </c>
      <c r="M450" s="969"/>
      <c r="N450" s="970">
        <v>10184</v>
      </c>
      <c r="O450" s="970">
        <v>0</v>
      </c>
      <c r="P450" s="970">
        <v>0</v>
      </c>
      <c r="Q450" s="969">
        <v>51703</v>
      </c>
      <c r="R450" s="969"/>
      <c r="S450" s="970">
        <v>121246</v>
      </c>
      <c r="T450" s="972">
        <v>-24169</v>
      </c>
      <c r="U450" s="972">
        <v>97077</v>
      </c>
    </row>
    <row r="451" spans="1:21" x14ac:dyDescent="0.25">
      <c r="A451" s="966">
        <v>94611</v>
      </c>
      <c r="B451" s="967" t="s">
        <v>3064</v>
      </c>
      <c r="C451" s="968">
        <v>3.6850000000000001E-4</v>
      </c>
      <c r="D451" s="968">
        <v>4.4450000000000002E-4</v>
      </c>
      <c r="E451" s="1007">
        <v>191641</v>
      </c>
      <c r="F451" s="1010">
        <v>943378</v>
      </c>
      <c r="G451" s="969">
        <v>562966</v>
      </c>
      <c r="H451" s="969"/>
      <c r="I451" s="970">
        <v>32432</v>
      </c>
      <c r="J451" s="971">
        <v>136689</v>
      </c>
      <c r="K451" s="970">
        <v>80399</v>
      </c>
      <c r="L451" s="969">
        <v>2567</v>
      </c>
      <c r="M451" s="969"/>
      <c r="N451" s="970">
        <v>15936</v>
      </c>
      <c r="O451" s="970">
        <v>0</v>
      </c>
      <c r="P451" s="970">
        <v>0</v>
      </c>
      <c r="Q451" s="969">
        <v>35426</v>
      </c>
      <c r="R451" s="969"/>
      <c r="S451" s="970">
        <v>189720</v>
      </c>
      <c r="T451" s="972">
        <v>-9323</v>
      </c>
      <c r="U451" s="972">
        <v>180397</v>
      </c>
    </row>
    <row r="452" spans="1:21" x14ac:dyDescent="0.25">
      <c r="A452" s="966">
        <v>94621</v>
      </c>
      <c r="B452" s="967" t="s">
        <v>3065</v>
      </c>
      <c r="C452" s="968">
        <v>9.7600000000000001E-5</v>
      </c>
      <c r="D452" s="968">
        <v>1.3119999999999999E-4</v>
      </c>
      <c r="E452" s="1007">
        <v>66541</v>
      </c>
      <c r="F452" s="1010">
        <v>278450</v>
      </c>
      <c r="G452" s="969">
        <v>149106</v>
      </c>
      <c r="H452" s="969"/>
      <c r="I452" s="970">
        <v>8590</v>
      </c>
      <c r="J452" s="971">
        <v>36203</v>
      </c>
      <c r="K452" s="970">
        <v>21294</v>
      </c>
      <c r="L452" s="969">
        <v>6585</v>
      </c>
      <c r="M452" s="969"/>
      <c r="N452" s="970">
        <v>4221</v>
      </c>
      <c r="O452" s="970">
        <v>0</v>
      </c>
      <c r="P452" s="970">
        <v>0</v>
      </c>
      <c r="Q452" s="969">
        <v>18055</v>
      </c>
      <c r="R452" s="969"/>
      <c r="S452" s="970">
        <v>50249</v>
      </c>
      <c r="T452" s="972">
        <v>-1288</v>
      </c>
      <c r="U452" s="972">
        <v>48961</v>
      </c>
    </row>
    <row r="453" spans="1:21" x14ac:dyDescent="0.25">
      <c r="A453" s="966">
        <v>94631</v>
      </c>
      <c r="B453" s="967" t="s">
        <v>3066</v>
      </c>
      <c r="C453" s="968">
        <v>3.9100000000000002E-5</v>
      </c>
      <c r="D453" s="968">
        <v>3.9799999999999998E-5</v>
      </c>
      <c r="E453" s="1007">
        <v>22453</v>
      </c>
      <c r="F453" s="1010">
        <v>84469</v>
      </c>
      <c r="G453" s="969">
        <v>59734</v>
      </c>
      <c r="H453" s="969"/>
      <c r="I453" s="970">
        <v>3441</v>
      </c>
      <c r="J453" s="971">
        <v>14504</v>
      </c>
      <c r="K453" s="970">
        <v>8531</v>
      </c>
      <c r="L453" s="969">
        <v>6569</v>
      </c>
      <c r="M453" s="969"/>
      <c r="N453" s="970">
        <v>1691</v>
      </c>
      <c r="O453" s="970">
        <v>0</v>
      </c>
      <c r="P453" s="970">
        <v>0</v>
      </c>
      <c r="Q453" s="969">
        <v>0</v>
      </c>
      <c r="R453" s="969"/>
      <c r="S453" s="970">
        <v>20130</v>
      </c>
      <c r="T453" s="972">
        <v>2517</v>
      </c>
      <c r="U453" s="972">
        <v>22647</v>
      </c>
    </row>
    <row r="454" spans="1:21" x14ac:dyDescent="0.25">
      <c r="A454" s="966">
        <v>94641</v>
      </c>
      <c r="B454" s="967" t="s">
        <v>3067</v>
      </c>
      <c r="C454" s="968">
        <v>3.8999999999999999E-6</v>
      </c>
      <c r="D454" s="968">
        <v>4.6999999999999999E-6</v>
      </c>
      <c r="E454" s="1007">
        <v>5004</v>
      </c>
      <c r="F454" s="1010">
        <v>9975</v>
      </c>
      <c r="G454" s="969">
        <v>5958</v>
      </c>
      <c r="H454" s="969"/>
      <c r="I454" s="970">
        <v>343</v>
      </c>
      <c r="J454" s="971">
        <v>1446</v>
      </c>
      <c r="K454" s="970">
        <v>851</v>
      </c>
      <c r="L454" s="969">
        <v>5156</v>
      </c>
      <c r="M454" s="969"/>
      <c r="N454" s="970">
        <v>169</v>
      </c>
      <c r="O454" s="970">
        <v>0</v>
      </c>
      <c r="P454" s="970">
        <v>0</v>
      </c>
      <c r="Q454" s="969">
        <v>0</v>
      </c>
      <c r="R454" s="969"/>
      <c r="S454" s="970">
        <v>2008</v>
      </c>
      <c r="T454" s="972">
        <v>2187</v>
      </c>
      <c r="U454" s="972">
        <v>4195</v>
      </c>
    </row>
    <row r="455" spans="1:21" x14ac:dyDescent="0.25">
      <c r="A455" s="966">
        <v>94701</v>
      </c>
      <c r="B455" s="967" t="s">
        <v>3068</v>
      </c>
      <c r="C455" s="968">
        <v>2.5446000000000002E-3</v>
      </c>
      <c r="D455" s="968">
        <v>2.5636000000000001E-3</v>
      </c>
      <c r="E455" s="1007">
        <v>1148600</v>
      </c>
      <c r="F455" s="1010">
        <v>5440818</v>
      </c>
      <c r="G455" s="969">
        <v>3887444</v>
      </c>
      <c r="H455" s="969"/>
      <c r="I455" s="970">
        <v>223953</v>
      </c>
      <c r="J455" s="971">
        <v>943877</v>
      </c>
      <c r="K455" s="970">
        <v>555181</v>
      </c>
      <c r="L455" s="969">
        <v>45251</v>
      </c>
      <c r="M455" s="969"/>
      <c r="N455" s="970">
        <v>110041</v>
      </c>
      <c r="O455" s="970">
        <v>0</v>
      </c>
      <c r="P455" s="970">
        <v>0</v>
      </c>
      <c r="Q455" s="969">
        <v>103182</v>
      </c>
      <c r="R455" s="969"/>
      <c r="S455" s="970">
        <v>1310072</v>
      </c>
      <c r="T455" s="972">
        <v>-2731</v>
      </c>
      <c r="U455" s="972">
        <v>1307341</v>
      </c>
    </row>
    <row r="456" spans="1:21" x14ac:dyDescent="0.25">
      <c r="A456" s="966">
        <v>94704</v>
      </c>
      <c r="B456" s="967" t="s">
        <v>3069</v>
      </c>
      <c r="C456" s="968">
        <v>9.5000000000000005E-6</v>
      </c>
      <c r="D456" s="968">
        <v>1.04E-5</v>
      </c>
      <c r="E456" s="1007">
        <v>5070</v>
      </c>
      <c r="F456" s="1010">
        <v>22072</v>
      </c>
      <c r="G456" s="969">
        <v>14513</v>
      </c>
      <c r="H456" s="969"/>
      <c r="I456" s="970">
        <v>836</v>
      </c>
      <c r="J456" s="971">
        <v>3524</v>
      </c>
      <c r="K456" s="970">
        <v>2073</v>
      </c>
      <c r="L456" s="969">
        <v>77</v>
      </c>
      <c r="M456" s="969"/>
      <c r="N456" s="970">
        <v>411</v>
      </c>
      <c r="O456" s="970">
        <v>0</v>
      </c>
      <c r="P456" s="970">
        <v>0</v>
      </c>
      <c r="Q456" s="969">
        <v>100</v>
      </c>
      <c r="R456" s="969"/>
      <c r="S456" s="970">
        <v>4891</v>
      </c>
      <c r="T456" s="972">
        <v>38</v>
      </c>
      <c r="U456" s="972">
        <v>4929</v>
      </c>
    </row>
    <row r="457" spans="1:21" x14ac:dyDescent="0.25">
      <c r="A457" s="966">
        <v>94711</v>
      </c>
      <c r="B457" s="967" t="s">
        <v>3070</v>
      </c>
      <c r="C457" s="968">
        <v>3.3599999999999998E-4</v>
      </c>
      <c r="D457" s="968">
        <v>3.5110000000000002E-4</v>
      </c>
      <c r="E457" s="1007">
        <v>165327</v>
      </c>
      <c r="F457" s="1010">
        <v>745152</v>
      </c>
      <c r="G457" s="969">
        <v>513315</v>
      </c>
      <c r="H457" s="969"/>
      <c r="I457" s="970">
        <v>29572</v>
      </c>
      <c r="J457" s="971">
        <v>124633</v>
      </c>
      <c r="K457" s="970">
        <v>73308</v>
      </c>
      <c r="L457" s="969">
        <v>9113</v>
      </c>
      <c r="M457" s="969"/>
      <c r="N457" s="970">
        <v>14530</v>
      </c>
      <c r="O457" s="970">
        <v>0</v>
      </c>
      <c r="P457" s="970">
        <v>0</v>
      </c>
      <c r="Q457" s="969">
        <v>6693</v>
      </c>
      <c r="R457" s="969"/>
      <c r="S457" s="970">
        <v>172988</v>
      </c>
      <c r="T457" s="972">
        <v>1163</v>
      </c>
      <c r="U457" s="972">
        <v>174151</v>
      </c>
    </row>
    <row r="458" spans="1:21" x14ac:dyDescent="0.25">
      <c r="A458" s="966">
        <v>94801</v>
      </c>
      <c r="B458" s="967" t="s">
        <v>3071</v>
      </c>
      <c r="C458" s="968">
        <v>7.2440000000000004E-4</v>
      </c>
      <c r="D458" s="968">
        <v>7.6539999999999996E-4</v>
      </c>
      <c r="E458" s="1007">
        <v>342416</v>
      </c>
      <c r="F458" s="1010">
        <v>1624435</v>
      </c>
      <c r="G458" s="969">
        <v>1106683</v>
      </c>
      <c r="H458" s="969"/>
      <c r="I458" s="970">
        <v>63755</v>
      </c>
      <c r="J458" s="971">
        <v>268704</v>
      </c>
      <c r="K458" s="970">
        <v>158050</v>
      </c>
      <c r="L458" s="969">
        <v>40380</v>
      </c>
      <c r="M458" s="969"/>
      <c r="N458" s="970">
        <v>31327</v>
      </c>
      <c r="O458" s="970">
        <v>0</v>
      </c>
      <c r="P458" s="970">
        <v>0</v>
      </c>
      <c r="Q458" s="969">
        <v>19605</v>
      </c>
      <c r="R458" s="969"/>
      <c r="S458" s="970">
        <v>372953</v>
      </c>
      <c r="T458" s="972">
        <v>17711</v>
      </c>
      <c r="U458" s="972">
        <v>390664</v>
      </c>
    </row>
    <row r="459" spans="1:21" x14ac:dyDescent="0.25">
      <c r="A459" s="966">
        <v>94804</v>
      </c>
      <c r="B459" s="967" t="s">
        <v>3072</v>
      </c>
      <c r="C459" s="968">
        <v>3.8E-6</v>
      </c>
      <c r="D459" s="968">
        <v>3.8E-6</v>
      </c>
      <c r="E459" s="1007">
        <v>2740</v>
      </c>
      <c r="F459" s="1010">
        <v>8065</v>
      </c>
      <c r="G459" s="969">
        <v>5805</v>
      </c>
      <c r="H459" s="969"/>
      <c r="I459" s="970">
        <v>334</v>
      </c>
      <c r="J459" s="971">
        <v>1409</v>
      </c>
      <c r="K459" s="970">
        <v>829</v>
      </c>
      <c r="L459" s="969">
        <v>2556</v>
      </c>
      <c r="M459" s="969"/>
      <c r="N459" s="970">
        <v>164</v>
      </c>
      <c r="O459" s="970">
        <v>0</v>
      </c>
      <c r="P459" s="970">
        <v>0</v>
      </c>
      <c r="Q459" s="969">
        <v>218</v>
      </c>
      <c r="R459" s="969"/>
      <c r="S459" s="970">
        <v>1956</v>
      </c>
      <c r="T459" s="972">
        <v>1879</v>
      </c>
      <c r="U459" s="972">
        <v>3835</v>
      </c>
    </row>
    <row r="460" spans="1:21" x14ac:dyDescent="0.25">
      <c r="A460" s="966">
        <v>94812</v>
      </c>
      <c r="B460" s="967" t="s">
        <v>3073</v>
      </c>
      <c r="C460" s="968">
        <v>3.3000000000000003E-5</v>
      </c>
      <c r="D460" s="968">
        <v>3.3500000000000001E-5</v>
      </c>
      <c r="E460" s="1007">
        <v>19658</v>
      </c>
      <c r="F460" s="1010">
        <v>71098</v>
      </c>
      <c r="G460" s="969">
        <v>50415</v>
      </c>
      <c r="H460" s="969"/>
      <c r="I460" s="970">
        <v>2904</v>
      </c>
      <c r="J460" s="971">
        <v>12241</v>
      </c>
      <c r="K460" s="970">
        <v>7200</v>
      </c>
      <c r="L460" s="969">
        <v>10442</v>
      </c>
      <c r="M460" s="969"/>
      <c r="N460" s="970">
        <v>1427</v>
      </c>
      <c r="O460" s="970">
        <v>0</v>
      </c>
      <c r="P460" s="970">
        <v>0</v>
      </c>
      <c r="Q460" s="969">
        <v>0</v>
      </c>
      <c r="R460" s="969"/>
      <c r="S460" s="970">
        <v>16990</v>
      </c>
      <c r="T460" s="972">
        <v>4040</v>
      </c>
      <c r="U460" s="972">
        <v>21030</v>
      </c>
    </row>
    <row r="461" spans="1:21" x14ac:dyDescent="0.25">
      <c r="A461" s="966">
        <v>94901</v>
      </c>
      <c r="B461" s="967" t="s">
        <v>3074</v>
      </c>
      <c r="C461" s="968">
        <v>6.7841999999999998E-3</v>
      </c>
      <c r="D461" s="968">
        <v>7.0014999999999999E-3</v>
      </c>
      <c r="E461" s="1007">
        <v>3201093</v>
      </c>
      <c r="F461" s="1010">
        <v>14859529</v>
      </c>
      <c r="G461" s="969">
        <v>10364378</v>
      </c>
      <c r="H461" s="969"/>
      <c r="I461" s="970">
        <v>597084</v>
      </c>
      <c r="J461" s="971">
        <v>2516484</v>
      </c>
      <c r="K461" s="970">
        <v>1480177</v>
      </c>
      <c r="L461" s="969">
        <v>16760</v>
      </c>
      <c r="M461" s="969"/>
      <c r="N461" s="970">
        <v>293383</v>
      </c>
      <c r="O461" s="970">
        <v>0</v>
      </c>
      <c r="P461" s="970">
        <v>0</v>
      </c>
      <c r="Q461" s="969">
        <v>129476</v>
      </c>
      <c r="R461" s="969"/>
      <c r="S461" s="970">
        <v>3492805</v>
      </c>
      <c r="T461" s="972">
        <v>-36324</v>
      </c>
      <c r="U461" s="972">
        <v>3456481</v>
      </c>
    </row>
    <row r="462" spans="1:21" x14ac:dyDescent="0.25">
      <c r="A462" s="966">
        <v>94908</v>
      </c>
      <c r="B462" s="967" t="s">
        <v>3075</v>
      </c>
      <c r="C462" s="968">
        <v>7.7000000000000008E-6</v>
      </c>
      <c r="D462" s="968">
        <v>3.9799999999999998E-5</v>
      </c>
      <c r="E462" s="1007">
        <v>7868</v>
      </c>
      <c r="F462" s="1010">
        <v>84469</v>
      </c>
      <c r="G462" s="969">
        <v>11763</v>
      </c>
      <c r="H462" s="969"/>
      <c r="I462" s="970">
        <v>678</v>
      </c>
      <c r="J462" s="971">
        <v>2857</v>
      </c>
      <c r="K462" s="970">
        <v>1680</v>
      </c>
      <c r="L462" s="969">
        <v>0</v>
      </c>
      <c r="M462" s="969"/>
      <c r="N462" s="970">
        <v>333</v>
      </c>
      <c r="O462" s="970">
        <v>0</v>
      </c>
      <c r="P462" s="970">
        <v>0</v>
      </c>
      <c r="Q462" s="969">
        <v>21664</v>
      </c>
      <c r="R462" s="969"/>
      <c r="S462" s="970">
        <v>3964</v>
      </c>
      <c r="T462" s="972">
        <v>-6783</v>
      </c>
      <c r="U462" s="972">
        <v>-2819</v>
      </c>
    </row>
    <row r="463" spans="1:21" x14ac:dyDescent="0.25">
      <c r="A463" s="966">
        <v>94911</v>
      </c>
      <c r="B463" s="967" t="s">
        <v>3076</v>
      </c>
      <c r="C463" s="968">
        <v>2.8311E-3</v>
      </c>
      <c r="D463" s="968">
        <v>2.7745999999999999E-3</v>
      </c>
      <c r="E463" s="1007">
        <v>1295988</v>
      </c>
      <c r="F463" s="1010">
        <v>5888631</v>
      </c>
      <c r="G463" s="969">
        <v>4325137</v>
      </c>
      <c r="H463" s="969"/>
      <c r="I463" s="970">
        <v>249168</v>
      </c>
      <c r="J463" s="971">
        <v>1050149</v>
      </c>
      <c r="K463" s="970">
        <v>617689</v>
      </c>
      <c r="L463" s="969">
        <v>39747</v>
      </c>
      <c r="M463" s="969"/>
      <c r="N463" s="970">
        <v>122431</v>
      </c>
      <c r="O463" s="970">
        <v>0</v>
      </c>
      <c r="P463" s="970">
        <v>0</v>
      </c>
      <c r="Q463" s="969">
        <v>40147</v>
      </c>
      <c r="R463" s="969"/>
      <c r="S463" s="970">
        <v>1457575</v>
      </c>
      <c r="T463" s="972">
        <v>-7457</v>
      </c>
      <c r="U463" s="972">
        <v>1450118</v>
      </c>
    </row>
    <row r="464" spans="1:21" x14ac:dyDescent="0.25">
      <c r="A464" s="966">
        <v>94917</v>
      </c>
      <c r="B464" s="967" t="s">
        <v>3077</v>
      </c>
      <c r="C464" s="968">
        <v>3.5099999999999999E-5</v>
      </c>
      <c r="D464" s="968">
        <v>3.7400000000000001E-5</v>
      </c>
      <c r="E464" s="1007">
        <v>27131</v>
      </c>
      <c r="F464" s="1010">
        <v>79375</v>
      </c>
      <c r="G464" s="969">
        <v>53623</v>
      </c>
      <c r="H464" s="969"/>
      <c r="I464" s="970">
        <v>3089</v>
      </c>
      <c r="J464" s="971">
        <v>13020</v>
      </c>
      <c r="K464" s="970">
        <v>7658</v>
      </c>
      <c r="L464" s="969">
        <v>16574</v>
      </c>
      <c r="M464" s="969"/>
      <c r="N464" s="970">
        <v>1518</v>
      </c>
      <c r="O464" s="970">
        <v>0</v>
      </c>
      <c r="P464" s="970">
        <v>0</v>
      </c>
      <c r="Q464" s="969">
        <v>0</v>
      </c>
      <c r="R464" s="969"/>
      <c r="S464" s="970">
        <v>18071</v>
      </c>
      <c r="T464" s="972">
        <v>7114</v>
      </c>
      <c r="U464" s="972">
        <v>25185</v>
      </c>
    </row>
    <row r="465" spans="1:21" x14ac:dyDescent="0.25">
      <c r="A465" s="966">
        <v>94921</v>
      </c>
      <c r="B465" s="967" t="s">
        <v>3078</v>
      </c>
      <c r="C465" s="968">
        <v>3.9515000000000002E-3</v>
      </c>
      <c r="D465" s="968">
        <v>3.7063E-3</v>
      </c>
      <c r="E465" s="1007">
        <v>1632572</v>
      </c>
      <c r="F465" s="1010">
        <v>7866010</v>
      </c>
      <c r="G465" s="969">
        <v>6036797</v>
      </c>
      <c r="H465" s="969"/>
      <c r="I465" s="970">
        <v>347775</v>
      </c>
      <c r="J465" s="971">
        <v>1465741</v>
      </c>
      <c r="K465" s="970">
        <v>862138</v>
      </c>
      <c r="L465" s="969">
        <v>19200</v>
      </c>
      <c r="M465" s="969"/>
      <c r="N465" s="970">
        <v>170883</v>
      </c>
      <c r="O465" s="970">
        <v>0</v>
      </c>
      <c r="P465" s="970">
        <v>0</v>
      </c>
      <c r="Q465" s="969">
        <v>350239</v>
      </c>
      <c r="R465" s="969"/>
      <c r="S465" s="970">
        <v>2034406</v>
      </c>
      <c r="T465" s="972">
        <v>-150626</v>
      </c>
      <c r="U465" s="972">
        <v>1883780</v>
      </c>
    </row>
    <row r="466" spans="1:21" x14ac:dyDescent="0.25">
      <c r="A466" s="966">
        <v>94923</v>
      </c>
      <c r="B466" s="967" t="s">
        <v>3079</v>
      </c>
      <c r="C466" s="968">
        <v>3.0700000000000001E-5</v>
      </c>
      <c r="D466" s="968">
        <v>2.4499999999999999E-5</v>
      </c>
      <c r="E466" s="1007">
        <v>14810</v>
      </c>
      <c r="F466" s="1010">
        <v>51997</v>
      </c>
      <c r="G466" s="969">
        <v>46901</v>
      </c>
      <c r="H466" s="969"/>
      <c r="I466" s="970">
        <v>2702</v>
      </c>
      <c r="J466" s="971">
        <v>11387</v>
      </c>
      <c r="K466" s="970">
        <v>6698</v>
      </c>
      <c r="L466" s="969">
        <v>5727</v>
      </c>
      <c r="M466" s="969"/>
      <c r="N466" s="970">
        <v>1328</v>
      </c>
      <c r="O466" s="970">
        <v>0</v>
      </c>
      <c r="P466" s="970">
        <v>0</v>
      </c>
      <c r="Q466" s="969">
        <v>86</v>
      </c>
      <c r="R466" s="969"/>
      <c r="S466" s="970">
        <v>15806</v>
      </c>
      <c r="T466" s="972">
        <v>1556</v>
      </c>
      <c r="U466" s="972">
        <v>17362</v>
      </c>
    </row>
    <row r="467" spans="1:21" x14ac:dyDescent="0.25">
      <c r="A467" s="966">
        <v>94927</v>
      </c>
      <c r="B467" s="967" t="s">
        <v>3080</v>
      </c>
      <c r="C467" s="968">
        <v>3.0599999999999998E-5</v>
      </c>
      <c r="D467" s="968">
        <v>3.3899999999999997E-5</v>
      </c>
      <c r="E467" s="1007">
        <v>17353</v>
      </c>
      <c r="F467" s="1010">
        <v>71947</v>
      </c>
      <c r="G467" s="969">
        <v>46748</v>
      </c>
      <c r="H467" s="969"/>
      <c r="I467" s="970">
        <v>2693</v>
      </c>
      <c r="J467" s="971">
        <v>11350</v>
      </c>
      <c r="K467" s="970">
        <v>6676</v>
      </c>
      <c r="L467" s="969">
        <v>2683</v>
      </c>
      <c r="M467" s="969"/>
      <c r="N467" s="970">
        <v>1323</v>
      </c>
      <c r="O467" s="970">
        <v>0</v>
      </c>
      <c r="P467" s="970">
        <v>0</v>
      </c>
      <c r="Q467" s="969">
        <v>26</v>
      </c>
      <c r="R467" s="969"/>
      <c r="S467" s="970">
        <v>15754</v>
      </c>
      <c r="T467" s="972">
        <v>911</v>
      </c>
      <c r="U467" s="972">
        <v>16665</v>
      </c>
    </row>
    <row r="468" spans="1:21" x14ac:dyDescent="0.25">
      <c r="A468" s="966">
        <v>94931</v>
      </c>
      <c r="B468" s="967" t="s">
        <v>3081</v>
      </c>
      <c r="C468" s="968">
        <v>2.163E-4</v>
      </c>
      <c r="D468" s="968">
        <v>2.1130000000000001E-4</v>
      </c>
      <c r="E468" s="1007">
        <v>96302</v>
      </c>
      <c r="F468" s="1010">
        <v>448449</v>
      </c>
      <c r="G468" s="969">
        <v>330446</v>
      </c>
      <c r="H468" s="969"/>
      <c r="I468" s="970">
        <v>19037</v>
      </c>
      <c r="J468" s="971">
        <v>80233</v>
      </c>
      <c r="K468" s="970">
        <v>47192</v>
      </c>
      <c r="L468" s="969">
        <v>954</v>
      </c>
      <c r="M468" s="969"/>
      <c r="N468" s="970">
        <v>9354</v>
      </c>
      <c r="O468" s="970">
        <v>0</v>
      </c>
      <c r="P468" s="970">
        <v>0</v>
      </c>
      <c r="Q468" s="969">
        <v>15740</v>
      </c>
      <c r="R468" s="969"/>
      <c r="S468" s="970">
        <v>111361</v>
      </c>
      <c r="T468" s="972">
        <v>-7901</v>
      </c>
      <c r="U468" s="972">
        <v>103460</v>
      </c>
    </row>
    <row r="469" spans="1:21" x14ac:dyDescent="0.25">
      <c r="A469" s="966">
        <v>94941</v>
      </c>
      <c r="B469" s="967" t="s">
        <v>3082</v>
      </c>
      <c r="C469" s="968">
        <v>5.7879999999999997E-4</v>
      </c>
      <c r="D469" s="968">
        <v>5.2959999999999997E-4</v>
      </c>
      <c r="E469" s="1007">
        <v>242954</v>
      </c>
      <c r="F469" s="1010">
        <v>1123989</v>
      </c>
      <c r="G469" s="969">
        <v>884246</v>
      </c>
      <c r="H469" s="969"/>
      <c r="I469" s="970">
        <v>50941</v>
      </c>
      <c r="J469" s="971">
        <v>214696</v>
      </c>
      <c r="K469" s="970">
        <v>126283</v>
      </c>
      <c r="L469" s="969">
        <v>68775</v>
      </c>
      <c r="M469" s="969"/>
      <c r="N469" s="970">
        <v>25030</v>
      </c>
      <c r="O469" s="970">
        <v>0</v>
      </c>
      <c r="P469" s="970">
        <v>0</v>
      </c>
      <c r="Q469" s="969">
        <v>0</v>
      </c>
      <c r="R469" s="969"/>
      <c r="S469" s="970">
        <v>297992</v>
      </c>
      <c r="T469" s="972">
        <v>46151</v>
      </c>
      <c r="U469" s="972">
        <v>344143</v>
      </c>
    </row>
    <row r="470" spans="1:21" x14ac:dyDescent="0.25">
      <c r="A470" s="966">
        <v>95001</v>
      </c>
      <c r="B470" s="967" t="s">
        <v>3083</v>
      </c>
      <c r="C470" s="968">
        <v>2.4867000000000001E-3</v>
      </c>
      <c r="D470" s="968">
        <v>2.3779000000000001E-3</v>
      </c>
      <c r="E470" s="1007">
        <v>1196131</v>
      </c>
      <c r="F470" s="1010">
        <v>5046700</v>
      </c>
      <c r="G470" s="969">
        <v>3798989</v>
      </c>
      <c r="H470" s="969"/>
      <c r="I470" s="970">
        <v>218857</v>
      </c>
      <c r="J470" s="971">
        <v>922399</v>
      </c>
      <c r="K470" s="970">
        <v>542548</v>
      </c>
      <c r="L470" s="969">
        <v>176888</v>
      </c>
      <c r="M470" s="969"/>
      <c r="N470" s="970">
        <v>107537</v>
      </c>
      <c r="O470" s="970">
        <v>0</v>
      </c>
      <c r="P470" s="970">
        <v>0</v>
      </c>
      <c r="Q470" s="969">
        <v>3991</v>
      </c>
      <c r="R470" s="969"/>
      <c r="S470" s="970">
        <v>1280263</v>
      </c>
      <c r="T470" s="972">
        <v>51652</v>
      </c>
      <c r="U470" s="972">
        <v>1331915</v>
      </c>
    </row>
    <row r="471" spans="1:21" x14ac:dyDescent="0.25">
      <c r="A471" s="966">
        <v>95002</v>
      </c>
      <c r="B471" s="967" t="s">
        <v>3084</v>
      </c>
      <c r="C471" s="968">
        <v>1.907E-4</v>
      </c>
      <c r="D471" s="968">
        <v>2.0120000000000001E-4</v>
      </c>
      <c r="E471" s="1007">
        <v>100854</v>
      </c>
      <c r="F471" s="1010">
        <v>427014</v>
      </c>
      <c r="G471" s="969">
        <v>291337</v>
      </c>
      <c r="H471" s="969"/>
      <c r="I471" s="970">
        <v>16784</v>
      </c>
      <c r="J471" s="971">
        <v>70737</v>
      </c>
      <c r="K471" s="970">
        <v>41607</v>
      </c>
      <c r="L471" s="969">
        <v>15647</v>
      </c>
      <c r="M471" s="969"/>
      <c r="N471" s="970">
        <v>8247</v>
      </c>
      <c r="O471" s="970">
        <v>0</v>
      </c>
      <c r="P471" s="970">
        <v>0</v>
      </c>
      <c r="Q471" s="969">
        <v>0</v>
      </c>
      <c r="R471" s="969"/>
      <c r="S471" s="970">
        <v>98181</v>
      </c>
      <c r="T471" s="972">
        <v>6293</v>
      </c>
      <c r="U471" s="972">
        <v>104474</v>
      </c>
    </row>
    <row r="472" spans="1:21" x14ac:dyDescent="0.25">
      <c r="A472" s="966">
        <v>95005</v>
      </c>
      <c r="B472" s="967" t="s">
        <v>3085</v>
      </c>
      <c r="C472" s="968">
        <v>2.2949999999999999E-4</v>
      </c>
      <c r="D472" s="968">
        <v>2.3829999999999999E-4</v>
      </c>
      <c r="E472" s="1007">
        <v>111067</v>
      </c>
      <c r="F472" s="1010">
        <v>505752</v>
      </c>
      <c r="G472" s="969">
        <v>350612</v>
      </c>
      <c r="H472" s="969"/>
      <c r="I472" s="970">
        <v>20199</v>
      </c>
      <c r="J472" s="971">
        <v>85129</v>
      </c>
      <c r="K472" s="970">
        <v>50072</v>
      </c>
      <c r="L472" s="969">
        <v>13727</v>
      </c>
      <c r="M472" s="969"/>
      <c r="N472" s="970">
        <v>9925</v>
      </c>
      <c r="O472" s="970">
        <v>0</v>
      </c>
      <c r="P472" s="970">
        <v>0</v>
      </c>
      <c r="Q472" s="969">
        <v>1630</v>
      </c>
      <c r="R472" s="969"/>
      <c r="S472" s="970">
        <v>118157</v>
      </c>
      <c r="T472" s="972">
        <v>9042</v>
      </c>
      <c r="U472" s="972">
        <v>127199</v>
      </c>
    </row>
    <row r="473" spans="1:21" x14ac:dyDescent="0.25">
      <c r="A473" s="966">
        <v>95008</v>
      </c>
      <c r="B473" s="967" t="s">
        <v>3086</v>
      </c>
      <c r="C473" s="968">
        <v>1.1519999999999999E-4</v>
      </c>
      <c r="D473" s="968">
        <v>1.169E-4</v>
      </c>
      <c r="E473" s="1007">
        <v>62834</v>
      </c>
      <c r="F473" s="1010">
        <v>248101</v>
      </c>
      <c r="G473" s="969">
        <v>175994</v>
      </c>
      <c r="H473" s="969"/>
      <c r="I473" s="970">
        <v>10139</v>
      </c>
      <c r="J473" s="971">
        <v>42731</v>
      </c>
      <c r="K473" s="970">
        <v>25134</v>
      </c>
      <c r="L473" s="969">
        <v>19189</v>
      </c>
      <c r="M473" s="969"/>
      <c r="N473" s="970">
        <v>4982</v>
      </c>
      <c r="O473" s="970">
        <v>0</v>
      </c>
      <c r="P473" s="970">
        <v>0</v>
      </c>
      <c r="Q473" s="969">
        <v>6239</v>
      </c>
      <c r="R473" s="969"/>
      <c r="S473" s="970">
        <v>59310</v>
      </c>
      <c r="T473" s="972">
        <v>9098</v>
      </c>
      <c r="U473" s="972">
        <v>68408</v>
      </c>
    </row>
    <row r="474" spans="1:21" x14ac:dyDescent="0.25">
      <c r="A474" s="966">
        <v>95009</v>
      </c>
      <c r="B474" s="967" t="s">
        <v>3674</v>
      </c>
      <c r="C474" s="968">
        <v>4.2208999999999997E-3</v>
      </c>
      <c r="D474" s="968">
        <v>3.9902000000000002E-3</v>
      </c>
      <c r="E474" s="1007">
        <v>1917856</v>
      </c>
      <c r="F474" s="1010">
        <v>0</v>
      </c>
      <c r="G474" s="969">
        <v>6448366</v>
      </c>
      <c r="H474" s="969"/>
      <c r="I474" s="970">
        <v>371486</v>
      </c>
      <c r="J474" s="971">
        <v>1565671</v>
      </c>
      <c r="K474" s="970">
        <v>920916</v>
      </c>
      <c r="L474" s="969">
        <v>897451</v>
      </c>
      <c r="M474" s="969"/>
      <c r="N474" s="970">
        <v>182533</v>
      </c>
      <c r="O474" s="970">
        <v>0</v>
      </c>
      <c r="P474" s="970">
        <v>0</v>
      </c>
      <c r="Q474" s="969">
        <v>0</v>
      </c>
      <c r="R474" s="969"/>
      <c r="S474" s="970">
        <v>2173105</v>
      </c>
      <c r="T474" s="972">
        <v>582135</v>
      </c>
      <c r="U474" s="972">
        <v>2755240</v>
      </c>
    </row>
    <row r="475" spans="1:21" x14ac:dyDescent="0.25">
      <c r="A475" s="966">
        <v>95011</v>
      </c>
      <c r="B475" s="967" t="s">
        <v>3088</v>
      </c>
      <c r="C475" s="968">
        <v>1.8000000000000001E-4</v>
      </c>
      <c r="D475" s="968">
        <v>1.707E-4</v>
      </c>
      <c r="E475" s="1007">
        <v>78934</v>
      </c>
      <c r="F475" s="1010">
        <v>362283</v>
      </c>
      <c r="G475" s="969">
        <v>274990</v>
      </c>
      <c r="H475" s="969"/>
      <c r="I475" s="970">
        <v>15842</v>
      </c>
      <c r="J475" s="971">
        <v>66768</v>
      </c>
      <c r="K475" s="970">
        <v>39272</v>
      </c>
      <c r="L475" s="969">
        <v>3275</v>
      </c>
      <c r="M475" s="969"/>
      <c r="N475" s="970">
        <v>7784</v>
      </c>
      <c r="O475" s="970">
        <v>0</v>
      </c>
      <c r="P475" s="970">
        <v>0</v>
      </c>
      <c r="Q475" s="969">
        <v>8909</v>
      </c>
      <c r="R475" s="969"/>
      <c r="S475" s="970">
        <v>92672</v>
      </c>
      <c r="T475" s="972">
        <v>-3840</v>
      </c>
      <c r="U475" s="972">
        <v>88832</v>
      </c>
    </row>
    <row r="476" spans="1:21" x14ac:dyDescent="0.25">
      <c r="A476" s="966">
        <v>95017</v>
      </c>
      <c r="B476" s="967" t="s">
        <v>3089</v>
      </c>
      <c r="C476" s="968">
        <v>3.8800000000000001E-5</v>
      </c>
      <c r="D476" s="968">
        <v>3.5800000000000003E-5</v>
      </c>
      <c r="E476" s="1007">
        <v>15330</v>
      </c>
      <c r="F476" s="1010">
        <v>75980</v>
      </c>
      <c r="G476" s="969">
        <v>59276</v>
      </c>
      <c r="H476" s="969"/>
      <c r="I476" s="970">
        <v>3415</v>
      </c>
      <c r="J476" s="971">
        <v>14392</v>
      </c>
      <c r="K476" s="970">
        <v>8465</v>
      </c>
      <c r="L476" s="969">
        <v>13339</v>
      </c>
      <c r="M476" s="969"/>
      <c r="N476" s="970">
        <v>1678</v>
      </c>
      <c r="O476" s="970">
        <v>0</v>
      </c>
      <c r="P476" s="970">
        <v>0</v>
      </c>
      <c r="Q476" s="969">
        <v>0</v>
      </c>
      <c r="R476" s="969"/>
      <c r="S476" s="970">
        <v>19976</v>
      </c>
      <c r="T476" s="972">
        <v>7635</v>
      </c>
      <c r="U476" s="972">
        <v>27611</v>
      </c>
    </row>
    <row r="477" spans="1:21" x14ac:dyDescent="0.25">
      <c r="A477" s="966">
        <v>95101</v>
      </c>
      <c r="B477" s="967" t="s">
        <v>3090</v>
      </c>
      <c r="C477" s="968">
        <v>8.3750999999999999E-3</v>
      </c>
      <c r="D477" s="968">
        <v>8.0955999999999997E-3</v>
      </c>
      <c r="E477" s="1007">
        <v>3555097</v>
      </c>
      <c r="F477" s="1010">
        <v>17181575</v>
      </c>
      <c r="G477" s="969">
        <v>12794833</v>
      </c>
      <c r="H477" s="969"/>
      <c r="I477" s="970">
        <v>737101</v>
      </c>
      <c r="J477" s="971">
        <v>3106601</v>
      </c>
      <c r="K477" s="970">
        <v>1827279</v>
      </c>
      <c r="L477" s="969">
        <v>39562</v>
      </c>
      <c r="M477" s="969"/>
      <c r="N477" s="970">
        <v>362181</v>
      </c>
      <c r="O477" s="970">
        <v>0</v>
      </c>
      <c r="P477" s="970">
        <v>0</v>
      </c>
      <c r="Q477" s="969">
        <v>114122</v>
      </c>
      <c r="R477" s="969"/>
      <c r="S477" s="970">
        <v>4311870</v>
      </c>
      <c r="T477" s="972">
        <v>1978</v>
      </c>
      <c r="U477" s="972">
        <v>4313848</v>
      </c>
    </row>
    <row r="478" spans="1:21" x14ac:dyDescent="0.25">
      <c r="A478" s="966">
        <v>95103</v>
      </c>
      <c r="B478" s="967" t="s">
        <v>3091</v>
      </c>
      <c r="C478" s="968">
        <v>4.9100000000000001E-5</v>
      </c>
      <c r="D478" s="968">
        <v>6.02E-5</v>
      </c>
      <c r="E478" s="1007">
        <v>33036</v>
      </c>
      <c r="F478" s="1010">
        <v>127765</v>
      </c>
      <c r="G478" s="969">
        <v>75011</v>
      </c>
      <c r="H478" s="969"/>
      <c r="I478" s="970">
        <v>4321</v>
      </c>
      <c r="J478" s="971">
        <v>18213</v>
      </c>
      <c r="K478" s="970">
        <v>10713</v>
      </c>
      <c r="L478" s="969">
        <v>24203</v>
      </c>
      <c r="M478" s="969"/>
      <c r="N478" s="970">
        <v>2123</v>
      </c>
      <c r="O478" s="970">
        <v>0</v>
      </c>
      <c r="P478" s="970">
        <v>0</v>
      </c>
      <c r="Q478" s="969">
        <v>0</v>
      </c>
      <c r="R478" s="969"/>
      <c r="S478" s="970">
        <v>25279</v>
      </c>
      <c r="T478" s="972">
        <v>18053</v>
      </c>
      <c r="U478" s="972">
        <v>43332</v>
      </c>
    </row>
    <row r="479" spans="1:21" x14ac:dyDescent="0.25">
      <c r="A479" s="966">
        <v>95104</v>
      </c>
      <c r="B479" s="967" t="s">
        <v>3092</v>
      </c>
      <c r="C479" s="968">
        <v>1.02E-4</v>
      </c>
      <c r="D479" s="968">
        <v>1.011E-4</v>
      </c>
      <c r="E479" s="1007">
        <v>55856</v>
      </c>
      <c r="F479" s="1010">
        <v>214568</v>
      </c>
      <c r="G479" s="969">
        <v>155828</v>
      </c>
      <c r="H479" s="969"/>
      <c r="I479" s="970">
        <v>8977</v>
      </c>
      <c r="J479" s="971">
        <v>37835</v>
      </c>
      <c r="K479" s="970">
        <v>22254</v>
      </c>
      <c r="L479" s="969">
        <v>19729</v>
      </c>
      <c r="M479" s="969"/>
      <c r="N479" s="970">
        <v>4411</v>
      </c>
      <c r="O479" s="970">
        <v>0</v>
      </c>
      <c r="P479" s="970">
        <v>0</v>
      </c>
      <c r="Q479" s="969">
        <v>0</v>
      </c>
      <c r="R479" s="969"/>
      <c r="S479" s="970">
        <v>52514</v>
      </c>
      <c r="T479" s="972">
        <v>8399</v>
      </c>
      <c r="U479" s="972">
        <v>60913</v>
      </c>
    </row>
    <row r="480" spans="1:21" x14ac:dyDescent="0.25">
      <c r="A480" s="966">
        <v>95105</v>
      </c>
      <c r="B480" s="967" t="s">
        <v>3093</v>
      </c>
      <c r="C480" s="968">
        <v>6.1099999999999994E-5</v>
      </c>
      <c r="D480" s="968">
        <v>6.3700000000000003E-5</v>
      </c>
      <c r="E480" s="1007">
        <v>33363</v>
      </c>
      <c r="F480" s="1010">
        <v>135193</v>
      </c>
      <c r="G480" s="969">
        <v>93344</v>
      </c>
      <c r="H480" s="969"/>
      <c r="I480" s="970">
        <v>5377</v>
      </c>
      <c r="J480" s="971">
        <v>22664</v>
      </c>
      <c r="K480" s="970">
        <v>13331</v>
      </c>
      <c r="L480" s="969">
        <v>8129</v>
      </c>
      <c r="M480" s="969"/>
      <c r="N480" s="970">
        <v>2642</v>
      </c>
      <c r="O480" s="970">
        <v>0</v>
      </c>
      <c r="P480" s="970">
        <v>0</v>
      </c>
      <c r="Q480" s="969">
        <v>0</v>
      </c>
      <c r="R480" s="969"/>
      <c r="S480" s="970">
        <v>31457</v>
      </c>
      <c r="T480" s="972">
        <v>4018</v>
      </c>
      <c r="U480" s="972">
        <v>35475</v>
      </c>
    </row>
    <row r="481" spans="1:21" x14ac:dyDescent="0.25">
      <c r="A481" s="966">
        <v>95106</v>
      </c>
      <c r="B481" s="967" t="s">
        <v>3094</v>
      </c>
      <c r="C481" s="968">
        <v>1.2099999999999999E-5</v>
      </c>
      <c r="D481" s="968">
        <v>1.3900000000000001E-5</v>
      </c>
      <c r="E481" s="1007">
        <v>5272</v>
      </c>
      <c r="F481" s="1010">
        <v>29500</v>
      </c>
      <c r="G481" s="969">
        <v>18485</v>
      </c>
      <c r="H481" s="969"/>
      <c r="I481" s="970">
        <v>1065</v>
      </c>
      <c r="J481" s="971">
        <v>4488</v>
      </c>
      <c r="K481" s="970">
        <v>2640</v>
      </c>
      <c r="L481" s="969">
        <v>4918</v>
      </c>
      <c r="M481" s="969"/>
      <c r="N481" s="970">
        <v>523</v>
      </c>
      <c r="O481" s="970">
        <v>0</v>
      </c>
      <c r="P481" s="970">
        <v>0</v>
      </c>
      <c r="Q481" s="969">
        <v>1433</v>
      </c>
      <c r="R481" s="969"/>
      <c r="S481" s="970">
        <v>6230</v>
      </c>
      <c r="T481" s="972">
        <v>2234</v>
      </c>
      <c r="U481" s="972">
        <v>8464</v>
      </c>
    </row>
    <row r="482" spans="1:21" x14ac:dyDescent="0.25">
      <c r="A482" s="966">
        <v>95110</v>
      </c>
      <c r="B482" s="967" t="s">
        <v>3095</v>
      </c>
      <c r="C482" s="968">
        <v>4.2902000000000001E-3</v>
      </c>
      <c r="D482" s="968">
        <v>4.4609000000000003E-3</v>
      </c>
      <c r="E482" s="1007">
        <v>1965505</v>
      </c>
      <c r="F482" s="1010">
        <v>9467524</v>
      </c>
      <c r="G482" s="969">
        <v>6554237</v>
      </c>
      <c r="H482" s="969"/>
      <c r="I482" s="970">
        <v>377585</v>
      </c>
      <c r="J482" s="971">
        <v>1591377</v>
      </c>
      <c r="K482" s="970">
        <v>936036</v>
      </c>
      <c r="L482" s="969">
        <v>0</v>
      </c>
      <c r="M482" s="969"/>
      <c r="N482" s="970">
        <v>185530</v>
      </c>
      <c r="O482" s="970">
        <v>0</v>
      </c>
      <c r="P482" s="970">
        <v>0</v>
      </c>
      <c r="Q482" s="969">
        <v>1097124</v>
      </c>
      <c r="R482" s="969"/>
      <c r="S482" s="970">
        <v>2208784</v>
      </c>
      <c r="T482" s="972">
        <v>-636198</v>
      </c>
      <c r="U482" s="972">
        <v>1572586</v>
      </c>
    </row>
    <row r="483" spans="1:21" x14ac:dyDescent="0.25">
      <c r="A483" s="966">
        <v>95111</v>
      </c>
      <c r="B483" s="967" t="s">
        <v>3096</v>
      </c>
      <c r="C483" s="968">
        <v>1.0778999999999999E-3</v>
      </c>
      <c r="D483" s="968">
        <v>1.0709000000000001E-3</v>
      </c>
      <c r="E483" s="1007">
        <v>470003</v>
      </c>
      <c r="F483" s="1010">
        <v>2272809</v>
      </c>
      <c r="G483" s="969">
        <v>1646733</v>
      </c>
      <c r="H483" s="969"/>
      <c r="I483" s="970">
        <v>94867</v>
      </c>
      <c r="J483" s="971">
        <v>399829</v>
      </c>
      <c r="K483" s="970">
        <v>235176</v>
      </c>
      <c r="L483" s="969">
        <v>0</v>
      </c>
      <c r="M483" s="969"/>
      <c r="N483" s="970">
        <v>46614</v>
      </c>
      <c r="O483" s="970">
        <v>0</v>
      </c>
      <c r="P483" s="970">
        <v>0</v>
      </c>
      <c r="Q483" s="969">
        <v>120462</v>
      </c>
      <c r="R483" s="969"/>
      <c r="S483" s="970">
        <v>554950</v>
      </c>
      <c r="T483" s="972">
        <v>-59518</v>
      </c>
      <c r="U483" s="972">
        <v>495432</v>
      </c>
    </row>
    <row r="484" spans="1:21" x14ac:dyDescent="0.25">
      <c r="A484" s="966">
        <v>95113</v>
      </c>
      <c r="B484" s="967" t="s">
        <v>3097</v>
      </c>
      <c r="C484" s="968">
        <v>4.6699999999999997E-5</v>
      </c>
      <c r="D484" s="968">
        <v>4.7500000000000003E-5</v>
      </c>
      <c r="E484" s="1007">
        <v>66187</v>
      </c>
      <c r="F484" s="1010">
        <v>100811</v>
      </c>
      <c r="G484" s="969">
        <v>71345</v>
      </c>
      <c r="H484" s="969"/>
      <c r="I484" s="970">
        <v>4110</v>
      </c>
      <c r="J484" s="971">
        <v>17322</v>
      </c>
      <c r="K484" s="970">
        <v>10189</v>
      </c>
      <c r="L484" s="969">
        <v>82563</v>
      </c>
      <c r="M484" s="969"/>
      <c r="N484" s="970">
        <v>2020</v>
      </c>
      <c r="O484" s="970">
        <v>0</v>
      </c>
      <c r="P484" s="970">
        <v>0</v>
      </c>
      <c r="Q484" s="969">
        <v>0</v>
      </c>
      <c r="R484" s="969"/>
      <c r="S484" s="970">
        <v>24043</v>
      </c>
      <c r="T484" s="972">
        <v>31359</v>
      </c>
      <c r="U484" s="972">
        <v>55402</v>
      </c>
    </row>
    <row r="485" spans="1:21" x14ac:dyDescent="0.25">
      <c r="A485" s="966">
        <v>95121</v>
      </c>
      <c r="B485" s="967" t="s">
        <v>3098</v>
      </c>
      <c r="C485" s="968">
        <v>4.9770000000000001E-4</v>
      </c>
      <c r="D485" s="968">
        <v>4.9580000000000002E-4</v>
      </c>
      <c r="E485" s="1007">
        <v>224754</v>
      </c>
      <c r="F485" s="1010">
        <v>1052254</v>
      </c>
      <c r="G485" s="969">
        <v>760348</v>
      </c>
      <c r="H485" s="969"/>
      <c r="I485" s="970">
        <v>43803</v>
      </c>
      <c r="J485" s="971">
        <v>184613</v>
      </c>
      <c r="K485" s="970">
        <v>108588</v>
      </c>
      <c r="L485" s="969">
        <v>12640</v>
      </c>
      <c r="M485" s="969"/>
      <c r="N485" s="970">
        <v>21523</v>
      </c>
      <c r="O485" s="970">
        <v>0</v>
      </c>
      <c r="P485" s="970">
        <v>0</v>
      </c>
      <c r="Q485" s="969">
        <v>14371</v>
      </c>
      <c r="R485" s="969"/>
      <c r="S485" s="970">
        <v>256238</v>
      </c>
      <c r="T485" s="972">
        <v>-7628</v>
      </c>
      <c r="U485" s="972">
        <v>248610</v>
      </c>
    </row>
    <row r="486" spans="1:21" x14ac:dyDescent="0.25">
      <c r="A486" s="966">
        <v>95122</v>
      </c>
      <c r="B486" s="967" t="s">
        <v>3099</v>
      </c>
      <c r="C486" s="968">
        <v>6.4999999999999996E-6</v>
      </c>
      <c r="D486" s="968">
        <v>2.7999999999999999E-6</v>
      </c>
      <c r="E486" s="1007">
        <v>3103</v>
      </c>
      <c r="F486" s="1010">
        <v>5943</v>
      </c>
      <c r="G486" s="969">
        <v>9930</v>
      </c>
      <c r="H486" s="969"/>
      <c r="I486" s="970">
        <v>572</v>
      </c>
      <c r="J486" s="971">
        <v>2411</v>
      </c>
      <c r="K486" s="970">
        <v>1418</v>
      </c>
      <c r="L486" s="969">
        <v>3675</v>
      </c>
      <c r="M486" s="969"/>
      <c r="N486" s="970">
        <v>281</v>
      </c>
      <c r="O486" s="970">
        <v>0</v>
      </c>
      <c r="P486" s="970">
        <v>0</v>
      </c>
      <c r="Q486" s="969">
        <v>0</v>
      </c>
      <c r="R486" s="969"/>
      <c r="S486" s="970">
        <v>3346</v>
      </c>
      <c r="T486" s="972">
        <v>1103</v>
      </c>
      <c r="U486" s="972">
        <v>4449</v>
      </c>
    </row>
    <row r="487" spans="1:21" x14ac:dyDescent="0.25">
      <c r="A487" s="966">
        <v>95123</v>
      </c>
      <c r="B487" s="967" t="s">
        <v>3100</v>
      </c>
      <c r="C487" s="968">
        <v>5.7399999999999999E-5</v>
      </c>
      <c r="D487" s="968">
        <v>5.6700000000000003E-5</v>
      </c>
      <c r="E487" s="1007">
        <v>29191</v>
      </c>
      <c r="F487" s="1010">
        <v>120336</v>
      </c>
      <c r="G487" s="969">
        <v>87691</v>
      </c>
      <c r="H487" s="969"/>
      <c r="I487" s="970">
        <v>5052</v>
      </c>
      <c r="J487" s="971">
        <v>21291</v>
      </c>
      <c r="K487" s="970">
        <v>12524</v>
      </c>
      <c r="L487" s="969">
        <v>8811</v>
      </c>
      <c r="M487" s="969"/>
      <c r="N487" s="970">
        <v>2482</v>
      </c>
      <c r="O487" s="970">
        <v>0</v>
      </c>
      <c r="P487" s="970">
        <v>0</v>
      </c>
      <c r="Q487" s="969">
        <v>1459</v>
      </c>
      <c r="R487" s="969"/>
      <c r="S487" s="970">
        <v>29552</v>
      </c>
      <c r="T487" s="972">
        <v>1830</v>
      </c>
      <c r="U487" s="972">
        <v>31382</v>
      </c>
    </row>
    <row r="488" spans="1:21" x14ac:dyDescent="0.25">
      <c r="A488" s="966">
        <v>95131</v>
      </c>
      <c r="B488" s="967" t="s">
        <v>3101</v>
      </c>
      <c r="C488" s="968">
        <v>1.6682999999999999E-3</v>
      </c>
      <c r="D488" s="968">
        <v>1.5451E-3</v>
      </c>
      <c r="E488" s="1007">
        <v>749707</v>
      </c>
      <c r="F488" s="1010">
        <v>3279220</v>
      </c>
      <c r="G488" s="969">
        <v>2548700</v>
      </c>
      <c r="H488" s="969"/>
      <c r="I488" s="970">
        <v>146829</v>
      </c>
      <c r="J488" s="971">
        <v>618827</v>
      </c>
      <c r="K488" s="970">
        <v>363990</v>
      </c>
      <c r="L488" s="969">
        <v>105945</v>
      </c>
      <c r="M488" s="969"/>
      <c r="N488" s="970">
        <v>72146</v>
      </c>
      <c r="O488" s="970">
        <v>0</v>
      </c>
      <c r="P488" s="970">
        <v>0</v>
      </c>
      <c r="Q488" s="969">
        <v>846</v>
      </c>
      <c r="R488" s="969"/>
      <c r="S488" s="970">
        <v>858914</v>
      </c>
      <c r="T488" s="972">
        <v>33842</v>
      </c>
      <c r="U488" s="972">
        <v>892756</v>
      </c>
    </row>
    <row r="489" spans="1:21" x14ac:dyDescent="0.25">
      <c r="A489" s="966">
        <v>95141</v>
      </c>
      <c r="B489" s="967" t="s">
        <v>3102</v>
      </c>
      <c r="C489" s="968">
        <v>3.2220000000000003E-4</v>
      </c>
      <c r="D489" s="968">
        <v>3.1819999999999998E-4</v>
      </c>
      <c r="E489" s="1007">
        <v>131053</v>
      </c>
      <c r="F489" s="1010">
        <v>675327</v>
      </c>
      <c r="G489" s="969">
        <v>492232</v>
      </c>
      <c r="H489" s="969"/>
      <c r="I489" s="970">
        <v>28357</v>
      </c>
      <c r="J489" s="971">
        <v>119515</v>
      </c>
      <c r="K489" s="970">
        <v>70298</v>
      </c>
      <c r="L489" s="969">
        <v>1251</v>
      </c>
      <c r="M489" s="969"/>
      <c r="N489" s="970">
        <v>13934</v>
      </c>
      <c r="O489" s="970">
        <v>0</v>
      </c>
      <c r="P489" s="970">
        <v>0</v>
      </c>
      <c r="Q489" s="969">
        <v>29129</v>
      </c>
      <c r="R489" s="969"/>
      <c r="S489" s="970">
        <v>165883</v>
      </c>
      <c r="T489" s="972">
        <v>-11233</v>
      </c>
      <c r="U489" s="972">
        <v>154650</v>
      </c>
    </row>
    <row r="490" spans="1:21" x14ac:dyDescent="0.25">
      <c r="A490" s="966">
        <v>95151</v>
      </c>
      <c r="B490" s="967" t="s">
        <v>3103</v>
      </c>
      <c r="C490" s="968">
        <v>1.092E-4</v>
      </c>
      <c r="D490" s="968">
        <v>1.158E-4</v>
      </c>
      <c r="E490" s="1007">
        <v>46663</v>
      </c>
      <c r="F490" s="1010">
        <v>245766</v>
      </c>
      <c r="G490" s="969">
        <v>166827</v>
      </c>
      <c r="H490" s="969"/>
      <c r="I490" s="970">
        <v>9611</v>
      </c>
      <c r="J490" s="971">
        <v>40506</v>
      </c>
      <c r="K490" s="970">
        <v>23825</v>
      </c>
      <c r="L490" s="969">
        <v>364</v>
      </c>
      <c r="M490" s="969"/>
      <c r="N490" s="970">
        <v>4722</v>
      </c>
      <c r="O490" s="970">
        <v>0</v>
      </c>
      <c r="P490" s="970">
        <v>0</v>
      </c>
      <c r="Q490" s="969">
        <v>10802</v>
      </c>
      <c r="R490" s="969"/>
      <c r="S490" s="970">
        <v>56221</v>
      </c>
      <c r="T490" s="972">
        <v>-3332</v>
      </c>
      <c r="U490" s="972">
        <v>52889</v>
      </c>
    </row>
    <row r="491" spans="1:21" x14ac:dyDescent="0.25">
      <c r="A491" s="966">
        <v>95161</v>
      </c>
      <c r="B491" s="967" t="s">
        <v>3104</v>
      </c>
      <c r="C491" s="968">
        <v>6.8100000000000002E-5</v>
      </c>
      <c r="D491" s="968">
        <v>7.4800000000000002E-5</v>
      </c>
      <c r="E491" s="1007">
        <v>38087</v>
      </c>
      <c r="F491" s="1010">
        <v>158751</v>
      </c>
      <c r="G491" s="969">
        <v>104038</v>
      </c>
      <c r="H491" s="969"/>
      <c r="I491" s="970">
        <v>5994</v>
      </c>
      <c r="J491" s="971">
        <v>25261</v>
      </c>
      <c r="K491" s="970">
        <v>14858</v>
      </c>
      <c r="L491" s="969">
        <v>5468</v>
      </c>
      <c r="M491" s="969"/>
      <c r="N491" s="970">
        <v>2945</v>
      </c>
      <c r="O491" s="970">
        <v>0</v>
      </c>
      <c r="P491" s="970">
        <v>0</v>
      </c>
      <c r="Q491" s="969">
        <v>1353</v>
      </c>
      <c r="R491" s="969"/>
      <c r="S491" s="970">
        <v>35061</v>
      </c>
      <c r="T491" s="972">
        <v>1287</v>
      </c>
      <c r="U491" s="972">
        <v>36348</v>
      </c>
    </row>
    <row r="492" spans="1:21" x14ac:dyDescent="0.25">
      <c r="A492" s="966">
        <v>95171</v>
      </c>
      <c r="B492" s="967" t="s">
        <v>3105</v>
      </c>
      <c r="C492" s="968">
        <v>1.0459999999999999E-4</v>
      </c>
      <c r="D492" s="968">
        <v>1.2300000000000001E-4</v>
      </c>
      <c r="E492" s="1007">
        <v>53917</v>
      </c>
      <c r="F492" s="1010">
        <v>261047</v>
      </c>
      <c r="G492" s="969">
        <v>159800</v>
      </c>
      <c r="H492" s="969"/>
      <c r="I492" s="970">
        <v>9206</v>
      </c>
      <c r="J492" s="971">
        <v>38799</v>
      </c>
      <c r="K492" s="970">
        <v>22822</v>
      </c>
      <c r="L492" s="969">
        <v>6705</v>
      </c>
      <c r="M492" s="969"/>
      <c r="N492" s="970">
        <v>4523</v>
      </c>
      <c r="O492" s="970">
        <v>0</v>
      </c>
      <c r="P492" s="970">
        <v>0</v>
      </c>
      <c r="Q492" s="969">
        <v>14987</v>
      </c>
      <c r="R492" s="969"/>
      <c r="S492" s="970">
        <v>53853</v>
      </c>
      <c r="T492" s="972">
        <v>-3646</v>
      </c>
      <c r="U492" s="972">
        <v>50207</v>
      </c>
    </row>
    <row r="493" spans="1:21" x14ac:dyDescent="0.25">
      <c r="A493" s="966">
        <v>95181</v>
      </c>
      <c r="B493" s="967" t="s">
        <v>3106</v>
      </c>
      <c r="C493" s="968">
        <v>7.7100000000000004E-5</v>
      </c>
      <c r="D493" s="968">
        <v>7.7899999999999996E-5</v>
      </c>
      <c r="E493" s="1007">
        <v>30099</v>
      </c>
      <c r="F493" s="1010">
        <v>165330</v>
      </c>
      <c r="G493" s="969">
        <v>117787</v>
      </c>
      <c r="H493" s="969"/>
      <c r="I493" s="970">
        <v>6786</v>
      </c>
      <c r="J493" s="971">
        <v>28599</v>
      </c>
      <c r="K493" s="970">
        <v>16822</v>
      </c>
      <c r="L493" s="969">
        <v>1069</v>
      </c>
      <c r="M493" s="969"/>
      <c r="N493" s="970">
        <v>3334</v>
      </c>
      <c r="O493" s="970">
        <v>0</v>
      </c>
      <c r="P493" s="970">
        <v>0</v>
      </c>
      <c r="Q493" s="969">
        <v>9474</v>
      </c>
      <c r="R493" s="969"/>
      <c r="S493" s="970">
        <v>39694</v>
      </c>
      <c r="T493" s="972">
        <v>-2444</v>
      </c>
      <c r="U493" s="972">
        <v>37250</v>
      </c>
    </row>
    <row r="494" spans="1:21" x14ac:dyDescent="0.25">
      <c r="A494" s="966">
        <v>95191</v>
      </c>
      <c r="B494" s="967" t="s">
        <v>3107</v>
      </c>
      <c r="C494" s="968">
        <v>5.3999999999999998E-5</v>
      </c>
      <c r="D494" s="968">
        <v>5.3999999999999998E-5</v>
      </c>
      <c r="E494" s="1007">
        <v>31311</v>
      </c>
      <c r="F494" s="1010">
        <v>114606</v>
      </c>
      <c r="G494" s="969">
        <v>82497</v>
      </c>
      <c r="H494" s="969"/>
      <c r="I494" s="970">
        <v>4753</v>
      </c>
      <c r="J494" s="971">
        <v>20031</v>
      </c>
      <c r="K494" s="970">
        <v>11782</v>
      </c>
      <c r="L494" s="969">
        <v>12522</v>
      </c>
      <c r="M494" s="969"/>
      <c r="N494" s="970">
        <v>2335</v>
      </c>
      <c r="O494" s="970">
        <v>0</v>
      </c>
      <c r="P494" s="970">
        <v>0</v>
      </c>
      <c r="Q494" s="969">
        <v>5293</v>
      </c>
      <c r="R494" s="969"/>
      <c r="S494" s="970">
        <v>27802</v>
      </c>
      <c r="T494" s="972">
        <v>4438</v>
      </c>
      <c r="U494" s="972">
        <v>32240</v>
      </c>
    </row>
    <row r="495" spans="1:21" x14ac:dyDescent="0.25">
      <c r="A495" s="966">
        <v>95201</v>
      </c>
      <c r="B495" s="967" t="s">
        <v>3108</v>
      </c>
      <c r="C495" s="968">
        <v>7.0969999999999996E-4</v>
      </c>
      <c r="D495" s="968">
        <v>6.8329999999999997E-4</v>
      </c>
      <c r="E495" s="1007">
        <v>303949</v>
      </c>
      <c r="F495" s="1010">
        <v>1450192</v>
      </c>
      <c r="G495" s="969">
        <v>1084225</v>
      </c>
      <c r="H495" s="969"/>
      <c r="I495" s="970">
        <v>62461</v>
      </c>
      <c r="J495" s="971">
        <v>263252</v>
      </c>
      <c r="K495" s="970">
        <v>154842</v>
      </c>
      <c r="L495" s="969">
        <v>6474</v>
      </c>
      <c r="M495" s="969"/>
      <c r="N495" s="970">
        <v>30691</v>
      </c>
      <c r="O495" s="970">
        <v>0</v>
      </c>
      <c r="P495" s="970">
        <v>0</v>
      </c>
      <c r="Q495" s="969">
        <v>21158</v>
      </c>
      <c r="R495" s="969"/>
      <c r="S495" s="970">
        <v>365385</v>
      </c>
      <c r="T495" s="972">
        <v>-9663</v>
      </c>
      <c r="U495" s="972">
        <v>355722</v>
      </c>
    </row>
    <row r="496" spans="1:21" x14ac:dyDescent="0.25">
      <c r="A496" s="966">
        <v>95204</v>
      </c>
      <c r="B496" s="967" t="s">
        <v>3109</v>
      </c>
      <c r="C496" s="968">
        <v>1.26E-5</v>
      </c>
      <c r="D496" s="968">
        <v>1.1600000000000001E-5</v>
      </c>
      <c r="E496" s="1007">
        <v>7226</v>
      </c>
      <c r="F496" s="1010">
        <v>24619</v>
      </c>
      <c r="G496" s="969">
        <v>19249</v>
      </c>
      <c r="H496" s="969"/>
      <c r="I496" s="970">
        <v>1109</v>
      </c>
      <c r="J496" s="971">
        <v>4674</v>
      </c>
      <c r="K496" s="970">
        <v>2749</v>
      </c>
      <c r="L496" s="969">
        <v>1824</v>
      </c>
      <c r="M496" s="969"/>
      <c r="N496" s="970">
        <v>545</v>
      </c>
      <c r="O496" s="970">
        <v>0</v>
      </c>
      <c r="P496" s="970">
        <v>0</v>
      </c>
      <c r="Q496" s="969">
        <v>1143</v>
      </c>
      <c r="R496" s="969"/>
      <c r="S496" s="970">
        <v>6487</v>
      </c>
      <c r="T496" s="972">
        <v>-195</v>
      </c>
      <c r="U496" s="972">
        <v>6292</v>
      </c>
    </row>
    <row r="497" spans="1:21" x14ac:dyDescent="0.25">
      <c r="A497" s="966">
        <v>95205</v>
      </c>
      <c r="B497" s="967" t="s">
        <v>3110</v>
      </c>
      <c r="C497" s="968">
        <v>4.5000000000000001E-6</v>
      </c>
      <c r="D497" s="968">
        <v>4.7999999999999998E-6</v>
      </c>
      <c r="E497" s="1007">
        <v>2455</v>
      </c>
      <c r="F497" s="1010">
        <v>10187</v>
      </c>
      <c r="G497" s="969">
        <v>6875</v>
      </c>
      <c r="H497" s="969"/>
      <c r="I497" s="970">
        <v>396</v>
      </c>
      <c r="J497" s="971">
        <v>1669</v>
      </c>
      <c r="K497" s="970">
        <v>982</v>
      </c>
      <c r="L497" s="969">
        <v>605</v>
      </c>
      <c r="M497" s="969"/>
      <c r="N497" s="970">
        <v>195</v>
      </c>
      <c r="O497" s="970">
        <v>0</v>
      </c>
      <c r="P497" s="970">
        <v>0</v>
      </c>
      <c r="Q497" s="969">
        <v>0</v>
      </c>
      <c r="R497" s="969"/>
      <c r="S497" s="970">
        <v>2317</v>
      </c>
      <c r="T497" s="972">
        <v>311</v>
      </c>
      <c r="U497" s="972">
        <v>2628</v>
      </c>
    </row>
    <row r="498" spans="1:21" x14ac:dyDescent="0.25">
      <c r="A498" s="966">
        <v>95211</v>
      </c>
      <c r="B498" s="967" t="s">
        <v>3111</v>
      </c>
      <c r="C498" s="968">
        <v>8.3999999999999992E-6</v>
      </c>
      <c r="D498" s="968">
        <v>9.2E-6</v>
      </c>
      <c r="E498" s="1007">
        <v>4222</v>
      </c>
      <c r="F498" s="1010">
        <v>19525</v>
      </c>
      <c r="G498" s="969">
        <v>12833</v>
      </c>
      <c r="H498" s="969"/>
      <c r="I498" s="970">
        <v>739</v>
      </c>
      <c r="J498" s="971">
        <v>3115</v>
      </c>
      <c r="K498" s="970">
        <v>1833</v>
      </c>
      <c r="L498" s="969">
        <v>1455</v>
      </c>
      <c r="M498" s="969"/>
      <c r="N498" s="970">
        <v>363</v>
      </c>
      <c r="O498" s="970">
        <v>0</v>
      </c>
      <c r="P498" s="970">
        <v>0</v>
      </c>
      <c r="Q498" s="969">
        <v>1231</v>
      </c>
      <c r="R498" s="969"/>
      <c r="S498" s="970">
        <v>4325</v>
      </c>
      <c r="T498" s="972">
        <v>-523</v>
      </c>
      <c r="U498" s="972">
        <v>3802</v>
      </c>
    </row>
    <row r="499" spans="1:21" x14ac:dyDescent="0.25">
      <c r="A499" s="966">
        <v>95221</v>
      </c>
      <c r="B499" s="967" t="s">
        <v>3112</v>
      </c>
      <c r="C499" s="968">
        <v>4.4100000000000001E-5</v>
      </c>
      <c r="D499" s="968">
        <v>1.6900000000000001E-5</v>
      </c>
      <c r="E499" s="1007">
        <v>20361</v>
      </c>
      <c r="F499" s="1010">
        <v>35867</v>
      </c>
      <c r="G499" s="969">
        <v>67373</v>
      </c>
      <c r="H499" s="969"/>
      <c r="I499" s="970">
        <v>3881</v>
      </c>
      <c r="J499" s="971">
        <v>16358</v>
      </c>
      <c r="K499" s="970">
        <v>9622</v>
      </c>
      <c r="L499" s="969">
        <v>21037</v>
      </c>
      <c r="M499" s="969"/>
      <c r="N499" s="970">
        <v>1907</v>
      </c>
      <c r="O499" s="970">
        <v>0</v>
      </c>
      <c r="P499" s="970">
        <v>0</v>
      </c>
      <c r="Q499" s="969">
        <v>11299</v>
      </c>
      <c r="R499" s="969"/>
      <c r="S499" s="970">
        <v>22705</v>
      </c>
      <c r="T499" s="972">
        <v>2535</v>
      </c>
      <c r="U499" s="972">
        <v>25240</v>
      </c>
    </row>
    <row r="500" spans="1:21" x14ac:dyDescent="0.25">
      <c r="A500" s="966">
        <v>95301</v>
      </c>
      <c r="B500" s="967" t="s">
        <v>3113</v>
      </c>
      <c r="C500" s="968">
        <v>2.3917999999999999E-3</v>
      </c>
      <c r="D500" s="968">
        <v>2.4063999999999999E-3</v>
      </c>
      <c r="E500" s="1007">
        <v>1141657</v>
      </c>
      <c r="F500" s="1010">
        <v>5107187</v>
      </c>
      <c r="G500" s="969">
        <v>3654008</v>
      </c>
      <c r="H500" s="969"/>
      <c r="I500" s="970">
        <v>210505</v>
      </c>
      <c r="J500" s="971">
        <v>887197</v>
      </c>
      <c r="K500" s="970">
        <v>521843</v>
      </c>
      <c r="L500" s="969">
        <v>73478</v>
      </c>
      <c r="M500" s="969"/>
      <c r="N500" s="970">
        <v>103433</v>
      </c>
      <c r="O500" s="970">
        <v>0</v>
      </c>
      <c r="P500" s="970">
        <v>0</v>
      </c>
      <c r="Q500" s="969">
        <v>11228</v>
      </c>
      <c r="R500" s="969"/>
      <c r="S500" s="970">
        <v>1231404</v>
      </c>
      <c r="T500" s="972">
        <v>19362</v>
      </c>
      <c r="U500" s="972">
        <f>1250765+1</f>
        <v>1250766</v>
      </c>
    </row>
    <row r="501" spans="1:21" x14ac:dyDescent="0.25">
      <c r="A501" s="966">
        <v>95311</v>
      </c>
      <c r="B501" s="967" t="s">
        <v>3114</v>
      </c>
      <c r="C501" s="968">
        <v>2.6873999999999999E-3</v>
      </c>
      <c r="D501" s="968">
        <v>2.6841999999999999E-3</v>
      </c>
      <c r="E501" s="1007">
        <v>1275634</v>
      </c>
      <c r="F501" s="1010">
        <v>5696772</v>
      </c>
      <c r="G501" s="969">
        <v>4105603</v>
      </c>
      <c r="H501" s="969"/>
      <c r="I501" s="970">
        <v>236521</v>
      </c>
      <c r="J501" s="971">
        <v>996846</v>
      </c>
      <c r="K501" s="970">
        <v>586337</v>
      </c>
      <c r="L501" s="969">
        <v>41083</v>
      </c>
      <c r="M501" s="969"/>
      <c r="N501" s="970">
        <v>116217</v>
      </c>
      <c r="O501" s="970">
        <v>0</v>
      </c>
      <c r="P501" s="970">
        <v>0</v>
      </c>
      <c r="Q501" s="969">
        <v>117171</v>
      </c>
      <c r="R501" s="969"/>
      <c r="S501" s="970">
        <v>1383592</v>
      </c>
      <c r="T501" s="972">
        <v>-46704</v>
      </c>
      <c r="U501" s="972">
        <v>1336888</v>
      </c>
    </row>
    <row r="502" spans="1:21" x14ac:dyDescent="0.25">
      <c r="A502" s="966">
        <v>95317</v>
      </c>
      <c r="B502" s="967" t="s">
        <v>3115</v>
      </c>
      <c r="C502" s="968">
        <v>4.8900000000000003E-5</v>
      </c>
      <c r="D502" s="968">
        <v>5.1400000000000003E-5</v>
      </c>
      <c r="E502" s="1007">
        <v>27511</v>
      </c>
      <c r="F502" s="1010">
        <v>109088</v>
      </c>
      <c r="G502" s="969">
        <v>74706</v>
      </c>
      <c r="H502" s="969"/>
      <c r="I502" s="970">
        <v>4304</v>
      </c>
      <c r="J502" s="971">
        <v>18138</v>
      </c>
      <c r="K502" s="970">
        <v>10669</v>
      </c>
      <c r="L502" s="969">
        <v>6328</v>
      </c>
      <c r="M502" s="969"/>
      <c r="N502" s="970">
        <v>2115</v>
      </c>
      <c r="O502" s="970">
        <v>0</v>
      </c>
      <c r="P502" s="970">
        <v>0</v>
      </c>
      <c r="Q502" s="969">
        <v>38</v>
      </c>
      <c r="R502" s="969"/>
      <c r="S502" s="970">
        <v>25176</v>
      </c>
      <c r="T502" s="972">
        <v>2474</v>
      </c>
      <c r="U502" s="972">
        <v>27650</v>
      </c>
    </row>
    <row r="503" spans="1:21" x14ac:dyDescent="0.25">
      <c r="A503" s="966">
        <v>95321</v>
      </c>
      <c r="B503" s="967" t="s">
        <v>3116</v>
      </c>
      <c r="C503" s="968">
        <v>4.71E-5</v>
      </c>
      <c r="D503" s="968">
        <v>5.7000000000000003E-5</v>
      </c>
      <c r="E503" s="1007">
        <v>27222</v>
      </c>
      <c r="F503" s="1010">
        <v>120973</v>
      </c>
      <c r="G503" s="969">
        <v>71956</v>
      </c>
      <c r="H503" s="969"/>
      <c r="I503" s="970">
        <v>4145</v>
      </c>
      <c r="J503" s="971">
        <v>17471</v>
      </c>
      <c r="K503" s="970">
        <v>10276</v>
      </c>
      <c r="L503" s="969">
        <v>3087</v>
      </c>
      <c r="M503" s="969"/>
      <c r="N503" s="970">
        <v>2037</v>
      </c>
      <c r="O503" s="970">
        <v>0</v>
      </c>
      <c r="P503" s="970">
        <v>0</v>
      </c>
      <c r="Q503" s="969">
        <v>2158</v>
      </c>
      <c r="R503" s="969"/>
      <c r="S503" s="970">
        <v>24249</v>
      </c>
      <c r="T503" s="972">
        <v>1089</v>
      </c>
      <c r="U503" s="972">
        <v>25338</v>
      </c>
    </row>
    <row r="504" spans="1:21" x14ac:dyDescent="0.25">
      <c r="A504" s="966">
        <v>95401</v>
      </c>
      <c r="B504" s="967" t="s">
        <v>3117</v>
      </c>
      <c r="C504" s="968">
        <v>2.9992E-3</v>
      </c>
      <c r="D504" s="968">
        <v>2.9979999999999998E-3</v>
      </c>
      <c r="E504" s="1007">
        <v>1351002</v>
      </c>
      <c r="F504" s="1010">
        <v>6362760</v>
      </c>
      <c r="G504" s="969">
        <v>4581947</v>
      </c>
      <c r="H504" s="969"/>
      <c r="I504" s="970">
        <v>263963</v>
      </c>
      <c r="J504" s="971">
        <v>1112502</v>
      </c>
      <c r="K504" s="970">
        <v>654365</v>
      </c>
      <c r="L504" s="969">
        <v>27695</v>
      </c>
      <c r="M504" s="969"/>
      <c r="N504" s="970">
        <v>129700</v>
      </c>
      <c r="O504" s="970">
        <v>0</v>
      </c>
      <c r="P504" s="970">
        <v>0</v>
      </c>
      <c r="Q504" s="969">
        <v>19902</v>
      </c>
      <c r="R504" s="969"/>
      <c r="S504" s="970">
        <v>1544120</v>
      </c>
      <c r="T504" s="972">
        <v>10089</v>
      </c>
      <c r="U504" s="972">
        <v>1554209</v>
      </c>
    </row>
    <row r="505" spans="1:21" x14ac:dyDescent="0.25">
      <c r="A505" s="966">
        <v>95404</v>
      </c>
      <c r="B505" s="967" t="s">
        <v>3118</v>
      </c>
      <c r="C505" s="968">
        <v>5.3100000000000003E-5</v>
      </c>
      <c r="D505" s="968">
        <v>4.9799999999999998E-5</v>
      </c>
      <c r="E505" s="1007">
        <v>22123</v>
      </c>
      <c r="F505" s="1010">
        <v>105692</v>
      </c>
      <c r="G505" s="969">
        <v>81122</v>
      </c>
      <c r="H505" s="969"/>
      <c r="I505" s="970">
        <v>4673</v>
      </c>
      <c r="J505" s="971">
        <v>19697</v>
      </c>
      <c r="K505" s="970">
        <v>11585</v>
      </c>
      <c r="L505" s="969">
        <v>5158</v>
      </c>
      <c r="M505" s="969"/>
      <c r="N505" s="970">
        <v>2296</v>
      </c>
      <c r="O505" s="970">
        <v>0</v>
      </c>
      <c r="P505" s="970">
        <v>0</v>
      </c>
      <c r="Q505" s="969">
        <v>0</v>
      </c>
      <c r="R505" s="969"/>
      <c r="S505" s="970">
        <v>27338</v>
      </c>
      <c r="T505" s="972">
        <v>1949</v>
      </c>
      <c r="U505" s="972">
        <v>29287</v>
      </c>
    </row>
    <row r="506" spans="1:21" x14ac:dyDescent="0.25">
      <c r="A506" s="966">
        <v>95405</v>
      </c>
      <c r="B506" s="967" t="s">
        <v>3119</v>
      </c>
      <c r="C506" s="968">
        <v>1.84E-5</v>
      </c>
      <c r="D506" s="968">
        <v>1.84E-5</v>
      </c>
      <c r="E506" s="1007">
        <v>17053</v>
      </c>
      <c r="F506" s="1010">
        <v>39051</v>
      </c>
      <c r="G506" s="969">
        <v>28110</v>
      </c>
      <c r="H506" s="969"/>
      <c r="I506" s="970">
        <v>1619</v>
      </c>
      <c r="J506" s="971">
        <v>6826</v>
      </c>
      <c r="K506" s="970">
        <v>4015</v>
      </c>
      <c r="L506" s="969">
        <v>15544</v>
      </c>
      <c r="M506" s="969"/>
      <c r="N506" s="970">
        <v>796</v>
      </c>
      <c r="O506" s="970">
        <v>0</v>
      </c>
      <c r="P506" s="970">
        <v>0</v>
      </c>
      <c r="Q506" s="969">
        <v>0</v>
      </c>
      <c r="R506" s="969"/>
      <c r="S506" s="970">
        <v>9473</v>
      </c>
      <c r="T506" s="972">
        <v>5475</v>
      </c>
      <c r="U506" s="972">
        <v>14948</v>
      </c>
    </row>
    <row r="507" spans="1:21" x14ac:dyDescent="0.25">
      <c r="A507" s="966">
        <v>95411</v>
      </c>
      <c r="B507" s="967" t="s">
        <v>3120</v>
      </c>
      <c r="C507" s="968">
        <v>2.2173000000000002E-3</v>
      </c>
      <c r="D507" s="968">
        <v>2.3272000000000002E-3</v>
      </c>
      <c r="E507" s="1007">
        <v>1058017</v>
      </c>
      <c r="F507" s="1010">
        <v>4939098</v>
      </c>
      <c r="G507" s="969">
        <v>3387420</v>
      </c>
      <c r="H507" s="969"/>
      <c r="I507" s="970">
        <v>195147</v>
      </c>
      <c r="J507" s="971">
        <v>822470</v>
      </c>
      <c r="K507" s="970">
        <v>483771</v>
      </c>
      <c r="L507" s="969">
        <v>14015</v>
      </c>
      <c r="M507" s="969"/>
      <c r="N507" s="970">
        <v>95887</v>
      </c>
      <c r="O507" s="970">
        <v>0</v>
      </c>
      <c r="P507" s="970">
        <v>0</v>
      </c>
      <c r="Q507" s="969">
        <v>60237</v>
      </c>
      <c r="R507" s="969"/>
      <c r="S507" s="970">
        <v>1141564</v>
      </c>
      <c r="T507" s="972">
        <v>-23907</v>
      </c>
      <c r="U507" s="972">
        <f>1117656+1</f>
        <v>1117657</v>
      </c>
    </row>
    <row r="508" spans="1:21" x14ac:dyDescent="0.25">
      <c r="A508" s="966">
        <v>95412</v>
      </c>
      <c r="B508" s="967" t="s">
        <v>3121</v>
      </c>
      <c r="C508" s="968">
        <v>0</v>
      </c>
      <c r="D508" s="968">
        <v>0</v>
      </c>
      <c r="E508" s="1007">
        <v>0</v>
      </c>
      <c r="F508" s="1010">
        <v>0</v>
      </c>
      <c r="G508" s="969">
        <v>0</v>
      </c>
      <c r="H508" s="969"/>
      <c r="I508" s="970">
        <v>0</v>
      </c>
      <c r="J508" s="971">
        <v>0</v>
      </c>
      <c r="K508" s="970">
        <v>0</v>
      </c>
      <c r="L508" s="969">
        <v>0</v>
      </c>
      <c r="M508" s="969"/>
      <c r="N508" s="970">
        <v>0</v>
      </c>
      <c r="O508" s="970">
        <v>0</v>
      </c>
      <c r="P508" s="970">
        <v>0</v>
      </c>
      <c r="Q508" s="969">
        <v>27831</v>
      </c>
      <c r="R508" s="969"/>
      <c r="S508" s="970">
        <v>0</v>
      </c>
      <c r="T508" s="972">
        <v>-18518</v>
      </c>
      <c r="U508" s="972">
        <v>-18518</v>
      </c>
    </row>
    <row r="509" spans="1:21" x14ac:dyDescent="0.25">
      <c r="A509" s="966">
        <v>95413</v>
      </c>
      <c r="B509" s="967" t="s">
        <v>3122</v>
      </c>
      <c r="C509" s="968">
        <v>2.5809999999999999E-4</v>
      </c>
      <c r="D509" s="968">
        <v>2.945E-4</v>
      </c>
      <c r="E509" s="1007">
        <v>285392</v>
      </c>
      <c r="F509" s="1010">
        <v>625028</v>
      </c>
      <c r="G509" s="969">
        <v>394305</v>
      </c>
      <c r="H509" s="969"/>
      <c r="I509" s="970">
        <v>22716</v>
      </c>
      <c r="J509" s="971">
        <v>95737</v>
      </c>
      <c r="K509" s="970">
        <v>56312</v>
      </c>
      <c r="L509" s="969">
        <v>247679</v>
      </c>
      <c r="M509" s="969"/>
      <c r="N509" s="970">
        <v>11162</v>
      </c>
      <c r="O509" s="970">
        <v>0</v>
      </c>
      <c r="P509" s="970">
        <v>0</v>
      </c>
      <c r="Q509" s="969">
        <v>9401</v>
      </c>
      <c r="R509" s="969"/>
      <c r="S509" s="970">
        <v>132881</v>
      </c>
      <c r="T509" s="972">
        <v>77340</v>
      </c>
      <c r="U509" s="972">
        <v>210221</v>
      </c>
    </row>
    <row r="510" spans="1:21" x14ac:dyDescent="0.25">
      <c r="A510" s="966">
        <v>95415</v>
      </c>
      <c r="B510" s="967" t="s">
        <v>3123</v>
      </c>
      <c r="C510" s="968">
        <v>6.2899999999999997E-5</v>
      </c>
      <c r="D510" s="968">
        <v>7.9499999999999994E-5</v>
      </c>
      <c r="E510" s="1007">
        <v>28158</v>
      </c>
      <c r="F510" s="1010">
        <v>168726</v>
      </c>
      <c r="G510" s="969">
        <v>96094</v>
      </c>
      <c r="H510" s="969"/>
      <c r="I510" s="970">
        <v>5536</v>
      </c>
      <c r="J510" s="971">
        <v>23331</v>
      </c>
      <c r="K510" s="970">
        <v>13724</v>
      </c>
      <c r="L510" s="969">
        <v>5301</v>
      </c>
      <c r="M510" s="969"/>
      <c r="N510" s="970">
        <v>2720</v>
      </c>
      <c r="O510" s="970">
        <v>0</v>
      </c>
      <c r="P510" s="970">
        <v>0</v>
      </c>
      <c r="Q510" s="969">
        <v>16874</v>
      </c>
      <c r="R510" s="969"/>
      <c r="S510" s="970">
        <v>32384</v>
      </c>
      <c r="T510" s="972">
        <v>-165</v>
      </c>
      <c r="U510" s="972">
        <v>32219</v>
      </c>
    </row>
    <row r="511" spans="1:21" x14ac:dyDescent="0.25">
      <c r="A511" s="966">
        <v>95421</v>
      </c>
      <c r="B511" s="967" t="s">
        <v>3124</v>
      </c>
      <c r="C511" s="968">
        <v>3.8699999999999999E-5</v>
      </c>
      <c r="D511" s="968">
        <v>3.9100000000000002E-5</v>
      </c>
      <c r="E511" s="1007">
        <v>18385</v>
      </c>
      <c r="F511" s="1010">
        <v>82983</v>
      </c>
      <c r="G511" s="969">
        <v>59123</v>
      </c>
      <c r="H511" s="969"/>
      <c r="I511" s="970">
        <v>3406</v>
      </c>
      <c r="J511" s="971">
        <v>14355</v>
      </c>
      <c r="K511" s="970">
        <v>8444</v>
      </c>
      <c r="L511" s="969">
        <v>226</v>
      </c>
      <c r="M511" s="969"/>
      <c r="N511" s="970">
        <v>1674</v>
      </c>
      <c r="O511" s="970">
        <v>0</v>
      </c>
      <c r="P511" s="970">
        <v>0</v>
      </c>
      <c r="Q511" s="969">
        <v>9353</v>
      </c>
      <c r="R511" s="969"/>
      <c r="S511" s="970">
        <v>19924</v>
      </c>
      <c r="T511" s="972">
        <v>-4913</v>
      </c>
      <c r="U511" s="972">
        <f>15012-1</f>
        <v>15011</v>
      </c>
    </row>
    <row r="512" spans="1:21" x14ac:dyDescent="0.25">
      <c r="A512" s="966">
        <v>95431</v>
      </c>
      <c r="B512" s="967" t="s">
        <v>3125</v>
      </c>
      <c r="C512" s="968">
        <v>1.5300000000000001E-4</v>
      </c>
      <c r="D512" s="968">
        <v>1.8009999999999999E-4</v>
      </c>
      <c r="E512" s="1007">
        <v>61885</v>
      </c>
      <c r="F512" s="1010">
        <v>382233</v>
      </c>
      <c r="G512" s="969">
        <v>233742</v>
      </c>
      <c r="H512" s="969"/>
      <c r="I512" s="970">
        <v>13466</v>
      </c>
      <c r="J512" s="971">
        <v>56753</v>
      </c>
      <c r="K512" s="970">
        <v>33382</v>
      </c>
      <c r="L512" s="969">
        <v>224</v>
      </c>
      <c r="M512" s="969"/>
      <c r="N512" s="970">
        <v>6616</v>
      </c>
      <c r="O512" s="970">
        <v>0</v>
      </c>
      <c r="P512" s="970">
        <v>0</v>
      </c>
      <c r="Q512" s="969">
        <v>34003</v>
      </c>
      <c r="R512" s="969"/>
      <c r="S512" s="970">
        <v>78771</v>
      </c>
      <c r="T512" s="972">
        <v>-9919</v>
      </c>
      <c r="U512" s="972">
        <v>68852</v>
      </c>
    </row>
    <row r="513" spans="1:21" x14ac:dyDescent="0.25">
      <c r="A513" s="966">
        <v>95501</v>
      </c>
      <c r="B513" s="967" t="s">
        <v>3126</v>
      </c>
      <c r="C513" s="968">
        <v>4.8764999999999998E-3</v>
      </c>
      <c r="D513" s="968">
        <v>4.7917999999999997E-3</v>
      </c>
      <c r="E513" s="1007">
        <v>2104813</v>
      </c>
      <c r="F513" s="1010">
        <v>10169805</v>
      </c>
      <c r="G513" s="969">
        <v>7449941</v>
      </c>
      <c r="H513" s="969"/>
      <c r="I513" s="970">
        <v>429186</v>
      </c>
      <c r="J513" s="971">
        <v>1808855</v>
      </c>
      <c r="K513" s="970">
        <v>1063955</v>
      </c>
      <c r="L513" s="969">
        <v>31695</v>
      </c>
      <c r="M513" s="969"/>
      <c r="N513" s="970">
        <v>210884</v>
      </c>
      <c r="O513" s="970">
        <v>0</v>
      </c>
      <c r="P513" s="970">
        <v>0</v>
      </c>
      <c r="Q513" s="969">
        <v>124610</v>
      </c>
      <c r="R513" s="969"/>
      <c r="S513" s="970">
        <v>2510637</v>
      </c>
      <c r="T513" s="972">
        <v>-8646</v>
      </c>
      <c r="U513" s="972">
        <v>2501991</v>
      </c>
    </row>
    <row r="514" spans="1:21" x14ac:dyDescent="0.25">
      <c r="A514" s="966">
        <v>95504</v>
      </c>
      <c r="B514" s="967" t="s">
        <v>3127</v>
      </c>
      <c r="C514" s="968">
        <v>9.3999999999999998E-6</v>
      </c>
      <c r="D514" s="968">
        <v>8.8999999999999995E-6</v>
      </c>
      <c r="E514" s="1007">
        <v>9297</v>
      </c>
      <c r="F514" s="1010">
        <v>18889</v>
      </c>
      <c r="G514" s="969">
        <v>14361</v>
      </c>
      <c r="H514" s="969"/>
      <c r="I514" s="970">
        <v>827</v>
      </c>
      <c r="J514" s="971">
        <v>3487</v>
      </c>
      <c r="K514" s="970">
        <v>2051</v>
      </c>
      <c r="L514" s="969">
        <v>7912</v>
      </c>
      <c r="M514" s="969"/>
      <c r="N514" s="970">
        <v>407</v>
      </c>
      <c r="O514" s="970">
        <v>0</v>
      </c>
      <c r="P514" s="970">
        <v>0</v>
      </c>
      <c r="Q514" s="969">
        <v>0</v>
      </c>
      <c r="R514" s="969"/>
      <c r="S514" s="970">
        <v>4840</v>
      </c>
      <c r="T514" s="972">
        <v>2952</v>
      </c>
      <c r="U514" s="972">
        <f>7791+1</f>
        <v>7792</v>
      </c>
    </row>
    <row r="515" spans="1:21" x14ac:dyDescent="0.25">
      <c r="A515" s="966">
        <v>95511</v>
      </c>
      <c r="B515" s="967" t="s">
        <v>3128</v>
      </c>
      <c r="C515" s="968">
        <v>9.7460000000000005E-4</v>
      </c>
      <c r="D515" s="968">
        <v>9.6049999999999998E-4</v>
      </c>
      <c r="E515" s="1007">
        <v>484188</v>
      </c>
      <c r="F515" s="1010">
        <v>2038503</v>
      </c>
      <c r="G515" s="969">
        <v>1488919</v>
      </c>
      <c r="H515" s="969"/>
      <c r="I515" s="970">
        <v>85776</v>
      </c>
      <c r="J515" s="971">
        <v>361511</v>
      </c>
      <c r="K515" s="970">
        <v>212638</v>
      </c>
      <c r="L515" s="969">
        <v>44242</v>
      </c>
      <c r="M515" s="969"/>
      <c r="N515" s="970">
        <v>42147</v>
      </c>
      <c r="O515" s="970">
        <v>0</v>
      </c>
      <c r="P515" s="970">
        <v>0</v>
      </c>
      <c r="Q515" s="969">
        <v>52155</v>
      </c>
      <c r="R515" s="969"/>
      <c r="S515" s="970">
        <v>501767</v>
      </c>
      <c r="T515" s="972">
        <v>-4607</v>
      </c>
      <c r="U515" s="972">
        <v>497160</v>
      </c>
    </row>
    <row r="516" spans="1:21" x14ac:dyDescent="0.25">
      <c r="A516" s="966">
        <v>95513</v>
      </c>
      <c r="B516" s="967" t="s">
        <v>3129</v>
      </c>
      <c r="C516" s="968">
        <v>4.6699999999999997E-5</v>
      </c>
      <c r="D516" s="968">
        <v>4.5500000000000001E-5</v>
      </c>
      <c r="E516" s="1007">
        <v>31793</v>
      </c>
      <c r="F516" s="1010">
        <v>96566</v>
      </c>
      <c r="G516" s="969">
        <v>71345</v>
      </c>
      <c r="H516" s="969"/>
      <c r="I516" s="970">
        <v>4110</v>
      </c>
      <c r="J516" s="971">
        <v>17322</v>
      </c>
      <c r="K516" s="970">
        <v>10189</v>
      </c>
      <c r="L516" s="969">
        <v>21773</v>
      </c>
      <c r="M516" s="969"/>
      <c r="N516" s="970">
        <v>2020</v>
      </c>
      <c r="O516" s="970">
        <v>0</v>
      </c>
      <c r="P516" s="970">
        <v>0</v>
      </c>
      <c r="Q516" s="969">
        <v>0</v>
      </c>
      <c r="R516" s="969"/>
      <c r="S516" s="970">
        <v>24043</v>
      </c>
      <c r="T516" s="972">
        <v>9103</v>
      </c>
      <c r="U516" s="972">
        <v>33146</v>
      </c>
    </row>
    <row r="517" spans="1:21" x14ac:dyDescent="0.25">
      <c r="A517" s="966">
        <v>95517</v>
      </c>
      <c r="B517" s="967" t="s">
        <v>3130</v>
      </c>
      <c r="C517" s="968">
        <v>2.4499999999999999E-5</v>
      </c>
      <c r="D517" s="968">
        <v>1.66E-5</v>
      </c>
      <c r="E517" s="1007">
        <v>15695</v>
      </c>
      <c r="F517" s="1010">
        <v>35231</v>
      </c>
      <c r="G517" s="969">
        <v>37429</v>
      </c>
      <c r="H517" s="969"/>
      <c r="I517" s="970">
        <v>2156</v>
      </c>
      <c r="J517" s="971">
        <v>9087</v>
      </c>
      <c r="K517" s="970">
        <v>5345</v>
      </c>
      <c r="L517" s="969">
        <v>17989</v>
      </c>
      <c r="M517" s="969"/>
      <c r="N517" s="970">
        <v>1060</v>
      </c>
      <c r="O517" s="970">
        <v>0</v>
      </c>
      <c r="P517" s="970">
        <v>0</v>
      </c>
      <c r="Q517" s="969">
        <v>0</v>
      </c>
      <c r="R517" s="969"/>
      <c r="S517" s="970">
        <v>12614</v>
      </c>
      <c r="T517" s="972">
        <v>6544</v>
      </c>
      <c r="U517" s="972">
        <v>19158</v>
      </c>
    </row>
    <row r="518" spans="1:21" x14ac:dyDescent="0.25">
      <c r="A518" s="966">
        <v>95601</v>
      </c>
      <c r="B518" s="967" t="s">
        <v>3131</v>
      </c>
      <c r="C518" s="968">
        <v>2.6280000000000001E-3</v>
      </c>
      <c r="D518" s="968">
        <v>2.6592999999999999E-3</v>
      </c>
      <c r="E518" s="1007">
        <v>1208853</v>
      </c>
      <c r="F518" s="1010">
        <v>5643925</v>
      </c>
      <c r="G518" s="969">
        <v>4014856</v>
      </c>
      <c r="H518" s="969"/>
      <c r="I518" s="970">
        <v>231293</v>
      </c>
      <c r="J518" s="971">
        <v>974812</v>
      </c>
      <c r="K518" s="970">
        <v>573377</v>
      </c>
      <c r="L518" s="969">
        <v>85590</v>
      </c>
      <c r="M518" s="969"/>
      <c r="N518" s="970">
        <v>113648</v>
      </c>
      <c r="O518" s="970">
        <v>0</v>
      </c>
      <c r="P518" s="970">
        <v>0</v>
      </c>
      <c r="Q518" s="969">
        <v>19082</v>
      </c>
      <c r="R518" s="969"/>
      <c r="S518" s="970">
        <v>1353010</v>
      </c>
      <c r="T518" s="972">
        <v>47697</v>
      </c>
      <c r="U518" s="972">
        <v>1400707</v>
      </c>
    </row>
    <row r="519" spans="1:21" x14ac:dyDescent="0.25">
      <c r="A519" s="966">
        <v>95611</v>
      </c>
      <c r="B519" s="967" t="s">
        <v>3132</v>
      </c>
      <c r="C519" s="968">
        <v>4.0660000000000002E-4</v>
      </c>
      <c r="D519" s="968">
        <v>3.9540000000000002E-4</v>
      </c>
      <c r="E519" s="1007">
        <v>186384</v>
      </c>
      <c r="F519" s="1010">
        <v>839171</v>
      </c>
      <c r="G519" s="969">
        <v>621172</v>
      </c>
      <c r="H519" s="969"/>
      <c r="I519" s="970">
        <v>35785</v>
      </c>
      <c r="J519" s="971">
        <v>150821</v>
      </c>
      <c r="K519" s="970">
        <v>88712</v>
      </c>
      <c r="L519" s="969">
        <v>8653</v>
      </c>
      <c r="M519" s="969"/>
      <c r="N519" s="970">
        <v>17583</v>
      </c>
      <c r="O519" s="970">
        <v>0</v>
      </c>
      <c r="P519" s="970">
        <v>0</v>
      </c>
      <c r="Q519" s="969">
        <v>3649</v>
      </c>
      <c r="R519" s="969"/>
      <c r="S519" s="970">
        <v>209336</v>
      </c>
      <c r="T519" s="972">
        <v>1212</v>
      </c>
      <c r="U519" s="972">
        <f>210547+1</f>
        <v>210548</v>
      </c>
    </row>
    <row r="520" spans="1:21" x14ac:dyDescent="0.25">
      <c r="A520" s="966">
        <v>95617</v>
      </c>
      <c r="B520" s="967" t="s">
        <v>3133</v>
      </c>
      <c r="C520" s="968">
        <v>1.6399999999999999E-5</v>
      </c>
      <c r="D520" s="968">
        <v>1.6500000000000001E-5</v>
      </c>
      <c r="E520" s="1007">
        <v>8201</v>
      </c>
      <c r="F520" s="1010">
        <v>35019</v>
      </c>
      <c r="G520" s="969">
        <v>25055</v>
      </c>
      <c r="H520" s="969"/>
      <c r="I520" s="970">
        <v>1443</v>
      </c>
      <c r="J520" s="971">
        <v>6084</v>
      </c>
      <c r="K520" s="970">
        <v>3578</v>
      </c>
      <c r="L520" s="969">
        <v>722</v>
      </c>
      <c r="M520" s="969"/>
      <c r="N520" s="970">
        <v>709</v>
      </c>
      <c r="O520" s="970">
        <v>0</v>
      </c>
      <c r="P520" s="970">
        <v>0</v>
      </c>
      <c r="Q520" s="969">
        <v>1277</v>
      </c>
      <c r="R520" s="969"/>
      <c r="S520" s="970">
        <v>8443</v>
      </c>
      <c r="T520" s="972">
        <v>-659</v>
      </c>
      <c r="U520" s="972">
        <v>7784</v>
      </c>
    </row>
    <row r="521" spans="1:21" x14ac:dyDescent="0.25">
      <c r="A521" s="966">
        <v>95621</v>
      </c>
      <c r="B521" s="967" t="s">
        <v>3134</v>
      </c>
      <c r="C521" s="968">
        <v>4.5360000000000002E-4</v>
      </c>
      <c r="D521" s="968">
        <v>4.8020000000000002E-4</v>
      </c>
      <c r="E521" s="1007">
        <v>227836</v>
      </c>
      <c r="F521" s="1010">
        <v>1019145</v>
      </c>
      <c r="G521" s="969">
        <v>692975</v>
      </c>
      <c r="H521" s="969"/>
      <c r="I521" s="970">
        <v>39922</v>
      </c>
      <c r="J521" s="971">
        <v>168255</v>
      </c>
      <c r="K521" s="970">
        <v>98966</v>
      </c>
      <c r="L521" s="969">
        <v>3166</v>
      </c>
      <c r="M521" s="969"/>
      <c r="N521" s="970">
        <v>19616</v>
      </c>
      <c r="O521" s="970">
        <v>0</v>
      </c>
      <c r="P521" s="970">
        <v>0</v>
      </c>
      <c r="Q521" s="969">
        <v>4423</v>
      </c>
      <c r="R521" s="969"/>
      <c r="S521" s="970">
        <v>233533</v>
      </c>
      <c r="T521" s="972">
        <v>1481</v>
      </c>
      <c r="U521" s="972">
        <f>235015-1</f>
        <v>235014</v>
      </c>
    </row>
    <row r="522" spans="1:21" x14ac:dyDescent="0.25">
      <c r="A522" s="966">
        <v>95701</v>
      </c>
      <c r="B522" s="967" t="s">
        <v>3135</v>
      </c>
      <c r="C522" s="968">
        <v>1.3747E-3</v>
      </c>
      <c r="D522" s="968">
        <v>1.291E-3</v>
      </c>
      <c r="E522" s="1007">
        <v>600622</v>
      </c>
      <c r="F522" s="1010">
        <v>2739934</v>
      </c>
      <c r="G522" s="969">
        <v>2100161</v>
      </c>
      <c r="H522" s="969"/>
      <c r="I522" s="970">
        <v>120989</v>
      </c>
      <c r="J522" s="971">
        <v>509922</v>
      </c>
      <c r="K522" s="970">
        <v>299932</v>
      </c>
      <c r="L522" s="969">
        <v>62898</v>
      </c>
      <c r="M522" s="969"/>
      <c r="N522" s="970">
        <v>59449</v>
      </c>
      <c r="O522" s="970">
        <v>0</v>
      </c>
      <c r="P522" s="970">
        <v>0</v>
      </c>
      <c r="Q522" s="969">
        <v>0</v>
      </c>
      <c r="R522" s="969"/>
      <c r="S522" s="970">
        <v>707756</v>
      </c>
      <c r="T522" s="972">
        <v>28646</v>
      </c>
      <c r="U522" s="972">
        <v>736402</v>
      </c>
    </row>
    <row r="523" spans="1:21" x14ac:dyDescent="0.25">
      <c r="A523" s="966">
        <v>95711</v>
      </c>
      <c r="B523" s="967" t="s">
        <v>3136</v>
      </c>
      <c r="C523" s="968">
        <v>1.394E-4</v>
      </c>
      <c r="D523" s="968">
        <v>1.382E-4</v>
      </c>
      <c r="E523" s="1007">
        <v>55785</v>
      </c>
      <c r="F523" s="1010">
        <v>293307</v>
      </c>
      <c r="G523" s="969">
        <v>212965</v>
      </c>
      <c r="H523" s="969"/>
      <c r="I523" s="970">
        <v>12269</v>
      </c>
      <c r="J523" s="971">
        <v>51708</v>
      </c>
      <c r="K523" s="970">
        <v>30414</v>
      </c>
      <c r="L523" s="969">
        <v>6056</v>
      </c>
      <c r="M523" s="969"/>
      <c r="N523" s="970">
        <v>6028</v>
      </c>
      <c r="O523" s="970">
        <v>0</v>
      </c>
      <c r="P523" s="970">
        <v>0</v>
      </c>
      <c r="Q523" s="969">
        <v>5836</v>
      </c>
      <c r="R523" s="969"/>
      <c r="S523" s="970">
        <v>71769</v>
      </c>
      <c r="T523" s="972">
        <v>1663</v>
      </c>
      <c r="U523" s="972">
        <v>73432</v>
      </c>
    </row>
    <row r="524" spans="1:21" x14ac:dyDescent="0.25">
      <c r="A524" s="966">
        <v>95721</v>
      </c>
      <c r="B524" s="967" t="s">
        <v>3137</v>
      </c>
      <c r="C524" s="968">
        <v>6.7600000000000003E-5</v>
      </c>
      <c r="D524" s="968">
        <v>6.6199999999999996E-5</v>
      </c>
      <c r="E524" s="1007">
        <v>25093</v>
      </c>
      <c r="F524" s="1010">
        <v>140499</v>
      </c>
      <c r="G524" s="969">
        <v>103274</v>
      </c>
      <c r="H524" s="969"/>
      <c r="I524" s="970">
        <v>5950</v>
      </c>
      <c r="J524" s="971">
        <v>25075</v>
      </c>
      <c r="K524" s="970">
        <v>14749</v>
      </c>
      <c r="L524" s="969">
        <v>0</v>
      </c>
      <c r="M524" s="969"/>
      <c r="N524" s="970">
        <v>2923</v>
      </c>
      <c r="O524" s="970">
        <v>0</v>
      </c>
      <c r="P524" s="970">
        <v>0</v>
      </c>
      <c r="Q524" s="969">
        <v>9622</v>
      </c>
      <c r="R524" s="969"/>
      <c r="S524" s="970">
        <v>34803</v>
      </c>
      <c r="T524" s="972">
        <v>-4619</v>
      </c>
      <c r="U524" s="972">
        <f>30185-1</f>
        <v>30184</v>
      </c>
    </row>
    <row r="525" spans="1:21" x14ac:dyDescent="0.25">
      <c r="A525" s="966">
        <v>95733</v>
      </c>
      <c r="B525" s="967" t="s">
        <v>3138</v>
      </c>
      <c r="C525" s="968">
        <v>1.5400000000000002E-5</v>
      </c>
      <c r="D525" s="968">
        <v>1.56E-5</v>
      </c>
      <c r="E525" s="1007">
        <v>6898</v>
      </c>
      <c r="F525" s="1010">
        <v>33108</v>
      </c>
      <c r="G525" s="969">
        <v>23527</v>
      </c>
      <c r="H525" s="969"/>
      <c r="I525" s="970">
        <v>1355</v>
      </c>
      <c r="J525" s="971">
        <v>5712</v>
      </c>
      <c r="K525" s="970">
        <v>3360</v>
      </c>
      <c r="L525" s="969">
        <v>581</v>
      </c>
      <c r="M525" s="969"/>
      <c r="N525" s="970">
        <v>666</v>
      </c>
      <c r="O525" s="970">
        <v>0</v>
      </c>
      <c r="P525" s="970">
        <v>0</v>
      </c>
      <c r="Q525" s="969">
        <v>464</v>
      </c>
      <c r="R525" s="969"/>
      <c r="S525" s="970">
        <v>7929</v>
      </c>
      <c r="T525" s="972">
        <v>209</v>
      </c>
      <c r="U525" s="972">
        <v>8138</v>
      </c>
    </row>
    <row r="526" spans="1:21" x14ac:dyDescent="0.25">
      <c r="A526" s="966">
        <v>95801</v>
      </c>
      <c r="B526" s="967" t="s">
        <v>3139</v>
      </c>
      <c r="C526" s="968">
        <v>9.6310000000000005E-4</v>
      </c>
      <c r="D526" s="968">
        <v>8.9349999999999998E-4</v>
      </c>
      <c r="E526" s="1007">
        <v>449779</v>
      </c>
      <c r="F526" s="1010">
        <v>1896306</v>
      </c>
      <c r="G526" s="969">
        <v>1471350</v>
      </c>
      <c r="H526" s="969"/>
      <c r="I526" s="970">
        <v>84763</v>
      </c>
      <c r="J526" s="971">
        <v>357246</v>
      </c>
      <c r="K526" s="970">
        <v>210129</v>
      </c>
      <c r="L526" s="969">
        <v>62205</v>
      </c>
      <c r="M526" s="969"/>
      <c r="N526" s="970">
        <v>41649</v>
      </c>
      <c r="O526" s="970">
        <v>0</v>
      </c>
      <c r="P526" s="970">
        <v>0</v>
      </c>
      <c r="Q526" s="969">
        <v>4103</v>
      </c>
      <c r="R526" s="969"/>
      <c r="S526" s="970">
        <v>495846</v>
      </c>
      <c r="T526" s="972">
        <v>14399</v>
      </c>
      <c r="U526" s="972">
        <v>510245</v>
      </c>
    </row>
    <row r="527" spans="1:21" x14ac:dyDescent="0.25">
      <c r="A527" s="966">
        <v>95802</v>
      </c>
      <c r="B527" s="967" t="s">
        <v>3140</v>
      </c>
      <c r="C527" s="968">
        <v>6.1E-6</v>
      </c>
      <c r="D527" s="968">
        <v>6.8000000000000001E-6</v>
      </c>
      <c r="E527" s="1007">
        <v>5124</v>
      </c>
      <c r="F527" s="1010">
        <v>14432</v>
      </c>
      <c r="G527" s="969">
        <v>9319</v>
      </c>
      <c r="H527" s="969"/>
      <c r="I527" s="970">
        <v>537</v>
      </c>
      <c r="J527" s="971">
        <v>2263</v>
      </c>
      <c r="K527" s="970">
        <v>1331</v>
      </c>
      <c r="L527" s="969">
        <v>3297</v>
      </c>
      <c r="M527" s="969"/>
      <c r="N527" s="970">
        <v>264</v>
      </c>
      <c r="O527" s="970">
        <v>0</v>
      </c>
      <c r="P527" s="970">
        <v>0</v>
      </c>
      <c r="Q527" s="969">
        <v>1248</v>
      </c>
      <c r="R527" s="969"/>
      <c r="S527" s="970">
        <v>3141</v>
      </c>
      <c r="T527" s="972">
        <v>-81</v>
      </c>
      <c r="U527" s="972">
        <v>3060</v>
      </c>
    </row>
    <row r="528" spans="1:21" x14ac:dyDescent="0.25">
      <c r="A528" s="966">
        <v>95804</v>
      </c>
      <c r="B528" s="967" t="s">
        <v>3141</v>
      </c>
      <c r="C528" s="968">
        <v>2.19E-5</v>
      </c>
      <c r="D528" s="968">
        <v>1.63E-5</v>
      </c>
      <c r="E528" s="1007">
        <v>7566</v>
      </c>
      <c r="F528" s="1010">
        <v>34594</v>
      </c>
      <c r="G528" s="969">
        <v>33457</v>
      </c>
      <c r="H528" s="969"/>
      <c r="I528" s="970">
        <v>1927</v>
      </c>
      <c r="J528" s="971">
        <v>8123</v>
      </c>
      <c r="K528" s="970">
        <v>4778</v>
      </c>
      <c r="L528" s="969">
        <v>3631</v>
      </c>
      <c r="M528" s="969"/>
      <c r="N528" s="970">
        <v>947</v>
      </c>
      <c r="O528" s="970">
        <v>0</v>
      </c>
      <c r="P528" s="970">
        <v>0</v>
      </c>
      <c r="Q528" s="969">
        <v>0</v>
      </c>
      <c r="R528" s="969"/>
      <c r="S528" s="970">
        <v>11275</v>
      </c>
      <c r="T528" s="972">
        <v>1628</v>
      </c>
      <c r="U528" s="972">
        <f>12904-1</f>
        <v>12903</v>
      </c>
    </row>
    <row r="529" spans="1:21" x14ac:dyDescent="0.25">
      <c r="A529" s="966">
        <v>95811</v>
      </c>
      <c r="B529" s="967" t="s">
        <v>3142</v>
      </c>
      <c r="C529" s="968">
        <v>5.3129999999999996E-4</v>
      </c>
      <c r="D529" s="968">
        <v>5.3410000000000003E-4</v>
      </c>
      <c r="E529" s="1007">
        <v>243909</v>
      </c>
      <c r="F529" s="1010">
        <v>1133539</v>
      </c>
      <c r="G529" s="969">
        <v>811679</v>
      </c>
      <c r="H529" s="969"/>
      <c r="I529" s="970">
        <v>46760</v>
      </c>
      <c r="J529" s="971">
        <v>197076</v>
      </c>
      <c r="K529" s="970">
        <v>115919</v>
      </c>
      <c r="L529" s="969">
        <v>1678</v>
      </c>
      <c r="M529" s="969"/>
      <c r="N529" s="970">
        <v>22976</v>
      </c>
      <c r="O529" s="970">
        <v>0</v>
      </c>
      <c r="P529" s="970">
        <v>0</v>
      </c>
      <c r="Q529" s="969">
        <v>5329</v>
      </c>
      <c r="R529" s="969"/>
      <c r="S529" s="970">
        <v>273537</v>
      </c>
      <c r="T529" s="972">
        <v>-1501</v>
      </c>
      <c r="U529" s="972">
        <f>272035+1</f>
        <v>272036</v>
      </c>
    </row>
    <row r="530" spans="1:21" x14ac:dyDescent="0.25">
      <c r="A530" s="966">
        <v>95813</v>
      </c>
      <c r="B530" s="967" t="s">
        <v>3143</v>
      </c>
      <c r="C530" s="968">
        <v>4.88E-5</v>
      </c>
      <c r="D530" s="968">
        <v>4.4400000000000002E-5</v>
      </c>
      <c r="E530" s="1007">
        <v>63299</v>
      </c>
      <c r="F530" s="1010">
        <v>94232</v>
      </c>
      <c r="G530" s="969">
        <v>74553</v>
      </c>
      <c r="H530" s="969"/>
      <c r="I530" s="970">
        <v>4295</v>
      </c>
      <c r="J530" s="971">
        <v>18101</v>
      </c>
      <c r="K530" s="970">
        <v>10647</v>
      </c>
      <c r="L530" s="969">
        <v>72000</v>
      </c>
      <c r="M530" s="969"/>
      <c r="N530" s="970">
        <v>2110</v>
      </c>
      <c r="O530" s="970">
        <v>0</v>
      </c>
      <c r="P530" s="970">
        <v>0</v>
      </c>
      <c r="Q530" s="969">
        <v>0</v>
      </c>
      <c r="R530" s="969"/>
      <c r="S530" s="970">
        <v>25124</v>
      </c>
      <c r="T530" s="972">
        <v>24457</v>
      </c>
      <c r="U530" s="972">
        <v>49581</v>
      </c>
    </row>
    <row r="531" spans="1:21" x14ac:dyDescent="0.25">
      <c r="A531" s="966">
        <v>95821</v>
      </c>
      <c r="B531" s="967" t="s">
        <v>3144</v>
      </c>
      <c r="C531" s="968">
        <v>0</v>
      </c>
      <c r="D531" s="968">
        <v>1.7E-6</v>
      </c>
      <c r="E531" s="1007">
        <v>610</v>
      </c>
      <c r="F531" s="1010">
        <v>3608</v>
      </c>
      <c r="G531" s="969">
        <v>0</v>
      </c>
      <c r="H531" s="969"/>
      <c r="I531" s="970">
        <v>0</v>
      </c>
      <c r="J531" s="971">
        <v>0</v>
      </c>
      <c r="K531" s="970">
        <v>0</v>
      </c>
      <c r="L531" s="969">
        <v>1293</v>
      </c>
      <c r="M531" s="969"/>
      <c r="N531" s="970">
        <v>0</v>
      </c>
      <c r="O531" s="970">
        <v>0</v>
      </c>
      <c r="P531" s="970">
        <v>0</v>
      </c>
      <c r="Q531" s="969">
        <v>652</v>
      </c>
      <c r="R531" s="969"/>
      <c r="S531" s="970">
        <v>0</v>
      </c>
      <c r="T531" s="972">
        <v>460</v>
      </c>
      <c r="U531" s="972">
        <v>460</v>
      </c>
    </row>
    <row r="532" spans="1:21" x14ac:dyDescent="0.25">
      <c r="A532" s="966">
        <v>95831</v>
      </c>
      <c r="B532" s="967" t="s">
        <v>3145</v>
      </c>
      <c r="C532" s="968">
        <v>1.6799999999999998E-5</v>
      </c>
      <c r="D532" s="968">
        <v>1.36E-5</v>
      </c>
      <c r="E532" s="1007">
        <v>22034</v>
      </c>
      <c r="F532" s="1010">
        <v>28864</v>
      </c>
      <c r="G532" s="969">
        <v>25666</v>
      </c>
      <c r="H532" s="969"/>
      <c r="I532" s="970">
        <v>1479</v>
      </c>
      <c r="J532" s="971">
        <v>6232</v>
      </c>
      <c r="K532" s="970">
        <v>3665</v>
      </c>
      <c r="L532" s="969">
        <v>23962</v>
      </c>
      <c r="M532" s="969"/>
      <c r="N532" s="970">
        <v>727</v>
      </c>
      <c r="O532" s="970">
        <v>0</v>
      </c>
      <c r="P532" s="970">
        <v>0</v>
      </c>
      <c r="Q532" s="969">
        <v>0</v>
      </c>
      <c r="R532" s="969"/>
      <c r="S532" s="970">
        <v>8649</v>
      </c>
      <c r="T532" s="972">
        <v>8068</v>
      </c>
      <c r="U532" s="972">
        <v>16717</v>
      </c>
    </row>
    <row r="533" spans="1:21" x14ac:dyDescent="0.25">
      <c r="A533" s="966">
        <v>95841</v>
      </c>
      <c r="B533" s="967" t="s">
        <v>3146</v>
      </c>
      <c r="C533" s="968">
        <v>2.0999999999999999E-5</v>
      </c>
      <c r="D533" s="968">
        <v>2.1100000000000001E-5</v>
      </c>
      <c r="E533" s="1007">
        <v>10805</v>
      </c>
      <c r="F533" s="1010">
        <v>44781</v>
      </c>
      <c r="G533" s="969">
        <v>32082</v>
      </c>
      <c r="H533" s="969"/>
      <c r="I533" s="970">
        <v>1848</v>
      </c>
      <c r="J533" s="971">
        <v>7790</v>
      </c>
      <c r="K533" s="970">
        <v>4582</v>
      </c>
      <c r="L533" s="969">
        <v>2103</v>
      </c>
      <c r="M533" s="969"/>
      <c r="N533" s="970">
        <v>908</v>
      </c>
      <c r="O533" s="970">
        <v>0</v>
      </c>
      <c r="P533" s="970">
        <v>0</v>
      </c>
      <c r="Q533" s="969">
        <v>0</v>
      </c>
      <c r="R533" s="969"/>
      <c r="S533" s="970">
        <v>10812</v>
      </c>
      <c r="T533" s="972">
        <v>817</v>
      </c>
      <c r="U533" s="972">
        <v>11629</v>
      </c>
    </row>
    <row r="534" spans="1:21" x14ac:dyDescent="0.25">
      <c r="A534" s="966">
        <v>95851</v>
      </c>
      <c r="B534" s="967" t="s">
        <v>3147</v>
      </c>
      <c r="C534" s="968">
        <v>1.327E-4</v>
      </c>
      <c r="D534" s="968">
        <v>1.3009999999999999E-4</v>
      </c>
      <c r="E534" s="1007">
        <v>142459</v>
      </c>
      <c r="F534" s="1010">
        <v>276116</v>
      </c>
      <c r="G534" s="969">
        <v>202729</v>
      </c>
      <c r="H534" s="969"/>
      <c r="I534" s="970">
        <v>11679</v>
      </c>
      <c r="J534" s="971">
        <v>49223</v>
      </c>
      <c r="K534" s="970">
        <v>28952</v>
      </c>
      <c r="L534" s="969">
        <v>130637</v>
      </c>
      <c r="M534" s="969"/>
      <c r="N534" s="970">
        <v>5739</v>
      </c>
      <c r="O534" s="970">
        <v>0</v>
      </c>
      <c r="P534" s="970">
        <v>0</v>
      </c>
      <c r="Q534" s="969">
        <v>4180</v>
      </c>
      <c r="R534" s="969"/>
      <c r="S534" s="970">
        <v>68320</v>
      </c>
      <c r="T534" s="972">
        <v>39831</v>
      </c>
      <c r="U534" s="972">
        <v>108151</v>
      </c>
    </row>
    <row r="535" spans="1:21" x14ac:dyDescent="0.25">
      <c r="A535" s="966">
        <v>95853</v>
      </c>
      <c r="B535" s="967" t="s">
        <v>3148</v>
      </c>
      <c r="C535" s="968">
        <v>2.69E-5</v>
      </c>
      <c r="D535" s="968">
        <v>2.4000000000000001E-5</v>
      </c>
      <c r="E535" s="1007">
        <v>14344</v>
      </c>
      <c r="F535" s="1010">
        <v>50936</v>
      </c>
      <c r="G535" s="969">
        <v>41096</v>
      </c>
      <c r="H535" s="969"/>
      <c r="I535" s="970">
        <v>2367</v>
      </c>
      <c r="J535" s="971">
        <v>9978</v>
      </c>
      <c r="K535" s="970">
        <v>5869</v>
      </c>
      <c r="L535" s="969">
        <v>8793</v>
      </c>
      <c r="M535" s="969"/>
      <c r="N535" s="970">
        <v>1163</v>
      </c>
      <c r="O535" s="970">
        <v>0</v>
      </c>
      <c r="P535" s="970">
        <v>0</v>
      </c>
      <c r="Q535" s="969">
        <v>0</v>
      </c>
      <c r="R535" s="969"/>
      <c r="S535" s="970">
        <v>13849</v>
      </c>
      <c r="T535" s="972">
        <v>3675</v>
      </c>
      <c r="U535" s="972">
        <f>17525-1</f>
        <v>17524</v>
      </c>
    </row>
    <row r="536" spans="1:21" x14ac:dyDescent="0.25">
      <c r="A536" s="966">
        <v>95901</v>
      </c>
      <c r="B536" s="967" t="s">
        <v>3149</v>
      </c>
      <c r="C536" s="968">
        <v>1.8714999999999999E-3</v>
      </c>
      <c r="D536" s="968">
        <v>1.8266999999999999E-3</v>
      </c>
      <c r="E536" s="1007">
        <v>815702</v>
      </c>
      <c r="F536" s="1010">
        <v>3876869</v>
      </c>
      <c r="G536" s="969">
        <v>2859134</v>
      </c>
      <c r="H536" s="969"/>
      <c r="I536" s="970">
        <v>164713</v>
      </c>
      <c r="J536" s="971">
        <v>694201</v>
      </c>
      <c r="K536" s="970">
        <v>408324</v>
      </c>
      <c r="L536" s="969">
        <v>36652</v>
      </c>
      <c r="M536" s="969"/>
      <c r="N536" s="970">
        <v>80933</v>
      </c>
      <c r="O536" s="970">
        <v>0</v>
      </c>
      <c r="P536" s="970">
        <v>0</v>
      </c>
      <c r="Q536" s="969">
        <v>13191</v>
      </c>
      <c r="R536" s="969"/>
      <c r="S536" s="970">
        <v>963531</v>
      </c>
      <c r="T536" s="972">
        <v>28466</v>
      </c>
      <c r="U536" s="972">
        <v>991997</v>
      </c>
    </row>
    <row r="537" spans="1:21" x14ac:dyDescent="0.25">
      <c r="A537" s="966">
        <v>95908</v>
      </c>
      <c r="B537" s="967" t="s">
        <v>3150</v>
      </c>
      <c r="C537" s="968">
        <v>7.2200000000000007E-5</v>
      </c>
      <c r="D537" s="968">
        <v>7.2000000000000002E-5</v>
      </c>
      <c r="E537" s="1007">
        <v>24598</v>
      </c>
      <c r="F537" s="1010">
        <v>152808</v>
      </c>
      <c r="G537" s="969">
        <v>110302</v>
      </c>
      <c r="H537" s="969"/>
      <c r="I537" s="970">
        <v>6354</v>
      </c>
      <c r="J537" s="971">
        <v>26781</v>
      </c>
      <c r="K537" s="970">
        <v>15753</v>
      </c>
      <c r="L537" s="969">
        <v>0</v>
      </c>
      <c r="M537" s="969"/>
      <c r="N537" s="970">
        <v>3122</v>
      </c>
      <c r="O537" s="970">
        <v>0</v>
      </c>
      <c r="P537" s="970">
        <v>0</v>
      </c>
      <c r="Q537" s="969">
        <v>22164</v>
      </c>
      <c r="R537" s="969"/>
      <c r="S537" s="970">
        <v>37172</v>
      </c>
      <c r="T537" s="972">
        <v>-10736</v>
      </c>
      <c r="U537" s="972">
        <v>26436</v>
      </c>
    </row>
    <row r="538" spans="1:21" x14ac:dyDescent="0.25">
      <c r="A538" s="966">
        <v>95911</v>
      </c>
      <c r="B538" s="967" t="s">
        <v>3151</v>
      </c>
      <c r="C538" s="968">
        <v>5.7450000000000003E-4</v>
      </c>
      <c r="D538" s="968">
        <v>5.6979999999999997E-4</v>
      </c>
      <c r="E538" s="1007">
        <v>244845</v>
      </c>
      <c r="F538" s="1010">
        <v>1209306</v>
      </c>
      <c r="G538" s="969">
        <v>877677</v>
      </c>
      <c r="H538" s="969"/>
      <c r="I538" s="970">
        <v>50562</v>
      </c>
      <c r="J538" s="971">
        <v>213101</v>
      </c>
      <c r="K538" s="970">
        <v>125344</v>
      </c>
      <c r="L538" s="969">
        <v>2898</v>
      </c>
      <c r="M538" s="969"/>
      <c r="N538" s="970">
        <v>24844</v>
      </c>
      <c r="O538" s="970">
        <v>0</v>
      </c>
      <c r="P538" s="970">
        <v>0</v>
      </c>
      <c r="Q538" s="969">
        <v>40952</v>
      </c>
      <c r="R538" s="969"/>
      <c r="S538" s="970">
        <v>295778</v>
      </c>
      <c r="T538" s="972">
        <v>-14076</v>
      </c>
      <c r="U538" s="972">
        <v>281702</v>
      </c>
    </row>
    <row r="539" spans="1:21" x14ac:dyDescent="0.25">
      <c r="A539" s="966">
        <v>95917</v>
      </c>
      <c r="B539" s="967" t="s">
        <v>3152</v>
      </c>
      <c r="C539" s="968">
        <v>2.6699999999999998E-5</v>
      </c>
      <c r="D539" s="968">
        <v>2.2399999999999999E-5</v>
      </c>
      <c r="E539" s="1007">
        <v>11001</v>
      </c>
      <c r="F539" s="1010">
        <v>47540</v>
      </c>
      <c r="G539" s="969">
        <v>40790</v>
      </c>
      <c r="H539" s="969"/>
      <c r="I539" s="970">
        <v>2350</v>
      </c>
      <c r="J539" s="971">
        <v>9904</v>
      </c>
      <c r="K539" s="970">
        <v>5825</v>
      </c>
      <c r="L539" s="969">
        <v>4378</v>
      </c>
      <c r="M539" s="969"/>
      <c r="N539" s="970">
        <v>1155</v>
      </c>
      <c r="O539" s="970">
        <v>0</v>
      </c>
      <c r="P539" s="970">
        <v>0</v>
      </c>
      <c r="Q539" s="969">
        <v>501</v>
      </c>
      <c r="R539" s="969"/>
      <c r="S539" s="970">
        <v>13746</v>
      </c>
      <c r="T539" s="972">
        <v>2216</v>
      </c>
      <c r="U539" s="972">
        <v>15962</v>
      </c>
    </row>
    <row r="540" spans="1:21" x14ac:dyDescent="0.25">
      <c r="A540" s="966">
        <v>95921</v>
      </c>
      <c r="B540" s="967" t="s">
        <v>3153</v>
      </c>
      <c r="C540" s="968">
        <v>4.7500000000000003E-5</v>
      </c>
      <c r="D540" s="968">
        <v>4.4700000000000002E-5</v>
      </c>
      <c r="E540" s="1007">
        <v>19772</v>
      </c>
      <c r="F540" s="1010">
        <v>94868</v>
      </c>
      <c r="G540" s="969">
        <v>72567</v>
      </c>
      <c r="H540" s="969"/>
      <c r="I540" s="970">
        <v>4181</v>
      </c>
      <c r="J540" s="971">
        <v>17619</v>
      </c>
      <c r="K540" s="970">
        <v>10364</v>
      </c>
      <c r="L540" s="969">
        <v>3925</v>
      </c>
      <c r="M540" s="969"/>
      <c r="N540" s="970">
        <v>2054</v>
      </c>
      <c r="O540" s="970">
        <v>0</v>
      </c>
      <c r="P540" s="970">
        <v>0</v>
      </c>
      <c r="Q540" s="969">
        <v>948</v>
      </c>
      <c r="R540" s="969"/>
      <c r="S540" s="970">
        <v>24455</v>
      </c>
      <c r="T540" s="972">
        <v>526</v>
      </c>
      <c r="U540" s="972">
        <v>24981</v>
      </c>
    </row>
    <row r="541" spans="1:21" x14ac:dyDescent="0.25">
      <c r="A541" s="966">
        <v>96001</v>
      </c>
      <c r="B541" s="967" t="s">
        <v>3154</v>
      </c>
      <c r="C541" s="968">
        <v>4.4386399999999999E-2</v>
      </c>
      <c r="D541" s="968">
        <v>4.43519E-2</v>
      </c>
      <c r="E541" s="1007">
        <v>20012605</v>
      </c>
      <c r="F541" s="1010">
        <v>94129590</v>
      </c>
      <c r="G541" s="969">
        <v>67810124</v>
      </c>
      <c r="H541" s="969"/>
      <c r="I541" s="970">
        <v>3906491</v>
      </c>
      <c r="J541" s="971">
        <v>16464380</v>
      </c>
      <c r="K541" s="970">
        <v>9684225</v>
      </c>
      <c r="L541" s="969">
        <v>1457342</v>
      </c>
      <c r="M541" s="969"/>
      <c r="N541" s="970">
        <v>1919490</v>
      </c>
      <c r="O541" s="970">
        <v>0</v>
      </c>
      <c r="P541" s="970">
        <v>0</v>
      </c>
      <c r="Q541" s="969">
        <v>477903</v>
      </c>
      <c r="R541" s="969"/>
      <c r="S541" s="970">
        <v>22852072</v>
      </c>
      <c r="T541" s="972">
        <v>1208760</v>
      </c>
      <c r="U541" s="972">
        <v>24060832</v>
      </c>
    </row>
    <row r="542" spans="1:21" x14ac:dyDescent="0.25">
      <c r="A542" s="966">
        <v>96003</v>
      </c>
      <c r="B542" s="967" t="s">
        <v>3155</v>
      </c>
      <c r="C542" s="968">
        <v>1.6523E-3</v>
      </c>
      <c r="D542" s="968">
        <v>1.7309000000000001E-3</v>
      </c>
      <c r="E542" s="1007">
        <v>743373</v>
      </c>
      <c r="F542" s="1010">
        <v>3673550</v>
      </c>
      <c r="G542" s="969">
        <v>2524257</v>
      </c>
      <c r="H542" s="969"/>
      <c r="I542" s="970">
        <v>145421</v>
      </c>
      <c r="J542" s="971">
        <v>612893</v>
      </c>
      <c r="K542" s="970">
        <v>360499</v>
      </c>
      <c r="L542" s="969">
        <v>3089</v>
      </c>
      <c r="M542" s="969"/>
      <c r="N542" s="970">
        <v>71454</v>
      </c>
      <c r="O542" s="970">
        <v>0</v>
      </c>
      <c r="P542" s="970">
        <v>0</v>
      </c>
      <c r="Q542" s="969">
        <v>135978</v>
      </c>
      <c r="R542" s="969"/>
      <c r="S542" s="970">
        <v>850677</v>
      </c>
      <c r="T542" s="972">
        <v>-56030</v>
      </c>
      <c r="U542" s="972">
        <v>794647</v>
      </c>
    </row>
    <row r="543" spans="1:21" x14ac:dyDescent="0.25">
      <c r="A543" s="966">
        <v>96004</v>
      </c>
      <c r="B543" s="967" t="s">
        <v>3156</v>
      </c>
      <c r="C543" s="968">
        <v>8.9439999999999995E-4</v>
      </c>
      <c r="D543" s="968">
        <v>8.7699999999999996E-4</v>
      </c>
      <c r="E543" s="1007">
        <v>462352</v>
      </c>
      <c r="F543" s="1010">
        <v>1861288</v>
      </c>
      <c r="G543" s="969">
        <v>1366395</v>
      </c>
      <c r="H543" s="969"/>
      <c r="I543" s="970">
        <v>78717</v>
      </c>
      <c r="J543" s="971">
        <v>331762</v>
      </c>
      <c r="K543" s="970">
        <v>195140</v>
      </c>
      <c r="L543" s="969">
        <v>149546</v>
      </c>
      <c r="M543" s="969"/>
      <c r="N543" s="970">
        <v>38678</v>
      </c>
      <c r="O543" s="970">
        <v>0</v>
      </c>
      <c r="P543" s="970">
        <v>0</v>
      </c>
      <c r="Q543" s="969">
        <v>0</v>
      </c>
      <c r="R543" s="969"/>
      <c r="S543" s="970">
        <v>460476</v>
      </c>
      <c r="T543" s="972">
        <v>65505</v>
      </c>
      <c r="U543" s="972">
        <f>525982-1</f>
        <v>525981</v>
      </c>
    </row>
    <row r="544" spans="1:21" x14ac:dyDescent="0.25">
      <c r="A544" s="966">
        <v>96005</v>
      </c>
      <c r="B544" s="967" t="s">
        <v>3157</v>
      </c>
      <c r="C544" s="968">
        <v>2.6733999999999998E-3</v>
      </c>
      <c r="D544" s="968">
        <v>2.6457E-3</v>
      </c>
      <c r="E544" s="1007">
        <v>1240290</v>
      </c>
      <c r="F544" s="1010">
        <v>5615062</v>
      </c>
      <c r="G544" s="969">
        <v>4084215</v>
      </c>
      <c r="H544" s="969"/>
      <c r="I544" s="970">
        <v>235289</v>
      </c>
      <c r="J544" s="971">
        <v>991653</v>
      </c>
      <c r="K544" s="970">
        <v>583282</v>
      </c>
      <c r="L544" s="969">
        <v>222285</v>
      </c>
      <c r="M544" s="969"/>
      <c r="N544" s="970">
        <v>115611</v>
      </c>
      <c r="O544" s="970">
        <v>0</v>
      </c>
      <c r="P544" s="970">
        <v>0</v>
      </c>
      <c r="Q544" s="969">
        <v>0</v>
      </c>
      <c r="R544" s="969"/>
      <c r="S544" s="970">
        <v>1376384</v>
      </c>
      <c r="T544" s="972">
        <v>159087</v>
      </c>
      <c r="U544" s="972">
        <v>1535471</v>
      </c>
    </row>
    <row r="545" spans="1:21" x14ac:dyDescent="0.25">
      <c r="A545" s="966">
        <v>96008</v>
      </c>
      <c r="B545" s="967" t="s">
        <v>3158</v>
      </c>
      <c r="C545" s="968">
        <v>5.9955E-3</v>
      </c>
      <c r="D545" s="968">
        <v>5.9388000000000002E-3</v>
      </c>
      <c r="E545" s="1007">
        <v>2075076</v>
      </c>
      <c r="F545" s="1010">
        <v>12604123</v>
      </c>
      <c r="G545" s="969">
        <v>9159463</v>
      </c>
      <c r="H545" s="969"/>
      <c r="I545" s="970">
        <v>527670</v>
      </c>
      <c r="J545" s="971">
        <v>2223929</v>
      </c>
      <c r="K545" s="970">
        <v>1308098</v>
      </c>
      <c r="L545" s="969">
        <v>0</v>
      </c>
      <c r="M545" s="969"/>
      <c r="N545" s="970">
        <v>259275</v>
      </c>
      <c r="O545" s="970">
        <v>0</v>
      </c>
      <c r="P545" s="970">
        <v>0</v>
      </c>
      <c r="Q545" s="969">
        <v>767021</v>
      </c>
      <c r="R545" s="969"/>
      <c r="S545" s="970">
        <v>3086747</v>
      </c>
      <c r="T545" s="972">
        <v>-274630</v>
      </c>
      <c r="U545" s="972">
        <v>2812117</v>
      </c>
    </row>
    <row r="546" spans="1:21" x14ac:dyDescent="0.25">
      <c r="A546" s="966">
        <v>96009</v>
      </c>
      <c r="B546" s="967" t="s">
        <v>3159</v>
      </c>
      <c r="C546" s="968">
        <v>3.7609999999999998E-4</v>
      </c>
      <c r="D546" s="968">
        <v>3.5980000000000002E-4</v>
      </c>
      <c r="E546" s="1007">
        <v>192063</v>
      </c>
      <c r="F546" s="1010">
        <v>763616</v>
      </c>
      <c r="G546" s="969">
        <v>574577</v>
      </c>
      <c r="H546" s="969"/>
      <c r="I546" s="970">
        <v>33101</v>
      </c>
      <c r="J546" s="971">
        <v>139508</v>
      </c>
      <c r="K546" s="970">
        <v>82057</v>
      </c>
      <c r="L546" s="969">
        <v>33181</v>
      </c>
      <c r="M546" s="969"/>
      <c r="N546" s="970">
        <v>16264</v>
      </c>
      <c r="O546" s="970">
        <v>0</v>
      </c>
      <c r="P546" s="970">
        <v>0</v>
      </c>
      <c r="Q546" s="969">
        <v>2595</v>
      </c>
      <c r="R546" s="969"/>
      <c r="S546" s="970">
        <v>193633</v>
      </c>
      <c r="T546" s="972">
        <v>11508</v>
      </c>
      <c r="U546" s="972">
        <v>205141</v>
      </c>
    </row>
    <row r="547" spans="1:21" x14ac:dyDescent="0.25">
      <c r="A547" s="966">
        <v>96011</v>
      </c>
      <c r="B547" s="967" t="s">
        <v>3160</v>
      </c>
      <c r="C547" s="968">
        <v>6.1150400000000001E-2</v>
      </c>
      <c r="D547" s="968">
        <v>6.0489000000000001E-2</v>
      </c>
      <c r="E547" s="1007">
        <v>28379211</v>
      </c>
      <c r="F547" s="1010">
        <v>128377922</v>
      </c>
      <c r="G547" s="969">
        <v>93420873</v>
      </c>
      <c r="H547" s="969"/>
      <c r="I547" s="970">
        <v>5381908</v>
      </c>
      <c r="J547" s="971">
        <v>22682701</v>
      </c>
      <c r="K547" s="970">
        <v>13341794</v>
      </c>
      <c r="L547" s="969">
        <v>796221</v>
      </c>
      <c r="M547" s="969"/>
      <c r="N547" s="970">
        <v>2644449</v>
      </c>
      <c r="O547" s="970">
        <v>0</v>
      </c>
      <c r="P547" s="970">
        <v>0</v>
      </c>
      <c r="Q547" s="969">
        <v>51460</v>
      </c>
      <c r="R547" s="969"/>
      <c r="S547" s="970">
        <v>31482917</v>
      </c>
      <c r="T547" s="972">
        <v>212508</v>
      </c>
      <c r="U547" s="972">
        <v>31695425</v>
      </c>
    </row>
    <row r="548" spans="1:21" x14ac:dyDescent="0.25">
      <c r="A548" s="966">
        <v>96012</v>
      </c>
      <c r="B548" s="967" t="s">
        <v>3161</v>
      </c>
      <c r="C548" s="968">
        <v>2.4417000000000002E-3</v>
      </c>
      <c r="D548" s="968">
        <v>2.4095000000000002E-3</v>
      </c>
      <c r="E548" s="1007">
        <v>1092788</v>
      </c>
      <c r="F548" s="1010">
        <v>5113766</v>
      </c>
      <c r="G548" s="969">
        <v>3730241</v>
      </c>
      <c r="H548" s="969"/>
      <c r="I548" s="970">
        <v>214896</v>
      </c>
      <c r="J548" s="971">
        <v>905707</v>
      </c>
      <c r="K548" s="970">
        <v>532730</v>
      </c>
      <c r="L548" s="969">
        <v>77080</v>
      </c>
      <c r="M548" s="969"/>
      <c r="N548" s="970">
        <v>105591</v>
      </c>
      <c r="O548" s="970">
        <v>0</v>
      </c>
      <c r="P548" s="970">
        <v>0</v>
      </c>
      <c r="Q548" s="969">
        <v>937</v>
      </c>
      <c r="R548" s="969"/>
      <c r="S548" s="970">
        <v>1257095</v>
      </c>
      <c r="T548" s="972">
        <v>35595</v>
      </c>
      <c r="U548" s="972">
        <v>1292690</v>
      </c>
    </row>
    <row r="549" spans="1:21" x14ac:dyDescent="0.25">
      <c r="A549" s="966">
        <v>96018</v>
      </c>
      <c r="B549" s="967" t="s">
        <v>3162</v>
      </c>
      <c r="C549" s="968">
        <v>4.3600000000000003E-5</v>
      </c>
      <c r="D549" s="968">
        <v>3.6199999999999999E-5</v>
      </c>
      <c r="E549" s="1007">
        <v>18035</v>
      </c>
      <c r="F549" s="1010">
        <v>76829</v>
      </c>
      <c r="G549" s="969">
        <v>66609</v>
      </c>
      <c r="H549" s="969"/>
      <c r="I549" s="970">
        <v>3837</v>
      </c>
      <c r="J549" s="971">
        <v>16173</v>
      </c>
      <c r="K549" s="970">
        <v>9513</v>
      </c>
      <c r="L549" s="969">
        <v>9704</v>
      </c>
      <c r="M549" s="969"/>
      <c r="N549" s="970">
        <v>1885</v>
      </c>
      <c r="O549" s="970">
        <v>0</v>
      </c>
      <c r="P549" s="970">
        <v>0</v>
      </c>
      <c r="Q549" s="969">
        <v>0</v>
      </c>
      <c r="R549" s="969"/>
      <c r="S549" s="970">
        <v>22447</v>
      </c>
      <c r="T549" s="972">
        <v>5913</v>
      </c>
      <c r="U549" s="972">
        <v>28360</v>
      </c>
    </row>
    <row r="550" spans="1:21" x14ac:dyDescent="0.25">
      <c r="A550" s="966">
        <v>96021</v>
      </c>
      <c r="B550" s="967" t="s">
        <v>3163</v>
      </c>
      <c r="C550" s="968">
        <v>7.2090000000000001E-4</v>
      </c>
      <c r="D550" s="968">
        <v>8.5829999999999999E-4</v>
      </c>
      <c r="E550" s="1007">
        <v>327690</v>
      </c>
      <c r="F550" s="1010">
        <v>1821600</v>
      </c>
      <c r="G550" s="969">
        <v>1101336</v>
      </c>
      <c r="H550" s="969"/>
      <c r="I550" s="970">
        <v>63447</v>
      </c>
      <c r="J550" s="971">
        <v>267406</v>
      </c>
      <c r="K550" s="970">
        <v>157286</v>
      </c>
      <c r="L550" s="969">
        <v>31959</v>
      </c>
      <c r="M550" s="969"/>
      <c r="N550" s="970">
        <v>31175</v>
      </c>
      <c r="O550" s="970">
        <v>0</v>
      </c>
      <c r="P550" s="970">
        <v>0</v>
      </c>
      <c r="Q550" s="969">
        <v>119309</v>
      </c>
      <c r="R550" s="969"/>
      <c r="S550" s="970">
        <v>371151</v>
      </c>
      <c r="T550" s="972">
        <v>-13869</v>
      </c>
      <c r="U550" s="972">
        <v>357282</v>
      </c>
    </row>
    <row r="551" spans="1:21" x14ac:dyDescent="0.25">
      <c r="A551" s="966">
        <v>96031</v>
      </c>
      <c r="B551" s="967" t="s">
        <v>3164</v>
      </c>
      <c r="C551" s="968">
        <v>8.2580000000000001E-4</v>
      </c>
      <c r="D551" s="968">
        <v>9.0189999999999997E-4</v>
      </c>
      <c r="E551" s="1007">
        <v>325476</v>
      </c>
      <c r="F551" s="1010">
        <v>1914134</v>
      </c>
      <c r="G551" s="969">
        <v>1261594</v>
      </c>
      <c r="H551" s="969"/>
      <c r="I551" s="970">
        <v>72679</v>
      </c>
      <c r="J551" s="971">
        <v>306317</v>
      </c>
      <c r="K551" s="970">
        <v>180173</v>
      </c>
      <c r="L551" s="969">
        <v>0</v>
      </c>
      <c r="M551" s="969"/>
      <c r="N551" s="970">
        <v>35712</v>
      </c>
      <c r="O551" s="970">
        <v>0</v>
      </c>
      <c r="P551" s="970">
        <v>0</v>
      </c>
      <c r="Q551" s="969">
        <v>179263</v>
      </c>
      <c r="R551" s="969"/>
      <c r="S551" s="970">
        <v>425158</v>
      </c>
      <c r="T551" s="972">
        <v>-74461</v>
      </c>
      <c r="U551" s="972">
        <v>350697</v>
      </c>
    </row>
    <row r="552" spans="1:21" x14ac:dyDescent="0.25">
      <c r="A552" s="966">
        <v>96041</v>
      </c>
      <c r="B552" s="967" t="s">
        <v>3165</v>
      </c>
      <c r="C552" s="968">
        <v>1.7361E-3</v>
      </c>
      <c r="D552" s="968">
        <v>1.7323E-3</v>
      </c>
      <c r="E552" s="1007">
        <v>721544</v>
      </c>
      <c r="F552" s="1010">
        <v>3676521</v>
      </c>
      <c r="G552" s="969">
        <v>2652280</v>
      </c>
      <c r="H552" s="969"/>
      <c r="I552" s="970">
        <v>152796</v>
      </c>
      <c r="J552" s="971">
        <v>643977</v>
      </c>
      <c r="K552" s="970">
        <v>378782</v>
      </c>
      <c r="L552" s="969">
        <v>0</v>
      </c>
      <c r="M552" s="969"/>
      <c r="N552" s="970">
        <v>75078</v>
      </c>
      <c r="O552" s="970">
        <v>0</v>
      </c>
      <c r="P552" s="970">
        <v>0</v>
      </c>
      <c r="Q552" s="969">
        <v>139404</v>
      </c>
      <c r="R552" s="969"/>
      <c r="S552" s="970">
        <v>893821</v>
      </c>
      <c r="T552" s="972">
        <v>-60075</v>
      </c>
      <c r="U552" s="972">
        <v>833746</v>
      </c>
    </row>
    <row r="553" spans="1:21" x14ac:dyDescent="0.25">
      <c r="A553" s="966">
        <v>96051</v>
      </c>
      <c r="B553" s="967" t="s">
        <v>3166</v>
      </c>
      <c r="C553" s="968">
        <v>1.0062000000000001E-3</v>
      </c>
      <c r="D553" s="968">
        <v>1.0258000000000001E-3</v>
      </c>
      <c r="E553" s="1007">
        <v>418346</v>
      </c>
      <c r="F553" s="1010">
        <v>2177091</v>
      </c>
      <c r="G553" s="969">
        <v>1537195</v>
      </c>
      <c r="H553" s="969"/>
      <c r="I553" s="970">
        <v>88557</v>
      </c>
      <c r="J553" s="971">
        <v>373233</v>
      </c>
      <c r="K553" s="970">
        <v>219533</v>
      </c>
      <c r="L553" s="969">
        <v>0</v>
      </c>
      <c r="M553" s="969"/>
      <c r="N553" s="970">
        <v>43513</v>
      </c>
      <c r="O553" s="970">
        <v>0</v>
      </c>
      <c r="P553" s="970">
        <v>0</v>
      </c>
      <c r="Q553" s="969">
        <v>109605</v>
      </c>
      <c r="R553" s="969"/>
      <c r="S553" s="970">
        <v>518036</v>
      </c>
      <c r="T553" s="972">
        <v>-44751</v>
      </c>
      <c r="U553" s="972">
        <v>473285</v>
      </c>
    </row>
    <row r="554" spans="1:21" x14ac:dyDescent="0.25">
      <c r="A554" s="966">
        <v>96061</v>
      </c>
      <c r="B554" s="967" t="s">
        <v>3167</v>
      </c>
      <c r="C554" s="968">
        <v>3.3950000000000001E-4</v>
      </c>
      <c r="D554" s="968">
        <v>3.0800000000000001E-4</v>
      </c>
      <c r="E554" s="1007">
        <v>154988</v>
      </c>
      <c r="F554" s="1010">
        <v>653679</v>
      </c>
      <c r="G554" s="969">
        <v>518662</v>
      </c>
      <c r="H554" s="969"/>
      <c r="I554" s="970">
        <v>29880</v>
      </c>
      <c r="J554" s="971">
        <v>125932</v>
      </c>
      <c r="K554" s="970">
        <v>74072</v>
      </c>
      <c r="L554" s="969">
        <v>21868</v>
      </c>
      <c r="M554" s="969"/>
      <c r="N554" s="970">
        <v>14682</v>
      </c>
      <c r="O554" s="970">
        <v>0</v>
      </c>
      <c r="P554" s="970">
        <v>0</v>
      </c>
      <c r="Q554" s="969">
        <v>7447</v>
      </c>
      <c r="R554" s="969"/>
      <c r="S554" s="970">
        <v>174790</v>
      </c>
      <c r="T554" s="972">
        <v>2241</v>
      </c>
      <c r="U554" s="972">
        <v>177031</v>
      </c>
    </row>
    <row r="555" spans="1:21" x14ac:dyDescent="0.25">
      <c r="A555" s="966">
        <v>96071</v>
      </c>
      <c r="B555" s="967" t="s">
        <v>3168</v>
      </c>
      <c r="C555" s="968">
        <v>1.1367E-3</v>
      </c>
      <c r="D555" s="968">
        <v>1.1280999999999999E-3</v>
      </c>
      <c r="E555" s="1007">
        <v>554009</v>
      </c>
      <c r="F555" s="1010">
        <v>2394206</v>
      </c>
      <c r="G555" s="969">
        <v>1736563</v>
      </c>
      <c r="H555" s="969"/>
      <c r="I555" s="970">
        <v>100042</v>
      </c>
      <c r="J555" s="971">
        <v>421639</v>
      </c>
      <c r="K555" s="970">
        <v>248005</v>
      </c>
      <c r="L555" s="969">
        <v>72999</v>
      </c>
      <c r="M555" s="969"/>
      <c r="N555" s="970">
        <v>49157</v>
      </c>
      <c r="O555" s="970">
        <v>0</v>
      </c>
      <c r="P555" s="970">
        <v>0</v>
      </c>
      <c r="Q555" s="969">
        <v>71715</v>
      </c>
      <c r="R555" s="969"/>
      <c r="S555" s="970">
        <v>585223</v>
      </c>
      <c r="T555" s="972">
        <v>-1282</v>
      </c>
      <c r="U555" s="972">
        <v>583941</v>
      </c>
    </row>
    <row r="556" spans="1:21" x14ac:dyDescent="0.25">
      <c r="A556" s="966">
        <v>96081</v>
      </c>
      <c r="B556" s="967" t="s">
        <v>3169</v>
      </c>
      <c r="C556" s="968">
        <v>5.0900000000000001E-4</v>
      </c>
      <c r="D556" s="968">
        <v>4.7820000000000002E-4</v>
      </c>
      <c r="E556" s="1007">
        <v>211520</v>
      </c>
      <c r="F556" s="1010">
        <v>1014901</v>
      </c>
      <c r="G556" s="969">
        <v>777611</v>
      </c>
      <c r="H556" s="969"/>
      <c r="I556" s="970">
        <v>44798</v>
      </c>
      <c r="J556" s="971">
        <v>188805</v>
      </c>
      <c r="K556" s="970">
        <v>111054</v>
      </c>
      <c r="L556" s="969">
        <v>10640</v>
      </c>
      <c r="M556" s="969"/>
      <c r="N556" s="970">
        <v>22012</v>
      </c>
      <c r="O556" s="970">
        <v>0</v>
      </c>
      <c r="P556" s="970">
        <v>0</v>
      </c>
      <c r="Q556" s="969">
        <v>4115</v>
      </c>
      <c r="R556" s="969"/>
      <c r="S556" s="970">
        <v>262056</v>
      </c>
      <c r="T556" s="972">
        <v>5137</v>
      </c>
      <c r="U556" s="972">
        <v>267193</v>
      </c>
    </row>
    <row r="557" spans="1:21" x14ac:dyDescent="0.25">
      <c r="A557" s="966">
        <v>96101</v>
      </c>
      <c r="B557" s="967" t="s">
        <v>3170</v>
      </c>
      <c r="C557" s="968">
        <v>7.6749999999999995E-4</v>
      </c>
      <c r="D557" s="968">
        <v>7.5860000000000001E-4</v>
      </c>
      <c r="E557" s="1007">
        <v>371541</v>
      </c>
      <c r="F557" s="1010">
        <v>1610003</v>
      </c>
      <c r="G557" s="969">
        <v>1172527</v>
      </c>
      <c r="H557" s="969"/>
      <c r="I557" s="970">
        <v>67548</v>
      </c>
      <c r="J557" s="971">
        <v>284691</v>
      </c>
      <c r="K557" s="970">
        <v>167453</v>
      </c>
      <c r="L557" s="969">
        <v>39221</v>
      </c>
      <c r="M557" s="969"/>
      <c r="N557" s="970">
        <v>33191</v>
      </c>
      <c r="O557" s="970">
        <v>0</v>
      </c>
      <c r="P557" s="970">
        <v>0</v>
      </c>
      <c r="Q557" s="969">
        <v>3498</v>
      </c>
      <c r="R557" s="969"/>
      <c r="S557" s="970">
        <v>395143</v>
      </c>
      <c r="T557" s="972">
        <v>17230</v>
      </c>
      <c r="U557" s="972">
        <v>412373</v>
      </c>
    </row>
    <row r="558" spans="1:21" x14ac:dyDescent="0.25">
      <c r="A558" s="966">
        <v>96102</v>
      </c>
      <c r="B558" s="967" t="s">
        <v>3171</v>
      </c>
      <c r="C558" s="968">
        <v>1.36E-5</v>
      </c>
      <c r="D558" s="968">
        <v>1.42E-5</v>
      </c>
      <c r="E558" s="1007">
        <v>5078</v>
      </c>
      <c r="F558" s="1010">
        <v>30137</v>
      </c>
      <c r="G558" s="969">
        <v>20777</v>
      </c>
      <c r="H558" s="969"/>
      <c r="I558" s="970">
        <v>1197</v>
      </c>
      <c r="J558" s="971">
        <v>5045</v>
      </c>
      <c r="K558" s="970">
        <v>2967</v>
      </c>
      <c r="L558" s="969">
        <v>0</v>
      </c>
      <c r="M558" s="969"/>
      <c r="N558" s="970">
        <v>588</v>
      </c>
      <c r="O558" s="970">
        <v>0</v>
      </c>
      <c r="P558" s="970">
        <v>0</v>
      </c>
      <c r="Q558" s="969">
        <v>3137</v>
      </c>
      <c r="R558" s="969"/>
      <c r="S558" s="970">
        <v>7002</v>
      </c>
      <c r="T558" s="972">
        <v>-1435</v>
      </c>
      <c r="U558" s="972">
        <v>5567</v>
      </c>
    </row>
    <row r="559" spans="1:21" x14ac:dyDescent="0.25">
      <c r="A559" s="966">
        <v>96111</v>
      </c>
      <c r="B559" s="967" t="s">
        <v>3172</v>
      </c>
      <c r="C559" s="968">
        <v>1.5349999999999999E-4</v>
      </c>
      <c r="D559" s="968">
        <v>1.6119999999999999E-4</v>
      </c>
      <c r="E559" s="1007">
        <v>74819</v>
      </c>
      <c r="F559" s="1010">
        <v>342120</v>
      </c>
      <c r="G559" s="969">
        <v>234505</v>
      </c>
      <c r="H559" s="969"/>
      <c r="I559" s="970">
        <v>13510</v>
      </c>
      <c r="J559" s="971">
        <v>56938</v>
      </c>
      <c r="K559" s="970">
        <v>33491</v>
      </c>
      <c r="L559" s="969">
        <v>9403</v>
      </c>
      <c r="M559" s="969"/>
      <c r="N559" s="970">
        <v>6638</v>
      </c>
      <c r="O559" s="970">
        <v>0</v>
      </c>
      <c r="P559" s="970">
        <v>0</v>
      </c>
      <c r="Q559" s="969">
        <v>1683</v>
      </c>
      <c r="R559" s="969"/>
      <c r="S559" s="970">
        <v>79029</v>
      </c>
      <c r="T559" s="972">
        <v>6754</v>
      </c>
      <c r="U559" s="972">
        <v>85783</v>
      </c>
    </row>
    <row r="560" spans="1:21" x14ac:dyDescent="0.25">
      <c r="A560" s="966">
        <v>96121</v>
      </c>
      <c r="B560" s="967" t="s">
        <v>3173</v>
      </c>
      <c r="C560" s="968">
        <v>2.2500000000000001E-5</v>
      </c>
      <c r="D560" s="968">
        <v>2.2099999999999998E-5</v>
      </c>
      <c r="E560" s="1007">
        <v>9052</v>
      </c>
      <c r="F560" s="1010">
        <v>46904</v>
      </c>
      <c r="G560" s="969">
        <v>34374</v>
      </c>
      <c r="H560" s="969"/>
      <c r="I560" s="970">
        <v>1980</v>
      </c>
      <c r="J560" s="971">
        <v>8346</v>
      </c>
      <c r="K560" s="970">
        <v>4909</v>
      </c>
      <c r="L560" s="969">
        <v>397</v>
      </c>
      <c r="M560" s="969"/>
      <c r="N560" s="970">
        <v>973</v>
      </c>
      <c r="O560" s="970">
        <v>0</v>
      </c>
      <c r="P560" s="970">
        <v>0</v>
      </c>
      <c r="Q560" s="969">
        <v>1764</v>
      </c>
      <c r="R560" s="969"/>
      <c r="S560" s="970">
        <v>11584</v>
      </c>
      <c r="T560" s="972">
        <v>-946</v>
      </c>
      <c r="U560" s="972">
        <v>10638</v>
      </c>
    </row>
    <row r="561" spans="1:21" x14ac:dyDescent="0.25">
      <c r="A561" s="966">
        <v>96201</v>
      </c>
      <c r="B561" s="967" t="s">
        <v>3174</v>
      </c>
      <c r="C561" s="968">
        <v>1.1788E-3</v>
      </c>
      <c r="D561" s="968">
        <v>1.2302999999999999E-3</v>
      </c>
      <c r="E561" s="1007">
        <v>527645</v>
      </c>
      <c r="F561" s="1010">
        <v>2611109</v>
      </c>
      <c r="G561" s="969">
        <v>1800880</v>
      </c>
      <c r="H561" s="969"/>
      <c r="I561" s="970">
        <v>103747</v>
      </c>
      <c r="J561" s="971">
        <v>437256</v>
      </c>
      <c r="K561" s="970">
        <v>257191</v>
      </c>
      <c r="L561" s="969">
        <v>0</v>
      </c>
      <c r="M561" s="969"/>
      <c r="N561" s="970">
        <v>50977</v>
      </c>
      <c r="O561" s="970">
        <v>0</v>
      </c>
      <c r="P561" s="970">
        <v>0</v>
      </c>
      <c r="Q561" s="969">
        <v>73119</v>
      </c>
      <c r="R561" s="969"/>
      <c r="S561" s="970">
        <v>606898</v>
      </c>
      <c r="T561" s="972">
        <v>-23257</v>
      </c>
      <c r="U561" s="972">
        <v>583641</v>
      </c>
    </row>
    <row r="562" spans="1:21" x14ac:dyDescent="0.25">
      <c r="A562" s="966">
        <v>96204</v>
      </c>
      <c r="B562" s="967" t="s">
        <v>3175</v>
      </c>
      <c r="C562" s="968">
        <v>1.5099999999999999E-5</v>
      </c>
      <c r="D562" s="968">
        <v>1.5400000000000002E-5</v>
      </c>
      <c r="E562" s="1007">
        <v>8503</v>
      </c>
      <c r="F562" s="1010">
        <v>32684</v>
      </c>
      <c r="G562" s="969">
        <v>23069</v>
      </c>
      <c r="H562" s="969"/>
      <c r="I562" s="970">
        <v>1329</v>
      </c>
      <c r="J562" s="971">
        <v>5602</v>
      </c>
      <c r="K562" s="970">
        <v>3295</v>
      </c>
      <c r="L562" s="969">
        <v>3517</v>
      </c>
      <c r="M562" s="969"/>
      <c r="N562" s="970">
        <v>653</v>
      </c>
      <c r="O562" s="970">
        <v>0</v>
      </c>
      <c r="P562" s="970">
        <v>0</v>
      </c>
      <c r="Q562" s="969">
        <v>0</v>
      </c>
      <c r="R562" s="969"/>
      <c r="S562" s="970">
        <v>7774</v>
      </c>
      <c r="T562" s="972">
        <v>1655</v>
      </c>
      <c r="U562" s="972">
        <f>9430-1</f>
        <v>9429</v>
      </c>
    </row>
    <row r="563" spans="1:21" x14ac:dyDescent="0.25">
      <c r="A563" s="966">
        <v>96211</v>
      </c>
      <c r="B563" s="967" t="s">
        <v>3176</v>
      </c>
      <c r="C563" s="968">
        <v>2.62E-5</v>
      </c>
      <c r="D563" s="968">
        <v>3.0700000000000001E-5</v>
      </c>
      <c r="E563" s="1007">
        <v>16678</v>
      </c>
      <c r="F563" s="1010">
        <v>65156</v>
      </c>
      <c r="G563" s="969">
        <v>40026</v>
      </c>
      <c r="H563" s="969"/>
      <c r="I563" s="970">
        <v>2306</v>
      </c>
      <c r="J563" s="971">
        <v>9718</v>
      </c>
      <c r="K563" s="970">
        <v>5716</v>
      </c>
      <c r="L563" s="969">
        <v>4494</v>
      </c>
      <c r="M563" s="969"/>
      <c r="N563" s="970">
        <v>1133</v>
      </c>
      <c r="O563" s="970">
        <v>0</v>
      </c>
      <c r="P563" s="970">
        <v>0</v>
      </c>
      <c r="Q563" s="969">
        <v>4462</v>
      </c>
      <c r="R563" s="969"/>
      <c r="S563" s="970">
        <v>13489</v>
      </c>
      <c r="T563" s="972">
        <v>-2681</v>
      </c>
      <c r="U563" s="972">
        <v>10808</v>
      </c>
    </row>
    <row r="564" spans="1:21" x14ac:dyDescent="0.25">
      <c r="A564" s="966">
        <v>96221</v>
      </c>
      <c r="B564" s="967" t="s">
        <v>3177</v>
      </c>
      <c r="C564" s="968">
        <v>2.3350000000000001E-4</v>
      </c>
      <c r="D564" s="968">
        <v>2.287E-4</v>
      </c>
      <c r="E564" s="1007">
        <v>98415</v>
      </c>
      <c r="F564" s="1010">
        <v>485378</v>
      </c>
      <c r="G564" s="969">
        <v>356723</v>
      </c>
      <c r="H564" s="969"/>
      <c r="I564" s="970">
        <v>20551</v>
      </c>
      <c r="J564" s="971">
        <v>86613</v>
      </c>
      <c r="K564" s="970">
        <v>50945</v>
      </c>
      <c r="L564" s="969">
        <v>2439</v>
      </c>
      <c r="M564" s="969"/>
      <c r="N564" s="970">
        <v>10098</v>
      </c>
      <c r="O564" s="970">
        <v>0</v>
      </c>
      <c r="P564" s="970">
        <v>0</v>
      </c>
      <c r="Q564" s="969">
        <v>15042</v>
      </c>
      <c r="R564" s="969"/>
      <c r="S564" s="970">
        <v>120216</v>
      </c>
      <c r="T564" s="972">
        <v>-3357</v>
      </c>
      <c r="U564" s="972">
        <f>116860-1</f>
        <v>116859</v>
      </c>
    </row>
    <row r="565" spans="1:21" x14ac:dyDescent="0.25">
      <c r="A565" s="966">
        <v>96231</v>
      </c>
      <c r="B565" s="967" t="s">
        <v>3178</v>
      </c>
      <c r="C565" s="968">
        <v>1.3339999999999999E-4</v>
      </c>
      <c r="D565" s="968">
        <v>1.145E-4</v>
      </c>
      <c r="E565" s="1007">
        <v>48595</v>
      </c>
      <c r="F565" s="1010">
        <v>243007</v>
      </c>
      <c r="G565" s="969">
        <v>203798</v>
      </c>
      <c r="H565" s="969"/>
      <c r="I565" s="970">
        <v>11741</v>
      </c>
      <c r="J565" s="971">
        <v>49482</v>
      </c>
      <c r="K565" s="970">
        <v>29105</v>
      </c>
      <c r="L565" s="969">
        <v>2554</v>
      </c>
      <c r="M565" s="969"/>
      <c r="N565" s="970">
        <v>5769</v>
      </c>
      <c r="O565" s="970">
        <v>0</v>
      </c>
      <c r="P565" s="970">
        <v>0</v>
      </c>
      <c r="Q565" s="969">
        <v>14959</v>
      </c>
      <c r="R565" s="969"/>
      <c r="S565" s="970">
        <v>68680</v>
      </c>
      <c r="T565" s="972">
        <v>-7094</v>
      </c>
      <c r="U565" s="972">
        <v>61586</v>
      </c>
    </row>
    <row r="566" spans="1:21" x14ac:dyDescent="0.25">
      <c r="A566" s="966">
        <v>96241</v>
      </c>
      <c r="B566" s="967" t="s">
        <v>3179</v>
      </c>
      <c r="C566" s="968">
        <v>4.4700000000000002E-5</v>
      </c>
      <c r="D566" s="968">
        <v>4.6100000000000002E-5</v>
      </c>
      <c r="E566" s="1007">
        <v>22791</v>
      </c>
      <c r="F566" s="1010">
        <v>97840</v>
      </c>
      <c r="G566" s="969">
        <v>68289</v>
      </c>
      <c r="H566" s="969"/>
      <c r="I566" s="970">
        <v>3934</v>
      </c>
      <c r="J566" s="971">
        <v>16580</v>
      </c>
      <c r="K566" s="970">
        <v>9753</v>
      </c>
      <c r="L566" s="969">
        <v>5027</v>
      </c>
      <c r="M566" s="969"/>
      <c r="N566" s="970">
        <v>1933</v>
      </c>
      <c r="O566" s="970">
        <v>0</v>
      </c>
      <c r="P566" s="970">
        <v>0</v>
      </c>
      <c r="Q566" s="969">
        <v>4371</v>
      </c>
      <c r="R566" s="969"/>
      <c r="S566" s="970">
        <v>23014</v>
      </c>
      <c r="T566" s="972">
        <v>2407</v>
      </c>
      <c r="U566" s="972">
        <f>25420+1</f>
        <v>25421</v>
      </c>
    </row>
    <row r="567" spans="1:21" x14ac:dyDescent="0.25">
      <c r="A567" s="966">
        <v>96251</v>
      </c>
      <c r="B567" s="967" t="s">
        <v>3180</v>
      </c>
      <c r="C567" s="968">
        <v>9.3999999999999994E-5</v>
      </c>
      <c r="D567" s="968">
        <v>7.7100000000000004E-5</v>
      </c>
      <c r="E567" s="1007">
        <v>36737</v>
      </c>
      <c r="F567" s="1010">
        <v>163632</v>
      </c>
      <c r="G567" s="969">
        <v>143606</v>
      </c>
      <c r="H567" s="969"/>
      <c r="I567" s="970">
        <v>8273</v>
      </c>
      <c r="J567" s="971">
        <v>34868</v>
      </c>
      <c r="K567" s="970">
        <v>20509</v>
      </c>
      <c r="L567" s="969">
        <v>6198</v>
      </c>
      <c r="M567" s="969"/>
      <c r="N567" s="970">
        <v>4065</v>
      </c>
      <c r="O567" s="970">
        <v>0</v>
      </c>
      <c r="P567" s="970">
        <v>0</v>
      </c>
      <c r="Q567" s="969">
        <v>16886</v>
      </c>
      <c r="R567" s="969"/>
      <c r="S567" s="970">
        <v>48395</v>
      </c>
      <c r="T567" s="972">
        <v>-7102</v>
      </c>
      <c r="U567" s="972">
        <v>41293</v>
      </c>
    </row>
    <row r="568" spans="1:21" x14ac:dyDescent="0.25">
      <c r="A568" s="966">
        <v>96301</v>
      </c>
      <c r="B568" s="967" t="s">
        <v>3181</v>
      </c>
      <c r="C568" s="968">
        <v>4.3712999999999998E-3</v>
      </c>
      <c r="D568" s="968">
        <v>4.3785999999999999E-3</v>
      </c>
      <c r="E568" s="1007">
        <v>1938350</v>
      </c>
      <c r="F568" s="1010">
        <v>9292856</v>
      </c>
      <c r="G568" s="969">
        <v>6678136</v>
      </c>
      <c r="H568" s="969"/>
      <c r="I568" s="970">
        <v>384722</v>
      </c>
      <c r="J568" s="971">
        <v>1621460</v>
      </c>
      <c r="K568" s="970">
        <v>953730</v>
      </c>
      <c r="L568" s="969">
        <v>60786</v>
      </c>
      <c r="M568" s="969"/>
      <c r="N568" s="970">
        <v>189037</v>
      </c>
      <c r="O568" s="970">
        <v>0</v>
      </c>
      <c r="P568" s="970">
        <v>0</v>
      </c>
      <c r="Q568" s="969">
        <v>160488</v>
      </c>
      <c r="R568" s="969"/>
      <c r="S568" s="970">
        <v>2250538</v>
      </c>
      <c r="T568" s="972">
        <v>-27776</v>
      </c>
      <c r="U568" s="972">
        <v>2222762</v>
      </c>
    </row>
    <row r="569" spans="1:21" x14ac:dyDescent="0.25">
      <c r="A569" s="966">
        <v>96302</v>
      </c>
      <c r="B569" s="967" t="s">
        <v>3182</v>
      </c>
      <c r="C569" s="968">
        <v>2.5199999999999999E-5</v>
      </c>
      <c r="D569" s="968">
        <v>1.9199999999999999E-5</v>
      </c>
      <c r="E569" s="1007">
        <v>12121</v>
      </c>
      <c r="F569" s="1010">
        <v>40749</v>
      </c>
      <c r="G569" s="969">
        <v>38499</v>
      </c>
      <c r="H569" s="969"/>
      <c r="I569" s="970">
        <v>2218</v>
      </c>
      <c r="J569" s="971">
        <v>9347</v>
      </c>
      <c r="K569" s="970">
        <v>5498</v>
      </c>
      <c r="L569" s="969">
        <v>7399</v>
      </c>
      <c r="M569" s="969"/>
      <c r="N569" s="970">
        <v>1090</v>
      </c>
      <c r="O569" s="970">
        <v>0</v>
      </c>
      <c r="P569" s="970">
        <v>0</v>
      </c>
      <c r="Q569" s="969">
        <v>0</v>
      </c>
      <c r="R569" s="969"/>
      <c r="S569" s="970">
        <v>12974</v>
      </c>
      <c r="T569" s="972">
        <v>2631</v>
      </c>
      <c r="U569" s="972">
        <v>15605</v>
      </c>
    </row>
    <row r="570" spans="1:21" x14ac:dyDescent="0.25">
      <c r="A570" s="966">
        <v>96304</v>
      </c>
      <c r="B570" s="967" t="s">
        <v>3183</v>
      </c>
      <c r="C570" s="968">
        <v>4.5500000000000001E-5</v>
      </c>
      <c r="D570" s="968">
        <v>5.4599999999999999E-5</v>
      </c>
      <c r="E570" s="1007">
        <v>27294</v>
      </c>
      <c r="F570" s="1010">
        <v>115879</v>
      </c>
      <c r="G570" s="969">
        <v>69511</v>
      </c>
      <c r="H570" s="969"/>
      <c r="I570" s="970">
        <v>4005</v>
      </c>
      <c r="J570" s="971">
        <v>16877</v>
      </c>
      <c r="K570" s="970">
        <v>9927</v>
      </c>
      <c r="L570" s="969">
        <v>5469</v>
      </c>
      <c r="M570" s="969"/>
      <c r="N570" s="970">
        <v>1968</v>
      </c>
      <c r="O570" s="970">
        <v>0</v>
      </c>
      <c r="P570" s="970">
        <v>0</v>
      </c>
      <c r="Q570" s="969">
        <v>1092</v>
      </c>
      <c r="R570" s="969"/>
      <c r="S570" s="970">
        <v>23425</v>
      </c>
      <c r="T570" s="972">
        <v>2085</v>
      </c>
      <c r="U570" s="972">
        <v>25510</v>
      </c>
    </row>
    <row r="571" spans="1:21" x14ac:dyDescent="0.25">
      <c r="A571" s="966">
        <v>96305</v>
      </c>
      <c r="B571" s="967" t="s">
        <v>3184</v>
      </c>
      <c r="C571" s="968">
        <v>4.5500000000000001E-5</v>
      </c>
      <c r="D571" s="968">
        <v>4.8199999999999999E-5</v>
      </c>
      <c r="E571" s="1007">
        <v>30520</v>
      </c>
      <c r="F571" s="1010">
        <v>102297</v>
      </c>
      <c r="G571" s="969">
        <v>69511</v>
      </c>
      <c r="H571" s="969"/>
      <c r="I571" s="970">
        <v>4005</v>
      </c>
      <c r="J571" s="971">
        <v>16877</v>
      </c>
      <c r="K571" s="970">
        <v>9927</v>
      </c>
      <c r="L571" s="969">
        <v>13328</v>
      </c>
      <c r="M571" s="969"/>
      <c r="N571" s="970">
        <v>1968</v>
      </c>
      <c r="O571" s="970">
        <v>0</v>
      </c>
      <c r="P571" s="970">
        <v>0</v>
      </c>
      <c r="Q571" s="969">
        <v>0</v>
      </c>
      <c r="R571" s="969"/>
      <c r="S571" s="970">
        <v>23425</v>
      </c>
      <c r="T571" s="972">
        <v>4752</v>
      </c>
      <c r="U571" s="972">
        <v>28177</v>
      </c>
    </row>
    <row r="572" spans="1:21" x14ac:dyDescent="0.25">
      <c r="A572" s="966">
        <v>96310</v>
      </c>
      <c r="B572" s="967" t="s">
        <v>3185</v>
      </c>
      <c r="C572" s="968">
        <v>6.1099999999999994E-5</v>
      </c>
      <c r="D572" s="968">
        <v>4.88E-5</v>
      </c>
      <c r="E572" s="1007">
        <v>26767</v>
      </c>
      <c r="F572" s="1010">
        <v>103570</v>
      </c>
      <c r="G572" s="969">
        <v>93344</v>
      </c>
      <c r="H572" s="969"/>
      <c r="I572" s="970">
        <v>5377</v>
      </c>
      <c r="J572" s="971">
        <v>22664</v>
      </c>
      <c r="K572" s="970">
        <v>13331</v>
      </c>
      <c r="L572" s="969">
        <v>10507</v>
      </c>
      <c r="M572" s="969"/>
      <c r="N572" s="970">
        <v>2642</v>
      </c>
      <c r="O572" s="970">
        <v>0</v>
      </c>
      <c r="P572" s="970">
        <v>0</v>
      </c>
      <c r="Q572" s="969">
        <v>3055</v>
      </c>
      <c r="R572" s="969"/>
      <c r="S572" s="970">
        <v>31457</v>
      </c>
      <c r="T572" s="972">
        <v>3506</v>
      </c>
      <c r="U572" s="972">
        <v>34963</v>
      </c>
    </row>
    <row r="573" spans="1:21" x14ac:dyDescent="0.25">
      <c r="A573" s="966">
        <v>96311</v>
      </c>
      <c r="B573" s="967" t="s">
        <v>3186</v>
      </c>
      <c r="C573" s="968">
        <v>1.3113000000000001E-3</v>
      </c>
      <c r="D573" s="968">
        <v>1.4082999999999999E-3</v>
      </c>
      <c r="E573" s="1007">
        <v>595124</v>
      </c>
      <c r="F573" s="1010">
        <v>2988884</v>
      </c>
      <c r="G573" s="969">
        <v>2003303</v>
      </c>
      <c r="H573" s="969"/>
      <c r="I573" s="970">
        <v>115409</v>
      </c>
      <c r="J573" s="971">
        <v>486404</v>
      </c>
      <c r="K573" s="970">
        <v>286099</v>
      </c>
      <c r="L573" s="969">
        <v>11041</v>
      </c>
      <c r="M573" s="969"/>
      <c r="N573" s="970">
        <v>56707</v>
      </c>
      <c r="O573" s="970">
        <v>0</v>
      </c>
      <c r="P573" s="970">
        <v>0</v>
      </c>
      <c r="Q573" s="969">
        <v>139297</v>
      </c>
      <c r="R573" s="969"/>
      <c r="S573" s="970">
        <v>675115</v>
      </c>
      <c r="T573" s="972">
        <v>-33999</v>
      </c>
      <c r="U573" s="972">
        <v>641116</v>
      </c>
    </row>
    <row r="574" spans="1:21" x14ac:dyDescent="0.25">
      <c r="A574" s="966">
        <v>96312</v>
      </c>
      <c r="B574" s="967" t="s">
        <v>3187</v>
      </c>
      <c r="C574" s="968">
        <v>1.5999999999999999E-5</v>
      </c>
      <c r="D574" s="968">
        <v>1.5999999999999999E-6</v>
      </c>
      <c r="E574" s="1007">
        <v>4820</v>
      </c>
      <c r="F574" s="1010">
        <v>3396</v>
      </c>
      <c r="G574" s="969">
        <v>24444</v>
      </c>
      <c r="H574" s="969"/>
      <c r="I574" s="970">
        <v>1408</v>
      </c>
      <c r="J574" s="971">
        <v>5935</v>
      </c>
      <c r="K574" s="970">
        <v>3491</v>
      </c>
      <c r="L574" s="969">
        <v>7668</v>
      </c>
      <c r="M574" s="969"/>
      <c r="N574" s="970">
        <v>692</v>
      </c>
      <c r="O574" s="970">
        <v>0</v>
      </c>
      <c r="P574" s="970">
        <v>0</v>
      </c>
      <c r="Q574" s="969">
        <v>1864</v>
      </c>
      <c r="R574" s="969"/>
      <c r="S574" s="970">
        <v>8238</v>
      </c>
      <c r="T574" s="972">
        <v>374</v>
      </c>
      <c r="U574" s="972">
        <v>8612</v>
      </c>
    </row>
    <row r="575" spans="1:21" x14ac:dyDescent="0.25">
      <c r="A575" s="966">
        <v>96318</v>
      </c>
      <c r="B575" s="967" t="s">
        <v>3188</v>
      </c>
      <c r="C575" s="968">
        <v>2.1684999999999999E-3</v>
      </c>
      <c r="D575" s="968">
        <v>1.7782E-3</v>
      </c>
      <c r="E575" s="1007">
        <v>1061238</v>
      </c>
      <c r="F575" s="1010">
        <v>3773936</v>
      </c>
      <c r="G575" s="969">
        <v>3312867</v>
      </c>
      <c r="H575" s="969"/>
      <c r="I575" s="970">
        <v>190852</v>
      </c>
      <c r="J575" s="971">
        <v>804368</v>
      </c>
      <c r="K575" s="970">
        <v>473123</v>
      </c>
      <c r="L575" s="969">
        <v>7711758</v>
      </c>
      <c r="M575" s="969"/>
      <c r="N575" s="970">
        <v>93777</v>
      </c>
      <c r="O575" s="970">
        <v>0</v>
      </c>
      <c r="P575" s="970">
        <v>0</v>
      </c>
      <c r="Q575" s="969">
        <v>0</v>
      </c>
      <c r="R575" s="969"/>
      <c r="S575" s="970">
        <v>1116439</v>
      </c>
      <c r="T575" s="972">
        <v>2665103</v>
      </c>
      <c r="U575" s="972">
        <v>3781542</v>
      </c>
    </row>
    <row r="576" spans="1:21" x14ac:dyDescent="0.25">
      <c r="A576" s="966">
        <v>96321</v>
      </c>
      <c r="B576" s="967" t="s">
        <v>3189</v>
      </c>
      <c r="C576" s="968">
        <v>3.6900000000000002E-5</v>
      </c>
      <c r="D576" s="968">
        <v>3.7400000000000001E-5</v>
      </c>
      <c r="E576" s="1007">
        <v>18737</v>
      </c>
      <c r="F576" s="1010">
        <v>79375</v>
      </c>
      <c r="G576" s="969">
        <v>56373</v>
      </c>
      <c r="H576" s="969"/>
      <c r="I576" s="970">
        <v>3248</v>
      </c>
      <c r="J576" s="971">
        <v>13687</v>
      </c>
      <c r="K576" s="970">
        <v>8051</v>
      </c>
      <c r="L576" s="969">
        <v>1642</v>
      </c>
      <c r="M576" s="969"/>
      <c r="N576" s="970">
        <v>1596</v>
      </c>
      <c r="O576" s="970">
        <v>0</v>
      </c>
      <c r="P576" s="970">
        <v>0</v>
      </c>
      <c r="Q576" s="969">
        <v>2449</v>
      </c>
      <c r="R576" s="969"/>
      <c r="S576" s="970">
        <v>18998</v>
      </c>
      <c r="T576" s="972">
        <v>-489</v>
      </c>
      <c r="U576" s="972">
        <v>18509</v>
      </c>
    </row>
    <row r="577" spans="1:21" x14ac:dyDescent="0.25">
      <c r="A577" s="966">
        <v>96331</v>
      </c>
      <c r="B577" s="967" t="s">
        <v>3190</v>
      </c>
      <c r="C577" s="968">
        <v>7.0850000000000004E-4</v>
      </c>
      <c r="D577" s="968">
        <v>7.1699999999999997E-4</v>
      </c>
      <c r="E577" s="1007">
        <v>321182</v>
      </c>
      <c r="F577" s="1010">
        <v>1521714</v>
      </c>
      <c r="G577" s="969">
        <v>1082392</v>
      </c>
      <c r="H577" s="969"/>
      <c r="I577" s="970">
        <v>62356</v>
      </c>
      <c r="J577" s="971">
        <v>262806</v>
      </c>
      <c r="K577" s="970">
        <v>154581</v>
      </c>
      <c r="L577" s="969">
        <v>3107</v>
      </c>
      <c r="M577" s="969"/>
      <c r="N577" s="970">
        <v>30639</v>
      </c>
      <c r="O577" s="970">
        <v>0</v>
      </c>
      <c r="P577" s="970">
        <v>0</v>
      </c>
      <c r="Q577" s="969">
        <v>53524</v>
      </c>
      <c r="R577" s="969"/>
      <c r="S577" s="970">
        <v>364767</v>
      </c>
      <c r="T577" s="972">
        <v>-22322</v>
      </c>
      <c r="U577" s="972">
        <v>342445</v>
      </c>
    </row>
    <row r="578" spans="1:21" x14ac:dyDescent="0.25">
      <c r="A578" s="966">
        <v>96341</v>
      </c>
      <c r="B578" s="967" t="s">
        <v>3191</v>
      </c>
      <c r="C578" s="968">
        <v>8.3800000000000004E-5</v>
      </c>
      <c r="D578" s="968">
        <v>9.1600000000000004E-5</v>
      </c>
      <c r="E578" s="1007">
        <v>35036</v>
      </c>
      <c r="F578" s="1010">
        <v>194406</v>
      </c>
      <c r="G578" s="969">
        <v>128023</v>
      </c>
      <c r="H578" s="969"/>
      <c r="I578" s="970">
        <v>7375</v>
      </c>
      <c r="J578" s="971">
        <v>31084</v>
      </c>
      <c r="K578" s="970">
        <v>18283</v>
      </c>
      <c r="L578" s="969">
        <v>8694</v>
      </c>
      <c r="M578" s="969"/>
      <c r="N578" s="970">
        <v>3624</v>
      </c>
      <c r="O578" s="970">
        <v>0</v>
      </c>
      <c r="P578" s="970">
        <v>0</v>
      </c>
      <c r="Q578" s="969">
        <v>13544</v>
      </c>
      <c r="R578" s="969"/>
      <c r="S578" s="970">
        <v>43144</v>
      </c>
      <c r="T578" s="972">
        <v>-3090</v>
      </c>
      <c r="U578" s="972">
        <v>40054</v>
      </c>
    </row>
    <row r="579" spans="1:21" x14ac:dyDescent="0.25">
      <c r="A579" s="966">
        <v>96351</v>
      </c>
      <c r="B579" s="967" t="s">
        <v>3192</v>
      </c>
      <c r="C579" s="968">
        <v>1.0616E-3</v>
      </c>
      <c r="D579" s="968">
        <v>1.0736000000000001E-3</v>
      </c>
      <c r="E579" s="1007">
        <v>488441</v>
      </c>
      <c r="F579" s="1010">
        <v>2278539</v>
      </c>
      <c r="G579" s="969">
        <v>1621831</v>
      </c>
      <c r="H579" s="969"/>
      <c r="I579" s="970">
        <v>93432</v>
      </c>
      <c r="J579" s="971">
        <v>393782</v>
      </c>
      <c r="K579" s="970">
        <v>231620</v>
      </c>
      <c r="L579" s="969">
        <v>5421</v>
      </c>
      <c r="M579" s="969"/>
      <c r="N579" s="970">
        <v>45909</v>
      </c>
      <c r="O579" s="970">
        <v>0</v>
      </c>
      <c r="P579" s="970">
        <v>0</v>
      </c>
      <c r="Q579" s="969">
        <v>28542</v>
      </c>
      <c r="R579" s="969"/>
      <c r="S579" s="970">
        <v>546558</v>
      </c>
      <c r="T579" s="972">
        <v>-5218</v>
      </c>
      <c r="U579" s="972">
        <v>541340</v>
      </c>
    </row>
    <row r="580" spans="1:21" x14ac:dyDescent="0.25">
      <c r="A580" s="966">
        <v>96361</v>
      </c>
      <c r="B580" s="967" t="s">
        <v>3193</v>
      </c>
      <c r="C580" s="968">
        <v>5.5699999999999999E-5</v>
      </c>
      <c r="D580" s="968">
        <v>5.8900000000000002E-5</v>
      </c>
      <c r="E580" s="1007">
        <v>24289</v>
      </c>
      <c r="F580" s="1010">
        <v>125006</v>
      </c>
      <c r="G580" s="969">
        <v>85094</v>
      </c>
      <c r="H580" s="969"/>
      <c r="I580" s="970">
        <v>4902</v>
      </c>
      <c r="J580" s="971">
        <v>20661</v>
      </c>
      <c r="K580" s="970">
        <v>12153</v>
      </c>
      <c r="L580" s="969">
        <v>3403</v>
      </c>
      <c r="M580" s="969"/>
      <c r="N580" s="970">
        <v>2409</v>
      </c>
      <c r="O580" s="970">
        <v>0</v>
      </c>
      <c r="P580" s="970">
        <v>0</v>
      </c>
      <c r="Q580" s="969">
        <v>3423</v>
      </c>
      <c r="R580" s="969"/>
      <c r="S580" s="970">
        <v>28677</v>
      </c>
      <c r="T580" s="972">
        <v>936</v>
      </c>
      <c r="U580" s="972">
        <f>29612+1</f>
        <v>29613</v>
      </c>
    </row>
    <row r="581" spans="1:21" x14ac:dyDescent="0.25">
      <c r="A581" s="966">
        <v>96371</v>
      </c>
      <c r="B581" s="967" t="s">
        <v>3194</v>
      </c>
      <c r="C581" s="968">
        <v>1.5249999999999999E-4</v>
      </c>
      <c r="D581" s="968">
        <v>1.6359999999999999E-4</v>
      </c>
      <c r="E581" s="1007">
        <v>67276</v>
      </c>
      <c r="F581" s="1010">
        <v>347214</v>
      </c>
      <c r="G581" s="969">
        <v>232978</v>
      </c>
      <c r="H581" s="969"/>
      <c r="I581" s="970">
        <v>13422</v>
      </c>
      <c r="J581" s="971">
        <v>56568</v>
      </c>
      <c r="K581" s="970">
        <v>33272</v>
      </c>
      <c r="L581" s="969">
        <v>1335</v>
      </c>
      <c r="M581" s="969"/>
      <c r="N581" s="970">
        <v>6595</v>
      </c>
      <c r="O581" s="970">
        <v>0</v>
      </c>
      <c r="P581" s="970">
        <v>0</v>
      </c>
      <c r="Q581" s="969">
        <v>14966</v>
      </c>
      <c r="R581" s="969"/>
      <c r="S581" s="970">
        <v>78514</v>
      </c>
      <c r="T581" s="972">
        <v>-3158</v>
      </c>
      <c r="U581" s="972">
        <v>75356</v>
      </c>
    </row>
    <row r="582" spans="1:21" x14ac:dyDescent="0.25">
      <c r="A582" s="966">
        <v>96381</v>
      </c>
      <c r="B582" s="967" t="s">
        <v>3195</v>
      </c>
      <c r="C582" s="968">
        <v>3.2100000000000001E-5</v>
      </c>
      <c r="D582" s="968">
        <v>3.26E-5</v>
      </c>
      <c r="E582" s="1007">
        <v>15357</v>
      </c>
      <c r="F582" s="1010">
        <v>69188</v>
      </c>
      <c r="G582" s="969">
        <v>49040</v>
      </c>
      <c r="H582" s="969"/>
      <c r="I582" s="970">
        <v>2825</v>
      </c>
      <c r="J582" s="971">
        <v>11907</v>
      </c>
      <c r="K582" s="970">
        <v>7004</v>
      </c>
      <c r="L582" s="969">
        <v>235</v>
      </c>
      <c r="M582" s="969"/>
      <c r="N582" s="970">
        <v>1388</v>
      </c>
      <c r="O582" s="970">
        <v>0</v>
      </c>
      <c r="P582" s="970">
        <v>0</v>
      </c>
      <c r="Q582" s="969">
        <v>1858</v>
      </c>
      <c r="R582" s="969"/>
      <c r="S582" s="970">
        <v>16526</v>
      </c>
      <c r="T582" s="972">
        <v>-1164</v>
      </c>
      <c r="U582" s="972">
        <v>15362</v>
      </c>
    </row>
    <row r="583" spans="1:21" x14ac:dyDescent="0.25">
      <c r="A583" s="966">
        <v>96391</v>
      </c>
      <c r="B583" s="967" t="s">
        <v>3196</v>
      </c>
      <c r="C583" s="968">
        <v>2.029E-4</v>
      </c>
      <c r="D583" s="968">
        <v>1.807E-4</v>
      </c>
      <c r="E583" s="1007">
        <v>74519</v>
      </c>
      <c r="F583" s="1010">
        <v>383506</v>
      </c>
      <c r="G583" s="969">
        <v>309975</v>
      </c>
      <c r="H583" s="969"/>
      <c r="I583" s="970">
        <v>17857</v>
      </c>
      <c r="J583" s="971">
        <v>75263</v>
      </c>
      <c r="K583" s="970">
        <v>44269</v>
      </c>
      <c r="L583" s="969">
        <v>9831</v>
      </c>
      <c r="M583" s="969"/>
      <c r="N583" s="970">
        <v>8774</v>
      </c>
      <c r="O583" s="970">
        <v>0</v>
      </c>
      <c r="P583" s="970">
        <v>0</v>
      </c>
      <c r="Q583" s="969">
        <v>18208</v>
      </c>
      <c r="R583" s="969"/>
      <c r="S583" s="970">
        <v>104462</v>
      </c>
      <c r="T583" s="972">
        <v>2008</v>
      </c>
      <c r="U583" s="972">
        <v>106470</v>
      </c>
    </row>
    <row r="584" spans="1:21" x14ac:dyDescent="0.25">
      <c r="A584" s="966">
        <v>96401</v>
      </c>
      <c r="B584" s="967" t="s">
        <v>3197</v>
      </c>
      <c r="C584" s="968">
        <v>4.5672000000000004E-3</v>
      </c>
      <c r="D584" s="968">
        <v>4.5900000000000003E-3</v>
      </c>
      <c r="E584" s="1007">
        <v>2040109</v>
      </c>
      <c r="F584" s="1010">
        <v>9741518</v>
      </c>
      <c r="G584" s="969">
        <v>6977416</v>
      </c>
      <c r="H584" s="969"/>
      <c r="I584" s="970">
        <v>401964</v>
      </c>
      <c r="J584" s="971">
        <v>1694125</v>
      </c>
      <c r="K584" s="970">
        <v>996472</v>
      </c>
      <c r="L584" s="969">
        <v>15869</v>
      </c>
      <c r="M584" s="969"/>
      <c r="N584" s="970">
        <v>197509</v>
      </c>
      <c r="O584" s="970">
        <v>0</v>
      </c>
      <c r="P584" s="970">
        <v>0</v>
      </c>
      <c r="Q584" s="969">
        <v>86285</v>
      </c>
      <c r="R584" s="969"/>
      <c r="S584" s="970">
        <v>2351396</v>
      </c>
      <c r="T584" s="972">
        <v>-10848</v>
      </c>
      <c r="U584" s="972">
        <v>2340548</v>
      </c>
    </row>
    <row r="585" spans="1:21" x14ac:dyDescent="0.25">
      <c r="A585" s="966">
        <v>96404</v>
      </c>
      <c r="B585" s="967" t="s">
        <v>3198</v>
      </c>
      <c r="C585" s="968">
        <v>1.026E-4</v>
      </c>
      <c r="D585" s="968">
        <v>9.8800000000000003E-5</v>
      </c>
      <c r="E585" s="1007">
        <v>57855</v>
      </c>
      <c r="F585" s="1010">
        <v>209687</v>
      </c>
      <c r="G585" s="969">
        <v>156744</v>
      </c>
      <c r="H585" s="969"/>
      <c r="I585" s="970">
        <v>9030</v>
      </c>
      <c r="J585" s="971">
        <v>38058</v>
      </c>
      <c r="K585" s="970">
        <v>22385</v>
      </c>
      <c r="L585" s="969">
        <v>26983</v>
      </c>
      <c r="M585" s="969"/>
      <c r="N585" s="970">
        <v>4437</v>
      </c>
      <c r="O585" s="970">
        <v>0</v>
      </c>
      <c r="P585" s="970">
        <v>0</v>
      </c>
      <c r="Q585" s="969">
        <v>0</v>
      </c>
      <c r="R585" s="969"/>
      <c r="S585" s="970">
        <v>52823</v>
      </c>
      <c r="T585" s="972">
        <v>10540</v>
      </c>
      <c r="U585" s="972">
        <v>63363</v>
      </c>
    </row>
    <row r="586" spans="1:21" x14ac:dyDescent="0.25">
      <c r="A586" s="966">
        <v>96405</v>
      </c>
      <c r="B586" s="967" t="s">
        <v>3199</v>
      </c>
      <c r="C586" s="968">
        <v>1.6139999999999999E-4</v>
      </c>
      <c r="D586" s="968">
        <v>1.7760000000000001E-4</v>
      </c>
      <c r="E586" s="1007">
        <v>86618</v>
      </c>
      <c r="F586" s="1010">
        <v>376927</v>
      </c>
      <c r="G586" s="969">
        <v>246574</v>
      </c>
      <c r="H586" s="969"/>
      <c r="I586" s="970">
        <v>14205</v>
      </c>
      <c r="J586" s="971">
        <v>59869</v>
      </c>
      <c r="K586" s="970">
        <v>35214</v>
      </c>
      <c r="L586" s="969">
        <v>10221</v>
      </c>
      <c r="M586" s="969"/>
      <c r="N586" s="970">
        <v>6980</v>
      </c>
      <c r="O586" s="970">
        <v>0</v>
      </c>
      <c r="P586" s="970">
        <v>0</v>
      </c>
      <c r="Q586" s="969">
        <v>2204</v>
      </c>
      <c r="R586" s="969"/>
      <c r="S586" s="970">
        <v>83096</v>
      </c>
      <c r="T586" s="972">
        <v>4354</v>
      </c>
      <c r="U586" s="972">
        <v>87450</v>
      </c>
    </row>
    <row r="587" spans="1:21" x14ac:dyDescent="0.25">
      <c r="A587" s="966">
        <v>96411</v>
      </c>
      <c r="B587" s="967" t="s">
        <v>3200</v>
      </c>
      <c r="C587" s="968">
        <v>7.2299999999999996E-5</v>
      </c>
      <c r="D587" s="968">
        <v>5.66E-5</v>
      </c>
      <c r="E587" s="1007">
        <v>28784</v>
      </c>
      <c r="F587" s="1010">
        <v>120124</v>
      </c>
      <c r="G587" s="969">
        <v>110454</v>
      </c>
      <c r="H587" s="969"/>
      <c r="I587" s="970">
        <v>6363</v>
      </c>
      <c r="J587" s="971">
        <v>26818</v>
      </c>
      <c r="K587" s="970">
        <v>15774</v>
      </c>
      <c r="L587" s="969">
        <v>12280</v>
      </c>
      <c r="M587" s="969"/>
      <c r="N587" s="970">
        <v>3127</v>
      </c>
      <c r="O587" s="970">
        <v>0</v>
      </c>
      <c r="P587" s="970">
        <v>0</v>
      </c>
      <c r="Q587" s="969">
        <v>4004</v>
      </c>
      <c r="R587" s="969"/>
      <c r="S587" s="970">
        <v>37223</v>
      </c>
      <c r="T587" s="972">
        <v>2528</v>
      </c>
      <c r="U587" s="972">
        <v>39751</v>
      </c>
    </row>
    <row r="588" spans="1:21" x14ac:dyDescent="0.25">
      <c r="A588" s="966">
        <v>96421</v>
      </c>
      <c r="B588" s="967" t="s">
        <v>3201</v>
      </c>
      <c r="C588" s="968">
        <v>4.2529999999999998E-4</v>
      </c>
      <c r="D588" s="968">
        <v>4.2860000000000001E-4</v>
      </c>
      <c r="E588" s="1007">
        <v>170404</v>
      </c>
      <c r="F588" s="1010">
        <v>909633</v>
      </c>
      <c r="G588" s="969">
        <v>649741</v>
      </c>
      <c r="H588" s="969"/>
      <c r="I588" s="970">
        <v>37431</v>
      </c>
      <c r="J588" s="971">
        <v>157758</v>
      </c>
      <c r="K588" s="970">
        <v>92792</v>
      </c>
      <c r="L588" s="969">
        <v>0</v>
      </c>
      <c r="M588" s="969"/>
      <c r="N588" s="970">
        <v>18392</v>
      </c>
      <c r="O588" s="970">
        <v>0</v>
      </c>
      <c r="P588" s="970">
        <v>0</v>
      </c>
      <c r="Q588" s="969">
        <v>78762</v>
      </c>
      <c r="R588" s="969"/>
      <c r="S588" s="970">
        <v>218963</v>
      </c>
      <c r="T588" s="972">
        <v>-35149</v>
      </c>
      <c r="U588" s="972">
        <v>183814</v>
      </c>
    </row>
    <row r="589" spans="1:21" x14ac:dyDescent="0.25">
      <c r="A589" s="966">
        <v>96431</v>
      </c>
      <c r="B589" s="967" t="s">
        <v>3202</v>
      </c>
      <c r="C589" s="968">
        <v>4.2799999999999997E-5</v>
      </c>
      <c r="D589" s="968">
        <v>5.6100000000000002E-5</v>
      </c>
      <c r="E589" s="1007">
        <v>21290</v>
      </c>
      <c r="F589" s="1010">
        <v>119063</v>
      </c>
      <c r="G589" s="969">
        <v>65387</v>
      </c>
      <c r="H589" s="969"/>
      <c r="I589" s="970">
        <v>3767</v>
      </c>
      <c r="J589" s="971">
        <v>15876</v>
      </c>
      <c r="K589" s="970">
        <v>9338</v>
      </c>
      <c r="L589" s="969">
        <v>6277</v>
      </c>
      <c r="M589" s="969"/>
      <c r="N589" s="970">
        <v>1851</v>
      </c>
      <c r="O589" s="970">
        <v>0</v>
      </c>
      <c r="P589" s="970">
        <v>0</v>
      </c>
      <c r="Q589" s="969">
        <v>10135</v>
      </c>
      <c r="R589" s="969"/>
      <c r="S589" s="970">
        <v>22035</v>
      </c>
      <c r="T589" s="972">
        <v>-1596</v>
      </c>
      <c r="U589" s="972">
        <v>20439</v>
      </c>
    </row>
    <row r="590" spans="1:21" x14ac:dyDescent="0.25">
      <c r="A590" s="966">
        <v>96441</v>
      </c>
      <c r="B590" s="967" t="s">
        <v>3203</v>
      </c>
      <c r="C590" s="968">
        <v>2.97E-5</v>
      </c>
      <c r="D590" s="968">
        <v>3.1199999999999999E-5</v>
      </c>
      <c r="E590" s="1007">
        <v>18707</v>
      </c>
      <c r="F590" s="1010">
        <v>66217</v>
      </c>
      <c r="G590" s="969">
        <v>45373</v>
      </c>
      <c r="H590" s="969"/>
      <c r="I590" s="970">
        <v>2614</v>
      </c>
      <c r="J590" s="971">
        <v>11017</v>
      </c>
      <c r="K590" s="970">
        <v>6480</v>
      </c>
      <c r="L590" s="969">
        <v>7489</v>
      </c>
      <c r="M590" s="969"/>
      <c r="N590" s="970">
        <v>1284</v>
      </c>
      <c r="O590" s="970">
        <v>0</v>
      </c>
      <c r="P590" s="970">
        <v>0</v>
      </c>
      <c r="Q590" s="969">
        <v>440</v>
      </c>
      <c r="R590" s="969"/>
      <c r="S590" s="970">
        <v>15291</v>
      </c>
      <c r="T590" s="972">
        <v>2815</v>
      </c>
      <c r="U590" s="972">
        <v>18106</v>
      </c>
    </row>
    <row r="591" spans="1:21" x14ac:dyDescent="0.25">
      <c r="A591" s="966">
        <v>96451</v>
      </c>
      <c r="B591" s="967" t="s">
        <v>3204</v>
      </c>
      <c r="C591" s="968">
        <v>2.0299999999999999E-5</v>
      </c>
      <c r="D591" s="968">
        <v>1.38E-5</v>
      </c>
      <c r="E591" s="1007">
        <v>8566</v>
      </c>
      <c r="F591" s="1010">
        <v>29288</v>
      </c>
      <c r="G591" s="969">
        <v>31013</v>
      </c>
      <c r="H591" s="969"/>
      <c r="I591" s="970">
        <v>1787</v>
      </c>
      <c r="J591" s="971">
        <v>7530</v>
      </c>
      <c r="K591" s="970">
        <v>4429</v>
      </c>
      <c r="L591" s="969">
        <v>6431</v>
      </c>
      <c r="M591" s="969"/>
      <c r="N591" s="970">
        <v>878</v>
      </c>
      <c r="O591" s="970">
        <v>0</v>
      </c>
      <c r="P591" s="970">
        <v>0</v>
      </c>
      <c r="Q591" s="969">
        <v>1319</v>
      </c>
      <c r="R591" s="969"/>
      <c r="S591" s="970">
        <v>10451</v>
      </c>
      <c r="T591" s="972">
        <v>994</v>
      </c>
      <c r="U591" s="972">
        <v>11445</v>
      </c>
    </row>
    <row r="592" spans="1:21" x14ac:dyDescent="0.25">
      <c r="A592" s="966">
        <v>96461</v>
      </c>
      <c r="B592" s="967" t="s">
        <v>3205</v>
      </c>
      <c r="C592" s="968">
        <v>1.361E-4</v>
      </c>
      <c r="D592" s="968">
        <v>1.3410000000000001E-4</v>
      </c>
      <c r="E592" s="1007">
        <v>63932</v>
      </c>
      <c r="F592" s="1010">
        <v>284605</v>
      </c>
      <c r="G592" s="969">
        <v>207923</v>
      </c>
      <c r="H592" s="969"/>
      <c r="I592" s="970">
        <v>11978</v>
      </c>
      <c r="J592" s="971">
        <v>50484</v>
      </c>
      <c r="K592" s="970">
        <v>29694</v>
      </c>
      <c r="L592" s="969">
        <v>6504</v>
      </c>
      <c r="M592" s="969"/>
      <c r="N592" s="970">
        <v>5886</v>
      </c>
      <c r="O592" s="970">
        <v>0</v>
      </c>
      <c r="P592" s="970">
        <v>0</v>
      </c>
      <c r="Q592" s="969">
        <v>18452</v>
      </c>
      <c r="R592" s="969"/>
      <c r="S592" s="970">
        <v>70070</v>
      </c>
      <c r="T592" s="972">
        <v>-3923</v>
      </c>
      <c r="U592" s="972">
        <f>66148-1</f>
        <v>66147</v>
      </c>
    </row>
    <row r="593" spans="1:21" x14ac:dyDescent="0.25">
      <c r="A593" s="966">
        <v>96501</v>
      </c>
      <c r="B593" s="967" t="s">
        <v>3206</v>
      </c>
      <c r="C593" s="968">
        <v>1.44739E-2</v>
      </c>
      <c r="D593" s="968">
        <v>1.4156999999999999E-2</v>
      </c>
      <c r="E593" s="1007">
        <v>6399556</v>
      </c>
      <c r="F593" s="1010">
        <v>30045897</v>
      </c>
      <c r="G593" s="969">
        <v>22112110</v>
      </c>
      <c r="H593" s="969"/>
      <c r="I593" s="970">
        <v>1273862</v>
      </c>
      <c r="J593" s="971">
        <v>5368847</v>
      </c>
      <c r="K593" s="970">
        <v>3157916</v>
      </c>
      <c r="L593" s="969">
        <v>365065</v>
      </c>
      <c r="M593" s="969"/>
      <c r="N593" s="970">
        <v>625924</v>
      </c>
      <c r="O593" s="970">
        <v>0</v>
      </c>
      <c r="P593" s="970">
        <v>0</v>
      </c>
      <c r="Q593" s="969">
        <v>292930</v>
      </c>
      <c r="R593" s="969"/>
      <c r="S593" s="970">
        <v>7451801</v>
      </c>
      <c r="T593" s="972">
        <v>150498</v>
      </c>
      <c r="U593" s="972">
        <f>7602298+1</f>
        <v>7602299</v>
      </c>
    </row>
    <row r="594" spans="1:21" x14ac:dyDescent="0.25">
      <c r="A594" s="966">
        <v>96502</v>
      </c>
      <c r="B594" s="967" t="s">
        <v>3207</v>
      </c>
      <c r="C594" s="968">
        <v>4.2440000000000002E-4</v>
      </c>
      <c r="D594" s="968">
        <v>4.2309999999999998E-4</v>
      </c>
      <c r="E594" s="1007">
        <v>198105</v>
      </c>
      <c r="F594" s="1010">
        <v>897960</v>
      </c>
      <c r="G594" s="969">
        <v>648366</v>
      </c>
      <c r="H594" s="969"/>
      <c r="I594" s="970">
        <v>37352</v>
      </c>
      <c r="J594" s="971">
        <v>157424</v>
      </c>
      <c r="K594" s="970">
        <v>92596</v>
      </c>
      <c r="L594" s="969">
        <v>39317</v>
      </c>
      <c r="M594" s="969"/>
      <c r="N594" s="970">
        <v>18353</v>
      </c>
      <c r="O594" s="970">
        <v>0</v>
      </c>
      <c r="P594" s="970">
        <v>0</v>
      </c>
      <c r="Q594" s="969">
        <v>0</v>
      </c>
      <c r="R594" s="969"/>
      <c r="S594" s="970">
        <v>218500</v>
      </c>
      <c r="T594" s="972">
        <v>23185</v>
      </c>
      <c r="U594" s="972">
        <v>241685</v>
      </c>
    </row>
    <row r="595" spans="1:21" x14ac:dyDescent="0.25">
      <c r="A595" s="966">
        <v>96503</v>
      </c>
      <c r="B595" s="967" t="s">
        <v>3675</v>
      </c>
      <c r="C595" s="968">
        <v>3.0039999999999998E-4</v>
      </c>
      <c r="D595" s="968">
        <v>3.3700000000000001E-4</v>
      </c>
      <c r="E595" s="1007">
        <v>293863</v>
      </c>
      <c r="F595" s="1010">
        <v>0</v>
      </c>
      <c r="G595" s="969">
        <v>458928</v>
      </c>
      <c r="H595" s="969"/>
      <c r="I595" s="970">
        <v>26439</v>
      </c>
      <c r="J595" s="971">
        <v>111428</v>
      </c>
      <c r="K595" s="970">
        <v>65541</v>
      </c>
      <c r="L595" s="969">
        <v>240013</v>
      </c>
      <c r="M595" s="969"/>
      <c r="N595" s="970">
        <v>12991</v>
      </c>
      <c r="O595" s="970">
        <v>0</v>
      </c>
      <c r="P595" s="970">
        <v>0</v>
      </c>
      <c r="Q595" s="969">
        <v>14874</v>
      </c>
      <c r="R595" s="969"/>
      <c r="S595" s="970">
        <v>154659</v>
      </c>
      <c r="T595" s="972">
        <v>71167</v>
      </c>
      <c r="U595" s="972">
        <v>225826</v>
      </c>
    </row>
    <row r="596" spans="1:21" x14ac:dyDescent="0.25">
      <c r="A596" s="966">
        <v>96504</v>
      </c>
      <c r="B596" s="967" t="s">
        <v>3209</v>
      </c>
      <c r="C596" s="968">
        <v>4.1760000000000001E-4</v>
      </c>
      <c r="D596" s="968">
        <v>3.6039999999999998E-4</v>
      </c>
      <c r="E596" s="1007">
        <v>189892</v>
      </c>
      <c r="F596" s="1010">
        <v>764890</v>
      </c>
      <c r="G596" s="969">
        <v>637977</v>
      </c>
      <c r="H596" s="969"/>
      <c r="I596" s="970">
        <v>36753</v>
      </c>
      <c r="J596" s="971">
        <v>154902</v>
      </c>
      <c r="K596" s="970">
        <v>91112</v>
      </c>
      <c r="L596" s="969">
        <v>44166</v>
      </c>
      <c r="M596" s="969"/>
      <c r="N596" s="970">
        <v>18059</v>
      </c>
      <c r="O596" s="970">
        <v>0</v>
      </c>
      <c r="P596" s="970">
        <v>0</v>
      </c>
      <c r="Q596" s="969">
        <v>4428</v>
      </c>
      <c r="R596" s="969"/>
      <c r="S596" s="970">
        <v>214999</v>
      </c>
      <c r="T596" s="972">
        <v>11523</v>
      </c>
      <c r="U596" s="972">
        <f>226521+1</f>
        <v>226522</v>
      </c>
    </row>
    <row r="597" spans="1:21" x14ac:dyDescent="0.25">
      <c r="A597" s="966">
        <v>96507</v>
      </c>
      <c r="B597" s="967" t="s">
        <v>3210</v>
      </c>
      <c r="C597" s="968">
        <v>2.2147E-3</v>
      </c>
      <c r="D597" s="968">
        <v>2.2604999999999999E-3</v>
      </c>
      <c r="E597" s="1007">
        <v>1026624</v>
      </c>
      <c r="F597" s="1010">
        <v>4797538</v>
      </c>
      <c r="G597" s="969">
        <v>3383448</v>
      </c>
      <c r="H597" s="969"/>
      <c r="I597" s="970">
        <v>194918</v>
      </c>
      <c r="J597" s="971">
        <v>821505</v>
      </c>
      <c r="K597" s="970">
        <v>483203</v>
      </c>
      <c r="L597" s="969">
        <v>115759</v>
      </c>
      <c r="M597" s="969"/>
      <c r="N597" s="970">
        <v>95775</v>
      </c>
      <c r="O597" s="970">
        <v>0</v>
      </c>
      <c r="P597" s="970">
        <v>0</v>
      </c>
      <c r="Q597" s="969">
        <v>22795</v>
      </c>
      <c r="R597" s="969"/>
      <c r="S597" s="970">
        <v>1140225</v>
      </c>
      <c r="T597" s="972">
        <v>58867</v>
      </c>
      <c r="U597" s="972">
        <v>1199092</v>
      </c>
    </row>
    <row r="598" spans="1:21" x14ac:dyDescent="0.25">
      <c r="A598" s="966">
        <v>96508</v>
      </c>
      <c r="B598" s="967" t="s">
        <v>3211</v>
      </c>
      <c r="C598" s="968">
        <v>8.6000000000000007E-6</v>
      </c>
      <c r="D598" s="968">
        <v>9.7999999999999993E-6</v>
      </c>
      <c r="E598" s="1007">
        <v>11086</v>
      </c>
      <c r="F598" s="1010">
        <v>20799</v>
      </c>
      <c r="G598" s="969">
        <v>13138</v>
      </c>
      <c r="H598" s="969"/>
      <c r="I598" s="970">
        <v>757</v>
      </c>
      <c r="J598" s="971">
        <v>3190</v>
      </c>
      <c r="K598" s="970">
        <v>1876</v>
      </c>
      <c r="L598" s="969">
        <v>11113</v>
      </c>
      <c r="M598" s="969"/>
      <c r="N598" s="970">
        <v>372</v>
      </c>
      <c r="O598" s="970">
        <v>0</v>
      </c>
      <c r="P598" s="970">
        <v>0</v>
      </c>
      <c r="Q598" s="969">
        <v>0</v>
      </c>
      <c r="R598" s="969"/>
      <c r="S598" s="970">
        <v>4428</v>
      </c>
      <c r="T598" s="972">
        <v>4402</v>
      </c>
      <c r="U598" s="972">
        <v>8830</v>
      </c>
    </row>
    <row r="599" spans="1:21" x14ac:dyDescent="0.25">
      <c r="A599" s="966">
        <v>96511</v>
      </c>
      <c r="B599" s="967" t="s">
        <v>3212</v>
      </c>
      <c r="C599" s="968">
        <v>6.2069999999999996E-4</v>
      </c>
      <c r="D599" s="968">
        <v>6.221E-4</v>
      </c>
      <c r="E599" s="1007">
        <v>276057</v>
      </c>
      <c r="F599" s="1010">
        <v>1320305</v>
      </c>
      <c r="G599" s="969">
        <v>948258</v>
      </c>
      <c r="H599" s="969"/>
      <c r="I599" s="970">
        <v>54628</v>
      </c>
      <c r="J599" s="971">
        <v>230238</v>
      </c>
      <c r="K599" s="970">
        <v>135424</v>
      </c>
      <c r="L599" s="969">
        <v>0</v>
      </c>
      <c r="M599" s="969"/>
      <c r="N599" s="970">
        <v>26842</v>
      </c>
      <c r="O599" s="970">
        <v>0</v>
      </c>
      <c r="P599" s="970">
        <v>0</v>
      </c>
      <c r="Q599" s="969">
        <v>95843</v>
      </c>
      <c r="R599" s="969"/>
      <c r="S599" s="970">
        <v>319564</v>
      </c>
      <c r="T599" s="972">
        <v>-49396</v>
      </c>
      <c r="U599" s="972">
        <v>270168</v>
      </c>
    </row>
    <row r="600" spans="1:21" x14ac:dyDescent="0.25">
      <c r="A600" s="966">
        <v>96512</v>
      </c>
      <c r="B600" s="967" t="s">
        <v>3213</v>
      </c>
      <c r="C600" s="968">
        <v>1.5119999999999999E-4</v>
      </c>
      <c r="D600" s="968">
        <v>1.7000000000000001E-4</v>
      </c>
      <c r="E600" s="1007">
        <v>72715</v>
      </c>
      <c r="F600" s="1010">
        <v>360797</v>
      </c>
      <c r="G600" s="969">
        <v>230992</v>
      </c>
      <c r="H600" s="969"/>
      <c r="I600" s="970">
        <v>13307</v>
      </c>
      <c r="J600" s="971">
        <v>56085</v>
      </c>
      <c r="K600" s="970">
        <v>32989</v>
      </c>
      <c r="L600" s="969">
        <v>5578</v>
      </c>
      <c r="M600" s="969"/>
      <c r="N600" s="970">
        <v>6539</v>
      </c>
      <c r="O600" s="970">
        <v>0</v>
      </c>
      <c r="P600" s="970">
        <v>0</v>
      </c>
      <c r="Q600" s="969">
        <v>9964</v>
      </c>
      <c r="R600" s="969"/>
      <c r="S600" s="970">
        <v>77844</v>
      </c>
      <c r="T600" s="972">
        <v>198</v>
      </c>
      <c r="U600" s="972">
        <v>78042</v>
      </c>
    </row>
    <row r="601" spans="1:21" x14ac:dyDescent="0.25">
      <c r="A601" s="966">
        <v>96521</v>
      </c>
      <c r="B601" s="967" t="s">
        <v>3215</v>
      </c>
      <c r="C601" s="968">
        <v>9.881E-4</v>
      </c>
      <c r="D601" s="968">
        <v>9.4240000000000003E-4</v>
      </c>
      <c r="E601" s="1007">
        <v>408178</v>
      </c>
      <c r="F601" s="1010">
        <v>2000089</v>
      </c>
      <c r="G601" s="969">
        <v>1509543</v>
      </c>
      <c r="H601" s="969"/>
      <c r="I601" s="970">
        <v>86964</v>
      </c>
      <c r="J601" s="971">
        <v>366519</v>
      </c>
      <c r="K601" s="970">
        <v>215584</v>
      </c>
      <c r="L601" s="969">
        <v>30024</v>
      </c>
      <c r="M601" s="969"/>
      <c r="N601" s="970">
        <v>42730</v>
      </c>
      <c r="O601" s="970">
        <v>0</v>
      </c>
      <c r="P601" s="970">
        <v>0</v>
      </c>
      <c r="Q601" s="969">
        <v>25241</v>
      </c>
      <c r="R601" s="969"/>
      <c r="S601" s="970">
        <v>508717</v>
      </c>
      <c r="T601" s="972">
        <v>6710</v>
      </c>
      <c r="U601" s="972">
        <f>515428-1</f>
        <v>515427</v>
      </c>
    </row>
    <row r="602" spans="1:21" x14ac:dyDescent="0.25">
      <c r="A602" s="966">
        <v>96531</v>
      </c>
      <c r="B602" s="967" t="s">
        <v>3216</v>
      </c>
      <c r="C602" s="968">
        <v>8.5845000000000001E-3</v>
      </c>
      <c r="D602" s="968">
        <v>8.6088999999999992E-3</v>
      </c>
      <c r="E602" s="1007">
        <v>3779881</v>
      </c>
      <c r="F602" s="1010">
        <v>18270970</v>
      </c>
      <c r="G602" s="969">
        <v>13114738</v>
      </c>
      <c r="H602" s="969"/>
      <c r="I602" s="970">
        <v>755530</v>
      </c>
      <c r="J602" s="971">
        <v>3184274</v>
      </c>
      <c r="K602" s="970">
        <v>1872966</v>
      </c>
      <c r="L602" s="969">
        <v>48765</v>
      </c>
      <c r="M602" s="969"/>
      <c r="N602" s="970">
        <v>371237</v>
      </c>
      <c r="O602" s="970">
        <v>0</v>
      </c>
      <c r="P602" s="970">
        <v>0</v>
      </c>
      <c r="Q602" s="969">
        <v>418860</v>
      </c>
      <c r="R602" s="969"/>
      <c r="S602" s="970">
        <v>4419678</v>
      </c>
      <c r="T602" s="972">
        <v>-117601</v>
      </c>
      <c r="U602" s="972">
        <v>4302077</v>
      </c>
    </row>
    <row r="603" spans="1:21" x14ac:dyDescent="0.25">
      <c r="A603" s="966">
        <v>96541</v>
      </c>
      <c r="B603" s="967" t="s">
        <v>3217</v>
      </c>
      <c r="C603" s="968">
        <v>3.5950000000000001E-4</v>
      </c>
      <c r="D603" s="968">
        <v>3.3169999999999999E-4</v>
      </c>
      <c r="E603" s="1007">
        <v>156792</v>
      </c>
      <c r="F603" s="1010">
        <v>703979</v>
      </c>
      <c r="G603" s="969">
        <v>549216</v>
      </c>
      <c r="H603" s="969"/>
      <c r="I603" s="970">
        <v>31640</v>
      </c>
      <c r="J603" s="971">
        <v>133350</v>
      </c>
      <c r="K603" s="970">
        <v>78436</v>
      </c>
      <c r="L603" s="969">
        <v>24801</v>
      </c>
      <c r="M603" s="969"/>
      <c r="N603" s="970">
        <v>15547</v>
      </c>
      <c r="O603" s="970">
        <v>0</v>
      </c>
      <c r="P603" s="970">
        <v>0</v>
      </c>
      <c r="Q603" s="969">
        <v>0</v>
      </c>
      <c r="R603" s="969"/>
      <c r="S603" s="970">
        <v>185086</v>
      </c>
      <c r="T603" s="972">
        <v>13028</v>
      </c>
      <c r="U603" s="972">
        <f>198115-1</f>
        <v>198114</v>
      </c>
    </row>
    <row r="604" spans="1:21" x14ac:dyDescent="0.25">
      <c r="A604" s="966">
        <v>96601</v>
      </c>
      <c r="B604" s="967" t="s">
        <v>3218</v>
      </c>
      <c r="C604" s="968">
        <v>1.8169E-3</v>
      </c>
      <c r="D604" s="968">
        <v>1.8416000000000001E-3</v>
      </c>
      <c r="E604" s="1007">
        <v>878872</v>
      </c>
      <c r="F604" s="1010">
        <v>3908492</v>
      </c>
      <c r="G604" s="969">
        <v>2775720</v>
      </c>
      <c r="H604" s="969"/>
      <c r="I604" s="970">
        <v>159907</v>
      </c>
      <c r="J604" s="971">
        <v>673948</v>
      </c>
      <c r="K604" s="970">
        <v>396411</v>
      </c>
      <c r="L604" s="969">
        <v>50154</v>
      </c>
      <c r="M604" s="969"/>
      <c r="N604" s="970">
        <v>78572</v>
      </c>
      <c r="O604" s="970">
        <v>0</v>
      </c>
      <c r="P604" s="970">
        <v>0</v>
      </c>
      <c r="Q604" s="969">
        <v>4139</v>
      </c>
      <c r="R604" s="969"/>
      <c r="S604" s="970">
        <v>935420</v>
      </c>
      <c r="T604" s="972">
        <v>30132</v>
      </c>
      <c r="U604" s="972">
        <v>965552</v>
      </c>
    </row>
    <row r="605" spans="1:21" x14ac:dyDescent="0.25">
      <c r="A605" s="966">
        <v>96604</v>
      </c>
      <c r="B605" s="967" t="s">
        <v>3219</v>
      </c>
      <c r="C605" s="968">
        <v>7.6000000000000001E-6</v>
      </c>
      <c r="D605" s="968">
        <v>7.9000000000000006E-6</v>
      </c>
      <c r="E605" s="1007">
        <v>5011</v>
      </c>
      <c r="F605" s="1010">
        <v>16766</v>
      </c>
      <c r="G605" s="969">
        <v>11611</v>
      </c>
      <c r="H605" s="969"/>
      <c r="I605" s="970">
        <v>669</v>
      </c>
      <c r="J605" s="971">
        <v>2819</v>
      </c>
      <c r="K605" s="970">
        <v>1658</v>
      </c>
      <c r="L605" s="969">
        <v>2027</v>
      </c>
      <c r="M605" s="969"/>
      <c r="N605" s="970">
        <v>329</v>
      </c>
      <c r="O605" s="970">
        <v>0</v>
      </c>
      <c r="P605" s="970">
        <v>0</v>
      </c>
      <c r="Q605" s="969">
        <v>70</v>
      </c>
      <c r="R605" s="969"/>
      <c r="S605" s="970">
        <v>3913</v>
      </c>
      <c r="T605" s="972">
        <v>799</v>
      </c>
      <c r="U605" s="972">
        <v>4712</v>
      </c>
    </row>
    <row r="606" spans="1:21" x14ac:dyDescent="0.25">
      <c r="A606" s="966">
        <v>96611</v>
      </c>
      <c r="B606" s="967" t="s">
        <v>3220</v>
      </c>
      <c r="C606" s="968">
        <v>2.83E-5</v>
      </c>
      <c r="D606" s="968">
        <v>3.29E-5</v>
      </c>
      <c r="E606" s="1007">
        <v>12016</v>
      </c>
      <c r="F606" s="1010">
        <v>69825</v>
      </c>
      <c r="G606" s="969">
        <v>43235</v>
      </c>
      <c r="H606" s="969"/>
      <c r="I606" s="970">
        <v>2491</v>
      </c>
      <c r="J606" s="971">
        <v>10498</v>
      </c>
      <c r="K606" s="970">
        <v>6174</v>
      </c>
      <c r="L606" s="969">
        <v>1561</v>
      </c>
      <c r="M606" s="969"/>
      <c r="N606" s="970">
        <v>1224</v>
      </c>
      <c r="O606" s="970">
        <v>0</v>
      </c>
      <c r="P606" s="970">
        <v>0</v>
      </c>
      <c r="Q606" s="969">
        <v>4284</v>
      </c>
      <c r="R606" s="969"/>
      <c r="S606" s="970">
        <v>14570</v>
      </c>
      <c r="T606" s="972">
        <v>112</v>
      </c>
      <c r="U606" s="972">
        <f>14683-1</f>
        <v>14682</v>
      </c>
    </row>
    <row r="607" spans="1:21" x14ac:dyDescent="0.25">
      <c r="A607" s="966">
        <v>96612</v>
      </c>
      <c r="B607" s="967" t="s">
        <v>3221</v>
      </c>
      <c r="C607" s="968">
        <v>6.3299999999999994E-5</v>
      </c>
      <c r="D607" s="968">
        <v>6.3899999999999995E-5</v>
      </c>
      <c r="E607" s="1007">
        <v>32834</v>
      </c>
      <c r="F607" s="1010">
        <v>135617</v>
      </c>
      <c r="G607" s="969">
        <v>96705</v>
      </c>
      <c r="H607" s="969"/>
      <c r="I607" s="970">
        <v>5571</v>
      </c>
      <c r="J607" s="971">
        <v>23480</v>
      </c>
      <c r="K607" s="970">
        <v>13811</v>
      </c>
      <c r="L607" s="969">
        <v>7699</v>
      </c>
      <c r="M607" s="969"/>
      <c r="N607" s="970">
        <v>2737</v>
      </c>
      <c r="O607" s="970">
        <v>0</v>
      </c>
      <c r="P607" s="970">
        <v>0</v>
      </c>
      <c r="Q607" s="969">
        <v>658</v>
      </c>
      <c r="R607" s="969"/>
      <c r="S607" s="970">
        <v>32590</v>
      </c>
      <c r="T607" s="972">
        <v>2270</v>
      </c>
      <c r="U607" s="972">
        <f>34859+1</f>
        <v>34860</v>
      </c>
    </row>
    <row r="608" spans="1:21" x14ac:dyDescent="0.25">
      <c r="A608" s="966">
        <v>96621</v>
      </c>
      <c r="B608" s="967" t="s">
        <v>3222</v>
      </c>
      <c r="C608" s="968">
        <v>2.5999999999999998E-5</v>
      </c>
      <c r="D608" s="968">
        <v>2.65E-5</v>
      </c>
      <c r="E608" s="1007">
        <v>13235</v>
      </c>
      <c r="F608" s="1010">
        <v>56242</v>
      </c>
      <c r="G608" s="969">
        <v>39721</v>
      </c>
      <c r="H608" s="969"/>
      <c r="I608" s="970">
        <v>2288</v>
      </c>
      <c r="J608" s="971">
        <v>9644</v>
      </c>
      <c r="K608" s="970">
        <v>5673</v>
      </c>
      <c r="L608" s="969">
        <v>1435</v>
      </c>
      <c r="M608" s="969"/>
      <c r="N608" s="970">
        <v>1124</v>
      </c>
      <c r="O608" s="970">
        <v>0</v>
      </c>
      <c r="P608" s="970">
        <v>0</v>
      </c>
      <c r="Q608" s="969">
        <v>4828</v>
      </c>
      <c r="R608" s="969"/>
      <c r="S608" s="970">
        <v>13386</v>
      </c>
      <c r="T608" s="972">
        <v>-2281</v>
      </c>
      <c r="U608" s="972">
        <v>11105</v>
      </c>
    </row>
    <row r="609" spans="1:21" x14ac:dyDescent="0.25">
      <c r="A609" s="966">
        <v>96631</v>
      </c>
      <c r="B609" s="967" t="s">
        <v>3223</v>
      </c>
      <c r="C609" s="968">
        <v>2.51E-5</v>
      </c>
      <c r="D609" s="968">
        <v>2.5899999999999999E-5</v>
      </c>
      <c r="E609" s="1007">
        <v>11905</v>
      </c>
      <c r="F609" s="1010">
        <v>54968</v>
      </c>
      <c r="G609" s="969">
        <v>38346</v>
      </c>
      <c r="H609" s="969"/>
      <c r="I609" s="970">
        <v>2209</v>
      </c>
      <c r="J609" s="971">
        <v>9311</v>
      </c>
      <c r="K609" s="970">
        <v>5476</v>
      </c>
      <c r="L609" s="969">
        <v>3375</v>
      </c>
      <c r="M609" s="969"/>
      <c r="N609" s="970">
        <v>1085</v>
      </c>
      <c r="O609" s="970">
        <v>0</v>
      </c>
      <c r="P609" s="970">
        <v>0</v>
      </c>
      <c r="Q609" s="969">
        <v>345</v>
      </c>
      <c r="R609" s="969"/>
      <c r="S609" s="970">
        <v>12923</v>
      </c>
      <c r="T609" s="972">
        <v>2192</v>
      </c>
      <c r="U609" s="972">
        <f>15114+1</f>
        <v>15115</v>
      </c>
    </row>
    <row r="610" spans="1:21" x14ac:dyDescent="0.25">
      <c r="A610" s="966">
        <v>96641</v>
      </c>
      <c r="B610" s="967" t="s">
        <v>3224</v>
      </c>
      <c r="C610" s="968">
        <v>3.2199999999999997E-5</v>
      </c>
      <c r="D610" s="968">
        <v>2.6999999999999999E-5</v>
      </c>
      <c r="E610" s="1007">
        <v>20865</v>
      </c>
      <c r="F610" s="1010">
        <v>57303</v>
      </c>
      <c r="G610" s="969">
        <v>49193</v>
      </c>
      <c r="H610" s="969"/>
      <c r="I610" s="970">
        <v>2834</v>
      </c>
      <c r="J610" s="971">
        <v>11944</v>
      </c>
      <c r="K610" s="970">
        <v>7025</v>
      </c>
      <c r="L610" s="969">
        <v>15380</v>
      </c>
      <c r="M610" s="969"/>
      <c r="N610" s="970">
        <v>1392</v>
      </c>
      <c r="O610" s="970">
        <v>0</v>
      </c>
      <c r="P610" s="970">
        <v>0</v>
      </c>
      <c r="Q610" s="969">
        <v>0</v>
      </c>
      <c r="R610" s="969"/>
      <c r="S610" s="970">
        <v>16578</v>
      </c>
      <c r="T610" s="972">
        <v>5934</v>
      </c>
      <c r="U610" s="972">
        <v>22512</v>
      </c>
    </row>
    <row r="611" spans="1:21" x14ac:dyDescent="0.25">
      <c r="A611" s="966">
        <v>96651</v>
      </c>
      <c r="B611" s="967" t="s">
        <v>3225</v>
      </c>
      <c r="C611" s="968">
        <v>1.7399999999999999E-5</v>
      </c>
      <c r="D611" s="968">
        <v>1.9400000000000001E-5</v>
      </c>
      <c r="E611" s="1007">
        <v>11419</v>
      </c>
      <c r="F611" s="1010">
        <v>41173</v>
      </c>
      <c r="G611" s="969">
        <v>26582</v>
      </c>
      <c r="H611" s="969"/>
      <c r="I611" s="970">
        <v>1531</v>
      </c>
      <c r="J611" s="971">
        <v>6454</v>
      </c>
      <c r="K611" s="970">
        <v>3796</v>
      </c>
      <c r="L611" s="969">
        <v>1983</v>
      </c>
      <c r="M611" s="969"/>
      <c r="N611" s="970">
        <v>752</v>
      </c>
      <c r="O611" s="970">
        <v>0</v>
      </c>
      <c r="P611" s="970">
        <v>0</v>
      </c>
      <c r="Q611" s="969">
        <v>1305</v>
      </c>
      <c r="R611" s="969"/>
      <c r="S611" s="970">
        <v>8958</v>
      </c>
      <c r="T611" s="972">
        <v>-364</v>
      </c>
      <c r="U611" s="972">
        <f>8595-1</f>
        <v>8594</v>
      </c>
    </row>
    <row r="612" spans="1:21" x14ac:dyDescent="0.25">
      <c r="A612" s="966">
        <v>96661</v>
      </c>
      <c r="B612" s="967" t="s">
        <v>3226</v>
      </c>
      <c r="C612" s="968">
        <v>1.9700000000000001E-5</v>
      </c>
      <c r="D612" s="968">
        <v>1.9000000000000001E-5</v>
      </c>
      <c r="E612" s="1007">
        <v>10400</v>
      </c>
      <c r="F612" s="1010">
        <v>40324</v>
      </c>
      <c r="G612" s="969">
        <v>30096</v>
      </c>
      <c r="H612" s="969"/>
      <c r="I612" s="970">
        <v>1734</v>
      </c>
      <c r="J612" s="971">
        <v>7308</v>
      </c>
      <c r="K612" s="970">
        <v>4298</v>
      </c>
      <c r="L612" s="969">
        <v>5449</v>
      </c>
      <c r="M612" s="969"/>
      <c r="N612" s="970">
        <v>852</v>
      </c>
      <c r="O612" s="970">
        <v>0</v>
      </c>
      <c r="P612" s="970">
        <v>0</v>
      </c>
      <c r="Q612" s="969">
        <v>0</v>
      </c>
      <c r="R612" s="969"/>
      <c r="S612" s="970">
        <v>10142</v>
      </c>
      <c r="T612" s="972">
        <v>2525</v>
      </c>
      <c r="U612" s="972">
        <f>12668-1</f>
        <v>12667</v>
      </c>
    </row>
    <row r="613" spans="1:21" x14ac:dyDescent="0.25">
      <c r="A613" s="966">
        <v>96671</v>
      </c>
      <c r="B613" s="967" t="s">
        <v>3227</v>
      </c>
      <c r="C613" s="968">
        <v>1.49E-5</v>
      </c>
      <c r="D613" s="968">
        <v>1.5500000000000001E-5</v>
      </c>
      <c r="E613" s="1007">
        <v>8400</v>
      </c>
      <c r="F613" s="1010">
        <v>32896</v>
      </c>
      <c r="G613" s="969">
        <v>22763</v>
      </c>
      <c r="H613" s="969"/>
      <c r="I613" s="970">
        <v>1311</v>
      </c>
      <c r="J613" s="971">
        <v>5527</v>
      </c>
      <c r="K613" s="970">
        <v>3251</v>
      </c>
      <c r="L613" s="969">
        <v>8612</v>
      </c>
      <c r="M613" s="969"/>
      <c r="N613" s="970">
        <v>644</v>
      </c>
      <c r="O613" s="970">
        <v>0</v>
      </c>
      <c r="P613" s="970">
        <v>0</v>
      </c>
      <c r="Q613" s="969">
        <v>208</v>
      </c>
      <c r="R613" s="969"/>
      <c r="S613" s="970">
        <v>7671</v>
      </c>
      <c r="T613" s="972">
        <v>3620</v>
      </c>
      <c r="U613" s="972">
        <v>11291</v>
      </c>
    </row>
    <row r="614" spans="1:21" x14ac:dyDescent="0.25">
      <c r="A614" s="966">
        <v>96681</v>
      </c>
      <c r="B614" s="967" t="s">
        <v>3228</v>
      </c>
      <c r="C614" s="968">
        <v>1.7499999999999998E-5</v>
      </c>
      <c r="D614" s="968">
        <v>3.4799999999999999E-5</v>
      </c>
      <c r="E614" s="1007">
        <v>12179</v>
      </c>
      <c r="F614" s="1010">
        <v>73857</v>
      </c>
      <c r="G614" s="969">
        <v>26735</v>
      </c>
      <c r="H614" s="969"/>
      <c r="I614" s="970">
        <v>1540</v>
      </c>
      <c r="J614" s="971">
        <v>6491</v>
      </c>
      <c r="K614" s="970">
        <v>3818</v>
      </c>
      <c r="L614" s="969">
        <v>12682</v>
      </c>
      <c r="M614" s="969"/>
      <c r="N614" s="970">
        <v>757</v>
      </c>
      <c r="O614" s="970">
        <v>0</v>
      </c>
      <c r="P614" s="970">
        <v>0</v>
      </c>
      <c r="Q614" s="969">
        <v>9027</v>
      </c>
      <c r="R614" s="969"/>
      <c r="S614" s="970">
        <v>9010</v>
      </c>
      <c r="T614" s="972">
        <v>3129</v>
      </c>
      <c r="U614" s="972">
        <v>12139</v>
      </c>
    </row>
    <row r="615" spans="1:21" x14ac:dyDescent="0.25">
      <c r="A615" s="966">
        <v>96701</v>
      </c>
      <c r="B615" s="967" t="s">
        <v>3229</v>
      </c>
      <c r="C615" s="968">
        <v>8.4206000000000003E-3</v>
      </c>
      <c r="D615" s="968">
        <v>7.7850000000000003E-3</v>
      </c>
      <c r="E615" s="1007">
        <v>3657208</v>
      </c>
      <c r="F615" s="1010">
        <v>16522378</v>
      </c>
      <c r="G615" s="969">
        <v>12864344</v>
      </c>
      <c r="H615" s="969"/>
      <c r="I615" s="970">
        <v>741105</v>
      </c>
      <c r="J615" s="971">
        <v>3123478</v>
      </c>
      <c r="K615" s="970">
        <v>1837207</v>
      </c>
      <c r="L615" s="969">
        <v>445953</v>
      </c>
      <c r="M615" s="969"/>
      <c r="N615" s="970">
        <v>364149</v>
      </c>
      <c r="O615" s="970">
        <v>0</v>
      </c>
      <c r="P615" s="970">
        <v>0</v>
      </c>
      <c r="Q615" s="969">
        <v>51464</v>
      </c>
      <c r="R615" s="969"/>
      <c r="S615" s="970">
        <v>4335295</v>
      </c>
      <c r="T615" s="972">
        <v>139565</v>
      </c>
      <c r="U615" s="972">
        <f>4474861-1</f>
        <v>4474860</v>
      </c>
    </row>
    <row r="616" spans="1:21" x14ac:dyDescent="0.25">
      <c r="A616" s="966">
        <v>96704</v>
      </c>
      <c r="B616" s="967" t="s">
        <v>3230</v>
      </c>
      <c r="C616" s="968">
        <v>1.7259999999999999E-4</v>
      </c>
      <c r="D616" s="968">
        <v>1.5330000000000001E-4</v>
      </c>
      <c r="E616" s="1007">
        <v>92320</v>
      </c>
      <c r="F616" s="1010">
        <v>325354</v>
      </c>
      <c r="G616" s="969">
        <v>263685</v>
      </c>
      <c r="H616" s="969"/>
      <c r="I616" s="970">
        <v>15191</v>
      </c>
      <c r="J616" s="971">
        <v>64023</v>
      </c>
      <c r="K616" s="970">
        <v>37658</v>
      </c>
      <c r="L616" s="969">
        <v>28813</v>
      </c>
      <c r="M616" s="969"/>
      <c r="N616" s="970">
        <v>7464</v>
      </c>
      <c r="O616" s="970">
        <v>0</v>
      </c>
      <c r="P616" s="970">
        <v>0</v>
      </c>
      <c r="Q616" s="969">
        <v>0</v>
      </c>
      <c r="R616" s="969"/>
      <c r="S616" s="970">
        <v>88862</v>
      </c>
      <c r="T616" s="972">
        <v>9625</v>
      </c>
      <c r="U616" s="972">
        <v>98487</v>
      </c>
    </row>
    <row r="617" spans="1:21" x14ac:dyDescent="0.25">
      <c r="A617" s="966">
        <v>96708</v>
      </c>
      <c r="B617" s="967" t="s">
        <v>3231</v>
      </c>
      <c r="C617" s="968">
        <v>9.031E-4</v>
      </c>
      <c r="D617" s="968">
        <v>8.4590000000000002E-4</v>
      </c>
      <c r="E617" s="1007">
        <v>441727</v>
      </c>
      <c r="F617" s="1010">
        <v>1795283</v>
      </c>
      <c r="G617" s="969">
        <v>1379687</v>
      </c>
      <c r="H617" s="969"/>
      <c r="I617" s="970">
        <v>79483</v>
      </c>
      <c r="J617" s="971">
        <v>334989</v>
      </c>
      <c r="K617" s="970">
        <v>197038</v>
      </c>
      <c r="L617" s="969">
        <v>93931</v>
      </c>
      <c r="M617" s="969"/>
      <c r="N617" s="970">
        <v>39055</v>
      </c>
      <c r="O617" s="970">
        <v>0</v>
      </c>
      <c r="P617" s="970">
        <v>0</v>
      </c>
      <c r="Q617" s="969">
        <v>19895</v>
      </c>
      <c r="R617" s="969"/>
      <c r="S617" s="970">
        <v>464956</v>
      </c>
      <c r="T617" s="972">
        <v>29117</v>
      </c>
      <c r="U617" s="972">
        <v>494073</v>
      </c>
    </row>
    <row r="618" spans="1:21" x14ac:dyDescent="0.25">
      <c r="A618" s="966">
        <v>96711</v>
      </c>
      <c r="B618" s="967" t="s">
        <v>3232</v>
      </c>
      <c r="C618" s="968">
        <v>4.0464000000000003E-3</v>
      </c>
      <c r="D618" s="968">
        <v>4.4140000000000004E-3</v>
      </c>
      <c r="E618" s="1007">
        <v>1869918</v>
      </c>
      <c r="F618" s="1010">
        <v>9367987</v>
      </c>
      <c r="G618" s="969">
        <v>6181778</v>
      </c>
      <c r="H618" s="969"/>
      <c r="I618" s="970">
        <v>356128</v>
      </c>
      <c r="J618" s="971">
        <v>1500943</v>
      </c>
      <c r="K618" s="970">
        <v>882844</v>
      </c>
      <c r="L618" s="969">
        <v>10323</v>
      </c>
      <c r="M618" s="969"/>
      <c r="N618" s="970">
        <v>174987</v>
      </c>
      <c r="O618" s="970">
        <v>0</v>
      </c>
      <c r="P618" s="970">
        <v>0</v>
      </c>
      <c r="Q618" s="969">
        <v>468550</v>
      </c>
      <c r="R618" s="969"/>
      <c r="S618" s="970">
        <v>2083265</v>
      </c>
      <c r="T618" s="972">
        <v>-165088</v>
      </c>
      <c r="U618" s="972">
        <v>1918177</v>
      </c>
    </row>
    <row r="619" spans="1:21" x14ac:dyDescent="0.25">
      <c r="A619" s="966">
        <v>96721</v>
      </c>
      <c r="B619" s="967" t="s">
        <v>3233</v>
      </c>
      <c r="C619" s="968">
        <v>2.1379999999999999E-4</v>
      </c>
      <c r="D619" s="968">
        <v>1.9780000000000001E-4</v>
      </c>
      <c r="E619" s="1007">
        <v>96163</v>
      </c>
      <c r="F619" s="1010">
        <v>419798</v>
      </c>
      <c r="G619" s="969">
        <v>326627</v>
      </c>
      <c r="H619" s="969"/>
      <c r="I619" s="970">
        <v>18817</v>
      </c>
      <c r="J619" s="971">
        <v>79305</v>
      </c>
      <c r="K619" s="970">
        <v>46647</v>
      </c>
      <c r="L619" s="969">
        <v>14615</v>
      </c>
      <c r="M619" s="969"/>
      <c r="N619" s="970">
        <v>9246</v>
      </c>
      <c r="O619" s="970">
        <v>0</v>
      </c>
      <c r="P619" s="970">
        <v>0</v>
      </c>
      <c r="Q619" s="969">
        <v>25539</v>
      </c>
      <c r="R619" s="969"/>
      <c r="S619" s="970">
        <v>110074</v>
      </c>
      <c r="T619" s="972">
        <v>-1269</v>
      </c>
      <c r="U619" s="972">
        <v>108805</v>
      </c>
    </row>
    <row r="620" spans="1:21" x14ac:dyDescent="0.25">
      <c r="A620" s="966">
        <v>96731</v>
      </c>
      <c r="B620" s="967" t="s">
        <v>3234</v>
      </c>
      <c r="C620" s="968">
        <v>1.697E-4</v>
      </c>
      <c r="D620" s="968">
        <v>1.5090000000000001E-4</v>
      </c>
      <c r="E620" s="1007">
        <v>72356</v>
      </c>
      <c r="F620" s="1010">
        <v>320260</v>
      </c>
      <c r="G620" s="969">
        <v>259255</v>
      </c>
      <c r="H620" s="969"/>
      <c r="I620" s="970">
        <v>14935</v>
      </c>
      <c r="J620" s="971">
        <v>62947</v>
      </c>
      <c r="K620" s="970">
        <v>37025</v>
      </c>
      <c r="L620" s="969">
        <v>20951</v>
      </c>
      <c r="M620" s="969"/>
      <c r="N620" s="970">
        <v>7339</v>
      </c>
      <c r="O620" s="970">
        <v>0</v>
      </c>
      <c r="P620" s="970">
        <v>0</v>
      </c>
      <c r="Q620" s="969">
        <v>6</v>
      </c>
      <c r="R620" s="969"/>
      <c r="S620" s="970">
        <v>87369</v>
      </c>
      <c r="T620" s="972">
        <v>7300</v>
      </c>
      <c r="U620" s="972">
        <v>94669</v>
      </c>
    </row>
    <row r="621" spans="1:21" x14ac:dyDescent="0.25">
      <c r="A621" s="966">
        <v>96733</v>
      </c>
      <c r="B621" s="967" t="s">
        <v>3235</v>
      </c>
      <c r="C621" s="968">
        <v>7.3000000000000004E-6</v>
      </c>
      <c r="D621" s="968">
        <v>9.2E-6</v>
      </c>
      <c r="E621" s="1007">
        <v>4279</v>
      </c>
      <c r="F621" s="1010">
        <v>19525</v>
      </c>
      <c r="G621" s="969">
        <v>11152</v>
      </c>
      <c r="H621" s="969"/>
      <c r="I621" s="970">
        <v>642</v>
      </c>
      <c r="J621" s="971">
        <v>2708</v>
      </c>
      <c r="K621" s="970">
        <v>1593</v>
      </c>
      <c r="L621" s="969">
        <v>3988</v>
      </c>
      <c r="M621" s="969"/>
      <c r="N621" s="970">
        <v>316</v>
      </c>
      <c r="O621" s="970">
        <v>0</v>
      </c>
      <c r="P621" s="970">
        <v>0</v>
      </c>
      <c r="Q621" s="969">
        <v>1209</v>
      </c>
      <c r="R621" s="969"/>
      <c r="S621" s="970">
        <v>3758</v>
      </c>
      <c r="T621" s="972">
        <v>1574</v>
      </c>
      <c r="U621" s="972">
        <v>5332</v>
      </c>
    </row>
    <row r="622" spans="1:21" x14ac:dyDescent="0.25">
      <c r="A622" s="966">
        <v>96741</v>
      </c>
      <c r="B622" s="967" t="s">
        <v>3236</v>
      </c>
      <c r="C622" s="968">
        <v>9.0799999999999998E-5</v>
      </c>
      <c r="D622" s="968">
        <v>9.2399999999999996E-5</v>
      </c>
      <c r="E622" s="1007">
        <v>41448</v>
      </c>
      <c r="F622" s="1010">
        <v>196104</v>
      </c>
      <c r="G622" s="969">
        <v>138717</v>
      </c>
      <c r="H622" s="969"/>
      <c r="I622" s="970">
        <v>7991</v>
      </c>
      <c r="J622" s="971">
        <v>33681</v>
      </c>
      <c r="K622" s="970">
        <v>19811</v>
      </c>
      <c r="L622" s="969">
        <v>4204</v>
      </c>
      <c r="M622" s="969"/>
      <c r="N622" s="970">
        <v>3927</v>
      </c>
      <c r="O622" s="970">
        <v>0</v>
      </c>
      <c r="P622" s="970">
        <v>0</v>
      </c>
      <c r="Q622" s="969">
        <v>2410</v>
      </c>
      <c r="R622" s="969"/>
      <c r="S622" s="970">
        <v>46748</v>
      </c>
      <c r="T622" s="972">
        <v>2215</v>
      </c>
      <c r="U622" s="972">
        <v>48963</v>
      </c>
    </row>
    <row r="623" spans="1:21" x14ac:dyDescent="0.25">
      <c r="A623" s="966">
        <v>96751</v>
      </c>
      <c r="B623" s="967" t="s">
        <v>3237</v>
      </c>
      <c r="C623" s="968">
        <v>2.5809999999999999E-4</v>
      </c>
      <c r="D623" s="968">
        <v>2.6120000000000001E-4</v>
      </c>
      <c r="E623" s="1007">
        <v>115660</v>
      </c>
      <c r="F623" s="1010">
        <v>554354</v>
      </c>
      <c r="G623" s="969">
        <v>394305</v>
      </c>
      <c r="H623" s="969"/>
      <c r="I623" s="970">
        <v>22716</v>
      </c>
      <c r="J623" s="971">
        <v>95737</v>
      </c>
      <c r="K623" s="970">
        <v>56312</v>
      </c>
      <c r="L623" s="969">
        <v>10810</v>
      </c>
      <c r="M623" s="969"/>
      <c r="N623" s="970">
        <v>11162</v>
      </c>
      <c r="O623" s="970">
        <v>0</v>
      </c>
      <c r="P623" s="970">
        <v>0</v>
      </c>
      <c r="Q623" s="969">
        <v>31380</v>
      </c>
      <c r="R623" s="969"/>
      <c r="S623" s="970">
        <v>132881</v>
      </c>
      <c r="T623" s="972">
        <v>-737</v>
      </c>
      <c r="U623" s="972">
        <v>132144</v>
      </c>
    </row>
    <row r="624" spans="1:21" x14ac:dyDescent="0.25">
      <c r="A624" s="966">
        <v>96801</v>
      </c>
      <c r="B624" s="967" t="s">
        <v>3238</v>
      </c>
      <c r="C624" s="968">
        <v>7.5814000000000003E-3</v>
      </c>
      <c r="D624" s="968">
        <v>7.8463999999999999E-3</v>
      </c>
      <c r="E624" s="1007">
        <v>3611120</v>
      </c>
      <c r="F624" s="1010">
        <v>16652689</v>
      </c>
      <c r="G624" s="969">
        <v>11582279</v>
      </c>
      <c r="H624" s="969"/>
      <c r="I624" s="970">
        <v>667247</v>
      </c>
      <c r="J624" s="971">
        <v>2812192</v>
      </c>
      <c r="K624" s="970">
        <v>1654110</v>
      </c>
      <c r="L624" s="969">
        <v>406857</v>
      </c>
      <c r="M624" s="969"/>
      <c r="N624" s="970">
        <v>327858</v>
      </c>
      <c r="O624" s="970">
        <v>0</v>
      </c>
      <c r="P624" s="970">
        <v>0</v>
      </c>
      <c r="Q624" s="969">
        <v>73178</v>
      </c>
      <c r="R624" s="969"/>
      <c r="S624" s="970">
        <v>3903238</v>
      </c>
      <c r="T624" s="972">
        <v>217480</v>
      </c>
      <c r="U624" s="972">
        <v>4120718</v>
      </c>
    </row>
    <row r="625" spans="1:21" x14ac:dyDescent="0.25">
      <c r="A625" s="966">
        <v>96804</v>
      </c>
      <c r="B625" s="967" t="s">
        <v>3239</v>
      </c>
      <c r="C625" s="968">
        <v>2.654E-4</v>
      </c>
      <c r="D625" s="968">
        <v>2.4230000000000001E-4</v>
      </c>
      <c r="E625" s="1007">
        <v>109175</v>
      </c>
      <c r="F625" s="1010">
        <v>514242</v>
      </c>
      <c r="G625" s="969">
        <v>405458</v>
      </c>
      <c r="H625" s="969"/>
      <c r="I625" s="970">
        <v>23358</v>
      </c>
      <c r="J625" s="971">
        <v>98446</v>
      </c>
      <c r="K625" s="970">
        <v>57905</v>
      </c>
      <c r="L625" s="969">
        <v>7601</v>
      </c>
      <c r="M625" s="969"/>
      <c r="N625" s="970">
        <v>11477</v>
      </c>
      <c r="O625" s="970">
        <v>0</v>
      </c>
      <c r="P625" s="970">
        <v>0</v>
      </c>
      <c r="Q625" s="969">
        <v>2044</v>
      </c>
      <c r="R625" s="969"/>
      <c r="S625" s="970">
        <v>136640</v>
      </c>
      <c r="T625" s="972">
        <v>2424</v>
      </c>
      <c r="U625" s="972">
        <v>139064</v>
      </c>
    </row>
    <row r="626" spans="1:21" x14ac:dyDescent="0.25">
      <c r="A626" s="966">
        <v>96808</v>
      </c>
      <c r="B626" s="967" t="s">
        <v>3240</v>
      </c>
      <c r="C626" s="968">
        <v>1.2711000000000001E-3</v>
      </c>
      <c r="D626" s="968">
        <v>1.2882E-3</v>
      </c>
      <c r="E626" s="1007">
        <v>593249</v>
      </c>
      <c r="F626" s="1010">
        <v>2733992</v>
      </c>
      <c r="G626" s="969">
        <v>1941889</v>
      </c>
      <c r="H626" s="969"/>
      <c r="I626" s="970">
        <v>111871</v>
      </c>
      <c r="J626" s="971">
        <v>471493</v>
      </c>
      <c r="K626" s="970">
        <v>277329</v>
      </c>
      <c r="L626" s="969">
        <v>42529</v>
      </c>
      <c r="M626" s="969"/>
      <c r="N626" s="970">
        <v>54969</v>
      </c>
      <c r="O626" s="970">
        <v>0</v>
      </c>
      <c r="P626" s="970">
        <v>0</v>
      </c>
      <c r="Q626" s="969">
        <v>3699</v>
      </c>
      <c r="R626" s="969"/>
      <c r="S626" s="970">
        <v>654418</v>
      </c>
      <c r="T626" s="972">
        <v>23633</v>
      </c>
      <c r="U626" s="972">
        <v>678051</v>
      </c>
    </row>
    <row r="627" spans="1:21" x14ac:dyDescent="0.25">
      <c r="A627" s="966">
        <v>96811</v>
      </c>
      <c r="B627" s="967" t="s">
        <v>3241</v>
      </c>
      <c r="C627" s="968">
        <v>6.0096999999999998E-3</v>
      </c>
      <c r="D627" s="968">
        <v>5.9861999999999997E-3</v>
      </c>
      <c r="E627" s="1007">
        <v>2786025</v>
      </c>
      <c r="F627" s="1010">
        <v>12704722</v>
      </c>
      <c r="G627" s="969">
        <v>9181157</v>
      </c>
      <c r="H627" s="969"/>
      <c r="I627" s="970">
        <v>528920</v>
      </c>
      <c r="J627" s="971">
        <v>2229197</v>
      </c>
      <c r="K627" s="970">
        <v>1311196</v>
      </c>
      <c r="L627" s="969">
        <v>37410</v>
      </c>
      <c r="M627" s="969"/>
      <c r="N627" s="970">
        <v>259889</v>
      </c>
      <c r="O627" s="970">
        <v>0</v>
      </c>
      <c r="P627" s="970">
        <v>0</v>
      </c>
      <c r="Q627" s="969">
        <v>53500</v>
      </c>
      <c r="R627" s="969"/>
      <c r="S627" s="970">
        <v>3094058</v>
      </c>
      <c r="T627" s="972">
        <v>-23369</v>
      </c>
      <c r="U627" s="972">
        <v>3070689</v>
      </c>
    </row>
    <row r="628" spans="1:21" x14ac:dyDescent="0.25">
      <c r="A628" s="966">
        <v>96821</v>
      </c>
      <c r="B628" s="967" t="s">
        <v>3242</v>
      </c>
      <c r="C628" s="968">
        <v>1.3247000000000001E-3</v>
      </c>
      <c r="D628" s="968">
        <v>1.3630999999999999E-3</v>
      </c>
      <c r="E628" s="1007">
        <v>603956</v>
      </c>
      <c r="F628" s="1010">
        <v>2892955</v>
      </c>
      <c r="G628" s="969">
        <v>2023775</v>
      </c>
      <c r="H628" s="969"/>
      <c r="I628" s="970">
        <v>116588</v>
      </c>
      <c r="J628" s="971">
        <v>491375</v>
      </c>
      <c r="K628" s="970">
        <v>289023</v>
      </c>
      <c r="L628" s="969">
        <v>0</v>
      </c>
      <c r="M628" s="969"/>
      <c r="N628" s="970">
        <v>57287</v>
      </c>
      <c r="O628" s="970">
        <v>0</v>
      </c>
      <c r="P628" s="970">
        <v>0</v>
      </c>
      <c r="Q628" s="969">
        <v>134629</v>
      </c>
      <c r="R628" s="969"/>
      <c r="S628" s="970">
        <v>682014</v>
      </c>
      <c r="T628" s="972">
        <v>-54878</v>
      </c>
      <c r="U628" s="972">
        <v>627136</v>
      </c>
    </row>
    <row r="629" spans="1:21" x14ac:dyDescent="0.25">
      <c r="A629" s="966">
        <v>96831</v>
      </c>
      <c r="B629" s="967" t="s">
        <v>3243</v>
      </c>
      <c r="C629" s="968">
        <v>9.1929999999999996E-4</v>
      </c>
      <c r="D629" s="968">
        <v>9.2400000000000002E-4</v>
      </c>
      <c r="E629" s="1007">
        <v>426593</v>
      </c>
      <c r="F629" s="1010">
        <v>1961038</v>
      </c>
      <c r="G629" s="969">
        <v>1404436</v>
      </c>
      <c r="H629" s="969"/>
      <c r="I629" s="970">
        <v>80909</v>
      </c>
      <c r="J629" s="971">
        <v>340998</v>
      </c>
      <c r="K629" s="970">
        <v>200573</v>
      </c>
      <c r="L629" s="969">
        <v>37726</v>
      </c>
      <c r="M629" s="969"/>
      <c r="N629" s="970">
        <v>39755</v>
      </c>
      <c r="O629" s="970">
        <v>0</v>
      </c>
      <c r="P629" s="970">
        <v>0</v>
      </c>
      <c r="Q629" s="969">
        <v>0</v>
      </c>
      <c r="R629" s="969"/>
      <c r="S629" s="970">
        <v>473296</v>
      </c>
      <c r="T629" s="972">
        <v>19380</v>
      </c>
      <c r="U629" s="972">
        <v>492676</v>
      </c>
    </row>
    <row r="630" spans="1:21" x14ac:dyDescent="0.25">
      <c r="A630" s="966">
        <v>96901</v>
      </c>
      <c r="B630" s="967" t="s">
        <v>3244</v>
      </c>
      <c r="C630" s="968">
        <v>8.9820000000000004E-4</v>
      </c>
      <c r="D630" s="968">
        <v>8.1610000000000005E-4</v>
      </c>
      <c r="E630" s="1007">
        <v>411770</v>
      </c>
      <c r="F630" s="1010">
        <v>1732038</v>
      </c>
      <c r="G630" s="969">
        <v>1372201</v>
      </c>
      <c r="H630" s="969"/>
      <c r="I630" s="970">
        <v>79051</v>
      </c>
      <c r="J630" s="971">
        <v>333172</v>
      </c>
      <c r="K630" s="970">
        <v>195969</v>
      </c>
      <c r="L630" s="969">
        <v>85745</v>
      </c>
      <c r="M630" s="969"/>
      <c r="N630" s="970">
        <v>38843</v>
      </c>
      <c r="O630" s="970">
        <v>0</v>
      </c>
      <c r="P630" s="970">
        <v>0</v>
      </c>
      <c r="Q630" s="969">
        <v>0</v>
      </c>
      <c r="R630" s="969"/>
      <c r="S630" s="970">
        <v>462433</v>
      </c>
      <c r="T630" s="972">
        <v>28927</v>
      </c>
      <c r="U630" s="972">
        <v>491360</v>
      </c>
    </row>
    <row r="631" spans="1:21" x14ac:dyDescent="0.25">
      <c r="A631" s="966">
        <v>96911</v>
      </c>
      <c r="B631" s="967" t="s">
        <v>3245</v>
      </c>
      <c r="C631" s="968">
        <v>2.3999999999999999E-6</v>
      </c>
      <c r="D631" s="968">
        <v>3.7000000000000002E-6</v>
      </c>
      <c r="E631" s="1007">
        <v>1942</v>
      </c>
      <c r="F631" s="1010">
        <v>7853</v>
      </c>
      <c r="G631" s="969">
        <v>3667</v>
      </c>
      <c r="H631" s="969"/>
      <c r="I631" s="970">
        <v>211</v>
      </c>
      <c r="J631" s="971">
        <v>890</v>
      </c>
      <c r="K631" s="970">
        <v>524</v>
      </c>
      <c r="L631" s="969">
        <v>2464</v>
      </c>
      <c r="M631" s="969"/>
      <c r="N631" s="970">
        <v>104</v>
      </c>
      <c r="O631" s="970">
        <v>0</v>
      </c>
      <c r="P631" s="970">
        <v>0</v>
      </c>
      <c r="Q631" s="969">
        <v>2953</v>
      </c>
      <c r="R631" s="969"/>
      <c r="S631" s="970">
        <v>1236</v>
      </c>
      <c r="T631" s="972">
        <v>521</v>
      </c>
      <c r="U631" s="972">
        <f>1756+1</f>
        <v>1757</v>
      </c>
    </row>
    <row r="632" spans="1:21" x14ac:dyDescent="0.25">
      <c r="A632" s="966">
        <v>96912</v>
      </c>
      <c r="B632" s="967" t="s">
        <v>3246</v>
      </c>
      <c r="C632" s="968">
        <v>6.0099999999999997E-5</v>
      </c>
      <c r="D632" s="968">
        <v>6.0999999999999999E-5</v>
      </c>
      <c r="E632" s="1007">
        <v>24610</v>
      </c>
      <c r="F632" s="1010">
        <v>129462</v>
      </c>
      <c r="G632" s="969">
        <v>91816</v>
      </c>
      <c r="H632" s="969"/>
      <c r="I632" s="970">
        <v>5289</v>
      </c>
      <c r="J632" s="971">
        <v>22293</v>
      </c>
      <c r="K632" s="970">
        <v>13113</v>
      </c>
      <c r="L632" s="969">
        <v>4325</v>
      </c>
      <c r="M632" s="969"/>
      <c r="N632" s="970">
        <v>2599</v>
      </c>
      <c r="O632" s="970">
        <v>0</v>
      </c>
      <c r="P632" s="970">
        <v>0</v>
      </c>
      <c r="Q632" s="969">
        <v>3739</v>
      </c>
      <c r="R632" s="969"/>
      <c r="S632" s="970">
        <v>30942</v>
      </c>
      <c r="T632" s="972">
        <v>2307</v>
      </c>
      <c r="U632" s="972">
        <v>33249</v>
      </c>
    </row>
    <row r="633" spans="1:21" x14ac:dyDescent="0.25">
      <c r="A633" s="966">
        <v>96918</v>
      </c>
      <c r="B633" s="967" t="s">
        <v>3247</v>
      </c>
      <c r="C633" s="968">
        <v>3.8000000000000002E-5</v>
      </c>
      <c r="D633" s="968">
        <v>4.0500000000000002E-5</v>
      </c>
      <c r="E633" s="1007">
        <v>20289</v>
      </c>
      <c r="F633" s="1010">
        <v>85955</v>
      </c>
      <c r="G633" s="969">
        <v>58053</v>
      </c>
      <c r="H633" s="969"/>
      <c r="I633" s="970">
        <v>3344</v>
      </c>
      <c r="J633" s="971">
        <v>14095</v>
      </c>
      <c r="K633" s="970">
        <v>8291</v>
      </c>
      <c r="L633" s="969">
        <v>7713</v>
      </c>
      <c r="M633" s="969"/>
      <c r="N633" s="970">
        <v>1643</v>
      </c>
      <c r="O633" s="970">
        <v>0</v>
      </c>
      <c r="P633" s="970">
        <v>0</v>
      </c>
      <c r="Q633" s="969">
        <v>884</v>
      </c>
      <c r="R633" s="969"/>
      <c r="S633" s="970">
        <v>19564</v>
      </c>
      <c r="T633" s="972">
        <v>5648</v>
      </c>
      <c r="U633" s="972">
        <v>25212</v>
      </c>
    </row>
    <row r="634" spans="1:21" x14ac:dyDescent="0.25">
      <c r="A634" s="966">
        <v>97001</v>
      </c>
      <c r="B634" s="967" t="s">
        <v>3248</v>
      </c>
      <c r="C634" s="968">
        <v>1.3778E-3</v>
      </c>
      <c r="D634" s="968">
        <v>1.3641E-3</v>
      </c>
      <c r="E634" s="1007">
        <v>710694</v>
      </c>
      <c r="F634" s="1010">
        <v>2895077</v>
      </c>
      <c r="G634" s="969">
        <v>2104897</v>
      </c>
      <c r="H634" s="969"/>
      <c r="I634" s="970">
        <v>121262</v>
      </c>
      <c r="J634" s="971">
        <v>511071</v>
      </c>
      <c r="K634" s="970">
        <v>300608</v>
      </c>
      <c r="L634" s="969">
        <v>148744</v>
      </c>
      <c r="M634" s="969"/>
      <c r="N634" s="970">
        <v>59583</v>
      </c>
      <c r="O634" s="970">
        <v>0</v>
      </c>
      <c r="P634" s="970">
        <v>0</v>
      </c>
      <c r="Q634" s="969">
        <v>11523</v>
      </c>
      <c r="R634" s="969"/>
      <c r="S634" s="970">
        <v>709352</v>
      </c>
      <c r="T634" s="972">
        <v>36360</v>
      </c>
      <c r="U634" s="972">
        <v>745712</v>
      </c>
    </row>
    <row r="635" spans="1:21" x14ac:dyDescent="0.25">
      <c r="A635" s="966">
        <v>97002</v>
      </c>
      <c r="B635" s="967" t="s">
        <v>3249</v>
      </c>
      <c r="C635" s="968">
        <v>5.2610000000000005E-4</v>
      </c>
      <c r="D635" s="968">
        <v>4.6589999999999999E-4</v>
      </c>
      <c r="E635" s="1007">
        <v>182319</v>
      </c>
      <c r="F635" s="1010">
        <v>988796</v>
      </c>
      <c r="G635" s="969">
        <v>803735</v>
      </c>
      <c r="H635" s="969"/>
      <c r="I635" s="970">
        <v>46303</v>
      </c>
      <c r="J635" s="971">
        <v>195148</v>
      </c>
      <c r="K635" s="970">
        <v>114784</v>
      </c>
      <c r="L635" s="969">
        <v>16832</v>
      </c>
      <c r="M635" s="969"/>
      <c r="N635" s="970">
        <v>22751</v>
      </c>
      <c r="O635" s="970">
        <v>0</v>
      </c>
      <c r="P635" s="970">
        <v>0</v>
      </c>
      <c r="Q635" s="969">
        <v>7002</v>
      </c>
      <c r="R635" s="969"/>
      <c r="S635" s="970">
        <v>270859</v>
      </c>
      <c r="T635" s="972">
        <v>10025</v>
      </c>
      <c r="U635" s="972">
        <f>280885-1</f>
        <v>280884</v>
      </c>
    </row>
    <row r="636" spans="1:21" x14ac:dyDescent="0.25">
      <c r="A636" s="966">
        <v>97004</v>
      </c>
      <c r="B636" s="967" t="s">
        <v>3250</v>
      </c>
      <c r="C636" s="968">
        <v>9.7999999999999993E-6</v>
      </c>
      <c r="D636" s="968">
        <v>1.0900000000000001E-5</v>
      </c>
      <c r="E636" s="1007">
        <v>8257</v>
      </c>
      <c r="F636" s="1010">
        <v>23133</v>
      </c>
      <c r="G636" s="969">
        <v>14972</v>
      </c>
      <c r="H636" s="969"/>
      <c r="I636" s="970">
        <v>863</v>
      </c>
      <c r="J636" s="971">
        <v>3635</v>
      </c>
      <c r="K636" s="970">
        <v>2138</v>
      </c>
      <c r="L636" s="969">
        <v>4225</v>
      </c>
      <c r="M636" s="969"/>
      <c r="N636" s="970">
        <v>424</v>
      </c>
      <c r="O636" s="970">
        <v>0</v>
      </c>
      <c r="P636" s="970">
        <v>0</v>
      </c>
      <c r="Q636" s="969">
        <v>0</v>
      </c>
      <c r="R636" s="969"/>
      <c r="S636" s="970">
        <v>5045</v>
      </c>
      <c r="T636" s="972">
        <v>1862</v>
      </c>
      <c r="U636" s="972">
        <f>6908-1</f>
        <v>6907</v>
      </c>
    </row>
    <row r="637" spans="1:21" x14ac:dyDescent="0.25">
      <c r="A637" s="966">
        <v>97005</v>
      </c>
      <c r="B637" s="967" t="s">
        <v>3251</v>
      </c>
      <c r="C637" s="968">
        <v>2.83E-5</v>
      </c>
      <c r="D637" s="968">
        <v>1.42E-5</v>
      </c>
      <c r="E637" s="1007">
        <v>15092</v>
      </c>
      <c r="F637" s="1010">
        <v>30137</v>
      </c>
      <c r="G637" s="969">
        <v>43235</v>
      </c>
      <c r="H637" s="969"/>
      <c r="I637" s="970">
        <v>2491</v>
      </c>
      <c r="J637" s="971">
        <v>10498</v>
      </c>
      <c r="K637" s="970">
        <v>6174</v>
      </c>
      <c r="L637" s="969">
        <v>13129</v>
      </c>
      <c r="M637" s="969"/>
      <c r="N637" s="970">
        <v>1224</v>
      </c>
      <c r="O637" s="970">
        <v>0</v>
      </c>
      <c r="P637" s="970">
        <v>0</v>
      </c>
      <c r="Q637" s="969">
        <v>1368</v>
      </c>
      <c r="R637" s="969"/>
      <c r="S637" s="970">
        <v>14570</v>
      </c>
      <c r="T637" s="972">
        <v>3211</v>
      </c>
      <c r="U637" s="972">
        <v>17781</v>
      </c>
    </row>
    <row r="638" spans="1:21" x14ac:dyDescent="0.25">
      <c r="A638" s="966">
        <v>97008</v>
      </c>
      <c r="B638" s="967" t="s">
        <v>3252</v>
      </c>
      <c r="C638" s="968">
        <v>2.8659999999999997E-4</v>
      </c>
      <c r="D638" s="968">
        <v>2.7530000000000002E-4</v>
      </c>
      <c r="E638" s="1007">
        <v>128453</v>
      </c>
      <c r="F638" s="1010">
        <v>584279</v>
      </c>
      <c r="G638" s="969">
        <v>437845</v>
      </c>
      <c r="H638" s="969"/>
      <c r="I638" s="970">
        <v>25224</v>
      </c>
      <c r="J638" s="971">
        <v>106309</v>
      </c>
      <c r="K638" s="970">
        <v>62530</v>
      </c>
      <c r="L638" s="969">
        <v>12387</v>
      </c>
      <c r="M638" s="969"/>
      <c r="N638" s="970">
        <v>12394</v>
      </c>
      <c r="O638" s="970">
        <v>0</v>
      </c>
      <c r="P638" s="970">
        <v>0</v>
      </c>
      <c r="Q638" s="969">
        <v>3127</v>
      </c>
      <c r="R638" s="969"/>
      <c r="S638" s="970">
        <v>147554</v>
      </c>
      <c r="T638" s="972">
        <v>7175</v>
      </c>
      <c r="U638" s="972">
        <v>154729</v>
      </c>
    </row>
    <row r="639" spans="1:21" x14ac:dyDescent="0.25">
      <c r="A639" s="966">
        <v>97010</v>
      </c>
      <c r="B639" s="967" t="s">
        <v>3253</v>
      </c>
      <c r="C639" s="968">
        <v>0</v>
      </c>
      <c r="D639" s="968">
        <v>0</v>
      </c>
      <c r="E639" s="1007">
        <v>0</v>
      </c>
      <c r="F639" s="1010">
        <v>0</v>
      </c>
      <c r="G639" s="969">
        <v>0</v>
      </c>
      <c r="H639" s="969"/>
      <c r="I639" s="970">
        <v>0</v>
      </c>
      <c r="J639" s="971">
        <v>0</v>
      </c>
      <c r="K639" s="970">
        <v>0</v>
      </c>
      <c r="L639" s="969">
        <v>0</v>
      </c>
      <c r="M639" s="969"/>
      <c r="N639" s="970">
        <v>0</v>
      </c>
      <c r="O639" s="970">
        <v>0</v>
      </c>
      <c r="P639" s="970">
        <v>0</v>
      </c>
      <c r="Q639" s="969">
        <v>2056902</v>
      </c>
      <c r="R639" s="969"/>
      <c r="S639" s="970">
        <v>0</v>
      </c>
      <c r="T639" s="972">
        <v>-1282454</v>
      </c>
      <c r="U639" s="972">
        <v>-1282454</v>
      </c>
    </row>
    <row r="640" spans="1:21" x14ac:dyDescent="0.25">
      <c r="A640" s="966">
        <v>97011</v>
      </c>
      <c r="B640" s="967" t="s">
        <v>3254</v>
      </c>
      <c r="C640" s="968">
        <v>1.9166999999999999E-3</v>
      </c>
      <c r="D640" s="968">
        <v>1.9522999999999999E-3</v>
      </c>
      <c r="E640" s="1007">
        <v>907458</v>
      </c>
      <c r="F640" s="1010">
        <v>4143435</v>
      </c>
      <c r="G640" s="969">
        <v>2928187</v>
      </c>
      <c r="H640" s="969"/>
      <c r="I640" s="970">
        <v>168691</v>
      </c>
      <c r="J640" s="971">
        <v>710967</v>
      </c>
      <c r="K640" s="970">
        <v>418186</v>
      </c>
      <c r="L640" s="969">
        <v>0</v>
      </c>
      <c r="M640" s="969"/>
      <c r="N640" s="970">
        <v>82888</v>
      </c>
      <c r="O640" s="970">
        <v>0</v>
      </c>
      <c r="P640" s="970">
        <v>0</v>
      </c>
      <c r="Q640" s="969">
        <v>92552</v>
      </c>
      <c r="R640" s="969"/>
      <c r="S640" s="970">
        <v>986801</v>
      </c>
      <c r="T640" s="972">
        <v>-38711</v>
      </c>
      <c r="U640" s="972">
        <v>948090</v>
      </c>
    </row>
    <row r="641" spans="1:21" x14ac:dyDescent="0.25">
      <c r="A641" s="966">
        <v>97012</v>
      </c>
      <c r="B641" s="967" t="s">
        <v>3255</v>
      </c>
      <c r="C641" s="968">
        <v>2.9499999999999999E-5</v>
      </c>
      <c r="D641" s="968">
        <v>2.4499999999999999E-5</v>
      </c>
      <c r="E641" s="1007">
        <v>12375</v>
      </c>
      <c r="F641" s="1010">
        <v>51997</v>
      </c>
      <c r="G641" s="969">
        <v>45068</v>
      </c>
      <c r="H641" s="969"/>
      <c r="I641" s="970">
        <v>2596</v>
      </c>
      <c r="J641" s="971">
        <v>10942</v>
      </c>
      <c r="K641" s="970">
        <v>6436</v>
      </c>
      <c r="L641" s="969">
        <v>4949</v>
      </c>
      <c r="M641" s="969"/>
      <c r="N641" s="970">
        <v>1276</v>
      </c>
      <c r="O641" s="970">
        <v>0</v>
      </c>
      <c r="P641" s="970">
        <v>0</v>
      </c>
      <c r="Q641" s="969">
        <v>1149</v>
      </c>
      <c r="R641" s="969"/>
      <c r="S641" s="970">
        <v>15188</v>
      </c>
      <c r="T641" s="972">
        <v>752</v>
      </c>
      <c r="U641" s="972">
        <v>15940</v>
      </c>
    </row>
    <row r="642" spans="1:21" x14ac:dyDescent="0.25">
      <c r="A642" s="966">
        <v>97013</v>
      </c>
      <c r="B642" s="967" t="s">
        <v>3256</v>
      </c>
      <c r="C642" s="968">
        <v>1.8199999999999999E-5</v>
      </c>
      <c r="D642" s="968">
        <v>2.0699999999999998E-5</v>
      </c>
      <c r="E642" s="1007">
        <v>11433</v>
      </c>
      <c r="F642" s="1010">
        <v>43932</v>
      </c>
      <c r="G642" s="969">
        <v>27805</v>
      </c>
      <c r="H642" s="969"/>
      <c r="I642" s="970">
        <v>1602</v>
      </c>
      <c r="J642" s="971">
        <v>6751</v>
      </c>
      <c r="K642" s="970">
        <v>3971</v>
      </c>
      <c r="L642" s="969">
        <v>6233</v>
      </c>
      <c r="M642" s="969"/>
      <c r="N642" s="970">
        <v>787</v>
      </c>
      <c r="O642" s="970">
        <v>0</v>
      </c>
      <c r="P642" s="970">
        <v>0</v>
      </c>
      <c r="Q642" s="969">
        <v>431</v>
      </c>
      <c r="R642" s="969"/>
      <c r="S642" s="970">
        <v>9370</v>
      </c>
      <c r="T642" s="972">
        <v>2046</v>
      </c>
      <c r="U642" s="972">
        <v>11416</v>
      </c>
    </row>
    <row r="643" spans="1:21" x14ac:dyDescent="0.25">
      <c r="A643" s="966">
        <v>97015</v>
      </c>
      <c r="B643" s="967" t="s">
        <v>3257</v>
      </c>
      <c r="C643" s="968">
        <v>4.1499999999999999E-5</v>
      </c>
      <c r="D643" s="968">
        <v>5.3699999999999997E-5</v>
      </c>
      <c r="E643" s="1007">
        <v>23036</v>
      </c>
      <c r="F643" s="1010">
        <v>113969</v>
      </c>
      <c r="G643" s="969">
        <v>63401</v>
      </c>
      <c r="H643" s="969"/>
      <c r="I643" s="970">
        <v>3652</v>
      </c>
      <c r="J643" s="971">
        <v>15394</v>
      </c>
      <c r="K643" s="970">
        <v>9054</v>
      </c>
      <c r="L643" s="969">
        <v>4608</v>
      </c>
      <c r="M643" s="969"/>
      <c r="N643" s="970">
        <v>1795</v>
      </c>
      <c r="O643" s="970">
        <v>0</v>
      </c>
      <c r="P643" s="970">
        <v>0</v>
      </c>
      <c r="Q643" s="969">
        <v>5783</v>
      </c>
      <c r="R643" s="969"/>
      <c r="S643" s="970">
        <v>21366</v>
      </c>
      <c r="T643" s="972">
        <v>26</v>
      </c>
      <c r="U643" s="972">
        <v>21392</v>
      </c>
    </row>
    <row r="644" spans="1:21" x14ac:dyDescent="0.25">
      <c r="A644" s="966">
        <v>97018</v>
      </c>
      <c r="B644" s="967" t="s">
        <v>3258</v>
      </c>
      <c r="C644" s="968">
        <v>8.6000000000000007E-6</v>
      </c>
      <c r="D644" s="968">
        <v>9.3999999999999998E-6</v>
      </c>
      <c r="E644" s="1007">
        <v>8135</v>
      </c>
      <c r="F644" s="1010">
        <v>19950</v>
      </c>
      <c r="G644" s="969">
        <v>13138</v>
      </c>
      <c r="H644" s="969"/>
      <c r="I644" s="970">
        <v>757</v>
      </c>
      <c r="J644" s="971">
        <v>3190</v>
      </c>
      <c r="K644" s="970">
        <v>1876</v>
      </c>
      <c r="L644" s="969">
        <v>6833</v>
      </c>
      <c r="M644" s="969"/>
      <c r="N644" s="970">
        <v>372</v>
      </c>
      <c r="O644" s="970">
        <v>0</v>
      </c>
      <c r="P644" s="970">
        <v>0</v>
      </c>
      <c r="Q644" s="969">
        <v>0</v>
      </c>
      <c r="R644" s="969"/>
      <c r="S644" s="970">
        <v>4428</v>
      </c>
      <c r="T644" s="972">
        <v>2806</v>
      </c>
      <c r="U644" s="972">
        <v>7234</v>
      </c>
    </row>
    <row r="645" spans="1:21" x14ac:dyDescent="0.25">
      <c r="A645" s="966">
        <v>97101</v>
      </c>
      <c r="B645" s="967" t="s">
        <v>3259</v>
      </c>
      <c r="C645" s="968">
        <v>2.5790000000000001E-3</v>
      </c>
      <c r="D645" s="968">
        <v>2.6029E-3</v>
      </c>
      <c r="E645" s="1007">
        <v>1208500</v>
      </c>
      <c r="F645" s="1010">
        <v>5524226</v>
      </c>
      <c r="G645" s="969">
        <v>3939998</v>
      </c>
      <c r="H645" s="969"/>
      <c r="I645" s="970">
        <v>226980</v>
      </c>
      <c r="J645" s="971">
        <v>956636</v>
      </c>
      <c r="K645" s="970">
        <v>562686</v>
      </c>
      <c r="L645" s="969">
        <v>22549</v>
      </c>
      <c r="M645" s="969"/>
      <c r="N645" s="970">
        <v>111529</v>
      </c>
      <c r="O645" s="970">
        <v>0</v>
      </c>
      <c r="P645" s="970">
        <v>0</v>
      </c>
      <c r="Q645" s="969">
        <v>6937</v>
      </c>
      <c r="R645" s="969"/>
      <c r="S645" s="970">
        <v>1327783</v>
      </c>
      <c r="T645" s="972">
        <v>3541</v>
      </c>
      <c r="U645" s="972">
        <v>1331324</v>
      </c>
    </row>
    <row r="646" spans="1:21" x14ac:dyDescent="0.25">
      <c r="A646" s="966">
        <v>97104</v>
      </c>
      <c r="B646" s="967" t="s">
        <v>3260</v>
      </c>
      <c r="C646" s="968">
        <v>5.4299999999999998E-5</v>
      </c>
      <c r="D646" s="968">
        <v>5.6799999999999998E-5</v>
      </c>
      <c r="E646" s="1007">
        <v>29147</v>
      </c>
      <c r="F646" s="1010">
        <v>120549</v>
      </c>
      <c r="G646" s="969">
        <v>82955</v>
      </c>
      <c r="H646" s="969"/>
      <c r="I646" s="970">
        <v>4779</v>
      </c>
      <c r="J646" s="971">
        <v>20142</v>
      </c>
      <c r="K646" s="970">
        <v>11847</v>
      </c>
      <c r="L646" s="969">
        <v>11700</v>
      </c>
      <c r="M646" s="969"/>
      <c r="N646" s="970">
        <v>2348</v>
      </c>
      <c r="O646" s="970">
        <v>0</v>
      </c>
      <c r="P646" s="970">
        <v>0</v>
      </c>
      <c r="Q646" s="969">
        <v>0</v>
      </c>
      <c r="R646" s="969"/>
      <c r="S646" s="970">
        <v>27956</v>
      </c>
      <c r="T646" s="972">
        <v>6133</v>
      </c>
      <c r="U646" s="972">
        <v>34089</v>
      </c>
    </row>
    <row r="647" spans="1:21" x14ac:dyDescent="0.25">
      <c r="A647" s="966">
        <v>97111</v>
      </c>
      <c r="B647" s="967" t="s">
        <v>3261</v>
      </c>
      <c r="C647" s="968">
        <v>2.8200000000000002E-4</v>
      </c>
      <c r="D647" s="968">
        <v>2.7099999999999997E-4</v>
      </c>
      <c r="E647" s="1007">
        <v>108871</v>
      </c>
      <c r="F647" s="1010">
        <v>575153</v>
      </c>
      <c r="G647" s="969">
        <v>430818</v>
      </c>
      <c r="H647" s="969"/>
      <c r="I647" s="970">
        <v>24819</v>
      </c>
      <c r="J647" s="971">
        <v>104603</v>
      </c>
      <c r="K647" s="970">
        <v>61527</v>
      </c>
      <c r="L647" s="969">
        <v>7621</v>
      </c>
      <c r="M647" s="969"/>
      <c r="N647" s="970">
        <v>12195</v>
      </c>
      <c r="O647" s="970">
        <v>0</v>
      </c>
      <c r="P647" s="970">
        <v>0</v>
      </c>
      <c r="Q647" s="969">
        <v>20335</v>
      </c>
      <c r="R647" s="969"/>
      <c r="S647" s="970">
        <v>145186</v>
      </c>
      <c r="T647" s="972">
        <v>-1416</v>
      </c>
      <c r="U647" s="972">
        <v>143770</v>
      </c>
    </row>
    <row r="648" spans="1:21" x14ac:dyDescent="0.25">
      <c r="A648" s="966">
        <v>97121</v>
      </c>
      <c r="B648" s="967" t="s">
        <v>3262</v>
      </c>
      <c r="C648" s="968">
        <v>1.3640000000000001E-4</v>
      </c>
      <c r="D648" s="968">
        <v>1.2070000000000001E-4</v>
      </c>
      <c r="E648" s="1007">
        <v>66522</v>
      </c>
      <c r="F648" s="1010">
        <v>256166</v>
      </c>
      <c r="G648" s="969">
        <v>208381</v>
      </c>
      <c r="H648" s="969"/>
      <c r="I648" s="970">
        <v>12005</v>
      </c>
      <c r="J648" s="971">
        <v>50595</v>
      </c>
      <c r="K648" s="970">
        <v>29760</v>
      </c>
      <c r="L648" s="969">
        <v>13649</v>
      </c>
      <c r="M648" s="969"/>
      <c r="N648" s="970">
        <v>5899</v>
      </c>
      <c r="O648" s="970">
        <v>0</v>
      </c>
      <c r="P648" s="970">
        <v>0</v>
      </c>
      <c r="Q648" s="969">
        <v>10026</v>
      </c>
      <c r="R648" s="969"/>
      <c r="S648" s="970">
        <v>70225</v>
      </c>
      <c r="T648" s="972">
        <v>-1103</v>
      </c>
      <c r="U648" s="972">
        <v>69122</v>
      </c>
    </row>
    <row r="649" spans="1:21" x14ac:dyDescent="0.25">
      <c r="A649" s="966">
        <v>97131</v>
      </c>
      <c r="B649" s="967" t="s">
        <v>3263</v>
      </c>
      <c r="C649" s="968">
        <v>7.358E-4</v>
      </c>
      <c r="D649" s="968">
        <v>6.2969999999999996E-4</v>
      </c>
      <c r="E649" s="1007">
        <v>280483</v>
      </c>
      <c r="F649" s="1010">
        <v>1336434</v>
      </c>
      <c r="G649" s="969">
        <v>1124099</v>
      </c>
      <c r="H649" s="969"/>
      <c r="I649" s="970">
        <v>64758</v>
      </c>
      <c r="J649" s="971">
        <v>272933</v>
      </c>
      <c r="K649" s="970">
        <v>160537</v>
      </c>
      <c r="L649" s="969">
        <v>29703</v>
      </c>
      <c r="M649" s="969"/>
      <c r="N649" s="970">
        <v>31820</v>
      </c>
      <c r="O649" s="970">
        <v>0</v>
      </c>
      <c r="P649" s="970">
        <v>0</v>
      </c>
      <c r="Q649" s="969">
        <v>2383</v>
      </c>
      <c r="R649" s="969"/>
      <c r="S649" s="970">
        <v>378822</v>
      </c>
      <c r="T649" s="972">
        <v>7857</v>
      </c>
      <c r="U649" s="972">
        <v>386679</v>
      </c>
    </row>
    <row r="650" spans="1:21" x14ac:dyDescent="0.25">
      <c r="A650" s="966">
        <v>97201</v>
      </c>
      <c r="B650" s="967" t="s">
        <v>3264</v>
      </c>
      <c r="C650" s="968">
        <v>5.2689999999999996E-4</v>
      </c>
      <c r="D650" s="968">
        <v>4.9439999999999998E-4</v>
      </c>
      <c r="E650" s="1007">
        <v>248232</v>
      </c>
      <c r="F650" s="1010">
        <v>1049282</v>
      </c>
      <c r="G650" s="969">
        <v>804957</v>
      </c>
      <c r="H650" s="969"/>
      <c r="I650" s="970">
        <v>46373</v>
      </c>
      <c r="J650" s="971">
        <v>195445</v>
      </c>
      <c r="K650" s="970">
        <v>114959</v>
      </c>
      <c r="L650" s="969">
        <v>43529</v>
      </c>
      <c r="M650" s="969"/>
      <c r="N650" s="970">
        <v>22786</v>
      </c>
      <c r="O650" s="970">
        <v>0</v>
      </c>
      <c r="P650" s="970">
        <v>0</v>
      </c>
      <c r="Q650" s="969">
        <v>1877</v>
      </c>
      <c r="R650" s="969"/>
      <c r="S650" s="970">
        <v>271271</v>
      </c>
      <c r="T650" s="972">
        <v>10950</v>
      </c>
      <c r="U650" s="972">
        <f>282222-1</f>
        <v>282221</v>
      </c>
    </row>
    <row r="651" spans="1:21" x14ac:dyDescent="0.25">
      <c r="A651" s="966">
        <v>97211</v>
      </c>
      <c r="B651" s="967" t="s">
        <v>3265</v>
      </c>
      <c r="C651" s="968">
        <v>1.5980000000000001E-4</v>
      </c>
      <c r="D651" s="968">
        <v>1.4119999999999999E-4</v>
      </c>
      <c r="E651" s="1007">
        <v>74902</v>
      </c>
      <c r="F651" s="1010">
        <v>299674</v>
      </c>
      <c r="G651" s="969">
        <v>244130</v>
      </c>
      <c r="H651" s="969"/>
      <c r="I651" s="970">
        <v>14064</v>
      </c>
      <c r="J651" s="971">
        <v>59275</v>
      </c>
      <c r="K651" s="970">
        <v>34865</v>
      </c>
      <c r="L651" s="969">
        <v>16009</v>
      </c>
      <c r="M651" s="969"/>
      <c r="N651" s="970">
        <v>6911</v>
      </c>
      <c r="O651" s="970">
        <v>0</v>
      </c>
      <c r="P651" s="970">
        <v>0</v>
      </c>
      <c r="Q651" s="969">
        <v>12120</v>
      </c>
      <c r="R651" s="969"/>
      <c r="S651" s="970">
        <v>82272</v>
      </c>
      <c r="T651" s="972">
        <v>347</v>
      </c>
      <c r="U651" s="972">
        <v>82619</v>
      </c>
    </row>
    <row r="652" spans="1:21" x14ac:dyDescent="0.25">
      <c r="A652" s="966">
        <v>97213</v>
      </c>
      <c r="B652" s="967" t="s">
        <v>3266</v>
      </c>
      <c r="C652" s="968">
        <v>3.9100000000000002E-5</v>
      </c>
      <c r="D652" s="968">
        <v>3.8300000000000003E-5</v>
      </c>
      <c r="E652" s="1007">
        <v>24680</v>
      </c>
      <c r="F652" s="1010">
        <v>81285</v>
      </c>
      <c r="G652" s="969">
        <v>59734</v>
      </c>
      <c r="H652" s="969"/>
      <c r="I652" s="970">
        <v>3441</v>
      </c>
      <c r="J652" s="971">
        <v>14504</v>
      </c>
      <c r="K652" s="970">
        <v>8531</v>
      </c>
      <c r="L652" s="969">
        <v>6715</v>
      </c>
      <c r="M652" s="969"/>
      <c r="N652" s="970">
        <v>1691</v>
      </c>
      <c r="O652" s="970">
        <v>0</v>
      </c>
      <c r="P652" s="970">
        <v>0</v>
      </c>
      <c r="Q652" s="969">
        <v>495</v>
      </c>
      <c r="R652" s="969"/>
      <c r="S652" s="970">
        <v>20130</v>
      </c>
      <c r="T652" s="972">
        <v>2057</v>
      </c>
      <c r="U652" s="972">
        <v>22187</v>
      </c>
    </row>
    <row r="653" spans="1:21" x14ac:dyDescent="0.25">
      <c r="A653" s="966">
        <v>97217</v>
      </c>
      <c r="B653" s="967" t="s">
        <v>3267</v>
      </c>
      <c r="C653" s="968">
        <v>4.6E-6</v>
      </c>
      <c r="D653" s="968">
        <v>4.8999999999999997E-6</v>
      </c>
      <c r="E653" s="1007">
        <v>6890</v>
      </c>
      <c r="F653" s="1010">
        <v>10399</v>
      </c>
      <c r="G653" s="969">
        <v>7028</v>
      </c>
      <c r="H653" s="969"/>
      <c r="I653" s="970">
        <v>405</v>
      </c>
      <c r="J653" s="971">
        <v>1706</v>
      </c>
      <c r="K653" s="970">
        <v>1004</v>
      </c>
      <c r="L653" s="969">
        <v>8215</v>
      </c>
      <c r="M653" s="969"/>
      <c r="N653" s="970">
        <v>199</v>
      </c>
      <c r="O653" s="970">
        <v>0</v>
      </c>
      <c r="P653" s="970">
        <v>0</v>
      </c>
      <c r="Q653" s="969">
        <v>0</v>
      </c>
      <c r="R653" s="969"/>
      <c r="S653" s="970">
        <v>2368</v>
      </c>
      <c r="T653" s="972">
        <v>3286</v>
      </c>
      <c r="U653" s="972">
        <v>5654</v>
      </c>
    </row>
    <row r="654" spans="1:21" x14ac:dyDescent="0.25">
      <c r="A654" s="966">
        <v>97221</v>
      </c>
      <c r="B654" s="967" t="s">
        <v>3268</v>
      </c>
      <c r="C654" s="968">
        <v>7.1999999999999997E-6</v>
      </c>
      <c r="D654" s="968">
        <v>6.1999999999999999E-6</v>
      </c>
      <c r="E654" s="1007">
        <v>7778</v>
      </c>
      <c r="F654" s="1010">
        <v>13158</v>
      </c>
      <c r="G654" s="969">
        <v>11000</v>
      </c>
      <c r="H654" s="969"/>
      <c r="I654" s="970">
        <v>634</v>
      </c>
      <c r="J654" s="971">
        <v>2670</v>
      </c>
      <c r="K654" s="970">
        <v>1571</v>
      </c>
      <c r="L654" s="969">
        <v>8086</v>
      </c>
      <c r="M654" s="969"/>
      <c r="N654" s="970">
        <v>311</v>
      </c>
      <c r="O654" s="970">
        <v>0</v>
      </c>
      <c r="P654" s="970">
        <v>0</v>
      </c>
      <c r="Q654" s="969">
        <v>0</v>
      </c>
      <c r="R654" s="969"/>
      <c r="S654" s="970">
        <v>3707</v>
      </c>
      <c r="T654" s="972">
        <v>3119</v>
      </c>
      <c r="U654" s="972">
        <v>6826</v>
      </c>
    </row>
    <row r="655" spans="1:21" x14ac:dyDescent="0.25">
      <c r="A655" s="966">
        <v>97301</v>
      </c>
      <c r="B655" s="967" t="s">
        <v>3269</v>
      </c>
      <c r="C655" s="968">
        <v>2.5135999999999999E-3</v>
      </c>
      <c r="D655" s="968">
        <v>2.5742E-3</v>
      </c>
      <c r="E655" s="1007">
        <v>1186932</v>
      </c>
      <c r="F655" s="1010">
        <v>5463315</v>
      </c>
      <c r="G655" s="969">
        <v>3840085</v>
      </c>
      <c r="H655" s="969"/>
      <c r="I655" s="970">
        <v>221224</v>
      </c>
      <c r="J655" s="971">
        <v>932377</v>
      </c>
      <c r="K655" s="970">
        <v>548417</v>
      </c>
      <c r="L655" s="969">
        <v>23710</v>
      </c>
      <c r="M655" s="969"/>
      <c r="N655" s="970">
        <v>108701</v>
      </c>
      <c r="O655" s="970">
        <v>0</v>
      </c>
      <c r="P655" s="970">
        <v>0</v>
      </c>
      <c r="Q655" s="969">
        <v>56463</v>
      </c>
      <c r="R655" s="969"/>
      <c r="S655" s="970">
        <v>1294112</v>
      </c>
      <c r="T655" s="972">
        <v>-10667</v>
      </c>
      <c r="U655" s="972">
        <v>1283445</v>
      </c>
    </row>
    <row r="656" spans="1:21" x14ac:dyDescent="0.25">
      <c r="A656" s="966">
        <v>97304</v>
      </c>
      <c r="B656" s="967" t="s">
        <v>3270</v>
      </c>
      <c r="C656" s="968">
        <v>1.6799999999999998E-5</v>
      </c>
      <c r="D656" s="968">
        <v>1.7600000000000001E-5</v>
      </c>
      <c r="E656" s="1007">
        <v>13382</v>
      </c>
      <c r="F656" s="1010">
        <v>37353</v>
      </c>
      <c r="G656" s="969">
        <v>25666</v>
      </c>
      <c r="H656" s="969"/>
      <c r="I656" s="970">
        <v>1479</v>
      </c>
      <c r="J656" s="971">
        <v>6232</v>
      </c>
      <c r="K656" s="970">
        <v>3665</v>
      </c>
      <c r="L656" s="969">
        <v>8739</v>
      </c>
      <c r="M656" s="969"/>
      <c r="N656" s="970">
        <v>727</v>
      </c>
      <c r="O656" s="970">
        <v>0</v>
      </c>
      <c r="P656" s="970">
        <v>0</v>
      </c>
      <c r="Q656" s="969">
        <v>0</v>
      </c>
      <c r="R656" s="969"/>
      <c r="S656" s="970">
        <v>8649</v>
      </c>
      <c r="T656" s="972">
        <v>3503</v>
      </c>
      <c r="U656" s="972">
        <f>12153-1</f>
        <v>12152</v>
      </c>
    </row>
    <row r="657" spans="1:21" x14ac:dyDescent="0.25">
      <c r="A657" s="966">
        <v>97311</v>
      </c>
      <c r="B657" s="967" t="s">
        <v>3271</v>
      </c>
      <c r="C657" s="968">
        <v>9.1799999999999998E-4</v>
      </c>
      <c r="D657" s="968">
        <v>9.5E-4</v>
      </c>
      <c r="E657" s="1007">
        <v>407124</v>
      </c>
      <c r="F657" s="1010">
        <v>2016218</v>
      </c>
      <c r="G657" s="969">
        <v>1402450</v>
      </c>
      <c r="H657" s="969"/>
      <c r="I657" s="970">
        <v>80794</v>
      </c>
      <c r="J657" s="971">
        <v>340516</v>
      </c>
      <c r="K657" s="970">
        <v>200289</v>
      </c>
      <c r="L657" s="969">
        <v>0</v>
      </c>
      <c r="M657" s="969"/>
      <c r="N657" s="970">
        <v>39699</v>
      </c>
      <c r="O657" s="970">
        <v>0</v>
      </c>
      <c r="P657" s="970">
        <v>0</v>
      </c>
      <c r="Q657" s="969">
        <v>96844</v>
      </c>
      <c r="R657" s="969"/>
      <c r="S657" s="970">
        <v>472627</v>
      </c>
      <c r="T657" s="972">
        <v>-42048</v>
      </c>
      <c r="U657" s="972">
        <v>430579</v>
      </c>
    </row>
    <row r="658" spans="1:21" x14ac:dyDescent="0.25">
      <c r="A658" s="966">
        <v>97401</v>
      </c>
      <c r="B658" s="967" t="s">
        <v>3272</v>
      </c>
      <c r="C658" s="968">
        <v>7.1303E-3</v>
      </c>
      <c r="D658" s="968">
        <v>6.9633000000000004E-3</v>
      </c>
      <c r="E658" s="1007">
        <v>3322669</v>
      </c>
      <c r="F658" s="1010">
        <v>14778455</v>
      </c>
      <c r="G658" s="969">
        <v>10893123</v>
      </c>
      <c r="H658" s="969"/>
      <c r="I658" s="970">
        <v>627545</v>
      </c>
      <c r="J658" s="971">
        <v>2644864</v>
      </c>
      <c r="K658" s="970">
        <v>1555689</v>
      </c>
      <c r="L658" s="969">
        <v>151378</v>
      </c>
      <c r="M658" s="969"/>
      <c r="N658" s="970">
        <v>308350</v>
      </c>
      <c r="O658" s="970">
        <v>0</v>
      </c>
      <c r="P658" s="970">
        <v>0</v>
      </c>
      <c r="Q658" s="969">
        <v>83194</v>
      </c>
      <c r="R658" s="969"/>
      <c r="S658" s="970">
        <v>3670992</v>
      </c>
      <c r="T658" s="972">
        <v>-21617</v>
      </c>
      <c r="U658" s="972">
        <v>3649375</v>
      </c>
    </row>
    <row r="659" spans="1:21" x14ac:dyDescent="0.25">
      <c r="A659" s="966">
        <v>97402</v>
      </c>
      <c r="B659" s="967" t="s">
        <v>3273</v>
      </c>
      <c r="C659" s="968">
        <v>4.8000000000000001E-5</v>
      </c>
      <c r="D659" s="968">
        <v>4.4700000000000002E-5</v>
      </c>
      <c r="E659" s="1007">
        <v>25207</v>
      </c>
      <c r="F659" s="1010">
        <v>94868</v>
      </c>
      <c r="G659" s="969">
        <v>73331</v>
      </c>
      <c r="H659" s="969"/>
      <c r="I659" s="970">
        <v>4225</v>
      </c>
      <c r="J659" s="971">
        <v>17804</v>
      </c>
      <c r="K659" s="970">
        <v>10473</v>
      </c>
      <c r="L659" s="969">
        <v>15704</v>
      </c>
      <c r="M659" s="969"/>
      <c r="N659" s="970">
        <v>2076</v>
      </c>
      <c r="O659" s="970">
        <v>0</v>
      </c>
      <c r="P659" s="970">
        <v>0</v>
      </c>
      <c r="Q659" s="969">
        <v>0</v>
      </c>
      <c r="R659" s="969"/>
      <c r="S659" s="970">
        <v>24713</v>
      </c>
      <c r="T659" s="972">
        <v>5283</v>
      </c>
      <c r="U659" s="972">
        <f>29995+1</f>
        <v>29996</v>
      </c>
    </row>
    <row r="660" spans="1:21" x14ac:dyDescent="0.25">
      <c r="A660" s="966">
        <v>97404</v>
      </c>
      <c r="B660" s="967" t="s">
        <v>3274</v>
      </c>
      <c r="C660" s="968">
        <v>2.1010000000000001E-4</v>
      </c>
      <c r="D660" s="968">
        <v>2.1049999999999999E-4</v>
      </c>
      <c r="E660" s="1007">
        <v>84649</v>
      </c>
      <c r="F660" s="1010">
        <v>446752</v>
      </c>
      <c r="G660" s="969">
        <v>320975</v>
      </c>
      <c r="H660" s="969"/>
      <c r="I660" s="970">
        <v>18491</v>
      </c>
      <c r="J660" s="971">
        <v>77933</v>
      </c>
      <c r="K660" s="970">
        <v>45840</v>
      </c>
      <c r="L660" s="969">
        <v>983</v>
      </c>
      <c r="M660" s="969"/>
      <c r="N660" s="970">
        <v>9086</v>
      </c>
      <c r="O660" s="970">
        <v>0</v>
      </c>
      <c r="P660" s="970">
        <v>0</v>
      </c>
      <c r="Q660" s="969">
        <v>21173</v>
      </c>
      <c r="R660" s="969"/>
      <c r="S660" s="970">
        <v>108169</v>
      </c>
      <c r="T660" s="972">
        <v>-6084</v>
      </c>
      <c r="U660" s="972">
        <f>102084+1</f>
        <v>102085</v>
      </c>
    </row>
    <row r="661" spans="1:21" x14ac:dyDescent="0.25">
      <c r="A661" s="966">
        <v>97405</v>
      </c>
      <c r="B661" s="967" t="s">
        <v>3275</v>
      </c>
      <c r="C661" s="968">
        <v>1.091E-4</v>
      </c>
      <c r="D661" s="968">
        <v>1.087E-4</v>
      </c>
      <c r="E661" s="1007">
        <v>65706</v>
      </c>
      <c r="F661" s="1010">
        <v>230698</v>
      </c>
      <c r="G661" s="969">
        <v>166675</v>
      </c>
      <c r="H661" s="969"/>
      <c r="I661" s="970">
        <v>9602</v>
      </c>
      <c r="J661" s="971">
        <v>40468</v>
      </c>
      <c r="K661" s="970">
        <v>23803</v>
      </c>
      <c r="L661" s="969">
        <v>26973</v>
      </c>
      <c r="M661" s="969"/>
      <c r="N661" s="970">
        <v>4718</v>
      </c>
      <c r="O661" s="970">
        <v>0</v>
      </c>
      <c r="P661" s="970">
        <v>0</v>
      </c>
      <c r="Q661" s="969">
        <v>4890</v>
      </c>
      <c r="R661" s="969"/>
      <c r="S661" s="970">
        <v>56169</v>
      </c>
      <c r="T661" s="972">
        <v>4747</v>
      </c>
      <c r="U661" s="972">
        <v>60916</v>
      </c>
    </row>
    <row r="662" spans="1:21" x14ac:dyDescent="0.25">
      <c r="A662" s="966">
        <v>97408</v>
      </c>
      <c r="B662" s="967" t="s">
        <v>3276</v>
      </c>
      <c r="C662" s="968">
        <v>4.4499999999999997E-5</v>
      </c>
      <c r="D662" s="968">
        <v>4.9299999999999999E-5</v>
      </c>
      <c r="E662" s="1007">
        <v>27499</v>
      </c>
      <c r="F662" s="1010">
        <v>104631</v>
      </c>
      <c r="G662" s="969">
        <v>67984</v>
      </c>
      <c r="H662" s="969"/>
      <c r="I662" s="970">
        <v>3916</v>
      </c>
      <c r="J662" s="971">
        <v>16507</v>
      </c>
      <c r="K662" s="970">
        <v>9709</v>
      </c>
      <c r="L662" s="969">
        <v>7648</v>
      </c>
      <c r="M662" s="969"/>
      <c r="N662" s="970">
        <v>1924</v>
      </c>
      <c r="O662" s="970">
        <v>0</v>
      </c>
      <c r="P662" s="970">
        <v>0</v>
      </c>
      <c r="Q662" s="969">
        <v>0</v>
      </c>
      <c r="R662" s="969"/>
      <c r="S662" s="970">
        <v>22911</v>
      </c>
      <c r="T662" s="972">
        <v>2984</v>
      </c>
      <c r="U662" s="972">
        <v>25895</v>
      </c>
    </row>
    <row r="663" spans="1:21" x14ac:dyDescent="0.25">
      <c r="A663" s="966">
        <v>97411</v>
      </c>
      <c r="B663" s="967" t="s">
        <v>3277</v>
      </c>
      <c r="C663" s="968">
        <v>6.6379000000000004E-3</v>
      </c>
      <c r="D663" s="968">
        <v>6.7269000000000001E-3</v>
      </c>
      <c r="E663" s="1007">
        <v>2979173</v>
      </c>
      <c r="F663" s="1010">
        <v>14276735</v>
      </c>
      <c r="G663" s="969">
        <v>10140873</v>
      </c>
      <c r="H663" s="969"/>
      <c r="I663" s="970">
        <v>584208</v>
      </c>
      <c r="J663" s="971">
        <v>2462217</v>
      </c>
      <c r="K663" s="970">
        <v>1448257</v>
      </c>
      <c r="L663" s="969">
        <v>0</v>
      </c>
      <c r="M663" s="969"/>
      <c r="N663" s="970">
        <v>287056</v>
      </c>
      <c r="O663" s="970">
        <v>0</v>
      </c>
      <c r="P663" s="970">
        <v>0</v>
      </c>
      <c r="Q663" s="969">
        <v>679489</v>
      </c>
      <c r="R663" s="969"/>
      <c r="S663" s="970">
        <v>3417483</v>
      </c>
      <c r="T663" s="972">
        <v>-317873</v>
      </c>
      <c r="U663" s="972">
        <v>3099610</v>
      </c>
    </row>
    <row r="664" spans="1:21" x14ac:dyDescent="0.25">
      <c r="A664" s="966">
        <v>97412</v>
      </c>
      <c r="B664" s="967" t="s">
        <v>3278</v>
      </c>
      <c r="C664" s="968">
        <v>4.5082000000000004E-3</v>
      </c>
      <c r="D664" s="968">
        <v>4.424E-3</v>
      </c>
      <c r="E664" s="1007">
        <v>2155644</v>
      </c>
      <c r="F664" s="1010">
        <v>9389210</v>
      </c>
      <c r="G664" s="969">
        <v>6887281</v>
      </c>
      <c r="H664" s="969"/>
      <c r="I664" s="970">
        <v>396771</v>
      </c>
      <c r="J664" s="971">
        <v>1672240</v>
      </c>
      <c r="K664" s="970">
        <v>983599</v>
      </c>
      <c r="L664" s="969">
        <v>229685</v>
      </c>
      <c r="M664" s="969"/>
      <c r="N664" s="970">
        <v>194957</v>
      </c>
      <c r="O664" s="970">
        <v>0</v>
      </c>
      <c r="P664" s="970">
        <v>0</v>
      </c>
      <c r="Q664" s="969">
        <v>0</v>
      </c>
      <c r="R664" s="969"/>
      <c r="S664" s="970">
        <v>2321020</v>
      </c>
      <c r="T664" s="972">
        <v>85525</v>
      </c>
      <c r="U664" s="972">
        <v>2406545</v>
      </c>
    </row>
    <row r="665" spans="1:21" x14ac:dyDescent="0.25">
      <c r="A665" s="966">
        <v>97413</v>
      </c>
      <c r="B665" s="967" t="s">
        <v>3279</v>
      </c>
      <c r="C665" s="968">
        <v>2.6570000000000001E-4</v>
      </c>
      <c r="D665" s="968">
        <v>2.7910000000000001E-4</v>
      </c>
      <c r="E665" s="1007">
        <v>140809</v>
      </c>
      <c r="F665" s="1010">
        <v>592344</v>
      </c>
      <c r="G665" s="969">
        <v>405916</v>
      </c>
      <c r="H665" s="969"/>
      <c r="I665" s="970">
        <v>23385</v>
      </c>
      <c r="J665" s="971">
        <v>98557</v>
      </c>
      <c r="K665" s="970">
        <v>57970</v>
      </c>
      <c r="L665" s="969">
        <v>7437</v>
      </c>
      <c r="M665" s="969"/>
      <c r="N665" s="970">
        <v>11490</v>
      </c>
      <c r="O665" s="970">
        <v>0</v>
      </c>
      <c r="P665" s="970">
        <v>0</v>
      </c>
      <c r="Q665" s="969">
        <v>5304</v>
      </c>
      <c r="R665" s="969"/>
      <c r="S665" s="970">
        <v>136794</v>
      </c>
      <c r="T665" s="972">
        <v>-2913</v>
      </c>
      <c r="U665" s="972">
        <v>133881</v>
      </c>
    </row>
    <row r="666" spans="1:21" x14ac:dyDescent="0.25">
      <c r="A666" s="966">
        <v>97421</v>
      </c>
      <c r="B666" s="967" t="s">
        <v>3280</v>
      </c>
      <c r="C666" s="968">
        <v>4.2890000000000002E-4</v>
      </c>
      <c r="D666" s="968">
        <v>4.1120000000000002E-4</v>
      </c>
      <c r="E666" s="1007">
        <v>192261</v>
      </c>
      <c r="F666" s="1010">
        <v>872704</v>
      </c>
      <c r="G666" s="969">
        <v>655240</v>
      </c>
      <c r="H666" s="969"/>
      <c r="I666" s="970">
        <v>37748</v>
      </c>
      <c r="J666" s="971">
        <v>159093</v>
      </c>
      <c r="K666" s="970">
        <v>93577</v>
      </c>
      <c r="L666" s="969">
        <v>8155</v>
      </c>
      <c r="M666" s="969"/>
      <c r="N666" s="970">
        <v>18548</v>
      </c>
      <c r="O666" s="970">
        <v>0</v>
      </c>
      <c r="P666" s="970">
        <v>0</v>
      </c>
      <c r="Q666" s="969">
        <v>24127</v>
      </c>
      <c r="R666" s="969"/>
      <c r="S666" s="970">
        <v>220817</v>
      </c>
      <c r="T666" s="972">
        <v>-14066</v>
      </c>
      <c r="U666" s="972">
        <v>206751</v>
      </c>
    </row>
    <row r="667" spans="1:21" x14ac:dyDescent="0.25">
      <c r="A667" s="966">
        <v>97423</v>
      </c>
      <c r="B667" s="967" t="s">
        <v>3281</v>
      </c>
      <c r="C667" s="968">
        <v>4.3600000000000003E-5</v>
      </c>
      <c r="D667" s="968">
        <v>4.5800000000000002E-5</v>
      </c>
      <c r="E667" s="1007">
        <v>42976</v>
      </c>
      <c r="F667" s="1010">
        <v>97203</v>
      </c>
      <c r="G667" s="969">
        <v>66609</v>
      </c>
      <c r="H667" s="969"/>
      <c r="I667" s="970">
        <v>3837</v>
      </c>
      <c r="J667" s="971">
        <v>16173</v>
      </c>
      <c r="K667" s="970">
        <v>9513</v>
      </c>
      <c r="L667" s="969">
        <v>35421</v>
      </c>
      <c r="M667" s="969"/>
      <c r="N667" s="970">
        <v>1885</v>
      </c>
      <c r="O667" s="970">
        <v>0</v>
      </c>
      <c r="P667" s="970">
        <v>0</v>
      </c>
      <c r="Q667" s="969">
        <v>0</v>
      </c>
      <c r="R667" s="969"/>
      <c r="S667" s="970">
        <v>22447</v>
      </c>
      <c r="T667" s="972">
        <v>12225</v>
      </c>
      <c r="U667" s="972">
        <v>34672</v>
      </c>
    </row>
    <row r="668" spans="1:21" x14ac:dyDescent="0.25">
      <c r="A668" s="966">
        <v>97431</v>
      </c>
      <c r="B668" s="967" t="s">
        <v>3282</v>
      </c>
      <c r="C668" s="968">
        <v>8.5599999999999994E-5</v>
      </c>
      <c r="D668" s="968">
        <v>8.5199999999999997E-5</v>
      </c>
      <c r="E668" s="1007">
        <v>44546</v>
      </c>
      <c r="F668" s="1010">
        <v>180823</v>
      </c>
      <c r="G668" s="969">
        <v>130773</v>
      </c>
      <c r="H668" s="969"/>
      <c r="I668" s="970">
        <v>7534</v>
      </c>
      <c r="J668" s="971">
        <v>31751</v>
      </c>
      <c r="K668" s="970">
        <v>18676</v>
      </c>
      <c r="L668" s="969">
        <v>6440</v>
      </c>
      <c r="M668" s="969"/>
      <c r="N668" s="970">
        <v>3702</v>
      </c>
      <c r="O668" s="970">
        <v>0</v>
      </c>
      <c r="P668" s="970">
        <v>0</v>
      </c>
      <c r="Q668" s="969">
        <v>0</v>
      </c>
      <c r="R668" s="969"/>
      <c r="S668" s="970">
        <v>44071</v>
      </c>
      <c r="T668" s="972">
        <v>2026</v>
      </c>
      <c r="U668" s="972">
        <v>46097</v>
      </c>
    </row>
    <row r="669" spans="1:21" x14ac:dyDescent="0.25">
      <c r="A669" s="966">
        <v>97441</v>
      </c>
      <c r="B669" s="967" t="s">
        <v>3283</v>
      </c>
      <c r="C669" s="968">
        <v>7.5799999999999999E-5</v>
      </c>
      <c r="D669" s="968">
        <v>7.0500000000000006E-5</v>
      </c>
      <c r="E669" s="1007">
        <v>25244</v>
      </c>
      <c r="F669" s="1010">
        <v>149625</v>
      </c>
      <c r="G669" s="969">
        <v>115801</v>
      </c>
      <c r="H669" s="969"/>
      <c r="I669" s="970">
        <v>6671</v>
      </c>
      <c r="J669" s="971">
        <v>28117</v>
      </c>
      <c r="K669" s="970">
        <v>16538</v>
      </c>
      <c r="L669" s="969">
        <v>202</v>
      </c>
      <c r="M669" s="969"/>
      <c r="N669" s="970">
        <v>3278</v>
      </c>
      <c r="O669" s="970">
        <v>0</v>
      </c>
      <c r="P669" s="970">
        <v>0</v>
      </c>
      <c r="Q669" s="969">
        <v>7671</v>
      </c>
      <c r="R669" s="969"/>
      <c r="S669" s="970">
        <v>39025</v>
      </c>
      <c r="T669" s="972">
        <v>-2235</v>
      </c>
      <c r="U669" s="972">
        <v>36790</v>
      </c>
    </row>
    <row r="670" spans="1:21" x14ac:dyDescent="0.25">
      <c r="A670" s="966">
        <v>97451</v>
      </c>
      <c r="B670" s="967" t="s">
        <v>3284</v>
      </c>
      <c r="C670" s="968">
        <v>5.5820000000000002E-4</v>
      </c>
      <c r="D670" s="968">
        <v>6.1039999999999998E-4</v>
      </c>
      <c r="E670" s="1007">
        <v>245214</v>
      </c>
      <c r="F670" s="1010">
        <v>1295473</v>
      </c>
      <c r="G670" s="969">
        <v>852775</v>
      </c>
      <c r="H670" s="969"/>
      <c r="I670" s="970">
        <v>49128</v>
      </c>
      <c r="J670" s="971">
        <v>207055</v>
      </c>
      <c r="K670" s="970">
        <v>121788</v>
      </c>
      <c r="L670" s="969">
        <v>19770</v>
      </c>
      <c r="M670" s="969"/>
      <c r="N670" s="970">
        <v>24139</v>
      </c>
      <c r="O670" s="970">
        <v>0</v>
      </c>
      <c r="P670" s="970">
        <v>0</v>
      </c>
      <c r="Q670" s="969">
        <v>47630</v>
      </c>
      <c r="R670" s="969"/>
      <c r="S670" s="970">
        <v>287386</v>
      </c>
      <c r="T670" s="972">
        <v>-2772</v>
      </c>
      <c r="U670" s="972">
        <v>284614</v>
      </c>
    </row>
    <row r="671" spans="1:21" x14ac:dyDescent="0.25">
      <c r="A671" s="966">
        <v>97461</v>
      </c>
      <c r="B671" s="967" t="s">
        <v>3285</v>
      </c>
      <c r="C671" s="968">
        <v>5.5650000000000003E-4</v>
      </c>
      <c r="D671" s="968">
        <v>5.1869999999999998E-4</v>
      </c>
      <c r="E671" s="1007">
        <v>228350</v>
      </c>
      <c r="F671" s="1010">
        <v>1100855</v>
      </c>
      <c r="G671" s="969">
        <v>850178</v>
      </c>
      <c r="H671" s="969"/>
      <c r="I671" s="970">
        <v>48978</v>
      </c>
      <c r="J671" s="971">
        <v>206424</v>
      </c>
      <c r="K671" s="970">
        <v>121417</v>
      </c>
      <c r="L671" s="969">
        <v>5855</v>
      </c>
      <c r="M671" s="969"/>
      <c r="N671" s="970">
        <v>24066</v>
      </c>
      <c r="O671" s="970">
        <v>0</v>
      </c>
      <c r="P671" s="970">
        <v>0</v>
      </c>
      <c r="Q671" s="969">
        <v>31609</v>
      </c>
      <c r="R671" s="969"/>
      <c r="S671" s="970">
        <v>286511</v>
      </c>
      <c r="T671" s="972">
        <v>-11321</v>
      </c>
      <c r="U671" s="972">
        <v>275190</v>
      </c>
    </row>
    <row r="672" spans="1:21" x14ac:dyDescent="0.25">
      <c r="A672" s="966">
        <v>97463</v>
      </c>
      <c r="B672" s="967" t="s">
        <v>3286</v>
      </c>
      <c r="C672" s="968">
        <v>4.1100000000000003E-5</v>
      </c>
      <c r="D672" s="968">
        <v>5.0099999999999998E-5</v>
      </c>
      <c r="E672" s="1007">
        <v>16312</v>
      </c>
      <c r="F672" s="1010">
        <v>106329</v>
      </c>
      <c r="G672" s="969">
        <v>62789</v>
      </c>
      <c r="H672" s="969"/>
      <c r="I672" s="970">
        <v>3617</v>
      </c>
      <c r="J672" s="971">
        <v>15246</v>
      </c>
      <c r="K672" s="970">
        <v>8967</v>
      </c>
      <c r="L672" s="969">
        <v>1420</v>
      </c>
      <c r="M672" s="969"/>
      <c r="N672" s="970">
        <v>1777</v>
      </c>
      <c r="O672" s="970">
        <v>0</v>
      </c>
      <c r="P672" s="970">
        <v>0</v>
      </c>
      <c r="Q672" s="969">
        <v>12499</v>
      </c>
      <c r="R672" s="969"/>
      <c r="S672" s="970">
        <v>21160</v>
      </c>
      <c r="T672" s="972">
        <v>-2447</v>
      </c>
      <c r="U672" s="972">
        <v>18713</v>
      </c>
    </row>
    <row r="673" spans="1:21" x14ac:dyDescent="0.25">
      <c r="A673" s="966">
        <v>97471</v>
      </c>
      <c r="B673" s="967" t="s">
        <v>3287</v>
      </c>
      <c r="C673" s="968">
        <v>1.22E-5</v>
      </c>
      <c r="D673" s="968">
        <v>1.27E-5</v>
      </c>
      <c r="E673" s="1007">
        <v>10247</v>
      </c>
      <c r="F673" s="1010">
        <v>26954</v>
      </c>
      <c r="G673" s="969">
        <v>18638</v>
      </c>
      <c r="H673" s="969"/>
      <c r="I673" s="970">
        <v>1074</v>
      </c>
      <c r="J673" s="971">
        <v>4526</v>
      </c>
      <c r="K673" s="970">
        <v>2662</v>
      </c>
      <c r="L673" s="969">
        <v>6770</v>
      </c>
      <c r="M673" s="969"/>
      <c r="N673" s="970">
        <v>528</v>
      </c>
      <c r="O673" s="970">
        <v>0</v>
      </c>
      <c r="P673" s="970">
        <v>0</v>
      </c>
      <c r="Q673" s="969">
        <v>0</v>
      </c>
      <c r="R673" s="969"/>
      <c r="S673" s="970">
        <v>6281</v>
      </c>
      <c r="T673" s="972">
        <v>2621</v>
      </c>
      <c r="U673" s="972">
        <v>8902</v>
      </c>
    </row>
    <row r="674" spans="1:21" x14ac:dyDescent="0.25">
      <c r="A674" s="966">
        <v>97481</v>
      </c>
      <c r="B674" s="967" t="s">
        <v>3288</v>
      </c>
      <c r="C674" s="968">
        <v>9.9000000000000001E-6</v>
      </c>
      <c r="D674" s="968">
        <v>1.63E-5</v>
      </c>
      <c r="E674" s="1007">
        <v>6015</v>
      </c>
      <c r="F674" s="1010">
        <v>34594</v>
      </c>
      <c r="G674" s="969">
        <v>15124</v>
      </c>
      <c r="H674" s="969"/>
      <c r="I674" s="970">
        <v>871</v>
      </c>
      <c r="J674" s="971">
        <v>3672</v>
      </c>
      <c r="K674" s="970">
        <v>2160</v>
      </c>
      <c r="L674" s="969">
        <v>3592</v>
      </c>
      <c r="M674" s="969"/>
      <c r="N674" s="970">
        <v>428</v>
      </c>
      <c r="O674" s="970">
        <v>0</v>
      </c>
      <c r="P674" s="970">
        <v>0</v>
      </c>
      <c r="Q674" s="969">
        <v>3115</v>
      </c>
      <c r="R674" s="969"/>
      <c r="S674" s="970">
        <v>5097</v>
      </c>
      <c r="T674" s="972">
        <v>1594</v>
      </c>
      <c r="U674" s="972">
        <v>6691</v>
      </c>
    </row>
    <row r="675" spans="1:21" x14ac:dyDescent="0.25">
      <c r="A675" s="966">
        <v>97491</v>
      </c>
      <c r="B675" s="967" t="s">
        <v>3289</v>
      </c>
      <c r="C675" s="968">
        <v>0</v>
      </c>
      <c r="D675" s="968">
        <v>0</v>
      </c>
      <c r="E675" s="1007">
        <v>0</v>
      </c>
      <c r="F675" s="1010">
        <v>0</v>
      </c>
      <c r="G675" s="969">
        <v>0</v>
      </c>
      <c r="H675" s="969"/>
      <c r="I675" s="970">
        <v>0</v>
      </c>
      <c r="J675" s="971">
        <v>0</v>
      </c>
      <c r="K675" s="970">
        <v>0</v>
      </c>
      <c r="L675" s="969">
        <v>0</v>
      </c>
      <c r="M675" s="969"/>
      <c r="N675" s="970">
        <v>0</v>
      </c>
      <c r="O675" s="970">
        <v>0</v>
      </c>
      <c r="P675" s="970">
        <v>0</v>
      </c>
      <c r="Q675" s="969">
        <v>7849</v>
      </c>
      <c r="R675" s="969"/>
      <c r="S675" s="970">
        <v>0</v>
      </c>
      <c r="T675" s="972">
        <v>-4941</v>
      </c>
      <c r="U675" s="972">
        <v>-4941</v>
      </c>
    </row>
    <row r="676" spans="1:21" x14ac:dyDescent="0.25">
      <c r="A676" s="966">
        <v>97501</v>
      </c>
      <c r="B676" s="967" t="s">
        <v>3290</v>
      </c>
      <c r="C676" s="968">
        <v>1.1000999999999999E-3</v>
      </c>
      <c r="D676" s="968">
        <v>9.6730000000000004E-4</v>
      </c>
      <c r="E676" s="1007">
        <v>517522</v>
      </c>
      <c r="F676" s="1010">
        <v>2052935</v>
      </c>
      <c r="G676" s="969">
        <v>1680648</v>
      </c>
      <c r="H676" s="969"/>
      <c r="I676" s="970">
        <v>96821</v>
      </c>
      <c r="J676" s="971">
        <v>408064</v>
      </c>
      <c r="K676" s="970">
        <v>240020</v>
      </c>
      <c r="L676" s="969">
        <v>125050</v>
      </c>
      <c r="M676" s="969"/>
      <c r="N676" s="970">
        <v>47574</v>
      </c>
      <c r="O676" s="970">
        <v>0</v>
      </c>
      <c r="P676" s="970">
        <v>0</v>
      </c>
      <c r="Q676" s="969">
        <v>0</v>
      </c>
      <c r="R676" s="969"/>
      <c r="S676" s="970">
        <v>566380</v>
      </c>
      <c r="T676" s="972">
        <v>44629</v>
      </c>
      <c r="U676" s="972">
        <v>611009</v>
      </c>
    </row>
    <row r="677" spans="1:21" x14ac:dyDescent="0.25">
      <c r="A677" s="966">
        <v>97511</v>
      </c>
      <c r="B677" s="967" t="s">
        <v>3291</v>
      </c>
      <c r="C677" s="968">
        <v>2.3450000000000001E-4</v>
      </c>
      <c r="D677" s="968">
        <v>2.3220000000000001E-4</v>
      </c>
      <c r="E677" s="1007">
        <v>112044</v>
      </c>
      <c r="F677" s="1010">
        <v>492806</v>
      </c>
      <c r="G677" s="969">
        <v>358251</v>
      </c>
      <c r="H677" s="969"/>
      <c r="I677" s="970">
        <v>20639</v>
      </c>
      <c r="J677" s="971">
        <v>86984</v>
      </c>
      <c r="K677" s="970">
        <v>51163</v>
      </c>
      <c r="L677" s="969">
        <v>12835</v>
      </c>
      <c r="M677" s="969"/>
      <c r="N677" s="970">
        <v>10141</v>
      </c>
      <c r="O677" s="970">
        <v>0</v>
      </c>
      <c r="P677" s="970">
        <v>0</v>
      </c>
      <c r="Q677" s="969">
        <v>844</v>
      </c>
      <c r="R677" s="969"/>
      <c r="S677" s="970">
        <v>120731</v>
      </c>
      <c r="T677" s="972">
        <v>3795</v>
      </c>
      <c r="U677" s="972">
        <v>124526</v>
      </c>
    </row>
    <row r="678" spans="1:21" x14ac:dyDescent="0.25">
      <c r="A678" s="966">
        <v>97521</v>
      </c>
      <c r="B678" s="967" t="s">
        <v>3292</v>
      </c>
      <c r="C678" s="968">
        <v>1.2870000000000001E-4</v>
      </c>
      <c r="D678" s="968">
        <v>1.293E-4</v>
      </c>
      <c r="E678" s="1007">
        <v>56688</v>
      </c>
      <c r="F678" s="1010">
        <v>274418</v>
      </c>
      <c r="G678" s="969">
        <v>196618</v>
      </c>
      <c r="H678" s="969"/>
      <c r="I678" s="970">
        <v>11327</v>
      </c>
      <c r="J678" s="971">
        <v>47739</v>
      </c>
      <c r="K678" s="970">
        <v>28080</v>
      </c>
      <c r="L678" s="969">
        <v>2190</v>
      </c>
      <c r="M678" s="969"/>
      <c r="N678" s="970">
        <v>5566</v>
      </c>
      <c r="O678" s="970">
        <v>0</v>
      </c>
      <c r="P678" s="970">
        <v>0</v>
      </c>
      <c r="Q678" s="969">
        <v>14589</v>
      </c>
      <c r="R678" s="969"/>
      <c r="S678" s="970">
        <v>66260</v>
      </c>
      <c r="T678" s="972">
        <v>-3628</v>
      </c>
      <c r="U678" s="972">
        <v>62632</v>
      </c>
    </row>
    <row r="679" spans="1:21" x14ac:dyDescent="0.25">
      <c r="A679" s="966">
        <v>97531</v>
      </c>
      <c r="B679" s="967" t="s">
        <v>3293</v>
      </c>
      <c r="C679" s="968">
        <v>4.32E-5</v>
      </c>
      <c r="D679" s="968">
        <v>3.6300000000000001E-5</v>
      </c>
      <c r="E679" s="1007">
        <v>25035</v>
      </c>
      <c r="F679" s="1010">
        <v>77041</v>
      </c>
      <c r="G679" s="969">
        <v>65998</v>
      </c>
      <c r="H679" s="969"/>
      <c r="I679" s="970">
        <v>3802</v>
      </c>
      <c r="J679" s="971">
        <v>16025</v>
      </c>
      <c r="K679" s="970">
        <v>9425</v>
      </c>
      <c r="L679" s="969">
        <v>11185</v>
      </c>
      <c r="M679" s="969"/>
      <c r="N679" s="970">
        <v>1868</v>
      </c>
      <c r="O679" s="970">
        <v>0</v>
      </c>
      <c r="P679" s="970">
        <v>0</v>
      </c>
      <c r="Q679" s="969">
        <v>9052</v>
      </c>
      <c r="R679" s="969"/>
      <c r="S679" s="970">
        <v>22241</v>
      </c>
      <c r="T679" s="972">
        <v>-2508</v>
      </c>
      <c r="U679" s="972">
        <f>19734-1</f>
        <v>19733</v>
      </c>
    </row>
    <row r="680" spans="1:21" x14ac:dyDescent="0.25">
      <c r="A680" s="966">
        <v>97601</v>
      </c>
      <c r="B680" s="967" t="s">
        <v>3294</v>
      </c>
      <c r="C680" s="968">
        <v>5.1672000000000003E-3</v>
      </c>
      <c r="D680" s="968">
        <v>4.7808E-3</v>
      </c>
      <c r="E680" s="1007">
        <v>2287000</v>
      </c>
      <c r="F680" s="1010">
        <v>10146459</v>
      </c>
      <c r="G680" s="969">
        <v>7894050</v>
      </c>
      <c r="H680" s="969"/>
      <c r="I680" s="970">
        <v>454770</v>
      </c>
      <c r="J680" s="971">
        <v>1916685</v>
      </c>
      <c r="K680" s="970">
        <v>1127380</v>
      </c>
      <c r="L680" s="969">
        <v>190925</v>
      </c>
      <c r="M680" s="969"/>
      <c r="N680" s="970">
        <v>223456</v>
      </c>
      <c r="O680" s="970">
        <v>0</v>
      </c>
      <c r="P680" s="970">
        <v>0</v>
      </c>
      <c r="Q680" s="969">
        <v>91443</v>
      </c>
      <c r="R680" s="969"/>
      <c r="S680" s="970">
        <v>2660302</v>
      </c>
      <c r="T680" s="972">
        <v>1665</v>
      </c>
      <c r="U680" s="972">
        <v>2661967</v>
      </c>
    </row>
    <row r="681" spans="1:21" x14ac:dyDescent="0.25">
      <c r="A681" s="966">
        <v>97607</v>
      </c>
      <c r="B681" s="967" t="s">
        <v>3295</v>
      </c>
      <c r="C681" s="968">
        <v>2.3200000000000001E-5</v>
      </c>
      <c r="D681" s="968">
        <v>1.9199999999999999E-5</v>
      </c>
      <c r="E681" s="1007">
        <v>17255</v>
      </c>
      <c r="F681" s="1010">
        <v>40749</v>
      </c>
      <c r="G681" s="969">
        <v>35443</v>
      </c>
      <c r="H681" s="969"/>
      <c r="I681" s="970">
        <v>2042</v>
      </c>
      <c r="J681" s="971">
        <v>8605</v>
      </c>
      <c r="K681" s="970">
        <v>5062</v>
      </c>
      <c r="L681" s="969">
        <v>13349</v>
      </c>
      <c r="M681" s="969"/>
      <c r="N681" s="970">
        <v>1003</v>
      </c>
      <c r="O681" s="970">
        <v>0</v>
      </c>
      <c r="P681" s="970">
        <v>0</v>
      </c>
      <c r="Q681" s="969">
        <v>0</v>
      </c>
      <c r="R681" s="969"/>
      <c r="S681" s="970">
        <v>11944</v>
      </c>
      <c r="T681" s="972">
        <v>5427</v>
      </c>
      <c r="U681" s="972">
        <v>17371</v>
      </c>
    </row>
    <row r="682" spans="1:21" x14ac:dyDescent="0.25">
      <c r="A682" s="966">
        <v>97611</v>
      </c>
      <c r="B682" s="967" t="s">
        <v>3296</v>
      </c>
      <c r="C682" s="968">
        <v>2.4767999999999999E-3</v>
      </c>
      <c r="D682" s="968">
        <v>2.5750999999999999E-3</v>
      </c>
      <c r="E682" s="1007">
        <v>1108488</v>
      </c>
      <c r="F682" s="1010">
        <v>5465225</v>
      </c>
      <c r="G682" s="969">
        <v>3783864</v>
      </c>
      <c r="H682" s="969"/>
      <c r="I682" s="970">
        <v>217986</v>
      </c>
      <c r="J682" s="971">
        <v>918727</v>
      </c>
      <c r="K682" s="970">
        <v>540388</v>
      </c>
      <c r="L682" s="969">
        <v>0</v>
      </c>
      <c r="M682" s="969"/>
      <c r="N682" s="970">
        <v>107109</v>
      </c>
      <c r="O682" s="970">
        <v>0</v>
      </c>
      <c r="P682" s="970">
        <v>0</v>
      </c>
      <c r="Q682" s="969">
        <v>276084</v>
      </c>
      <c r="R682" s="969"/>
      <c r="S682" s="970">
        <v>1275166</v>
      </c>
      <c r="T682" s="972">
        <v>-116051</v>
      </c>
      <c r="U682" s="972">
        <v>1159115</v>
      </c>
    </row>
    <row r="683" spans="1:21" x14ac:dyDescent="0.25">
      <c r="A683" s="966">
        <v>97613</v>
      </c>
      <c r="B683" s="967" t="s">
        <v>3297</v>
      </c>
      <c r="C683" s="968">
        <v>1.1629999999999999E-4</v>
      </c>
      <c r="D683" s="968">
        <v>1.2459999999999999E-4</v>
      </c>
      <c r="E683" s="1007">
        <v>60157</v>
      </c>
      <c r="F683" s="1010">
        <v>264443</v>
      </c>
      <c r="G683" s="969">
        <v>177674</v>
      </c>
      <c r="H683" s="969"/>
      <c r="I683" s="970">
        <v>10236</v>
      </c>
      <c r="J683" s="971">
        <v>43140</v>
      </c>
      <c r="K683" s="970">
        <v>25374</v>
      </c>
      <c r="L683" s="969">
        <v>3969</v>
      </c>
      <c r="M683" s="969"/>
      <c r="N683" s="970">
        <v>5029</v>
      </c>
      <c r="O683" s="970">
        <v>0</v>
      </c>
      <c r="P683" s="970">
        <v>0</v>
      </c>
      <c r="Q683" s="969">
        <v>3579</v>
      </c>
      <c r="R683" s="969"/>
      <c r="S683" s="970">
        <v>59876</v>
      </c>
      <c r="T683" s="972">
        <v>-543</v>
      </c>
      <c r="U683" s="972">
        <f>59334-1</f>
        <v>59333</v>
      </c>
    </row>
    <row r="684" spans="1:21" x14ac:dyDescent="0.25">
      <c r="A684" s="966">
        <v>97621</v>
      </c>
      <c r="B684" s="967" t="s">
        <v>3298</v>
      </c>
      <c r="C684" s="968">
        <v>4.5179999999999998E-4</v>
      </c>
      <c r="D684" s="968">
        <v>4.7429999999999998E-4</v>
      </c>
      <c r="E684" s="1007">
        <v>179047</v>
      </c>
      <c r="F684" s="1010">
        <v>1006623</v>
      </c>
      <c r="G684" s="969">
        <v>690225</v>
      </c>
      <c r="H684" s="969"/>
      <c r="I684" s="970">
        <v>39763</v>
      </c>
      <c r="J684" s="971">
        <v>167588</v>
      </c>
      <c r="K684" s="970">
        <v>98574</v>
      </c>
      <c r="L684" s="969">
        <v>15836</v>
      </c>
      <c r="M684" s="969"/>
      <c r="N684" s="970">
        <v>19538</v>
      </c>
      <c r="O684" s="970">
        <v>0</v>
      </c>
      <c r="P684" s="970">
        <v>0</v>
      </c>
      <c r="Q684" s="969">
        <v>70017</v>
      </c>
      <c r="R684" s="969"/>
      <c r="S684" s="970">
        <v>232607</v>
      </c>
      <c r="T684" s="972">
        <v>-11992</v>
      </c>
      <c r="U684" s="972">
        <v>220615</v>
      </c>
    </row>
    <row r="685" spans="1:21" x14ac:dyDescent="0.25">
      <c r="A685" s="966">
        <v>97623</v>
      </c>
      <c r="B685" s="967" t="s">
        <v>3299</v>
      </c>
      <c r="C685" s="968">
        <v>2.9499999999999999E-5</v>
      </c>
      <c r="D685" s="968">
        <v>2.9200000000000002E-5</v>
      </c>
      <c r="E685" s="1007">
        <v>11113</v>
      </c>
      <c r="F685" s="1010">
        <v>61972</v>
      </c>
      <c r="G685" s="969">
        <v>45068</v>
      </c>
      <c r="H685" s="969"/>
      <c r="I685" s="970">
        <v>2596</v>
      </c>
      <c r="J685" s="971">
        <v>10942</v>
      </c>
      <c r="K685" s="970">
        <v>6436</v>
      </c>
      <c r="L685" s="969">
        <v>6505</v>
      </c>
      <c r="M685" s="969"/>
      <c r="N685" s="970">
        <v>1276</v>
      </c>
      <c r="O685" s="970">
        <v>0</v>
      </c>
      <c r="P685" s="970">
        <v>0</v>
      </c>
      <c r="Q685" s="969">
        <v>1742</v>
      </c>
      <c r="R685" s="969"/>
      <c r="S685" s="970">
        <v>15188</v>
      </c>
      <c r="T685" s="972">
        <v>3252</v>
      </c>
      <c r="U685" s="972">
        <v>18440</v>
      </c>
    </row>
    <row r="686" spans="1:21" x14ac:dyDescent="0.25">
      <c r="A686" s="966">
        <v>97627</v>
      </c>
      <c r="B686" s="967" t="s">
        <v>3300</v>
      </c>
      <c r="C686" s="968">
        <v>9.7000000000000003E-6</v>
      </c>
      <c r="D686" s="968">
        <v>1.0200000000000001E-5</v>
      </c>
      <c r="E686" s="1007">
        <v>5008</v>
      </c>
      <c r="F686" s="1010">
        <v>21648</v>
      </c>
      <c r="G686" s="969">
        <v>14819</v>
      </c>
      <c r="H686" s="969"/>
      <c r="I686" s="970">
        <v>854</v>
      </c>
      <c r="J686" s="971">
        <v>3599</v>
      </c>
      <c r="K686" s="970">
        <v>2116</v>
      </c>
      <c r="L686" s="969">
        <v>714</v>
      </c>
      <c r="M686" s="969"/>
      <c r="N686" s="970">
        <v>419</v>
      </c>
      <c r="O686" s="970">
        <v>0</v>
      </c>
      <c r="P686" s="970">
        <v>0</v>
      </c>
      <c r="Q686" s="969">
        <v>1008</v>
      </c>
      <c r="R686" s="969"/>
      <c r="S686" s="970">
        <v>4994</v>
      </c>
      <c r="T686" s="972">
        <v>-190</v>
      </c>
      <c r="U686" s="972">
        <v>4804</v>
      </c>
    </row>
    <row r="687" spans="1:21" x14ac:dyDescent="0.25">
      <c r="A687" s="966">
        <v>97631</v>
      </c>
      <c r="B687" s="967" t="s">
        <v>3301</v>
      </c>
      <c r="C687" s="968">
        <v>2.051E-4</v>
      </c>
      <c r="D687" s="968">
        <v>2.009E-4</v>
      </c>
      <c r="E687" s="1007">
        <v>85999</v>
      </c>
      <c r="F687" s="1010">
        <v>426377</v>
      </c>
      <c r="G687" s="969">
        <v>313336</v>
      </c>
      <c r="H687" s="969"/>
      <c r="I687" s="970">
        <v>18051</v>
      </c>
      <c r="J687" s="971">
        <v>76078</v>
      </c>
      <c r="K687" s="970">
        <v>44749</v>
      </c>
      <c r="L687" s="969">
        <v>9311</v>
      </c>
      <c r="M687" s="969"/>
      <c r="N687" s="970">
        <v>8870</v>
      </c>
      <c r="O687" s="970">
        <v>0</v>
      </c>
      <c r="P687" s="970">
        <v>0</v>
      </c>
      <c r="Q687" s="969">
        <v>3711</v>
      </c>
      <c r="R687" s="969"/>
      <c r="S687" s="970">
        <v>105595</v>
      </c>
      <c r="T687" s="972">
        <v>4564</v>
      </c>
      <c r="U687" s="972">
        <f>110158+1</f>
        <v>110159</v>
      </c>
    </row>
    <row r="688" spans="1:21" x14ac:dyDescent="0.25">
      <c r="A688" s="966">
        <v>97637</v>
      </c>
      <c r="B688" s="967" t="s">
        <v>3302</v>
      </c>
      <c r="C688" s="968">
        <v>4.3000000000000003E-6</v>
      </c>
      <c r="D688" s="968">
        <v>4.7999999999999998E-6</v>
      </c>
      <c r="E688" s="1007">
        <v>3072</v>
      </c>
      <c r="F688" s="1010">
        <v>10187</v>
      </c>
      <c r="G688" s="969">
        <v>6569</v>
      </c>
      <c r="H688" s="969"/>
      <c r="I688" s="970">
        <v>378</v>
      </c>
      <c r="J688" s="971">
        <v>1595</v>
      </c>
      <c r="K688" s="970">
        <v>938</v>
      </c>
      <c r="L688" s="969">
        <v>944</v>
      </c>
      <c r="M688" s="969"/>
      <c r="N688" s="970">
        <v>186</v>
      </c>
      <c r="O688" s="970">
        <v>0</v>
      </c>
      <c r="P688" s="970">
        <v>0</v>
      </c>
      <c r="Q688" s="969">
        <v>30</v>
      </c>
      <c r="R688" s="969"/>
      <c r="S688" s="970">
        <v>2214</v>
      </c>
      <c r="T688" s="972">
        <v>380</v>
      </c>
      <c r="U688" s="972">
        <v>2594</v>
      </c>
    </row>
    <row r="689" spans="1:21" x14ac:dyDescent="0.25">
      <c r="A689" s="966">
        <v>97641</v>
      </c>
      <c r="B689" s="967" t="s">
        <v>3303</v>
      </c>
      <c r="C689" s="968">
        <v>6.8899999999999994E-5</v>
      </c>
      <c r="D689" s="968">
        <v>6.9999999999999994E-5</v>
      </c>
      <c r="E689" s="1007">
        <v>35027</v>
      </c>
      <c r="F689" s="1010">
        <v>148563</v>
      </c>
      <c r="G689" s="969">
        <v>105260</v>
      </c>
      <c r="H689" s="969"/>
      <c r="I689" s="970">
        <v>6064</v>
      </c>
      <c r="J689" s="971">
        <v>25557</v>
      </c>
      <c r="K689" s="970">
        <v>15033</v>
      </c>
      <c r="L689" s="969">
        <v>13063</v>
      </c>
      <c r="M689" s="969"/>
      <c r="N689" s="970">
        <v>2980</v>
      </c>
      <c r="O689" s="970">
        <v>0</v>
      </c>
      <c r="P689" s="970">
        <v>0</v>
      </c>
      <c r="Q689" s="969">
        <v>2889</v>
      </c>
      <c r="R689" s="969"/>
      <c r="S689" s="970">
        <v>35473</v>
      </c>
      <c r="T689" s="972">
        <v>2041</v>
      </c>
      <c r="U689" s="972">
        <v>37514</v>
      </c>
    </row>
    <row r="690" spans="1:21" x14ac:dyDescent="0.25">
      <c r="A690" s="966">
        <v>97651</v>
      </c>
      <c r="B690" s="967" t="s">
        <v>3304</v>
      </c>
      <c r="C690" s="968">
        <v>5.1979999999999995E-4</v>
      </c>
      <c r="D690" s="968">
        <v>5.1579999999999996E-4</v>
      </c>
      <c r="E690" s="1007">
        <v>222466</v>
      </c>
      <c r="F690" s="1010">
        <v>1094700</v>
      </c>
      <c r="G690" s="969">
        <v>794110</v>
      </c>
      <c r="H690" s="969"/>
      <c r="I690" s="970">
        <v>45748</v>
      </c>
      <c r="J690" s="971">
        <v>192810</v>
      </c>
      <c r="K690" s="970">
        <v>113410</v>
      </c>
      <c r="L690" s="969">
        <v>2621</v>
      </c>
      <c r="M690" s="969"/>
      <c r="N690" s="970">
        <v>22479</v>
      </c>
      <c r="O690" s="970">
        <v>0</v>
      </c>
      <c r="P690" s="970">
        <v>0</v>
      </c>
      <c r="Q690" s="969">
        <v>43572</v>
      </c>
      <c r="R690" s="969"/>
      <c r="S690" s="970">
        <v>267616</v>
      </c>
      <c r="T690" s="972">
        <v>-19628</v>
      </c>
      <c r="U690" s="972">
        <v>247988</v>
      </c>
    </row>
    <row r="691" spans="1:21" x14ac:dyDescent="0.25">
      <c r="A691" s="966">
        <v>97661</v>
      </c>
      <c r="B691" s="967" t="s">
        <v>3305</v>
      </c>
      <c r="C691" s="968">
        <v>5.1600000000000001E-5</v>
      </c>
      <c r="D691" s="968">
        <v>4.3900000000000003E-5</v>
      </c>
      <c r="E691" s="1007">
        <v>24366</v>
      </c>
      <c r="F691" s="1010">
        <v>93171</v>
      </c>
      <c r="G691" s="969">
        <v>78831</v>
      </c>
      <c r="H691" s="969"/>
      <c r="I691" s="970">
        <v>4541</v>
      </c>
      <c r="J691" s="971">
        <v>19140</v>
      </c>
      <c r="K691" s="970">
        <v>11258</v>
      </c>
      <c r="L691" s="969">
        <v>13582</v>
      </c>
      <c r="M691" s="969"/>
      <c r="N691" s="970">
        <v>2231</v>
      </c>
      <c r="O691" s="970">
        <v>0</v>
      </c>
      <c r="P691" s="970">
        <v>0</v>
      </c>
      <c r="Q691" s="969">
        <v>1913</v>
      </c>
      <c r="R691" s="969"/>
      <c r="S691" s="970">
        <v>26566</v>
      </c>
      <c r="T691" s="972">
        <v>4861</v>
      </c>
      <c r="U691" s="972">
        <v>31427</v>
      </c>
    </row>
    <row r="692" spans="1:21" x14ac:dyDescent="0.25">
      <c r="A692" s="966">
        <v>97701</v>
      </c>
      <c r="B692" s="967" t="s">
        <v>3306</v>
      </c>
      <c r="C692" s="968">
        <v>2.4975000000000002E-3</v>
      </c>
      <c r="D692" s="968">
        <v>2.5081000000000001E-3</v>
      </c>
      <c r="E692" s="1007">
        <v>1156152</v>
      </c>
      <c r="F692" s="1010">
        <v>5323028</v>
      </c>
      <c r="G692" s="969">
        <v>3815488</v>
      </c>
      <c r="H692" s="969"/>
      <c r="I692" s="970">
        <v>219807</v>
      </c>
      <c r="J692" s="971">
        <v>926405</v>
      </c>
      <c r="K692" s="970">
        <v>544905</v>
      </c>
      <c r="L692" s="969">
        <v>22724</v>
      </c>
      <c r="M692" s="969"/>
      <c r="N692" s="970">
        <v>108004</v>
      </c>
      <c r="O692" s="970">
        <v>0</v>
      </c>
      <c r="P692" s="970">
        <v>0</v>
      </c>
      <c r="Q692" s="969">
        <v>8673</v>
      </c>
      <c r="R692" s="969"/>
      <c r="S692" s="970">
        <v>1285823</v>
      </c>
      <c r="T692" s="972">
        <v>670</v>
      </c>
      <c r="U692" s="972">
        <v>1286493</v>
      </c>
    </row>
    <row r="693" spans="1:21" x14ac:dyDescent="0.25">
      <c r="A693" s="966">
        <v>97705</v>
      </c>
      <c r="B693" s="967" t="s">
        <v>3307</v>
      </c>
      <c r="C693" s="968">
        <v>4.7700000000000001E-5</v>
      </c>
      <c r="D693" s="968">
        <v>6.41E-5</v>
      </c>
      <c r="E693" s="1007">
        <v>22209</v>
      </c>
      <c r="F693" s="1010">
        <v>136042</v>
      </c>
      <c r="G693" s="969">
        <v>72872</v>
      </c>
      <c r="H693" s="969"/>
      <c r="I693" s="970">
        <v>4198</v>
      </c>
      <c r="J693" s="971">
        <v>17694</v>
      </c>
      <c r="K693" s="970">
        <v>10407</v>
      </c>
      <c r="L693" s="969">
        <v>5558</v>
      </c>
      <c r="M693" s="969"/>
      <c r="N693" s="970">
        <v>2063</v>
      </c>
      <c r="O693" s="970">
        <v>0</v>
      </c>
      <c r="P693" s="970">
        <v>0</v>
      </c>
      <c r="Q693" s="969">
        <v>13023</v>
      </c>
      <c r="R693" s="969"/>
      <c r="S693" s="970">
        <v>24558</v>
      </c>
      <c r="T693" s="972">
        <v>105</v>
      </c>
      <c r="U693" s="972">
        <v>24663</v>
      </c>
    </row>
    <row r="694" spans="1:21" x14ac:dyDescent="0.25">
      <c r="A694" s="966">
        <v>97711</v>
      </c>
      <c r="B694" s="967" t="s">
        <v>3308</v>
      </c>
      <c r="C694" s="968">
        <v>9.0879999999999997E-4</v>
      </c>
      <c r="D694" s="968">
        <v>9.3789999999999998E-4</v>
      </c>
      <c r="E694" s="1007">
        <v>424324</v>
      </c>
      <c r="F694" s="1010">
        <v>1990538</v>
      </c>
      <c r="G694" s="969">
        <v>1388395</v>
      </c>
      <c r="H694" s="969"/>
      <c r="I694" s="970">
        <v>79984</v>
      </c>
      <c r="J694" s="971">
        <v>337104</v>
      </c>
      <c r="K694" s="970">
        <v>198282</v>
      </c>
      <c r="L694" s="969">
        <v>9966</v>
      </c>
      <c r="M694" s="969"/>
      <c r="N694" s="970">
        <v>39301</v>
      </c>
      <c r="O694" s="970">
        <v>0</v>
      </c>
      <c r="P694" s="970">
        <v>0</v>
      </c>
      <c r="Q694" s="969">
        <v>31902</v>
      </c>
      <c r="R694" s="969"/>
      <c r="S694" s="970">
        <v>467890</v>
      </c>
      <c r="T694" s="972">
        <v>-1258</v>
      </c>
      <c r="U694" s="972">
        <v>466632</v>
      </c>
    </row>
    <row r="695" spans="1:21" x14ac:dyDescent="0.25">
      <c r="A695" s="966">
        <v>97713</v>
      </c>
      <c r="B695" s="967" t="s">
        <v>3309</v>
      </c>
      <c r="C695" s="968">
        <v>4.1199999999999999E-5</v>
      </c>
      <c r="D695" s="968">
        <v>5.3699999999999997E-5</v>
      </c>
      <c r="E695" s="1007">
        <v>17328</v>
      </c>
      <c r="F695" s="1010">
        <v>113969</v>
      </c>
      <c r="G695" s="969">
        <v>62942</v>
      </c>
      <c r="H695" s="969"/>
      <c r="I695" s="970">
        <v>3626</v>
      </c>
      <c r="J695" s="971">
        <v>15283</v>
      </c>
      <c r="K695" s="970">
        <v>8989</v>
      </c>
      <c r="L695" s="969">
        <v>927</v>
      </c>
      <c r="M695" s="969"/>
      <c r="N695" s="970">
        <v>1782</v>
      </c>
      <c r="O695" s="970">
        <v>0</v>
      </c>
      <c r="P695" s="970">
        <v>0</v>
      </c>
      <c r="Q695" s="969">
        <v>16932</v>
      </c>
      <c r="R695" s="969"/>
      <c r="S695" s="970">
        <v>21212</v>
      </c>
      <c r="T695" s="972">
        <v>-4802</v>
      </c>
      <c r="U695" s="972">
        <v>16410</v>
      </c>
    </row>
    <row r="696" spans="1:21" x14ac:dyDescent="0.25">
      <c r="A696" s="966">
        <v>97717</v>
      </c>
      <c r="B696" s="967" t="s">
        <v>3310</v>
      </c>
      <c r="C696" s="968">
        <v>4.6999999999999999E-6</v>
      </c>
      <c r="D696" s="968">
        <v>7.5000000000000002E-6</v>
      </c>
      <c r="E696" s="1007">
        <v>2478</v>
      </c>
      <c r="F696" s="1010">
        <v>15918</v>
      </c>
      <c r="G696" s="969">
        <v>7180</v>
      </c>
      <c r="H696" s="969"/>
      <c r="I696" s="970">
        <v>414</v>
      </c>
      <c r="J696" s="971">
        <v>1743</v>
      </c>
      <c r="K696" s="970">
        <v>1025</v>
      </c>
      <c r="L696" s="969">
        <v>1078</v>
      </c>
      <c r="M696" s="969"/>
      <c r="N696" s="970">
        <v>203</v>
      </c>
      <c r="O696" s="970">
        <v>0</v>
      </c>
      <c r="P696" s="970">
        <v>0</v>
      </c>
      <c r="Q696" s="969">
        <v>3394</v>
      </c>
      <c r="R696" s="969"/>
      <c r="S696" s="970">
        <v>2420</v>
      </c>
      <c r="T696" s="972">
        <v>-1550</v>
      </c>
      <c r="U696" s="972">
        <f>869+1</f>
        <v>870</v>
      </c>
    </row>
    <row r="697" spans="1:21" x14ac:dyDescent="0.25">
      <c r="A697" s="966">
        <v>97721</v>
      </c>
      <c r="B697" s="967" t="s">
        <v>3311</v>
      </c>
      <c r="C697" s="968">
        <v>5.6599999999999999E-4</v>
      </c>
      <c r="D697" s="968">
        <v>5.7249999999999998E-4</v>
      </c>
      <c r="E697" s="1007">
        <v>255785</v>
      </c>
      <c r="F697" s="1010">
        <v>1215037</v>
      </c>
      <c r="G697" s="969">
        <v>864691</v>
      </c>
      <c r="H697" s="969"/>
      <c r="I697" s="970">
        <v>49814</v>
      </c>
      <c r="J697" s="971">
        <v>209948</v>
      </c>
      <c r="K697" s="970">
        <v>123490</v>
      </c>
      <c r="L697" s="969">
        <v>13608</v>
      </c>
      <c r="M697" s="969"/>
      <c r="N697" s="970">
        <v>24477</v>
      </c>
      <c r="O697" s="970">
        <v>0</v>
      </c>
      <c r="P697" s="970">
        <v>0</v>
      </c>
      <c r="Q697" s="969">
        <v>31303</v>
      </c>
      <c r="R697" s="969"/>
      <c r="S697" s="970">
        <v>291402</v>
      </c>
      <c r="T697" s="972">
        <v>-9026</v>
      </c>
      <c r="U697" s="972">
        <v>282376</v>
      </c>
    </row>
    <row r="698" spans="1:21" x14ac:dyDescent="0.25">
      <c r="A698" s="966">
        <v>97727</v>
      </c>
      <c r="B698" s="967" t="s">
        <v>3312</v>
      </c>
      <c r="C698" s="968">
        <v>2.27E-5</v>
      </c>
      <c r="D698" s="968">
        <v>2.37E-5</v>
      </c>
      <c r="E698" s="1007">
        <v>10992</v>
      </c>
      <c r="F698" s="1010">
        <v>50299</v>
      </c>
      <c r="G698" s="969">
        <v>34679</v>
      </c>
      <c r="H698" s="969"/>
      <c r="I698" s="970">
        <v>1998</v>
      </c>
      <c r="J698" s="971">
        <v>8420</v>
      </c>
      <c r="K698" s="970">
        <v>4953</v>
      </c>
      <c r="L698" s="969">
        <v>0</v>
      </c>
      <c r="M698" s="969"/>
      <c r="N698" s="970">
        <v>982</v>
      </c>
      <c r="O698" s="970">
        <v>0</v>
      </c>
      <c r="P698" s="970">
        <v>0</v>
      </c>
      <c r="Q698" s="969">
        <v>2260</v>
      </c>
      <c r="R698" s="969"/>
      <c r="S698" s="970">
        <v>11687</v>
      </c>
      <c r="T698" s="972">
        <v>-1260</v>
      </c>
      <c r="U698" s="972">
        <v>10427</v>
      </c>
    </row>
    <row r="699" spans="1:21" x14ac:dyDescent="0.25">
      <c r="A699" s="966">
        <v>97731</v>
      </c>
      <c r="B699" s="967" t="s">
        <v>3313</v>
      </c>
      <c r="C699" s="968">
        <v>3.5500000000000002E-5</v>
      </c>
      <c r="D699" s="968">
        <v>3.7100000000000001E-5</v>
      </c>
      <c r="E699" s="1007">
        <v>18460</v>
      </c>
      <c r="F699" s="1010">
        <v>78739</v>
      </c>
      <c r="G699" s="969">
        <v>54234</v>
      </c>
      <c r="H699" s="969"/>
      <c r="I699" s="970">
        <v>3124</v>
      </c>
      <c r="J699" s="971">
        <v>13168</v>
      </c>
      <c r="K699" s="970">
        <v>7745</v>
      </c>
      <c r="L699" s="969">
        <v>6361</v>
      </c>
      <c r="M699" s="969"/>
      <c r="N699" s="970">
        <v>1535</v>
      </c>
      <c r="O699" s="970">
        <v>0</v>
      </c>
      <c r="P699" s="970">
        <v>0</v>
      </c>
      <c r="Q699" s="969">
        <v>0</v>
      </c>
      <c r="R699" s="969"/>
      <c r="S699" s="970">
        <v>18277</v>
      </c>
      <c r="T699" s="972">
        <v>2961</v>
      </c>
      <c r="U699" s="972">
        <v>21238</v>
      </c>
    </row>
    <row r="700" spans="1:21" x14ac:dyDescent="0.25">
      <c r="A700" s="966">
        <v>97801</v>
      </c>
      <c r="B700" s="967" t="s">
        <v>3676</v>
      </c>
      <c r="C700" s="968">
        <v>6.9303000000000003E-3</v>
      </c>
      <c r="D700" s="968">
        <v>7.3343000000000002E-3</v>
      </c>
      <c r="E700" s="1007">
        <v>3179609</v>
      </c>
      <c r="F700" s="1010">
        <v>0</v>
      </c>
      <c r="G700" s="969">
        <v>10587579</v>
      </c>
      <c r="H700" s="969"/>
      <c r="I700" s="970">
        <v>609943</v>
      </c>
      <c r="J700" s="971">
        <v>2570677</v>
      </c>
      <c r="K700" s="970">
        <v>1512053</v>
      </c>
      <c r="L700" s="969">
        <v>27764</v>
      </c>
      <c r="M700" s="969"/>
      <c r="N700" s="970">
        <v>299701</v>
      </c>
      <c r="O700" s="970">
        <v>0</v>
      </c>
      <c r="P700" s="970">
        <v>0</v>
      </c>
      <c r="Q700" s="969">
        <v>406805</v>
      </c>
      <c r="R700" s="969"/>
      <c r="S700" s="970">
        <v>3568023</v>
      </c>
      <c r="T700" s="972">
        <v>-97576</v>
      </c>
      <c r="U700" s="972">
        <v>3470447</v>
      </c>
    </row>
    <row r="701" spans="1:21" x14ac:dyDescent="0.25">
      <c r="A701" s="966">
        <v>97802</v>
      </c>
      <c r="B701" s="967" t="s">
        <v>3315</v>
      </c>
      <c r="C701" s="968">
        <v>1.5300000000000001E-4</v>
      </c>
      <c r="D701" s="968">
        <v>1.8120000000000001E-4</v>
      </c>
      <c r="E701" s="1007">
        <v>76715</v>
      </c>
      <c r="F701" s="1010">
        <v>384567</v>
      </c>
      <c r="G701" s="969">
        <v>233742</v>
      </c>
      <c r="H701" s="969"/>
      <c r="I701" s="970">
        <v>13466</v>
      </c>
      <c r="J701" s="971">
        <v>56753</v>
      </c>
      <c r="K701" s="970">
        <v>33382</v>
      </c>
      <c r="L701" s="969">
        <v>9696</v>
      </c>
      <c r="M701" s="969"/>
      <c r="N701" s="970">
        <v>6616</v>
      </c>
      <c r="O701" s="970">
        <v>0</v>
      </c>
      <c r="P701" s="970">
        <v>0</v>
      </c>
      <c r="Q701" s="969">
        <v>28235</v>
      </c>
      <c r="R701" s="969"/>
      <c r="S701" s="970">
        <v>78771</v>
      </c>
      <c r="T701" s="972">
        <v>-1176</v>
      </c>
      <c r="U701" s="972">
        <v>77595</v>
      </c>
    </row>
    <row r="702" spans="1:21" x14ac:dyDescent="0.25">
      <c r="A702" s="966">
        <v>97803</v>
      </c>
      <c r="B702" s="967" t="s">
        <v>3316</v>
      </c>
      <c r="C702" s="968">
        <v>7.5300000000000001E-5</v>
      </c>
      <c r="D702" s="968">
        <v>7.9099999999999998E-5</v>
      </c>
      <c r="E702" s="1007">
        <v>38231</v>
      </c>
      <c r="F702" s="1010">
        <v>167877</v>
      </c>
      <c r="G702" s="969">
        <v>115038</v>
      </c>
      <c r="H702" s="969"/>
      <c r="I702" s="970">
        <v>6627</v>
      </c>
      <c r="J702" s="971">
        <v>27931</v>
      </c>
      <c r="K702" s="970">
        <v>16429</v>
      </c>
      <c r="L702" s="969">
        <v>5581</v>
      </c>
      <c r="M702" s="969"/>
      <c r="N702" s="970">
        <v>3256</v>
      </c>
      <c r="O702" s="970">
        <v>0</v>
      </c>
      <c r="P702" s="970">
        <v>0</v>
      </c>
      <c r="Q702" s="969">
        <v>1522</v>
      </c>
      <c r="R702" s="969"/>
      <c r="S702" s="970">
        <v>38768</v>
      </c>
      <c r="T702" s="972">
        <v>3424</v>
      </c>
      <c r="U702" s="972">
        <v>42192</v>
      </c>
    </row>
    <row r="703" spans="1:21" x14ac:dyDescent="0.25">
      <c r="A703" s="966">
        <v>97805</v>
      </c>
      <c r="B703" s="967" t="s">
        <v>3317</v>
      </c>
      <c r="C703" s="968">
        <v>7.9400000000000006E-5</v>
      </c>
      <c r="D703" s="968">
        <v>8.2600000000000002E-5</v>
      </c>
      <c r="E703" s="1007">
        <v>39471</v>
      </c>
      <c r="F703" s="1010">
        <v>175305</v>
      </c>
      <c r="G703" s="969">
        <v>121301</v>
      </c>
      <c r="H703" s="969"/>
      <c r="I703" s="970">
        <v>6988</v>
      </c>
      <c r="J703" s="971">
        <v>29452</v>
      </c>
      <c r="K703" s="970">
        <v>17323</v>
      </c>
      <c r="L703" s="969">
        <v>9711</v>
      </c>
      <c r="M703" s="969"/>
      <c r="N703" s="970">
        <v>3434</v>
      </c>
      <c r="O703" s="970">
        <v>0</v>
      </c>
      <c r="P703" s="970">
        <v>0</v>
      </c>
      <c r="Q703" s="969">
        <v>226</v>
      </c>
      <c r="R703" s="969"/>
      <c r="S703" s="970">
        <v>40879</v>
      </c>
      <c r="T703" s="972">
        <v>3824</v>
      </c>
      <c r="U703" s="972">
        <v>44703</v>
      </c>
    </row>
    <row r="704" spans="1:21" x14ac:dyDescent="0.25">
      <c r="A704" s="966">
        <v>97811</v>
      </c>
      <c r="B704" s="967" t="s">
        <v>3318</v>
      </c>
      <c r="C704" s="968">
        <v>2.4172E-3</v>
      </c>
      <c r="D704" s="968">
        <v>2.4088E-3</v>
      </c>
      <c r="E704" s="1007">
        <v>1101270</v>
      </c>
      <c r="F704" s="1010">
        <v>5112281</v>
      </c>
      <c r="G704" s="969">
        <v>3692812</v>
      </c>
      <c r="H704" s="969"/>
      <c r="I704" s="970">
        <v>212740</v>
      </c>
      <c r="J704" s="971">
        <v>896619</v>
      </c>
      <c r="K704" s="970">
        <v>527385</v>
      </c>
      <c r="L704" s="969">
        <v>0</v>
      </c>
      <c r="M704" s="969"/>
      <c r="N704" s="970">
        <v>104532</v>
      </c>
      <c r="O704" s="970">
        <v>0</v>
      </c>
      <c r="P704" s="970">
        <v>0</v>
      </c>
      <c r="Q704" s="969">
        <v>164062</v>
      </c>
      <c r="R704" s="969"/>
      <c r="S704" s="970">
        <v>1244481</v>
      </c>
      <c r="T704" s="972">
        <v>-73272</v>
      </c>
      <c r="U704" s="972">
        <v>1171209</v>
      </c>
    </row>
    <row r="705" spans="1:21" x14ac:dyDescent="0.25">
      <c r="A705" s="966">
        <v>97817</v>
      </c>
      <c r="B705" s="967" t="s">
        <v>3319</v>
      </c>
      <c r="C705" s="968">
        <v>2.2200000000000001E-5</v>
      </c>
      <c r="D705" s="968">
        <v>3.9999999999999998E-6</v>
      </c>
      <c r="E705" s="1007">
        <v>14127</v>
      </c>
      <c r="F705" s="1010">
        <v>8489</v>
      </c>
      <c r="G705" s="969">
        <v>33915</v>
      </c>
      <c r="H705" s="969"/>
      <c r="I705" s="970">
        <v>1954</v>
      </c>
      <c r="J705" s="971">
        <v>8235</v>
      </c>
      <c r="K705" s="970">
        <v>4844</v>
      </c>
      <c r="L705" s="969">
        <v>18101</v>
      </c>
      <c r="M705" s="969"/>
      <c r="N705" s="970">
        <v>960</v>
      </c>
      <c r="O705" s="970">
        <v>0</v>
      </c>
      <c r="P705" s="970">
        <v>0</v>
      </c>
      <c r="Q705" s="969">
        <v>2418</v>
      </c>
      <c r="R705" s="969"/>
      <c r="S705" s="970">
        <v>11430</v>
      </c>
      <c r="T705" s="972">
        <v>3916</v>
      </c>
      <c r="U705" s="972">
        <f>15345+1</f>
        <v>15346</v>
      </c>
    </row>
    <row r="706" spans="1:21" x14ac:dyDescent="0.25">
      <c r="A706" s="966">
        <v>97818</v>
      </c>
      <c r="B706" s="967" t="s">
        <v>3320</v>
      </c>
      <c r="C706" s="968">
        <v>2.1999999999999999E-5</v>
      </c>
      <c r="D706" s="968">
        <v>2.12E-5</v>
      </c>
      <c r="E706" s="1007">
        <v>9809</v>
      </c>
      <c r="F706" s="1010">
        <v>44994</v>
      </c>
      <c r="G706" s="969">
        <v>33610</v>
      </c>
      <c r="H706" s="969"/>
      <c r="I706" s="970">
        <v>1936</v>
      </c>
      <c r="J706" s="971">
        <v>8160</v>
      </c>
      <c r="K706" s="970">
        <v>4800</v>
      </c>
      <c r="L706" s="969">
        <v>6200</v>
      </c>
      <c r="M706" s="969"/>
      <c r="N706" s="970">
        <v>951</v>
      </c>
      <c r="O706" s="970">
        <v>0</v>
      </c>
      <c r="P706" s="970">
        <v>0</v>
      </c>
      <c r="Q706" s="969">
        <v>2136</v>
      </c>
      <c r="R706" s="969"/>
      <c r="S706" s="970">
        <v>11327</v>
      </c>
      <c r="T706" s="972">
        <v>134</v>
      </c>
      <c r="U706" s="972">
        <v>11461</v>
      </c>
    </row>
    <row r="707" spans="1:21" x14ac:dyDescent="0.25">
      <c r="A707" s="966">
        <v>97821</v>
      </c>
      <c r="B707" s="967" t="s">
        <v>3321</v>
      </c>
      <c r="C707" s="968">
        <v>1.126E-4</v>
      </c>
      <c r="D707" s="968">
        <v>1.1620000000000001E-4</v>
      </c>
      <c r="E707" s="1007">
        <v>61404</v>
      </c>
      <c r="F707" s="1010">
        <v>246615</v>
      </c>
      <c r="G707" s="969">
        <v>172022</v>
      </c>
      <c r="H707" s="969"/>
      <c r="I707" s="970">
        <v>9910</v>
      </c>
      <c r="J707" s="971">
        <v>41767</v>
      </c>
      <c r="K707" s="970">
        <v>24567</v>
      </c>
      <c r="L707" s="969">
        <v>5355</v>
      </c>
      <c r="M707" s="969"/>
      <c r="N707" s="970">
        <v>4869</v>
      </c>
      <c r="O707" s="970">
        <v>0</v>
      </c>
      <c r="P707" s="970">
        <v>0</v>
      </c>
      <c r="Q707" s="969">
        <v>16228</v>
      </c>
      <c r="R707" s="969"/>
      <c r="S707" s="970">
        <v>57971</v>
      </c>
      <c r="T707" s="972">
        <v>-9342</v>
      </c>
      <c r="U707" s="972">
        <f>48630-1</f>
        <v>48629</v>
      </c>
    </row>
    <row r="708" spans="1:21" x14ac:dyDescent="0.25">
      <c r="A708" s="966">
        <v>97823</v>
      </c>
      <c r="B708" s="967" t="s">
        <v>3322</v>
      </c>
      <c r="C708" s="968">
        <v>2.3300000000000001E-5</v>
      </c>
      <c r="D708" s="968">
        <v>2.4600000000000002E-5</v>
      </c>
      <c r="E708" s="1007">
        <v>13092</v>
      </c>
      <c r="F708" s="1010">
        <v>52209</v>
      </c>
      <c r="G708" s="969">
        <v>35596</v>
      </c>
      <c r="H708" s="969"/>
      <c r="I708" s="970">
        <v>2051</v>
      </c>
      <c r="J708" s="971">
        <v>8642</v>
      </c>
      <c r="K708" s="970">
        <v>5084</v>
      </c>
      <c r="L708" s="969">
        <v>1711</v>
      </c>
      <c r="M708" s="969"/>
      <c r="N708" s="970">
        <v>1008</v>
      </c>
      <c r="O708" s="970">
        <v>0</v>
      </c>
      <c r="P708" s="970">
        <v>0</v>
      </c>
      <c r="Q708" s="969">
        <v>591</v>
      </c>
      <c r="R708" s="969"/>
      <c r="S708" s="970">
        <v>11996</v>
      </c>
      <c r="T708" s="972">
        <v>-77</v>
      </c>
      <c r="U708" s="972">
        <v>11919</v>
      </c>
    </row>
    <row r="709" spans="1:21" x14ac:dyDescent="0.25">
      <c r="A709" s="966">
        <v>97831</v>
      </c>
      <c r="B709" s="967" t="s">
        <v>3323</v>
      </c>
      <c r="C709" s="968">
        <v>1.7009999999999999E-4</v>
      </c>
      <c r="D709" s="968">
        <v>1.482E-4</v>
      </c>
      <c r="E709" s="1007">
        <v>78813</v>
      </c>
      <c r="F709" s="1010">
        <v>314530</v>
      </c>
      <c r="G709" s="969">
        <v>259866</v>
      </c>
      <c r="H709" s="969"/>
      <c r="I709" s="970">
        <v>14971</v>
      </c>
      <c r="J709" s="971">
        <v>63096</v>
      </c>
      <c r="K709" s="970">
        <v>37112</v>
      </c>
      <c r="L709" s="969">
        <v>15261</v>
      </c>
      <c r="M709" s="969"/>
      <c r="N709" s="970">
        <v>7356</v>
      </c>
      <c r="O709" s="970">
        <v>0</v>
      </c>
      <c r="P709" s="970">
        <v>0</v>
      </c>
      <c r="Q709" s="969">
        <v>8418</v>
      </c>
      <c r="R709" s="969"/>
      <c r="S709" s="970">
        <v>87575</v>
      </c>
      <c r="T709" s="972">
        <v>-2075</v>
      </c>
      <c r="U709" s="972">
        <v>85500</v>
      </c>
    </row>
    <row r="710" spans="1:21" x14ac:dyDescent="0.25">
      <c r="A710" s="966">
        <v>97837</v>
      </c>
      <c r="B710" s="967" t="s">
        <v>3324</v>
      </c>
      <c r="C710" s="968">
        <v>1.0200000000000001E-5</v>
      </c>
      <c r="D710" s="968">
        <v>8.8000000000000004E-6</v>
      </c>
      <c r="E710" s="1007">
        <v>6053</v>
      </c>
      <c r="F710" s="1010">
        <v>18677</v>
      </c>
      <c r="G710" s="969">
        <v>15583</v>
      </c>
      <c r="H710" s="969"/>
      <c r="I710" s="970">
        <v>898</v>
      </c>
      <c r="J710" s="971">
        <v>3784</v>
      </c>
      <c r="K710" s="970">
        <v>2225</v>
      </c>
      <c r="L710" s="969">
        <v>3302</v>
      </c>
      <c r="M710" s="969"/>
      <c r="N710" s="970">
        <v>441</v>
      </c>
      <c r="O710" s="970">
        <v>0</v>
      </c>
      <c r="P710" s="970">
        <v>0</v>
      </c>
      <c r="Q710" s="969">
        <v>214</v>
      </c>
      <c r="R710" s="969"/>
      <c r="S710" s="970">
        <v>5251</v>
      </c>
      <c r="T710" s="972">
        <v>1260</v>
      </c>
      <c r="U710" s="972">
        <v>6511</v>
      </c>
    </row>
    <row r="711" spans="1:21" x14ac:dyDescent="0.25">
      <c r="A711" s="966">
        <v>97840</v>
      </c>
      <c r="B711" s="967" t="s">
        <v>3325</v>
      </c>
      <c r="C711" s="968">
        <v>1.3190000000000001E-4</v>
      </c>
      <c r="D711" s="968">
        <v>1.403E-4</v>
      </c>
      <c r="E711" s="1007">
        <v>107784</v>
      </c>
      <c r="F711" s="1010">
        <v>297764</v>
      </c>
      <c r="G711" s="969">
        <v>201507</v>
      </c>
      <c r="H711" s="969"/>
      <c r="I711" s="970">
        <v>11609</v>
      </c>
      <c r="J711" s="971">
        <v>48926</v>
      </c>
      <c r="K711" s="970">
        <v>28778</v>
      </c>
      <c r="L711" s="969">
        <v>76227</v>
      </c>
      <c r="M711" s="969"/>
      <c r="N711" s="970">
        <v>5704</v>
      </c>
      <c r="O711" s="970">
        <v>0</v>
      </c>
      <c r="P711" s="970">
        <v>0</v>
      </c>
      <c r="Q711" s="969">
        <v>964</v>
      </c>
      <c r="R711" s="969"/>
      <c r="S711" s="970">
        <v>67908</v>
      </c>
      <c r="T711" s="972">
        <v>27073</v>
      </c>
      <c r="U711" s="972">
        <v>94981</v>
      </c>
    </row>
    <row r="712" spans="1:21" x14ac:dyDescent="0.25">
      <c r="A712" s="966">
        <v>97841</v>
      </c>
      <c r="B712" s="967" t="s">
        <v>3326</v>
      </c>
      <c r="C712" s="968">
        <v>1.31E-5</v>
      </c>
      <c r="D712" s="968">
        <v>1.45E-5</v>
      </c>
      <c r="E712" s="1007">
        <v>6425</v>
      </c>
      <c r="F712" s="1010">
        <v>30774</v>
      </c>
      <c r="G712" s="969">
        <v>20013</v>
      </c>
      <c r="H712" s="969"/>
      <c r="I712" s="970">
        <v>1153</v>
      </c>
      <c r="J712" s="971">
        <v>4859</v>
      </c>
      <c r="K712" s="970">
        <v>2858</v>
      </c>
      <c r="L712" s="969">
        <v>410</v>
      </c>
      <c r="M712" s="969"/>
      <c r="N712" s="970">
        <v>567</v>
      </c>
      <c r="O712" s="970">
        <v>0</v>
      </c>
      <c r="P712" s="970">
        <v>0</v>
      </c>
      <c r="Q712" s="969">
        <v>4768</v>
      </c>
      <c r="R712" s="969"/>
      <c r="S712" s="970">
        <v>6744</v>
      </c>
      <c r="T712" s="972">
        <v>-3859</v>
      </c>
      <c r="U712" s="972">
        <v>2885</v>
      </c>
    </row>
    <row r="713" spans="1:21" x14ac:dyDescent="0.25">
      <c r="A713" s="966">
        <v>97847</v>
      </c>
      <c r="B713" s="967" t="s">
        <v>3327</v>
      </c>
      <c r="C713" s="968">
        <v>2.0999999999999998E-6</v>
      </c>
      <c r="D713" s="968">
        <v>2.2000000000000001E-6</v>
      </c>
      <c r="E713" s="1007">
        <v>2259</v>
      </c>
      <c r="F713" s="1010">
        <v>4669</v>
      </c>
      <c r="G713" s="969">
        <v>3208</v>
      </c>
      <c r="H713" s="969"/>
      <c r="I713" s="970">
        <v>185</v>
      </c>
      <c r="J713" s="971">
        <v>779</v>
      </c>
      <c r="K713" s="970">
        <v>458</v>
      </c>
      <c r="L713" s="969">
        <v>1433</v>
      </c>
      <c r="M713" s="969"/>
      <c r="N713" s="970">
        <v>91</v>
      </c>
      <c r="O713" s="970">
        <v>0</v>
      </c>
      <c r="P713" s="970">
        <v>0</v>
      </c>
      <c r="Q713" s="969">
        <v>72</v>
      </c>
      <c r="R713" s="969"/>
      <c r="S713" s="970">
        <v>1081</v>
      </c>
      <c r="T713" s="972">
        <v>355</v>
      </c>
      <c r="U713" s="972">
        <v>1436</v>
      </c>
    </row>
    <row r="714" spans="1:21" x14ac:dyDescent="0.25">
      <c r="A714" s="966">
        <v>97851</v>
      </c>
      <c r="B714" s="967" t="s">
        <v>3328</v>
      </c>
      <c r="C714" s="968">
        <v>2.7799999999999998E-4</v>
      </c>
      <c r="D714" s="968">
        <v>2.7460000000000001E-4</v>
      </c>
      <c r="E714" s="1007">
        <v>116408</v>
      </c>
      <c r="F714" s="1010">
        <v>582793</v>
      </c>
      <c r="G714" s="969">
        <v>424707</v>
      </c>
      <c r="H714" s="969"/>
      <c r="I714" s="970">
        <v>24467</v>
      </c>
      <c r="J714" s="971">
        <v>103120</v>
      </c>
      <c r="K714" s="970">
        <v>60654</v>
      </c>
      <c r="L714" s="969">
        <v>1448</v>
      </c>
      <c r="M714" s="969"/>
      <c r="N714" s="970">
        <v>12022</v>
      </c>
      <c r="O714" s="970">
        <v>0</v>
      </c>
      <c r="P714" s="970">
        <v>0</v>
      </c>
      <c r="Q714" s="969">
        <v>12710</v>
      </c>
      <c r="R714" s="969"/>
      <c r="S714" s="970">
        <v>143127</v>
      </c>
      <c r="T714" s="972">
        <v>-2512</v>
      </c>
      <c r="U714" s="972">
        <v>140615</v>
      </c>
    </row>
    <row r="715" spans="1:21" x14ac:dyDescent="0.25">
      <c r="A715" s="966">
        <v>97853</v>
      </c>
      <c r="B715" s="967" t="s">
        <v>3329</v>
      </c>
      <c r="C715" s="968">
        <v>1.0289999999999999E-4</v>
      </c>
      <c r="D715" s="968">
        <v>9.1600000000000004E-5</v>
      </c>
      <c r="E715" s="1007">
        <v>44043</v>
      </c>
      <c r="F715" s="1010">
        <v>194406</v>
      </c>
      <c r="G715" s="969">
        <v>157203</v>
      </c>
      <c r="H715" s="969"/>
      <c r="I715" s="970">
        <v>9056</v>
      </c>
      <c r="J715" s="971">
        <v>38169</v>
      </c>
      <c r="K715" s="970">
        <v>22451</v>
      </c>
      <c r="L715" s="969">
        <v>8759</v>
      </c>
      <c r="M715" s="969"/>
      <c r="N715" s="970">
        <v>4450</v>
      </c>
      <c r="O715" s="970">
        <v>0</v>
      </c>
      <c r="P715" s="970">
        <v>0</v>
      </c>
      <c r="Q715" s="969">
        <v>9750</v>
      </c>
      <c r="R715" s="969"/>
      <c r="S715" s="970">
        <v>52977</v>
      </c>
      <c r="T715" s="972">
        <v>429</v>
      </c>
      <c r="U715" s="972">
        <f>53407-1</f>
        <v>53406</v>
      </c>
    </row>
    <row r="716" spans="1:21" x14ac:dyDescent="0.25">
      <c r="A716" s="966">
        <v>97861</v>
      </c>
      <c r="B716" s="967" t="s">
        <v>3330</v>
      </c>
      <c r="C716" s="968">
        <v>6.7000000000000002E-5</v>
      </c>
      <c r="D716" s="968">
        <v>6.8499999999999998E-5</v>
      </c>
      <c r="E716" s="1007">
        <v>27517</v>
      </c>
      <c r="F716" s="1010">
        <v>145380</v>
      </c>
      <c r="G716" s="969">
        <v>102357</v>
      </c>
      <c r="H716" s="969"/>
      <c r="I716" s="970">
        <v>5897</v>
      </c>
      <c r="J716" s="971">
        <v>24852</v>
      </c>
      <c r="K716" s="970">
        <v>14618</v>
      </c>
      <c r="L716" s="969">
        <v>1771</v>
      </c>
      <c r="M716" s="969"/>
      <c r="N716" s="970">
        <v>2897</v>
      </c>
      <c r="O716" s="970">
        <v>0</v>
      </c>
      <c r="P716" s="970">
        <v>0</v>
      </c>
      <c r="Q716" s="969">
        <v>7954</v>
      </c>
      <c r="R716" s="969"/>
      <c r="S716" s="970">
        <v>34495</v>
      </c>
      <c r="T716" s="972">
        <v>-3725</v>
      </c>
      <c r="U716" s="972">
        <f>30769+1</f>
        <v>30770</v>
      </c>
    </row>
    <row r="717" spans="1:21" x14ac:dyDescent="0.25">
      <c r="A717" s="966">
        <v>97871</v>
      </c>
      <c r="B717" s="967" t="s">
        <v>3331</v>
      </c>
      <c r="C717" s="968">
        <v>2.9930000000000001E-4</v>
      </c>
      <c r="D717" s="968">
        <v>3.1500000000000001E-4</v>
      </c>
      <c r="E717" s="1007">
        <v>273654</v>
      </c>
      <c r="F717" s="1010">
        <v>668536</v>
      </c>
      <c r="G717" s="969">
        <v>457247</v>
      </c>
      <c r="H717" s="969"/>
      <c r="I717" s="970">
        <v>26342</v>
      </c>
      <c r="J717" s="971">
        <v>111020</v>
      </c>
      <c r="K717" s="970">
        <v>65301</v>
      </c>
      <c r="L717" s="969">
        <v>217143</v>
      </c>
      <c r="M717" s="969"/>
      <c r="N717" s="970">
        <v>12943</v>
      </c>
      <c r="O717" s="970">
        <v>0</v>
      </c>
      <c r="P717" s="970">
        <v>0</v>
      </c>
      <c r="Q717" s="969">
        <v>0</v>
      </c>
      <c r="R717" s="969"/>
      <c r="S717" s="970">
        <v>154093</v>
      </c>
      <c r="T717" s="972">
        <v>79417</v>
      </c>
      <c r="U717" s="972">
        <f>233509+1</f>
        <v>233510</v>
      </c>
    </row>
    <row r="718" spans="1:21" x14ac:dyDescent="0.25">
      <c r="A718" s="966">
        <v>97877</v>
      </c>
      <c r="B718" s="967" t="s">
        <v>3332</v>
      </c>
      <c r="C718" s="968">
        <v>1.9E-6</v>
      </c>
      <c r="D718" s="968">
        <v>2.2000000000000001E-6</v>
      </c>
      <c r="E718" s="1007">
        <v>2104</v>
      </c>
      <c r="F718" s="1010">
        <v>4669</v>
      </c>
      <c r="G718" s="969">
        <v>2903</v>
      </c>
      <c r="H718" s="969"/>
      <c r="I718" s="970">
        <v>167</v>
      </c>
      <c r="J718" s="971">
        <v>705</v>
      </c>
      <c r="K718" s="970">
        <v>415</v>
      </c>
      <c r="L718" s="969">
        <v>1638</v>
      </c>
      <c r="M718" s="969"/>
      <c r="N718" s="970">
        <v>82</v>
      </c>
      <c r="O718" s="970">
        <v>0</v>
      </c>
      <c r="P718" s="970">
        <v>0</v>
      </c>
      <c r="Q718" s="969">
        <v>0</v>
      </c>
      <c r="R718" s="969"/>
      <c r="S718" s="970">
        <v>978</v>
      </c>
      <c r="T718" s="972">
        <v>648</v>
      </c>
      <c r="U718" s="972">
        <f>1627-1</f>
        <v>1626</v>
      </c>
    </row>
    <row r="719" spans="1:21" x14ac:dyDescent="0.25">
      <c r="A719" s="966">
        <v>97901</v>
      </c>
      <c r="B719" s="967" t="s">
        <v>3333</v>
      </c>
      <c r="C719" s="968">
        <v>4.2658000000000001E-3</v>
      </c>
      <c r="D719" s="968">
        <v>4.3616999999999996E-3</v>
      </c>
      <c r="E719" s="1007">
        <v>2091024</v>
      </c>
      <c r="F719" s="1010">
        <v>9256989</v>
      </c>
      <c r="G719" s="969">
        <v>6516961</v>
      </c>
      <c r="H719" s="969"/>
      <c r="I719" s="970">
        <v>375437</v>
      </c>
      <c r="J719" s="971">
        <v>1582326</v>
      </c>
      <c r="K719" s="970">
        <v>930712</v>
      </c>
      <c r="L719" s="969">
        <v>88360</v>
      </c>
      <c r="M719" s="969"/>
      <c r="N719" s="970">
        <v>184475</v>
      </c>
      <c r="O719" s="970">
        <v>0</v>
      </c>
      <c r="P719" s="970">
        <v>0</v>
      </c>
      <c r="Q719" s="969">
        <v>14865</v>
      </c>
      <c r="R719" s="969"/>
      <c r="S719" s="970">
        <v>2196222</v>
      </c>
      <c r="T719" s="972">
        <v>35112</v>
      </c>
      <c r="U719" s="972">
        <v>2231334</v>
      </c>
    </row>
    <row r="720" spans="1:21" x14ac:dyDescent="0.25">
      <c r="A720" s="966">
        <v>97911</v>
      </c>
      <c r="B720" s="967" t="s">
        <v>3334</v>
      </c>
      <c r="C720" s="968">
        <v>1.3005E-3</v>
      </c>
      <c r="D720" s="968">
        <v>1.3190000000000001E-3</v>
      </c>
      <c r="E720" s="1007">
        <v>613265</v>
      </c>
      <c r="F720" s="1010">
        <v>2799360</v>
      </c>
      <c r="G720" s="969">
        <v>1986804</v>
      </c>
      <c r="H720" s="969"/>
      <c r="I720" s="970">
        <v>114458</v>
      </c>
      <c r="J720" s="971">
        <v>482398</v>
      </c>
      <c r="K720" s="970">
        <v>283743</v>
      </c>
      <c r="L720" s="969">
        <v>31167</v>
      </c>
      <c r="M720" s="969"/>
      <c r="N720" s="970">
        <v>56240</v>
      </c>
      <c r="O720" s="970">
        <v>0</v>
      </c>
      <c r="P720" s="970">
        <v>0</v>
      </c>
      <c r="Q720" s="969">
        <v>28435</v>
      </c>
      <c r="R720" s="969"/>
      <c r="S720" s="970">
        <v>669555</v>
      </c>
      <c r="T720" s="972">
        <v>10548</v>
      </c>
      <c r="U720" s="972">
        <v>680103</v>
      </c>
    </row>
    <row r="721" spans="1:21" x14ac:dyDescent="0.25">
      <c r="A721" s="966">
        <v>97913</v>
      </c>
      <c r="B721" s="967" t="s">
        <v>3335</v>
      </c>
      <c r="C721" s="968">
        <v>3.5899999999999998E-5</v>
      </c>
      <c r="D721" s="968">
        <v>3.7400000000000001E-5</v>
      </c>
      <c r="E721" s="1007">
        <v>27559</v>
      </c>
      <c r="F721" s="1010">
        <v>79375</v>
      </c>
      <c r="G721" s="969">
        <v>54845</v>
      </c>
      <c r="H721" s="969"/>
      <c r="I721" s="970">
        <v>3160</v>
      </c>
      <c r="J721" s="971">
        <v>13317</v>
      </c>
      <c r="K721" s="970">
        <v>7833</v>
      </c>
      <c r="L721" s="969">
        <v>15616</v>
      </c>
      <c r="M721" s="969"/>
      <c r="N721" s="970">
        <v>1552</v>
      </c>
      <c r="O721" s="970">
        <v>0</v>
      </c>
      <c r="P721" s="970">
        <v>0</v>
      </c>
      <c r="Q721" s="969">
        <v>0</v>
      </c>
      <c r="R721" s="969"/>
      <c r="S721" s="970">
        <v>18483</v>
      </c>
      <c r="T721" s="972">
        <v>5369</v>
      </c>
      <c r="U721" s="972">
        <f>23851+1</f>
        <v>23852</v>
      </c>
    </row>
    <row r="722" spans="1:21" x14ac:dyDescent="0.25">
      <c r="A722" s="966">
        <v>97917</v>
      </c>
      <c r="B722" s="967" t="s">
        <v>3336</v>
      </c>
      <c r="C722" s="968">
        <v>2.0999999999999999E-5</v>
      </c>
      <c r="D722" s="968">
        <v>1.98E-5</v>
      </c>
      <c r="E722" s="1007">
        <v>13419</v>
      </c>
      <c r="F722" s="1010">
        <v>42022</v>
      </c>
      <c r="G722" s="969">
        <v>32082</v>
      </c>
      <c r="H722" s="969"/>
      <c r="I722" s="970">
        <v>1848</v>
      </c>
      <c r="J722" s="971">
        <v>7790</v>
      </c>
      <c r="K722" s="970">
        <v>4582</v>
      </c>
      <c r="L722" s="969">
        <v>7811</v>
      </c>
      <c r="M722" s="969"/>
      <c r="N722" s="970">
        <v>908</v>
      </c>
      <c r="O722" s="970">
        <v>0</v>
      </c>
      <c r="P722" s="970">
        <v>0</v>
      </c>
      <c r="Q722" s="969">
        <v>0</v>
      </c>
      <c r="R722" s="969"/>
      <c r="S722" s="970">
        <v>10812</v>
      </c>
      <c r="T722" s="972">
        <v>3168</v>
      </c>
      <c r="U722" s="972">
        <f>13979+1</f>
        <v>13980</v>
      </c>
    </row>
    <row r="723" spans="1:21" x14ac:dyDescent="0.25">
      <c r="A723" s="966">
        <v>97921</v>
      </c>
      <c r="B723" s="967" t="s">
        <v>3337</v>
      </c>
      <c r="C723" s="968">
        <v>2.1699999999999999E-4</v>
      </c>
      <c r="D723" s="968">
        <v>2.2169999999999999E-4</v>
      </c>
      <c r="E723" s="1007">
        <v>103163</v>
      </c>
      <c r="F723" s="1010">
        <v>470522</v>
      </c>
      <c r="G723" s="969">
        <v>331516</v>
      </c>
      <c r="H723" s="969"/>
      <c r="I723" s="970">
        <v>19098</v>
      </c>
      <c r="J723" s="971">
        <v>80493</v>
      </c>
      <c r="K723" s="970">
        <v>47345</v>
      </c>
      <c r="L723" s="969">
        <v>11562</v>
      </c>
      <c r="M723" s="969"/>
      <c r="N723" s="970">
        <v>9384</v>
      </c>
      <c r="O723" s="970">
        <v>0</v>
      </c>
      <c r="P723" s="970">
        <v>0</v>
      </c>
      <c r="Q723" s="969">
        <v>5992</v>
      </c>
      <c r="R723" s="969"/>
      <c r="S723" s="970">
        <v>111721</v>
      </c>
      <c r="T723" s="972">
        <v>3241</v>
      </c>
      <c r="U723" s="972">
        <v>114962</v>
      </c>
    </row>
    <row r="724" spans="1:21" x14ac:dyDescent="0.25">
      <c r="A724" s="966">
        <v>97931</v>
      </c>
      <c r="B724" s="967" t="s">
        <v>3338</v>
      </c>
      <c r="C724" s="968">
        <v>7.0199999999999999E-5</v>
      </c>
      <c r="D724" s="968">
        <v>6.1600000000000007E-5</v>
      </c>
      <c r="E724" s="1007">
        <v>31939</v>
      </c>
      <c r="F724" s="1010">
        <v>130736</v>
      </c>
      <c r="G724" s="969">
        <v>107246</v>
      </c>
      <c r="H724" s="969"/>
      <c r="I724" s="970">
        <v>6178</v>
      </c>
      <c r="J724" s="971">
        <v>26039</v>
      </c>
      <c r="K724" s="970">
        <v>15316</v>
      </c>
      <c r="L724" s="969">
        <v>18162</v>
      </c>
      <c r="M724" s="969"/>
      <c r="N724" s="970">
        <v>3036</v>
      </c>
      <c r="O724" s="970">
        <v>0</v>
      </c>
      <c r="P724" s="970">
        <v>0</v>
      </c>
      <c r="Q724" s="969">
        <v>7492</v>
      </c>
      <c r="R724" s="969"/>
      <c r="S724" s="970">
        <v>36142</v>
      </c>
      <c r="T724" s="972">
        <v>2117</v>
      </c>
      <c r="U724" s="972">
        <v>38259</v>
      </c>
    </row>
    <row r="725" spans="1:21" x14ac:dyDescent="0.25">
      <c r="A725" s="966">
        <v>97941</v>
      </c>
      <c r="B725" s="967" t="s">
        <v>3339</v>
      </c>
      <c r="C725" s="968">
        <v>2.0479999999999999E-4</v>
      </c>
      <c r="D725" s="968">
        <v>2.3330000000000001E-4</v>
      </c>
      <c r="E725" s="1007">
        <v>106970</v>
      </c>
      <c r="F725" s="1010">
        <v>495141</v>
      </c>
      <c r="G725" s="969">
        <v>312878</v>
      </c>
      <c r="H725" s="969"/>
      <c r="I725" s="970">
        <v>18025</v>
      </c>
      <c r="J725" s="971">
        <v>75967</v>
      </c>
      <c r="K725" s="970">
        <v>44683</v>
      </c>
      <c r="L725" s="969">
        <v>17999</v>
      </c>
      <c r="M725" s="969"/>
      <c r="N725" s="970">
        <v>8857</v>
      </c>
      <c r="O725" s="970">
        <v>0</v>
      </c>
      <c r="P725" s="970">
        <v>0</v>
      </c>
      <c r="Q725" s="969">
        <v>8897</v>
      </c>
      <c r="R725" s="969"/>
      <c r="S725" s="970">
        <v>105440</v>
      </c>
      <c r="T725" s="972">
        <v>7001</v>
      </c>
      <c r="U725" s="972">
        <v>112441</v>
      </c>
    </row>
    <row r="726" spans="1:21" x14ac:dyDescent="0.25">
      <c r="A726" s="966">
        <v>97947</v>
      </c>
      <c r="B726" s="967" t="s">
        <v>3340</v>
      </c>
      <c r="C726" s="968">
        <v>1.3900000000000001E-5</v>
      </c>
      <c r="D726" s="968">
        <v>1.5500000000000001E-5</v>
      </c>
      <c r="E726" s="1007">
        <v>11471</v>
      </c>
      <c r="F726" s="1010">
        <v>32896</v>
      </c>
      <c r="G726" s="969">
        <v>21235</v>
      </c>
      <c r="H726" s="969"/>
      <c r="I726" s="970">
        <v>1223</v>
      </c>
      <c r="J726" s="971">
        <v>5156</v>
      </c>
      <c r="K726" s="970">
        <v>3033</v>
      </c>
      <c r="L726" s="969">
        <v>9518</v>
      </c>
      <c r="M726" s="969"/>
      <c r="N726" s="970">
        <v>601</v>
      </c>
      <c r="O726" s="970">
        <v>0</v>
      </c>
      <c r="P726" s="970">
        <v>0</v>
      </c>
      <c r="Q726" s="969">
        <v>306</v>
      </c>
      <c r="R726" s="969"/>
      <c r="S726" s="970">
        <v>7156</v>
      </c>
      <c r="T726" s="972">
        <v>3116</v>
      </c>
      <c r="U726" s="972">
        <v>10272</v>
      </c>
    </row>
    <row r="727" spans="1:21" x14ac:dyDescent="0.25">
      <c r="A727" s="966">
        <v>97948</v>
      </c>
      <c r="B727" s="967" t="s">
        <v>3341</v>
      </c>
      <c r="C727" s="968">
        <v>2.2099999999999998E-5</v>
      </c>
      <c r="D727" s="968">
        <v>3.5200000000000002E-5</v>
      </c>
      <c r="E727" s="1007">
        <v>10840</v>
      </c>
      <c r="F727" s="1010">
        <v>74706</v>
      </c>
      <c r="G727" s="969">
        <v>33763</v>
      </c>
      <c r="H727" s="969"/>
      <c r="I727" s="970">
        <v>1945</v>
      </c>
      <c r="J727" s="971">
        <v>8198</v>
      </c>
      <c r="K727" s="970">
        <v>4822</v>
      </c>
      <c r="L727" s="969">
        <v>1909</v>
      </c>
      <c r="M727" s="969"/>
      <c r="N727" s="970">
        <v>956</v>
      </c>
      <c r="O727" s="970">
        <v>0</v>
      </c>
      <c r="P727" s="970">
        <v>0</v>
      </c>
      <c r="Q727" s="969">
        <v>8330</v>
      </c>
      <c r="R727" s="969"/>
      <c r="S727" s="970">
        <v>11378</v>
      </c>
      <c r="T727" s="972">
        <v>-972</v>
      </c>
      <c r="U727" s="972">
        <v>10406</v>
      </c>
    </row>
    <row r="728" spans="1:21" x14ac:dyDescent="0.25">
      <c r="A728" s="966">
        <v>97951</v>
      </c>
      <c r="B728" s="967" t="s">
        <v>3342</v>
      </c>
      <c r="C728" s="968">
        <v>1.2440999999999999E-3</v>
      </c>
      <c r="D728" s="968">
        <v>1.2497000000000001E-3</v>
      </c>
      <c r="E728" s="1007">
        <v>597832</v>
      </c>
      <c r="F728" s="1010">
        <v>2652282</v>
      </c>
      <c r="G728" s="969">
        <v>1900640</v>
      </c>
      <c r="H728" s="969"/>
      <c r="I728" s="970">
        <v>109494</v>
      </c>
      <c r="J728" s="971">
        <v>461477</v>
      </c>
      <c r="K728" s="970">
        <v>271438</v>
      </c>
      <c r="L728" s="969">
        <v>31864</v>
      </c>
      <c r="M728" s="969"/>
      <c r="N728" s="970">
        <v>53801</v>
      </c>
      <c r="O728" s="970">
        <v>0</v>
      </c>
      <c r="P728" s="970">
        <v>0</v>
      </c>
      <c r="Q728" s="969">
        <v>7067</v>
      </c>
      <c r="R728" s="969"/>
      <c r="S728" s="970">
        <v>640517</v>
      </c>
      <c r="T728" s="972">
        <v>4295</v>
      </c>
      <c r="U728" s="972">
        <f>644813-1</f>
        <v>644812</v>
      </c>
    </row>
    <row r="729" spans="1:21" x14ac:dyDescent="0.25">
      <c r="A729" s="966">
        <v>97957</v>
      </c>
      <c r="B729" s="967" t="s">
        <v>3343</v>
      </c>
      <c r="C729" s="968">
        <v>1.8700000000000001E-5</v>
      </c>
      <c r="D729" s="968">
        <v>1.9599999999999999E-5</v>
      </c>
      <c r="E729" s="1007">
        <v>12857</v>
      </c>
      <c r="F729" s="1010">
        <v>41598</v>
      </c>
      <c r="G729" s="969">
        <v>28568</v>
      </c>
      <c r="H729" s="969"/>
      <c r="I729" s="970">
        <v>1646</v>
      </c>
      <c r="J729" s="971">
        <v>6936</v>
      </c>
      <c r="K729" s="970">
        <v>4080</v>
      </c>
      <c r="L729" s="969">
        <v>4456</v>
      </c>
      <c r="M729" s="969"/>
      <c r="N729" s="970">
        <v>809</v>
      </c>
      <c r="O729" s="970">
        <v>0</v>
      </c>
      <c r="P729" s="970">
        <v>0</v>
      </c>
      <c r="Q729" s="969">
        <v>1123</v>
      </c>
      <c r="R729" s="969"/>
      <c r="S729" s="970">
        <v>9628</v>
      </c>
      <c r="T729" s="972">
        <v>620</v>
      </c>
      <c r="U729" s="972">
        <f>10247+1</f>
        <v>10248</v>
      </c>
    </row>
    <row r="730" spans="1:21" x14ac:dyDescent="0.25">
      <c r="A730" s="966">
        <v>98001</v>
      </c>
      <c r="B730" s="967" t="s">
        <v>3344</v>
      </c>
      <c r="C730" s="968">
        <v>5.1148000000000001E-3</v>
      </c>
      <c r="D730" s="968">
        <v>4.9659999999999999E-3</v>
      </c>
      <c r="E730" s="1007">
        <v>2367016</v>
      </c>
      <c r="F730" s="1010">
        <v>10539516</v>
      </c>
      <c r="G730" s="969">
        <v>7813998</v>
      </c>
      <c r="H730" s="969"/>
      <c r="I730" s="970">
        <v>450159</v>
      </c>
      <c r="J730" s="971">
        <v>1897248</v>
      </c>
      <c r="K730" s="970">
        <v>1115947</v>
      </c>
      <c r="L730" s="969">
        <v>181889</v>
      </c>
      <c r="M730" s="969"/>
      <c r="N730" s="970">
        <v>221190</v>
      </c>
      <c r="O730" s="970">
        <v>0</v>
      </c>
      <c r="P730" s="970">
        <v>0</v>
      </c>
      <c r="Q730" s="969">
        <v>0</v>
      </c>
      <c r="R730" s="969"/>
      <c r="S730" s="970">
        <v>2633324</v>
      </c>
      <c r="T730" s="972">
        <v>81305</v>
      </c>
      <c r="U730" s="972">
        <v>2714629</v>
      </c>
    </row>
    <row r="731" spans="1:21" x14ac:dyDescent="0.25">
      <c r="A731" s="966">
        <v>98002</v>
      </c>
      <c r="B731" s="967" t="s">
        <v>3345</v>
      </c>
      <c r="C731" s="968">
        <v>6.7000000000000002E-6</v>
      </c>
      <c r="D731" s="968">
        <v>7.3000000000000004E-6</v>
      </c>
      <c r="E731" s="1007">
        <v>4126</v>
      </c>
      <c r="F731" s="1010">
        <v>15493</v>
      </c>
      <c r="G731" s="969">
        <v>10236</v>
      </c>
      <c r="H731" s="969"/>
      <c r="I731" s="970">
        <v>590</v>
      </c>
      <c r="J731" s="971">
        <v>2485</v>
      </c>
      <c r="K731" s="970">
        <v>1462</v>
      </c>
      <c r="L731" s="969">
        <v>1007</v>
      </c>
      <c r="M731" s="969"/>
      <c r="N731" s="970">
        <v>290</v>
      </c>
      <c r="O731" s="970">
        <v>0</v>
      </c>
      <c r="P731" s="970">
        <v>0</v>
      </c>
      <c r="Q731" s="969">
        <v>6492</v>
      </c>
      <c r="R731" s="969"/>
      <c r="S731" s="970">
        <v>3449</v>
      </c>
      <c r="T731" s="972">
        <v>-6219</v>
      </c>
      <c r="U731" s="972">
        <v>-2770</v>
      </c>
    </row>
    <row r="732" spans="1:21" x14ac:dyDescent="0.25">
      <c r="A732" s="966">
        <v>98003</v>
      </c>
      <c r="B732" s="967" t="s">
        <v>3346</v>
      </c>
      <c r="C732" s="968">
        <v>7.9599999999999997E-5</v>
      </c>
      <c r="D732" s="968">
        <v>8.1600000000000005E-5</v>
      </c>
      <c r="E732" s="1007">
        <v>70274</v>
      </c>
      <c r="F732" s="1010">
        <v>173183</v>
      </c>
      <c r="G732" s="969">
        <v>121607</v>
      </c>
      <c r="H732" s="969"/>
      <c r="I732" s="970">
        <v>7006</v>
      </c>
      <c r="J732" s="971">
        <v>29526</v>
      </c>
      <c r="K732" s="970">
        <v>17367</v>
      </c>
      <c r="L732" s="969">
        <v>54986</v>
      </c>
      <c r="M732" s="969"/>
      <c r="N732" s="970">
        <v>3442</v>
      </c>
      <c r="O732" s="970">
        <v>0</v>
      </c>
      <c r="P732" s="970">
        <v>0</v>
      </c>
      <c r="Q732" s="969">
        <v>0</v>
      </c>
      <c r="R732" s="969"/>
      <c r="S732" s="970">
        <v>40982</v>
      </c>
      <c r="T732" s="972">
        <v>18634</v>
      </c>
      <c r="U732" s="972">
        <v>59616</v>
      </c>
    </row>
    <row r="733" spans="1:21" x14ac:dyDescent="0.25">
      <c r="A733" s="966">
        <v>98004</v>
      </c>
      <c r="B733" s="967" t="s">
        <v>3347</v>
      </c>
      <c r="C733" s="968">
        <v>1.182E-4</v>
      </c>
      <c r="D733" s="968">
        <v>1.209E-4</v>
      </c>
      <c r="E733" s="1007">
        <v>78050</v>
      </c>
      <c r="F733" s="1010">
        <v>256590</v>
      </c>
      <c r="G733" s="969">
        <v>180577</v>
      </c>
      <c r="H733" s="969"/>
      <c r="I733" s="970">
        <v>10403</v>
      </c>
      <c r="J733" s="971">
        <v>43844</v>
      </c>
      <c r="K733" s="970">
        <v>25789</v>
      </c>
      <c r="L733" s="969">
        <v>36575</v>
      </c>
      <c r="M733" s="969"/>
      <c r="N733" s="970">
        <v>5112</v>
      </c>
      <c r="O733" s="970">
        <v>0</v>
      </c>
      <c r="P733" s="970">
        <v>0</v>
      </c>
      <c r="Q733" s="969">
        <v>0</v>
      </c>
      <c r="R733" s="969"/>
      <c r="S733" s="970">
        <v>60855</v>
      </c>
      <c r="T733" s="972">
        <v>14190</v>
      </c>
      <c r="U733" s="972">
        <f>75044+1</f>
        <v>75045</v>
      </c>
    </row>
    <row r="734" spans="1:21" x14ac:dyDescent="0.25">
      <c r="A734" s="966">
        <v>98008</v>
      </c>
      <c r="B734" s="967" t="s">
        <v>3348</v>
      </c>
      <c r="C734" s="968">
        <v>7.9999999999999996E-6</v>
      </c>
      <c r="D734" s="968">
        <v>7.7999999999999999E-6</v>
      </c>
      <c r="E734" s="1007">
        <v>3537</v>
      </c>
      <c r="F734" s="1010">
        <v>16554</v>
      </c>
      <c r="G734" s="969">
        <v>12222</v>
      </c>
      <c r="H734" s="969"/>
      <c r="I734" s="970">
        <v>704</v>
      </c>
      <c r="J734" s="971">
        <v>2967</v>
      </c>
      <c r="K734" s="970">
        <v>1745</v>
      </c>
      <c r="L734" s="969">
        <v>25</v>
      </c>
      <c r="M734" s="969"/>
      <c r="N734" s="970">
        <v>346</v>
      </c>
      <c r="O734" s="970">
        <v>0</v>
      </c>
      <c r="P734" s="970">
        <v>0</v>
      </c>
      <c r="Q734" s="969">
        <v>804</v>
      </c>
      <c r="R734" s="969"/>
      <c r="S734" s="970">
        <v>4119</v>
      </c>
      <c r="T734" s="972">
        <v>-490</v>
      </c>
      <c r="U734" s="972">
        <v>3629</v>
      </c>
    </row>
    <row r="735" spans="1:21" x14ac:dyDescent="0.25">
      <c r="A735" s="966">
        <v>98011</v>
      </c>
      <c r="B735" s="967" t="s">
        <v>3349</v>
      </c>
      <c r="C735" s="968">
        <v>3.1578999999999999E-3</v>
      </c>
      <c r="D735" s="968">
        <v>3.1795E-3</v>
      </c>
      <c r="E735" s="1007">
        <v>1430082</v>
      </c>
      <c r="F735" s="1010">
        <v>6747964</v>
      </c>
      <c r="G735" s="969">
        <v>4824396</v>
      </c>
      <c r="H735" s="969"/>
      <c r="I735" s="970">
        <v>277930</v>
      </c>
      <c r="J735" s="971">
        <v>1171370</v>
      </c>
      <c r="K735" s="970">
        <v>688991</v>
      </c>
      <c r="L735" s="969">
        <v>0</v>
      </c>
      <c r="M735" s="969"/>
      <c r="N735" s="970">
        <v>136563</v>
      </c>
      <c r="O735" s="970">
        <v>0</v>
      </c>
      <c r="P735" s="970">
        <v>0</v>
      </c>
      <c r="Q735" s="969">
        <v>315025</v>
      </c>
      <c r="R735" s="969"/>
      <c r="S735" s="970">
        <v>1625826</v>
      </c>
      <c r="T735" s="972">
        <v>-146862</v>
      </c>
      <c r="U735" s="972">
        <v>1478964</v>
      </c>
    </row>
    <row r="736" spans="1:21" x14ac:dyDescent="0.25">
      <c r="A736" s="966">
        <v>98013</v>
      </c>
      <c r="B736" s="967" t="s">
        <v>3350</v>
      </c>
      <c r="C736" s="968">
        <v>1.415E-4</v>
      </c>
      <c r="D736" s="968">
        <v>1.426E-4</v>
      </c>
      <c r="E736" s="1007">
        <v>138521</v>
      </c>
      <c r="F736" s="1010">
        <v>302645</v>
      </c>
      <c r="G736" s="969">
        <v>216173</v>
      </c>
      <c r="H736" s="969"/>
      <c r="I736" s="970">
        <v>12454</v>
      </c>
      <c r="J736" s="971">
        <v>52487</v>
      </c>
      <c r="K736" s="970">
        <v>30872</v>
      </c>
      <c r="L736" s="969">
        <v>126104</v>
      </c>
      <c r="M736" s="969"/>
      <c r="N736" s="970">
        <v>6119</v>
      </c>
      <c r="O736" s="970">
        <v>0</v>
      </c>
      <c r="P736" s="970">
        <v>0</v>
      </c>
      <c r="Q736" s="969">
        <v>2073</v>
      </c>
      <c r="R736" s="969"/>
      <c r="S736" s="970">
        <v>72850</v>
      </c>
      <c r="T736" s="972">
        <v>41784</v>
      </c>
      <c r="U736" s="972">
        <f>114635-1</f>
        <v>114634</v>
      </c>
    </row>
    <row r="737" spans="1:21" x14ac:dyDescent="0.25">
      <c r="A737" s="966">
        <v>98021</v>
      </c>
      <c r="B737" s="967" t="s">
        <v>3351</v>
      </c>
      <c r="C737" s="968">
        <v>8.6199999999999995E-5</v>
      </c>
      <c r="D737" s="968">
        <v>7.5099999999999996E-5</v>
      </c>
      <c r="E737" s="1007">
        <v>28536</v>
      </c>
      <c r="F737" s="1010">
        <v>159387</v>
      </c>
      <c r="G737" s="969">
        <v>131690</v>
      </c>
      <c r="H737" s="969"/>
      <c r="I737" s="970">
        <v>7587</v>
      </c>
      <c r="J737" s="971">
        <v>31975</v>
      </c>
      <c r="K737" s="970">
        <v>18807</v>
      </c>
      <c r="L737" s="969">
        <v>13468</v>
      </c>
      <c r="M737" s="969"/>
      <c r="N737" s="970">
        <v>3728</v>
      </c>
      <c r="O737" s="970">
        <v>0</v>
      </c>
      <c r="P737" s="970">
        <v>0</v>
      </c>
      <c r="Q737" s="969">
        <v>2708</v>
      </c>
      <c r="R737" s="969"/>
      <c r="S737" s="970">
        <v>44380</v>
      </c>
      <c r="T737" s="972">
        <v>6479</v>
      </c>
      <c r="U737" s="972">
        <v>50859</v>
      </c>
    </row>
    <row r="738" spans="1:21" x14ac:dyDescent="0.25">
      <c r="A738" s="966">
        <v>98023</v>
      </c>
      <c r="B738" s="967" t="s">
        <v>3352</v>
      </c>
      <c r="C738" s="968">
        <v>1.43E-5</v>
      </c>
      <c r="D738" s="968">
        <v>1.45E-5</v>
      </c>
      <c r="E738" s="1007">
        <v>6869</v>
      </c>
      <c r="F738" s="1010">
        <v>30774</v>
      </c>
      <c r="G738" s="969">
        <v>21846</v>
      </c>
      <c r="H738" s="969"/>
      <c r="I738" s="970">
        <v>1259</v>
      </c>
      <c r="J738" s="971">
        <v>5305</v>
      </c>
      <c r="K738" s="970">
        <v>3120</v>
      </c>
      <c r="L738" s="969">
        <v>109</v>
      </c>
      <c r="M738" s="969"/>
      <c r="N738" s="970">
        <v>618</v>
      </c>
      <c r="O738" s="970">
        <v>0</v>
      </c>
      <c r="P738" s="970">
        <v>0</v>
      </c>
      <c r="Q738" s="969">
        <v>5220</v>
      </c>
      <c r="R738" s="969"/>
      <c r="S738" s="970">
        <v>7362</v>
      </c>
      <c r="T738" s="972">
        <v>-2611</v>
      </c>
      <c r="U738" s="972">
        <v>4751</v>
      </c>
    </row>
    <row r="739" spans="1:21" x14ac:dyDescent="0.25">
      <c r="A739" s="966">
        <v>98031</v>
      </c>
      <c r="B739" s="967" t="s">
        <v>3353</v>
      </c>
      <c r="C739" s="968">
        <v>1.537E-4</v>
      </c>
      <c r="D739" s="968">
        <v>1.5530000000000001E-4</v>
      </c>
      <c r="E739" s="1007">
        <v>67740</v>
      </c>
      <c r="F739" s="1010">
        <v>329599</v>
      </c>
      <c r="G739" s="969">
        <v>234811</v>
      </c>
      <c r="H739" s="969"/>
      <c r="I739" s="970">
        <v>13527</v>
      </c>
      <c r="J739" s="971">
        <v>57012</v>
      </c>
      <c r="K739" s="970">
        <v>33534</v>
      </c>
      <c r="L739" s="969">
        <v>4651</v>
      </c>
      <c r="M739" s="969"/>
      <c r="N739" s="970">
        <v>6647</v>
      </c>
      <c r="O739" s="970">
        <v>0</v>
      </c>
      <c r="P739" s="970">
        <v>0</v>
      </c>
      <c r="Q739" s="969">
        <v>9184</v>
      </c>
      <c r="R739" s="969"/>
      <c r="S739" s="970">
        <v>79132</v>
      </c>
      <c r="T739" s="972">
        <v>-1401</v>
      </c>
      <c r="U739" s="972">
        <f>77730+1</f>
        <v>77731</v>
      </c>
    </row>
    <row r="740" spans="1:21" x14ac:dyDescent="0.25">
      <c r="A740" s="966">
        <v>98041</v>
      </c>
      <c r="B740" s="967" t="s">
        <v>3354</v>
      </c>
      <c r="C740" s="968">
        <v>1.9230000000000001E-4</v>
      </c>
      <c r="D740" s="968">
        <v>1.6559999999999999E-4</v>
      </c>
      <c r="E740" s="1007">
        <v>80474</v>
      </c>
      <c r="F740" s="1010">
        <v>351459</v>
      </c>
      <c r="G740" s="969">
        <v>293781</v>
      </c>
      <c r="H740" s="969"/>
      <c r="I740" s="970">
        <v>16925</v>
      </c>
      <c r="J740" s="971">
        <v>71330</v>
      </c>
      <c r="K740" s="970">
        <v>41956</v>
      </c>
      <c r="L740" s="969">
        <v>17154</v>
      </c>
      <c r="M740" s="969"/>
      <c r="N740" s="970">
        <v>8316</v>
      </c>
      <c r="O740" s="970">
        <v>0</v>
      </c>
      <c r="P740" s="970">
        <v>0</v>
      </c>
      <c r="Q740" s="969">
        <v>5779</v>
      </c>
      <c r="R740" s="969"/>
      <c r="S740" s="970">
        <v>99005</v>
      </c>
      <c r="T740" s="972">
        <v>943</v>
      </c>
      <c r="U740" s="972">
        <v>99948</v>
      </c>
    </row>
    <row r="741" spans="1:21" x14ac:dyDescent="0.25">
      <c r="A741" s="966">
        <v>98051</v>
      </c>
      <c r="B741" s="967" t="s">
        <v>3355</v>
      </c>
      <c r="C741" s="968">
        <v>2.8019999999999998E-4</v>
      </c>
      <c r="D741" s="968">
        <v>3.0019999999999998E-4</v>
      </c>
      <c r="E741" s="1007">
        <v>136145</v>
      </c>
      <c r="F741" s="1010">
        <v>637125</v>
      </c>
      <c r="G741" s="969">
        <v>428068</v>
      </c>
      <c r="H741" s="969"/>
      <c r="I741" s="970">
        <v>24661</v>
      </c>
      <c r="J741" s="971">
        <v>103936</v>
      </c>
      <c r="K741" s="970">
        <v>61134</v>
      </c>
      <c r="L741" s="969">
        <v>21691</v>
      </c>
      <c r="M741" s="969"/>
      <c r="N741" s="970">
        <v>12117</v>
      </c>
      <c r="O741" s="970">
        <v>0</v>
      </c>
      <c r="P741" s="970">
        <v>0</v>
      </c>
      <c r="Q741" s="969">
        <v>7516</v>
      </c>
      <c r="R741" s="969"/>
      <c r="S741" s="970">
        <v>144259</v>
      </c>
      <c r="T741" s="972">
        <v>7566</v>
      </c>
      <c r="U741" s="972">
        <v>151825</v>
      </c>
    </row>
    <row r="742" spans="1:21" x14ac:dyDescent="0.25">
      <c r="A742" s="966">
        <v>98061</v>
      </c>
      <c r="B742" s="967" t="s">
        <v>3356</v>
      </c>
      <c r="C742" s="968">
        <v>1.0670000000000001E-4</v>
      </c>
      <c r="D742" s="968">
        <v>9.9099999999999996E-5</v>
      </c>
      <c r="E742" s="1007">
        <v>47390</v>
      </c>
      <c r="F742" s="1010">
        <v>210323</v>
      </c>
      <c r="G742" s="969">
        <v>163008</v>
      </c>
      <c r="H742" s="969"/>
      <c r="I742" s="970">
        <v>9391</v>
      </c>
      <c r="J742" s="971">
        <v>39579</v>
      </c>
      <c r="K742" s="970">
        <v>23280</v>
      </c>
      <c r="L742" s="969">
        <v>3820</v>
      </c>
      <c r="M742" s="969"/>
      <c r="N742" s="970">
        <v>4614</v>
      </c>
      <c r="O742" s="970">
        <v>0</v>
      </c>
      <c r="P742" s="970">
        <v>0</v>
      </c>
      <c r="Q742" s="969">
        <v>17433</v>
      </c>
      <c r="R742" s="969"/>
      <c r="S742" s="970">
        <v>54934</v>
      </c>
      <c r="T742" s="972">
        <v>-6260</v>
      </c>
      <c r="U742" s="972">
        <v>48674</v>
      </c>
    </row>
    <row r="743" spans="1:21" x14ac:dyDescent="0.25">
      <c r="A743" s="966">
        <v>98071</v>
      </c>
      <c r="B743" s="967" t="s">
        <v>3357</v>
      </c>
      <c r="C743" s="968">
        <v>4.0099999999999999E-5</v>
      </c>
      <c r="D743" s="968">
        <v>3.4400000000000003E-5</v>
      </c>
      <c r="E743" s="1007">
        <v>28233</v>
      </c>
      <c r="F743" s="1010">
        <v>73008</v>
      </c>
      <c r="G743" s="969">
        <v>61262</v>
      </c>
      <c r="H743" s="969"/>
      <c r="I743" s="970">
        <v>3529</v>
      </c>
      <c r="J743" s="971">
        <v>14874</v>
      </c>
      <c r="K743" s="970">
        <v>8749</v>
      </c>
      <c r="L743" s="969">
        <v>18505</v>
      </c>
      <c r="M743" s="969"/>
      <c r="N743" s="970">
        <v>1734</v>
      </c>
      <c r="O743" s="970">
        <v>0</v>
      </c>
      <c r="P743" s="970">
        <v>0</v>
      </c>
      <c r="Q743" s="969">
        <v>1200</v>
      </c>
      <c r="R743" s="969"/>
      <c r="S743" s="970">
        <v>20645</v>
      </c>
      <c r="T743" s="972">
        <v>4654</v>
      </c>
      <c r="U743" s="972">
        <v>25299</v>
      </c>
    </row>
    <row r="744" spans="1:21" x14ac:dyDescent="0.25">
      <c r="A744" s="966">
        <v>98081</v>
      </c>
      <c r="B744" s="967" t="s">
        <v>3358</v>
      </c>
      <c r="C744" s="968">
        <v>1.8300000000000001E-5</v>
      </c>
      <c r="D744" s="968">
        <v>1.9400000000000001E-5</v>
      </c>
      <c r="E744" s="1007">
        <v>7556</v>
      </c>
      <c r="F744" s="1010">
        <v>41173</v>
      </c>
      <c r="G744" s="969">
        <v>27957</v>
      </c>
      <c r="H744" s="969"/>
      <c r="I744" s="970">
        <v>1611</v>
      </c>
      <c r="J744" s="971">
        <v>6788</v>
      </c>
      <c r="K744" s="970">
        <v>3993</v>
      </c>
      <c r="L744" s="969">
        <v>0</v>
      </c>
      <c r="M744" s="969"/>
      <c r="N744" s="970">
        <v>791</v>
      </c>
      <c r="O744" s="970">
        <v>0</v>
      </c>
      <c r="P744" s="970">
        <v>0</v>
      </c>
      <c r="Q744" s="969">
        <v>4207</v>
      </c>
      <c r="R744" s="969"/>
      <c r="S744" s="970">
        <v>9422</v>
      </c>
      <c r="T744" s="972">
        <v>-1896</v>
      </c>
      <c r="U744" s="972">
        <v>7526</v>
      </c>
    </row>
    <row r="745" spans="1:21" x14ac:dyDescent="0.25">
      <c r="A745" s="966">
        <v>98091</v>
      </c>
      <c r="B745" s="967" t="s">
        <v>3359</v>
      </c>
      <c r="C745" s="968">
        <v>4.7500000000000003E-5</v>
      </c>
      <c r="D745" s="968">
        <v>5.0899999999999997E-5</v>
      </c>
      <c r="E745" s="1007">
        <v>25241</v>
      </c>
      <c r="F745" s="1010">
        <v>108027</v>
      </c>
      <c r="G745" s="969">
        <v>72567</v>
      </c>
      <c r="H745" s="969"/>
      <c r="I745" s="970">
        <v>4181</v>
      </c>
      <c r="J745" s="971">
        <v>17619</v>
      </c>
      <c r="K745" s="970">
        <v>10364</v>
      </c>
      <c r="L745" s="969">
        <v>1261</v>
      </c>
      <c r="M745" s="969"/>
      <c r="N745" s="970">
        <v>2054</v>
      </c>
      <c r="O745" s="970">
        <v>0</v>
      </c>
      <c r="P745" s="970">
        <v>0</v>
      </c>
      <c r="Q745" s="969">
        <v>807</v>
      </c>
      <c r="R745" s="969"/>
      <c r="S745" s="970">
        <v>24455</v>
      </c>
      <c r="T745" s="972">
        <v>-295</v>
      </c>
      <c r="U745" s="972">
        <v>24160</v>
      </c>
    </row>
    <row r="746" spans="1:21" x14ac:dyDescent="0.25">
      <c r="A746" s="966">
        <v>98101</v>
      </c>
      <c r="B746" s="967" t="s">
        <v>3360</v>
      </c>
      <c r="C746" s="968">
        <v>2.8706999999999999E-3</v>
      </c>
      <c r="D746" s="968">
        <v>2.7642999999999999E-3</v>
      </c>
      <c r="E746" s="1007">
        <v>1210234</v>
      </c>
      <c r="F746" s="1010">
        <v>5866771</v>
      </c>
      <c r="G746" s="969">
        <v>4385634</v>
      </c>
      <c r="H746" s="969"/>
      <c r="I746" s="970">
        <v>252653</v>
      </c>
      <c r="J746" s="971">
        <v>1064838</v>
      </c>
      <c r="K746" s="970">
        <v>626329</v>
      </c>
      <c r="L746" s="969">
        <v>37308</v>
      </c>
      <c r="M746" s="969"/>
      <c r="N746" s="970">
        <v>124143</v>
      </c>
      <c r="O746" s="970">
        <v>0</v>
      </c>
      <c r="P746" s="970">
        <v>0</v>
      </c>
      <c r="Q746" s="969">
        <v>32438</v>
      </c>
      <c r="R746" s="969"/>
      <c r="S746" s="970">
        <v>1477963</v>
      </c>
      <c r="T746" s="972">
        <v>14286</v>
      </c>
      <c r="U746" s="972">
        <f>1492248+1</f>
        <v>1492249</v>
      </c>
    </row>
    <row r="747" spans="1:21" x14ac:dyDescent="0.25">
      <c r="A747" s="966">
        <v>98102</v>
      </c>
      <c r="B747" s="967" t="s">
        <v>3361</v>
      </c>
      <c r="C747" s="968">
        <v>1.5809999999999999E-4</v>
      </c>
      <c r="D747" s="968">
        <v>1.683E-4</v>
      </c>
      <c r="E747" s="1007">
        <v>71621</v>
      </c>
      <c r="F747" s="1010">
        <v>357189</v>
      </c>
      <c r="G747" s="969">
        <v>241533</v>
      </c>
      <c r="H747" s="969"/>
      <c r="I747" s="970">
        <v>13915</v>
      </c>
      <c r="J747" s="971">
        <v>58644</v>
      </c>
      <c r="K747" s="970">
        <v>34494</v>
      </c>
      <c r="L747" s="969">
        <v>0</v>
      </c>
      <c r="M747" s="969"/>
      <c r="N747" s="970">
        <v>6837</v>
      </c>
      <c r="O747" s="970">
        <v>0</v>
      </c>
      <c r="P747" s="970">
        <v>0</v>
      </c>
      <c r="Q747" s="969">
        <v>14329</v>
      </c>
      <c r="R747" s="969"/>
      <c r="S747" s="970">
        <v>81397</v>
      </c>
      <c r="T747" s="972">
        <v>-5584</v>
      </c>
      <c r="U747" s="972">
        <v>75813</v>
      </c>
    </row>
    <row r="748" spans="1:21" x14ac:dyDescent="0.25">
      <c r="A748" s="966">
        <v>98103</v>
      </c>
      <c r="B748" s="967" t="s">
        <v>3362</v>
      </c>
      <c r="C748" s="968">
        <v>5.4410000000000005E-4</v>
      </c>
      <c r="D748" s="968">
        <v>5.3600000000000002E-4</v>
      </c>
      <c r="E748" s="1007">
        <v>255161</v>
      </c>
      <c r="F748" s="1010">
        <v>1137572</v>
      </c>
      <c r="G748" s="969">
        <v>831234</v>
      </c>
      <c r="H748" s="969"/>
      <c r="I748" s="970">
        <v>47887</v>
      </c>
      <c r="J748" s="971">
        <v>201824</v>
      </c>
      <c r="K748" s="970">
        <v>118712</v>
      </c>
      <c r="L748" s="969">
        <v>9730</v>
      </c>
      <c r="M748" s="969"/>
      <c r="N748" s="970">
        <v>23530</v>
      </c>
      <c r="O748" s="970">
        <v>0</v>
      </c>
      <c r="P748" s="970">
        <v>0</v>
      </c>
      <c r="Q748" s="969">
        <v>27055</v>
      </c>
      <c r="R748" s="969"/>
      <c r="S748" s="970">
        <v>280127</v>
      </c>
      <c r="T748" s="972">
        <v>-17051</v>
      </c>
      <c r="U748" s="972">
        <v>263076</v>
      </c>
    </row>
    <row r="749" spans="1:21" x14ac:dyDescent="0.25">
      <c r="A749" s="966">
        <v>98107</v>
      </c>
      <c r="B749" s="967" t="s">
        <v>3363</v>
      </c>
      <c r="C749" s="968">
        <v>1.08E-5</v>
      </c>
      <c r="D749" s="968">
        <v>1.08E-5</v>
      </c>
      <c r="E749" s="1007">
        <v>9242</v>
      </c>
      <c r="F749" s="1010">
        <v>22921</v>
      </c>
      <c r="G749" s="969">
        <v>16499</v>
      </c>
      <c r="H749" s="969"/>
      <c r="I749" s="970">
        <v>951</v>
      </c>
      <c r="J749" s="971">
        <v>4006</v>
      </c>
      <c r="K749" s="970">
        <v>2356</v>
      </c>
      <c r="L749" s="969">
        <v>8237</v>
      </c>
      <c r="M749" s="969"/>
      <c r="N749" s="970">
        <v>467</v>
      </c>
      <c r="O749" s="970">
        <v>0</v>
      </c>
      <c r="P749" s="970">
        <v>0</v>
      </c>
      <c r="Q749" s="969">
        <v>0</v>
      </c>
      <c r="R749" s="969"/>
      <c r="S749" s="970">
        <v>5560</v>
      </c>
      <c r="T749" s="972">
        <v>3467</v>
      </c>
      <c r="U749" s="972">
        <v>9027</v>
      </c>
    </row>
    <row r="750" spans="1:21" x14ac:dyDescent="0.25">
      <c r="A750" s="966">
        <v>98109</v>
      </c>
      <c r="B750" s="967" t="s">
        <v>3364</v>
      </c>
      <c r="C750" s="968">
        <v>1.573E-4</v>
      </c>
      <c r="D750" s="968">
        <v>1.4660000000000001E-4</v>
      </c>
      <c r="E750" s="1007">
        <v>76016</v>
      </c>
      <c r="F750" s="1010">
        <v>311134</v>
      </c>
      <c r="G750" s="969">
        <v>240311</v>
      </c>
      <c r="H750" s="969"/>
      <c r="I750" s="970">
        <v>13844</v>
      </c>
      <c r="J750" s="971">
        <v>58348</v>
      </c>
      <c r="K750" s="970">
        <v>34320</v>
      </c>
      <c r="L750" s="969">
        <v>12163</v>
      </c>
      <c r="M750" s="969"/>
      <c r="N750" s="970">
        <v>6802</v>
      </c>
      <c r="O750" s="970">
        <v>0</v>
      </c>
      <c r="P750" s="970">
        <v>0</v>
      </c>
      <c r="Q750" s="969">
        <v>24551</v>
      </c>
      <c r="R750" s="969"/>
      <c r="S750" s="970">
        <v>80985</v>
      </c>
      <c r="T750" s="972">
        <v>-7590</v>
      </c>
      <c r="U750" s="972">
        <v>73395</v>
      </c>
    </row>
    <row r="751" spans="1:21" x14ac:dyDescent="0.25">
      <c r="A751" s="966">
        <v>98111</v>
      </c>
      <c r="B751" s="967" t="s">
        <v>3365</v>
      </c>
      <c r="C751" s="968">
        <v>1.0143000000000001E-3</v>
      </c>
      <c r="D751" s="968">
        <v>1.0191E-3</v>
      </c>
      <c r="E751" s="1007">
        <v>432530</v>
      </c>
      <c r="F751" s="1010">
        <v>2162872</v>
      </c>
      <c r="G751" s="969">
        <v>1549569</v>
      </c>
      <c r="H751" s="969"/>
      <c r="I751" s="970">
        <v>89270</v>
      </c>
      <c r="J751" s="971">
        <v>376238</v>
      </c>
      <c r="K751" s="970">
        <v>221300</v>
      </c>
      <c r="L751" s="969">
        <v>0</v>
      </c>
      <c r="M751" s="969"/>
      <c r="N751" s="970">
        <v>43863</v>
      </c>
      <c r="O751" s="970">
        <v>0</v>
      </c>
      <c r="P751" s="970">
        <v>0</v>
      </c>
      <c r="Q751" s="969">
        <v>66610</v>
      </c>
      <c r="R751" s="969"/>
      <c r="S751" s="970">
        <v>522206</v>
      </c>
      <c r="T751" s="972">
        <v>-21506</v>
      </c>
      <c r="U751" s="972">
        <v>500700</v>
      </c>
    </row>
    <row r="752" spans="1:21" x14ac:dyDescent="0.25">
      <c r="A752" s="966">
        <v>98113</v>
      </c>
      <c r="B752" s="967" t="s">
        <v>3366</v>
      </c>
      <c r="C752" s="968">
        <v>4.6199999999999998E-5</v>
      </c>
      <c r="D752" s="968">
        <v>3.8999999999999999E-5</v>
      </c>
      <c r="E752" s="1007">
        <v>23492</v>
      </c>
      <c r="F752" s="1010">
        <v>82771</v>
      </c>
      <c r="G752" s="969">
        <v>70581</v>
      </c>
      <c r="H752" s="969"/>
      <c r="I752" s="970">
        <v>4066</v>
      </c>
      <c r="J752" s="971">
        <v>17137</v>
      </c>
      <c r="K752" s="970">
        <v>10080</v>
      </c>
      <c r="L752" s="969">
        <v>11739</v>
      </c>
      <c r="M752" s="969"/>
      <c r="N752" s="970">
        <v>1998</v>
      </c>
      <c r="O752" s="970">
        <v>0</v>
      </c>
      <c r="P752" s="970">
        <v>0</v>
      </c>
      <c r="Q752" s="969">
        <v>0</v>
      </c>
      <c r="R752" s="969"/>
      <c r="S752" s="970">
        <v>23786</v>
      </c>
      <c r="T752" s="972">
        <v>4647</v>
      </c>
      <c r="U752" s="972">
        <f>28432+1</f>
        <v>28433</v>
      </c>
    </row>
    <row r="753" spans="1:21" x14ac:dyDescent="0.25">
      <c r="A753" s="966">
        <v>98121</v>
      </c>
      <c r="B753" s="967" t="s">
        <v>3367</v>
      </c>
      <c r="C753" s="968">
        <v>2.0100000000000001E-4</v>
      </c>
      <c r="D753" s="968">
        <v>2.2910000000000001E-4</v>
      </c>
      <c r="E753" s="1007">
        <v>89370</v>
      </c>
      <c r="F753" s="1010">
        <v>486227</v>
      </c>
      <c r="G753" s="969">
        <v>307072</v>
      </c>
      <c r="H753" s="969"/>
      <c r="I753" s="970">
        <v>17690</v>
      </c>
      <c r="J753" s="971">
        <v>74558</v>
      </c>
      <c r="K753" s="970">
        <v>43854</v>
      </c>
      <c r="L753" s="969">
        <v>2134</v>
      </c>
      <c r="M753" s="969"/>
      <c r="N753" s="970">
        <v>8692</v>
      </c>
      <c r="O753" s="970">
        <v>0</v>
      </c>
      <c r="P753" s="970">
        <v>0</v>
      </c>
      <c r="Q753" s="969">
        <v>25239</v>
      </c>
      <c r="R753" s="969"/>
      <c r="S753" s="970">
        <v>103484</v>
      </c>
      <c r="T753" s="972">
        <v>-5712</v>
      </c>
      <c r="U753" s="972">
        <f>97771+1</f>
        <v>97772</v>
      </c>
    </row>
    <row r="754" spans="1:21" x14ac:dyDescent="0.25">
      <c r="A754" s="966">
        <v>98131</v>
      </c>
      <c r="B754" s="967" t="s">
        <v>3368</v>
      </c>
      <c r="C754" s="968">
        <v>2.5230000000000001E-4</v>
      </c>
      <c r="D754" s="968">
        <v>2.9569999999999998E-4</v>
      </c>
      <c r="E754" s="1007">
        <v>119697</v>
      </c>
      <c r="F754" s="1010">
        <v>627574</v>
      </c>
      <c r="G754" s="969">
        <v>385445</v>
      </c>
      <c r="H754" s="969"/>
      <c r="I754" s="970">
        <v>22205</v>
      </c>
      <c r="J754" s="971">
        <v>93586</v>
      </c>
      <c r="K754" s="970">
        <v>55047</v>
      </c>
      <c r="L754" s="969">
        <v>0</v>
      </c>
      <c r="M754" s="969"/>
      <c r="N754" s="970">
        <v>10911</v>
      </c>
      <c r="O754" s="970">
        <v>0</v>
      </c>
      <c r="P754" s="970">
        <v>0</v>
      </c>
      <c r="Q754" s="969">
        <v>53749</v>
      </c>
      <c r="R754" s="969"/>
      <c r="S754" s="970">
        <v>129895</v>
      </c>
      <c r="T754" s="972">
        <v>-23653</v>
      </c>
      <c r="U754" s="972">
        <v>106242</v>
      </c>
    </row>
    <row r="755" spans="1:21" x14ac:dyDescent="0.25">
      <c r="A755" s="966">
        <v>98141</v>
      </c>
      <c r="B755" s="967" t="s">
        <v>3369</v>
      </c>
      <c r="C755" s="968">
        <v>3.0360000000000001E-4</v>
      </c>
      <c r="D755" s="968">
        <v>2.9030000000000001E-4</v>
      </c>
      <c r="E755" s="1007">
        <v>133558</v>
      </c>
      <c r="F755" s="1010">
        <v>616114</v>
      </c>
      <c r="G755" s="969">
        <v>463817</v>
      </c>
      <c r="H755" s="969"/>
      <c r="I755" s="970">
        <v>26720</v>
      </c>
      <c r="J755" s="971">
        <v>112616</v>
      </c>
      <c r="K755" s="970">
        <v>66239</v>
      </c>
      <c r="L755" s="969">
        <v>5226</v>
      </c>
      <c r="M755" s="969"/>
      <c r="N755" s="970">
        <v>13129</v>
      </c>
      <c r="O755" s="970">
        <v>0</v>
      </c>
      <c r="P755" s="970">
        <v>0</v>
      </c>
      <c r="Q755" s="969">
        <v>22375</v>
      </c>
      <c r="R755" s="969"/>
      <c r="S755" s="970">
        <v>156307</v>
      </c>
      <c r="T755" s="972">
        <v>-11630</v>
      </c>
      <c r="U755" s="972">
        <v>144677</v>
      </c>
    </row>
    <row r="756" spans="1:21" x14ac:dyDescent="0.25">
      <c r="A756" s="966">
        <v>98147</v>
      </c>
      <c r="B756" s="967" t="s">
        <v>3370</v>
      </c>
      <c r="C756" s="968">
        <v>1.29E-5</v>
      </c>
      <c r="D756" s="968">
        <v>1.29E-5</v>
      </c>
      <c r="E756" s="1007">
        <v>9893</v>
      </c>
      <c r="F756" s="1010">
        <v>27378</v>
      </c>
      <c r="G756" s="969">
        <v>19708</v>
      </c>
      <c r="H756" s="969"/>
      <c r="I756" s="970">
        <v>1135</v>
      </c>
      <c r="J756" s="971">
        <v>4785</v>
      </c>
      <c r="K756" s="970">
        <v>2815</v>
      </c>
      <c r="L756" s="969">
        <v>8231</v>
      </c>
      <c r="M756" s="969"/>
      <c r="N756" s="970">
        <v>558</v>
      </c>
      <c r="O756" s="970">
        <v>0</v>
      </c>
      <c r="P756" s="970">
        <v>0</v>
      </c>
      <c r="Q756" s="969">
        <v>0</v>
      </c>
      <c r="R756" s="969"/>
      <c r="S756" s="970">
        <v>6641</v>
      </c>
      <c r="T756" s="972">
        <v>3295</v>
      </c>
      <c r="U756" s="972">
        <f>9937-1</f>
        <v>9936</v>
      </c>
    </row>
    <row r="757" spans="1:21" x14ac:dyDescent="0.25">
      <c r="A757" s="966">
        <v>98161</v>
      </c>
      <c r="B757" s="967" t="s">
        <v>3371</v>
      </c>
      <c r="C757" s="968">
        <v>7.3000000000000004E-6</v>
      </c>
      <c r="D757" s="968">
        <v>7.4000000000000003E-6</v>
      </c>
      <c r="E757" s="1007">
        <v>5046</v>
      </c>
      <c r="F757" s="1010">
        <v>15705</v>
      </c>
      <c r="G757" s="969">
        <v>11152</v>
      </c>
      <c r="H757" s="969"/>
      <c r="I757" s="970">
        <v>642</v>
      </c>
      <c r="J757" s="971">
        <v>2708</v>
      </c>
      <c r="K757" s="970">
        <v>1593</v>
      </c>
      <c r="L757" s="969">
        <v>2689</v>
      </c>
      <c r="M757" s="969"/>
      <c r="N757" s="970">
        <v>316</v>
      </c>
      <c r="O757" s="970">
        <v>0</v>
      </c>
      <c r="P757" s="970">
        <v>0</v>
      </c>
      <c r="Q757" s="969">
        <v>0</v>
      </c>
      <c r="R757" s="969"/>
      <c r="S757" s="970">
        <v>3758</v>
      </c>
      <c r="T757" s="972">
        <v>1075</v>
      </c>
      <c r="U757" s="972">
        <v>4833</v>
      </c>
    </row>
    <row r="758" spans="1:21" x14ac:dyDescent="0.25">
      <c r="A758" s="966">
        <v>98201</v>
      </c>
      <c r="B758" s="967" t="s">
        <v>3372</v>
      </c>
      <c r="C758" s="968">
        <v>3.1664000000000002E-3</v>
      </c>
      <c r="D758" s="968">
        <v>3.0368999999999999E-3</v>
      </c>
      <c r="E758" s="1007">
        <v>1424604</v>
      </c>
      <c r="F758" s="1010">
        <v>6445319</v>
      </c>
      <c r="G758" s="969">
        <v>4837382</v>
      </c>
      <c r="H758" s="969"/>
      <c r="I758" s="970">
        <v>278678</v>
      </c>
      <c r="J758" s="971">
        <v>1174522</v>
      </c>
      <c r="K758" s="970">
        <v>690845</v>
      </c>
      <c r="L758" s="969">
        <v>63594</v>
      </c>
      <c r="M758" s="969"/>
      <c r="N758" s="970">
        <v>136931</v>
      </c>
      <c r="O758" s="970">
        <v>0</v>
      </c>
      <c r="P758" s="970">
        <v>0</v>
      </c>
      <c r="Q758" s="969">
        <v>39608</v>
      </c>
      <c r="R758" s="969"/>
      <c r="S758" s="970">
        <v>1630202</v>
      </c>
      <c r="T758" s="972">
        <v>-5370</v>
      </c>
      <c r="U758" s="972">
        <v>1624832</v>
      </c>
    </row>
    <row r="759" spans="1:21" x14ac:dyDescent="0.25">
      <c r="A759" s="966">
        <v>98205</v>
      </c>
      <c r="B759" s="967" t="s">
        <v>3373</v>
      </c>
      <c r="C759" s="968">
        <v>4.6799999999999999E-5</v>
      </c>
      <c r="D759" s="968">
        <v>5.13E-5</v>
      </c>
      <c r="E759" s="1007">
        <v>23505</v>
      </c>
      <c r="F759" s="1010">
        <v>108876</v>
      </c>
      <c r="G759" s="969">
        <v>71497</v>
      </c>
      <c r="H759" s="969"/>
      <c r="I759" s="970">
        <v>4119</v>
      </c>
      <c r="J759" s="971">
        <v>17359</v>
      </c>
      <c r="K759" s="970">
        <v>10211</v>
      </c>
      <c r="L759" s="969">
        <v>1985</v>
      </c>
      <c r="M759" s="969"/>
      <c r="N759" s="970">
        <v>2024</v>
      </c>
      <c r="O759" s="970">
        <v>0</v>
      </c>
      <c r="P759" s="970">
        <v>0</v>
      </c>
      <c r="Q759" s="969">
        <v>2510</v>
      </c>
      <c r="R759" s="969"/>
      <c r="S759" s="970">
        <v>24095</v>
      </c>
      <c r="T759" s="972">
        <v>-141</v>
      </c>
      <c r="U759" s="972">
        <f>23953+1</f>
        <v>23954</v>
      </c>
    </row>
    <row r="760" spans="1:21" x14ac:dyDescent="0.25">
      <c r="A760" s="966">
        <v>98211</v>
      </c>
      <c r="B760" s="967" t="s">
        <v>3374</v>
      </c>
      <c r="C760" s="968">
        <v>8.6689999999999998E-4</v>
      </c>
      <c r="D760" s="968">
        <v>9.1609999999999999E-4</v>
      </c>
      <c r="E760" s="1007">
        <v>365218</v>
      </c>
      <c r="F760" s="1010">
        <v>1944271</v>
      </c>
      <c r="G760" s="969">
        <v>1324383</v>
      </c>
      <c r="H760" s="969"/>
      <c r="I760" s="970">
        <v>76297</v>
      </c>
      <c r="J760" s="971">
        <v>321561</v>
      </c>
      <c r="K760" s="970">
        <v>189140</v>
      </c>
      <c r="L760" s="969">
        <v>0</v>
      </c>
      <c r="M760" s="969"/>
      <c r="N760" s="970">
        <v>37489</v>
      </c>
      <c r="O760" s="970">
        <v>0</v>
      </c>
      <c r="P760" s="970">
        <v>0</v>
      </c>
      <c r="Q760" s="969">
        <v>136830</v>
      </c>
      <c r="R760" s="969"/>
      <c r="S760" s="970">
        <v>446318</v>
      </c>
      <c r="T760" s="972">
        <v>-50136</v>
      </c>
      <c r="U760" s="972">
        <v>396182</v>
      </c>
    </row>
    <row r="761" spans="1:21" x14ac:dyDescent="0.25">
      <c r="A761" s="966">
        <v>98218</v>
      </c>
      <c r="B761" s="967" t="s">
        <v>3375</v>
      </c>
      <c r="C761" s="968">
        <v>1.3200000000000001E-5</v>
      </c>
      <c r="D761" s="968">
        <v>1.0200000000000001E-5</v>
      </c>
      <c r="E761" s="1007">
        <v>5829</v>
      </c>
      <c r="F761" s="1010">
        <v>21648</v>
      </c>
      <c r="G761" s="969">
        <v>20166</v>
      </c>
      <c r="H761" s="969"/>
      <c r="I761" s="970">
        <v>1162</v>
      </c>
      <c r="J761" s="971">
        <v>4896</v>
      </c>
      <c r="K761" s="970">
        <v>2880</v>
      </c>
      <c r="L761" s="969">
        <v>1827</v>
      </c>
      <c r="M761" s="969"/>
      <c r="N761" s="970">
        <v>571</v>
      </c>
      <c r="O761" s="970">
        <v>0</v>
      </c>
      <c r="P761" s="970">
        <v>0</v>
      </c>
      <c r="Q761" s="969">
        <v>1072</v>
      </c>
      <c r="R761" s="969"/>
      <c r="S761" s="970">
        <v>6796</v>
      </c>
      <c r="T761" s="972">
        <v>-336</v>
      </c>
      <c r="U761" s="972">
        <v>6460</v>
      </c>
    </row>
    <row r="762" spans="1:21" x14ac:dyDescent="0.25">
      <c r="A762" s="966">
        <v>98221</v>
      </c>
      <c r="B762" s="967" t="s">
        <v>3376</v>
      </c>
      <c r="C762" s="968">
        <v>1.8899999999999999E-5</v>
      </c>
      <c r="D762" s="968">
        <v>1.6799999999999998E-5</v>
      </c>
      <c r="E762" s="1007">
        <v>9739</v>
      </c>
      <c r="F762" s="1010">
        <v>35655</v>
      </c>
      <c r="G762" s="969">
        <v>28874</v>
      </c>
      <c r="H762" s="969"/>
      <c r="I762" s="970">
        <v>1663</v>
      </c>
      <c r="J762" s="971">
        <v>7011</v>
      </c>
      <c r="K762" s="970">
        <v>4124</v>
      </c>
      <c r="L762" s="969">
        <v>4593</v>
      </c>
      <c r="M762" s="969"/>
      <c r="N762" s="970">
        <v>817</v>
      </c>
      <c r="O762" s="970">
        <v>0</v>
      </c>
      <c r="P762" s="970">
        <v>0</v>
      </c>
      <c r="Q762" s="969">
        <v>0</v>
      </c>
      <c r="R762" s="969"/>
      <c r="S762" s="970">
        <v>9731</v>
      </c>
      <c r="T762" s="972">
        <v>1469</v>
      </c>
      <c r="U762" s="972">
        <v>11200</v>
      </c>
    </row>
    <row r="763" spans="1:21" x14ac:dyDescent="0.25">
      <c r="A763" s="966">
        <v>98231</v>
      </c>
      <c r="B763" s="967" t="s">
        <v>3377</v>
      </c>
      <c r="C763" s="968">
        <v>2.2799999999999999E-5</v>
      </c>
      <c r="D763" s="968">
        <v>3.1999999999999999E-5</v>
      </c>
      <c r="E763" s="1007">
        <v>11487</v>
      </c>
      <c r="F763" s="1010">
        <v>67915</v>
      </c>
      <c r="G763" s="969">
        <v>34832</v>
      </c>
      <c r="H763" s="969"/>
      <c r="I763" s="970">
        <v>2007</v>
      </c>
      <c r="J763" s="971">
        <v>8457</v>
      </c>
      <c r="K763" s="970">
        <v>4975</v>
      </c>
      <c r="L763" s="969">
        <v>1705</v>
      </c>
      <c r="M763" s="969"/>
      <c r="N763" s="970">
        <v>986</v>
      </c>
      <c r="O763" s="970">
        <v>0</v>
      </c>
      <c r="P763" s="970">
        <v>0</v>
      </c>
      <c r="Q763" s="969">
        <v>9632</v>
      </c>
      <c r="R763" s="969"/>
      <c r="S763" s="970">
        <v>11738</v>
      </c>
      <c r="T763" s="972">
        <v>-3592</v>
      </c>
      <c r="U763" s="972">
        <v>8146</v>
      </c>
    </row>
    <row r="764" spans="1:21" x14ac:dyDescent="0.25">
      <c r="A764" s="966">
        <v>98237</v>
      </c>
      <c r="B764" s="967" t="s">
        <v>3378</v>
      </c>
      <c r="C764" s="968">
        <v>5.9000000000000003E-6</v>
      </c>
      <c r="D764" s="968">
        <v>2.7E-6</v>
      </c>
      <c r="E764" s="1007">
        <v>4385</v>
      </c>
      <c r="F764" s="1010">
        <v>5730</v>
      </c>
      <c r="G764" s="969">
        <v>9014</v>
      </c>
      <c r="H764" s="969"/>
      <c r="I764" s="970">
        <v>519</v>
      </c>
      <c r="J764" s="971">
        <v>2188</v>
      </c>
      <c r="K764" s="970">
        <v>1287</v>
      </c>
      <c r="L764" s="969">
        <v>5034</v>
      </c>
      <c r="M764" s="969"/>
      <c r="N764" s="970">
        <v>255</v>
      </c>
      <c r="O764" s="970">
        <v>0</v>
      </c>
      <c r="P764" s="970">
        <v>0</v>
      </c>
      <c r="Q764" s="969">
        <v>0</v>
      </c>
      <c r="R764" s="969"/>
      <c r="S764" s="970">
        <v>3038</v>
      </c>
      <c r="T764" s="972">
        <v>1666</v>
      </c>
      <c r="U764" s="972">
        <v>4704</v>
      </c>
    </row>
    <row r="765" spans="1:21" x14ac:dyDescent="0.25">
      <c r="A765" s="966">
        <v>98241</v>
      </c>
      <c r="B765" s="967" t="s">
        <v>3379</v>
      </c>
      <c r="C765" s="968">
        <v>1.5099999999999999E-5</v>
      </c>
      <c r="D765" s="968">
        <v>1.98E-5</v>
      </c>
      <c r="E765" s="1007">
        <v>8388</v>
      </c>
      <c r="F765" s="1010">
        <v>42022</v>
      </c>
      <c r="G765" s="969">
        <v>23069</v>
      </c>
      <c r="H765" s="969"/>
      <c r="I765" s="970">
        <v>1329</v>
      </c>
      <c r="J765" s="971">
        <v>5602</v>
      </c>
      <c r="K765" s="970">
        <v>3295</v>
      </c>
      <c r="L765" s="969">
        <v>5512</v>
      </c>
      <c r="M765" s="969"/>
      <c r="N765" s="970">
        <v>653</v>
      </c>
      <c r="O765" s="970">
        <v>0</v>
      </c>
      <c r="P765" s="970">
        <v>0</v>
      </c>
      <c r="Q765" s="969">
        <v>2200</v>
      </c>
      <c r="R765" s="969"/>
      <c r="S765" s="970">
        <v>7774</v>
      </c>
      <c r="T765" s="972">
        <v>2564</v>
      </c>
      <c r="U765" s="972">
        <f>10339-1</f>
        <v>10338</v>
      </c>
    </row>
    <row r="766" spans="1:21" x14ac:dyDescent="0.25">
      <c r="A766" s="966">
        <v>98251</v>
      </c>
      <c r="B766" s="967" t="s">
        <v>3380</v>
      </c>
      <c r="C766" s="968">
        <v>3.0000000000000001E-6</v>
      </c>
      <c r="D766" s="968">
        <v>3.1E-6</v>
      </c>
      <c r="E766" s="1007">
        <v>2206</v>
      </c>
      <c r="F766" s="1010">
        <v>6579</v>
      </c>
      <c r="G766" s="969">
        <v>4583</v>
      </c>
      <c r="H766" s="969"/>
      <c r="I766" s="970">
        <v>264</v>
      </c>
      <c r="J766" s="971">
        <v>1113</v>
      </c>
      <c r="K766" s="970">
        <v>655</v>
      </c>
      <c r="L766" s="969">
        <v>1375</v>
      </c>
      <c r="M766" s="969"/>
      <c r="N766" s="970">
        <v>130</v>
      </c>
      <c r="O766" s="970">
        <v>0</v>
      </c>
      <c r="P766" s="970">
        <v>0</v>
      </c>
      <c r="Q766" s="969">
        <v>0</v>
      </c>
      <c r="R766" s="969"/>
      <c r="S766" s="970">
        <v>1545</v>
      </c>
      <c r="T766" s="972">
        <v>561</v>
      </c>
      <c r="U766" s="972">
        <v>2106</v>
      </c>
    </row>
    <row r="767" spans="1:21" x14ac:dyDescent="0.25">
      <c r="A767" s="966">
        <v>98261</v>
      </c>
      <c r="B767" s="967" t="s">
        <v>3381</v>
      </c>
      <c r="C767" s="968">
        <v>3.3200000000000001E-5</v>
      </c>
      <c r="D767" s="968">
        <v>2.97E-5</v>
      </c>
      <c r="E767" s="1007">
        <v>16865</v>
      </c>
      <c r="F767" s="1010">
        <v>63033</v>
      </c>
      <c r="G767" s="969">
        <v>50720</v>
      </c>
      <c r="H767" s="969"/>
      <c r="I767" s="970">
        <v>2922</v>
      </c>
      <c r="J767" s="971">
        <v>12315</v>
      </c>
      <c r="K767" s="970">
        <v>7244</v>
      </c>
      <c r="L767" s="969">
        <v>6546</v>
      </c>
      <c r="M767" s="969"/>
      <c r="N767" s="970">
        <v>1436</v>
      </c>
      <c r="O767" s="970">
        <v>0</v>
      </c>
      <c r="P767" s="970">
        <v>0</v>
      </c>
      <c r="Q767" s="969">
        <v>4922</v>
      </c>
      <c r="R767" s="969"/>
      <c r="S767" s="970">
        <v>17093</v>
      </c>
      <c r="T767" s="972">
        <v>793</v>
      </c>
      <c r="U767" s="972">
        <v>17886</v>
      </c>
    </row>
    <row r="768" spans="1:21" x14ac:dyDescent="0.25">
      <c r="A768" s="966">
        <v>98271</v>
      </c>
      <c r="B768" s="967" t="s">
        <v>3382</v>
      </c>
      <c r="C768" s="968">
        <v>5.1000000000000003E-6</v>
      </c>
      <c r="D768" s="968">
        <v>4.5000000000000001E-6</v>
      </c>
      <c r="E768" s="1007">
        <v>2676</v>
      </c>
      <c r="F768" s="1010">
        <v>9551</v>
      </c>
      <c r="G768" s="969">
        <v>7791</v>
      </c>
      <c r="H768" s="969"/>
      <c r="I768" s="970">
        <v>449</v>
      </c>
      <c r="J768" s="971">
        <v>1891</v>
      </c>
      <c r="K768" s="970">
        <v>1113</v>
      </c>
      <c r="L768" s="969">
        <v>3229</v>
      </c>
      <c r="M768" s="969"/>
      <c r="N768" s="970">
        <v>221</v>
      </c>
      <c r="O768" s="970">
        <v>0</v>
      </c>
      <c r="P768" s="970">
        <v>0</v>
      </c>
      <c r="Q768" s="969">
        <v>0</v>
      </c>
      <c r="R768" s="969"/>
      <c r="S768" s="970">
        <v>2626</v>
      </c>
      <c r="T768" s="972">
        <v>1560</v>
      </c>
      <c r="U768" s="972">
        <f>4185+1</f>
        <v>4186</v>
      </c>
    </row>
    <row r="769" spans="1:21" x14ac:dyDescent="0.25">
      <c r="A769" s="966">
        <v>98301</v>
      </c>
      <c r="B769" s="967" t="s">
        <v>3383</v>
      </c>
      <c r="C769" s="968">
        <v>1.7542E-3</v>
      </c>
      <c r="D769" s="968">
        <v>1.7776999999999999E-3</v>
      </c>
      <c r="E769" s="1007">
        <v>825878</v>
      </c>
      <c r="F769" s="1010">
        <v>3772875</v>
      </c>
      <c r="G769" s="969">
        <v>2679932</v>
      </c>
      <c r="H769" s="969"/>
      <c r="I769" s="970">
        <v>154389</v>
      </c>
      <c r="J769" s="971">
        <v>650690</v>
      </c>
      <c r="K769" s="970">
        <v>382731</v>
      </c>
      <c r="L769" s="969">
        <v>51704</v>
      </c>
      <c r="M769" s="969"/>
      <c r="N769" s="970">
        <v>75860</v>
      </c>
      <c r="O769" s="970">
        <v>0</v>
      </c>
      <c r="P769" s="970">
        <v>0</v>
      </c>
      <c r="Q769" s="969">
        <v>7816</v>
      </c>
      <c r="R769" s="969"/>
      <c r="S769" s="970">
        <v>903139</v>
      </c>
      <c r="T769" s="972">
        <v>17344</v>
      </c>
      <c r="U769" s="972">
        <v>920483</v>
      </c>
    </row>
    <row r="770" spans="1:21" x14ac:dyDescent="0.25">
      <c r="A770" s="966">
        <v>98304</v>
      </c>
      <c r="B770" s="967" t="s">
        <v>3384</v>
      </c>
      <c r="C770" s="968">
        <v>2.0999999999999999E-5</v>
      </c>
      <c r="D770" s="968">
        <v>2.2900000000000001E-5</v>
      </c>
      <c r="E770" s="1007">
        <v>12751</v>
      </c>
      <c r="F770" s="1010">
        <v>48601</v>
      </c>
      <c r="G770" s="969">
        <v>32082</v>
      </c>
      <c r="H770" s="969"/>
      <c r="I770" s="970">
        <v>1848</v>
      </c>
      <c r="J770" s="971">
        <v>7790</v>
      </c>
      <c r="K770" s="970">
        <v>4582</v>
      </c>
      <c r="L770" s="969">
        <v>2290</v>
      </c>
      <c r="M770" s="969"/>
      <c r="N770" s="970">
        <v>908</v>
      </c>
      <c r="O770" s="970">
        <v>0</v>
      </c>
      <c r="P770" s="970">
        <v>0</v>
      </c>
      <c r="Q770" s="969">
        <v>0</v>
      </c>
      <c r="R770" s="969"/>
      <c r="S770" s="970">
        <v>10812</v>
      </c>
      <c r="T770" s="972">
        <v>818</v>
      </c>
      <c r="U770" s="972">
        <f>11629+1</f>
        <v>11630</v>
      </c>
    </row>
    <row r="771" spans="1:21" x14ac:dyDescent="0.25">
      <c r="A771" s="966">
        <v>98308</v>
      </c>
      <c r="B771" s="967" t="s">
        <v>3385</v>
      </c>
      <c r="C771" s="968">
        <v>2.37E-5</v>
      </c>
      <c r="D771" s="968">
        <v>2.55E-5</v>
      </c>
      <c r="E771" s="1007">
        <v>15363</v>
      </c>
      <c r="F771" s="1010">
        <v>54120</v>
      </c>
      <c r="G771" s="969">
        <v>36207</v>
      </c>
      <c r="H771" s="969"/>
      <c r="I771" s="970">
        <v>2086</v>
      </c>
      <c r="J771" s="971">
        <v>8791</v>
      </c>
      <c r="K771" s="970">
        <v>5171</v>
      </c>
      <c r="L771" s="969">
        <v>7272</v>
      </c>
      <c r="M771" s="969"/>
      <c r="N771" s="970">
        <v>1025</v>
      </c>
      <c r="O771" s="970">
        <v>0</v>
      </c>
      <c r="P771" s="970">
        <v>0</v>
      </c>
      <c r="Q771" s="969">
        <v>0</v>
      </c>
      <c r="R771" s="969"/>
      <c r="S771" s="970">
        <v>12202</v>
      </c>
      <c r="T771" s="972">
        <v>3390</v>
      </c>
      <c r="U771" s="972">
        <v>15592</v>
      </c>
    </row>
    <row r="772" spans="1:21" x14ac:dyDescent="0.25">
      <c r="A772" s="966">
        <v>98311</v>
      </c>
      <c r="B772" s="967" t="s">
        <v>3386</v>
      </c>
      <c r="C772" s="968">
        <v>1.1536000000000001E-3</v>
      </c>
      <c r="D772" s="968">
        <v>1.1441999999999999E-3</v>
      </c>
      <c r="E772" s="1007">
        <v>462217</v>
      </c>
      <c r="F772" s="1010">
        <v>2428376</v>
      </c>
      <c r="G772" s="969">
        <v>1762381</v>
      </c>
      <c r="H772" s="969"/>
      <c r="I772" s="970">
        <v>101529</v>
      </c>
      <c r="J772" s="971">
        <v>427908</v>
      </c>
      <c r="K772" s="970">
        <v>251692</v>
      </c>
      <c r="L772" s="969">
        <v>12653</v>
      </c>
      <c r="M772" s="969"/>
      <c r="N772" s="970">
        <v>49887</v>
      </c>
      <c r="O772" s="970">
        <v>0</v>
      </c>
      <c r="P772" s="970">
        <v>0</v>
      </c>
      <c r="Q772" s="969">
        <v>98661</v>
      </c>
      <c r="R772" s="969"/>
      <c r="S772" s="970">
        <v>593924</v>
      </c>
      <c r="T772" s="972">
        <v>-18424</v>
      </c>
      <c r="U772" s="972">
        <f>575501-1</f>
        <v>575500</v>
      </c>
    </row>
    <row r="773" spans="1:21" x14ac:dyDescent="0.25">
      <c r="A773" s="966">
        <v>98313</v>
      </c>
      <c r="B773" s="967" t="s">
        <v>3387</v>
      </c>
      <c r="C773" s="968">
        <v>2.3560000000000001E-4</v>
      </c>
      <c r="D773" s="968">
        <v>2.4240000000000001E-4</v>
      </c>
      <c r="E773" s="1007">
        <v>259158</v>
      </c>
      <c r="F773" s="1010">
        <v>514454</v>
      </c>
      <c r="G773" s="969">
        <v>359932</v>
      </c>
      <c r="H773" s="969"/>
      <c r="I773" s="970">
        <v>20735</v>
      </c>
      <c r="J773" s="971">
        <v>87392</v>
      </c>
      <c r="K773" s="970">
        <v>51403</v>
      </c>
      <c r="L773" s="969">
        <v>233571</v>
      </c>
      <c r="M773" s="969"/>
      <c r="N773" s="970">
        <v>10189</v>
      </c>
      <c r="O773" s="970">
        <v>0</v>
      </c>
      <c r="P773" s="970">
        <v>0</v>
      </c>
      <c r="Q773" s="969">
        <v>59</v>
      </c>
      <c r="R773" s="969"/>
      <c r="S773" s="970">
        <v>121297</v>
      </c>
      <c r="T773" s="972">
        <v>77966</v>
      </c>
      <c r="U773" s="972">
        <v>199263</v>
      </c>
    </row>
    <row r="774" spans="1:21" x14ac:dyDescent="0.25">
      <c r="A774" s="966">
        <v>98321</v>
      </c>
      <c r="B774" s="967" t="s">
        <v>3388</v>
      </c>
      <c r="C774" s="968">
        <v>2.05E-5</v>
      </c>
      <c r="D774" s="968">
        <v>2.1399999999999998E-5</v>
      </c>
      <c r="E774" s="1007">
        <v>10270</v>
      </c>
      <c r="F774" s="1010">
        <v>45418</v>
      </c>
      <c r="G774" s="969">
        <v>31318</v>
      </c>
      <c r="H774" s="969"/>
      <c r="I774" s="970">
        <v>1804</v>
      </c>
      <c r="J774" s="971">
        <v>7604</v>
      </c>
      <c r="K774" s="970">
        <v>4473</v>
      </c>
      <c r="L774" s="969">
        <v>1639</v>
      </c>
      <c r="M774" s="969"/>
      <c r="N774" s="970">
        <v>887</v>
      </c>
      <c r="O774" s="970">
        <v>0</v>
      </c>
      <c r="P774" s="970">
        <v>0</v>
      </c>
      <c r="Q774" s="969">
        <v>3066</v>
      </c>
      <c r="R774" s="969"/>
      <c r="S774" s="970">
        <v>10554</v>
      </c>
      <c r="T774" s="972">
        <v>472</v>
      </c>
      <c r="U774" s="972">
        <v>11026</v>
      </c>
    </row>
    <row r="775" spans="1:21" x14ac:dyDescent="0.25">
      <c r="A775" s="966">
        <v>98331</v>
      </c>
      <c r="B775" s="967" t="s">
        <v>3389</v>
      </c>
      <c r="C775" s="968">
        <v>9.7999999999999993E-6</v>
      </c>
      <c r="D775" s="968">
        <v>1.03E-5</v>
      </c>
      <c r="E775" s="1007">
        <v>6281</v>
      </c>
      <c r="F775" s="1010">
        <v>21860</v>
      </c>
      <c r="G775" s="969">
        <v>14972</v>
      </c>
      <c r="H775" s="969"/>
      <c r="I775" s="970">
        <v>863</v>
      </c>
      <c r="J775" s="971">
        <v>3635</v>
      </c>
      <c r="K775" s="970">
        <v>2138</v>
      </c>
      <c r="L775" s="969">
        <v>3035</v>
      </c>
      <c r="M775" s="969"/>
      <c r="N775" s="970">
        <v>424</v>
      </c>
      <c r="O775" s="970">
        <v>0</v>
      </c>
      <c r="P775" s="970">
        <v>0</v>
      </c>
      <c r="Q775" s="969">
        <v>132</v>
      </c>
      <c r="R775" s="969"/>
      <c r="S775" s="970">
        <v>5045</v>
      </c>
      <c r="T775" s="972">
        <v>972</v>
      </c>
      <c r="U775" s="972">
        <f>6018-1</f>
        <v>6017</v>
      </c>
    </row>
    <row r="776" spans="1:21" x14ac:dyDescent="0.25">
      <c r="A776" s="966">
        <v>98401</v>
      </c>
      <c r="B776" s="967" t="s">
        <v>3390</v>
      </c>
      <c r="C776" s="968">
        <v>2.7655000000000002E-3</v>
      </c>
      <c r="D776" s="968">
        <v>2.7567999999999998E-3</v>
      </c>
      <c r="E776" s="1007">
        <v>1399311</v>
      </c>
      <c r="F776" s="1010">
        <v>5850853</v>
      </c>
      <c r="G776" s="969">
        <v>4224918</v>
      </c>
      <c r="H776" s="969"/>
      <c r="I776" s="970">
        <v>243394</v>
      </c>
      <c r="J776" s="971">
        <v>1025815</v>
      </c>
      <c r="K776" s="970">
        <v>603377</v>
      </c>
      <c r="L776" s="969">
        <v>168129</v>
      </c>
      <c r="M776" s="969"/>
      <c r="N776" s="970">
        <v>119594</v>
      </c>
      <c r="O776" s="970">
        <v>0</v>
      </c>
      <c r="P776" s="970">
        <v>0</v>
      </c>
      <c r="Q776" s="969">
        <v>6292</v>
      </c>
      <c r="R776" s="969"/>
      <c r="S776" s="970">
        <v>1423801</v>
      </c>
      <c r="T776" s="972">
        <v>58759</v>
      </c>
      <c r="U776" s="972">
        <v>1482560</v>
      </c>
    </row>
    <row r="777" spans="1:21" x14ac:dyDescent="0.25">
      <c r="A777" s="966">
        <v>98404</v>
      </c>
      <c r="B777" s="967" t="s">
        <v>3677</v>
      </c>
      <c r="C777" s="968">
        <v>1.52E-5</v>
      </c>
      <c r="D777" s="968">
        <v>0</v>
      </c>
      <c r="E777" s="1007">
        <v>5852</v>
      </c>
      <c r="F777" s="1010">
        <v>0</v>
      </c>
      <c r="G777" s="969">
        <v>23221</v>
      </c>
      <c r="H777" s="969"/>
      <c r="I777" s="970">
        <v>1338</v>
      </c>
      <c r="J777" s="971">
        <v>5638</v>
      </c>
      <c r="K777" s="970">
        <v>3316</v>
      </c>
      <c r="L777" s="969">
        <v>9290</v>
      </c>
      <c r="M777" s="969"/>
      <c r="N777" s="970">
        <v>657</v>
      </c>
      <c r="O777" s="970">
        <v>0</v>
      </c>
      <c r="P777" s="970">
        <v>0</v>
      </c>
      <c r="Q777" s="969">
        <v>0</v>
      </c>
      <c r="R777" s="969"/>
      <c r="S777" s="970">
        <v>7826</v>
      </c>
      <c r="T777" s="972">
        <v>2323</v>
      </c>
      <c r="U777" s="972">
        <f>10148+1</f>
        <v>10149</v>
      </c>
    </row>
    <row r="778" spans="1:21" x14ac:dyDescent="0.25">
      <c r="A778" s="966">
        <v>98411</v>
      </c>
      <c r="B778" s="967" t="s">
        <v>3391</v>
      </c>
      <c r="C778" s="968">
        <v>1.9816E-3</v>
      </c>
      <c r="D778" s="968">
        <v>2.0076999999999998E-3</v>
      </c>
      <c r="E778" s="1007">
        <v>869964</v>
      </c>
      <c r="F778" s="1010">
        <v>4261012</v>
      </c>
      <c r="G778" s="969">
        <v>3027336</v>
      </c>
      <c r="H778" s="969"/>
      <c r="I778" s="970">
        <v>174403</v>
      </c>
      <c r="J778" s="971">
        <v>735040</v>
      </c>
      <c r="K778" s="970">
        <v>432345</v>
      </c>
      <c r="L778" s="969">
        <v>3986</v>
      </c>
      <c r="M778" s="969"/>
      <c r="N778" s="970">
        <v>85694</v>
      </c>
      <c r="O778" s="970">
        <v>0</v>
      </c>
      <c r="P778" s="970">
        <v>0</v>
      </c>
      <c r="Q778" s="969">
        <v>73699</v>
      </c>
      <c r="R778" s="969"/>
      <c r="S778" s="970">
        <v>1020215</v>
      </c>
      <c r="T778" s="972">
        <v>-19116</v>
      </c>
      <c r="U778" s="972">
        <v>1001099</v>
      </c>
    </row>
    <row r="779" spans="1:21" x14ac:dyDescent="0.25">
      <c r="A779" s="966">
        <v>98414</v>
      </c>
      <c r="B779" s="967" t="s">
        <v>2631</v>
      </c>
      <c r="C779" s="974">
        <f>0.00283%+0.00102%</f>
        <v>3.8500000000000001E-5</v>
      </c>
      <c r="D779" s="968">
        <v>4.3600000000000003E-5</v>
      </c>
      <c r="E779" s="1007">
        <v>7367</v>
      </c>
      <c r="F779" s="1010">
        <v>0</v>
      </c>
      <c r="G779" s="969">
        <f>43235+15583</f>
        <v>58818</v>
      </c>
      <c r="H779" s="969"/>
      <c r="I779" s="970">
        <f>2491+898</f>
        <v>3389</v>
      </c>
      <c r="J779" s="971">
        <v>14282</v>
      </c>
      <c r="K779" s="970">
        <f>6174+2225</f>
        <v>8399</v>
      </c>
      <c r="L779" s="969">
        <v>14474</v>
      </c>
      <c r="M779" s="969"/>
      <c r="N779" s="970">
        <f>1224+441</f>
        <v>1665</v>
      </c>
      <c r="O779" s="970">
        <v>0</v>
      </c>
      <c r="P779" s="970">
        <v>0</v>
      </c>
      <c r="Q779" s="969">
        <f>0+24505</f>
        <v>24505</v>
      </c>
      <c r="R779" s="969"/>
      <c r="S779" s="970">
        <f>14570+5251</f>
        <v>19821</v>
      </c>
      <c r="T779" s="972">
        <f>3619-7460</f>
        <v>-3841</v>
      </c>
      <c r="U779" s="972">
        <f>18189-2209</f>
        <v>15980</v>
      </c>
    </row>
    <row r="780" spans="1:21" x14ac:dyDescent="0.25">
      <c r="A780" s="966">
        <v>98417</v>
      </c>
      <c r="B780" s="967" t="s">
        <v>3392</v>
      </c>
      <c r="C780" s="968">
        <v>2.2900000000000001E-5</v>
      </c>
      <c r="D780" s="968">
        <v>2.4899999999999999E-5</v>
      </c>
      <c r="E780" s="1007">
        <v>14126</v>
      </c>
      <c r="F780" s="1010">
        <v>0</v>
      </c>
      <c r="G780" s="969">
        <v>34985</v>
      </c>
      <c r="H780" s="969"/>
      <c r="I780" s="970">
        <v>2015</v>
      </c>
      <c r="J780" s="971">
        <v>8494</v>
      </c>
      <c r="K780" s="970">
        <v>4996</v>
      </c>
      <c r="L780" s="969">
        <v>2511</v>
      </c>
      <c r="M780" s="969"/>
      <c r="N780" s="970">
        <v>990</v>
      </c>
      <c r="O780" s="970">
        <v>0</v>
      </c>
      <c r="P780" s="970">
        <v>0</v>
      </c>
      <c r="Q780" s="969">
        <v>424</v>
      </c>
      <c r="R780" s="969"/>
      <c r="S780" s="970">
        <v>11790</v>
      </c>
      <c r="T780" s="972">
        <v>315</v>
      </c>
      <c r="U780" s="972">
        <v>12105</v>
      </c>
    </row>
    <row r="781" spans="1:21" x14ac:dyDescent="0.25">
      <c r="A781" s="966">
        <v>98421</v>
      </c>
      <c r="B781" s="967" t="s">
        <v>3393</v>
      </c>
      <c r="C781" s="968">
        <v>8.2700000000000004E-5</v>
      </c>
      <c r="D781" s="968">
        <v>1.0840000000000001E-4</v>
      </c>
      <c r="E781" s="1007">
        <v>44396</v>
      </c>
      <c r="F781" s="1010">
        <v>0</v>
      </c>
      <c r="G781" s="969">
        <v>126343</v>
      </c>
      <c r="H781" s="969"/>
      <c r="I781" s="970">
        <v>7279</v>
      </c>
      <c r="J781" s="971">
        <v>30676</v>
      </c>
      <c r="K781" s="970">
        <v>18043</v>
      </c>
      <c r="L781" s="969">
        <v>5132</v>
      </c>
      <c r="M781" s="969"/>
      <c r="N781" s="970">
        <v>3576</v>
      </c>
      <c r="O781" s="970">
        <v>0</v>
      </c>
      <c r="P781" s="970">
        <v>0</v>
      </c>
      <c r="Q781" s="969">
        <v>12725</v>
      </c>
      <c r="R781" s="969"/>
      <c r="S781" s="970">
        <v>42578</v>
      </c>
      <c r="T781" s="972">
        <v>-911</v>
      </c>
      <c r="U781" s="972">
        <v>41667</v>
      </c>
    </row>
    <row r="782" spans="1:21" x14ac:dyDescent="0.25">
      <c r="A782" s="966">
        <v>98427</v>
      </c>
      <c r="B782" s="967" t="s">
        <v>3394</v>
      </c>
      <c r="C782" s="968">
        <v>3.9999999999999998E-6</v>
      </c>
      <c r="D782" s="968">
        <v>4.6E-6</v>
      </c>
      <c r="E782" s="1007">
        <v>3231</v>
      </c>
      <c r="F782" s="1010">
        <v>0</v>
      </c>
      <c r="G782" s="969">
        <v>6111</v>
      </c>
      <c r="H782" s="969"/>
      <c r="I782" s="970">
        <v>352</v>
      </c>
      <c r="J782" s="971">
        <v>1484</v>
      </c>
      <c r="K782" s="970">
        <v>873</v>
      </c>
      <c r="L782" s="969">
        <v>1351</v>
      </c>
      <c r="M782" s="969"/>
      <c r="N782" s="970">
        <v>173</v>
      </c>
      <c r="O782" s="970">
        <v>0</v>
      </c>
      <c r="P782" s="970">
        <v>0</v>
      </c>
      <c r="Q782" s="969">
        <v>0</v>
      </c>
      <c r="R782" s="969"/>
      <c r="S782" s="970">
        <v>2059</v>
      </c>
      <c r="T782" s="972">
        <v>487</v>
      </c>
      <c r="U782" s="972">
        <f>2547-1</f>
        <v>2546</v>
      </c>
    </row>
    <row r="783" spans="1:21" x14ac:dyDescent="0.25">
      <c r="A783" s="966">
        <v>98431</v>
      </c>
      <c r="B783" s="967" t="s">
        <v>3395</v>
      </c>
      <c r="C783" s="968">
        <v>2.0589999999999999E-4</v>
      </c>
      <c r="D783" s="968">
        <v>2.0010000000000001E-4</v>
      </c>
      <c r="E783" s="1007">
        <v>78482</v>
      </c>
      <c r="F783" s="1010">
        <v>0</v>
      </c>
      <c r="G783" s="969">
        <v>314558</v>
      </c>
      <c r="H783" s="969"/>
      <c r="I783" s="970">
        <v>18121</v>
      </c>
      <c r="J783" s="971">
        <v>76375</v>
      </c>
      <c r="K783" s="970">
        <v>44923</v>
      </c>
      <c r="L783" s="969">
        <v>1246</v>
      </c>
      <c r="M783" s="969"/>
      <c r="N783" s="970">
        <v>8904</v>
      </c>
      <c r="O783" s="970">
        <v>0</v>
      </c>
      <c r="P783" s="970">
        <v>0</v>
      </c>
      <c r="Q783" s="969">
        <v>24844</v>
      </c>
      <c r="R783" s="969"/>
      <c r="S783" s="970">
        <v>106006</v>
      </c>
      <c r="T783" s="972">
        <v>-7635</v>
      </c>
      <c r="U783" s="972">
        <f>98372-1</f>
        <v>98371</v>
      </c>
    </row>
    <row r="784" spans="1:21" x14ac:dyDescent="0.25">
      <c r="A784" s="966">
        <v>98441</v>
      </c>
      <c r="B784" s="967" t="s">
        <v>3396</v>
      </c>
      <c r="C784" s="968">
        <v>8.2700000000000004E-5</v>
      </c>
      <c r="D784" s="968">
        <v>9.1000000000000003E-5</v>
      </c>
      <c r="E784" s="1007">
        <v>35572</v>
      </c>
      <c r="F784" s="1010">
        <v>0</v>
      </c>
      <c r="G784" s="969">
        <v>126343</v>
      </c>
      <c r="H784" s="969"/>
      <c r="I784" s="970">
        <v>7279</v>
      </c>
      <c r="J784" s="971">
        <v>30676</v>
      </c>
      <c r="K784" s="970">
        <v>18043</v>
      </c>
      <c r="L784" s="969">
        <v>570</v>
      </c>
      <c r="M784" s="969"/>
      <c r="N784" s="970">
        <v>3576</v>
      </c>
      <c r="O784" s="970">
        <v>0</v>
      </c>
      <c r="P784" s="970">
        <v>0</v>
      </c>
      <c r="Q784" s="969">
        <v>22406</v>
      </c>
      <c r="R784" s="969"/>
      <c r="S784" s="970">
        <v>42578</v>
      </c>
      <c r="T784" s="972">
        <v>-8026</v>
      </c>
      <c r="U784" s="972">
        <v>34552</v>
      </c>
    </row>
    <row r="785" spans="1:21" x14ac:dyDescent="0.25">
      <c r="A785" s="966">
        <v>98451</v>
      </c>
      <c r="B785" s="967" t="s">
        <v>3397</v>
      </c>
      <c r="C785" s="968">
        <v>5.7000000000000003E-5</v>
      </c>
      <c r="D785" s="968">
        <v>5.6199999999999997E-5</v>
      </c>
      <c r="E785" s="1007">
        <v>26132</v>
      </c>
      <c r="F785" s="1010">
        <v>0</v>
      </c>
      <c r="G785" s="969">
        <v>87080</v>
      </c>
      <c r="H785" s="969"/>
      <c r="I785" s="970">
        <v>5017</v>
      </c>
      <c r="J785" s="971">
        <v>21143</v>
      </c>
      <c r="K785" s="970">
        <v>12436</v>
      </c>
      <c r="L785" s="969">
        <v>508</v>
      </c>
      <c r="M785" s="969"/>
      <c r="N785" s="970">
        <v>2465</v>
      </c>
      <c r="O785" s="970">
        <v>0</v>
      </c>
      <c r="P785" s="970">
        <v>0</v>
      </c>
      <c r="Q785" s="969">
        <v>1478</v>
      </c>
      <c r="R785" s="969"/>
      <c r="S785" s="970">
        <v>29346</v>
      </c>
      <c r="T785" s="972">
        <v>-530</v>
      </c>
      <c r="U785" s="972">
        <v>28816</v>
      </c>
    </row>
    <row r="786" spans="1:21" x14ac:dyDescent="0.25">
      <c r="A786" s="966">
        <v>98481</v>
      </c>
      <c r="B786" s="967" t="s">
        <v>3398</v>
      </c>
      <c r="C786" s="968">
        <v>6.3899999999999995E-5</v>
      </c>
      <c r="D786" s="968">
        <v>6.7700000000000006E-5</v>
      </c>
      <c r="E786" s="1007">
        <v>27198</v>
      </c>
      <c r="F786" s="1010">
        <v>0</v>
      </c>
      <c r="G786" s="969">
        <v>97621</v>
      </c>
      <c r="H786" s="969"/>
      <c r="I786" s="970">
        <v>5624</v>
      </c>
      <c r="J786" s="971">
        <v>23703</v>
      </c>
      <c r="K786" s="970">
        <v>13942</v>
      </c>
      <c r="L786" s="969">
        <v>1545</v>
      </c>
      <c r="M786" s="969"/>
      <c r="N786" s="970">
        <v>2763</v>
      </c>
      <c r="O786" s="970">
        <v>0</v>
      </c>
      <c r="P786" s="970">
        <v>0</v>
      </c>
      <c r="Q786" s="969">
        <v>5772</v>
      </c>
      <c r="R786" s="969"/>
      <c r="S786" s="970">
        <v>32899</v>
      </c>
      <c r="T786" s="972">
        <v>-35</v>
      </c>
      <c r="U786" s="972">
        <f>32863+1</f>
        <v>32864</v>
      </c>
    </row>
    <row r="787" spans="1:21" x14ac:dyDescent="0.25">
      <c r="A787" s="966">
        <v>98501</v>
      </c>
      <c r="B787" s="967" t="s">
        <v>3399</v>
      </c>
      <c r="C787" s="968">
        <v>1.6022E-3</v>
      </c>
      <c r="D787" s="968">
        <v>1.5690999999999999E-3</v>
      </c>
      <c r="E787" s="1007">
        <v>760833</v>
      </c>
      <c r="F787" s="1010">
        <v>0</v>
      </c>
      <c r="G787" s="969">
        <v>2447718</v>
      </c>
      <c r="H787" s="969"/>
      <c r="I787" s="970">
        <v>141011</v>
      </c>
      <c r="J787" s="971">
        <v>594309</v>
      </c>
      <c r="K787" s="970">
        <v>349568</v>
      </c>
      <c r="L787" s="969">
        <v>75098</v>
      </c>
      <c r="M787" s="969"/>
      <c r="N787" s="970">
        <v>69287</v>
      </c>
      <c r="O787" s="970">
        <v>0</v>
      </c>
      <c r="P787" s="970">
        <v>0</v>
      </c>
      <c r="Q787" s="969">
        <v>2932</v>
      </c>
      <c r="R787" s="969"/>
      <c r="S787" s="970">
        <v>824883</v>
      </c>
      <c r="T787" s="972">
        <v>19182</v>
      </c>
      <c r="U787" s="972">
        <v>844065</v>
      </c>
    </row>
    <row r="788" spans="1:21" x14ac:dyDescent="0.25">
      <c r="A788" s="966">
        <v>98511</v>
      </c>
      <c r="B788" s="967" t="s">
        <v>3400</v>
      </c>
      <c r="C788" s="968">
        <v>4.8000000000000001E-5</v>
      </c>
      <c r="D788" s="968">
        <v>4.5800000000000002E-5</v>
      </c>
      <c r="E788" s="1007">
        <v>23435</v>
      </c>
      <c r="F788" s="1010">
        <v>0</v>
      </c>
      <c r="G788" s="969">
        <v>73331</v>
      </c>
      <c r="H788" s="969"/>
      <c r="I788" s="970">
        <v>4225</v>
      </c>
      <c r="J788" s="971">
        <v>17804</v>
      </c>
      <c r="K788" s="970">
        <v>10473</v>
      </c>
      <c r="L788" s="969">
        <v>5918</v>
      </c>
      <c r="M788" s="969"/>
      <c r="N788" s="970">
        <v>2076</v>
      </c>
      <c r="O788" s="970">
        <v>0</v>
      </c>
      <c r="P788" s="970">
        <v>0</v>
      </c>
      <c r="Q788" s="969">
        <v>11919</v>
      </c>
      <c r="R788" s="969"/>
      <c r="S788" s="970">
        <v>24713</v>
      </c>
      <c r="T788" s="972">
        <v>-9378</v>
      </c>
      <c r="U788" s="972">
        <f>15334+1</f>
        <v>15335</v>
      </c>
    </row>
    <row r="789" spans="1:21" x14ac:dyDescent="0.25">
      <c r="A789" s="966">
        <v>98517</v>
      </c>
      <c r="B789" s="967" t="s">
        <v>3401</v>
      </c>
      <c r="C789" s="968">
        <v>2.3E-6</v>
      </c>
      <c r="D789" s="968">
        <v>2.6000000000000001E-6</v>
      </c>
      <c r="E789" s="1007">
        <v>2484</v>
      </c>
      <c r="F789" s="1010">
        <v>0</v>
      </c>
      <c r="G789" s="969">
        <v>3514</v>
      </c>
      <c r="H789" s="969"/>
      <c r="I789" s="970">
        <v>202</v>
      </c>
      <c r="J789" s="971">
        <v>854</v>
      </c>
      <c r="K789" s="970">
        <v>502</v>
      </c>
      <c r="L789" s="969">
        <v>1623</v>
      </c>
      <c r="M789" s="969"/>
      <c r="N789" s="970">
        <v>99</v>
      </c>
      <c r="O789" s="970">
        <v>0</v>
      </c>
      <c r="P789" s="970">
        <v>0</v>
      </c>
      <c r="Q789" s="969">
        <v>0</v>
      </c>
      <c r="R789" s="969"/>
      <c r="S789" s="970">
        <v>1184</v>
      </c>
      <c r="T789" s="972">
        <v>589</v>
      </c>
      <c r="U789" s="972">
        <v>1773</v>
      </c>
    </row>
    <row r="790" spans="1:21" x14ac:dyDescent="0.25">
      <c r="A790" s="966">
        <v>98521</v>
      </c>
      <c r="B790" s="967" t="s">
        <v>3402</v>
      </c>
      <c r="C790" s="968">
        <v>6.6180000000000004E-4</v>
      </c>
      <c r="D790" s="968">
        <v>5.7059999999999999E-4</v>
      </c>
      <c r="E790" s="1007">
        <v>270882</v>
      </c>
      <c r="F790" s="1010">
        <v>0</v>
      </c>
      <c r="G790" s="969">
        <v>1011047</v>
      </c>
      <c r="H790" s="969"/>
      <c r="I790" s="970">
        <v>58246</v>
      </c>
      <c r="J790" s="971">
        <v>245484</v>
      </c>
      <c r="K790" s="970">
        <v>144392</v>
      </c>
      <c r="L790" s="969">
        <v>34795</v>
      </c>
      <c r="M790" s="969"/>
      <c r="N790" s="970">
        <v>28620</v>
      </c>
      <c r="O790" s="970">
        <v>0</v>
      </c>
      <c r="P790" s="970">
        <v>0</v>
      </c>
      <c r="Q790" s="969">
        <v>43967</v>
      </c>
      <c r="R790" s="969"/>
      <c r="S790" s="970">
        <v>340724</v>
      </c>
      <c r="T790" s="972">
        <v>-10201</v>
      </c>
      <c r="U790" s="972">
        <v>330523</v>
      </c>
    </row>
    <row r="791" spans="1:21" x14ac:dyDescent="0.25">
      <c r="A791" s="966">
        <v>98601</v>
      </c>
      <c r="B791" s="967" t="s">
        <v>3403</v>
      </c>
      <c r="C791" s="968">
        <v>3.4148E-3</v>
      </c>
      <c r="D791" s="968">
        <v>3.5065999999999999E-3</v>
      </c>
      <c r="E791" s="1007">
        <v>1494584</v>
      </c>
      <c r="F791" s="1010">
        <v>0</v>
      </c>
      <c r="G791" s="969">
        <v>5216869</v>
      </c>
      <c r="H791" s="969"/>
      <c r="I791" s="970">
        <v>300540</v>
      </c>
      <c r="J791" s="971">
        <v>1266662</v>
      </c>
      <c r="K791" s="970">
        <v>745041</v>
      </c>
      <c r="L791" s="969">
        <v>0</v>
      </c>
      <c r="M791" s="969"/>
      <c r="N791" s="970">
        <v>147673</v>
      </c>
      <c r="O791" s="970">
        <v>0</v>
      </c>
      <c r="P791" s="970">
        <v>0</v>
      </c>
      <c r="Q791" s="969">
        <v>216693</v>
      </c>
      <c r="R791" s="969"/>
      <c r="S791" s="970">
        <v>1758089</v>
      </c>
      <c r="T791" s="972">
        <v>-93549</v>
      </c>
      <c r="U791" s="972">
        <v>1664540</v>
      </c>
    </row>
    <row r="792" spans="1:21" x14ac:dyDescent="0.25">
      <c r="A792" s="966">
        <v>98604</v>
      </c>
      <c r="B792" s="967" t="s">
        <v>3404</v>
      </c>
      <c r="C792" s="968">
        <v>1.34E-5</v>
      </c>
      <c r="D792" s="968">
        <v>1.59E-5</v>
      </c>
      <c r="E792" s="1007">
        <v>7588</v>
      </c>
      <c r="F792" s="1010">
        <v>0</v>
      </c>
      <c r="G792" s="969">
        <v>20471</v>
      </c>
      <c r="H792" s="969"/>
      <c r="I792" s="970">
        <v>1179</v>
      </c>
      <c r="J792" s="971">
        <v>4970</v>
      </c>
      <c r="K792" s="970">
        <v>2924</v>
      </c>
      <c r="L792" s="969">
        <f>5979+2967</f>
        <v>8946</v>
      </c>
      <c r="M792" s="969"/>
      <c r="N792" s="970">
        <v>579</v>
      </c>
      <c r="O792" s="970">
        <v>0</v>
      </c>
      <c r="P792" s="970">
        <v>0</v>
      </c>
      <c r="Q792" s="969">
        <f>527+4977</f>
        <v>5504</v>
      </c>
      <c r="R792" s="969"/>
      <c r="S792" s="970">
        <v>6899</v>
      </c>
      <c r="T792" s="972">
        <f>1959+178</f>
        <v>2137</v>
      </c>
      <c r="U792" s="972">
        <f>8857+1+178</f>
        <v>9036</v>
      </c>
    </row>
    <row r="793" spans="1:21" x14ac:dyDescent="0.25">
      <c r="A793" s="966">
        <v>98607</v>
      </c>
      <c r="B793" s="967" t="s">
        <v>3405</v>
      </c>
      <c r="C793" s="968">
        <v>5.9000000000000003E-6</v>
      </c>
      <c r="D793" s="968">
        <v>5.9000000000000003E-6</v>
      </c>
      <c r="E793" s="1007">
        <v>2774</v>
      </c>
      <c r="F793" s="1010">
        <v>0</v>
      </c>
      <c r="G793" s="969">
        <v>9014</v>
      </c>
      <c r="H793" s="969"/>
      <c r="I793" s="970">
        <v>519</v>
      </c>
      <c r="J793" s="971">
        <v>2188</v>
      </c>
      <c r="K793" s="970">
        <v>1287</v>
      </c>
      <c r="L793" s="969">
        <v>52</v>
      </c>
      <c r="M793" s="969"/>
      <c r="N793" s="970">
        <v>255</v>
      </c>
      <c r="O793" s="970">
        <v>0</v>
      </c>
      <c r="P793" s="970">
        <v>0</v>
      </c>
      <c r="Q793" s="969">
        <v>1474</v>
      </c>
      <c r="R793" s="969"/>
      <c r="S793" s="970">
        <v>3038</v>
      </c>
      <c r="T793" s="972">
        <v>-861</v>
      </c>
      <c r="U793" s="972">
        <v>2177</v>
      </c>
    </row>
    <row r="794" spans="1:21" x14ac:dyDescent="0.25">
      <c r="A794" s="966">
        <v>98608</v>
      </c>
      <c r="B794" s="967" t="s">
        <v>3406</v>
      </c>
      <c r="C794" s="968">
        <v>4.9200000000000003E-5</v>
      </c>
      <c r="D794" s="968">
        <v>4.2299999999999998E-5</v>
      </c>
      <c r="E794" s="1007">
        <v>20059</v>
      </c>
      <c r="F794" s="1010">
        <v>0</v>
      </c>
      <c r="G794" s="969">
        <v>75164</v>
      </c>
      <c r="H794" s="969"/>
      <c r="I794" s="970">
        <v>4330</v>
      </c>
      <c r="J794" s="971">
        <v>18250</v>
      </c>
      <c r="K794" s="970">
        <v>10734</v>
      </c>
      <c r="L794" s="969">
        <v>6529</v>
      </c>
      <c r="M794" s="969"/>
      <c r="N794" s="970">
        <v>2128</v>
      </c>
      <c r="O794" s="970">
        <v>0</v>
      </c>
      <c r="P794" s="970">
        <v>0</v>
      </c>
      <c r="Q794" s="969">
        <v>5369</v>
      </c>
      <c r="R794" s="969"/>
      <c r="S794" s="970">
        <v>25330</v>
      </c>
      <c r="T794" s="972">
        <v>1217</v>
      </c>
      <c r="U794" s="972">
        <v>26547</v>
      </c>
    </row>
    <row r="795" spans="1:21" x14ac:dyDescent="0.25">
      <c r="A795" s="966">
        <v>98611</v>
      </c>
      <c r="B795" s="967" t="s">
        <v>3407</v>
      </c>
      <c r="C795" s="968">
        <v>8.6899999999999998E-5</v>
      </c>
      <c r="D795" s="968">
        <v>8.6700000000000007E-5</v>
      </c>
      <c r="E795" s="1007">
        <v>49931</v>
      </c>
      <c r="F795" s="1010">
        <v>0</v>
      </c>
      <c r="G795" s="969">
        <v>132759</v>
      </c>
      <c r="H795" s="969"/>
      <c r="I795" s="970">
        <v>7648</v>
      </c>
      <c r="J795" s="971">
        <v>32235</v>
      </c>
      <c r="K795" s="970">
        <v>18960</v>
      </c>
      <c r="L795" s="969">
        <v>10690</v>
      </c>
      <c r="M795" s="969"/>
      <c r="N795" s="970">
        <v>3758</v>
      </c>
      <c r="O795" s="970">
        <v>0</v>
      </c>
      <c r="P795" s="970">
        <v>0</v>
      </c>
      <c r="Q795" s="969">
        <v>9519</v>
      </c>
      <c r="R795" s="969"/>
      <c r="S795" s="970">
        <v>44740</v>
      </c>
      <c r="T795" s="972">
        <v>910</v>
      </c>
      <c r="U795" s="972">
        <f>45649+1</f>
        <v>45650</v>
      </c>
    </row>
    <row r="796" spans="1:21" x14ac:dyDescent="0.25">
      <c r="A796" s="966">
        <v>98621</v>
      </c>
      <c r="B796" s="967" t="s">
        <v>3408</v>
      </c>
      <c r="C796" s="968">
        <v>1.314E-4</v>
      </c>
      <c r="D796" s="968">
        <v>1.3239999999999999E-4</v>
      </c>
      <c r="E796" s="1007">
        <v>55891</v>
      </c>
      <c r="F796" s="1010">
        <v>0</v>
      </c>
      <c r="G796" s="969">
        <v>200743</v>
      </c>
      <c r="H796" s="969"/>
      <c r="I796" s="970">
        <v>11565</v>
      </c>
      <c r="J796" s="971">
        <v>48740</v>
      </c>
      <c r="K796" s="970">
        <v>28669</v>
      </c>
      <c r="L796" s="969">
        <v>473</v>
      </c>
      <c r="M796" s="969"/>
      <c r="N796" s="970">
        <v>5682</v>
      </c>
      <c r="O796" s="970">
        <v>0</v>
      </c>
      <c r="P796" s="970">
        <v>0</v>
      </c>
      <c r="Q796" s="969">
        <v>10727</v>
      </c>
      <c r="R796" s="969"/>
      <c r="S796" s="970">
        <v>67651</v>
      </c>
      <c r="T796" s="972">
        <v>-3535</v>
      </c>
      <c r="U796" s="972">
        <f>64115+1</f>
        <v>64116</v>
      </c>
    </row>
    <row r="797" spans="1:21" x14ac:dyDescent="0.25">
      <c r="A797" s="966">
        <v>98627</v>
      </c>
      <c r="B797" s="967" t="s">
        <v>3409</v>
      </c>
      <c r="C797" s="968">
        <v>8.6999999999999997E-6</v>
      </c>
      <c r="D797" s="968">
        <v>9.3999999999999998E-6</v>
      </c>
      <c r="E797" s="1007">
        <v>3354</v>
      </c>
      <c r="F797" s="1010">
        <v>0</v>
      </c>
      <c r="G797" s="969">
        <v>13291</v>
      </c>
      <c r="H797" s="969"/>
      <c r="I797" s="970">
        <v>766</v>
      </c>
      <c r="J797" s="971">
        <v>3227</v>
      </c>
      <c r="K797" s="970">
        <v>1898</v>
      </c>
      <c r="L797" s="969">
        <v>316</v>
      </c>
      <c r="M797" s="969"/>
      <c r="N797" s="970">
        <v>376</v>
      </c>
      <c r="O797" s="970">
        <v>0</v>
      </c>
      <c r="P797" s="970">
        <v>0</v>
      </c>
      <c r="Q797" s="969">
        <v>1098</v>
      </c>
      <c r="R797" s="969"/>
      <c r="S797" s="970">
        <v>4479</v>
      </c>
      <c r="T797" s="972">
        <v>-220</v>
      </c>
      <c r="U797" s="972">
        <v>4259</v>
      </c>
    </row>
    <row r="798" spans="1:21" x14ac:dyDescent="0.25">
      <c r="A798" s="966">
        <v>98631</v>
      </c>
      <c r="B798" s="967" t="s">
        <v>3410</v>
      </c>
      <c r="C798" s="968">
        <v>1.0051999999999999E-3</v>
      </c>
      <c r="D798" s="968">
        <v>1.0415000000000001E-3</v>
      </c>
      <c r="E798" s="1007">
        <v>466623</v>
      </c>
      <c r="F798" s="1010">
        <v>0</v>
      </c>
      <c r="G798" s="969">
        <v>1535667</v>
      </c>
      <c r="H798" s="969"/>
      <c r="I798" s="970">
        <v>88469</v>
      </c>
      <c r="J798" s="971">
        <v>372862</v>
      </c>
      <c r="K798" s="970">
        <v>219315</v>
      </c>
      <c r="L798" s="969">
        <v>0</v>
      </c>
      <c r="M798" s="969"/>
      <c r="N798" s="970">
        <v>43470</v>
      </c>
      <c r="O798" s="970">
        <v>0</v>
      </c>
      <c r="P798" s="970">
        <v>0</v>
      </c>
      <c r="Q798" s="969">
        <v>102113</v>
      </c>
      <c r="R798" s="969"/>
      <c r="S798" s="970">
        <v>517521</v>
      </c>
      <c r="T798" s="972">
        <v>-41744</v>
      </c>
      <c r="U798" s="972">
        <v>475777</v>
      </c>
    </row>
    <row r="799" spans="1:21" x14ac:dyDescent="0.25">
      <c r="A799" s="966">
        <v>98637</v>
      </c>
      <c r="B799" s="967" t="s">
        <v>3411</v>
      </c>
      <c r="C799" s="968">
        <v>2.0800000000000001E-5</v>
      </c>
      <c r="D799" s="968">
        <v>2.2200000000000001E-5</v>
      </c>
      <c r="E799" s="1007">
        <v>15729</v>
      </c>
      <c r="F799" s="1010">
        <v>0</v>
      </c>
      <c r="G799" s="969">
        <v>31777</v>
      </c>
      <c r="H799" s="969"/>
      <c r="I799" s="970">
        <v>1831</v>
      </c>
      <c r="J799" s="971">
        <v>7715</v>
      </c>
      <c r="K799" s="970">
        <v>4538</v>
      </c>
      <c r="L799" s="969">
        <v>8386</v>
      </c>
      <c r="M799" s="969"/>
      <c r="N799" s="970">
        <v>899</v>
      </c>
      <c r="O799" s="970">
        <v>0</v>
      </c>
      <c r="P799" s="970">
        <v>0</v>
      </c>
      <c r="Q799" s="969">
        <v>0</v>
      </c>
      <c r="R799" s="969"/>
      <c r="S799" s="970">
        <v>10709</v>
      </c>
      <c r="T799" s="972">
        <v>3206</v>
      </c>
      <c r="U799" s="972">
        <f>13914+1</f>
        <v>13915</v>
      </c>
    </row>
    <row r="800" spans="1:21" x14ac:dyDescent="0.25">
      <c r="A800" s="966">
        <v>98641</v>
      </c>
      <c r="B800" s="967" t="s">
        <v>3412</v>
      </c>
      <c r="C800" s="968">
        <v>2.965E-4</v>
      </c>
      <c r="D800" s="968">
        <v>3.0019999999999998E-4</v>
      </c>
      <c r="E800" s="1007">
        <v>140670</v>
      </c>
      <c r="F800" s="1010">
        <v>0</v>
      </c>
      <c r="G800" s="969">
        <v>452970</v>
      </c>
      <c r="H800" s="969"/>
      <c r="I800" s="970">
        <v>26095</v>
      </c>
      <c r="J800" s="971">
        <v>109981</v>
      </c>
      <c r="K800" s="970">
        <v>64690</v>
      </c>
      <c r="L800" s="969">
        <v>3407</v>
      </c>
      <c r="M800" s="969"/>
      <c r="N800" s="970">
        <v>12822</v>
      </c>
      <c r="O800" s="970">
        <v>0</v>
      </c>
      <c r="P800" s="970">
        <v>0</v>
      </c>
      <c r="Q800" s="969">
        <v>7840</v>
      </c>
      <c r="R800" s="969"/>
      <c r="S800" s="970">
        <v>152651</v>
      </c>
      <c r="T800" s="972">
        <v>-183</v>
      </c>
      <c r="U800" s="972">
        <v>152468</v>
      </c>
    </row>
    <row r="801" spans="1:21" x14ac:dyDescent="0.25">
      <c r="A801" s="966">
        <v>98701</v>
      </c>
      <c r="B801" s="967" t="s">
        <v>3414</v>
      </c>
      <c r="C801" s="968">
        <v>1.1333999999999999E-3</v>
      </c>
      <c r="D801" s="968">
        <v>1.1793000000000001E-3</v>
      </c>
      <c r="E801" s="1007">
        <v>514113</v>
      </c>
      <c r="F801" s="1010">
        <v>2502870</v>
      </c>
      <c r="G801" s="969">
        <v>1731521</v>
      </c>
      <c r="H801" s="969"/>
      <c r="I801" s="970">
        <v>99752</v>
      </c>
      <c r="J801" s="971">
        <v>420415</v>
      </c>
      <c r="K801" s="970">
        <v>247285</v>
      </c>
      <c r="L801" s="969">
        <v>3431</v>
      </c>
      <c r="M801" s="969"/>
      <c r="N801" s="970">
        <v>49014</v>
      </c>
      <c r="O801" s="970">
        <v>0</v>
      </c>
      <c r="P801" s="970">
        <v>0</v>
      </c>
      <c r="Q801" s="969">
        <v>66380</v>
      </c>
      <c r="R801" s="969"/>
      <c r="S801" s="970">
        <v>583524</v>
      </c>
      <c r="T801" s="972">
        <v>-25976</v>
      </c>
      <c r="U801" s="972">
        <v>557548</v>
      </c>
    </row>
    <row r="802" spans="1:21" x14ac:dyDescent="0.25">
      <c r="A802" s="966">
        <v>98711</v>
      </c>
      <c r="B802" s="967" t="s">
        <v>3415</v>
      </c>
      <c r="C802" s="968">
        <v>1.8369999999999999E-4</v>
      </c>
      <c r="D802" s="968">
        <v>1.8039999999999999E-4</v>
      </c>
      <c r="E802" s="1007">
        <v>70342</v>
      </c>
      <c r="F802" s="1010">
        <v>382869</v>
      </c>
      <c r="G802" s="969">
        <v>280643</v>
      </c>
      <c r="H802" s="969"/>
      <c r="I802" s="970">
        <v>16168</v>
      </c>
      <c r="J802" s="971">
        <v>68140</v>
      </c>
      <c r="K802" s="970">
        <v>40080</v>
      </c>
      <c r="L802" s="969">
        <v>1238</v>
      </c>
      <c r="M802" s="969"/>
      <c r="N802" s="970">
        <v>7944</v>
      </c>
      <c r="O802" s="970">
        <v>0</v>
      </c>
      <c r="P802" s="970">
        <v>0</v>
      </c>
      <c r="Q802" s="969">
        <v>16374</v>
      </c>
      <c r="R802" s="969"/>
      <c r="S802" s="970">
        <v>94577</v>
      </c>
      <c r="T802" s="972">
        <v>-4053</v>
      </c>
      <c r="U802" s="972">
        <v>90524</v>
      </c>
    </row>
    <row r="803" spans="1:21" x14ac:dyDescent="0.25">
      <c r="A803" s="966">
        <v>98717</v>
      </c>
      <c r="B803" s="967" t="s">
        <v>3416</v>
      </c>
      <c r="C803" s="968">
        <v>2.1100000000000001E-5</v>
      </c>
      <c r="D803" s="968">
        <v>1.8600000000000001E-5</v>
      </c>
      <c r="E803" s="1007">
        <v>8759</v>
      </c>
      <c r="F803" s="1010">
        <v>39475</v>
      </c>
      <c r="G803" s="969">
        <v>32235</v>
      </c>
      <c r="H803" s="969"/>
      <c r="I803" s="970">
        <v>1857</v>
      </c>
      <c r="J803" s="971">
        <v>7827</v>
      </c>
      <c r="K803" s="970">
        <v>4604</v>
      </c>
      <c r="L803" s="969">
        <v>1439</v>
      </c>
      <c r="M803" s="969"/>
      <c r="N803" s="970">
        <v>912</v>
      </c>
      <c r="O803" s="970">
        <v>0</v>
      </c>
      <c r="P803" s="970">
        <v>0</v>
      </c>
      <c r="Q803" s="969">
        <v>534</v>
      </c>
      <c r="R803" s="969"/>
      <c r="S803" s="970">
        <v>10863</v>
      </c>
      <c r="T803" s="972">
        <v>247</v>
      </c>
      <c r="U803" s="972">
        <v>11110</v>
      </c>
    </row>
    <row r="804" spans="1:21" x14ac:dyDescent="0.25">
      <c r="A804" s="966">
        <v>98801</v>
      </c>
      <c r="B804" s="967" t="s">
        <v>3417</v>
      </c>
      <c r="C804" s="968">
        <v>2.2859E-3</v>
      </c>
      <c r="D804" s="968">
        <v>2.1771999999999998E-3</v>
      </c>
      <c r="E804" s="1007">
        <v>1067051</v>
      </c>
      <c r="F804" s="1010">
        <v>4620748</v>
      </c>
      <c r="G804" s="969">
        <v>3492222</v>
      </c>
      <c r="H804" s="969"/>
      <c r="I804" s="970">
        <v>201184</v>
      </c>
      <c r="J804" s="971">
        <v>847916</v>
      </c>
      <c r="K804" s="970">
        <v>498738</v>
      </c>
      <c r="L804" s="969">
        <v>146068</v>
      </c>
      <c r="M804" s="969"/>
      <c r="N804" s="970">
        <v>98854</v>
      </c>
      <c r="O804" s="970">
        <v>0</v>
      </c>
      <c r="P804" s="970">
        <v>0</v>
      </c>
      <c r="Q804" s="969">
        <v>0</v>
      </c>
      <c r="R804" s="969"/>
      <c r="S804" s="970">
        <v>1176882</v>
      </c>
      <c r="T804" s="972">
        <v>55567</v>
      </c>
      <c r="U804" s="972">
        <v>1232449</v>
      </c>
    </row>
    <row r="805" spans="1:21" x14ac:dyDescent="0.25">
      <c r="A805" s="966">
        <v>98811</v>
      </c>
      <c r="B805" s="967" t="s">
        <v>3418</v>
      </c>
      <c r="C805" s="968">
        <v>6.5160000000000001E-4</v>
      </c>
      <c r="D805" s="968">
        <v>7.1120000000000005E-4</v>
      </c>
      <c r="E805" s="1007">
        <v>323262</v>
      </c>
      <c r="F805" s="1010">
        <v>1509405</v>
      </c>
      <c r="G805" s="969">
        <v>995464</v>
      </c>
      <c r="H805" s="969"/>
      <c r="I805" s="970">
        <v>57348</v>
      </c>
      <c r="J805" s="971">
        <v>241700</v>
      </c>
      <c r="K805" s="970">
        <v>142166</v>
      </c>
      <c r="L805" s="969">
        <v>16975</v>
      </c>
      <c r="M805" s="969"/>
      <c r="N805" s="970">
        <v>28178</v>
      </c>
      <c r="O805" s="970">
        <v>0</v>
      </c>
      <c r="P805" s="970">
        <v>0</v>
      </c>
      <c r="Q805" s="969">
        <v>46894</v>
      </c>
      <c r="R805" s="969"/>
      <c r="S805" s="970">
        <v>335472</v>
      </c>
      <c r="T805" s="972">
        <v>-312</v>
      </c>
      <c r="U805" s="972">
        <f>335161-1</f>
        <v>335160</v>
      </c>
    </row>
    <row r="806" spans="1:21" x14ac:dyDescent="0.25">
      <c r="A806" s="966">
        <v>98817</v>
      </c>
      <c r="B806" s="967" t="s">
        <v>3419</v>
      </c>
      <c r="C806" s="968">
        <v>2.5199999999999999E-5</v>
      </c>
      <c r="D806" s="968">
        <v>2.34E-5</v>
      </c>
      <c r="E806" s="1007">
        <v>14663</v>
      </c>
      <c r="F806" s="1010">
        <v>49663</v>
      </c>
      <c r="G806" s="969">
        <v>38499</v>
      </c>
      <c r="H806" s="969"/>
      <c r="I806" s="970">
        <v>2218</v>
      </c>
      <c r="J806" s="971">
        <v>9347</v>
      </c>
      <c r="K806" s="970">
        <v>5498</v>
      </c>
      <c r="L806" s="969">
        <v>3862</v>
      </c>
      <c r="M806" s="969"/>
      <c r="N806" s="970">
        <v>1090</v>
      </c>
      <c r="O806" s="970">
        <v>0</v>
      </c>
      <c r="P806" s="970">
        <v>0</v>
      </c>
      <c r="Q806" s="969">
        <v>2179</v>
      </c>
      <c r="R806" s="969"/>
      <c r="S806" s="970">
        <v>12974</v>
      </c>
      <c r="T806" s="972">
        <v>-1216</v>
      </c>
      <c r="U806" s="972">
        <v>11758</v>
      </c>
    </row>
    <row r="807" spans="1:21" x14ac:dyDescent="0.25">
      <c r="A807" s="966">
        <v>98901</v>
      </c>
      <c r="B807" s="967" t="s">
        <v>3420</v>
      </c>
      <c r="C807" s="968">
        <v>3.5050000000000001E-4</v>
      </c>
      <c r="D807" s="968">
        <v>3.392E-4</v>
      </c>
      <c r="E807" s="1007">
        <v>159126</v>
      </c>
      <c r="F807" s="1010">
        <v>719896</v>
      </c>
      <c r="G807" s="969">
        <v>535467</v>
      </c>
      <c r="H807" s="969"/>
      <c r="I807" s="970">
        <v>30848</v>
      </c>
      <c r="J807" s="971">
        <v>130012</v>
      </c>
      <c r="K807" s="970">
        <v>76472</v>
      </c>
      <c r="L807" s="969">
        <v>7505</v>
      </c>
      <c r="M807" s="969"/>
      <c r="N807" s="970">
        <v>15157</v>
      </c>
      <c r="O807" s="970">
        <v>0</v>
      </c>
      <c r="P807" s="970">
        <v>0</v>
      </c>
      <c r="Q807" s="969">
        <v>2530</v>
      </c>
      <c r="R807" s="969"/>
      <c r="S807" s="970">
        <v>180453</v>
      </c>
      <c r="T807" s="972">
        <v>975</v>
      </c>
      <c r="U807" s="972">
        <v>181428</v>
      </c>
    </row>
    <row r="808" spans="1:21" x14ac:dyDescent="0.25">
      <c r="A808" s="966">
        <v>98904</v>
      </c>
      <c r="B808" s="967" t="s">
        <v>3421</v>
      </c>
      <c r="C808" s="968">
        <v>2.7999999999999999E-6</v>
      </c>
      <c r="D808" s="968">
        <v>5.2000000000000002E-6</v>
      </c>
      <c r="E808" s="1007">
        <v>1608</v>
      </c>
      <c r="F808" s="1010">
        <v>11036</v>
      </c>
      <c r="G808" s="969">
        <v>4278</v>
      </c>
      <c r="H808" s="969"/>
      <c r="I808" s="970">
        <v>246</v>
      </c>
      <c r="J808" s="971">
        <v>1039</v>
      </c>
      <c r="K808" s="970">
        <v>611</v>
      </c>
      <c r="L808" s="969">
        <v>365</v>
      </c>
      <c r="M808" s="969"/>
      <c r="N808" s="970">
        <v>121</v>
      </c>
      <c r="O808" s="970">
        <v>0</v>
      </c>
      <c r="P808" s="970">
        <v>0</v>
      </c>
      <c r="Q808" s="969">
        <v>1887</v>
      </c>
      <c r="R808" s="969"/>
      <c r="S808" s="970">
        <v>1442</v>
      </c>
      <c r="T808" s="972">
        <v>-315</v>
      </c>
      <c r="U808" s="972">
        <f>1126+1</f>
        <v>1127</v>
      </c>
    </row>
    <row r="809" spans="1:21" x14ac:dyDescent="0.25">
      <c r="A809" s="966">
        <v>98911</v>
      </c>
      <c r="B809" s="967" t="s">
        <v>3422</v>
      </c>
      <c r="C809" s="968">
        <v>2.7900000000000001E-5</v>
      </c>
      <c r="D809" s="968">
        <v>2.8600000000000001E-5</v>
      </c>
      <c r="E809" s="1007">
        <v>17945</v>
      </c>
      <c r="F809" s="1010">
        <v>60699</v>
      </c>
      <c r="G809" s="969">
        <v>42623</v>
      </c>
      <c r="H809" s="969"/>
      <c r="I809" s="970">
        <v>2456</v>
      </c>
      <c r="J809" s="971">
        <v>10349</v>
      </c>
      <c r="K809" s="970">
        <v>6087</v>
      </c>
      <c r="L809" s="969">
        <v>12780</v>
      </c>
      <c r="M809" s="969"/>
      <c r="N809" s="970">
        <v>1207</v>
      </c>
      <c r="O809" s="970">
        <v>0</v>
      </c>
      <c r="P809" s="970">
        <v>0</v>
      </c>
      <c r="Q809" s="969">
        <v>0</v>
      </c>
      <c r="R809" s="969"/>
      <c r="S809" s="970">
        <v>14364</v>
      </c>
      <c r="T809" s="972">
        <v>5565</v>
      </c>
      <c r="U809" s="972">
        <v>19929</v>
      </c>
    </row>
    <row r="810" spans="1:21" x14ac:dyDescent="0.25">
      <c r="A810" s="966">
        <v>99001</v>
      </c>
      <c r="B810" s="967" t="s">
        <v>3423</v>
      </c>
      <c r="C810" s="968">
        <v>8.0949000000000004E-3</v>
      </c>
      <c r="D810" s="968">
        <v>7.8098999999999998E-3</v>
      </c>
      <c r="E810" s="1007">
        <v>3574723</v>
      </c>
      <c r="F810" s="1010">
        <v>16575224</v>
      </c>
      <c r="G810" s="969">
        <v>12366765</v>
      </c>
      <c r="H810" s="969"/>
      <c r="I810" s="970">
        <v>712440</v>
      </c>
      <c r="J810" s="971">
        <v>3002666</v>
      </c>
      <c r="K810" s="970">
        <v>1766145</v>
      </c>
      <c r="L810" s="969">
        <v>355732</v>
      </c>
      <c r="M810" s="969"/>
      <c r="N810" s="970">
        <v>350064</v>
      </c>
      <c r="O810" s="970">
        <v>0</v>
      </c>
      <c r="P810" s="970">
        <v>0</v>
      </c>
      <c r="Q810" s="969">
        <v>0</v>
      </c>
      <c r="R810" s="969"/>
      <c r="S810" s="970">
        <v>4167611</v>
      </c>
      <c r="T810" s="972">
        <v>186049</v>
      </c>
      <c r="U810" s="972">
        <v>4353660</v>
      </c>
    </row>
    <row r="811" spans="1:21" x14ac:dyDescent="0.25">
      <c r="A811" s="966">
        <v>99011</v>
      </c>
      <c r="B811" s="967" t="s">
        <v>3424</v>
      </c>
      <c r="C811" s="968">
        <v>3.8736999999999999E-3</v>
      </c>
      <c r="D811" s="968">
        <v>3.9039000000000001E-3</v>
      </c>
      <c r="E811" s="1007">
        <v>1767797</v>
      </c>
      <c r="F811" s="1010">
        <v>8285384</v>
      </c>
      <c r="G811" s="969">
        <v>5917941</v>
      </c>
      <c r="H811" s="969"/>
      <c r="I811" s="970">
        <v>340928</v>
      </c>
      <c r="J811" s="971">
        <v>1436883</v>
      </c>
      <c r="K811" s="970">
        <v>845164</v>
      </c>
      <c r="L811" s="969">
        <v>0</v>
      </c>
      <c r="M811" s="969"/>
      <c r="N811" s="970">
        <v>167518</v>
      </c>
      <c r="O811" s="970">
        <v>0</v>
      </c>
      <c r="P811" s="970">
        <v>0</v>
      </c>
      <c r="Q811" s="969">
        <v>396289</v>
      </c>
      <c r="R811" s="969"/>
      <c r="S811" s="970">
        <v>1994351</v>
      </c>
      <c r="T811" s="972">
        <v>-212974</v>
      </c>
      <c r="U811" s="972">
        <v>1781377</v>
      </c>
    </row>
    <row r="812" spans="1:21" x14ac:dyDescent="0.25">
      <c r="A812" s="966">
        <v>99013</v>
      </c>
      <c r="B812" s="967" t="s">
        <v>3425</v>
      </c>
      <c r="C812" s="968">
        <v>5.5999999999999999E-5</v>
      </c>
      <c r="D812" s="968">
        <v>6.02E-5</v>
      </c>
      <c r="E812" s="1007">
        <v>27133</v>
      </c>
      <c r="F812" s="1010">
        <v>127765</v>
      </c>
      <c r="G812" s="969">
        <v>85552</v>
      </c>
      <c r="H812" s="969"/>
      <c r="I812" s="970">
        <v>4929</v>
      </c>
      <c r="J812" s="971">
        <v>20773</v>
      </c>
      <c r="K812" s="970">
        <v>12218</v>
      </c>
      <c r="L812" s="969">
        <v>10</v>
      </c>
      <c r="M812" s="969"/>
      <c r="N812" s="970">
        <v>2422</v>
      </c>
      <c r="O812" s="970">
        <v>0</v>
      </c>
      <c r="P812" s="970">
        <v>0</v>
      </c>
      <c r="Q812" s="969">
        <v>8046</v>
      </c>
      <c r="R812" s="969"/>
      <c r="S812" s="970">
        <v>28831</v>
      </c>
      <c r="T812" s="972">
        <v>-2790</v>
      </c>
      <c r="U812" s="972">
        <f>26042-1</f>
        <v>26041</v>
      </c>
    </row>
    <row r="813" spans="1:21" x14ac:dyDescent="0.25">
      <c r="A813" s="966">
        <v>99014</v>
      </c>
      <c r="B813" s="967" t="s">
        <v>3426</v>
      </c>
      <c r="C813" s="968">
        <v>2.0100000000000001E-5</v>
      </c>
      <c r="D813" s="968">
        <v>2.4199999999999999E-5</v>
      </c>
      <c r="E813" s="1007">
        <v>13999</v>
      </c>
      <c r="F813" s="1010">
        <v>51361</v>
      </c>
      <c r="G813" s="969">
        <v>30707</v>
      </c>
      <c r="H813" s="969"/>
      <c r="I813" s="970">
        <v>1769</v>
      </c>
      <c r="J813" s="971">
        <v>7456</v>
      </c>
      <c r="K813" s="970">
        <v>4385</v>
      </c>
      <c r="L813" s="969">
        <v>12703</v>
      </c>
      <c r="M813" s="969"/>
      <c r="N813" s="970">
        <v>869</v>
      </c>
      <c r="O813" s="970">
        <v>0</v>
      </c>
      <c r="P813" s="970">
        <v>0</v>
      </c>
      <c r="Q813" s="969">
        <v>0</v>
      </c>
      <c r="R813" s="969"/>
      <c r="S813" s="970">
        <v>10348</v>
      </c>
      <c r="T813" s="972">
        <v>4335</v>
      </c>
      <c r="U813" s="972">
        <v>14683</v>
      </c>
    </row>
    <row r="814" spans="1:21" x14ac:dyDescent="0.25">
      <c r="A814" s="966">
        <v>99017</v>
      </c>
      <c r="B814" s="967" t="s">
        <v>3427</v>
      </c>
      <c r="C814" s="968">
        <v>5.13E-5</v>
      </c>
      <c r="D814" s="968">
        <v>4.6999999999999997E-5</v>
      </c>
      <c r="E814" s="1007">
        <v>25055</v>
      </c>
      <c r="F814" s="1010">
        <v>99750</v>
      </c>
      <c r="G814" s="969">
        <v>78372</v>
      </c>
      <c r="H814" s="969"/>
      <c r="I814" s="970">
        <v>4515</v>
      </c>
      <c r="J814" s="971">
        <v>19029</v>
      </c>
      <c r="K814" s="970">
        <v>11193</v>
      </c>
      <c r="L814" s="969">
        <v>8072</v>
      </c>
      <c r="M814" s="969"/>
      <c r="N814" s="970">
        <v>2218</v>
      </c>
      <c r="O814" s="970">
        <v>0</v>
      </c>
      <c r="P814" s="970">
        <v>0</v>
      </c>
      <c r="Q814" s="969">
        <v>3306</v>
      </c>
      <c r="R814" s="969"/>
      <c r="S814" s="970">
        <v>26411</v>
      </c>
      <c r="T814" s="972">
        <v>-629</v>
      </c>
      <c r="U814" s="972">
        <v>25782</v>
      </c>
    </row>
    <row r="815" spans="1:21" x14ac:dyDescent="0.25">
      <c r="A815" s="966">
        <v>99021</v>
      </c>
      <c r="B815" s="967" t="s">
        <v>3428</v>
      </c>
      <c r="C815" s="968">
        <v>1.5249999999999999E-4</v>
      </c>
      <c r="D815" s="968">
        <v>1.3420000000000001E-4</v>
      </c>
      <c r="E815" s="1007">
        <v>64601</v>
      </c>
      <c r="F815" s="1010">
        <v>284817</v>
      </c>
      <c r="G815" s="969">
        <v>232978</v>
      </c>
      <c r="H815" s="969"/>
      <c r="I815" s="970">
        <v>13422</v>
      </c>
      <c r="J815" s="971">
        <v>56568</v>
      </c>
      <c r="K815" s="970">
        <v>33272</v>
      </c>
      <c r="L815" s="969">
        <v>11565</v>
      </c>
      <c r="M815" s="969"/>
      <c r="N815" s="970">
        <v>6595</v>
      </c>
      <c r="O815" s="970">
        <v>0</v>
      </c>
      <c r="P815" s="970">
        <v>0</v>
      </c>
      <c r="Q815" s="969">
        <v>728</v>
      </c>
      <c r="R815" s="969"/>
      <c r="S815" s="970">
        <v>78514</v>
      </c>
      <c r="T815" s="972">
        <v>3978</v>
      </c>
      <c r="U815" s="972">
        <f>82491+1</f>
        <v>82492</v>
      </c>
    </row>
    <row r="816" spans="1:21" x14ac:dyDescent="0.25">
      <c r="A816" s="966">
        <v>99022</v>
      </c>
      <c r="B816" s="967" t="s">
        <v>1938</v>
      </c>
      <c r="C816" s="968">
        <v>1.08E-5</v>
      </c>
      <c r="D816" s="968">
        <v>1.1800000000000001E-5</v>
      </c>
      <c r="E816" s="1007">
        <v>11386</v>
      </c>
      <c r="F816" s="1010">
        <v>25044</v>
      </c>
      <c r="G816" s="969">
        <v>16499</v>
      </c>
      <c r="H816" s="969"/>
      <c r="I816" s="970">
        <v>951</v>
      </c>
      <c r="J816" s="971">
        <v>4006</v>
      </c>
      <c r="K816" s="970">
        <v>2356</v>
      </c>
      <c r="L816" s="969">
        <v>8944</v>
      </c>
      <c r="M816" s="969"/>
      <c r="N816" s="970">
        <v>467</v>
      </c>
      <c r="O816" s="970">
        <v>0</v>
      </c>
      <c r="P816" s="970">
        <v>0</v>
      </c>
      <c r="Q816" s="969">
        <v>132</v>
      </c>
      <c r="R816" s="969"/>
      <c r="S816" s="970">
        <v>5560</v>
      </c>
      <c r="T816" s="972">
        <v>2896</v>
      </c>
      <c r="U816" s="972">
        <v>8456</v>
      </c>
    </row>
    <row r="817" spans="1:21" x14ac:dyDescent="0.25">
      <c r="A817" s="966">
        <v>99031</v>
      </c>
      <c r="B817" s="967" t="s">
        <v>3429</v>
      </c>
      <c r="C817" s="968">
        <v>1.518E-4</v>
      </c>
      <c r="D817" s="968">
        <v>1.5970000000000001E-4</v>
      </c>
      <c r="E817" s="1007">
        <v>59833</v>
      </c>
      <c r="F817" s="1010">
        <v>338937</v>
      </c>
      <c r="G817" s="969">
        <v>231908</v>
      </c>
      <c r="H817" s="969"/>
      <c r="I817" s="970">
        <v>13360</v>
      </c>
      <c r="J817" s="971">
        <v>56308</v>
      </c>
      <c r="K817" s="970">
        <v>33120</v>
      </c>
      <c r="L817" s="969">
        <v>2845</v>
      </c>
      <c r="M817" s="969"/>
      <c r="N817" s="970">
        <v>6565</v>
      </c>
      <c r="O817" s="970">
        <v>0</v>
      </c>
      <c r="P817" s="970">
        <v>0</v>
      </c>
      <c r="Q817" s="969">
        <v>23907</v>
      </c>
      <c r="R817" s="969"/>
      <c r="S817" s="970">
        <v>78153</v>
      </c>
      <c r="T817" s="972">
        <v>-11727</v>
      </c>
      <c r="U817" s="972">
        <v>66426</v>
      </c>
    </row>
    <row r="818" spans="1:21" x14ac:dyDescent="0.25">
      <c r="A818" s="966">
        <v>99041</v>
      </c>
      <c r="B818" s="967" t="s">
        <v>3430</v>
      </c>
      <c r="C818" s="968">
        <v>6.3500000000000004E-4</v>
      </c>
      <c r="D818" s="968">
        <v>5.6289999999999997E-4</v>
      </c>
      <c r="E818" s="1007">
        <v>254000</v>
      </c>
      <c r="F818" s="1010">
        <v>1194662</v>
      </c>
      <c r="G818" s="969">
        <v>970104</v>
      </c>
      <c r="H818" s="969"/>
      <c r="I818" s="970">
        <v>55887</v>
      </c>
      <c r="J818" s="971">
        <v>235543</v>
      </c>
      <c r="K818" s="970">
        <v>138544</v>
      </c>
      <c r="L818" s="969">
        <v>52920</v>
      </c>
      <c r="M818" s="969"/>
      <c r="N818" s="970">
        <v>27461</v>
      </c>
      <c r="O818" s="970">
        <v>0</v>
      </c>
      <c r="P818" s="970">
        <v>0</v>
      </c>
      <c r="Q818" s="969">
        <v>0</v>
      </c>
      <c r="R818" s="969"/>
      <c r="S818" s="970">
        <v>326926</v>
      </c>
      <c r="T818" s="972">
        <v>28997</v>
      </c>
      <c r="U818" s="972">
        <v>355923</v>
      </c>
    </row>
    <row r="819" spans="1:21" x14ac:dyDescent="0.25">
      <c r="A819" s="966">
        <v>99047</v>
      </c>
      <c r="B819" s="967" t="s">
        <v>3431</v>
      </c>
      <c r="C819" s="968">
        <v>1.42E-5</v>
      </c>
      <c r="D819" s="968">
        <v>9.2E-6</v>
      </c>
      <c r="E819" s="1007">
        <v>7761</v>
      </c>
      <c r="F819" s="1010">
        <v>19525</v>
      </c>
      <c r="G819" s="969">
        <v>21694</v>
      </c>
      <c r="H819" s="969"/>
      <c r="I819" s="970">
        <v>1250</v>
      </c>
      <c r="J819" s="971">
        <v>5267</v>
      </c>
      <c r="K819" s="970">
        <v>3098</v>
      </c>
      <c r="L819" s="969">
        <v>6410</v>
      </c>
      <c r="M819" s="969"/>
      <c r="N819" s="970">
        <v>614</v>
      </c>
      <c r="O819" s="970">
        <v>0</v>
      </c>
      <c r="P819" s="970">
        <v>0</v>
      </c>
      <c r="Q819" s="969">
        <v>0</v>
      </c>
      <c r="R819" s="969"/>
      <c r="S819" s="970">
        <v>7311</v>
      </c>
      <c r="T819" s="972">
        <v>2345</v>
      </c>
      <c r="U819" s="972">
        <f>9655+1</f>
        <v>9656</v>
      </c>
    </row>
    <row r="820" spans="1:21" x14ac:dyDescent="0.25">
      <c r="A820" s="966">
        <v>99051</v>
      </c>
      <c r="B820" s="967" t="s">
        <v>3432</v>
      </c>
      <c r="C820" s="968">
        <v>3.5359999999999998E-4</v>
      </c>
      <c r="D820" s="968">
        <v>3.3349999999999997E-4</v>
      </c>
      <c r="E820" s="1007">
        <v>142317</v>
      </c>
      <c r="F820" s="1010">
        <v>707799</v>
      </c>
      <c r="G820" s="969">
        <v>540203</v>
      </c>
      <c r="H820" s="969"/>
      <c r="I820" s="970">
        <v>31121</v>
      </c>
      <c r="J820" s="971">
        <v>131162</v>
      </c>
      <c r="K820" s="970">
        <v>77148</v>
      </c>
      <c r="L820" s="969">
        <v>11433</v>
      </c>
      <c r="M820" s="969"/>
      <c r="N820" s="970">
        <v>15291</v>
      </c>
      <c r="O820" s="970">
        <v>0</v>
      </c>
      <c r="P820" s="970">
        <v>0</v>
      </c>
      <c r="Q820" s="969">
        <v>2536</v>
      </c>
      <c r="R820" s="969"/>
      <c r="S820" s="970">
        <v>182049</v>
      </c>
      <c r="T820" s="972">
        <v>4776</v>
      </c>
      <c r="U820" s="972">
        <f>186824+1</f>
        <v>186825</v>
      </c>
    </row>
    <row r="821" spans="1:21" x14ac:dyDescent="0.25">
      <c r="A821" s="966">
        <v>99061</v>
      </c>
      <c r="B821" s="967" t="s">
        <v>3433</v>
      </c>
      <c r="C821" s="968">
        <v>8.1000000000000004E-6</v>
      </c>
      <c r="D821" s="968">
        <v>8.3999999999999992E-6</v>
      </c>
      <c r="E821" s="1007">
        <v>7897</v>
      </c>
      <c r="F821" s="1010">
        <v>17828</v>
      </c>
      <c r="G821" s="969">
        <v>12375</v>
      </c>
      <c r="H821" s="969"/>
      <c r="I821" s="970">
        <v>713</v>
      </c>
      <c r="J821" s="971">
        <v>3005</v>
      </c>
      <c r="K821" s="970">
        <v>1767</v>
      </c>
      <c r="L821" s="969">
        <v>7276</v>
      </c>
      <c r="M821" s="969"/>
      <c r="N821" s="970">
        <v>350</v>
      </c>
      <c r="O821" s="970">
        <v>0</v>
      </c>
      <c r="P821" s="970">
        <v>0</v>
      </c>
      <c r="Q821" s="969">
        <v>0</v>
      </c>
      <c r="R821" s="969"/>
      <c r="S821" s="970">
        <v>4170</v>
      </c>
      <c r="T821" s="972">
        <v>2674</v>
      </c>
      <c r="U821" s="972">
        <v>6844</v>
      </c>
    </row>
    <row r="822" spans="1:21" x14ac:dyDescent="0.25">
      <c r="A822" s="966">
        <v>99071</v>
      </c>
      <c r="B822" s="967" t="s">
        <v>3434</v>
      </c>
      <c r="C822" s="968">
        <v>3.04E-5</v>
      </c>
      <c r="D822" s="968">
        <v>3.0499999999999999E-5</v>
      </c>
      <c r="E822" s="1007">
        <v>15062</v>
      </c>
      <c r="F822" s="1010">
        <v>64731</v>
      </c>
      <c r="G822" s="969">
        <v>46443</v>
      </c>
      <c r="H822" s="969"/>
      <c r="I822" s="970">
        <v>2676</v>
      </c>
      <c r="J822" s="971">
        <v>11277</v>
      </c>
      <c r="K822" s="970">
        <v>6633</v>
      </c>
      <c r="L822" s="969">
        <v>818</v>
      </c>
      <c r="M822" s="969"/>
      <c r="N822" s="970">
        <v>1315</v>
      </c>
      <c r="O822" s="970">
        <v>0</v>
      </c>
      <c r="P822" s="970">
        <v>0</v>
      </c>
      <c r="Q822" s="969">
        <v>2093</v>
      </c>
      <c r="R822" s="969"/>
      <c r="S822" s="970">
        <v>15651</v>
      </c>
      <c r="T822" s="972">
        <v>-1107</v>
      </c>
      <c r="U822" s="972">
        <v>14544</v>
      </c>
    </row>
    <row r="823" spans="1:21" x14ac:dyDescent="0.25">
      <c r="A823" s="966">
        <v>99081</v>
      </c>
      <c r="B823" s="967" t="s">
        <v>3435</v>
      </c>
      <c r="C823" s="968">
        <v>1.1E-5</v>
      </c>
      <c r="D823" s="968">
        <v>2.9600000000000001E-5</v>
      </c>
      <c r="E823" s="1007">
        <v>10195</v>
      </c>
      <c r="F823" s="1010">
        <v>62821</v>
      </c>
      <c r="G823" s="969">
        <v>16805</v>
      </c>
      <c r="H823" s="969"/>
      <c r="I823" s="970">
        <v>968</v>
      </c>
      <c r="J823" s="971">
        <v>4081</v>
      </c>
      <c r="K823" s="970">
        <v>2400</v>
      </c>
      <c r="L823" s="969">
        <v>3587</v>
      </c>
      <c r="M823" s="969"/>
      <c r="N823" s="970">
        <v>476</v>
      </c>
      <c r="O823" s="970">
        <v>0</v>
      </c>
      <c r="P823" s="970">
        <v>0</v>
      </c>
      <c r="Q823" s="969">
        <v>13215</v>
      </c>
      <c r="R823" s="969"/>
      <c r="S823" s="970">
        <v>5663</v>
      </c>
      <c r="T823" s="972">
        <v>-2898</v>
      </c>
      <c r="U823" s="972">
        <f>2766-1</f>
        <v>2765</v>
      </c>
    </row>
    <row r="824" spans="1:21" x14ac:dyDescent="0.25">
      <c r="A824" s="966">
        <v>99091</v>
      </c>
      <c r="B824" s="967" t="s">
        <v>3436</v>
      </c>
      <c r="C824" s="968">
        <v>3.9999999999999998E-6</v>
      </c>
      <c r="D824" s="968">
        <v>4.1999999999999996E-6</v>
      </c>
      <c r="E824" s="1007">
        <v>4831</v>
      </c>
      <c r="F824" s="1010">
        <v>8914</v>
      </c>
      <c r="G824" s="969">
        <v>6111</v>
      </c>
      <c r="H824" s="969"/>
      <c r="I824" s="970">
        <v>352</v>
      </c>
      <c r="J824" s="971">
        <v>1484</v>
      </c>
      <c r="K824" s="970">
        <v>873</v>
      </c>
      <c r="L824" s="969">
        <v>4105</v>
      </c>
      <c r="M824" s="969"/>
      <c r="N824" s="970">
        <v>173</v>
      </c>
      <c r="O824" s="970">
        <v>0</v>
      </c>
      <c r="P824" s="970">
        <v>0</v>
      </c>
      <c r="Q824" s="969">
        <v>3232</v>
      </c>
      <c r="R824" s="969"/>
      <c r="S824" s="970">
        <v>2059</v>
      </c>
      <c r="T824" s="972">
        <v>-1926</v>
      </c>
      <c r="U824" s="972">
        <f>134-1</f>
        <v>133</v>
      </c>
    </row>
    <row r="825" spans="1:21" x14ac:dyDescent="0.25">
      <c r="A825" s="966">
        <v>99101</v>
      </c>
      <c r="B825" s="967" t="s">
        <v>3437</v>
      </c>
      <c r="C825" s="968">
        <v>2.1724000000000001E-3</v>
      </c>
      <c r="D825" s="968">
        <v>2.0087999999999998E-3</v>
      </c>
      <c r="E825" s="1007">
        <v>914274</v>
      </c>
      <c r="F825" s="1010">
        <v>4263347</v>
      </c>
      <c r="G825" s="969">
        <v>3318825</v>
      </c>
      <c r="H825" s="969"/>
      <c r="I825" s="970">
        <v>191195</v>
      </c>
      <c r="J825" s="971">
        <v>805815</v>
      </c>
      <c r="K825" s="970">
        <v>473974</v>
      </c>
      <c r="L825" s="969">
        <v>48335</v>
      </c>
      <c r="M825" s="969"/>
      <c r="N825" s="970">
        <v>93945</v>
      </c>
      <c r="O825" s="970">
        <v>0</v>
      </c>
      <c r="P825" s="970">
        <v>0</v>
      </c>
      <c r="Q825" s="969">
        <v>44900</v>
      </c>
      <c r="R825" s="969"/>
      <c r="S825" s="970">
        <v>1118447</v>
      </c>
      <c r="T825" s="972">
        <v>-14151</v>
      </c>
      <c r="U825" s="972">
        <v>1104296</v>
      </c>
    </row>
    <row r="826" spans="1:21" x14ac:dyDescent="0.25">
      <c r="A826" s="966">
        <v>99104</v>
      </c>
      <c r="B826" s="967" t="s">
        <v>3438</v>
      </c>
      <c r="C826" s="968">
        <v>3.3500000000000001E-5</v>
      </c>
      <c r="D826" s="968">
        <v>3.4799999999999999E-5</v>
      </c>
      <c r="E826" s="1007">
        <v>22874</v>
      </c>
      <c r="F826" s="1010">
        <v>73857</v>
      </c>
      <c r="G826" s="969">
        <v>51179</v>
      </c>
      <c r="H826" s="969"/>
      <c r="I826" s="970">
        <v>2948</v>
      </c>
      <c r="J826" s="971">
        <v>12426</v>
      </c>
      <c r="K826" s="970">
        <v>7309</v>
      </c>
      <c r="L826" s="969">
        <v>15217</v>
      </c>
      <c r="M826" s="969"/>
      <c r="N826" s="970">
        <v>1449</v>
      </c>
      <c r="O826" s="970">
        <v>0</v>
      </c>
      <c r="P826" s="970">
        <v>0</v>
      </c>
      <c r="Q826" s="969">
        <v>0</v>
      </c>
      <c r="R826" s="969"/>
      <c r="S826" s="970">
        <v>17247</v>
      </c>
      <c r="T826" s="972">
        <v>6167</v>
      </c>
      <c r="U826" s="972">
        <f>23415-1</f>
        <v>23414</v>
      </c>
    </row>
    <row r="827" spans="1:21" x14ac:dyDescent="0.25">
      <c r="A827" s="966">
        <v>99109</v>
      </c>
      <c r="B827" s="967" t="s">
        <v>3439</v>
      </c>
      <c r="C827" s="968">
        <v>1.2339999999999999E-4</v>
      </c>
      <c r="D827" s="968">
        <v>1.1849999999999999E-4</v>
      </c>
      <c r="E827" s="1007">
        <v>56338</v>
      </c>
      <c r="F827" s="1010">
        <v>251497</v>
      </c>
      <c r="G827" s="969">
        <v>188521</v>
      </c>
      <c r="H827" s="969"/>
      <c r="I827" s="970">
        <v>10861</v>
      </c>
      <c r="J827" s="971">
        <v>45773</v>
      </c>
      <c r="K827" s="970">
        <v>26923</v>
      </c>
      <c r="L827" s="969">
        <v>6454</v>
      </c>
      <c r="M827" s="969"/>
      <c r="N827" s="970">
        <v>5336</v>
      </c>
      <c r="O827" s="970">
        <v>0</v>
      </c>
      <c r="P827" s="970">
        <v>0</v>
      </c>
      <c r="Q827" s="969">
        <v>14208</v>
      </c>
      <c r="R827" s="969"/>
      <c r="S827" s="970">
        <v>63532</v>
      </c>
      <c r="T827" s="972">
        <v>-5391</v>
      </c>
      <c r="U827" s="972">
        <f>58140+1</f>
        <v>58141</v>
      </c>
    </row>
    <row r="828" spans="1:21" x14ac:dyDescent="0.25">
      <c r="A828" s="966">
        <v>99110</v>
      </c>
      <c r="B828" s="967" t="s">
        <v>3440</v>
      </c>
      <c r="C828" s="968">
        <v>1.7670000000000001E-4</v>
      </c>
      <c r="D828" s="968">
        <v>1.8369999999999999E-4</v>
      </c>
      <c r="E828" s="1007">
        <v>119963</v>
      </c>
      <c r="F828" s="1010">
        <v>389873</v>
      </c>
      <c r="G828" s="969">
        <v>269949</v>
      </c>
      <c r="H828" s="969"/>
      <c r="I828" s="970">
        <v>15552</v>
      </c>
      <c r="J828" s="971">
        <v>65544</v>
      </c>
      <c r="K828" s="970">
        <v>38552</v>
      </c>
      <c r="L828" s="969">
        <v>69046</v>
      </c>
      <c r="M828" s="969"/>
      <c r="N828" s="970">
        <v>7641</v>
      </c>
      <c r="O828" s="970">
        <v>0</v>
      </c>
      <c r="P828" s="970">
        <v>0</v>
      </c>
      <c r="Q828" s="969">
        <v>0</v>
      </c>
      <c r="R828" s="969"/>
      <c r="S828" s="970">
        <v>90973</v>
      </c>
      <c r="T828" s="972">
        <v>27602</v>
      </c>
      <c r="U828" s="972">
        <v>118575</v>
      </c>
    </row>
    <row r="829" spans="1:21" x14ac:dyDescent="0.25">
      <c r="A829" s="966">
        <v>99111</v>
      </c>
      <c r="B829" s="967" t="s">
        <v>3441</v>
      </c>
      <c r="C829" s="968">
        <v>1.2618E-3</v>
      </c>
      <c r="D829" s="968">
        <v>1.2757000000000001E-3</v>
      </c>
      <c r="E829" s="1007">
        <v>543583</v>
      </c>
      <c r="F829" s="1010">
        <v>2707463</v>
      </c>
      <c r="G829" s="969">
        <v>1927681</v>
      </c>
      <c r="H829" s="969"/>
      <c r="I829" s="970">
        <v>111052</v>
      </c>
      <c r="J829" s="971">
        <v>468043</v>
      </c>
      <c r="K829" s="970">
        <v>275300</v>
      </c>
      <c r="L829" s="969">
        <v>0</v>
      </c>
      <c r="M829" s="969"/>
      <c r="N829" s="970">
        <v>54567</v>
      </c>
      <c r="O829" s="970">
        <v>0</v>
      </c>
      <c r="P829" s="970">
        <v>0</v>
      </c>
      <c r="Q829" s="969">
        <v>143900</v>
      </c>
      <c r="R829" s="969"/>
      <c r="S829" s="970">
        <v>649630</v>
      </c>
      <c r="T829" s="972">
        <v>-68554</v>
      </c>
      <c r="U829" s="972">
        <v>581076</v>
      </c>
    </row>
    <row r="830" spans="1:21" x14ac:dyDescent="0.25">
      <c r="A830" s="966">
        <v>99201</v>
      </c>
      <c r="B830" s="967" t="s">
        <v>3442</v>
      </c>
      <c r="C830" s="968">
        <v>3.3297199999999999E-2</v>
      </c>
      <c r="D830" s="968">
        <v>3.22145E-2</v>
      </c>
      <c r="E830" s="1007">
        <v>15084487</v>
      </c>
      <c r="F830" s="1010">
        <v>68369961</v>
      </c>
      <c r="G830" s="969">
        <v>50868898</v>
      </c>
      <c r="H830" s="969"/>
      <c r="I830" s="970">
        <v>2930520</v>
      </c>
      <c r="J830" s="971">
        <v>12351030</v>
      </c>
      <c r="K830" s="970">
        <v>7264783</v>
      </c>
      <c r="L830" s="969">
        <v>1320745</v>
      </c>
      <c r="M830" s="969"/>
      <c r="N830" s="970">
        <v>1439937</v>
      </c>
      <c r="O830" s="970">
        <v>0</v>
      </c>
      <c r="P830" s="970">
        <v>0</v>
      </c>
      <c r="Q830" s="969">
        <v>241517</v>
      </c>
      <c r="R830" s="969"/>
      <c r="S830" s="970">
        <v>17142864</v>
      </c>
      <c r="T830" s="972">
        <v>242815</v>
      </c>
      <c r="U830" s="972">
        <v>17385679</v>
      </c>
    </row>
    <row r="831" spans="1:21" x14ac:dyDescent="0.25">
      <c r="A831" s="966">
        <v>99202</v>
      </c>
      <c r="B831" s="967" t="s">
        <v>3443</v>
      </c>
      <c r="C831" s="968">
        <v>2.5855000000000001E-3</v>
      </c>
      <c r="D831" s="968">
        <v>2.5138000000000001E-3</v>
      </c>
      <c r="E831" s="1007">
        <v>1072068</v>
      </c>
      <c r="F831" s="1010">
        <v>5335126</v>
      </c>
      <c r="G831" s="969">
        <v>3949928</v>
      </c>
      <c r="H831" s="969"/>
      <c r="I831" s="970">
        <v>227552</v>
      </c>
      <c r="J831" s="971">
        <v>959048</v>
      </c>
      <c r="K831" s="970">
        <v>564104</v>
      </c>
      <c r="L831" s="969">
        <v>0</v>
      </c>
      <c r="M831" s="969"/>
      <c r="N831" s="970">
        <v>111810</v>
      </c>
      <c r="O831" s="970">
        <v>0</v>
      </c>
      <c r="P831" s="970">
        <v>0</v>
      </c>
      <c r="Q831" s="969">
        <v>184130</v>
      </c>
      <c r="R831" s="969"/>
      <c r="S831" s="970">
        <v>1331129</v>
      </c>
      <c r="T831" s="972">
        <v>-73084</v>
      </c>
      <c r="U831" s="972">
        <v>1258045</v>
      </c>
    </row>
    <row r="832" spans="1:21" x14ac:dyDescent="0.25">
      <c r="A832" s="966">
        <v>99203</v>
      </c>
      <c r="B832" s="967" t="s">
        <v>3444</v>
      </c>
      <c r="C832" s="968">
        <v>3.0410000000000002E-4</v>
      </c>
      <c r="D832" s="968">
        <v>3.1990000000000002E-4</v>
      </c>
      <c r="E832" s="1007">
        <v>126936</v>
      </c>
      <c r="F832" s="1010">
        <v>678935</v>
      </c>
      <c r="G832" s="969">
        <v>464581</v>
      </c>
      <c r="H832" s="969"/>
      <c r="I832" s="970">
        <v>26764</v>
      </c>
      <c r="J832" s="971">
        <v>112801</v>
      </c>
      <c r="K832" s="970">
        <v>66349</v>
      </c>
      <c r="L832" s="969">
        <v>24433</v>
      </c>
      <c r="M832" s="969"/>
      <c r="N832" s="970">
        <v>13151</v>
      </c>
      <c r="O832" s="970">
        <v>0</v>
      </c>
      <c r="P832" s="970">
        <v>0</v>
      </c>
      <c r="Q832" s="969">
        <v>20730</v>
      </c>
      <c r="R832" s="969"/>
      <c r="S832" s="970">
        <v>156564</v>
      </c>
      <c r="T832" s="972">
        <v>11213</v>
      </c>
      <c r="U832" s="972">
        <v>167777</v>
      </c>
    </row>
    <row r="833" spans="1:21" x14ac:dyDescent="0.25">
      <c r="A833" s="966">
        <v>99204</v>
      </c>
      <c r="B833" s="967" t="s">
        <v>3445</v>
      </c>
      <c r="C833" s="968">
        <v>8.3549999999999998E-4</v>
      </c>
      <c r="D833" s="968">
        <v>7.4910000000000005E-4</v>
      </c>
      <c r="E833" s="1007">
        <v>375261</v>
      </c>
      <c r="F833" s="1010">
        <v>1589841</v>
      </c>
      <c r="G833" s="969">
        <v>1276413</v>
      </c>
      <c r="H833" s="969"/>
      <c r="I833" s="970">
        <v>73533</v>
      </c>
      <c r="J833" s="971">
        <v>309914</v>
      </c>
      <c r="K833" s="970">
        <v>182289</v>
      </c>
      <c r="L833" s="969">
        <v>108607</v>
      </c>
      <c r="M833" s="969"/>
      <c r="N833" s="970">
        <v>36131</v>
      </c>
      <c r="O833" s="970">
        <v>0</v>
      </c>
      <c r="P833" s="970">
        <v>0</v>
      </c>
      <c r="Q833" s="969">
        <v>0</v>
      </c>
      <c r="R833" s="969"/>
      <c r="S833" s="970">
        <v>430152</v>
      </c>
      <c r="T833" s="972">
        <v>37657</v>
      </c>
      <c r="U833" s="972">
        <v>467809</v>
      </c>
    </row>
    <row r="834" spans="1:21" x14ac:dyDescent="0.25">
      <c r="A834" s="966">
        <v>99206</v>
      </c>
      <c r="B834" s="967" t="s">
        <v>3446</v>
      </c>
      <c r="C834" s="968">
        <v>1.6957999999999999E-3</v>
      </c>
      <c r="D834" s="968">
        <v>1.6665E-3</v>
      </c>
      <c r="E834" s="1007">
        <v>1210225</v>
      </c>
      <c r="F834" s="1010">
        <v>3536871</v>
      </c>
      <c r="G834" s="969">
        <v>2590713</v>
      </c>
      <c r="H834" s="969"/>
      <c r="I834" s="970">
        <v>149249</v>
      </c>
      <c r="J834" s="971">
        <v>629028</v>
      </c>
      <c r="K834" s="970">
        <v>369990</v>
      </c>
      <c r="L834" s="969">
        <v>641271</v>
      </c>
      <c r="M834" s="969"/>
      <c r="N834" s="970">
        <v>73335</v>
      </c>
      <c r="O834" s="970">
        <v>0</v>
      </c>
      <c r="P834" s="970">
        <v>0</v>
      </c>
      <c r="Q834" s="969">
        <v>6741</v>
      </c>
      <c r="R834" s="969"/>
      <c r="S834" s="970">
        <v>873072</v>
      </c>
      <c r="T834" s="972">
        <v>209066</v>
      </c>
      <c r="U834" s="972">
        <f>1082139-1</f>
        <v>1082138</v>
      </c>
    </row>
    <row r="835" spans="1:21" x14ac:dyDescent="0.25">
      <c r="A835" s="966">
        <v>99207</v>
      </c>
      <c r="B835" s="967" t="s">
        <v>3678</v>
      </c>
      <c r="C835" s="968">
        <v>1.3329999999999999E-4</v>
      </c>
      <c r="D835" s="968">
        <v>1.3430000000000001E-4</v>
      </c>
      <c r="E835" s="1007">
        <v>175075</v>
      </c>
      <c r="F835" s="1010">
        <v>0</v>
      </c>
      <c r="G835" s="969">
        <v>203645</v>
      </c>
      <c r="H835" s="969"/>
      <c r="I835" s="970">
        <v>11732</v>
      </c>
      <c r="J835" s="971">
        <v>49445</v>
      </c>
      <c r="K835" s="970">
        <v>29083</v>
      </c>
      <c r="L835" s="969">
        <v>145724</v>
      </c>
      <c r="M835" s="969"/>
      <c r="N835" s="970">
        <v>5765</v>
      </c>
      <c r="O835" s="970">
        <v>0</v>
      </c>
      <c r="P835" s="970">
        <v>0</v>
      </c>
      <c r="Q835" s="969">
        <v>0</v>
      </c>
      <c r="R835" s="969"/>
      <c r="S835" s="970">
        <v>68629</v>
      </c>
      <c r="T835" s="972">
        <v>46901</v>
      </c>
      <c r="U835" s="972">
        <v>115530</v>
      </c>
    </row>
    <row r="836" spans="1:21" x14ac:dyDescent="0.25">
      <c r="A836" s="966">
        <v>99208</v>
      </c>
      <c r="B836" s="967" t="s">
        <v>3448</v>
      </c>
      <c r="C836" s="968">
        <v>1.4569999999999999E-4</v>
      </c>
      <c r="D836" s="968">
        <v>1.3669999999999999E-4</v>
      </c>
      <c r="E836" s="1007">
        <v>57804</v>
      </c>
      <c r="F836" s="1010">
        <v>290123</v>
      </c>
      <c r="G836" s="969">
        <v>222589</v>
      </c>
      <c r="H836" s="969"/>
      <c r="I836" s="970">
        <v>12823</v>
      </c>
      <c r="J836" s="971">
        <v>54045</v>
      </c>
      <c r="K836" s="970">
        <v>31789</v>
      </c>
      <c r="L836" s="969">
        <v>0</v>
      </c>
      <c r="M836" s="969"/>
      <c r="N836" s="970">
        <v>6301</v>
      </c>
      <c r="O836" s="970">
        <v>0</v>
      </c>
      <c r="P836" s="970">
        <v>0</v>
      </c>
      <c r="Q836" s="969">
        <v>38521</v>
      </c>
      <c r="R836" s="969"/>
      <c r="S836" s="970">
        <v>75013</v>
      </c>
      <c r="T836" s="972">
        <v>-20543</v>
      </c>
      <c r="U836" s="972">
        <v>54470</v>
      </c>
    </row>
    <row r="837" spans="1:21" x14ac:dyDescent="0.25">
      <c r="A837" s="966">
        <v>99210</v>
      </c>
      <c r="B837" s="967" t="s">
        <v>3449</v>
      </c>
      <c r="C837" s="968">
        <v>1.5943999999999999E-3</v>
      </c>
      <c r="D837" s="968">
        <v>1.5945E-3</v>
      </c>
      <c r="E837" s="1007">
        <v>789521</v>
      </c>
      <c r="F837" s="1010">
        <v>3384063</v>
      </c>
      <c r="G837" s="969">
        <v>2435802</v>
      </c>
      <c r="H837" s="969"/>
      <c r="I837" s="970">
        <v>140325</v>
      </c>
      <c r="J837" s="971">
        <v>591415</v>
      </c>
      <c r="K837" s="970">
        <v>347866</v>
      </c>
      <c r="L837" s="969">
        <v>99237</v>
      </c>
      <c r="M837" s="969"/>
      <c r="N837" s="970">
        <v>68950</v>
      </c>
      <c r="O837" s="970">
        <v>0</v>
      </c>
      <c r="P837" s="970">
        <v>0</v>
      </c>
      <c r="Q837" s="969">
        <v>0</v>
      </c>
      <c r="R837" s="969"/>
      <c r="S837" s="970">
        <v>820867</v>
      </c>
      <c r="T837" s="972">
        <v>39106</v>
      </c>
      <c r="U837" s="972">
        <f>859974-1</f>
        <v>859973</v>
      </c>
    </row>
    <row r="838" spans="1:21" x14ac:dyDescent="0.25">
      <c r="A838" s="966">
        <v>99211</v>
      </c>
      <c r="B838" s="967" t="s">
        <v>3450</v>
      </c>
      <c r="C838" s="968">
        <v>3.7100599999999997E-2</v>
      </c>
      <c r="D838" s="968">
        <v>3.8233999999999997E-2</v>
      </c>
      <c r="E838" s="1007">
        <v>16957539</v>
      </c>
      <c r="F838" s="1010">
        <v>81145356</v>
      </c>
      <c r="G838" s="969">
        <v>56679440</v>
      </c>
      <c r="H838" s="969"/>
      <c r="I838" s="970">
        <v>3265261</v>
      </c>
      <c r="J838" s="971">
        <v>13761837</v>
      </c>
      <c r="K838" s="970">
        <v>8094609</v>
      </c>
      <c r="L838" s="969">
        <v>0</v>
      </c>
      <c r="M838" s="969"/>
      <c r="N838" s="970">
        <v>1604415</v>
      </c>
      <c r="O838" s="970">
        <v>0</v>
      </c>
      <c r="P838" s="970">
        <v>0</v>
      </c>
      <c r="Q838" s="969">
        <v>1838947</v>
      </c>
      <c r="R838" s="969"/>
      <c r="S838" s="970">
        <v>19101021</v>
      </c>
      <c r="T838" s="972">
        <v>-724653</v>
      </c>
      <c r="U838" s="972">
        <f>18376369-1</f>
        <v>18376368</v>
      </c>
    </row>
    <row r="839" spans="1:21" x14ac:dyDescent="0.25">
      <c r="A839" s="966">
        <v>99212</v>
      </c>
      <c r="B839" s="967" t="s">
        <v>3451</v>
      </c>
      <c r="C839" s="968">
        <v>8.14E-5</v>
      </c>
      <c r="D839" s="968">
        <v>7.4400000000000006E-5</v>
      </c>
      <c r="E839" s="1007">
        <v>31805</v>
      </c>
      <c r="F839" s="1010">
        <v>157902</v>
      </c>
      <c r="G839" s="969">
        <v>124357</v>
      </c>
      <c r="H839" s="969"/>
      <c r="I839" s="970">
        <v>7164</v>
      </c>
      <c r="J839" s="971">
        <v>30194</v>
      </c>
      <c r="K839" s="970">
        <v>17760</v>
      </c>
      <c r="L839" s="969">
        <v>242</v>
      </c>
      <c r="M839" s="969"/>
      <c r="N839" s="970">
        <v>3520</v>
      </c>
      <c r="O839" s="970">
        <v>0</v>
      </c>
      <c r="P839" s="970">
        <v>0</v>
      </c>
      <c r="Q839" s="969">
        <v>34044</v>
      </c>
      <c r="R839" s="969"/>
      <c r="S839" s="970">
        <v>41908</v>
      </c>
      <c r="T839" s="972">
        <v>-15261</v>
      </c>
      <c r="U839" s="972">
        <v>26647</v>
      </c>
    </row>
    <row r="840" spans="1:21" x14ac:dyDescent="0.25">
      <c r="A840" s="966">
        <v>99213</v>
      </c>
      <c r="B840" s="967" t="s">
        <v>3452</v>
      </c>
      <c r="C840" s="968">
        <v>7.5159999999999995E-4</v>
      </c>
      <c r="D840" s="968">
        <v>8.0730000000000005E-4</v>
      </c>
      <c r="E840" s="1007">
        <v>353817</v>
      </c>
      <c r="F840" s="1010">
        <v>1713361</v>
      </c>
      <c r="G840" s="969">
        <v>1148237</v>
      </c>
      <c r="H840" s="969"/>
      <c r="I840" s="970">
        <v>66149</v>
      </c>
      <c r="J840" s="971">
        <v>278793</v>
      </c>
      <c r="K840" s="970">
        <v>163984</v>
      </c>
      <c r="L840" s="969">
        <v>6057</v>
      </c>
      <c r="M840" s="969"/>
      <c r="N840" s="970">
        <v>32503</v>
      </c>
      <c r="O840" s="970">
        <v>0</v>
      </c>
      <c r="P840" s="970">
        <v>0</v>
      </c>
      <c r="Q840" s="969">
        <v>45468</v>
      </c>
      <c r="R840" s="969"/>
      <c r="S840" s="970">
        <v>386957</v>
      </c>
      <c r="T840" s="972">
        <v>-10310</v>
      </c>
      <c r="U840" s="972">
        <f>376646+1</f>
        <v>376647</v>
      </c>
    </row>
    <row r="841" spans="1:21" x14ac:dyDescent="0.25">
      <c r="A841" s="966">
        <v>99218</v>
      </c>
      <c r="B841" s="967" t="s">
        <v>3453</v>
      </c>
      <c r="C841" s="968">
        <v>3.1162E-3</v>
      </c>
      <c r="D841" s="968">
        <v>3.1227999999999998E-3</v>
      </c>
      <c r="E841" s="1007">
        <v>1493014</v>
      </c>
      <c r="F841" s="1010">
        <v>6627628</v>
      </c>
      <c r="G841" s="969">
        <v>4760690</v>
      </c>
      <c r="H841" s="969"/>
      <c r="I841" s="970">
        <v>274260</v>
      </c>
      <c r="J841" s="971">
        <v>1155902</v>
      </c>
      <c r="K841" s="970">
        <v>679893</v>
      </c>
      <c r="L841" s="969">
        <v>179789</v>
      </c>
      <c r="M841" s="969"/>
      <c r="N841" s="970">
        <v>134760</v>
      </c>
      <c r="O841" s="970">
        <v>0</v>
      </c>
      <c r="P841" s="970">
        <v>0</v>
      </c>
      <c r="Q841" s="969">
        <v>0</v>
      </c>
      <c r="R841" s="969"/>
      <c r="S841" s="970">
        <v>1604357</v>
      </c>
      <c r="T841" s="972">
        <v>66860</v>
      </c>
      <c r="U841" s="972">
        <v>1671217</v>
      </c>
    </row>
    <row r="842" spans="1:21" x14ac:dyDescent="0.25">
      <c r="A842" s="966">
        <v>99221</v>
      </c>
      <c r="B842" s="967" t="s">
        <v>3454</v>
      </c>
      <c r="C842" s="968">
        <v>1.27709E-2</v>
      </c>
      <c r="D842" s="968">
        <v>1.3092700000000001E-2</v>
      </c>
      <c r="E842" s="1007">
        <v>5876509</v>
      </c>
      <c r="F842" s="1010">
        <v>27787095</v>
      </c>
      <c r="G842" s="969">
        <v>19510398</v>
      </c>
      <c r="H842" s="969"/>
      <c r="I842" s="970">
        <v>1123980</v>
      </c>
      <c r="J842" s="971">
        <v>4737148</v>
      </c>
      <c r="K842" s="970">
        <v>2786355</v>
      </c>
      <c r="L842" s="969">
        <v>0</v>
      </c>
      <c r="M842" s="969"/>
      <c r="N842" s="970">
        <v>552278</v>
      </c>
      <c r="O842" s="970">
        <v>0</v>
      </c>
      <c r="P842" s="970">
        <v>0</v>
      </c>
      <c r="Q842" s="969">
        <v>687802</v>
      </c>
      <c r="R842" s="969"/>
      <c r="S842" s="970">
        <v>6575021</v>
      </c>
      <c r="T842" s="972">
        <v>-271922</v>
      </c>
      <c r="U842" s="972">
        <v>6303099</v>
      </c>
    </row>
    <row r="843" spans="1:21" x14ac:dyDescent="0.25">
      <c r="A843" s="966">
        <v>99222</v>
      </c>
      <c r="B843" s="967" t="s">
        <v>3455</v>
      </c>
      <c r="C843" s="968">
        <v>3.9100000000000002E-5</v>
      </c>
      <c r="D843" s="968">
        <v>4.0099999999999999E-5</v>
      </c>
      <c r="E843" s="1007">
        <v>15446</v>
      </c>
      <c r="F843" s="1010">
        <v>85106</v>
      </c>
      <c r="G843" s="969">
        <v>59734</v>
      </c>
      <c r="H843" s="969"/>
      <c r="I843" s="970">
        <v>3441</v>
      </c>
      <c r="J843" s="971">
        <v>14504</v>
      </c>
      <c r="K843" s="970">
        <v>8531</v>
      </c>
      <c r="L843" s="969">
        <v>2307</v>
      </c>
      <c r="M843" s="969"/>
      <c r="N843" s="970">
        <v>1691</v>
      </c>
      <c r="O843" s="970">
        <v>0</v>
      </c>
      <c r="P843" s="970">
        <v>0</v>
      </c>
      <c r="Q843" s="969">
        <v>3585</v>
      </c>
      <c r="R843" s="969"/>
      <c r="S843" s="970">
        <v>20130</v>
      </c>
      <c r="T843" s="972">
        <v>281</v>
      </c>
      <c r="U843" s="972">
        <v>20411</v>
      </c>
    </row>
    <row r="844" spans="1:21" x14ac:dyDescent="0.25">
      <c r="A844" s="966">
        <v>99231</v>
      </c>
      <c r="B844" s="967" t="s">
        <v>3456</v>
      </c>
      <c r="C844" s="968">
        <v>3.7179999999999998E-4</v>
      </c>
      <c r="D844" s="968">
        <v>3.7869999999999999E-4</v>
      </c>
      <c r="E844" s="1007">
        <v>156904</v>
      </c>
      <c r="F844" s="1010">
        <v>803728</v>
      </c>
      <c r="G844" s="969">
        <v>568007</v>
      </c>
      <c r="H844" s="969"/>
      <c r="I844" s="970">
        <v>32722</v>
      </c>
      <c r="J844" s="971">
        <v>137913</v>
      </c>
      <c r="K844" s="970">
        <v>81119</v>
      </c>
      <c r="L844" s="969">
        <v>0</v>
      </c>
      <c r="M844" s="969"/>
      <c r="N844" s="970">
        <v>16078</v>
      </c>
      <c r="O844" s="970">
        <v>0</v>
      </c>
      <c r="P844" s="970">
        <v>0</v>
      </c>
      <c r="Q844" s="969">
        <v>31773</v>
      </c>
      <c r="R844" s="969"/>
      <c r="S844" s="970">
        <v>191419</v>
      </c>
      <c r="T844" s="972">
        <v>-14995</v>
      </c>
      <c r="U844" s="972">
        <v>176424</v>
      </c>
    </row>
    <row r="845" spans="1:21" x14ac:dyDescent="0.25">
      <c r="A845" s="966">
        <v>99241</v>
      </c>
      <c r="B845" s="967" t="s">
        <v>3457</v>
      </c>
      <c r="C845" s="968">
        <v>5.5329999999999995E-4</v>
      </c>
      <c r="D845" s="968">
        <v>5.6039999999999996E-4</v>
      </c>
      <c r="E845" s="1007">
        <v>226042</v>
      </c>
      <c r="F845" s="1010">
        <v>1189357</v>
      </c>
      <c r="G845" s="969">
        <v>845289</v>
      </c>
      <c r="H845" s="969"/>
      <c r="I845" s="970">
        <v>48696</v>
      </c>
      <c r="J845" s="971">
        <v>205238</v>
      </c>
      <c r="K845" s="970">
        <v>120719</v>
      </c>
      <c r="L845" s="969">
        <v>0</v>
      </c>
      <c r="M845" s="969"/>
      <c r="N845" s="970">
        <v>23927</v>
      </c>
      <c r="O845" s="970">
        <v>0</v>
      </c>
      <c r="P845" s="970">
        <v>0</v>
      </c>
      <c r="Q845" s="969">
        <v>103885</v>
      </c>
      <c r="R845" s="969"/>
      <c r="S845" s="970">
        <v>284863</v>
      </c>
      <c r="T845" s="972">
        <v>-52289</v>
      </c>
      <c r="U845" s="972">
        <f>232575-1</f>
        <v>232574</v>
      </c>
    </row>
    <row r="846" spans="1:21" x14ac:dyDescent="0.25">
      <c r="A846" s="966">
        <v>99251</v>
      </c>
      <c r="B846" s="967" t="s">
        <v>3458</v>
      </c>
      <c r="C846" s="968">
        <v>1.6069000000000001E-3</v>
      </c>
      <c r="D846" s="968">
        <v>1.6521000000000001E-3</v>
      </c>
      <c r="E846" s="1007">
        <v>745408</v>
      </c>
      <c r="F846" s="1010">
        <v>3506310</v>
      </c>
      <c r="G846" s="969">
        <v>2454898</v>
      </c>
      <c r="H846" s="969"/>
      <c r="I846" s="970">
        <v>141425</v>
      </c>
      <c r="J846" s="971">
        <v>596053</v>
      </c>
      <c r="K846" s="970">
        <v>350593</v>
      </c>
      <c r="L846" s="969">
        <v>2758</v>
      </c>
      <c r="M846" s="969"/>
      <c r="N846" s="970">
        <v>69490</v>
      </c>
      <c r="O846" s="970">
        <v>0</v>
      </c>
      <c r="P846" s="970">
        <v>0</v>
      </c>
      <c r="Q846" s="969">
        <v>31200</v>
      </c>
      <c r="R846" s="969"/>
      <c r="S846" s="970">
        <v>827303</v>
      </c>
      <c r="T846" s="972">
        <v>-11932</v>
      </c>
      <c r="U846" s="972">
        <v>815371</v>
      </c>
    </row>
    <row r="847" spans="1:21" x14ac:dyDescent="0.25">
      <c r="A847" s="966">
        <v>99252</v>
      </c>
      <c r="B847" s="967" t="s">
        <v>3459</v>
      </c>
      <c r="C847" s="968">
        <v>6.1269999999999999E-4</v>
      </c>
      <c r="D847" s="968">
        <v>5.8279999999999996E-4</v>
      </c>
      <c r="E847" s="1007">
        <v>212386</v>
      </c>
      <c r="F847" s="1010">
        <v>1236897</v>
      </c>
      <c r="G847" s="969">
        <v>936036</v>
      </c>
      <c r="H847" s="969"/>
      <c r="I847" s="970">
        <v>53924</v>
      </c>
      <c r="J847" s="971">
        <v>227271</v>
      </c>
      <c r="K847" s="970">
        <v>133679</v>
      </c>
      <c r="L847" s="969">
        <v>0</v>
      </c>
      <c r="M847" s="969"/>
      <c r="N847" s="970">
        <v>26496</v>
      </c>
      <c r="O847" s="970">
        <v>0</v>
      </c>
      <c r="P847" s="970">
        <v>0</v>
      </c>
      <c r="Q847" s="969">
        <v>202059</v>
      </c>
      <c r="R847" s="969"/>
      <c r="S847" s="970">
        <v>315445</v>
      </c>
      <c r="T847" s="972">
        <v>-85968</v>
      </c>
      <c r="U847" s="972">
        <v>229477</v>
      </c>
    </row>
    <row r="848" spans="1:21" x14ac:dyDescent="0.25">
      <c r="A848" s="966">
        <v>99261</v>
      </c>
      <c r="B848" s="967" t="s">
        <v>3460</v>
      </c>
      <c r="C848" s="968">
        <v>1.9938E-3</v>
      </c>
      <c r="D848" s="968">
        <v>1.9145E-3</v>
      </c>
      <c r="E848" s="1007">
        <v>808835</v>
      </c>
      <c r="F848" s="1010">
        <v>4063210</v>
      </c>
      <c r="G848" s="969">
        <v>3045974</v>
      </c>
      <c r="H848" s="969"/>
      <c r="I848" s="970">
        <v>175476</v>
      </c>
      <c r="J848" s="971">
        <v>739566</v>
      </c>
      <c r="K848" s="970">
        <v>435007</v>
      </c>
      <c r="L848" s="969">
        <v>0</v>
      </c>
      <c r="M848" s="969"/>
      <c r="N848" s="970">
        <v>86222</v>
      </c>
      <c r="O848" s="970">
        <v>0</v>
      </c>
      <c r="P848" s="970">
        <v>0</v>
      </c>
      <c r="Q848" s="969">
        <v>148472</v>
      </c>
      <c r="R848" s="969"/>
      <c r="S848" s="970">
        <v>1026496</v>
      </c>
      <c r="T848" s="972">
        <v>-69364</v>
      </c>
      <c r="U848" s="972">
        <v>957132</v>
      </c>
    </row>
    <row r="849" spans="1:21" x14ac:dyDescent="0.25">
      <c r="A849" s="966">
        <v>99271</v>
      </c>
      <c r="B849" s="967" t="s">
        <v>3461</v>
      </c>
      <c r="C849" s="968">
        <v>4.0137000000000003E-3</v>
      </c>
      <c r="D849" s="968">
        <v>3.9248E-3</v>
      </c>
      <c r="E849" s="1007">
        <v>1751675</v>
      </c>
      <c r="F849" s="1010">
        <v>8329740</v>
      </c>
      <c r="G849" s="969">
        <v>6131822</v>
      </c>
      <c r="H849" s="969"/>
      <c r="I849" s="970">
        <v>353250</v>
      </c>
      <c r="J849" s="971">
        <v>1488814</v>
      </c>
      <c r="K849" s="970">
        <v>875709</v>
      </c>
      <c r="L849" s="969">
        <v>0</v>
      </c>
      <c r="M849" s="969"/>
      <c r="N849" s="970">
        <v>173572</v>
      </c>
      <c r="O849" s="970">
        <v>0</v>
      </c>
      <c r="P849" s="970">
        <v>0</v>
      </c>
      <c r="Q849" s="969">
        <v>122792</v>
      </c>
      <c r="R849" s="969"/>
      <c r="S849" s="970">
        <v>2066429</v>
      </c>
      <c r="T849" s="972">
        <v>-45302</v>
      </c>
      <c r="U849" s="972">
        <v>2021127</v>
      </c>
    </row>
    <row r="850" spans="1:21" x14ac:dyDescent="0.25">
      <c r="A850" s="966">
        <v>99281</v>
      </c>
      <c r="B850" s="967" t="s">
        <v>3462</v>
      </c>
      <c r="C850" s="968">
        <v>2.2918999999999999E-3</v>
      </c>
      <c r="D850" s="968">
        <v>2.2824E-3</v>
      </c>
      <c r="E850" s="1007">
        <v>984780</v>
      </c>
      <c r="F850" s="1010">
        <v>4844017</v>
      </c>
      <c r="G850" s="969">
        <v>3501388</v>
      </c>
      <c r="H850" s="969"/>
      <c r="I850" s="970">
        <v>201712</v>
      </c>
      <c r="J850" s="971">
        <v>850141</v>
      </c>
      <c r="K850" s="970">
        <v>500047</v>
      </c>
      <c r="L850" s="969">
        <v>6743</v>
      </c>
      <c r="M850" s="969"/>
      <c r="N850" s="970">
        <v>99113</v>
      </c>
      <c r="O850" s="970">
        <v>0</v>
      </c>
      <c r="P850" s="970">
        <v>0</v>
      </c>
      <c r="Q850" s="969">
        <v>128585</v>
      </c>
      <c r="R850" s="969"/>
      <c r="S850" s="970">
        <v>1179971</v>
      </c>
      <c r="T850" s="972">
        <v>-37280</v>
      </c>
      <c r="U850" s="972">
        <v>1142691</v>
      </c>
    </row>
    <row r="851" spans="1:21" x14ac:dyDescent="0.25">
      <c r="A851" s="966">
        <v>99291</v>
      </c>
      <c r="B851" s="967" t="s">
        <v>3463</v>
      </c>
      <c r="C851" s="968">
        <v>7.3499999999999998E-4</v>
      </c>
      <c r="D851" s="968">
        <v>7.7260000000000002E-4</v>
      </c>
      <c r="E851" s="1007">
        <v>299576</v>
      </c>
      <c r="F851" s="1010">
        <v>1639716</v>
      </c>
      <c r="G851" s="969">
        <v>1122876</v>
      </c>
      <c r="H851" s="969"/>
      <c r="I851" s="970">
        <v>64688</v>
      </c>
      <c r="J851" s="971">
        <v>272636</v>
      </c>
      <c r="K851" s="970">
        <v>160362</v>
      </c>
      <c r="L851" s="969">
        <v>0</v>
      </c>
      <c r="M851" s="969"/>
      <c r="N851" s="970">
        <v>31785</v>
      </c>
      <c r="O851" s="970">
        <v>0</v>
      </c>
      <c r="P851" s="970">
        <v>0</v>
      </c>
      <c r="Q851" s="969">
        <v>137813</v>
      </c>
      <c r="R851" s="969"/>
      <c r="S851" s="970">
        <v>378410</v>
      </c>
      <c r="T851" s="972">
        <v>-55575</v>
      </c>
      <c r="U851" s="972">
        <v>322835</v>
      </c>
    </row>
    <row r="852" spans="1:21" x14ac:dyDescent="0.25">
      <c r="A852" s="966">
        <v>99301</v>
      </c>
      <c r="B852" s="967" t="s">
        <v>3464</v>
      </c>
      <c r="C852" s="968">
        <v>1.7879E-3</v>
      </c>
      <c r="D852" s="968">
        <v>1.8458000000000001E-3</v>
      </c>
      <c r="E852" s="1007">
        <v>788880</v>
      </c>
      <c r="F852" s="1010">
        <v>3917406</v>
      </c>
      <c r="G852" s="969">
        <v>2731416</v>
      </c>
      <c r="H852" s="969"/>
      <c r="I852" s="970">
        <v>157355</v>
      </c>
      <c r="J852" s="971">
        <v>663191</v>
      </c>
      <c r="K852" s="970">
        <v>390084</v>
      </c>
      <c r="L852" s="969">
        <v>67408</v>
      </c>
      <c r="M852" s="969"/>
      <c r="N852" s="970">
        <v>77318</v>
      </c>
      <c r="O852" s="970">
        <v>0</v>
      </c>
      <c r="P852" s="970">
        <v>0</v>
      </c>
      <c r="Q852" s="969">
        <v>65062</v>
      </c>
      <c r="R852" s="969"/>
      <c r="S852" s="970">
        <v>920490</v>
      </c>
      <c r="T852" s="972">
        <v>38686</v>
      </c>
      <c r="U852" s="972">
        <f>959175+1</f>
        <v>959176</v>
      </c>
    </row>
    <row r="853" spans="1:21" x14ac:dyDescent="0.25">
      <c r="A853" s="966">
        <v>99304</v>
      </c>
      <c r="B853" s="967" t="s">
        <v>3465</v>
      </c>
      <c r="C853" s="968">
        <v>9.2E-6</v>
      </c>
      <c r="D853" s="968">
        <v>9.9000000000000001E-6</v>
      </c>
      <c r="E853" s="1007">
        <v>7554</v>
      </c>
      <c r="F853" s="1010">
        <v>21011</v>
      </c>
      <c r="G853" s="969">
        <v>14055</v>
      </c>
      <c r="H853" s="969"/>
      <c r="I853" s="970">
        <v>810</v>
      </c>
      <c r="J853" s="971">
        <v>3412</v>
      </c>
      <c r="K853" s="970">
        <v>2007</v>
      </c>
      <c r="L853" s="969">
        <v>4659</v>
      </c>
      <c r="M853" s="969"/>
      <c r="N853" s="970">
        <v>398</v>
      </c>
      <c r="O853" s="970">
        <v>0</v>
      </c>
      <c r="P853" s="970">
        <v>0</v>
      </c>
      <c r="Q853" s="969">
        <v>248</v>
      </c>
      <c r="R853" s="969"/>
      <c r="S853" s="970">
        <v>4737</v>
      </c>
      <c r="T853" s="972">
        <v>1371</v>
      </c>
      <c r="U853" s="972">
        <f>6107+1</f>
        <v>6108</v>
      </c>
    </row>
    <row r="854" spans="1:21" x14ac:dyDescent="0.25">
      <c r="A854" s="966">
        <v>99311</v>
      </c>
      <c r="B854" s="967" t="s">
        <v>3466</v>
      </c>
      <c r="C854" s="968">
        <v>5.4299999999999998E-5</v>
      </c>
      <c r="D854" s="968">
        <v>5.7599999999999997E-5</v>
      </c>
      <c r="E854" s="1007">
        <v>25361</v>
      </c>
      <c r="F854" s="1010">
        <v>122246</v>
      </c>
      <c r="G854" s="969">
        <v>82955</v>
      </c>
      <c r="H854" s="969"/>
      <c r="I854" s="970">
        <v>4779</v>
      </c>
      <c r="J854" s="971">
        <v>20142</v>
      </c>
      <c r="K854" s="970">
        <v>11847</v>
      </c>
      <c r="L854" s="969">
        <v>0</v>
      </c>
      <c r="M854" s="969"/>
      <c r="N854" s="970">
        <v>2348</v>
      </c>
      <c r="O854" s="970">
        <v>0</v>
      </c>
      <c r="P854" s="970">
        <v>0</v>
      </c>
      <c r="Q854" s="969">
        <v>6758</v>
      </c>
      <c r="R854" s="969"/>
      <c r="S854" s="970">
        <v>27956</v>
      </c>
      <c r="T854" s="972">
        <v>-3216</v>
      </c>
      <c r="U854" s="972">
        <v>24740</v>
      </c>
    </row>
    <row r="855" spans="1:21" x14ac:dyDescent="0.25">
      <c r="A855" s="966">
        <v>99321</v>
      </c>
      <c r="B855" s="967" t="s">
        <v>3467</v>
      </c>
      <c r="C855" s="968">
        <v>1.1E-4</v>
      </c>
      <c r="D855" s="968">
        <v>1.1909999999999999E-4</v>
      </c>
      <c r="E855" s="1007">
        <v>98498</v>
      </c>
      <c r="F855" s="1010">
        <v>252770</v>
      </c>
      <c r="G855" s="969">
        <v>168050</v>
      </c>
      <c r="H855" s="969"/>
      <c r="I855" s="970">
        <v>9681</v>
      </c>
      <c r="J855" s="971">
        <v>40803</v>
      </c>
      <c r="K855" s="970">
        <v>24000</v>
      </c>
      <c r="L855" s="969">
        <v>96146</v>
      </c>
      <c r="M855" s="969"/>
      <c r="N855" s="970">
        <v>4757</v>
      </c>
      <c r="O855" s="970">
        <v>0</v>
      </c>
      <c r="P855" s="970">
        <v>0</v>
      </c>
      <c r="Q855" s="969">
        <v>0</v>
      </c>
      <c r="R855" s="969"/>
      <c r="S855" s="970">
        <v>56633</v>
      </c>
      <c r="T855" s="972">
        <v>41980</v>
      </c>
      <c r="U855" s="972">
        <v>98613</v>
      </c>
    </row>
    <row r="856" spans="1:21" x14ac:dyDescent="0.25">
      <c r="A856" s="966">
        <v>99401</v>
      </c>
      <c r="B856" s="967" t="s">
        <v>3468</v>
      </c>
      <c r="C856" s="968">
        <v>9.2389999999999996E-4</v>
      </c>
      <c r="D856" s="968">
        <v>9.3869999999999999E-4</v>
      </c>
      <c r="E856" s="1007">
        <v>414565</v>
      </c>
      <c r="F856" s="1010">
        <v>1992236</v>
      </c>
      <c r="G856" s="969">
        <v>1411463</v>
      </c>
      <c r="H856" s="969"/>
      <c r="I856" s="970">
        <v>81313</v>
      </c>
      <c r="J856" s="971">
        <v>342705</v>
      </c>
      <c r="K856" s="970">
        <v>201577</v>
      </c>
      <c r="L856" s="969">
        <v>34240</v>
      </c>
      <c r="M856" s="969"/>
      <c r="N856" s="970">
        <v>39954</v>
      </c>
      <c r="O856" s="970">
        <v>0</v>
      </c>
      <c r="P856" s="970">
        <v>0</v>
      </c>
      <c r="Q856" s="969">
        <v>17589</v>
      </c>
      <c r="R856" s="969"/>
      <c r="S856" s="970">
        <v>475664</v>
      </c>
      <c r="T856" s="972">
        <v>22297</v>
      </c>
      <c r="U856" s="972">
        <v>497961</v>
      </c>
    </row>
    <row r="857" spans="1:21" x14ac:dyDescent="0.25">
      <c r="A857" s="966">
        <v>99404</v>
      </c>
      <c r="B857" s="967" t="s">
        <v>3469</v>
      </c>
      <c r="C857" s="968">
        <v>9.3999999999999998E-6</v>
      </c>
      <c r="D857" s="968">
        <v>9.5999999999999996E-6</v>
      </c>
      <c r="E857" s="1007">
        <v>5393</v>
      </c>
      <c r="F857" s="1010">
        <v>20374</v>
      </c>
      <c r="G857" s="969">
        <v>14361</v>
      </c>
      <c r="H857" s="969"/>
      <c r="I857" s="970">
        <v>827</v>
      </c>
      <c r="J857" s="971">
        <v>3487</v>
      </c>
      <c r="K857" s="970">
        <v>2051</v>
      </c>
      <c r="L857" s="969">
        <v>1334</v>
      </c>
      <c r="M857" s="969"/>
      <c r="N857" s="970">
        <v>407</v>
      </c>
      <c r="O857" s="970">
        <v>0</v>
      </c>
      <c r="P857" s="970">
        <v>0</v>
      </c>
      <c r="Q857" s="969">
        <v>0</v>
      </c>
      <c r="R857" s="969"/>
      <c r="S857" s="970">
        <v>4840</v>
      </c>
      <c r="T857" s="972">
        <v>466</v>
      </c>
      <c r="U857" s="972">
        <v>5306</v>
      </c>
    </row>
    <row r="858" spans="1:21" x14ac:dyDescent="0.25">
      <c r="A858" s="966">
        <v>99405</v>
      </c>
      <c r="B858" s="967" t="s">
        <v>3470</v>
      </c>
      <c r="C858" s="968">
        <v>6.2700000000000006E-5</v>
      </c>
      <c r="D858" s="968">
        <v>5.8100000000000003E-5</v>
      </c>
      <c r="E858" s="1007">
        <v>37798</v>
      </c>
      <c r="F858" s="1010">
        <v>123308</v>
      </c>
      <c r="G858" s="969">
        <v>95788</v>
      </c>
      <c r="H858" s="969"/>
      <c r="I858" s="970">
        <v>5518</v>
      </c>
      <c r="J858" s="971">
        <v>23258</v>
      </c>
      <c r="K858" s="970">
        <v>13680</v>
      </c>
      <c r="L858" s="969">
        <v>18380</v>
      </c>
      <c r="M858" s="969"/>
      <c r="N858" s="970">
        <v>2711</v>
      </c>
      <c r="O858" s="970">
        <v>0</v>
      </c>
      <c r="P858" s="970">
        <v>0</v>
      </c>
      <c r="Q858" s="969">
        <v>336</v>
      </c>
      <c r="R858" s="969"/>
      <c r="S858" s="970">
        <v>32281</v>
      </c>
      <c r="T858" s="972">
        <v>6084</v>
      </c>
      <c r="U858" s="972">
        <f>38364+1</f>
        <v>38365</v>
      </c>
    </row>
    <row r="859" spans="1:21" x14ac:dyDescent="0.25">
      <c r="A859" s="966">
        <v>99411</v>
      </c>
      <c r="B859" s="967" t="s">
        <v>3471</v>
      </c>
      <c r="C859" s="968">
        <v>1.583E-4</v>
      </c>
      <c r="D859" s="968">
        <v>1.2510000000000001E-4</v>
      </c>
      <c r="E859" s="1007">
        <v>75833</v>
      </c>
      <c r="F859" s="1010">
        <v>265504</v>
      </c>
      <c r="G859" s="969">
        <v>241839</v>
      </c>
      <c r="H859" s="969"/>
      <c r="I859" s="970">
        <v>13932</v>
      </c>
      <c r="J859" s="971">
        <v>58719</v>
      </c>
      <c r="K859" s="970">
        <v>34538</v>
      </c>
      <c r="L859" s="969">
        <v>41924</v>
      </c>
      <c r="M859" s="969"/>
      <c r="N859" s="970">
        <v>6846</v>
      </c>
      <c r="O859" s="970">
        <v>0</v>
      </c>
      <c r="P859" s="970">
        <v>0</v>
      </c>
      <c r="Q859" s="969">
        <v>4400</v>
      </c>
      <c r="R859" s="969"/>
      <c r="S859" s="970">
        <v>81500</v>
      </c>
      <c r="T859" s="972">
        <v>8626</v>
      </c>
      <c r="U859" s="972">
        <v>90126</v>
      </c>
    </row>
    <row r="860" spans="1:21" x14ac:dyDescent="0.25">
      <c r="A860" s="966">
        <v>99413</v>
      </c>
      <c r="B860" s="967" t="s">
        <v>3472</v>
      </c>
      <c r="C860" s="968">
        <v>3.1099999999999997E-5</v>
      </c>
      <c r="D860" s="968">
        <v>2.76E-5</v>
      </c>
      <c r="E860" s="1007">
        <v>18530</v>
      </c>
      <c r="F860" s="1010">
        <v>58576</v>
      </c>
      <c r="G860" s="969">
        <v>47512</v>
      </c>
      <c r="H860" s="969"/>
      <c r="I860" s="970">
        <v>2737</v>
      </c>
      <c r="J860" s="971">
        <v>11536</v>
      </c>
      <c r="K860" s="970">
        <v>6785</v>
      </c>
      <c r="L860" s="969">
        <v>5754</v>
      </c>
      <c r="M860" s="969"/>
      <c r="N860" s="970">
        <v>1345</v>
      </c>
      <c r="O860" s="970">
        <v>0</v>
      </c>
      <c r="P860" s="970">
        <v>0</v>
      </c>
      <c r="Q860" s="969">
        <v>3024</v>
      </c>
      <c r="R860" s="969"/>
      <c r="S860" s="970">
        <v>16012</v>
      </c>
      <c r="T860" s="972">
        <v>202</v>
      </c>
      <c r="U860" s="972">
        <v>16214</v>
      </c>
    </row>
    <row r="861" spans="1:21" x14ac:dyDescent="0.25">
      <c r="A861" s="966">
        <v>99421</v>
      </c>
      <c r="B861" s="967" t="s">
        <v>3473</v>
      </c>
      <c r="C861" s="968">
        <v>1.04E-5</v>
      </c>
      <c r="D861" s="968">
        <v>1.5E-5</v>
      </c>
      <c r="E861" s="1007">
        <v>6211</v>
      </c>
      <c r="F861" s="1010">
        <v>31835</v>
      </c>
      <c r="G861" s="969">
        <v>15888</v>
      </c>
      <c r="H861" s="969"/>
      <c r="I861" s="970">
        <v>915</v>
      </c>
      <c r="J861" s="971">
        <v>3858</v>
      </c>
      <c r="K861" s="970">
        <v>2269</v>
      </c>
      <c r="L861" s="969">
        <v>764</v>
      </c>
      <c r="M861" s="969"/>
      <c r="N861" s="970">
        <v>450</v>
      </c>
      <c r="O861" s="970">
        <v>0</v>
      </c>
      <c r="P861" s="970">
        <v>0</v>
      </c>
      <c r="Q861" s="969">
        <v>5440</v>
      </c>
      <c r="R861" s="969"/>
      <c r="S861" s="970">
        <v>5354</v>
      </c>
      <c r="T861" s="972">
        <v>-1116</v>
      </c>
      <c r="U861" s="972">
        <v>4238</v>
      </c>
    </row>
    <row r="862" spans="1:21" x14ac:dyDescent="0.25">
      <c r="A862" s="966">
        <v>99431</v>
      </c>
      <c r="B862" s="967" t="s">
        <v>3474</v>
      </c>
      <c r="C862" s="968">
        <v>2.2200000000000001E-5</v>
      </c>
      <c r="D862" s="968">
        <v>2.16E-5</v>
      </c>
      <c r="E862" s="1007">
        <v>7581</v>
      </c>
      <c r="F862" s="1010">
        <v>45842</v>
      </c>
      <c r="G862" s="969">
        <v>33915</v>
      </c>
      <c r="H862" s="969"/>
      <c r="I862" s="970">
        <v>1954</v>
      </c>
      <c r="J862" s="971">
        <v>8235</v>
      </c>
      <c r="K862" s="970">
        <v>4844</v>
      </c>
      <c r="L862" s="969">
        <v>1071</v>
      </c>
      <c r="M862" s="969"/>
      <c r="N862" s="970">
        <v>960</v>
      </c>
      <c r="O862" s="970">
        <v>0</v>
      </c>
      <c r="P862" s="970">
        <v>0</v>
      </c>
      <c r="Q862" s="969">
        <v>3001</v>
      </c>
      <c r="R862" s="969"/>
      <c r="S862" s="970">
        <v>11430</v>
      </c>
      <c r="T862" s="972">
        <v>119</v>
      </c>
      <c r="U862" s="972">
        <v>11549</v>
      </c>
    </row>
    <row r="863" spans="1:21" x14ac:dyDescent="0.25">
      <c r="A863" s="966">
        <v>99501</v>
      </c>
      <c r="B863" s="967" t="s">
        <v>3475</v>
      </c>
      <c r="C863" s="968">
        <v>1.6785000000000001E-3</v>
      </c>
      <c r="D863" s="968">
        <v>1.7390000000000001E-3</v>
      </c>
      <c r="E863" s="1007">
        <v>794395</v>
      </c>
      <c r="F863" s="1010">
        <v>3690741</v>
      </c>
      <c r="G863" s="969">
        <v>2564283</v>
      </c>
      <c r="H863" s="969"/>
      <c r="I863" s="970">
        <v>147726</v>
      </c>
      <c r="J863" s="971">
        <v>622611</v>
      </c>
      <c r="K863" s="970">
        <v>366215</v>
      </c>
      <c r="L863" s="969">
        <v>3764</v>
      </c>
      <c r="M863" s="969"/>
      <c r="N863" s="970">
        <v>72587</v>
      </c>
      <c r="O863" s="970">
        <v>0</v>
      </c>
      <c r="P863" s="970">
        <v>0</v>
      </c>
      <c r="Q863" s="969">
        <v>21505</v>
      </c>
      <c r="R863" s="969"/>
      <c r="S863" s="970">
        <v>864166</v>
      </c>
      <c r="T863" s="972">
        <v>-3415</v>
      </c>
      <c r="U863" s="972">
        <f>860750+1</f>
        <v>860751</v>
      </c>
    </row>
    <row r="864" spans="1:21" x14ac:dyDescent="0.25">
      <c r="A864" s="966">
        <v>99502</v>
      </c>
      <c r="B864" s="967" t="s">
        <v>3476</v>
      </c>
      <c r="C864" s="968">
        <v>1.373E-4</v>
      </c>
      <c r="D864" s="968">
        <v>1.3779999999999999E-4</v>
      </c>
      <c r="E864" s="1007">
        <v>65831</v>
      </c>
      <c r="F864" s="1010">
        <v>292458</v>
      </c>
      <c r="G864" s="969">
        <v>209756</v>
      </c>
      <c r="H864" s="969"/>
      <c r="I864" s="970">
        <v>12084</v>
      </c>
      <c r="J864" s="971">
        <v>50929</v>
      </c>
      <c r="K864" s="970">
        <v>29956</v>
      </c>
      <c r="L864" s="969">
        <v>21393</v>
      </c>
      <c r="M864" s="969"/>
      <c r="N864" s="970">
        <v>5938</v>
      </c>
      <c r="O864" s="970">
        <v>0</v>
      </c>
      <c r="P864" s="970">
        <v>0</v>
      </c>
      <c r="Q864" s="969">
        <v>71</v>
      </c>
      <c r="R864" s="969"/>
      <c r="S864" s="970">
        <v>70688</v>
      </c>
      <c r="T864" s="972">
        <v>9456</v>
      </c>
      <c r="U864" s="972">
        <v>80144</v>
      </c>
    </row>
    <row r="865" spans="1:21" x14ac:dyDescent="0.25">
      <c r="A865" s="966">
        <v>99508</v>
      </c>
      <c r="B865" s="967" t="s">
        <v>3477</v>
      </c>
      <c r="C865" s="968">
        <v>2.2099999999999998E-5</v>
      </c>
      <c r="D865" s="968">
        <v>2.1699999999999999E-5</v>
      </c>
      <c r="E865" s="1007">
        <v>9857</v>
      </c>
      <c r="F865" s="1010">
        <v>46055</v>
      </c>
      <c r="G865" s="969">
        <v>33763</v>
      </c>
      <c r="H865" s="969"/>
      <c r="I865" s="970">
        <v>1945</v>
      </c>
      <c r="J865" s="971">
        <v>8198</v>
      </c>
      <c r="K865" s="970">
        <v>4822</v>
      </c>
      <c r="L865" s="969">
        <v>37</v>
      </c>
      <c r="M865" s="969"/>
      <c r="N865" s="970">
        <v>956</v>
      </c>
      <c r="O865" s="970">
        <v>0</v>
      </c>
      <c r="P865" s="970">
        <v>0</v>
      </c>
      <c r="Q865" s="969">
        <v>1571</v>
      </c>
      <c r="R865" s="969"/>
      <c r="S865" s="970">
        <v>11378</v>
      </c>
      <c r="T865" s="972">
        <v>-984</v>
      </c>
      <c r="U865" s="972">
        <v>10394</v>
      </c>
    </row>
    <row r="866" spans="1:21" x14ac:dyDescent="0.25">
      <c r="A866" s="966">
        <v>99509</v>
      </c>
      <c r="B866" s="967" t="s">
        <v>3478</v>
      </c>
      <c r="C866" s="968">
        <v>2.76E-5</v>
      </c>
      <c r="D866" s="968">
        <v>2.8900000000000001E-5</v>
      </c>
      <c r="E866" s="1007">
        <v>11410</v>
      </c>
      <c r="F866" s="1010">
        <v>61335</v>
      </c>
      <c r="G866" s="969">
        <v>42165</v>
      </c>
      <c r="H866" s="969"/>
      <c r="I866" s="970">
        <v>2429</v>
      </c>
      <c r="J866" s="971">
        <v>10238</v>
      </c>
      <c r="K866" s="970">
        <v>6022</v>
      </c>
      <c r="L866" s="969">
        <v>0</v>
      </c>
      <c r="M866" s="969"/>
      <c r="N866" s="970">
        <v>1194</v>
      </c>
      <c r="O866" s="970">
        <v>0</v>
      </c>
      <c r="P866" s="970">
        <v>0</v>
      </c>
      <c r="Q866" s="969">
        <v>6512</v>
      </c>
      <c r="R866" s="969"/>
      <c r="S866" s="970">
        <v>14210</v>
      </c>
      <c r="T866" s="972">
        <v>-4301</v>
      </c>
      <c r="U866" s="972">
        <v>9909</v>
      </c>
    </row>
    <row r="867" spans="1:21" x14ac:dyDescent="0.25">
      <c r="A867" s="966">
        <v>99511</v>
      </c>
      <c r="B867" s="967" t="s">
        <v>3479</v>
      </c>
      <c r="C867" s="968">
        <v>1.4048999999999999E-3</v>
      </c>
      <c r="D867" s="968">
        <v>1.3638000000000001E-3</v>
      </c>
      <c r="E867" s="1007">
        <v>579707</v>
      </c>
      <c r="F867" s="1010">
        <v>2894440</v>
      </c>
      <c r="G867" s="969">
        <v>2146298</v>
      </c>
      <c r="H867" s="969"/>
      <c r="I867" s="970">
        <v>123647</v>
      </c>
      <c r="J867" s="971">
        <v>521124</v>
      </c>
      <c r="K867" s="970">
        <v>306521</v>
      </c>
      <c r="L867" s="969">
        <v>4500</v>
      </c>
      <c r="M867" s="969"/>
      <c r="N867" s="970">
        <v>60755</v>
      </c>
      <c r="O867" s="970">
        <v>0</v>
      </c>
      <c r="P867" s="970">
        <v>0</v>
      </c>
      <c r="Q867" s="969">
        <v>85381</v>
      </c>
      <c r="R867" s="969"/>
      <c r="S867" s="970">
        <v>723304</v>
      </c>
      <c r="T867" s="972">
        <v>-30654</v>
      </c>
      <c r="U867" s="972">
        <v>692650</v>
      </c>
    </row>
    <row r="868" spans="1:21" x14ac:dyDescent="0.25">
      <c r="A868" s="966">
        <v>99521</v>
      </c>
      <c r="B868" s="967" t="s">
        <v>3480</v>
      </c>
      <c r="C868" s="968">
        <v>4.2700000000000002E-4</v>
      </c>
      <c r="D868" s="968">
        <v>4.0180000000000001E-4</v>
      </c>
      <c r="E868" s="1007">
        <v>176536</v>
      </c>
      <c r="F868" s="1010">
        <v>852754</v>
      </c>
      <c r="G868" s="969">
        <v>652338</v>
      </c>
      <c r="H868" s="969"/>
      <c r="I868" s="970">
        <v>37581</v>
      </c>
      <c r="J868" s="971">
        <v>158389</v>
      </c>
      <c r="K868" s="970">
        <v>93163</v>
      </c>
      <c r="L868" s="969">
        <v>2015</v>
      </c>
      <c r="M868" s="969"/>
      <c r="N868" s="970">
        <v>18466</v>
      </c>
      <c r="O868" s="970">
        <v>0</v>
      </c>
      <c r="P868" s="970">
        <v>0</v>
      </c>
      <c r="Q868" s="969">
        <v>15563</v>
      </c>
      <c r="R868" s="969"/>
      <c r="S868" s="970">
        <v>219838</v>
      </c>
      <c r="T868" s="972">
        <v>-5081</v>
      </c>
      <c r="U868" s="972">
        <v>214757</v>
      </c>
    </row>
    <row r="869" spans="1:21" x14ac:dyDescent="0.25">
      <c r="A869" s="966">
        <v>99527</v>
      </c>
      <c r="B869" s="967" t="s">
        <v>3481</v>
      </c>
      <c r="C869" s="968">
        <v>1.19E-5</v>
      </c>
      <c r="D869" s="968">
        <v>1.2099999999999999E-5</v>
      </c>
      <c r="E869" s="1007">
        <v>5941</v>
      </c>
      <c r="F869" s="1010">
        <v>25680</v>
      </c>
      <c r="G869" s="969">
        <v>18180</v>
      </c>
      <c r="H869" s="969"/>
      <c r="I869" s="970">
        <v>1047</v>
      </c>
      <c r="J869" s="971">
        <v>4414</v>
      </c>
      <c r="K869" s="970">
        <v>2596</v>
      </c>
      <c r="L869" s="969">
        <v>1124</v>
      </c>
      <c r="M869" s="969"/>
      <c r="N869" s="970">
        <v>515</v>
      </c>
      <c r="O869" s="970">
        <v>0</v>
      </c>
      <c r="P869" s="970">
        <v>0</v>
      </c>
      <c r="Q869" s="969">
        <v>0</v>
      </c>
      <c r="R869" s="969"/>
      <c r="S869" s="970">
        <v>6127</v>
      </c>
      <c r="T869" s="972">
        <v>591</v>
      </c>
      <c r="U869" s="972">
        <v>6718</v>
      </c>
    </row>
    <row r="870" spans="1:21" x14ac:dyDescent="0.25">
      <c r="A870" s="966">
        <v>99531</v>
      </c>
      <c r="B870" s="967" t="s">
        <v>3482</v>
      </c>
      <c r="C870" s="968">
        <v>9.3499999999999996E-5</v>
      </c>
      <c r="D870" s="968">
        <v>8.7600000000000002E-5</v>
      </c>
      <c r="E870" s="1007">
        <v>72390</v>
      </c>
      <c r="F870" s="1010">
        <v>185917</v>
      </c>
      <c r="G870" s="969">
        <v>142842</v>
      </c>
      <c r="H870" s="969"/>
      <c r="I870" s="970">
        <v>8229</v>
      </c>
      <c r="J870" s="971">
        <v>34683</v>
      </c>
      <c r="K870" s="970">
        <v>20400</v>
      </c>
      <c r="L870" s="969">
        <v>55453</v>
      </c>
      <c r="M870" s="969"/>
      <c r="N870" s="970">
        <v>4043</v>
      </c>
      <c r="O870" s="970">
        <v>0</v>
      </c>
      <c r="P870" s="970">
        <v>0</v>
      </c>
      <c r="Q870" s="969">
        <v>0</v>
      </c>
      <c r="R870" s="969"/>
      <c r="S870" s="970">
        <v>48138</v>
      </c>
      <c r="T870" s="972">
        <v>18721</v>
      </c>
      <c r="U870" s="972">
        <v>66859</v>
      </c>
    </row>
    <row r="871" spans="1:21" x14ac:dyDescent="0.25">
      <c r="A871" s="966">
        <v>99601</v>
      </c>
      <c r="B871" s="967" t="s">
        <v>3483</v>
      </c>
      <c r="C871" s="968">
        <v>5.7812000000000002E-3</v>
      </c>
      <c r="D871" s="968">
        <v>5.2824999999999999E-3</v>
      </c>
      <c r="E871" s="1007">
        <v>2548954</v>
      </c>
      <c r="F871" s="1010">
        <v>11211235</v>
      </c>
      <c r="G871" s="969">
        <v>8832072</v>
      </c>
      <c r="H871" s="969"/>
      <c r="I871" s="970">
        <v>508809</v>
      </c>
      <c r="J871" s="971">
        <v>2144438</v>
      </c>
      <c r="K871" s="970">
        <v>1261342</v>
      </c>
      <c r="L871" s="969">
        <v>289372</v>
      </c>
      <c r="M871" s="969"/>
      <c r="N871" s="970">
        <v>250008</v>
      </c>
      <c r="O871" s="970">
        <v>0</v>
      </c>
      <c r="P871" s="970">
        <v>0</v>
      </c>
      <c r="Q871" s="969">
        <v>73071</v>
      </c>
      <c r="R871" s="969"/>
      <c r="S871" s="970">
        <v>2976416</v>
      </c>
      <c r="T871" s="972">
        <v>55175</v>
      </c>
      <c r="U871" s="972">
        <f>3031592-1</f>
        <v>3031591</v>
      </c>
    </row>
    <row r="872" spans="1:21" x14ac:dyDescent="0.25">
      <c r="A872" s="966">
        <v>99602</v>
      </c>
      <c r="B872" s="967" t="s">
        <v>3484</v>
      </c>
      <c r="C872" s="968">
        <v>6.19E-5</v>
      </c>
      <c r="D872" s="968">
        <v>5.1700000000000003E-5</v>
      </c>
      <c r="E872" s="1007">
        <v>28151</v>
      </c>
      <c r="F872" s="1010">
        <v>109725</v>
      </c>
      <c r="G872" s="969">
        <v>94566</v>
      </c>
      <c r="H872" s="969"/>
      <c r="I872" s="970">
        <v>5448</v>
      </c>
      <c r="J872" s="971">
        <v>22961</v>
      </c>
      <c r="K872" s="970">
        <v>13505</v>
      </c>
      <c r="L872" s="969">
        <v>10306</v>
      </c>
      <c r="M872" s="969"/>
      <c r="N872" s="970">
        <v>2677</v>
      </c>
      <c r="O872" s="970">
        <v>0</v>
      </c>
      <c r="P872" s="970">
        <v>0</v>
      </c>
      <c r="Q872" s="969">
        <v>2067</v>
      </c>
      <c r="R872" s="969"/>
      <c r="S872" s="970">
        <v>31869</v>
      </c>
      <c r="T872" s="972">
        <v>1298</v>
      </c>
      <c r="U872" s="972">
        <v>33167</v>
      </c>
    </row>
    <row r="873" spans="1:21" x14ac:dyDescent="0.25">
      <c r="A873" s="966">
        <v>99603</v>
      </c>
      <c r="B873" s="967" t="s">
        <v>3485</v>
      </c>
      <c r="C873" s="968">
        <v>1.615E-4</v>
      </c>
      <c r="D873" s="968">
        <v>1.4219999999999999E-4</v>
      </c>
      <c r="E873" s="1007">
        <v>87237</v>
      </c>
      <c r="F873" s="1010">
        <v>301796</v>
      </c>
      <c r="G873" s="969">
        <v>246727</v>
      </c>
      <c r="H873" s="969"/>
      <c r="I873" s="970">
        <v>14214</v>
      </c>
      <c r="J873" s="971">
        <v>59905</v>
      </c>
      <c r="K873" s="970">
        <v>35236</v>
      </c>
      <c r="L873" s="969">
        <v>95435</v>
      </c>
      <c r="M873" s="969"/>
      <c r="N873" s="970">
        <v>6984</v>
      </c>
      <c r="O873" s="970">
        <v>0</v>
      </c>
      <c r="P873" s="970">
        <v>0</v>
      </c>
      <c r="Q873" s="969">
        <v>0</v>
      </c>
      <c r="R873" s="969"/>
      <c r="S873" s="970">
        <v>83147</v>
      </c>
      <c r="T873" s="972">
        <v>37380</v>
      </c>
      <c r="U873" s="972">
        <v>120527</v>
      </c>
    </row>
    <row r="874" spans="1:21" x14ac:dyDescent="0.25">
      <c r="A874" s="966">
        <v>99604</v>
      </c>
      <c r="B874" s="967" t="s">
        <v>3486</v>
      </c>
      <c r="C874" s="968">
        <v>1.009E-4</v>
      </c>
      <c r="D874" s="968">
        <v>9.6899999999999997E-5</v>
      </c>
      <c r="E874" s="1007">
        <v>52378</v>
      </c>
      <c r="F874" s="1010">
        <v>205654</v>
      </c>
      <c r="G874" s="969">
        <v>154147</v>
      </c>
      <c r="H874" s="969"/>
      <c r="I874" s="970">
        <v>8880</v>
      </c>
      <c r="J874" s="971">
        <v>37427</v>
      </c>
      <c r="K874" s="970">
        <v>22014</v>
      </c>
      <c r="L874" s="969">
        <v>20530</v>
      </c>
      <c r="M874" s="969"/>
      <c r="N874" s="970">
        <v>4363</v>
      </c>
      <c r="O874" s="970">
        <v>0</v>
      </c>
      <c r="P874" s="970">
        <v>0</v>
      </c>
      <c r="Q874" s="969">
        <v>0</v>
      </c>
      <c r="R874" s="969"/>
      <c r="S874" s="970">
        <v>51948</v>
      </c>
      <c r="T874" s="972">
        <v>9479</v>
      </c>
      <c r="U874" s="972">
        <v>61427</v>
      </c>
    </row>
    <row r="875" spans="1:21" x14ac:dyDescent="0.25">
      <c r="A875" s="966">
        <v>99609</v>
      </c>
      <c r="B875" s="967" t="s">
        <v>3487</v>
      </c>
      <c r="C875" s="968">
        <v>1.52E-5</v>
      </c>
      <c r="D875" s="968">
        <v>2.0999999999999999E-5</v>
      </c>
      <c r="E875" s="1007">
        <v>9935</v>
      </c>
      <c r="F875" s="1010">
        <v>44569</v>
      </c>
      <c r="G875" s="969">
        <v>23221</v>
      </c>
      <c r="H875" s="969"/>
      <c r="I875" s="970">
        <v>1338</v>
      </c>
      <c r="J875" s="971">
        <v>5638</v>
      </c>
      <c r="K875" s="970">
        <v>3316</v>
      </c>
      <c r="L875" s="969">
        <v>3555</v>
      </c>
      <c r="M875" s="969"/>
      <c r="N875" s="970">
        <v>657</v>
      </c>
      <c r="O875" s="970">
        <v>0</v>
      </c>
      <c r="P875" s="970">
        <v>0</v>
      </c>
      <c r="Q875" s="969">
        <v>1523</v>
      </c>
      <c r="R875" s="969"/>
      <c r="S875" s="970">
        <v>7826</v>
      </c>
      <c r="T875" s="972">
        <v>1693</v>
      </c>
      <c r="U875" s="972">
        <v>9519</v>
      </c>
    </row>
    <row r="876" spans="1:21" x14ac:dyDescent="0.25">
      <c r="A876" s="966">
        <v>99610</v>
      </c>
      <c r="B876" s="967" t="s">
        <v>3488</v>
      </c>
      <c r="C876" s="968">
        <v>1.9440000000000001E-4</v>
      </c>
      <c r="D876" s="968">
        <v>1.9440000000000001E-4</v>
      </c>
      <c r="E876" s="1007">
        <v>85100</v>
      </c>
      <c r="F876" s="1010">
        <v>412582</v>
      </c>
      <c r="G876" s="969">
        <v>296989</v>
      </c>
      <c r="H876" s="969"/>
      <c r="I876" s="970">
        <v>17109</v>
      </c>
      <c r="J876" s="971">
        <v>72109</v>
      </c>
      <c r="K876" s="970">
        <v>42414</v>
      </c>
      <c r="L876" s="969">
        <v>2712</v>
      </c>
      <c r="M876" s="969"/>
      <c r="N876" s="970">
        <v>8407</v>
      </c>
      <c r="O876" s="970">
        <v>0</v>
      </c>
      <c r="P876" s="970">
        <v>0</v>
      </c>
      <c r="Q876" s="969">
        <v>4164</v>
      </c>
      <c r="R876" s="969"/>
      <c r="S876" s="970">
        <v>100086</v>
      </c>
      <c r="T876" s="972">
        <v>576</v>
      </c>
      <c r="U876" s="972">
        <v>100662</v>
      </c>
    </row>
    <row r="877" spans="1:21" x14ac:dyDescent="0.25">
      <c r="A877" s="966">
        <v>99611</v>
      </c>
      <c r="B877" s="967" t="s">
        <v>3489</v>
      </c>
      <c r="C877" s="968">
        <v>3.1959000000000002E-3</v>
      </c>
      <c r="D877" s="968">
        <v>3.1495999999999998E-3</v>
      </c>
      <c r="E877" s="1007">
        <v>1474037</v>
      </c>
      <c r="F877" s="1010">
        <v>6684506</v>
      </c>
      <c r="G877" s="969">
        <v>4882450</v>
      </c>
      <c r="H877" s="969"/>
      <c r="I877" s="970">
        <v>281274</v>
      </c>
      <c r="J877" s="971">
        <v>1185465</v>
      </c>
      <c r="K877" s="970">
        <v>697281</v>
      </c>
      <c r="L877" s="969">
        <v>36523</v>
      </c>
      <c r="M877" s="969"/>
      <c r="N877" s="970">
        <v>138207</v>
      </c>
      <c r="O877" s="970">
        <v>0</v>
      </c>
      <c r="P877" s="970">
        <v>0</v>
      </c>
      <c r="Q877" s="969">
        <v>197702</v>
      </c>
      <c r="R877" s="969"/>
      <c r="S877" s="970">
        <v>1645390</v>
      </c>
      <c r="T877" s="972">
        <v>-88518</v>
      </c>
      <c r="U877" s="972">
        <v>1556872</v>
      </c>
    </row>
    <row r="878" spans="1:21" x14ac:dyDescent="0.25">
      <c r="A878" s="966">
        <v>99613</v>
      </c>
      <c r="B878" s="967" t="s">
        <v>3490</v>
      </c>
      <c r="C878" s="968">
        <v>3.2909999999999998E-4</v>
      </c>
      <c r="D878" s="968">
        <v>3.369E-4</v>
      </c>
      <c r="E878" s="1007">
        <v>310915</v>
      </c>
      <c r="F878" s="1010">
        <v>715015</v>
      </c>
      <c r="G878" s="969">
        <v>502774</v>
      </c>
      <c r="H878" s="969"/>
      <c r="I878" s="970">
        <v>28964</v>
      </c>
      <c r="J878" s="971">
        <v>122074</v>
      </c>
      <c r="K878" s="970">
        <v>71803</v>
      </c>
      <c r="L878" s="969">
        <v>283917</v>
      </c>
      <c r="M878" s="969"/>
      <c r="N878" s="970">
        <v>14232</v>
      </c>
      <c r="O878" s="970">
        <v>0</v>
      </c>
      <c r="P878" s="970">
        <v>0</v>
      </c>
      <c r="Q878" s="969">
        <v>0</v>
      </c>
      <c r="R878" s="969"/>
      <c r="S878" s="970">
        <v>169435</v>
      </c>
      <c r="T878" s="972">
        <v>96572</v>
      </c>
      <c r="U878" s="972">
        <v>266007</v>
      </c>
    </row>
    <row r="879" spans="1:21" x14ac:dyDescent="0.25">
      <c r="A879" s="966">
        <v>99621</v>
      </c>
      <c r="B879" s="967" t="s">
        <v>3491</v>
      </c>
      <c r="C879" s="968">
        <v>3.7060000000000001E-4</v>
      </c>
      <c r="D879" s="968">
        <v>3.2850000000000002E-4</v>
      </c>
      <c r="E879" s="1007">
        <v>166448</v>
      </c>
      <c r="F879" s="1010">
        <v>697187</v>
      </c>
      <c r="G879" s="969">
        <v>566174</v>
      </c>
      <c r="H879" s="969"/>
      <c r="I879" s="970">
        <v>32617</v>
      </c>
      <c r="J879" s="971">
        <v>137468</v>
      </c>
      <c r="K879" s="970">
        <v>80858</v>
      </c>
      <c r="L879" s="969">
        <v>42182</v>
      </c>
      <c r="M879" s="969"/>
      <c r="N879" s="970">
        <v>16027</v>
      </c>
      <c r="O879" s="970">
        <v>0</v>
      </c>
      <c r="P879" s="970">
        <v>0</v>
      </c>
      <c r="Q879" s="969">
        <v>4670</v>
      </c>
      <c r="R879" s="969"/>
      <c r="S879" s="970">
        <v>190801</v>
      </c>
      <c r="T879" s="972">
        <v>12829</v>
      </c>
      <c r="U879" s="972">
        <v>203630</v>
      </c>
    </row>
    <row r="880" spans="1:21" x14ac:dyDescent="0.25">
      <c r="A880" s="966">
        <v>99623</v>
      </c>
      <c r="B880" s="967" t="s">
        <v>3492</v>
      </c>
      <c r="C880" s="968">
        <v>2.6400000000000001E-5</v>
      </c>
      <c r="D880" s="968">
        <v>2.9200000000000002E-5</v>
      </c>
      <c r="E880" s="1007">
        <v>11103</v>
      </c>
      <c r="F880" s="1010">
        <v>61972</v>
      </c>
      <c r="G880" s="969">
        <v>40332</v>
      </c>
      <c r="H880" s="969"/>
      <c r="I880" s="970">
        <v>2323</v>
      </c>
      <c r="J880" s="971">
        <v>9793</v>
      </c>
      <c r="K880" s="970">
        <v>5760</v>
      </c>
      <c r="L880" s="969">
        <v>2450</v>
      </c>
      <c r="M880" s="969"/>
      <c r="N880" s="970">
        <v>1142</v>
      </c>
      <c r="O880" s="970">
        <v>0</v>
      </c>
      <c r="P880" s="970">
        <v>0</v>
      </c>
      <c r="Q880" s="969">
        <v>2848</v>
      </c>
      <c r="R880" s="969"/>
      <c r="S880" s="970">
        <v>13592</v>
      </c>
      <c r="T880" s="972">
        <v>317</v>
      </c>
      <c r="U880" s="972">
        <f>13908+1</f>
        <v>13909</v>
      </c>
    </row>
    <row r="881" spans="1:21" x14ac:dyDescent="0.25">
      <c r="A881" s="966">
        <v>99631</v>
      </c>
      <c r="B881" s="967" t="s">
        <v>3493</v>
      </c>
      <c r="C881" s="968">
        <v>1.102E-4</v>
      </c>
      <c r="D881" s="968">
        <v>1.0340000000000001E-4</v>
      </c>
      <c r="E881" s="1007">
        <v>46231</v>
      </c>
      <c r="F881" s="1010">
        <v>219449</v>
      </c>
      <c r="G881" s="969">
        <v>168355</v>
      </c>
      <c r="H881" s="969"/>
      <c r="I881" s="970">
        <v>9699</v>
      </c>
      <c r="J881" s="971">
        <v>40877</v>
      </c>
      <c r="K881" s="970">
        <v>24043</v>
      </c>
      <c r="L881" s="969">
        <v>1071</v>
      </c>
      <c r="M881" s="969"/>
      <c r="N881" s="970">
        <v>4766</v>
      </c>
      <c r="O881" s="970">
        <v>0</v>
      </c>
      <c r="P881" s="970">
        <v>0</v>
      </c>
      <c r="Q881" s="969">
        <v>5159</v>
      </c>
      <c r="R881" s="969"/>
      <c r="S881" s="970">
        <v>56736</v>
      </c>
      <c r="T881" s="972">
        <v>-3954</v>
      </c>
      <c r="U881" s="972">
        <f>52781+1</f>
        <v>52782</v>
      </c>
    </row>
    <row r="882" spans="1:21" x14ac:dyDescent="0.25">
      <c r="A882" s="966">
        <v>99651</v>
      </c>
      <c r="B882" s="967" t="s">
        <v>3494</v>
      </c>
      <c r="C882" s="968">
        <v>6.7199999999999994E-5</v>
      </c>
      <c r="D882" s="968">
        <v>6.7100000000000005E-5</v>
      </c>
      <c r="E882" s="1007">
        <v>30231</v>
      </c>
      <c r="F882" s="1010">
        <v>142409</v>
      </c>
      <c r="G882" s="969">
        <v>102663</v>
      </c>
      <c r="H882" s="969"/>
      <c r="I882" s="970">
        <v>5914</v>
      </c>
      <c r="J882" s="971">
        <v>24927</v>
      </c>
      <c r="K882" s="970">
        <v>14662</v>
      </c>
      <c r="L882" s="969">
        <v>5944</v>
      </c>
      <c r="M882" s="969"/>
      <c r="N882" s="970">
        <v>2906</v>
      </c>
      <c r="O882" s="970">
        <v>0</v>
      </c>
      <c r="P882" s="970">
        <v>0</v>
      </c>
      <c r="Q882" s="969">
        <v>1841</v>
      </c>
      <c r="R882" s="969"/>
      <c r="S882" s="970">
        <v>34598</v>
      </c>
      <c r="T882" s="972">
        <v>1312</v>
      </c>
      <c r="U882" s="972">
        <v>35910</v>
      </c>
    </row>
    <row r="883" spans="1:21" x14ac:dyDescent="0.25">
      <c r="A883" s="966">
        <v>99661</v>
      </c>
      <c r="B883" s="967" t="s">
        <v>3495</v>
      </c>
      <c r="C883" s="968">
        <v>3.26E-5</v>
      </c>
      <c r="D883" s="968">
        <v>3.5500000000000002E-5</v>
      </c>
      <c r="E883" s="1007">
        <v>34513</v>
      </c>
      <c r="F883" s="1010">
        <v>75343</v>
      </c>
      <c r="G883" s="969">
        <v>49804</v>
      </c>
      <c r="H883" s="969"/>
      <c r="I883" s="970">
        <v>2869</v>
      </c>
      <c r="J883" s="971">
        <v>12092</v>
      </c>
      <c r="K883" s="970">
        <v>7113</v>
      </c>
      <c r="L883" s="969">
        <v>34726</v>
      </c>
      <c r="M883" s="969"/>
      <c r="N883" s="970">
        <v>1410</v>
      </c>
      <c r="O883" s="970">
        <v>0</v>
      </c>
      <c r="P883" s="970">
        <v>0</v>
      </c>
      <c r="Q883" s="969">
        <v>0</v>
      </c>
      <c r="R883" s="969"/>
      <c r="S883" s="970">
        <v>16784</v>
      </c>
      <c r="T883" s="972">
        <v>12838</v>
      </c>
      <c r="U883" s="972">
        <v>29622</v>
      </c>
    </row>
    <row r="884" spans="1:21" x14ac:dyDescent="0.25">
      <c r="A884" s="966">
        <v>99701</v>
      </c>
      <c r="B884" s="967" t="s">
        <v>3496</v>
      </c>
      <c r="C884" s="968">
        <v>2.9190000000000002E-3</v>
      </c>
      <c r="D884" s="968">
        <v>2.8774E-3</v>
      </c>
      <c r="E884" s="1007">
        <v>1295371</v>
      </c>
      <c r="F884" s="1010">
        <v>6106807</v>
      </c>
      <c r="G884" s="969">
        <v>4459423</v>
      </c>
      <c r="H884" s="969"/>
      <c r="I884" s="970">
        <v>256904</v>
      </c>
      <c r="J884" s="971">
        <v>1082754</v>
      </c>
      <c r="K884" s="970">
        <v>636867</v>
      </c>
      <c r="L884" s="969">
        <v>21162</v>
      </c>
      <c r="M884" s="969"/>
      <c r="N884" s="970">
        <v>126232</v>
      </c>
      <c r="O884" s="970">
        <v>0</v>
      </c>
      <c r="P884" s="970">
        <v>0</v>
      </c>
      <c r="Q884" s="969">
        <v>17651</v>
      </c>
      <c r="R884" s="969"/>
      <c r="S884" s="970">
        <v>1502830</v>
      </c>
      <c r="T884" s="972">
        <v>-1976</v>
      </c>
      <c r="U884" s="972">
        <f>1500853+1</f>
        <v>1500854</v>
      </c>
    </row>
    <row r="885" spans="1:21" x14ac:dyDescent="0.25">
      <c r="A885" s="966">
        <v>99705</v>
      </c>
      <c r="B885" s="967" t="s">
        <v>3497</v>
      </c>
      <c r="C885" s="968">
        <v>1.7229999999999999E-4</v>
      </c>
      <c r="D885" s="968">
        <v>1.7259999999999999E-4</v>
      </c>
      <c r="E885" s="1007">
        <v>85451</v>
      </c>
      <c r="F885" s="1010">
        <v>366315</v>
      </c>
      <c r="G885" s="969">
        <v>263227</v>
      </c>
      <c r="H885" s="969"/>
      <c r="I885" s="970">
        <v>15164</v>
      </c>
      <c r="J885" s="971">
        <v>63911</v>
      </c>
      <c r="K885" s="970">
        <v>37592</v>
      </c>
      <c r="L885" s="969">
        <v>10978</v>
      </c>
      <c r="M885" s="969"/>
      <c r="N885" s="970">
        <v>7451</v>
      </c>
      <c r="O885" s="970">
        <v>0</v>
      </c>
      <c r="P885" s="970">
        <v>0</v>
      </c>
      <c r="Q885" s="969">
        <v>544</v>
      </c>
      <c r="R885" s="969"/>
      <c r="S885" s="970">
        <v>88708</v>
      </c>
      <c r="T885" s="972">
        <v>5913</v>
      </c>
      <c r="U885" s="972">
        <v>94621</v>
      </c>
    </row>
    <row r="886" spans="1:21" x14ac:dyDescent="0.25">
      <c r="A886" s="966">
        <v>99711</v>
      </c>
      <c r="B886" s="967" t="s">
        <v>3498</v>
      </c>
      <c r="C886" s="968">
        <v>4.5459999999999999E-4</v>
      </c>
      <c r="D886" s="968">
        <v>4.3540000000000001E-4</v>
      </c>
      <c r="E886" s="1007">
        <v>209494</v>
      </c>
      <c r="F886" s="1010">
        <v>924065</v>
      </c>
      <c r="G886" s="969">
        <v>694503</v>
      </c>
      <c r="H886" s="969"/>
      <c r="I886" s="970">
        <v>40010</v>
      </c>
      <c r="J886" s="971">
        <v>168626</v>
      </c>
      <c r="K886" s="970">
        <v>99185</v>
      </c>
      <c r="L886" s="969">
        <v>14449</v>
      </c>
      <c r="M886" s="969"/>
      <c r="N886" s="970">
        <v>19659</v>
      </c>
      <c r="O886" s="970">
        <v>0</v>
      </c>
      <c r="P886" s="970">
        <v>0</v>
      </c>
      <c r="Q886" s="969">
        <v>10625</v>
      </c>
      <c r="R886" s="969"/>
      <c r="S886" s="970">
        <v>234048</v>
      </c>
      <c r="T886" s="972">
        <v>-1042</v>
      </c>
      <c r="U886" s="972">
        <v>233006</v>
      </c>
    </row>
    <row r="887" spans="1:21" x14ac:dyDescent="0.25">
      <c r="A887" s="966">
        <v>99717</v>
      </c>
      <c r="B887" s="967" t="s">
        <v>3499</v>
      </c>
      <c r="C887" s="968">
        <v>2.19E-5</v>
      </c>
      <c r="D887" s="968">
        <v>2.3200000000000001E-5</v>
      </c>
      <c r="E887" s="1007">
        <v>8060</v>
      </c>
      <c r="F887" s="1010">
        <v>49238</v>
      </c>
      <c r="G887" s="969">
        <v>33457</v>
      </c>
      <c r="H887" s="969"/>
      <c r="I887" s="970">
        <v>1927</v>
      </c>
      <c r="J887" s="971">
        <v>8123</v>
      </c>
      <c r="K887" s="970">
        <v>4778</v>
      </c>
      <c r="L887" s="969">
        <v>0</v>
      </c>
      <c r="M887" s="969"/>
      <c r="N887" s="970">
        <v>947</v>
      </c>
      <c r="O887" s="970">
        <v>0</v>
      </c>
      <c r="P887" s="970">
        <v>0</v>
      </c>
      <c r="Q887" s="969">
        <v>3936</v>
      </c>
      <c r="R887" s="969"/>
      <c r="S887" s="970">
        <v>11275</v>
      </c>
      <c r="T887" s="972">
        <v>-1270</v>
      </c>
      <c r="U887" s="972">
        <v>10005</v>
      </c>
    </row>
    <row r="888" spans="1:21" x14ac:dyDescent="0.25">
      <c r="A888" s="966">
        <v>99721</v>
      </c>
      <c r="B888" s="967" t="s">
        <v>3500</v>
      </c>
      <c r="C888" s="968">
        <v>5.7779999999999995E-4</v>
      </c>
      <c r="D888" s="968">
        <v>6.2449999999999995E-4</v>
      </c>
      <c r="E888" s="1007">
        <v>252725</v>
      </c>
      <c r="F888" s="1010">
        <v>1325398</v>
      </c>
      <c r="G888" s="969">
        <v>882718</v>
      </c>
      <c r="H888" s="969"/>
      <c r="I888" s="970">
        <v>50853</v>
      </c>
      <c r="J888" s="971">
        <v>214325</v>
      </c>
      <c r="K888" s="970">
        <v>126064</v>
      </c>
      <c r="L888" s="969">
        <v>0</v>
      </c>
      <c r="M888" s="969"/>
      <c r="N888" s="970">
        <v>24987</v>
      </c>
      <c r="O888" s="970">
        <v>0</v>
      </c>
      <c r="P888" s="970">
        <v>0</v>
      </c>
      <c r="Q888" s="969">
        <v>48789</v>
      </c>
      <c r="R888" s="969"/>
      <c r="S888" s="970">
        <v>297477</v>
      </c>
      <c r="T888" s="972">
        <v>-14223</v>
      </c>
      <c r="U888" s="972">
        <v>283254</v>
      </c>
    </row>
    <row r="889" spans="1:21" x14ac:dyDescent="0.25">
      <c r="A889" s="966">
        <v>99727</v>
      </c>
      <c r="B889" s="967" t="s">
        <v>3501</v>
      </c>
      <c r="C889" s="968">
        <v>2.3900000000000002E-5</v>
      </c>
      <c r="D889" s="968">
        <v>2.5299999999999998E-5</v>
      </c>
      <c r="E889" s="1007">
        <v>46315</v>
      </c>
      <c r="F889" s="1010">
        <v>53695</v>
      </c>
      <c r="G889" s="969">
        <v>36513</v>
      </c>
      <c r="H889" s="969"/>
      <c r="I889" s="970">
        <v>2103</v>
      </c>
      <c r="J889" s="971">
        <v>8865</v>
      </c>
      <c r="K889" s="970">
        <v>5215</v>
      </c>
      <c r="L889" s="969">
        <v>59484</v>
      </c>
      <c r="M889" s="969"/>
      <c r="N889" s="970">
        <v>1034</v>
      </c>
      <c r="O889" s="970">
        <v>0</v>
      </c>
      <c r="P889" s="970">
        <v>0</v>
      </c>
      <c r="Q889" s="969">
        <v>0</v>
      </c>
      <c r="R889" s="969"/>
      <c r="S889" s="970">
        <v>12305</v>
      </c>
      <c r="T889" s="972">
        <v>20983</v>
      </c>
      <c r="U889" s="972">
        <v>33288</v>
      </c>
    </row>
    <row r="890" spans="1:21" x14ac:dyDescent="0.25">
      <c r="A890" s="966">
        <v>99801</v>
      </c>
      <c r="B890" s="967" t="s">
        <v>3502</v>
      </c>
      <c r="C890" s="968">
        <v>5.1866000000000004E-3</v>
      </c>
      <c r="D890" s="968">
        <v>5.1954999999999996E-3</v>
      </c>
      <c r="E890" s="1007">
        <v>2259452</v>
      </c>
      <c r="F890" s="1010">
        <v>11026591</v>
      </c>
      <c r="G890" s="969">
        <v>7923688</v>
      </c>
      <c r="H890" s="969"/>
      <c r="I890" s="970">
        <v>456478</v>
      </c>
      <c r="J890" s="971">
        <v>1923881</v>
      </c>
      <c r="K890" s="970">
        <v>1131612</v>
      </c>
      <c r="L890" s="969">
        <v>17042</v>
      </c>
      <c r="M890" s="969"/>
      <c r="N890" s="970">
        <v>224295</v>
      </c>
      <c r="O890" s="970">
        <v>0</v>
      </c>
      <c r="P890" s="970">
        <v>0</v>
      </c>
      <c r="Q890" s="969">
        <v>150042</v>
      </c>
      <c r="R890" s="969"/>
      <c r="S890" s="970">
        <v>2670290</v>
      </c>
      <c r="T890" s="972">
        <v>-29556</v>
      </c>
      <c r="U890" s="972">
        <f>2640733+1</f>
        <v>2640734</v>
      </c>
    </row>
    <row r="891" spans="1:21" x14ac:dyDescent="0.25">
      <c r="A891" s="966">
        <v>99802</v>
      </c>
      <c r="B891" s="967" t="s">
        <v>3503</v>
      </c>
      <c r="C891" s="968">
        <v>6.0000000000000002E-6</v>
      </c>
      <c r="D891" s="968">
        <v>6.4999999999999996E-6</v>
      </c>
      <c r="E891" s="1007">
        <v>4581</v>
      </c>
      <c r="F891" s="1010">
        <v>13795</v>
      </c>
      <c r="G891" s="969">
        <v>9166</v>
      </c>
      <c r="H891" s="969"/>
      <c r="I891" s="970">
        <v>528</v>
      </c>
      <c r="J891" s="971">
        <v>2226</v>
      </c>
      <c r="K891" s="970">
        <v>1309</v>
      </c>
      <c r="L891" s="969">
        <v>1378</v>
      </c>
      <c r="M891" s="969"/>
      <c r="N891" s="970">
        <v>259</v>
      </c>
      <c r="O891" s="970">
        <v>0</v>
      </c>
      <c r="P891" s="970">
        <v>0</v>
      </c>
      <c r="Q891" s="969">
        <v>53</v>
      </c>
      <c r="R891" s="969"/>
      <c r="S891" s="970">
        <v>3089</v>
      </c>
      <c r="T891" s="972">
        <v>334</v>
      </c>
      <c r="U891" s="972">
        <v>3423</v>
      </c>
    </row>
    <row r="892" spans="1:21" x14ac:dyDescent="0.25">
      <c r="A892" s="966">
        <v>99804</v>
      </c>
      <c r="B892" s="967" t="s">
        <v>3504</v>
      </c>
      <c r="C892" s="968">
        <v>9.0500000000000004E-5</v>
      </c>
      <c r="D892" s="968">
        <v>8.6600000000000004E-5</v>
      </c>
      <c r="E892" s="1007">
        <v>46756</v>
      </c>
      <c r="F892" s="1010">
        <v>183794</v>
      </c>
      <c r="G892" s="969">
        <v>138259</v>
      </c>
      <c r="H892" s="969"/>
      <c r="I892" s="970">
        <v>7965</v>
      </c>
      <c r="J892" s="971">
        <v>33569</v>
      </c>
      <c r="K892" s="970">
        <v>19745</v>
      </c>
      <c r="L892" s="969">
        <v>13689</v>
      </c>
      <c r="M892" s="969"/>
      <c r="N892" s="970">
        <v>3914</v>
      </c>
      <c r="O892" s="970">
        <v>0</v>
      </c>
      <c r="P892" s="970">
        <v>0</v>
      </c>
      <c r="Q892" s="969">
        <v>0</v>
      </c>
      <c r="R892" s="969"/>
      <c r="S892" s="970">
        <v>46593</v>
      </c>
      <c r="T892" s="972">
        <v>4917</v>
      </c>
      <c r="U892" s="972">
        <v>51510</v>
      </c>
    </row>
    <row r="893" spans="1:21" x14ac:dyDescent="0.25">
      <c r="A893" s="966">
        <v>99811</v>
      </c>
      <c r="B893" s="967" t="s">
        <v>3505</v>
      </c>
      <c r="C893" s="968">
        <v>6.7026999999999998E-3</v>
      </c>
      <c r="D893" s="968">
        <v>6.8415000000000004E-3</v>
      </c>
      <c r="E893" s="1007">
        <v>2884356</v>
      </c>
      <c r="F893" s="1010">
        <v>14519955</v>
      </c>
      <c r="G893" s="969">
        <v>10239869</v>
      </c>
      <c r="H893" s="969"/>
      <c r="I893" s="970">
        <v>589911</v>
      </c>
      <c r="J893" s="971">
        <v>2486253</v>
      </c>
      <c r="K893" s="970">
        <v>1462395</v>
      </c>
      <c r="L893" s="969">
        <v>0</v>
      </c>
      <c r="M893" s="969"/>
      <c r="N893" s="970">
        <v>289858</v>
      </c>
      <c r="O893" s="970">
        <v>0</v>
      </c>
      <c r="P893" s="970">
        <v>0</v>
      </c>
      <c r="Q893" s="969">
        <v>598680</v>
      </c>
      <c r="R893" s="969"/>
      <c r="S893" s="970">
        <v>3450845</v>
      </c>
      <c r="T893" s="972">
        <v>-236953</v>
      </c>
      <c r="U893" s="972">
        <f>3213891+1</f>
        <v>3213892</v>
      </c>
    </row>
    <row r="894" spans="1:21" x14ac:dyDescent="0.25">
      <c r="A894" s="966">
        <v>99812</v>
      </c>
      <c r="B894" s="967" t="s">
        <v>3506</v>
      </c>
      <c r="C894" s="968">
        <v>2.2099999999999998E-5</v>
      </c>
      <c r="D894" s="968">
        <v>2.5599999999999999E-5</v>
      </c>
      <c r="E894" s="1007">
        <v>20069</v>
      </c>
      <c r="F894" s="1010">
        <v>54332</v>
      </c>
      <c r="G894" s="969">
        <v>33763</v>
      </c>
      <c r="H894" s="969"/>
      <c r="I894" s="970">
        <v>1945</v>
      </c>
      <c r="J894" s="971">
        <v>8198</v>
      </c>
      <c r="K894" s="970">
        <v>4822</v>
      </c>
      <c r="L894" s="969">
        <v>11652</v>
      </c>
      <c r="M894" s="969"/>
      <c r="N894" s="970">
        <v>956</v>
      </c>
      <c r="O894" s="970">
        <v>0</v>
      </c>
      <c r="P894" s="970">
        <v>0</v>
      </c>
      <c r="Q894" s="969">
        <v>0</v>
      </c>
      <c r="R894" s="969"/>
      <c r="S894" s="970">
        <v>11378</v>
      </c>
      <c r="T894" s="972">
        <v>4237</v>
      </c>
      <c r="U894" s="972">
        <v>15615</v>
      </c>
    </row>
    <row r="895" spans="1:21" x14ac:dyDescent="0.25">
      <c r="A895" s="966">
        <v>99818</v>
      </c>
      <c r="B895" s="967" t="s">
        <v>3507</v>
      </c>
      <c r="C895" s="968">
        <v>3.1600000000000002E-5</v>
      </c>
      <c r="D895" s="968">
        <v>3.7700000000000002E-5</v>
      </c>
      <c r="E895" s="1007">
        <v>14370</v>
      </c>
      <c r="F895" s="1010">
        <v>80012</v>
      </c>
      <c r="G895" s="969">
        <v>48276</v>
      </c>
      <c r="H895" s="969"/>
      <c r="I895" s="970">
        <v>2781</v>
      </c>
      <c r="J895" s="971">
        <v>11722</v>
      </c>
      <c r="K895" s="970">
        <v>6894</v>
      </c>
      <c r="L895" s="969">
        <v>3054</v>
      </c>
      <c r="M895" s="969"/>
      <c r="N895" s="970">
        <v>1367</v>
      </c>
      <c r="O895" s="970">
        <v>0</v>
      </c>
      <c r="P895" s="970">
        <v>0</v>
      </c>
      <c r="Q895" s="969">
        <v>6414</v>
      </c>
      <c r="R895" s="969"/>
      <c r="S895" s="970">
        <v>16269</v>
      </c>
      <c r="T895" s="972">
        <v>695</v>
      </c>
      <c r="U895" s="972">
        <v>16964</v>
      </c>
    </row>
    <row r="896" spans="1:21" x14ac:dyDescent="0.25">
      <c r="A896" s="966">
        <v>99821</v>
      </c>
      <c r="B896" s="967" t="s">
        <v>3508</v>
      </c>
      <c r="C896" s="968">
        <v>9.1100000000000005E-5</v>
      </c>
      <c r="D896" s="968">
        <v>8.2899999999999996E-5</v>
      </c>
      <c r="E896" s="1007">
        <v>48801</v>
      </c>
      <c r="F896" s="1010">
        <v>175942</v>
      </c>
      <c r="G896" s="969">
        <v>139176</v>
      </c>
      <c r="H896" s="969"/>
      <c r="I896" s="970">
        <v>8018</v>
      </c>
      <c r="J896" s="971">
        <v>33792</v>
      </c>
      <c r="K896" s="970">
        <v>19876</v>
      </c>
      <c r="L896" s="969">
        <v>21459</v>
      </c>
      <c r="M896" s="969"/>
      <c r="N896" s="970">
        <v>3940</v>
      </c>
      <c r="O896" s="970">
        <v>0</v>
      </c>
      <c r="P896" s="970">
        <v>0</v>
      </c>
      <c r="Q896" s="969">
        <v>555</v>
      </c>
      <c r="R896" s="969"/>
      <c r="S896" s="970">
        <v>46902</v>
      </c>
      <c r="T896" s="972">
        <v>9955</v>
      </c>
      <c r="U896" s="972">
        <v>56857</v>
      </c>
    </row>
    <row r="897" spans="1:21" x14ac:dyDescent="0.25">
      <c r="A897" s="966">
        <v>99831</v>
      </c>
      <c r="B897" s="967" t="s">
        <v>3509</v>
      </c>
      <c r="C897" s="968">
        <v>6.3299999999999994E-5</v>
      </c>
      <c r="D897" s="968">
        <v>5.5899999999999997E-5</v>
      </c>
      <c r="E897" s="1007">
        <v>28274</v>
      </c>
      <c r="F897" s="1010">
        <v>118639</v>
      </c>
      <c r="G897" s="969">
        <v>96705</v>
      </c>
      <c r="H897" s="969"/>
      <c r="I897" s="970">
        <v>5571</v>
      </c>
      <c r="J897" s="971">
        <v>23480</v>
      </c>
      <c r="K897" s="970">
        <v>13811</v>
      </c>
      <c r="L897" s="969">
        <v>7030</v>
      </c>
      <c r="M897" s="969"/>
      <c r="N897" s="970">
        <v>2737</v>
      </c>
      <c r="O897" s="970">
        <v>0</v>
      </c>
      <c r="P897" s="970">
        <v>0</v>
      </c>
      <c r="Q897" s="969">
        <v>564</v>
      </c>
      <c r="R897" s="969"/>
      <c r="S897" s="970">
        <v>32590</v>
      </c>
      <c r="T897" s="972">
        <v>1906</v>
      </c>
      <c r="U897" s="972">
        <f>34495+1</f>
        <v>34496</v>
      </c>
    </row>
    <row r="898" spans="1:21" x14ac:dyDescent="0.25">
      <c r="A898" s="966">
        <v>99841</v>
      </c>
      <c r="B898" s="967" t="s">
        <v>3510</v>
      </c>
      <c r="C898" s="968">
        <v>4.3399999999999998E-5</v>
      </c>
      <c r="D898" s="968">
        <v>4.6E-5</v>
      </c>
      <c r="E898" s="1007">
        <v>19338</v>
      </c>
      <c r="F898" s="1010">
        <v>97627</v>
      </c>
      <c r="G898" s="969">
        <v>66303</v>
      </c>
      <c r="H898" s="969"/>
      <c r="I898" s="970">
        <v>3820</v>
      </c>
      <c r="J898" s="971">
        <v>16098</v>
      </c>
      <c r="K898" s="970">
        <v>9469</v>
      </c>
      <c r="L898" s="969">
        <v>1271</v>
      </c>
      <c r="M898" s="969"/>
      <c r="N898" s="970">
        <v>1877</v>
      </c>
      <c r="O898" s="970">
        <v>0</v>
      </c>
      <c r="P898" s="970">
        <v>0</v>
      </c>
      <c r="Q898" s="969">
        <v>4060</v>
      </c>
      <c r="R898" s="969"/>
      <c r="S898" s="970">
        <v>22344</v>
      </c>
      <c r="T898" s="972">
        <v>-1214</v>
      </c>
      <c r="U898" s="972">
        <v>21130</v>
      </c>
    </row>
    <row r="899" spans="1:21" x14ac:dyDescent="0.25">
      <c r="A899" s="966">
        <v>99851</v>
      </c>
      <c r="B899" s="967" t="s">
        <v>3511</v>
      </c>
      <c r="C899" s="968">
        <v>2.23E-5</v>
      </c>
      <c r="D899" s="968">
        <v>2.1999999999999999E-5</v>
      </c>
      <c r="E899" s="1007">
        <v>7302</v>
      </c>
      <c r="F899" s="1010">
        <v>46691</v>
      </c>
      <c r="G899" s="969">
        <v>34068</v>
      </c>
      <c r="H899" s="969"/>
      <c r="I899" s="970">
        <v>1963</v>
      </c>
      <c r="J899" s="971">
        <v>8272</v>
      </c>
      <c r="K899" s="970">
        <v>4865</v>
      </c>
      <c r="L899" s="969">
        <v>142</v>
      </c>
      <c r="M899" s="969"/>
      <c r="N899" s="970">
        <v>964</v>
      </c>
      <c r="O899" s="970">
        <v>0</v>
      </c>
      <c r="P899" s="970">
        <v>0</v>
      </c>
      <c r="Q899" s="969">
        <v>3191</v>
      </c>
      <c r="R899" s="969"/>
      <c r="S899" s="970">
        <v>11481</v>
      </c>
      <c r="T899" s="972">
        <v>-847</v>
      </c>
      <c r="U899" s="972">
        <v>10634</v>
      </c>
    </row>
    <row r="900" spans="1:21" x14ac:dyDescent="0.25">
      <c r="A900" s="966">
        <v>99901</v>
      </c>
      <c r="B900" s="967" t="s">
        <v>3512</v>
      </c>
      <c r="C900" s="968">
        <v>1.6707E-3</v>
      </c>
      <c r="D900" s="968">
        <v>1.6371999999999999E-3</v>
      </c>
      <c r="E900" s="1007">
        <v>760400</v>
      </c>
      <c r="F900" s="1010">
        <v>3474687</v>
      </c>
      <c r="G900" s="969">
        <v>2552367</v>
      </c>
      <c r="H900" s="969"/>
      <c r="I900" s="970">
        <v>147040</v>
      </c>
      <c r="J900" s="971">
        <v>619718</v>
      </c>
      <c r="K900" s="970">
        <v>364513</v>
      </c>
      <c r="L900" s="969">
        <v>63407</v>
      </c>
      <c r="M900" s="969"/>
      <c r="N900" s="970">
        <v>72249</v>
      </c>
      <c r="O900" s="970">
        <v>0</v>
      </c>
      <c r="P900" s="970">
        <v>0</v>
      </c>
      <c r="Q900" s="969">
        <v>12021</v>
      </c>
      <c r="R900" s="969"/>
      <c r="S900" s="970">
        <v>860150</v>
      </c>
      <c r="T900" s="972">
        <v>13114</v>
      </c>
      <c r="U900" s="972">
        <v>873264</v>
      </c>
    </row>
    <row r="901" spans="1:21" x14ac:dyDescent="0.25">
      <c r="A901" s="966">
        <v>99911</v>
      </c>
      <c r="B901" s="967" t="s">
        <v>3513</v>
      </c>
      <c r="C901" s="968">
        <v>2.5980000000000003E-4</v>
      </c>
      <c r="D901" s="968">
        <v>2.5520000000000002E-4</v>
      </c>
      <c r="E901" s="1007">
        <v>122066</v>
      </c>
      <c r="F901" s="1010">
        <v>541620</v>
      </c>
      <c r="G901" s="969">
        <v>396902</v>
      </c>
      <c r="H901" s="969"/>
      <c r="I901" s="970">
        <v>22865</v>
      </c>
      <c r="J901" s="971">
        <v>96368</v>
      </c>
      <c r="K901" s="970">
        <v>56683</v>
      </c>
      <c r="L901" s="969">
        <v>7168</v>
      </c>
      <c r="M901" s="969"/>
      <c r="N901" s="970">
        <v>11235</v>
      </c>
      <c r="O901" s="970">
        <v>0</v>
      </c>
      <c r="P901" s="970">
        <v>0</v>
      </c>
      <c r="Q901" s="969">
        <v>12661</v>
      </c>
      <c r="R901" s="969"/>
      <c r="S901" s="970">
        <v>133756</v>
      </c>
      <c r="T901" s="972">
        <v>-5521</v>
      </c>
      <c r="U901" s="972">
        <v>128235</v>
      </c>
    </row>
    <row r="902" spans="1:21" x14ac:dyDescent="0.25">
      <c r="A902" s="966">
        <v>99921</v>
      </c>
      <c r="B902" s="967" t="s">
        <v>3514</v>
      </c>
      <c r="C902" s="968">
        <v>1.506E-4</v>
      </c>
      <c r="D902" s="968">
        <v>1.5129999999999999E-4</v>
      </c>
      <c r="E902" s="1007">
        <v>65165</v>
      </c>
      <c r="F902" s="1010">
        <v>321109</v>
      </c>
      <c r="G902" s="969">
        <v>230075</v>
      </c>
      <c r="H902" s="969"/>
      <c r="I902" s="970">
        <v>13254</v>
      </c>
      <c r="J902" s="971">
        <v>55863</v>
      </c>
      <c r="K902" s="970">
        <v>32858</v>
      </c>
      <c r="L902" s="969">
        <v>3258</v>
      </c>
      <c r="M902" s="969"/>
      <c r="N902" s="970">
        <v>6513</v>
      </c>
      <c r="O902" s="970">
        <v>0</v>
      </c>
      <c r="P902" s="970">
        <v>0</v>
      </c>
      <c r="Q902" s="969">
        <v>7306</v>
      </c>
      <c r="R902" s="969"/>
      <c r="S902" s="970">
        <v>77536</v>
      </c>
      <c r="T902" s="972">
        <v>-3057</v>
      </c>
      <c r="U902" s="972">
        <v>74479</v>
      </c>
    </row>
    <row r="903" spans="1:21" x14ac:dyDescent="0.25">
      <c r="A903" s="966">
        <v>99931</v>
      </c>
      <c r="B903" s="967" t="s">
        <v>3515</v>
      </c>
      <c r="C903" s="968">
        <v>1.5800000000000001E-5</v>
      </c>
      <c r="D903" s="968">
        <v>2.51E-5</v>
      </c>
      <c r="E903" s="1007">
        <v>8881</v>
      </c>
      <c r="F903" s="1010">
        <v>53271</v>
      </c>
      <c r="G903" s="969">
        <v>24138</v>
      </c>
      <c r="H903" s="969"/>
      <c r="I903" s="970">
        <v>1391</v>
      </c>
      <c r="J903" s="971">
        <v>5860</v>
      </c>
      <c r="K903" s="970">
        <v>3447</v>
      </c>
      <c r="L903" s="969">
        <v>0</v>
      </c>
      <c r="M903" s="969"/>
      <c r="N903" s="970">
        <v>683</v>
      </c>
      <c r="O903" s="970">
        <v>0</v>
      </c>
      <c r="P903" s="970">
        <v>0</v>
      </c>
      <c r="Q903" s="969">
        <v>8477</v>
      </c>
      <c r="R903" s="969"/>
      <c r="S903" s="970">
        <v>8135</v>
      </c>
      <c r="T903" s="972">
        <v>-3271</v>
      </c>
      <c r="U903" s="972">
        <v>4864</v>
      </c>
    </row>
    <row r="904" spans="1:21" x14ac:dyDescent="0.25">
      <c r="A904" s="966">
        <v>99941</v>
      </c>
      <c r="B904" s="967" t="s">
        <v>3516</v>
      </c>
      <c r="C904" s="968">
        <v>7.5400000000000003E-5</v>
      </c>
      <c r="D904" s="968">
        <v>7.8200000000000003E-5</v>
      </c>
      <c r="E904" s="1007">
        <v>32663</v>
      </c>
      <c r="F904" s="1010">
        <v>165967</v>
      </c>
      <c r="G904" s="969">
        <v>115190</v>
      </c>
      <c r="H904" s="969"/>
      <c r="I904" s="970">
        <v>6636</v>
      </c>
      <c r="J904" s="971">
        <v>27969</v>
      </c>
      <c r="K904" s="970">
        <v>16451</v>
      </c>
      <c r="L904" s="969">
        <v>0</v>
      </c>
      <c r="M904" s="969"/>
      <c r="N904" s="970">
        <v>3261</v>
      </c>
      <c r="O904" s="970">
        <v>0</v>
      </c>
      <c r="P904" s="970">
        <v>0</v>
      </c>
      <c r="Q904" s="969">
        <v>11647</v>
      </c>
      <c r="R904" s="969"/>
      <c r="S904" s="970">
        <v>38819</v>
      </c>
      <c r="T904" s="972">
        <v>-4535</v>
      </c>
      <c r="U904" s="972">
        <f>34285-1</f>
        <v>34284</v>
      </c>
    </row>
    <row r="905" spans="1:21" x14ac:dyDescent="0.25">
      <c r="A905" s="966">
        <v>99991</v>
      </c>
      <c r="B905" s="967" t="s">
        <v>3517</v>
      </c>
      <c r="C905" s="968">
        <v>5.3450000000000004E-4</v>
      </c>
      <c r="D905" s="968">
        <v>5.6990000000000003E-4</v>
      </c>
      <c r="E905" s="1007">
        <v>239781</v>
      </c>
      <c r="F905" s="1010">
        <v>1209519</v>
      </c>
      <c r="G905" s="969">
        <v>816568</v>
      </c>
      <c r="H905" s="969"/>
      <c r="I905" s="970">
        <v>47042</v>
      </c>
      <c r="J905" s="971">
        <v>198264</v>
      </c>
      <c r="K905" s="970">
        <v>116617</v>
      </c>
      <c r="L905" s="969">
        <v>28891</v>
      </c>
      <c r="M905" s="969"/>
      <c r="N905" s="970">
        <v>23114</v>
      </c>
      <c r="O905" s="970">
        <v>0</v>
      </c>
      <c r="P905" s="970">
        <v>0</v>
      </c>
      <c r="Q905" s="969">
        <v>28214</v>
      </c>
      <c r="R905" s="969"/>
      <c r="S905" s="970">
        <v>275184</v>
      </c>
      <c r="T905" s="972">
        <v>12361</v>
      </c>
      <c r="U905" s="972">
        <v>287545</v>
      </c>
    </row>
    <row r="906" spans="1:21" x14ac:dyDescent="0.25">
      <c r="A906" s="966">
        <v>99999</v>
      </c>
      <c r="B906" s="967" t="s">
        <v>3518</v>
      </c>
      <c r="C906" s="968">
        <v>8.7509999999999997E-4</v>
      </c>
      <c r="D906" s="968">
        <v>1.0101000000000001E-3</v>
      </c>
      <c r="E906" s="1007">
        <v>509176</v>
      </c>
      <c r="F906" s="1010">
        <v>2143771</v>
      </c>
      <c r="G906" s="969">
        <v>1336910</v>
      </c>
      <c r="H906" s="969"/>
      <c r="I906" s="970">
        <v>77018</v>
      </c>
      <c r="J906" s="971">
        <v>324603</v>
      </c>
      <c r="K906" s="970">
        <v>190929</v>
      </c>
      <c r="L906" s="969">
        <v>77711</v>
      </c>
      <c r="M906" s="969"/>
      <c r="N906" s="970">
        <v>37844</v>
      </c>
      <c r="O906" s="970">
        <v>0</v>
      </c>
      <c r="P906" s="970">
        <v>0</v>
      </c>
      <c r="Q906" s="969">
        <v>26259</v>
      </c>
      <c r="R906" s="969"/>
      <c r="S906" s="970">
        <v>450540</v>
      </c>
      <c r="T906" s="972">
        <v>10651</v>
      </c>
      <c r="U906" s="972">
        <v>461191</v>
      </c>
    </row>
    <row r="907" spans="1:21" x14ac:dyDescent="0.25">
      <c r="A907" s="966"/>
      <c r="B907" s="967"/>
      <c r="C907" s="968"/>
      <c r="D907" s="968"/>
      <c r="E907" s="1007"/>
      <c r="F907" s="1010"/>
      <c r="G907" s="969"/>
      <c r="H907" s="969"/>
      <c r="I907" s="970"/>
      <c r="J907" s="971"/>
      <c r="K907" s="970"/>
      <c r="L907" s="969"/>
      <c r="M907" s="969"/>
      <c r="N907" s="970"/>
      <c r="O907" s="970"/>
      <c r="P907" s="970"/>
      <c r="Q907" s="969"/>
      <c r="R907" s="969"/>
      <c r="S907" s="970"/>
      <c r="T907" s="972"/>
      <c r="U907" s="972"/>
    </row>
    <row r="908" spans="1:21" x14ac:dyDescent="0.25">
      <c r="A908" s="987" t="s">
        <v>2624</v>
      </c>
      <c r="B908" s="988" t="s">
        <v>2623</v>
      </c>
      <c r="C908" s="989">
        <v>2.6581E-3</v>
      </c>
      <c r="D908" s="989">
        <v>2.3587E-3</v>
      </c>
      <c r="E908" s="1008">
        <v>1110621</v>
      </c>
      <c r="F908" s="1010">
        <v>5005952</v>
      </c>
      <c r="G908" s="991">
        <v>4060841</v>
      </c>
      <c r="H908" s="991"/>
      <c r="I908" s="992">
        <v>233942</v>
      </c>
      <c r="J908" s="993">
        <v>985977</v>
      </c>
      <c r="K908" s="992">
        <v>579944</v>
      </c>
      <c r="L908" s="991">
        <v>130818</v>
      </c>
      <c r="M908" s="991"/>
      <c r="N908" s="992">
        <v>114950</v>
      </c>
      <c r="O908" s="992"/>
      <c r="P908" s="992">
        <v>0</v>
      </c>
      <c r="Q908" s="991">
        <v>31847</v>
      </c>
      <c r="R908" s="991"/>
      <c r="S908" s="992">
        <v>1368507</v>
      </c>
      <c r="T908" s="991">
        <v>33872</v>
      </c>
      <c r="U908" s="991">
        <v>1402379</v>
      </c>
    </row>
    <row r="909" spans="1:21" s="981" customFormat="1" x14ac:dyDescent="0.25">
      <c r="A909" s="975"/>
      <c r="B909" s="976"/>
      <c r="C909" s="977">
        <v>1</v>
      </c>
      <c r="D909" s="977">
        <v>1</v>
      </c>
      <c r="E909" s="1009">
        <f>SUM(E6:E906)</f>
        <v>459076658</v>
      </c>
      <c r="F909" s="1009">
        <f>SUM(F6:F906)</f>
        <v>2063974821</v>
      </c>
      <c r="G909" s="978">
        <f>SUM(G7:G906)</f>
        <v>1527723006</v>
      </c>
      <c r="H909" s="978"/>
      <c r="I909" s="979">
        <f>SUM(I7:I906)</f>
        <v>88010998</v>
      </c>
      <c r="J909" s="980">
        <v>370932998</v>
      </c>
      <c r="K909" s="979">
        <f>SUM(K7:K906)</f>
        <v>218179990</v>
      </c>
      <c r="L909" s="979">
        <f>SUM(L7:L906)</f>
        <v>44399345</v>
      </c>
      <c r="M909" s="979"/>
      <c r="N909" s="979">
        <f>SUM(N7:N906)</f>
        <v>43245007</v>
      </c>
      <c r="O909" s="979">
        <f>SUM(O7:O906)</f>
        <v>0</v>
      </c>
      <c r="P909" s="979">
        <f>SUM(P7:P906)</f>
        <v>0</v>
      </c>
      <c r="Q909" s="979">
        <f>SUM(Q7:Q906)</f>
        <v>44399369</v>
      </c>
      <c r="R909" s="979"/>
      <c r="S909" s="979">
        <f>SUM(S7:S906)</f>
        <v>514844016</v>
      </c>
      <c r="T909" s="979">
        <f>SUM(T7:T906)</f>
        <v>36</v>
      </c>
      <c r="U909" s="979">
        <f>SUM(U7:U906)</f>
        <v>514844052</v>
      </c>
    </row>
    <row r="910" spans="1:21" s="981" customFormat="1" x14ac:dyDescent="0.25">
      <c r="A910" s="975"/>
      <c r="B910" s="976"/>
      <c r="C910" s="977"/>
      <c r="D910" s="977"/>
      <c r="E910" s="1009"/>
      <c r="F910" s="986"/>
      <c r="G910" s="978"/>
      <c r="H910" s="978"/>
      <c r="I910" s="979"/>
      <c r="J910" s="980"/>
      <c r="K910" s="979"/>
      <c r="L910" s="979"/>
      <c r="M910" s="979"/>
      <c r="N910" s="979"/>
      <c r="O910" s="979"/>
      <c r="P910" s="979"/>
      <c r="Q910" s="979"/>
      <c r="R910" s="979"/>
      <c r="S910" s="979"/>
      <c r="T910" s="979"/>
      <c r="U910" s="979"/>
    </row>
    <row r="911" spans="1:21" s="981" customFormat="1" x14ac:dyDescent="0.25">
      <c r="A911" s="975"/>
      <c r="B911" s="976"/>
      <c r="C911" s="977"/>
      <c r="D911" s="977"/>
      <c r="E911" s="1009"/>
      <c r="F911" s="986"/>
      <c r="G911" s="978"/>
      <c r="H911" s="978"/>
      <c r="I911" s="979"/>
      <c r="J911" s="980"/>
      <c r="K911" s="979"/>
      <c r="L911" s="979"/>
      <c r="M911" s="979"/>
      <c r="N911" s="979"/>
      <c r="O911" s="979"/>
      <c r="P911" s="979"/>
      <c r="Q911" s="979"/>
      <c r="R911" s="979"/>
      <c r="S911" s="979"/>
      <c r="T911" s="979"/>
      <c r="U911" s="979"/>
    </row>
    <row r="912" spans="1:21" x14ac:dyDescent="0.25">
      <c r="B912" s="982" t="s">
        <v>2089</v>
      </c>
      <c r="C912" s="964" t="s">
        <v>825</v>
      </c>
    </row>
    <row r="913" spans="2:3" x14ac:dyDescent="0.25">
      <c r="B913" s="983" t="s">
        <v>2104</v>
      </c>
      <c r="C913" s="966">
        <v>96331</v>
      </c>
    </row>
    <row r="914" spans="2:3" x14ac:dyDescent="0.25">
      <c r="B914" s="983" t="s">
        <v>2105</v>
      </c>
      <c r="C914" s="966">
        <v>94611</v>
      </c>
    </row>
    <row r="915" spans="2:3" x14ac:dyDescent="0.25">
      <c r="B915" s="983" t="s">
        <v>1465</v>
      </c>
      <c r="C915" s="966">
        <v>93402</v>
      </c>
    </row>
    <row r="916" spans="2:3" x14ac:dyDescent="0.25">
      <c r="B916" s="983" t="s">
        <v>2106</v>
      </c>
      <c r="C916" s="966">
        <v>90151</v>
      </c>
    </row>
    <row r="917" spans="2:3" x14ac:dyDescent="0.25">
      <c r="B917" s="983" t="s">
        <v>3679</v>
      </c>
      <c r="C917" s="966">
        <v>94109</v>
      </c>
    </row>
    <row r="918" spans="2:3" x14ac:dyDescent="0.25">
      <c r="B918" s="983" t="s">
        <v>1170</v>
      </c>
      <c r="C918" s="966">
        <v>90101</v>
      </c>
    </row>
    <row r="919" spans="2:3" x14ac:dyDescent="0.25">
      <c r="B919" s="983" t="s">
        <v>3519</v>
      </c>
      <c r="C919" s="966">
        <v>90117</v>
      </c>
    </row>
    <row r="920" spans="2:3" x14ac:dyDescent="0.25">
      <c r="B920" s="983" t="s">
        <v>2107</v>
      </c>
      <c r="C920" s="966">
        <v>98411</v>
      </c>
    </row>
    <row r="921" spans="2:3" x14ac:dyDescent="0.25">
      <c r="B921" s="983" t="s">
        <v>3680</v>
      </c>
      <c r="C921" s="966">
        <v>98417</v>
      </c>
    </row>
    <row r="922" spans="2:3" x14ac:dyDescent="0.25">
      <c r="B922" s="983" t="s">
        <v>1766</v>
      </c>
      <c r="C922" s="966">
        <v>97008</v>
      </c>
    </row>
    <row r="923" spans="2:3" x14ac:dyDescent="0.25">
      <c r="B923" s="983" t="s">
        <v>1767</v>
      </c>
      <c r="C923" s="966">
        <v>97010</v>
      </c>
    </row>
    <row r="924" spans="2:3" x14ac:dyDescent="0.25">
      <c r="B924" s="983" t="s">
        <v>3520</v>
      </c>
      <c r="C924" s="966">
        <v>90096</v>
      </c>
    </row>
    <row r="925" spans="2:3" x14ac:dyDescent="0.25">
      <c r="B925" s="983" t="s">
        <v>1217</v>
      </c>
      <c r="C925" s="966">
        <v>90805</v>
      </c>
    </row>
    <row r="926" spans="2:3" x14ac:dyDescent="0.25">
      <c r="B926" s="983" t="s">
        <v>3681</v>
      </c>
      <c r="C926" s="966">
        <v>92109</v>
      </c>
    </row>
    <row r="927" spans="2:3" x14ac:dyDescent="0.25">
      <c r="B927" s="983" t="s">
        <v>1178</v>
      </c>
      <c r="C927" s="966">
        <v>90201</v>
      </c>
    </row>
    <row r="928" spans="2:3" x14ac:dyDescent="0.25">
      <c r="B928" s="983" t="s">
        <v>3682</v>
      </c>
      <c r="C928" s="966">
        <v>90206</v>
      </c>
    </row>
    <row r="929" spans="2:3" x14ac:dyDescent="0.25">
      <c r="B929" s="983" t="s">
        <v>3683</v>
      </c>
      <c r="C929" s="966">
        <v>90203</v>
      </c>
    </row>
    <row r="930" spans="2:3" x14ac:dyDescent="0.25">
      <c r="B930" s="983" t="s">
        <v>3684</v>
      </c>
      <c r="C930" s="966">
        <v>90205</v>
      </c>
    </row>
    <row r="931" spans="2:3" x14ac:dyDescent="0.25">
      <c r="B931" s="983" t="s">
        <v>1183</v>
      </c>
      <c r="C931" s="966">
        <v>90301</v>
      </c>
    </row>
    <row r="932" spans="2:3" x14ac:dyDescent="0.25">
      <c r="B932" s="983" t="s">
        <v>3685</v>
      </c>
      <c r="C932" s="966">
        <v>93209</v>
      </c>
    </row>
    <row r="933" spans="2:3" x14ac:dyDescent="0.25">
      <c r="B933" s="983" t="s">
        <v>2108</v>
      </c>
      <c r="C933" s="966">
        <v>92021</v>
      </c>
    </row>
    <row r="934" spans="2:3" x14ac:dyDescent="0.25">
      <c r="B934" s="983" t="s">
        <v>2109</v>
      </c>
      <c r="C934" s="966">
        <v>94351</v>
      </c>
    </row>
    <row r="935" spans="2:3" x14ac:dyDescent="0.25">
      <c r="B935" s="983" t="s">
        <v>3686</v>
      </c>
      <c r="C935" s="966">
        <v>94347</v>
      </c>
    </row>
    <row r="936" spans="2:3" x14ac:dyDescent="0.25">
      <c r="B936" s="983" t="s">
        <v>1186</v>
      </c>
      <c r="C936" s="966">
        <v>90401</v>
      </c>
    </row>
    <row r="937" spans="2:3" x14ac:dyDescent="0.25">
      <c r="B937" s="983" t="s">
        <v>2110</v>
      </c>
      <c r="C937" s="966">
        <v>90451</v>
      </c>
    </row>
    <row r="938" spans="2:3" x14ac:dyDescent="0.25">
      <c r="B938" s="983" t="s">
        <v>2111</v>
      </c>
      <c r="C938" s="966">
        <v>99271</v>
      </c>
    </row>
    <row r="939" spans="2:3" x14ac:dyDescent="0.25">
      <c r="B939" s="983" t="s">
        <v>3687</v>
      </c>
      <c r="C939" s="966">
        <v>90099</v>
      </c>
    </row>
    <row r="940" spans="2:3" x14ac:dyDescent="0.25">
      <c r="B940" s="983" t="s">
        <v>2006</v>
      </c>
      <c r="C940" s="966">
        <v>99705</v>
      </c>
    </row>
    <row r="941" spans="2:3" x14ac:dyDescent="0.25">
      <c r="B941" s="983" t="s">
        <v>2112</v>
      </c>
      <c r="C941" s="966">
        <v>97651</v>
      </c>
    </row>
    <row r="942" spans="2:3" x14ac:dyDescent="0.25">
      <c r="B942" s="983" t="s">
        <v>2113</v>
      </c>
      <c r="C942" s="966">
        <v>95106</v>
      </c>
    </row>
    <row r="943" spans="2:3" x14ac:dyDescent="0.25">
      <c r="B943" s="983" t="s">
        <v>1195</v>
      </c>
      <c r="C943" s="966">
        <v>90501</v>
      </c>
    </row>
    <row r="944" spans="2:3" x14ac:dyDescent="0.25">
      <c r="B944" s="983" t="s">
        <v>2114</v>
      </c>
      <c r="C944" s="966">
        <v>97611</v>
      </c>
    </row>
    <row r="945" spans="2:3" x14ac:dyDescent="0.25">
      <c r="B945" s="983" t="s">
        <v>3688</v>
      </c>
      <c r="C945" s="966">
        <v>97607</v>
      </c>
    </row>
    <row r="946" spans="2:3" x14ac:dyDescent="0.25">
      <c r="B946" s="983" t="s">
        <v>3689</v>
      </c>
      <c r="C946" s="966">
        <v>97613</v>
      </c>
    </row>
    <row r="947" spans="2:3" x14ac:dyDescent="0.25">
      <c r="B947" s="983" t="s">
        <v>2115</v>
      </c>
      <c r="C947" s="966">
        <v>91121</v>
      </c>
    </row>
    <row r="948" spans="2:3" x14ac:dyDescent="0.25">
      <c r="B948" s="983" t="s">
        <v>3690</v>
      </c>
      <c r="C948" s="966">
        <v>91127</v>
      </c>
    </row>
    <row r="949" spans="2:3" x14ac:dyDescent="0.25">
      <c r="B949" s="983" t="s">
        <v>1269</v>
      </c>
      <c r="C949" s="966">
        <v>91128</v>
      </c>
    </row>
    <row r="950" spans="2:3" x14ac:dyDescent="0.25">
      <c r="B950" s="983" t="s">
        <v>2116</v>
      </c>
      <c r="C950" s="966">
        <v>91681</v>
      </c>
    </row>
    <row r="951" spans="2:3" x14ac:dyDescent="0.25">
      <c r="B951" s="983" t="s">
        <v>2117</v>
      </c>
      <c r="C951" s="966">
        <v>90811</v>
      </c>
    </row>
    <row r="952" spans="2:3" x14ac:dyDescent="0.25">
      <c r="B952" s="983" t="s">
        <v>2118</v>
      </c>
      <c r="C952" s="966">
        <v>90721</v>
      </c>
    </row>
    <row r="953" spans="2:3" x14ac:dyDescent="0.25">
      <c r="B953" s="983" t="s">
        <v>2119</v>
      </c>
      <c r="C953" s="966">
        <v>98271</v>
      </c>
    </row>
    <row r="954" spans="2:3" x14ac:dyDescent="0.25">
      <c r="B954" s="983" t="s">
        <v>1199</v>
      </c>
      <c r="C954" s="966">
        <v>90601</v>
      </c>
    </row>
    <row r="955" spans="2:3" x14ac:dyDescent="0.25">
      <c r="B955" s="983" t="s">
        <v>3691</v>
      </c>
      <c r="C955" s="966">
        <v>90602</v>
      </c>
    </row>
    <row r="956" spans="2:3" x14ac:dyDescent="0.25">
      <c r="B956" s="983" t="s">
        <v>3692</v>
      </c>
      <c r="C956" s="966">
        <v>90605</v>
      </c>
    </row>
    <row r="957" spans="2:3" x14ac:dyDescent="0.25">
      <c r="B957" s="983" t="s">
        <v>2120</v>
      </c>
      <c r="C957" s="966">
        <v>97461</v>
      </c>
    </row>
    <row r="958" spans="2:3" x14ac:dyDescent="0.25">
      <c r="B958" s="983" t="s">
        <v>1799</v>
      </c>
      <c r="C958" s="966">
        <v>97463</v>
      </c>
    </row>
    <row r="959" spans="2:3" x14ac:dyDescent="0.25">
      <c r="B959" s="983" t="s">
        <v>3693</v>
      </c>
      <c r="C959" s="966">
        <v>90705</v>
      </c>
    </row>
    <row r="960" spans="2:3" x14ac:dyDescent="0.25">
      <c r="B960" s="983" t="s">
        <v>2121</v>
      </c>
      <c r="C960" s="966">
        <v>98451</v>
      </c>
    </row>
    <row r="961" spans="2:3" x14ac:dyDescent="0.25">
      <c r="B961" s="983" t="s">
        <v>2122</v>
      </c>
      <c r="C961" s="966">
        <v>96451</v>
      </c>
    </row>
    <row r="962" spans="2:3" x14ac:dyDescent="0.25">
      <c r="B962" s="983" t="s">
        <v>2123</v>
      </c>
      <c r="C962" s="966">
        <v>96121</v>
      </c>
    </row>
    <row r="963" spans="2:3" x14ac:dyDescent="0.25">
      <c r="B963" s="983" t="s">
        <v>2124</v>
      </c>
      <c r="C963" s="966">
        <v>91091</v>
      </c>
    </row>
    <row r="964" spans="2:3" x14ac:dyDescent="0.25">
      <c r="B964" s="983" t="s">
        <v>2125</v>
      </c>
      <c r="C964" s="966">
        <v>90611</v>
      </c>
    </row>
    <row r="965" spans="2:3" x14ac:dyDescent="0.25">
      <c r="B965" s="983" t="s">
        <v>1761</v>
      </c>
      <c r="C965" s="966">
        <v>96918</v>
      </c>
    </row>
    <row r="966" spans="2:3" x14ac:dyDescent="0.25">
      <c r="B966" s="983" t="s">
        <v>2126</v>
      </c>
      <c r="C966" s="966">
        <v>96911</v>
      </c>
    </row>
    <row r="967" spans="2:3" x14ac:dyDescent="0.25">
      <c r="B967" s="983" t="s">
        <v>1958</v>
      </c>
      <c r="C967" s="966">
        <v>99208</v>
      </c>
    </row>
    <row r="968" spans="2:3" x14ac:dyDescent="0.25">
      <c r="B968" s="983" t="s">
        <v>2127</v>
      </c>
      <c r="C968" s="966">
        <v>91631</v>
      </c>
    </row>
    <row r="969" spans="2:3" x14ac:dyDescent="0.25">
      <c r="B969" s="983" t="s">
        <v>1207</v>
      </c>
      <c r="C969" s="966">
        <v>90701</v>
      </c>
    </row>
    <row r="970" spans="2:3" x14ac:dyDescent="0.25">
      <c r="B970" s="983" t="s">
        <v>3694</v>
      </c>
      <c r="C970" s="966">
        <v>90704</v>
      </c>
    </row>
    <row r="971" spans="2:3" x14ac:dyDescent="0.25">
      <c r="B971" s="983" t="s">
        <v>3695</v>
      </c>
      <c r="C971" s="966">
        <v>91633</v>
      </c>
    </row>
    <row r="972" spans="2:3" x14ac:dyDescent="0.25">
      <c r="B972" s="983" t="s">
        <v>2128</v>
      </c>
      <c r="C972" s="966">
        <v>90631</v>
      </c>
    </row>
    <row r="973" spans="2:3" x14ac:dyDescent="0.25">
      <c r="B973" s="983" t="s">
        <v>2129</v>
      </c>
      <c r="C973" s="966">
        <v>90731</v>
      </c>
    </row>
    <row r="974" spans="2:3" x14ac:dyDescent="0.25">
      <c r="B974" s="983" t="s">
        <v>2130</v>
      </c>
      <c r="C974" s="966">
        <v>93621</v>
      </c>
    </row>
    <row r="975" spans="2:3" x14ac:dyDescent="0.25">
      <c r="B975" s="983" t="s">
        <v>1491</v>
      </c>
      <c r="C975" s="966">
        <v>93623</v>
      </c>
    </row>
    <row r="976" spans="2:3" x14ac:dyDescent="0.25">
      <c r="B976" s="983" t="s">
        <v>2131</v>
      </c>
      <c r="C976" s="966">
        <v>91020</v>
      </c>
    </row>
    <row r="977" spans="2:3" x14ac:dyDescent="0.25">
      <c r="B977" s="983" t="s">
        <v>2132</v>
      </c>
      <c r="C977" s="966">
        <v>95141</v>
      </c>
    </row>
    <row r="978" spans="2:3" x14ac:dyDescent="0.25">
      <c r="B978" s="983" t="s">
        <v>1609</v>
      </c>
      <c r="C978" s="966">
        <v>95103</v>
      </c>
    </row>
    <row r="979" spans="2:3" x14ac:dyDescent="0.25">
      <c r="B979" s="983" t="s">
        <v>2133</v>
      </c>
      <c r="C979" s="966">
        <v>93021</v>
      </c>
    </row>
    <row r="980" spans="2:3" x14ac:dyDescent="0.25">
      <c r="B980" s="983" t="s">
        <v>1215</v>
      </c>
      <c r="C980" s="966">
        <v>90801</v>
      </c>
    </row>
    <row r="981" spans="2:3" x14ac:dyDescent="0.25">
      <c r="B981" s="983" t="s">
        <v>3696</v>
      </c>
      <c r="C981" s="966">
        <v>90804</v>
      </c>
    </row>
    <row r="982" spans="2:3" x14ac:dyDescent="0.25">
      <c r="B982" s="983" t="s">
        <v>1218</v>
      </c>
      <c r="C982" s="966">
        <v>90808</v>
      </c>
    </row>
    <row r="983" spans="2:3" x14ac:dyDescent="0.25">
      <c r="B983" s="983" t="s">
        <v>2134</v>
      </c>
      <c r="C983" s="966">
        <v>93671</v>
      </c>
    </row>
    <row r="984" spans="2:3" x14ac:dyDescent="0.25">
      <c r="B984" s="983" t="s">
        <v>2135</v>
      </c>
      <c r="C984" s="966">
        <v>93677</v>
      </c>
    </row>
    <row r="985" spans="2:3" x14ac:dyDescent="0.25">
      <c r="B985" s="983" t="s">
        <v>2136</v>
      </c>
      <c r="C985" s="966">
        <v>97441</v>
      </c>
    </row>
    <row r="986" spans="2:3" x14ac:dyDescent="0.25">
      <c r="B986" s="983" t="s">
        <v>2137</v>
      </c>
      <c r="C986" s="966">
        <v>93111</v>
      </c>
    </row>
    <row r="987" spans="2:3" x14ac:dyDescent="0.25">
      <c r="B987" s="983" t="s">
        <v>2138</v>
      </c>
      <c r="C987" s="966">
        <v>91111</v>
      </c>
    </row>
    <row r="988" spans="2:3" x14ac:dyDescent="0.25">
      <c r="B988" s="983" t="s">
        <v>2139</v>
      </c>
      <c r="C988" s="966">
        <v>96231</v>
      </c>
    </row>
    <row r="989" spans="2:3" x14ac:dyDescent="0.25">
      <c r="B989" s="983" t="s">
        <v>2140</v>
      </c>
      <c r="C989" s="966">
        <v>99831</v>
      </c>
    </row>
    <row r="990" spans="2:3" x14ac:dyDescent="0.25">
      <c r="B990" s="983" t="s">
        <v>2141</v>
      </c>
      <c r="C990" s="966">
        <v>91151</v>
      </c>
    </row>
    <row r="991" spans="2:3" x14ac:dyDescent="0.25">
      <c r="B991" s="983" t="s">
        <v>3697</v>
      </c>
      <c r="C991" s="966">
        <v>91154</v>
      </c>
    </row>
    <row r="992" spans="2:3" x14ac:dyDescent="0.25">
      <c r="B992" s="983" t="s">
        <v>1223</v>
      </c>
      <c r="C992" s="966">
        <v>90901</v>
      </c>
    </row>
    <row r="993" spans="2:3" x14ac:dyDescent="0.25">
      <c r="B993" s="983" t="s">
        <v>2142</v>
      </c>
      <c r="C993" s="966">
        <v>90941</v>
      </c>
    </row>
    <row r="994" spans="2:3" x14ac:dyDescent="0.25">
      <c r="B994" s="983" t="s">
        <v>2143</v>
      </c>
      <c r="C994" s="966">
        <v>99521</v>
      </c>
    </row>
    <row r="995" spans="2:3" x14ac:dyDescent="0.25">
      <c r="B995" s="983" t="s">
        <v>3698</v>
      </c>
      <c r="C995" s="966">
        <v>99527</v>
      </c>
    </row>
    <row r="996" spans="2:3" x14ac:dyDescent="0.25">
      <c r="B996" s="983" t="s">
        <v>1987</v>
      </c>
      <c r="C996" s="966">
        <v>99508</v>
      </c>
    </row>
    <row r="997" spans="2:3" x14ac:dyDescent="0.25">
      <c r="B997" s="983" t="s">
        <v>1576</v>
      </c>
      <c r="C997" s="966">
        <v>94532</v>
      </c>
    </row>
    <row r="998" spans="2:3" x14ac:dyDescent="0.25">
      <c r="B998" s="983" t="s">
        <v>3699</v>
      </c>
      <c r="C998" s="966">
        <v>91071</v>
      </c>
    </row>
    <row r="999" spans="2:3" x14ac:dyDescent="0.25">
      <c r="B999" s="983" t="s">
        <v>3700</v>
      </c>
      <c r="C999" s="966">
        <v>91077</v>
      </c>
    </row>
    <row r="1000" spans="2:3" x14ac:dyDescent="0.25">
      <c r="B1000" s="983" t="s">
        <v>2144</v>
      </c>
      <c r="C1000" s="966">
        <v>92331</v>
      </c>
    </row>
    <row r="1001" spans="2:3" x14ac:dyDescent="0.25">
      <c r="B1001" s="983" t="s">
        <v>2145</v>
      </c>
      <c r="C1001" s="966">
        <v>92414</v>
      </c>
    </row>
    <row r="1002" spans="2:3" x14ac:dyDescent="0.25">
      <c r="B1002" s="983" t="s">
        <v>2146</v>
      </c>
      <c r="C1002" s="966">
        <v>99511</v>
      </c>
    </row>
    <row r="1003" spans="2:3" x14ac:dyDescent="0.25">
      <c r="B1003" s="983" t="s">
        <v>2147</v>
      </c>
      <c r="C1003" s="966">
        <v>99941</v>
      </c>
    </row>
    <row r="1004" spans="2:3" x14ac:dyDescent="0.25">
      <c r="B1004" s="983" t="s">
        <v>1713</v>
      </c>
      <c r="C1004" s="966">
        <v>96405</v>
      </c>
    </row>
    <row r="1005" spans="2:3" x14ac:dyDescent="0.25">
      <c r="B1005" s="983" t="s">
        <v>2148</v>
      </c>
      <c r="C1005" s="966">
        <v>98811</v>
      </c>
    </row>
    <row r="1006" spans="2:3" x14ac:dyDescent="0.25">
      <c r="B1006" s="983" t="s">
        <v>3701</v>
      </c>
      <c r="C1006" s="966">
        <v>98817</v>
      </c>
    </row>
    <row r="1007" spans="2:3" x14ac:dyDescent="0.25">
      <c r="B1007" s="983" t="s">
        <v>2149</v>
      </c>
      <c r="C1007" s="966">
        <v>92561</v>
      </c>
    </row>
    <row r="1008" spans="2:3" x14ac:dyDescent="0.25">
      <c r="B1008" s="983" t="s">
        <v>1872</v>
      </c>
      <c r="C1008" s="966">
        <v>98102</v>
      </c>
    </row>
    <row r="1009" spans="2:3" x14ac:dyDescent="0.25">
      <c r="B1009" s="983" t="s">
        <v>2150</v>
      </c>
      <c r="C1009" s="966">
        <v>95321</v>
      </c>
    </row>
    <row r="1010" spans="2:3" x14ac:dyDescent="0.25">
      <c r="B1010" s="983" t="s">
        <v>2151</v>
      </c>
      <c r="C1010" s="966">
        <v>91861</v>
      </c>
    </row>
    <row r="1011" spans="2:3" x14ac:dyDescent="0.25">
      <c r="B1011" s="983" t="s">
        <v>2152</v>
      </c>
      <c r="C1011" s="966">
        <v>92421</v>
      </c>
    </row>
    <row r="1012" spans="2:3" x14ac:dyDescent="0.25">
      <c r="B1012" s="983" t="s">
        <v>3702</v>
      </c>
      <c r="C1012" s="966">
        <v>91006</v>
      </c>
    </row>
    <row r="1013" spans="2:3" x14ac:dyDescent="0.25">
      <c r="B1013" s="983" t="s">
        <v>3703</v>
      </c>
      <c r="C1013" s="966">
        <v>91003</v>
      </c>
    </row>
    <row r="1014" spans="2:3" x14ac:dyDescent="0.25">
      <c r="B1014" s="983" t="s">
        <v>1230</v>
      </c>
      <c r="C1014" s="966">
        <v>91001</v>
      </c>
    </row>
    <row r="1015" spans="2:3" x14ac:dyDescent="0.25">
      <c r="B1015" s="983" t="s">
        <v>3704</v>
      </c>
      <c r="C1015" s="966">
        <v>91004</v>
      </c>
    </row>
    <row r="1016" spans="2:3" x14ac:dyDescent="0.25">
      <c r="B1016" s="983" t="s">
        <v>3705</v>
      </c>
      <c r="C1016" s="966">
        <v>91009</v>
      </c>
    </row>
    <row r="1017" spans="2:3" x14ac:dyDescent="0.25">
      <c r="B1017" s="983" t="s">
        <v>3706</v>
      </c>
      <c r="C1017" s="966">
        <v>91042</v>
      </c>
    </row>
    <row r="1018" spans="2:3" x14ac:dyDescent="0.25">
      <c r="B1018" s="983" t="s">
        <v>2153</v>
      </c>
      <c r="C1018" s="966">
        <v>98711</v>
      </c>
    </row>
    <row r="1019" spans="2:3" x14ac:dyDescent="0.25">
      <c r="B1019" s="983" t="s">
        <v>3707</v>
      </c>
      <c r="C1019" s="966">
        <v>98717</v>
      </c>
    </row>
    <row r="1020" spans="2:3" x14ac:dyDescent="0.25">
      <c r="B1020" s="983" t="s">
        <v>1258</v>
      </c>
      <c r="C1020" s="966">
        <v>91101</v>
      </c>
    </row>
    <row r="1021" spans="2:3" x14ac:dyDescent="0.25">
      <c r="B1021" s="983" t="s">
        <v>2154</v>
      </c>
      <c r="C1021" s="966">
        <v>93531</v>
      </c>
    </row>
    <row r="1022" spans="2:3" x14ac:dyDescent="0.25">
      <c r="B1022" s="983" t="s">
        <v>3708</v>
      </c>
      <c r="C1022" s="966">
        <v>93537</v>
      </c>
    </row>
    <row r="1023" spans="2:3" x14ac:dyDescent="0.25">
      <c r="B1023" s="983" t="s">
        <v>2155</v>
      </c>
      <c r="C1023" s="966">
        <v>97111</v>
      </c>
    </row>
    <row r="1024" spans="2:3" x14ac:dyDescent="0.25">
      <c r="B1024" s="983" t="s">
        <v>3709</v>
      </c>
      <c r="C1024" s="966">
        <v>91206</v>
      </c>
    </row>
    <row r="1025" spans="2:3" x14ac:dyDescent="0.25">
      <c r="B1025" s="983" t="s">
        <v>3710</v>
      </c>
      <c r="C1025" s="966">
        <v>91203</v>
      </c>
    </row>
    <row r="1026" spans="2:3" x14ac:dyDescent="0.25">
      <c r="B1026" s="983" t="s">
        <v>1277</v>
      </c>
      <c r="C1026" s="966">
        <v>91201</v>
      </c>
    </row>
    <row r="1027" spans="2:3" x14ac:dyDescent="0.25">
      <c r="B1027" s="983" t="s">
        <v>3711</v>
      </c>
      <c r="C1027" s="966">
        <v>91208</v>
      </c>
    </row>
    <row r="1028" spans="2:3" x14ac:dyDescent="0.25">
      <c r="B1028" s="983" t="s">
        <v>3712</v>
      </c>
      <c r="C1028" s="966">
        <v>91202</v>
      </c>
    </row>
    <row r="1029" spans="2:3" x14ac:dyDescent="0.25">
      <c r="B1029" s="983" t="s">
        <v>2156</v>
      </c>
      <c r="C1029" s="966">
        <v>90111</v>
      </c>
    </row>
    <row r="1030" spans="2:3" x14ac:dyDescent="0.25">
      <c r="B1030" s="983" t="s">
        <v>2157</v>
      </c>
      <c r="C1030" s="966">
        <v>90011</v>
      </c>
    </row>
    <row r="1031" spans="2:3" x14ac:dyDescent="0.25">
      <c r="B1031" s="983" t="s">
        <v>2158</v>
      </c>
      <c r="C1031" s="966">
        <v>93931</v>
      </c>
    </row>
    <row r="1032" spans="2:3" x14ac:dyDescent="0.25">
      <c r="B1032" s="983" t="s">
        <v>3713</v>
      </c>
      <c r="C1032" s="973">
        <v>91306</v>
      </c>
    </row>
    <row r="1033" spans="2:3" x14ac:dyDescent="0.25">
      <c r="B1033" s="983" t="s">
        <v>1291</v>
      </c>
      <c r="C1033" s="966">
        <v>91301</v>
      </c>
    </row>
    <row r="1034" spans="2:3" x14ac:dyDescent="0.25">
      <c r="B1034" s="983" t="s">
        <v>3714</v>
      </c>
      <c r="C1034" s="973">
        <v>91308</v>
      </c>
    </row>
    <row r="1035" spans="2:3" x14ac:dyDescent="0.25">
      <c r="B1035" s="983" t="s">
        <v>3715</v>
      </c>
      <c r="C1035" s="966">
        <v>91461</v>
      </c>
    </row>
    <row r="1036" spans="2:3" x14ac:dyDescent="0.25">
      <c r="B1036" s="983" t="s">
        <v>2159</v>
      </c>
      <c r="C1036" s="966">
        <v>91010</v>
      </c>
    </row>
    <row r="1037" spans="2:3" x14ac:dyDescent="0.25">
      <c r="B1037" s="983" t="s">
        <v>3716</v>
      </c>
      <c r="C1037" s="966">
        <v>91007</v>
      </c>
    </row>
    <row r="1038" spans="2:3" x14ac:dyDescent="0.25">
      <c r="B1038" s="983" t="s">
        <v>1301</v>
      </c>
      <c r="C1038" s="966">
        <v>91401</v>
      </c>
    </row>
    <row r="1039" spans="2:3" x14ac:dyDescent="0.25">
      <c r="B1039" s="983" t="s">
        <v>2160</v>
      </c>
      <c r="C1039" s="966">
        <v>93171</v>
      </c>
    </row>
    <row r="1040" spans="2:3" x14ac:dyDescent="0.25">
      <c r="B1040" s="983" t="s">
        <v>1311</v>
      </c>
      <c r="C1040" s="966">
        <v>91501</v>
      </c>
    </row>
    <row r="1041" spans="2:3" x14ac:dyDescent="0.25">
      <c r="B1041" s="983" t="s">
        <v>3717</v>
      </c>
      <c r="C1041" s="966">
        <v>91504</v>
      </c>
    </row>
    <row r="1042" spans="2:3" x14ac:dyDescent="0.25">
      <c r="B1042" s="983" t="s">
        <v>2161</v>
      </c>
      <c r="C1042" s="966">
        <v>96312</v>
      </c>
    </row>
    <row r="1043" spans="2:3" x14ac:dyDescent="0.25">
      <c r="B1043" s="983" t="s">
        <v>2162</v>
      </c>
      <c r="C1043" s="966">
        <v>96241</v>
      </c>
    </row>
    <row r="1044" spans="2:3" x14ac:dyDescent="0.25">
      <c r="B1044" s="983" t="s">
        <v>2163</v>
      </c>
      <c r="C1044" s="966">
        <v>94431</v>
      </c>
    </row>
    <row r="1045" spans="2:3" x14ac:dyDescent="0.25">
      <c r="B1045" s="983" t="s">
        <v>3718</v>
      </c>
      <c r="C1045" s="966">
        <v>94437</v>
      </c>
    </row>
    <row r="1046" spans="2:3" x14ac:dyDescent="0.25">
      <c r="B1046" s="983" t="s">
        <v>2164</v>
      </c>
      <c r="C1046" s="966">
        <v>91671</v>
      </c>
    </row>
    <row r="1047" spans="2:3" x14ac:dyDescent="0.25">
      <c r="B1047" s="983" t="s">
        <v>1235</v>
      </c>
      <c r="C1047" s="966">
        <v>91008</v>
      </c>
    </row>
    <row r="1048" spans="2:3" x14ac:dyDescent="0.25">
      <c r="B1048" s="983" t="s">
        <v>1727</v>
      </c>
      <c r="C1048" s="966">
        <v>96512</v>
      </c>
    </row>
    <row r="1049" spans="2:3" x14ac:dyDescent="0.25">
      <c r="B1049" s="983" t="s">
        <v>1724</v>
      </c>
      <c r="C1049" s="966">
        <v>96507</v>
      </c>
    </row>
    <row r="1050" spans="2:3" x14ac:dyDescent="0.25">
      <c r="B1050" s="983" t="s">
        <v>2165</v>
      </c>
      <c r="C1050" s="966">
        <v>96521</v>
      </c>
    </row>
    <row r="1051" spans="2:3" x14ac:dyDescent="0.25">
      <c r="B1051" s="983" t="s">
        <v>2166</v>
      </c>
      <c r="C1051" s="966">
        <v>91024</v>
      </c>
    </row>
    <row r="1052" spans="2:3" x14ac:dyDescent="0.25">
      <c r="B1052" s="983" t="s">
        <v>2167</v>
      </c>
      <c r="C1052" s="966">
        <v>96821</v>
      </c>
    </row>
    <row r="1053" spans="2:3" x14ac:dyDescent="0.25">
      <c r="B1053" s="983" t="s">
        <v>1313</v>
      </c>
      <c r="C1053" s="966">
        <v>91601</v>
      </c>
    </row>
    <row r="1054" spans="2:3" x14ac:dyDescent="0.25">
      <c r="B1054" s="983" t="s">
        <v>3719</v>
      </c>
      <c r="C1054" s="966">
        <v>91604</v>
      </c>
    </row>
    <row r="1055" spans="2:3" x14ac:dyDescent="0.25">
      <c r="B1055" s="983" t="s">
        <v>2168</v>
      </c>
      <c r="C1055" s="966">
        <v>96391</v>
      </c>
    </row>
    <row r="1056" spans="2:3" x14ac:dyDescent="0.25">
      <c r="B1056" s="983" t="s">
        <v>2169</v>
      </c>
      <c r="C1056" s="966">
        <v>99221</v>
      </c>
    </row>
    <row r="1057" spans="2:3" x14ac:dyDescent="0.25">
      <c r="B1057" s="983" t="s">
        <v>2170</v>
      </c>
      <c r="C1057" s="966">
        <v>91051</v>
      </c>
    </row>
    <row r="1058" spans="2:3" x14ac:dyDescent="0.25">
      <c r="B1058" s="983" t="s">
        <v>3720</v>
      </c>
      <c r="C1058" s="966">
        <v>91706</v>
      </c>
    </row>
    <row r="1059" spans="2:3" x14ac:dyDescent="0.25">
      <c r="B1059" s="983" t="s">
        <v>1326</v>
      </c>
      <c r="C1059" s="966">
        <v>91701</v>
      </c>
    </row>
    <row r="1060" spans="2:3" x14ac:dyDescent="0.25">
      <c r="B1060" s="983" t="s">
        <v>3721</v>
      </c>
      <c r="C1060" s="966">
        <v>91704</v>
      </c>
    </row>
    <row r="1061" spans="2:3" x14ac:dyDescent="0.25">
      <c r="B1061" s="983" t="s">
        <v>2171</v>
      </c>
      <c r="C1061" s="966">
        <v>91881</v>
      </c>
    </row>
    <row r="1062" spans="2:3" x14ac:dyDescent="0.25">
      <c r="B1062" s="983" t="s">
        <v>1329</v>
      </c>
      <c r="C1062" s="966">
        <v>91801</v>
      </c>
    </row>
    <row r="1063" spans="2:3" x14ac:dyDescent="0.25">
      <c r="B1063" s="983" t="s">
        <v>3722</v>
      </c>
      <c r="C1063" s="966">
        <v>91804</v>
      </c>
    </row>
    <row r="1064" spans="2:3" x14ac:dyDescent="0.25">
      <c r="B1064" s="983" t="s">
        <v>2172</v>
      </c>
      <c r="C1064" s="966">
        <v>91691</v>
      </c>
    </row>
    <row r="1065" spans="2:3" x14ac:dyDescent="0.25">
      <c r="B1065" s="983" t="s">
        <v>3723</v>
      </c>
      <c r="C1065" s="966">
        <v>99222</v>
      </c>
    </row>
    <row r="1066" spans="2:3" x14ac:dyDescent="0.25">
      <c r="B1066" s="983" t="s">
        <v>3525</v>
      </c>
      <c r="C1066" s="966">
        <v>93408</v>
      </c>
    </row>
    <row r="1067" spans="2:3" x14ac:dyDescent="0.25">
      <c r="B1067" s="983" t="s">
        <v>1675</v>
      </c>
      <c r="C1067" s="966">
        <v>96009</v>
      </c>
    </row>
    <row r="1068" spans="2:3" x14ac:dyDescent="0.25">
      <c r="B1068" s="983" t="s">
        <v>2173</v>
      </c>
      <c r="C1068" s="966">
        <v>92441</v>
      </c>
    </row>
    <row r="1069" spans="2:3" x14ac:dyDescent="0.25">
      <c r="B1069" s="983" t="s">
        <v>2174</v>
      </c>
      <c r="C1069" s="966">
        <v>96811</v>
      </c>
    </row>
    <row r="1070" spans="2:3" x14ac:dyDescent="0.25">
      <c r="B1070" s="983" t="s">
        <v>2175</v>
      </c>
      <c r="C1070" s="966">
        <v>96011</v>
      </c>
    </row>
    <row r="1071" spans="2:3" x14ac:dyDescent="0.25">
      <c r="B1071" s="983" t="s">
        <v>3724</v>
      </c>
      <c r="C1071" s="966">
        <v>96018</v>
      </c>
    </row>
    <row r="1072" spans="2:3" x14ac:dyDescent="0.25">
      <c r="B1072" s="983" t="s">
        <v>3725</v>
      </c>
      <c r="C1072" s="966">
        <v>96003</v>
      </c>
    </row>
    <row r="1073" spans="2:3" x14ac:dyDescent="0.25">
      <c r="B1073" s="983" t="s">
        <v>3726</v>
      </c>
      <c r="C1073" s="966">
        <v>96005</v>
      </c>
    </row>
    <row r="1074" spans="2:3" x14ac:dyDescent="0.25">
      <c r="B1074" s="983" t="s">
        <v>3526</v>
      </c>
      <c r="C1074" s="966">
        <v>96012</v>
      </c>
    </row>
    <row r="1075" spans="2:3" x14ac:dyDescent="0.25">
      <c r="B1075" s="983" t="s">
        <v>3727</v>
      </c>
      <c r="C1075" s="966">
        <v>91903</v>
      </c>
    </row>
    <row r="1076" spans="2:3" x14ac:dyDescent="0.25">
      <c r="B1076" s="983" t="s">
        <v>1343</v>
      </c>
      <c r="C1076" s="966">
        <v>91901</v>
      </c>
    </row>
    <row r="1077" spans="2:3" x14ac:dyDescent="0.25">
      <c r="B1077" s="983" t="s">
        <v>3728</v>
      </c>
      <c r="C1077" s="966">
        <v>91904</v>
      </c>
    </row>
    <row r="1078" spans="2:3" x14ac:dyDescent="0.25">
      <c r="B1078" s="983" t="s">
        <v>1350</v>
      </c>
      <c r="C1078" s="966">
        <v>92001</v>
      </c>
    </row>
    <row r="1079" spans="2:3" x14ac:dyDescent="0.25">
      <c r="B1079" s="983" t="s">
        <v>2176</v>
      </c>
      <c r="C1079" s="966">
        <v>93641</v>
      </c>
    </row>
    <row r="1080" spans="2:3" x14ac:dyDescent="0.25">
      <c r="B1080" s="983" t="s">
        <v>3729</v>
      </c>
      <c r="C1080" s="966">
        <v>93647</v>
      </c>
    </row>
    <row r="1081" spans="2:3" x14ac:dyDescent="0.25">
      <c r="B1081" s="983" t="s">
        <v>2177</v>
      </c>
      <c r="C1081" s="966">
        <v>98041</v>
      </c>
    </row>
    <row r="1082" spans="2:3" x14ac:dyDescent="0.25">
      <c r="B1082" s="983" t="s">
        <v>3730</v>
      </c>
      <c r="C1082" s="966">
        <v>96612</v>
      </c>
    </row>
    <row r="1083" spans="2:3" x14ac:dyDescent="0.25">
      <c r="B1083" s="983" t="s">
        <v>2178</v>
      </c>
      <c r="C1083" s="966">
        <v>90751</v>
      </c>
    </row>
    <row r="1084" spans="2:3" x14ac:dyDescent="0.25">
      <c r="B1084" s="983" t="s">
        <v>1355</v>
      </c>
      <c r="C1084" s="966">
        <v>92101</v>
      </c>
    </row>
    <row r="1085" spans="2:3" x14ac:dyDescent="0.25">
      <c r="B1085" s="983" t="s">
        <v>3731</v>
      </c>
      <c r="C1085" s="966">
        <v>92104</v>
      </c>
    </row>
    <row r="1086" spans="2:3" x14ac:dyDescent="0.25">
      <c r="B1086" s="983" t="s">
        <v>2179</v>
      </c>
      <c r="C1086" s="966">
        <v>91821</v>
      </c>
    </row>
    <row r="1087" spans="2:3" x14ac:dyDescent="0.25">
      <c r="B1087" s="983" t="s">
        <v>2180</v>
      </c>
      <c r="C1087" s="966">
        <v>90931</v>
      </c>
    </row>
    <row r="1088" spans="2:3" x14ac:dyDescent="0.25">
      <c r="B1088" s="983" t="s">
        <v>1360</v>
      </c>
      <c r="C1088" s="966">
        <v>92201</v>
      </c>
    </row>
    <row r="1089" spans="2:3" x14ac:dyDescent="0.25">
      <c r="B1089" s="983" t="s">
        <v>2181</v>
      </c>
      <c r="C1089" s="966">
        <v>95131</v>
      </c>
    </row>
    <row r="1090" spans="2:3" x14ac:dyDescent="0.25">
      <c r="B1090" s="983" t="s">
        <v>2182</v>
      </c>
      <c r="C1090" s="966">
        <v>93441</v>
      </c>
    </row>
    <row r="1091" spans="2:3" x14ac:dyDescent="0.25">
      <c r="B1091" s="983" t="s">
        <v>1472</v>
      </c>
      <c r="C1091" s="966">
        <v>93442</v>
      </c>
    </row>
    <row r="1092" spans="2:3" x14ac:dyDescent="0.25">
      <c r="B1092" s="983" t="s">
        <v>2183</v>
      </c>
      <c r="C1092" s="966">
        <v>98091</v>
      </c>
    </row>
    <row r="1093" spans="2:3" x14ac:dyDescent="0.25">
      <c r="B1093" s="983" t="s">
        <v>1361</v>
      </c>
      <c r="C1093" s="966">
        <v>92301</v>
      </c>
    </row>
    <row r="1094" spans="2:3" x14ac:dyDescent="0.25">
      <c r="B1094" s="983" t="s">
        <v>3732</v>
      </c>
      <c r="C1094" s="966">
        <v>92302</v>
      </c>
    </row>
    <row r="1095" spans="2:3" x14ac:dyDescent="0.25">
      <c r="B1095" s="983" t="s">
        <v>2184</v>
      </c>
      <c r="C1095" s="966">
        <v>98211</v>
      </c>
    </row>
    <row r="1096" spans="2:3" x14ac:dyDescent="0.25">
      <c r="B1096" s="983" t="s">
        <v>3733</v>
      </c>
      <c r="C1096" s="966">
        <v>98218</v>
      </c>
    </row>
    <row r="1097" spans="2:3" x14ac:dyDescent="0.25">
      <c r="B1097" s="983" t="s">
        <v>3734</v>
      </c>
      <c r="C1097" s="966">
        <v>92506</v>
      </c>
    </row>
    <row r="1098" spans="2:3" x14ac:dyDescent="0.25">
      <c r="B1098" s="983" t="s">
        <v>3735</v>
      </c>
      <c r="C1098" s="966">
        <v>92508</v>
      </c>
    </row>
    <row r="1099" spans="2:3" x14ac:dyDescent="0.25">
      <c r="B1099" s="983" t="s">
        <v>2185</v>
      </c>
      <c r="C1099" s="966">
        <v>94341</v>
      </c>
    </row>
    <row r="1100" spans="2:3" x14ac:dyDescent="0.25">
      <c r="B1100" s="983" t="s">
        <v>2186</v>
      </c>
      <c r="C1100" s="966">
        <v>94641</v>
      </c>
    </row>
    <row r="1101" spans="2:3" x14ac:dyDescent="0.25">
      <c r="B1101" s="983" t="s">
        <v>2187</v>
      </c>
      <c r="C1101" s="966">
        <v>90813</v>
      </c>
    </row>
    <row r="1102" spans="2:3" x14ac:dyDescent="0.25">
      <c r="B1102" s="983" t="s">
        <v>1537</v>
      </c>
      <c r="C1102" s="966">
        <v>94168</v>
      </c>
    </row>
    <row r="1103" spans="2:3" x14ac:dyDescent="0.25">
      <c r="B1103" s="983" t="s">
        <v>2188</v>
      </c>
      <c r="C1103" s="966">
        <v>98911</v>
      </c>
    </row>
    <row r="1104" spans="2:3" x14ac:dyDescent="0.25">
      <c r="B1104" s="983" t="s">
        <v>2189</v>
      </c>
      <c r="C1104" s="966">
        <v>97521</v>
      </c>
    </row>
    <row r="1105" spans="2:3" x14ac:dyDescent="0.25">
      <c r="B1105" s="983" t="s">
        <v>1370</v>
      </c>
      <c r="C1105" s="966">
        <v>92401</v>
      </c>
    </row>
    <row r="1106" spans="2:3" x14ac:dyDescent="0.25">
      <c r="B1106" s="983" t="s">
        <v>2190</v>
      </c>
      <c r="C1106" s="966">
        <v>91311</v>
      </c>
    </row>
    <row r="1107" spans="2:3" x14ac:dyDescent="0.25">
      <c r="B1107" s="983" t="s">
        <v>3736</v>
      </c>
      <c r="C1107" s="966">
        <v>91317</v>
      </c>
    </row>
    <row r="1108" spans="2:3" x14ac:dyDescent="0.25">
      <c r="B1108" s="983" t="s">
        <v>2191</v>
      </c>
      <c r="C1108" s="966">
        <v>91261</v>
      </c>
    </row>
    <row r="1109" spans="2:3" x14ac:dyDescent="0.25">
      <c r="B1109" s="983" t="s">
        <v>2192</v>
      </c>
      <c r="C1109" s="966">
        <v>91851</v>
      </c>
    </row>
    <row r="1110" spans="2:3" x14ac:dyDescent="0.25">
      <c r="B1110" s="983" t="s">
        <v>3737</v>
      </c>
      <c r="C1110" s="966">
        <v>97408</v>
      </c>
    </row>
    <row r="1111" spans="2:3" x14ac:dyDescent="0.25">
      <c r="B1111" s="983" t="s">
        <v>2193</v>
      </c>
      <c r="C1111" s="966">
        <v>96641</v>
      </c>
    </row>
    <row r="1112" spans="2:3" x14ac:dyDescent="0.25">
      <c r="B1112" s="983" t="s">
        <v>2194</v>
      </c>
      <c r="C1112" s="966">
        <v>93031</v>
      </c>
    </row>
    <row r="1113" spans="2:3" x14ac:dyDescent="0.25">
      <c r="B1113" s="983" t="s">
        <v>3738</v>
      </c>
      <c r="C1113" s="966">
        <v>93027</v>
      </c>
    </row>
    <row r="1114" spans="2:3" x14ac:dyDescent="0.25">
      <c r="B1114" s="983" t="s">
        <v>2195</v>
      </c>
      <c r="C1114" s="966">
        <v>96051</v>
      </c>
    </row>
    <row r="1115" spans="2:3" x14ac:dyDescent="0.25">
      <c r="B1115" s="983" t="s">
        <v>3739</v>
      </c>
      <c r="C1115" s="966">
        <v>94501</v>
      </c>
    </row>
    <row r="1116" spans="2:3" x14ac:dyDescent="0.25">
      <c r="B1116" s="983" t="s">
        <v>2196</v>
      </c>
      <c r="C1116" s="966">
        <v>92571</v>
      </c>
    </row>
    <row r="1117" spans="2:3" x14ac:dyDescent="0.25">
      <c r="B1117" s="983" t="s">
        <v>2197</v>
      </c>
      <c r="C1117" s="966">
        <v>93631</v>
      </c>
    </row>
    <row r="1118" spans="2:3" x14ac:dyDescent="0.25">
      <c r="B1118" s="983" t="s">
        <v>3740</v>
      </c>
      <c r="C1118" s="966">
        <v>92504</v>
      </c>
    </row>
    <row r="1119" spans="2:3" x14ac:dyDescent="0.25">
      <c r="B1119" s="983" t="s">
        <v>1381</v>
      </c>
      <c r="C1119" s="966">
        <v>92501</v>
      </c>
    </row>
    <row r="1120" spans="2:3" x14ac:dyDescent="0.25">
      <c r="B1120" s="983" t="s">
        <v>1384</v>
      </c>
      <c r="C1120" s="966">
        <v>92505</v>
      </c>
    </row>
    <row r="1121" spans="2:3" x14ac:dyDescent="0.25">
      <c r="B1121" s="983" t="s">
        <v>2198</v>
      </c>
      <c r="C1121" s="966">
        <v>93921</v>
      </c>
    </row>
    <row r="1122" spans="2:3" x14ac:dyDescent="0.25">
      <c r="B1122" s="983" t="s">
        <v>2199</v>
      </c>
      <c r="C1122" s="966">
        <v>99431</v>
      </c>
    </row>
    <row r="1123" spans="2:3" x14ac:dyDescent="0.25">
      <c r="B1123" s="983" t="s">
        <v>3741</v>
      </c>
      <c r="C1123" s="966">
        <v>92604</v>
      </c>
    </row>
    <row r="1124" spans="2:3" x14ac:dyDescent="0.25">
      <c r="B1124" s="983" t="s">
        <v>1395</v>
      </c>
      <c r="C1124" s="966">
        <v>92601</v>
      </c>
    </row>
    <row r="1125" spans="2:3" x14ac:dyDescent="0.25">
      <c r="B1125" s="983" t="s">
        <v>1398</v>
      </c>
      <c r="C1125" s="966">
        <v>92608</v>
      </c>
    </row>
    <row r="1126" spans="2:3" x14ac:dyDescent="0.25">
      <c r="B1126" s="983" t="s">
        <v>3742</v>
      </c>
      <c r="C1126" s="966">
        <v>92704</v>
      </c>
    </row>
    <row r="1127" spans="2:3" x14ac:dyDescent="0.25">
      <c r="B1127" s="983" t="s">
        <v>1409</v>
      </c>
      <c r="C1127" s="966">
        <v>92701</v>
      </c>
    </row>
    <row r="1128" spans="2:3" x14ac:dyDescent="0.25">
      <c r="B1128" s="983" t="s">
        <v>2200</v>
      </c>
      <c r="C1128" s="966">
        <v>93651</v>
      </c>
    </row>
    <row r="1129" spans="2:3" x14ac:dyDescent="0.25">
      <c r="B1129" s="983" t="s">
        <v>1411</v>
      </c>
      <c r="C1129" s="966">
        <v>92801</v>
      </c>
    </row>
    <row r="1130" spans="2:3" x14ac:dyDescent="0.25">
      <c r="B1130" s="983" t="s">
        <v>3743</v>
      </c>
      <c r="C1130" s="966">
        <v>92804</v>
      </c>
    </row>
    <row r="1131" spans="2:3" x14ac:dyDescent="0.25">
      <c r="B1131" s="983" t="s">
        <v>1412</v>
      </c>
      <c r="C1131" s="966">
        <v>92802</v>
      </c>
    </row>
    <row r="1132" spans="2:3" x14ac:dyDescent="0.25">
      <c r="B1132" s="983" t="s">
        <v>2201</v>
      </c>
      <c r="C1132" s="966">
        <v>96081</v>
      </c>
    </row>
    <row r="1133" spans="2:3" x14ac:dyDescent="0.25">
      <c r="B1133" s="983" t="s">
        <v>1420</v>
      </c>
      <c r="C1133" s="966">
        <v>92901</v>
      </c>
    </row>
    <row r="1134" spans="2:3" x14ac:dyDescent="0.25">
      <c r="B1134" s="983" t="s">
        <v>1427</v>
      </c>
      <c r="C1134" s="966">
        <v>93001</v>
      </c>
    </row>
    <row r="1135" spans="2:3" x14ac:dyDescent="0.25">
      <c r="B1135" s="983" t="s">
        <v>3744</v>
      </c>
      <c r="C1135" s="966">
        <v>93009</v>
      </c>
    </row>
    <row r="1136" spans="2:3" x14ac:dyDescent="0.25">
      <c r="B1136" s="983" t="s">
        <v>2202</v>
      </c>
      <c r="C1136" s="966">
        <v>92921</v>
      </c>
    </row>
    <row r="1137" spans="2:3" x14ac:dyDescent="0.25">
      <c r="B1137" s="983" t="s">
        <v>2203</v>
      </c>
      <c r="C1137" s="966">
        <v>98621</v>
      </c>
    </row>
    <row r="1138" spans="2:3" x14ac:dyDescent="0.25">
      <c r="B1138" s="983" t="s">
        <v>3745</v>
      </c>
      <c r="C1138" s="966">
        <v>98627</v>
      </c>
    </row>
    <row r="1139" spans="2:3" x14ac:dyDescent="0.25">
      <c r="B1139" s="983" t="s">
        <v>2204</v>
      </c>
      <c r="C1139" s="966">
        <v>91221</v>
      </c>
    </row>
    <row r="1140" spans="2:3" x14ac:dyDescent="0.25">
      <c r="B1140" s="983" t="s">
        <v>2205</v>
      </c>
      <c r="C1140" s="966">
        <v>92861</v>
      </c>
    </row>
    <row r="1141" spans="2:3" x14ac:dyDescent="0.25">
      <c r="B1141" s="983" t="s">
        <v>2206</v>
      </c>
      <c r="C1141" s="966">
        <v>94311</v>
      </c>
    </row>
    <row r="1142" spans="2:3" x14ac:dyDescent="0.25">
      <c r="B1142" s="983" t="s">
        <v>3746</v>
      </c>
      <c r="C1142" s="966">
        <v>94317</v>
      </c>
    </row>
    <row r="1143" spans="2:3" x14ac:dyDescent="0.25">
      <c r="B1143" s="983" t="s">
        <v>1552</v>
      </c>
      <c r="C1143" s="966">
        <v>94313</v>
      </c>
    </row>
    <row r="1144" spans="2:3" x14ac:dyDescent="0.25">
      <c r="B1144" s="983" t="s">
        <v>1433</v>
      </c>
      <c r="C1144" s="966">
        <v>93101</v>
      </c>
    </row>
    <row r="1145" spans="2:3" x14ac:dyDescent="0.25">
      <c r="B1145" s="983" t="s">
        <v>2207</v>
      </c>
      <c r="C1145" s="966">
        <v>93103</v>
      </c>
    </row>
    <row r="1146" spans="2:3" x14ac:dyDescent="0.25">
      <c r="B1146" s="983" t="s">
        <v>2208</v>
      </c>
      <c r="C1146" s="966">
        <v>93211</v>
      </c>
    </row>
    <row r="1147" spans="2:3" x14ac:dyDescent="0.25">
      <c r="B1147" s="983" t="s">
        <v>3747</v>
      </c>
      <c r="C1147" s="966">
        <v>93212</v>
      </c>
    </row>
    <row r="1148" spans="2:3" x14ac:dyDescent="0.25">
      <c r="B1148" s="983" t="s">
        <v>1446</v>
      </c>
      <c r="C1148" s="966">
        <v>93201</v>
      </c>
    </row>
    <row r="1149" spans="2:3" x14ac:dyDescent="0.25">
      <c r="B1149" s="983" t="s">
        <v>3748</v>
      </c>
      <c r="C1149" s="966">
        <v>93204</v>
      </c>
    </row>
    <row r="1150" spans="2:3" x14ac:dyDescent="0.25">
      <c r="B1150" s="983" t="s">
        <v>3749</v>
      </c>
      <c r="C1150" s="966">
        <v>99212</v>
      </c>
    </row>
    <row r="1151" spans="2:3" x14ac:dyDescent="0.25">
      <c r="B1151" s="983" t="s">
        <v>1765</v>
      </c>
      <c r="C1151" s="966">
        <v>97005</v>
      </c>
    </row>
    <row r="1152" spans="2:3" x14ac:dyDescent="0.25">
      <c r="B1152" s="983" t="s">
        <v>2209</v>
      </c>
      <c r="C1152" s="966">
        <v>99931</v>
      </c>
    </row>
    <row r="1153" spans="2:3" x14ac:dyDescent="0.25">
      <c r="B1153" s="983" t="s">
        <v>2210</v>
      </c>
      <c r="C1153" s="966">
        <v>98021</v>
      </c>
    </row>
    <row r="1154" spans="2:3" x14ac:dyDescent="0.25">
      <c r="B1154" s="983" t="s">
        <v>1863</v>
      </c>
      <c r="C1154" s="966">
        <v>98023</v>
      </c>
    </row>
    <row r="1155" spans="2:3" x14ac:dyDescent="0.25">
      <c r="B1155" s="983" t="s">
        <v>1160</v>
      </c>
      <c r="C1155" s="966">
        <v>70505</v>
      </c>
    </row>
    <row r="1156" spans="2:3" x14ac:dyDescent="0.25">
      <c r="B1156" s="983" t="s">
        <v>3750</v>
      </c>
      <c r="C1156" s="966">
        <v>99603</v>
      </c>
    </row>
    <row r="1157" spans="2:3" x14ac:dyDescent="0.25">
      <c r="B1157" s="983" t="s">
        <v>3751</v>
      </c>
      <c r="C1157" s="966">
        <v>99610</v>
      </c>
    </row>
    <row r="1158" spans="2:3" x14ac:dyDescent="0.25">
      <c r="B1158" s="983" t="s">
        <v>2211</v>
      </c>
      <c r="C1158" s="966">
        <v>92681</v>
      </c>
    </row>
    <row r="1159" spans="2:3" x14ac:dyDescent="0.25">
      <c r="B1159" s="983" t="s">
        <v>3529</v>
      </c>
      <c r="C1159" s="966">
        <v>93108</v>
      </c>
    </row>
    <row r="1160" spans="2:3" x14ac:dyDescent="0.25">
      <c r="B1160" s="983" t="s">
        <v>2212</v>
      </c>
      <c r="C1160" s="966">
        <v>97951</v>
      </c>
    </row>
    <row r="1161" spans="2:3" x14ac:dyDescent="0.25">
      <c r="B1161" s="983" t="s">
        <v>3752</v>
      </c>
      <c r="C1161" s="966">
        <v>97957</v>
      </c>
    </row>
    <row r="1162" spans="2:3" x14ac:dyDescent="0.25">
      <c r="B1162" s="983" t="s">
        <v>2213</v>
      </c>
      <c r="C1162" s="966">
        <v>92111</v>
      </c>
    </row>
    <row r="1163" spans="2:3" x14ac:dyDescent="0.25">
      <c r="B1163" s="983" t="s">
        <v>1453</v>
      </c>
      <c r="C1163" s="966">
        <v>93301</v>
      </c>
    </row>
    <row r="1164" spans="2:3" x14ac:dyDescent="0.25">
      <c r="B1164" s="983" t="s">
        <v>3753</v>
      </c>
      <c r="C1164" s="966">
        <v>93304</v>
      </c>
    </row>
    <row r="1165" spans="2:3" x14ac:dyDescent="0.25">
      <c r="B1165" s="983" t="s">
        <v>3754</v>
      </c>
      <c r="C1165" s="966">
        <v>93305</v>
      </c>
    </row>
    <row r="1166" spans="2:3" x14ac:dyDescent="0.25">
      <c r="B1166" s="983" t="s">
        <v>3755</v>
      </c>
      <c r="C1166" s="966">
        <v>99210</v>
      </c>
    </row>
    <row r="1167" spans="2:3" x14ac:dyDescent="0.25">
      <c r="B1167" s="983" t="s">
        <v>1768</v>
      </c>
      <c r="C1167" s="966">
        <v>97011</v>
      </c>
    </row>
    <row r="1168" spans="2:3" x14ac:dyDescent="0.25">
      <c r="B1168" s="983" t="s">
        <v>3756</v>
      </c>
      <c r="C1168" s="966">
        <v>97013</v>
      </c>
    </row>
    <row r="1169" spans="2:3" x14ac:dyDescent="0.25">
      <c r="B1169" s="983" t="s">
        <v>3757</v>
      </c>
      <c r="C1169" s="966">
        <v>97012</v>
      </c>
    </row>
    <row r="1170" spans="2:3" x14ac:dyDescent="0.25">
      <c r="B1170" s="983" t="s">
        <v>3758</v>
      </c>
      <c r="C1170" s="966">
        <v>97018</v>
      </c>
    </row>
    <row r="1171" spans="2:3" x14ac:dyDescent="0.25">
      <c r="B1171" s="983" t="s">
        <v>2214</v>
      </c>
      <c r="C1171" s="966">
        <v>90911</v>
      </c>
    </row>
    <row r="1172" spans="2:3" x14ac:dyDescent="0.25">
      <c r="B1172" s="983" t="s">
        <v>3759</v>
      </c>
      <c r="C1172" s="966">
        <v>90917</v>
      </c>
    </row>
    <row r="1173" spans="2:3" x14ac:dyDescent="0.25">
      <c r="B1173" s="983" t="s">
        <v>2215</v>
      </c>
      <c r="C1173" s="966">
        <v>90641</v>
      </c>
    </row>
    <row r="1174" spans="2:3" x14ac:dyDescent="0.25">
      <c r="B1174" s="983" t="s">
        <v>2216</v>
      </c>
      <c r="C1174" s="966">
        <v>98641</v>
      </c>
    </row>
    <row r="1175" spans="2:3" x14ac:dyDescent="0.25">
      <c r="B1175" s="983" t="s">
        <v>2217</v>
      </c>
      <c r="C1175" s="966">
        <v>98161</v>
      </c>
    </row>
    <row r="1176" spans="2:3" x14ac:dyDescent="0.25">
      <c r="B1176" s="983" t="s">
        <v>2218</v>
      </c>
      <c r="C1176" s="966">
        <v>97731</v>
      </c>
    </row>
    <row r="1177" spans="2:3" x14ac:dyDescent="0.25">
      <c r="B1177" s="983" t="s">
        <v>2219</v>
      </c>
      <c r="C1177" s="966">
        <v>99851</v>
      </c>
    </row>
    <row r="1178" spans="2:3" x14ac:dyDescent="0.25">
      <c r="B1178" s="983" t="s">
        <v>3760</v>
      </c>
      <c r="C1178" s="966">
        <v>90131</v>
      </c>
    </row>
    <row r="1179" spans="2:3" x14ac:dyDescent="0.25">
      <c r="B1179" s="983" t="s">
        <v>2220</v>
      </c>
      <c r="C1179" s="966">
        <v>91651</v>
      </c>
    </row>
    <row r="1180" spans="2:3" x14ac:dyDescent="0.25">
      <c r="B1180" s="983" t="s">
        <v>2221</v>
      </c>
      <c r="C1180" s="966">
        <v>94211</v>
      </c>
    </row>
    <row r="1181" spans="2:3" x14ac:dyDescent="0.25">
      <c r="B1181" s="983" t="s">
        <v>2222</v>
      </c>
      <c r="C1181" s="966">
        <v>94331</v>
      </c>
    </row>
    <row r="1182" spans="2:3" x14ac:dyDescent="0.25">
      <c r="B1182" s="983" t="s">
        <v>2223</v>
      </c>
      <c r="C1182" s="966">
        <v>92431</v>
      </c>
    </row>
    <row r="1183" spans="2:3" x14ac:dyDescent="0.25">
      <c r="B1183" s="983" t="s">
        <v>2224</v>
      </c>
      <c r="C1183" s="966">
        <v>97821</v>
      </c>
    </row>
    <row r="1184" spans="2:3" x14ac:dyDescent="0.25">
      <c r="B1184" s="983" t="s">
        <v>1835</v>
      </c>
      <c r="C1184" s="966">
        <v>97823</v>
      </c>
    </row>
    <row r="1185" spans="2:3" x14ac:dyDescent="0.25">
      <c r="B1185" s="983" t="s">
        <v>2225</v>
      </c>
      <c r="C1185" s="966">
        <v>93141</v>
      </c>
    </row>
    <row r="1186" spans="2:3" x14ac:dyDescent="0.25">
      <c r="B1186" s="983" t="s">
        <v>2226</v>
      </c>
      <c r="C1186" s="966">
        <v>98081</v>
      </c>
    </row>
    <row r="1187" spans="2:3" x14ac:dyDescent="0.25">
      <c r="B1187" s="983" t="s">
        <v>2227</v>
      </c>
      <c r="C1187" s="966">
        <v>92671</v>
      </c>
    </row>
    <row r="1188" spans="2:3" x14ac:dyDescent="0.25">
      <c r="B1188" s="983" t="s">
        <v>2228</v>
      </c>
      <c r="C1188" s="966">
        <v>97421</v>
      </c>
    </row>
    <row r="1189" spans="2:3" x14ac:dyDescent="0.25">
      <c r="B1189" s="983" t="s">
        <v>1794</v>
      </c>
      <c r="C1189" s="966">
        <v>97423</v>
      </c>
    </row>
    <row r="1190" spans="2:3" x14ac:dyDescent="0.25">
      <c r="B1190" s="983" t="s">
        <v>2229</v>
      </c>
      <c r="C1190" s="966">
        <v>92611</v>
      </c>
    </row>
    <row r="1191" spans="2:3" x14ac:dyDescent="0.25">
      <c r="B1191" s="983" t="s">
        <v>3761</v>
      </c>
      <c r="C1191" s="966">
        <v>92613</v>
      </c>
    </row>
    <row r="1192" spans="2:3" x14ac:dyDescent="0.25">
      <c r="B1192" s="983" t="s">
        <v>3762</v>
      </c>
      <c r="C1192" s="966">
        <v>92502</v>
      </c>
    </row>
    <row r="1193" spans="2:3" x14ac:dyDescent="0.25">
      <c r="B1193" s="983" t="s">
        <v>2230</v>
      </c>
      <c r="C1193" s="966">
        <v>94531</v>
      </c>
    </row>
    <row r="1194" spans="2:3" x14ac:dyDescent="0.25">
      <c r="B1194" s="983" t="s">
        <v>2231</v>
      </c>
      <c r="C1194" s="966">
        <v>94541</v>
      </c>
    </row>
    <row r="1195" spans="2:3" x14ac:dyDescent="0.25">
      <c r="B1195" s="983" t="s">
        <v>3763</v>
      </c>
      <c r="C1195" s="966">
        <v>94547</v>
      </c>
    </row>
    <row r="1196" spans="2:3" x14ac:dyDescent="0.25">
      <c r="B1196" s="983" t="s">
        <v>1604</v>
      </c>
      <c r="C1196" s="966">
        <v>95005</v>
      </c>
    </row>
    <row r="1197" spans="2:3" x14ac:dyDescent="0.25">
      <c r="B1197" s="983" t="s">
        <v>1876</v>
      </c>
      <c r="C1197" s="966">
        <v>98111</v>
      </c>
    </row>
    <row r="1198" spans="2:3" x14ac:dyDescent="0.25">
      <c r="B1198" s="983" t="s">
        <v>3764</v>
      </c>
      <c r="C1198" s="966">
        <v>98107</v>
      </c>
    </row>
    <row r="1199" spans="2:3" x14ac:dyDescent="0.25">
      <c r="B1199" s="983" t="s">
        <v>1877</v>
      </c>
      <c r="C1199" s="966">
        <v>98113</v>
      </c>
    </row>
    <row r="1200" spans="2:3" x14ac:dyDescent="0.25">
      <c r="B1200" s="983" t="s">
        <v>3765</v>
      </c>
      <c r="C1200" s="966">
        <v>99602</v>
      </c>
    </row>
    <row r="1201" spans="2:3" x14ac:dyDescent="0.25">
      <c r="B1201" s="983" t="s">
        <v>1464</v>
      </c>
      <c r="C1201" s="966">
        <v>93401</v>
      </c>
    </row>
    <row r="1202" spans="2:3" x14ac:dyDescent="0.25">
      <c r="B1202" s="983" t="s">
        <v>3766</v>
      </c>
      <c r="C1202" s="966">
        <v>97491</v>
      </c>
    </row>
    <row r="1203" spans="2:3" x14ac:dyDescent="0.25">
      <c r="B1203" s="983" t="s">
        <v>2232</v>
      </c>
      <c r="C1203" s="966">
        <v>95151</v>
      </c>
    </row>
    <row r="1204" spans="2:3" x14ac:dyDescent="0.25">
      <c r="B1204" s="983" t="s">
        <v>1709</v>
      </c>
      <c r="C1204" s="966">
        <v>96381</v>
      </c>
    </row>
    <row r="1205" spans="2:3" x14ac:dyDescent="0.25">
      <c r="B1205" s="983" t="s">
        <v>2233</v>
      </c>
      <c r="C1205" s="966">
        <v>95611</v>
      </c>
    </row>
    <row r="1206" spans="2:3" x14ac:dyDescent="0.25">
      <c r="B1206" s="983" t="s">
        <v>1476</v>
      </c>
      <c r="C1206" s="966">
        <v>93501</v>
      </c>
    </row>
    <row r="1207" spans="2:3" x14ac:dyDescent="0.25">
      <c r="B1207" s="983" t="s">
        <v>2234</v>
      </c>
      <c r="C1207" s="966">
        <v>93511</v>
      </c>
    </row>
    <row r="1208" spans="2:3" x14ac:dyDescent="0.25">
      <c r="B1208" s="983" t="s">
        <v>3767</v>
      </c>
      <c r="C1208" s="966">
        <v>93517</v>
      </c>
    </row>
    <row r="1209" spans="2:3" x14ac:dyDescent="0.25">
      <c r="B1209" s="983" t="s">
        <v>2235</v>
      </c>
      <c r="C1209" s="966">
        <v>99631</v>
      </c>
    </row>
    <row r="1210" spans="2:3" x14ac:dyDescent="0.25">
      <c r="B1210" s="983" t="s">
        <v>2236</v>
      </c>
      <c r="C1210" s="966">
        <v>99261</v>
      </c>
    </row>
    <row r="1211" spans="2:3" x14ac:dyDescent="0.25">
      <c r="B1211" s="983" t="s">
        <v>2237</v>
      </c>
      <c r="C1211" s="966">
        <v>98241</v>
      </c>
    </row>
    <row r="1212" spans="2:3" x14ac:dyDescent="0.25">
      <c r="B1212" s="983" t="s">
        <v>2238</v>
      </c>
      <c r="C1212" s="966">
        <v>99251</v>
      </c>
    </row>
    <row r="1213" spans="2:3" x14ac:dyDescent="0.25">
      <c r="B1213" s="983" t="s">
        <v>3768</v>
      </c>
      <c r="C1213" s="966">
        <v>99252</v>
      </c>
    </row>
    <row r="1214" spans="2:3" x14ac:dyDescent="0.25">
      <c r="B1214" s="983" t="s">
        <v>2239</v>
      </c>
      <c r="C1214" s="966">
        <v>96631</v>
      </c>
    </row>
    <row r="1215" spans="2:3" x14ac:dyDescent="0.25">
      <c r="B1215" s="983" t="s">
        <v>2240</v>
      </c>
      <c r="C1215" s="966">
        <v>96651</v>
      </c>
    </row>
    <row r="1216" spans="2:3" x14ac:dyDescent="0.25">
      <c r="B1216" s="983" t="s">
        <v>1484</v>
      </c>
      <c r="C1216" s="966">
        <v>93601</v>
      </c>
    </row>
    <row r="1217" spans="2:3" x14ac:dyDescent="0.25">
      <c r="B1217" s="983" t="s">
        <v>3769</v>
      </c>
      <c r="C1217" s="966">
        <v>93618</v>
      </c>
    </row>
    <row r="1218" spans="2:3" x14ac:dyDescent="0.25">
      <c r="B1218" s="983" t="s">
        <v>2241</v>
      </c>
      <c r="C1218" s="966">
        <v>93611</v>
      </c>
    </row>
    <row r="1219" spans="2:3" x14ac:dyDescent="0.25">
      <c r="B1219" s="983" t="s">
        <v>3770</v>
      </c>
      <c r="C1219" s="966">
        <v>93617</v>
      </c>
    </row>
    <row r="1220" spans="2:3" x14ac:dyDescent="0.25">
      <c r="B1220" s="983" t="s">
        <v>1501</v>
      </c>
      <c r="C1220" s="966">
        <v>93701</v>
      </c>
    </row>
    <row r="1221" spans="2:3" x14ac:dyDescent="0.25">
      <c r="B1221" s="983" t="s">
        <v>3771</v>
      </c>
      <c r="C1221" s="966">
        <v>93704</v>
      </c>
    </row>
    <row r="1222" spans="2:3" x14ac:dyDescent="0.25">
      <c r="B1222" s="983" t="s">
        <v>2242</v>
      </c>
      <c r="C1222" s="966">
        <v>98331</v>
      </c>
    </row>
    <row r="1223" spans="2:3" x14ac:dyDescent="0.25">
      <c r="B1223" s="983" t="s">
        <v>2243</v>
      </c>
      <c r="C1223" s="966">
        <v>94151</v>
      </c>
    </row>
    <row r="1224" spans="2:3" x14ac:dyDescent="0.25">
      <c r="B1224" s="983" t="s">
        <v>3772</v>
      </c>
      <c r="C1224" s="966">
        <v>94157</v>
      </c>
    </row>
    <row r="1225" spans="2:3" x14ac:dyDescent="0.25">
      <c r="B1225" s="983" t="s">
        <v>2244</v>
      </c>
      <c r="C1225" s="966">
        <v>91241</v>
      </c>
    </row>
    <row r="1226" spans="2:3" x14ac:dyDescent="0.25">
      <c r="B1226" s="983" t="s">
        <v>1638</v>
      </c>
      <c r="C1226" s="966">
        <v>95412</v>
      </c>
    </row>
    <row r="1227" spans="2:3" x14ac:dyDescent="0.25">
      <c r="B1227" s="983" t="s">
        <v>2245</v>
      </c>
      <c r="C1227" s="966">
        <v>99611</v>
      </c>
    </row>
    <row r="1228" spans="2:3" x14ac:dyDescent="0.25">
      <c r="B1228" s="983" t="s">
        <v>1346</v>
      </c>
      <c r="C1228" s="966">
        <v>91908</v>
      </c>
    </row>
    <row r="1229" spans="2:3" x14ac:dyDescent="0.25">
      <c r="B1229" s="983" t="s">
        <v>2246</v>
      </c>
      <c r="C1229" s="966">
        <v>90121</v>
      </c>
    </row>
    <row r="1230" spans="2:3" x14ac:dyDescent="0.25">
      <c r="B1230" s="983" t="s">
        <v>3773</v>
      </c>
      <c r="C1230" s="966">
        <v>93803</v>
      </c>
    </row>
    <row r="1231" spans="2:3" x14ac:dyDescent="0.25">
      <c r="B1231" s="983" t="s">
        <v>1503</v>
      </c>
      <c r="C1231" s="966">
        <v>93801</v>
      </c>
    </row>
    <row r="1232" spans="2:3" x14ac:dyDescent="0.25">
      <c r="B1232" s="983" t="s">
        <v>3774</v>
      </c>
      <c r="C1232" s="966">
        <v>93806</v>
      </c>
    </row>
    <row r="1233" spans="2:3" x14ac:dyDescent="0.25">
      <c r="B1233" s="983" t="s">
        <v>2247</v>
      </c>
      <c r="C1233" s="966">
        <v>91411</v>
      </c>
    </row>
    <row r="1234" spans="2:3" x14ac:dyDescent="0.25">
      <c r="B1234" s="983" t="s">
        <v>3775</v>
      </c>
      <c r="C1234" s="966">
        <v>91417</v>
      </c>
    </row>
    <row r="1235" spans="2:3" x14ac:dyDescent="0.25">
      <c r="B1235" s="983" t="s">
        <v>2248</v>
      </c>
      <c r="C1235" s="966">
        <v>98061</v>
      </c>
    </row>
    <row r="1236" spans="2:3" x14ac:dyDescent="0.25">
      <c r="B1236" s="983" t="s">
        <v>3776</v>
      </c>
      <c r="C1236" s="966">
        <v>93904</v>
      </c>
    </row>
    <row r="1237" spans="2:3" x14ac:dyDescent="0.25">
      <c r="B1237" s="983" t="s">
        <v>1506</v>
      </c>
      <c r="C1237" s="966">
        <v>93901</v>
      </c>
    </row>
    <row r="1238" spans="2:3" x14ac:dyDescent="0.25">
      <c r="B1238" s="983" t="s">
        <v>1508</v>
      </c>
      <c r="C1238" s="966">
        <v>93906</v>
      </c>
    </row>
    <row r="1239" spans="2:3" x14ac:dyDescent="0.25">
      <c r="B1239" s="983" t="s">
        <v>3777</v>
      </c>
      <c r="C1239" s="966">
        <v>93908</v>
      </c>
    </row>
    <row r="1240" spans="2:3" x14ac:dyDescent="0.25">
      <c r="B1240" s="983" t="s">
        <v>3778</v>
      </c>
      <c r="C1240" s="966">
        <v>94908</v>
      </c>
    </row>
    <row r="1241" spans="2:3" x14ac:dyDescent="0.25">
      <c r="B1241" s="983" t="s">
        <v>2249</v>
      </c>
      <c r="C1241" s="966">
        <v>90161</v>
      </c>
    </row>
    <row r="1242" spans="2:3" x14ac:dyDescent="0.25">
      <c r="B1242" s="983" t="s">
        <v>1516</v>
      </c>
      <c r="C1242" s="966">
        <v>94001</v>
      </c>
    </row>
    <row r="1243" spans="2:3" x14ac:dyDescent="0.25">
      <c r="B1243" s="983" t="s">
        <v>3779</v>
      </c>
      <c r="C1243" s="966">
        <v>94004</v>
      </c>
    </row>
    <row r="1244" spans="2:3" x14ac:dyDescent="0.25">
      <c r="B1244" s="983" t="s">
        <v>2250</v>
      </c>
      <c r="C1244" s="966">
        <v>94111</v>
      </c>
    </row>
    <row r="1245" spans="2:3" x14ac:dyDescent="0.25">
      <c r="B1245" s="983" t="s">
        <v>3780</v>
      </c>
      <c r="C1245" s="966">
        <v>94117</v>
      </c>
    </row>
    <row r="1246" spans="2:3" x14ac:dyDescent="0.25">
      <c r="B1246" s="983" t="s">
        <v>2251</v>
      </c>
      <c r="C1246" s="966">
        <v>97411</v>
      </c>
    </row>
    <row r="1247" spans="2:3" x14ac:dyDescent="0.25">
      <c r="B1247" s="983" t="s">
        <v>1792</v>
      </c>
      <c r="C1247" s="966">
        <v>97413</v>
      </c>
    </row>
    <row r="1248" spans="2:3" x14ac:dyDescent="0.25">
      <c r="B1248" s="983" t="s">
        <v>1791</v>
      </c>
      <c r="C1248" s="966">
        <v>97412</v>
      </c>
    </row>
    <row r="1249" spans="2:3" x14ac:dyDescent="0.25">
      <c r="B1249" s="983" t="s">
        <v>2252</v>
      </c>
      <c r="C1249" s="966">
        <v>97431</v>
      </c>
    </row>
    <row r="1250" spans="2:3" x14ac:dyDescent="0.25">
      <c r="B1250" s="983" t="s">
        <v>2253</v>
      </c>
      <c r="C1250" s="966">
        <v>97471</v>
      </c>
    </row>
    <row r="1251" spans="2:3" x14ac:dyDescent="0.25">
      <c r="B1251" s="983" t="s">
        <v>2254</v>
      </c>
      <c r="C1251" s="966">
        <v>92351</v>
      </c>
    </row>
    <row r="1252" spans="2:3" x14ac:dyDescent="0.25">
      <c r="B1252" s="983" t="s">
        <v>2255</v>
      </c>
      <c r="C1252" s="966">
        <v>94101</v>
      </c>
    </row>
    <row r="1253" spans="2:3" x14ac:dyDescent="0.25">
      <c r="B1253" s="983" t="s">
        <v>3781</v>
      </c>
      <c r="C1253" s="966">
        <v>94118</v>
      </c>
    </row>
    <row r="1254" spans="2:3" x14ac:dyDescent="0.25">
      <c r="B1254" s="983" t="s">
        <v>1524</v>
      </c>
      <c r="C1254" s="966">
        <v>94102</v>
      </c>
    </row>
    <row r="1255" spans="2:3" x14ac:dyDescent="0.25">
      <c r="B1255" s="983" t="s">
        <v>1540</v>
      </c>
      <c r="C1255" s="966">
        <v>94201</v>
      </c>
    </row>
    <row r="1256" spans="2:3" x14ac:dyDescent="0.25">
      <c r="B1256" s="983" t="s">
        <v>3782</v>
      </c>
      <c r="C1256" s="966">
        <v>94204</v>
      </c>
    </row>
    <row r="1257" spans="2:3" x14ac:dyDescent="0.25">
      <c r="B1257" s="983" t="s">
        <v>1542</v>
      </c>
      <c r="C1257" s="966">
        <v>94205</v>
      </c>
    </row>
    <row r="1258" spans="2:3" x14ac:dyDescent="0.25">
      <c r="B1258" s="983" t="s">
        <v>2256</v>
      </c>
      <c r="C1258" s="966">
        <v>95831</v>
      </c>
    </row>
    <row r="1259" spans="2:3" x14ac:dyDescent="0.25">
      <c r="B1259" s="983" t="s">
        <v>2257</v>
      </c>
      <c r="C1259" s="966">
        <v>97721</v>
      </c>
    </row>
    <row r="1260" spans="2:3" x14ac:dyDescent="0.25">
      <c r="B1260" s="983" t="s">
        <v>3783</v>
      </c>
      <c r="C1260" s="966">
        <v>97717</v>
      </c>
    </row>
    <row r="1261" spans="2:3" x14ac:dyDescent="0.25">
      <c r="B1261" s="983" t="s">
        <v>1550</v>
      </c>
      <c r="C1261" s="966">
        <v>94301</v>
      </c>
    </row>
    <row r="1262" spans="2:3" x14ac:dyDescent="0.25">
      <c r="B1262" s="983" t="s">
        <v>2258</v>
      </c>
      <c r="C1262" s="966">
        <v>91441</v>
      </c>
    </row>
    <row r="1263" spans="2:3" x14ac:dyDescent="0.25">
      <c r="B1263" s="983" t="s">
        <v>2259</v>
      </c>
      <c r="C1263" s="966">
        <v>92531</v>
      </c>
    </row>
    <row r="1264" spans="2:3" x14ac:dyDescent="0.25">
      <c r="B1264" s="983" t="s">
        <v>2260</v>
      </c>
      <c r="C1264" s="966">
        <v>90141</v>
      </c>
    </row>
    <row r="1265" spans="2:3" x14ac:dyDescent="0.25">
      <c r="B1265" s="983" t="s">
        <v>1559</v>
      </c>
      <c r="C1265" s="966">
        <v>94401</v>
      </c>
    </row>
    <row r="1266" spans="2:3" x14ac:dyDescent="0.25">
      <c r="B1266" s="983" t="s">
        <v>3784</v>
      </c>
      <c r="C1266" s="966">
        <v>94403</v>
      </c>
    </row>
    <row r="1267" spans="2:3" x14ac:dyDescent="0.25">
      <c r="B1267" s="983" t="s">
        <v>1560</v>
      </c>
      <c r="C1267" s="966">
        <v>94402</v>
      </c>
    </row>
    <row r="1268" spans="2:3" x14ac:dyDescent="0.25">
      <c r="B1268" s="983" t="s">
        <v>2261</v>
      </c>
      <c r="C1268" s="966">
        <v>99111</v>
      </c>
    </row>
    <row r="1269" spans="2:3" x14ac:dyDescent="0.25">
      <c r="B1269" s="983" t="s">
        <v>2262</v>
      </c>
      <c r="C1269" s="966">
        <v>94511</v>
      </c>
    </row>
    <row r="1270" spans="2:3" x14ac:dyDescent="0.25">
      <c r="B1270" s="983" t="s">
        <v>3785</v>
      </c>
      <c r="C1270" s="966">
        <v>94517</v>
      </c>
    </row>
    <row r="1271" spans="2:3" x14ac:dyDescent="0.25">
      <c r="B1271" s="983" t="s">
        <v>1571</v>
      </c>
      <c r="C1271" s="966">
        <v>94512</v>
      </c>
    </row>
    <row r="1272" spans="2:3" x14ac:dyDescent="0.25">
      <c r="B1272" s="983" t="s">
        <v>2263</v>
      </c>
      <c r="C1272" s="966">
        <v>97211</v>
      </c>
    </row>
    <row r="1273" spans="2:3" x14ac:dyDescent="0.25">
      <c r="B1273" s="983" t="s">
        <v>3786</v>
      </c>
      <c r="C1273" s="966">
        <v>97217</v>
      </c>
    </row>
    <row r="1274" spans="2:3" x14ac:dyDescent="0.25">
      <c r="B1274" s="983" t="s">
        <v>1580</v>
      </c>
      <c r="C1274" s="966">
        <v>94601</v>
      </c>
    </row>
    <row r="1275" spans="2:3" x14ac:dyDescent="0.25">
      <c r="B1275" s="983" t="s">
        <v>3787</v>
      </c>
      <c r="C1275" s="966">
        <v>94604</v>
      </c>
    </row>
    <row r="1276" spans="2:3" x14ac:dyDescent="0.25">
      <c r="B1276" s="983" t="s">
        <v>1582</v>
      </c>
      <c r="C1276" s="966">
        <v>94606</v>
      </c>
    </row>
    <row r="1277" spans="2:3" x14ac:dyDescent="0.25">
      <c r="B1277" s="983" t="s">
        <v>3788</v>
      </c>
      <c r="C1277" s="966">
        <v>97213</v>
      </c>
    </row>
    <row r="1278" spans="2:3" x14ac:dyDescent="0.25">
      <c r="B1278" s="983" t="s">
        <v>2264</v>
      </c>
      <c r="C1278" s="966">
        <v>91811</v>
      </c>
    </row>
    <row r="1279" spans="2:3" x14ac:dyDescent="0.25">
      <c r="B1279" s="983" t="s">
        <v>3789</v>
      </c>
      <c r="C1279" s="966">
        <v>91812</v>
      </c>
    </row>
    <row r="1280" spans="2:3" x14ac:dyDescent="0.25">
      <c r="B1280" s="983" t="s">
        <v>3790</v>
      </c>
      <c r="C1280" s="966">
        <v>91813</v>
      </c>
    </row>
    <row r="1281" spans="2:3" x14ac:dyDescent="0.25">
      <c r="B1281" s="983" t="s">
        <v>3791</v>
      </c>
      <c r="C1281" s="966">
        <v>90617</v>
      </c>
    </row>
    <row r="1282" spans="2:3" x14ac:dyDescent="0.25">
      <c r="B1282" s="983" t="s">
        <v>3792</v>
      </c>
      <c r="C1282" s="966">
        <v>94127</v>
      </c>
    </row>
    <row r="1283" spans="2:3" x14ac:dyDescent="0.25">
      <c r="B1283" s="983" t="s">
        <v>2265</v>
      </c>
      <c r="C1283" s="966">
        <v>95621</v>
      </c>
    </row>
    <row r="1284" spans="2:3" x14ac:dyDescent="0.25">
      <c r="B1284" s="983" t="s">
        <v>3793</v>
      </c>
      <c r="C1284" s="966">
        <v>95617</v>
      </c>
    </row>
    <row r="1285" spans="2:3" x14ac:dyDescent="0.25">
      <c r="B1285" s="983" t="s">
        <v>3794</v>
      </c>
      <c r="C1285" s="966">
        <v>94121</v>
      </c>
    </row>
    <row r="1286" spans="2:3" x14ac:dyDescent="0.25">
      <c r="B1286" s="983" t="s">
        <v>3795</v>
      </c>
      <c r="C1286" s="966">
        <v>91251</v>
      </c>
    </row>
    <row r="1287" spans="2:3" x14ac:dyDescent="0.25">
      <c r="B1287" s="983" t="s">
        <v>2266</v>
      </c>
      <c r="C1287" s="966">
        <v>96831</v>
      </c>
    </row>
    <row r="1288" spans="2:3" x14ac:dyDescent="0.25">
      <c r="B1288" s="983" t="s">
        <v>2267</v>
      </c>
      <c r="C1288" s="966">
        <v>94251</v>
      </c>
    </row>
    <row r="1289" spans="2:3" x14ac:dyDescent="0.25">
      <c r="B1289" s="983" t="s">
        <v>1587</v>
      </c>
      <c r="C1289" s="966">
        <v>94701</v>
      </c>
    </row>
    <row r="1290" spans="2:3" x14ac:dyDescent="0.25">
      <c r="B1290" s="983" t="s">
        <v>3796</v>
      </c>
      <c r="C1290" s="966">
        <v>94704</v>
      </c>
    </row>
    <row r="1291" spans="2:3" x14ac:dyDescent="0.25">
      <c r="B1291" s="983" t="s">
        <v>2268</v>
      </c>
      <c r="C1291" s="966">
        <v>91014</v>
      </c>
    </row>
    <row r="1292" spans="2:3" x14ac:dyDescent="0.25">
      <c r="B1292" s="983" t="s">
        <v>2269</v>
      </c>
      <c r="C1292" s="966">
        <v>96731</v>
      </c>
    </row>
    <row r="1293" spans="2:3" x14ac:dyDescent="0.25">
      <c r="B1293" s="983" t="s">
        <v>1749</v>
      </c>
      <c r="C1293" s="966">
        <v>96733</v>
      </c>
    </row>
    <row r="1294" spans="2:3" x14ac:dyDescent="0.25">
      <c r="B1294" s="983" t="s">
        <v>2270</v>
      </c>
      <c r="C1294" s="966">
        <v>99202</v>
      </c>
    </row>
    <row r="1295" spans="2:3" x14ac:dyDescent="0.25">
      <c r="B1295" s="983" t="s">
        <v>2271</v>
      </c>
      <c r="C1295" s="966">
        <v>94011</v>
      </c>
    </row>
    <row r="1296" spans="2:3" x14ac:dyDescent="0.25">
      <c r="B1296" s="983" t="s">
        <v>2272</v>
      </c>
      <c r="C1296" s="966">
        <v>92631</v>
      </c>
    </row>
    <row r="1297" spans="2:3" x14ac:dyDescent="0.25">
      <c r="B1297" s="983" t="s">
        <v>1655</v>
      </c>
      <c r="C1297" s="966">
        <v>95733</v>
      </c>
    </row>
    <row r="1298" spans="2:3" x14ac:dyDescent="0.25">
      <c r="B1298" s="983" t="s">
        <v>3797</v>
      </c>
      <c r="C1298" s="966">
        <v>95413</v>
      </c>
    </row>
    <row r="1299" spans="2:3" x14ac:dyDescent="0.25">
      <c r="B1299" s="983" t="s">
        <v>3798</v>
      </c>
      <c r="C1299" s="966">
        <v>98013</v>
      </c>
    </row>
    <row r="1300" spans="2:3" x14ac:dyDescent="0.25">
      <c r="B1300" s="983" t="s">
        <v>3799</v>
      </c>
      <c r="C1300" s="966">
        <v>99613</v>
      </c>
    </row>
    <row r="1301" spans="2:3" x14ac:dyDescent="0.25">
      <c r="B1301" s="983" t="s">
        <v>2273</v>
      </c>
      <c r="C1301" s="966">
        <v>91431</v>
      </c>
    </row>
    <row r="1302" spans="2:3" x14ac:dyDescent="0.25">
      <c r="B1302" s="983" t="s">
        <v>2274</v>
      </c>
      <c r="C1302" s="966">
        <v>96041</v>
      </c>
    </row>
    <row r="1303" spans="2:3" x14ac:dyDescent="0.25">
      <c r="B1303" s="983" t="s">
        <v>1590</v>
      </c>
      <c r="C1303" s="966">
        <v>94801</v>
      </c>
    </row>
    <row r="1304" spans="2:3" x14ac:dyDescent="0.25">
      <c r="B1304" s="983" t="s">
        <v>3800</v>
      </c>
      <c r="C1304" s="966">
        <v>94804</v>
      </c>
    </row>
    <row r="1305" spans="2:3" x14ac:dyDescent="0.25">
      <c r="B1305" s="983" t="s">
        <v>2275</v>
      </c>
      <c r="C1305" s="966">
        <v>91661</v>
      </c>
    </row>
    <row r="1306" spans="2:3" x14ac:dyDescent="0.25">
      <c r="B1306" s="983" t="s">
        <v>2276</v>
      </c>
      <c r="C1306" s="966">
        <v>99051</v>
      </c>
    </row>
    <row r="1307" spans="2:3" x14ac:dyDescent="0.25">
      <c r="B1307" s="983" t="s">
        <v>3532</v>
      </c>
      <c r="C1307" s="966">
        <v>99014</v>
      </c>
    </row>
    <row r="1308" spans="2:3" x14ac:dyDescent="0.25">
      <c r="B1308" s="983" t="s">
        <v>1593</v>
      </c>
      <c r="C1308" s="966">
        <v>94901</v>
      </c>
    </row>
    <row r="1309" spans="2:3" x14ac:dyDescent="0.25">
      <c r="B1309" s="983" t="s">
        <v>3801</v>
      </c>
      <c r="C1309" s="966">
        <v>98109</v>
      </c>
    </row>
    <row r="1310" spans="2:3" x14ac:dyDescent="0.25">
      <c r="B1310" s="983" t="s">
        <v>3802</v>
      </c>
      <c r="C1310" s="966">
        <v>98205</v>
      </c>
    </row>
    <row r="1311" spans="2:3" x14ac:dyDescent="0.25">
      <c r="B1311" s="983" t="s">
        <v>2277</v>
      </c>
      <c r="C1311" s="966">
        <v>96661</v>
      </c>
    </row>
    <row r="1312" spans="2:3" x14ac:dyDescent="0.25">
      <c r="B1312" s="983" t="s">
        <v>1602</v>
      </c>
      <c r="C1312" s="966">
        <v>95001</v>
      </c>
    </row>
    <row r="1313" spans="2:3" x14ac:dyDescent="0.25">
      <c r="B1313" s="983" t="s">
        <v>3533</v>
      </c>
      <c r="C1313" s="966">
        <v>95017</v>
      </c>
    </row>
    <row r="1314" spans="2:3" x14ac:dyDescent="0.25">
      <c r="B1314" s="983" t="s">
        <v>2278</v>
      </c>
      <c r="C1314" s="966">
        <v>96711</v>
      </c>
    </row>
    <row r="1315" spans="2:3" x14ac:dyDescent="0.25">
      <c r="B1315" s="983" t="s">
        <v>2279</v>
      </c>
      <c r="C1315" s="966">
        <v>94131</v>
      </c>
    </row>
    <row r="1316" spans="2:3" x14ac:dyDescent="0.25">
      <c r="B1316" s="983" t="s">
        <v>2280</v>
      </c>
      <c r="C1316" s="966">
        <v>95841</v>
      </c>
    </row>
    <row r="1317" spans="2:3" x14ac:dyDescent="0.25">
      <c r="B1317" s="983" t="s">
        <v>2281</v>
      </c>
      <c r="C1317" s="966">
        <v>90511</v>
      </c>
    </row>
    <row r="1318" spans="2:3" x14ac:dyDescent="0.25">
      <c r="B1318" s="983" t="s">
        <v>1608</v>
      </c>
      <c r="C1318" s="966">
        <v>95101</v>
      </c>
    </row>
    <row r="1319" spans="2:3" x14ac:dyDescent="0.25">
      <c r="B1319" s="983" t="s">
        <v>3803</v>
      </c>
      <c r="C1319" s="966">
        <v>95104</v>
      </c>
    </row>
    <row r="1320" spans="2:3" x14ac:dyDescent="0.25">
      <c r="B1320" s="983" t="s">
        <v>3534</v>
      </c>
      <c r="C1320" s="966">
        <v>95110</v>
      </c>
    </row>
    <row r="1321" spans="2:3" x14ac:dyDescent="0.25">
      <c r="B1321" s="983" t="s">
        <v>1625</v>
      </c>
      <c r="C1321" s="966">
        <v>95201</v>
      </c>
    </row>
    <row r="1322" spans="2:3" x14ac:dyDescent="0.25">
      <c r="B1322" s="983" t="s">
        <v>3804</v>
      </c>
      <c r="C1322" s="966">
        <v>95204</v>
      </c>
    </row>
    <row r="1323" spans="2:3" x14ac:dyDescent="0.25">
      <c r="B1323" s="983" t="s">
        <v>2282</v>
      </c>
      <c r="C1323" s="966">
        <v>99921</v>
      </c>
    </row>
    <row r="1324" spans="2:3" x14ac:dyDescent="0.25">
      <c r="B1324" s="983" t="s">
        <v>1561</v>
      </c>
      <c r="C1324" s="966">
        <v>94408</v>
      </c>
    </row>
    <row r="1325" spans="2:3" x14ac:dyDescent="0.25">
      <c r="B1325" s="983" t="s">
        <v>2283</v>
      </c>
      <c r="C1325" s="966">
        <v>91331</v>
      </c>
    </row>
    <row r="1326" spans="2:3" x14ac:dyDescent="0.25">
      <c r="B1326" s="983" t="s">
        <v>2284</v>
      </c>
      <c r="C1326" s="966">
        <v>93121</v>
      </c>
    </row>
    <row r="1327" spans="2:3" x14ac:dyDescent="0.25">
      <c r="B1327" s="983" t="s">
        <v>3805</v>
      </c>
      <c r="C1327" s="966">
        <v>93127</v>
      </c>
    </row>
    <row r="1328" spans="2:3" x14ac:dyDescent="0.25">
      <c r="B1328" s="983" t="s">
        <v>2285</v>
      </c>
      <c r="C1328" s="966">
        <v>95171</v>
      </c>
    </row>
    <row r="1329" spans="2:3" x14ac:dyDescent="0.25">
      <c r="B1329" s="983" t="s">
        <v>2286</v>
      </c>
      <c r="C1329" s="966">
        <v>93421</v>
      </c>
    </row>
    <row r="1330" spans="2:3" x14ac:dyDescent="0.25">
      <c r="B1330" s="983" t="s">
        <v>3806</v>
      </c>
      <c r="C1330" s="966">
        <v>99110</v>
      </c>
    </row>
    <row r="1331" spans="2:3" x14ac:dyDescent="0.25">
      <c r="B1331" s="983" t="s">
        <v>3807</v>
      </c>
      <c r="C1331" s="966">
        <v>99109</v>
      </c>
    </row>
    <row r="1332" spans="2:3" x14ac:dyDescent="0.25">
      <c r="B1332" s="983" t="s">
        <v>2287</v>
      </c>
      <c r="C1332" s="966">
        <v>92821</v>
      </c>
    </row>
    <row r="1333" spans="2:3" x14ac:dyDescent="0.25">
      <c r="B1333" s="983" t="s">
        <v>2288</v>
      </c>
      <c r="C1333" s="966">
        <v>98521</v>
      </c>
    </row>
    <row r="1334" spans="2:3" x14ac:dyDescent="0.25">
      <c r="B1334" s="983" t="s">
        <v>3808</v>
      </c>
      <c r="C1334" s="966">
        <v>92327</v>
      </c>
    </row>
    <row r="1335" spans="2:3" x14ac:dyDescent="0.25">
      <c r="B1335" s="983" t="s">
        <v>3809</v>
      </c>
      <c r="C1335" s="966">
        <v>92321</v>
      </c>
    </row>
    <row r="1336" spans="2:3" x14ac:dyDescent="0.25">
      <c r="B1336" s="983" t="s">
        <v>2289</v>
      </c>
      <c r="C1336" s="966">
        <v>95411</v>
      </c>
    </row>
    <row r="1337" spans="2:3" x14ac:dyDescent="0.25">
      <c r="B1337" s="983" t="s">
        <v>3810</v>
      </c>
      <c r="C1337" s="966">
        <v>95415</v>
      </c>
    </row>
    <row r="1338" spans="2:3" x14ac:dyDescent="0.25">
      <c r="B1338" s="983" t="s">
        <v>2290</v>
      </c>
      <c r="C1338" s="966">
        <v>92851</v>
      </c>
    </row>
    <row r="1339" spans="2:3" x14ac:dyDescent="0.25">
      <c r="B1339" s="983" t="s">
        <v>2291</v>
      </c>
      <c r="C1339" s="966">
        <v>99291</v>
      </c>
    </row>
    <row r="1340" spans="2:3" x14ac:dyDescent="0.25">
      <c r="B1340" s="983" t="s">
        <v>2292</v>
      </c>
      <c r="C1340" s="966">
        <v>96541</v>
      </c>
    </row>
    <row r="1341" spans="2:3" x14ac:dyDescent="0.25">
      <c r="B1341" s="983" t="s">
        <v>2293</v>
      </c>
      <c r="C1341" s="966">
        <v>95431</v>
      </c>
    </row>
    <row r="1342" spans="2:3" x14ac:dyDescent="0.25">
      <c r="B1342" s="983" t="s">
        <v>2294</v>
      </c>
      <c r="C1342" s="966">
        <v>98131</v>
      </c>
    </row>
    <row r="1343" spans="2:3" x14ac:dyDescent="0.25">
      <c r="B1343" s="983" t="s">
        <v>3811</v>
      </c>
      <c r="C1343" s="966">
        <v>92461</v>
      </c>
    </row>
    <row r="1344" spans="2:3" x14ac:dyDescent="0.25">
      <c r="B1344" s="983" t="s">
        <v>3812</v>
      </c>
      <c r="C1344" s="966">
        <v>92427</v>
      </c>
    </row>
    <row r="1345" spans="2:3" x14ac:dyDescent="0.25">
      <c r="B1345" s="983" t="s">
        <v>2295</v>
      </c>
      <c r="C1345" s="966">
        <v>98051</v>
      </c>
    </row>
    <row r="1346" spans="2:3" x14ac:dyDescent="0.25">
      <c r="B1346" s="983" t="s">
        <v>1259</v>
      </c>
      <c r="C1346" s="966">
        <v>91102</v>
      </c>
    </row>
    <row r="1347" spans="2:3" x14ac:dyDescent="0.25">
      <c r="B1347" s="983" t="s">
        <v>2296</v>
      </c>
      <c r="C1347" s="966">
        <v>94521</v>
      </c>
    </row>
    <row r="1348" spans="2:3" x14ac:dyDescent="0.25">
      <c r="B1348" s="983" t="s">
        <v>3813</v>
      </c>
      <c r="C1348" s="966">
        <v>94527</v>
      </c>
    </row>
    <row r="1349" spans="2:3" x14ac:dyDescent="0.25">
      <c r="B1349" s="983" t="s">
        <v>2297</v>
      </c>
      <c r="C1349" s="966">
        <v>98311</v>
      </c>
    </row>
    <row r="1350" spans="2:3" x14ac:dyDescent="0.25">
      <c r="B1350" s="983" t="s">
        <v>3814</v>
      </c>
      <c r="C1350" s="966">
        <v>98313</v>
      </c>
    </row>
    <row r="1351" spans="2:3" x14ac:dyDescent="0.25">
      <c r="B1351" s="983" t="s">
        <v>1896</v>
      </c>
      <c r="C1351" s="966">
        <v>98308</v>
      </c>
    </row>
    <row r="1352" spans="2:3" x14ac:dyDescent="0.25">
      <c r="B1352" s="983" t="s">
        <v>2298</v>
      </c>
      <c r="C1352" s="966">
        <v>92341</v>
      </c>
    </row>
    <row r="1353" spans="2:3" x14ac:dyDescent="0.25">
      <c r="B1353" s="983" t="s">
        <v>1630</v>
      </c>
      <c r="C1353" s="966">
        <v>95301</v>
      </c>
    </row>
    <row r="1354" spans="2:3" x14ac:dyDescent="0.25">
      <c r="B1354" s="983" t="s">
        <v>2299</v>
      </c>
      <c r="C1354" s="966">
        <v>91002</v>
      </c>
    </row>
    <row r="1355" spans="2:3" x14ac:dyDescent="0.25">
      <c r="B1355" s="983" t="s">
        <v>2300</v>
      </c>
      <c r="C1355" s="966">
        <v>91451</v>
      </c>
    </row>
    <row r="1356" spans="2:3" x14ac:dyDescent="0.25">
      <c r="B1356" s="983" t="s">
        <v>1634</v>
      </c>
      <c r="C1356" s="966">
        <v>95401</v>
      </c>
    </row>
    <row r="1357" spans="2:3" x14ac:dyDescent="0.25">
      <c r="B1357" s="983" t="s">
        <v>3815</v>
      </c>
      <c r="C1357" s="966">
        <v>95404</v>
      </c>
    </row>
    <row r="1358" spans="2:3" x14ac:dyDescent="0.25">
      <c r="B1358" s="983" t="s">
        <v>1305</v>
      </c>
      <c r="C1358" s="966">
        <v>91423</v>
      </c>
    </row>
    <row r="1359" spans="2:3" x14ac:dyDescent="0.25">
      <c r="B1359" s="983" t="s">
        <v>3816</v>
      </c>
      <c r="C1359" s="966">
        <v>91457</v>
      </c>
    </row>
    <row r="1360" spans="2:3" x14ac:dyDescent="0.25">
      <c r="B1360" s="983" t="s">
        <v>3817</v>
      </c>
      <c r="C1360" s="966">
        <v>90861</v>
      </c>
    </row>
    <row r="1361" spans="2:3" x14ac:dyDescent="0.25">
      <c r="B1361" s="983" t="s">
        <v>2301</v>
      </c>
      <c r="C1361" s="966">
        <v>93451</v>
      </c>
    </row>
    <row r="1362" spans="2:3" x14ac:dyDescent="0.25">
      <c r="B1362" s="983" t="s">
        <v>2302</v>
      </c>
      <c r="C1362" s="966">
        <v>92931</v>
      </c>
    </row>
    <row r="1363" spans="2:3" x14ac:dyDescent="0.25">
      <c r="B1363" s="983" t="s">
        <v>3818</v>
      </c>
      <c r="C1363" s="966">
        <v>92917</v>
      </c>
    </row>
    <row r="1364" spans="2:3" x14ac:dyDescent="0.25">
      <c r="B1364" s="983" t="s">
        <v>2303</v>
      </c>
      <c r="C1364" s="966">
        <v>97631</v>
      </c>
    </row>
    <row r="1365" spans="2:3" x14ac:dyDescent="0.25">
      <c r="B1365" s="983" t="s">
        <v>3819</v>
      </c>
      <c r="C1365" s="966">
        <v>97637</v>
      </c>
    </row>
    <row r="1366" spans="2:3" x14ac:dyDescent="0.25">
      <c r="B1366" s="983" t="s">
        <v>2304</v>
      </c>
      <c r="C1366" s="966">
        <v>90421</v>
      </c>
    </row>
    <row r="1367" spans="2:3" x14ac:dyDescent="0.25">
      <c r="B1367" s="983" t="s">
        <v>2305</v>
      </c>
      <c r="C1367" s="966">
        <v>94321</v>
      </c>
    </row>
    <row r="1368" spans="2:3" x14ac:dyDescent="0.25">
      <c r="B1368" s="983" t="s">
        <v>1643</v>
      </c>
      <c r="C1368" s="966">
        <v>95501</v>
      </c>
    </row>
    <row r="1369" spans="2:3" x14ac:dyDescent="0.25">
      <c r="B1369" s="983" t="s">
        <v>3820</v>
      </c>
      <c r="C1369" s="966">
        <v>95504</v>
      </c>
    </row>
    <row r="1370" spans="2:3" x14ac:dyDescent="0.25">
      <c r="B1370" s="983" t="s">
        <v>2306</v>
      </c>
      <c r="C1370" s="966">
        <v>95511</v>
      </c>
    </row>
    <row r="1371" spans="2:3" x14ac:dyDescent="0.25">
      <c r="B1371" s="983" t="s">
        <v>3821</v>
      </c>
      <c r="C1371" s="966">
        <v>95517</v>
      </c>
    </row>
    <row r="1372" spans="2:3" x14ac:dyDescent="0.25">
      <c r="B1372" s="983" t="s">
        <v>1646</v>
      </c>
      <c r="C1372" s="966">
        <v>95513</v>
      </c>
    </row>
    <row r="1373" spans="2:3" x14ac:dyDescent="0.25">
      <c r="B1373" s="983" t="s">
        <v>2307</v>
      </c>
      <c r="C1373" s="966">
        <v>92651</v>
      </c>
    </row>
    <row r="1374" spans="2:3" x14ac:dyDescent="0.25">
      <c r="B1374" s="983" t="s">
        <v>2308</v>
      </c>
      <c r="C1374" s="966">
        <v>94261</v>
      </c>
    </row>
    <row r="1375" spans="2:3" x14ac:dyDescent="0.25">
      <c r="B1375" s="983" t="s">
        <v>2309</v>
      </c>
      <c r="C1375" s="966">
        <v>98431</v>
      </c>
    </row>
    <row r="1376" spans="2:3" x14ac:dyDescent="0.25">
      <c r="B1376" s="983" t="s">
        <v>3822</v>
      </c>
      <c r="C1376" s="966">
        <v>98404</v>
      </c>
    </row>
    <row r="1377" spans="2:3" x14ac:dyDescent="0.25">
      <c r="B1377" s="983" t="s">
        <v>3823</v>
      </c>
      <c r="C1377" s="966">
        <v>91841</v>
      </c>
    </row>
    <row r="1378" spans="2:3" x14ac:dyDescent="0.25">
      <c r="B1378" s="983" t="s">
        <v>2310</v>
      </c>
      <c r="C1378" s="966">
        <v>93521</v>
      </c>
    </row>
    <row r="1379" spans="2:3" x14ac:dyDescent="0.25">
      <c r="B1379" s="983" t="s">
        <v>3824</v>
      </c>
      <c r="C1379" s="966">
        <v>93527</v>
      </c>
    </row>
    <row r="1380" spans="2:3" x14ac:dyDescent="0.25">
      <c r="B1380" s="983" t="s">
        <v>2311</v>
      </c>
      <c r="C1380" s="966">
        <v>93661</v>
      </c>
    </row>
    <row r="1381" spans="2:3" x14ac:dyDescent="0.25">
      <c r="B1381" s="983" t="s">
        <v>1725</v>
      </c>
      <c r="C1381" s="966">
        <v>96508</v>
      </c>
    </row>
    <row r="1382" spans="2:3" x14ac:dyDescent="0.25">
      <c r="B1382" s="983" t="s">
        <v>2312</v>
      </c>
      <c r="C1382" s="966">
        <v>99841</v>
      </c>
    </row>
    <row r="1383" spans="2:3" x14ac:dyDescent="0.25">
      <c r="B1383" s="983" t="s">
        <v>1828</v>
      </c>
      <c r="C1383" s="966">
        <v>97802</v>
      </c>
    </row>
    <row r="1384" spans="2:3" x14ac:dyDescent="0.25">
      <c r="B1384" s="983" t="s">
        <v>2313</v>
      </c>
      <c r="C1384" s="966">
        <v>97811</v>
      </c>
    </row>
    <row r="1385" spans="2:3" x14ac:dyDescent="0.25">
      <c r="B1385" s="983" t="s">
        <v>3825</v>
      </c>
      <c r="C1385" s="966">
        <v>97817</v>
      </c>
    </row>
    <row r="1386" spans="2:3" x14ac:dyDescent="0.25">
      <c r="B1386" s="983" t="s">
        <v>3826</v>
      </c>
      <c r="C1386" s="966">
        <v>97818</v>
      </c>
    </row>
    <row r="1387" spans="2:3" x14ac:dyDescent="0.25">
      <c r="B1387" s="983" t="s">
        <v>2314</v>
      </c>
      <c r="C1387" s="966">
        <v>93341</v>
      </c>
    </row>
    <row r="1388" spans="2:3" x14ac:dyDescent="0.25">
      <c r="B1388" s="983" t="s">
        <v>1648</v>
      </c>
      <c r="C1388" s="966">
        <v>95601</v>
      </c>
    </row>
    <row r="1389" spans="2:3" x14ac:dyDescent="0.25">
      <c r="B1389" s="983" t="s">
        <v>2315</v>
      </c>
      <c r="C1389" s="966">
        <v>97941</v>
      </c>
    </row>
    <row r="1390" spans="2:3" x14ac:dyDescent="0.25">
      <c r="B1390" s="983" t="s">
        <v>3827</v>
      </c>
      <c r="C1390" s="966">
        <v>97947</v>
      </c>
    </row>
    <row r="1391" spans="2:3" x14ac:dyDescent="0.25">
      <c r="B1391" s="983" t="s">
        <v>1652</v>
      </c>
      <c r="C1391" s="966">
        <v>95701</v>
      </c>
    </row>
    <row r="1392" spans="2:3" x14ac:dyDescent="0.25">
      <c r="B1392" s="983" t="s">
        <v>1853</v>
      </c>
      <c r="C1392" s="966">
        <v>97948</v>
      </c>
    </row>
    <row r="1393" spans="2:3" x14ac:dyDescent="0.25">
      <c r="B1393" s="983" t="s">
        <v>2316</v>
      </c>
      <c r="C1393" s="966">
        <v>94421</v>
      </c>
    </row>
    <row r="1394" spans="2:3" x14ac:dyDescent="0.25">
      <c r="B1394" s="983" t="s">
        <v>3828</v>
      </c>
      <c r="C1394" s="966">
        <v>94427</v>
      </c>
    </row>
    <row r="1395" spans="2:3" x14ac:dyDescent="0.25">
      <c r="B1395" s="983" t="s">
        <v>3829</v>
      </c>
      <c r="C1395" s="966">
        <v>94428</v>
      </c>
    </row>
    <row r="1396" spans="2:3" x14ac:dyDescent="0.25">
      <c r="B1396" s="983" t="s">
        <v>2317</v>
      </c>
      <c r="C1396" s="966">
        <v>93191</v>
      </c>
    </row>
    <row r="1397" spans="2:3" x14ac:dyDescent="0.25">
      <c r="B1397" s="983" t="s">
        <v>2318</v>
      </c>
      <c r="C1397" s="966">
        <v>91831</v>
      </c>
    </row>
    <row r="1398" spans="2:3" x14ac:dyDescent="0.25">
      <c r="B1398" s="983" t="s">
        <v>2319</v>
      </c>
      <c r="C1398" s="966">
        <v>92831</v>
      </c>
    </row>
    <row r="1399" spans="2:3" x14ac:dyDescent="0.25">
      <c r="B1399" s="983" t="s">
        <v>2320</v>
      </c>
      <c r="C1399" s="966">
        <v>95911</v>
      </c>
    </row>
    <row r="1400" spans="2:3" x14ac:dyDescent="0.25">
      <c r="B1400" s="983" t="s">
        <v>3830</v>
      </c>
      <c r="C1400" s="966">
        <v>95917</v>
      </c>
    </row>
    <row r="1401" spans="2:3" x14ac:dyDescent="0.25">
      <c r="B1401" s="983" t="s">
        <v>2321</v>
      </c>
      <c r="C1401" s="966">
        <v>95711</v>
      </c>
    </row>
    <row r="1402" spans="2:3" x14ac:dyDescent="0.25">
      <c r="B1402" s="983" t="s">
        <v>2322</v>
      </c>
      <c r="C1402" s="966">
        <v>95721</v>
      </c>
    </row>
    <row r="1403" spans="2:3" x14ac:dyDescent="0.25">
      <c r="B1403" s="983" t="s">
        <v>2323</v>
      </c>
      <c r="C1403" s="966">
        <v>99021</v>
      </c>
    </row>
    <row r="1404" spans="2:3" x14ac:dyDescent="0.25">
      <c r="B1404" s="983" t="s">
        <v>3831</v>
      </c>
      <c r="C1404" s="966">
        <v>95802</v>
      </c>
    </row>
    <row r="1405" spans="2:3" x14ac:dyDescent="0.25">
      <c r="B1405" s="983" t="s">
        <v>1656</v>
      </c>
      <c r="C1405" s="966">
        <v>95801</v>
      </c>
    </row>
    <row r="1406" spans="2:3" x14ac:dyDescent="0.25">
      <c r="B1406" s="983" t="s">
        <v>3832</v>
      </c>
      <c r="C1406" s="966">
        <v>95804</v>
      </c>
    </row>
    <row r="1407" spans="2:3" x14ac:dyDescent="0.25">
      <c r="B1407" s="983" t="s">
        <v>3833</v>
      </c>
      <c r="C1407" s="966">
        <v>90092</v>
      </c>
    </row>
    <row r="1408" spans="2:3" x14ac:dyDescent="0.25">
      <c r="B1408" s="983" t="s">
        <v>2324</v>
      </c>
      <c r="C1408" s="966">
        <v>99081</v>
      </c>
    </row>
    <row r="1409" spans="2:3" x14ac:dyDescent="0.25">
      <c r="B1409" s="983" t="s">
        <v>2325</v>
      </c>
      <c r="C1409" s="966">
        <v>96071</v>
      </c>
    </row>
    <row r="1410" spans="2:3" x14ac:dyDescent="0.25">
      <c r="B1410" s="983" t="s">
        <v>1517</v>
      </c>
      <c r="C1410" s="966">
        <v>94002</v>
      </c>
    </row>
    <row r="1411" spans="2:3" x14ac:dyDescent="0.25">
      <c r="B1411" s="983" t="s">
        <v>2326</v>
      </c>
      <c r="C1411" s="966">
        <v>97840</v>
      </c>
    </row>
    <row r="1412" spans="2:3" x14ac:dyDescent="0.25">
      <c r="B1412" s="983" t="s">
        <v>3834</v>
      </c>
      <c r="C1412" s="966">
        <v>97847</v>
      </c>
    </row>
    <row r="1413" spans="2:3" x14ac:dyDescent="0.25">
      <c r="B1413" s="983" t="s">
        <v>2327</v>
      </c>
      <c r="C1413" s="966">
        <v>97921</v>
      </c>
    </row>
    <row r="1414" spans="2:3" x14ac:dyDescent="0.25">
      <c r="B1414" s="983" t="s">
        <v>2328</v>
      </c>
      <c r="C1414" s="966">
        <v>95221</v>
      </c>
    </row>
    <row r="1415" spans="2:3" x14ac:dyDescent="0.25">
      <c r="B1415" s="983" t="s">
        <v>2329</v>
      </c>
      <c r="C1415" s="966">
        <v>93610</v>
      </c>
    </row>
    <row r="1416" spans="2:3" x14ac:dyDescent="0.25">
      <c r="B1416" s="983" t="s">
        <v>3835</v>
      </c>
      <c r="C1416" s="966">
        <v>95901</v>
      </c>
    </row>
    <row r="1417" spans="2:3" x14ac:dyDescent="0.25">
      <c r="B1417" s="983" t="s">
        <v>2087</v>
      </c>
      <c r="C1417" s="966">
        <v>90114</v>
      </c>
    </row>
    <row r="1418" spans="2:3" x14ac:dyDescent="0.25">
      <c r="B1418" s="983" t="s">
        <v>1670</v>
      </c>
      <c r="C1418" s="966">
        <v>96001</v>
      </c>
    </row>
    <row r="1419" spans="2:3" x14ac:dyDescent="0.25">
      <c r="B1419" s="983" t="s">
        <v>3836</v>
      </c>
      <c r="C1419" s="966">
        <v>96004</v>
      </c>
    </row>
    <row r="1420" spans="2:3" x14ac:dyDescent="0.25">
      <c r="B1420" s="983" t="s">
        <v>3837</v>
      </c>
      <c r="C1420" s="966">
        <v>96008</v>
      </c>
    </row>
    <row r="1421" spans="2:3" x14ac:dyDescent="0.25">
      <c r="B1421" s="983" t="s">
        <v>1262</v>
      </c>
      <c r="C1421" s="966">
        <v>91108</v>
      </c>
    </row>
    <row r="1422" spans="2:3" x14ac:dyDescent="0.25">
      <c r="B1422" s="983" t="s">
        <v>3838</v>
      </c>
      <c r="C1422" s="966">
        <v>94941</v>
      </c>
    </row>
    <row r="1423" spans="2:3" x14ac:dyDescent="0.25">
      <c r="B1423" s="983" t="s">
        <v>2330</v>
      </c>
      <c r="C1423" s="966">
        <v>95122</v>
      </c>
    </row>
    <row r="1424" spans="2:3" x14ac:dyDescent="0.25">
      <c r="B1424" s="983" t="s">
        <v>3839</v>
      </c>
      <c r="C1424" s="966">
        <v>92607</v>
      </c>
    </row>
    <row r="1425" spans="2:3" x14ac:dyDescent="0.25">
      <c r="B1425" s="983" t="s">
        <v>2331</v>
      </c>
      <c r="C1425" s="966">
        <v>96431</v>
      </c>
    </row>
    <row r="1426" spans="2:3" x14ac:dyDescent="0.25">
      <c r="B1426" s="983" t="s">
        <v>3537</v>
      </c>
      <c r="C1426" s="966">
        <v>90709</v>
      </c>
    </row>
    <row r="1427" spans="2:3" x14ac:dyDescent="0.25">
      <c r="B1427" s="983" t="s">
        <v>2332</v>
      </c>
      <c r="C1427" s="966">
        <v>91341</v>
      </c>
    </row>
    <row r="1428" spans="2:3" x14ac:dyDescent="0.25">
      <c r="B1428" s="983" t="s">
        <v>2333</v>
      </c>
      <c r="C1428" s="966">
        <v>92941</v>
      </c>
    </row>
    <row r="1429" spans="2:3" x14ac:dyDescent="0.25">
      <c r="B1429" s="983" t="s">
        <v>2334</v>
      </c>
      <c r="C1429" s="966">
        <v>94551</v>
      </c>
    </row>
    <row r="1430" spans="2:3" x14ac:dyDescent="0.25">
      <c r="B1430" s="983" t="s">
        <v>2335</v>
      </c>
      <c r="C1430" s="966">
        <v>99022</v>
      </c>
    </row>
    <row r="1431" spans="2:3" x14ac:dyDescent="0.25">
      <c r="B1431" s="983" t="s">
        <v>2336</v>
      </c>
      <c r="C1431" s="966">
        <v>96031</v>
      </c>
    </row>
    <row r="1432" spans="2:3" x14ac:dyDescent="0.25">
      <c r="B1432" s="983" t="s">
        <v>2337</v>
      </c>
      <c r="C1432" s="966">
        <v>98414</v>
      </c>
    </row>
    <row r="1433" spans="2:3" x14ac:dyDescent="0.25">
      <c r="B1433" s="983" t="s">
        <v>1685</v>
      </c>
      <c r="C1433" s="966">
        <v>96101</v>
      </c>
    </row>
    <row r="1434" spans="2:3" x14ac:dyDescent="0.25">
      <c r="B1434" s="983" t="s">
        <v>3840</v>
      </c>
      <c r="C1434" s="966">
        <v>96102</v>
      </c>
    </row>
    <row r="1435" spans="2:3" x14ac:dyDescent="0.25">
      <c r="B1435" s="983" t="s">
        <v>2338</v>
      </c>
      <c r="C1435" s="966">
        <v>93011</v>
      </c>
    </row>
    <row r="1436" spans="2:3" x14ac:dyDescent="0.25">
      <c r="B1436" s="983" t="s">
        <v>2339</v>
      </c>
      <c r="C1436" s="966">
        <v>99011</v>
      </c>
    </row>
    <row r="1437" spans="2:3" x14ac:dyDescent="0.25">
      <c r="B1437" s="983" t="s">
        <v>3841</v>
      </c>
      <c r="C1437" s="966">
        <v>99017</v>
      </c>
    </row>
    <row r="1438" spans="2:3" x14ac:dyDescent="0.25">
      <c r="B1438" s="983" t="s">
        <v>3842</v>
      </c>
      <c r="C1438" s="966">
        <v>99013</v>
      </c>
    </row>
    <row r="1439" spans="2:3" x14ac:dyDescent="0.25">
      <c r="B1439" s="983" t="s">
        <v>1689</v>
      </c>
      <c r="C1439" s="966">
        <v>96201</v>
      </c>
    </row>
    <row r="1440" spans="2:3" x14ac:dyDescent="0.25">
      <c r="B1440" s="983" t="s">
        <v>3843</v>
      </c>
      <c r="C1440" s="966">
        <v>96204</v>
      </c>
    </row>
    <row r="1441" spans="2:3" x14ac:dyDescent="0.25">
      <c r="B1441" s="983" t="s">
        <v>2340</v>
      </c>
      <c r="C1441" s="966">
        <v>91161</v>
      </c>
    </row>
    <row r="1442" spans="2:3" x14ac:dyDescent="0.25">
      <c r="B1442" s="983" t="s">
        <v>1696</v>
      </c>
      <c r="C1442" s="966">
        <v>96301</v>
      </c>
    </row>
    <row r="1443" spans="2:3" x14ac:dyDescent="0.25">
      <c r="B1443" s="983" t="s">
        <v>3844</v>
      </c>
      <c r="C1443" s="966">
        <v>96304</v>
      </c>
    </row>
    <row r="1444" spans="2:3" x14ac:dyDescent="0.25">
      <c r="B1444" s="983" t="s">
        <v>1700</v>
      </c>
      <c r="C1444" s="966">
        <v>96310</v>
      </c>
    </row>
    <row r="1445" spans="2:3" x14ac:dyDescent="0.25">
      <c r="B1445" s="983" t="s">
        <v>3845</v>
      </c>
      <c r="C1445" s="966">
        <v>96305</v>
      </c>
    </row>
    <row r="1446" spans="2:3" x14ac:dyDescent="0.25">
      <c r="B1446" s="983" t="s">
        <v>2341</v>
      </c>
      <c r="C1446" s="966">
        <v>94921</v>
      </c>
    </row>
    <row r="1447" spans="2:3" x14ac:dyDescent="0.25">
      <c r="B1447" s="983" t="s">
        <v>3846</v>
      </c>
      <c r="C1447" s="966">
        <v>94927</v>
      </c>
    </row>
    <row r="1448" spans="2:3" x14ac:dyDescent="0.25">
      <c r="B1448" s="983" t="s">
        <v>1598</v>
      </c>
      <c r="C1448" s="966">
        <v>94923</v>
      </c>
    </row>
    <row r="1449" spans="2:3" x14ac:dyDescent="0.25">
      <c r="B1449" s="983" t="s">
        <v>2342</v>
      </c>
      <c r="C1449" s="966">
        <v>91611</v>
      </c>
    </row>
    <row r="1450" spans="2:3" x14ac:dyDescent="0.25">
      <c r="B1450" s="983" t="s">
        <v>2343</v>
      </c>
      <c r="C1450" s="966">
        <v>91231</v>
      </c>
    </row>
    <row r="1451" spans="2:3" x14ac:dyDescent="0.25">
      <c r="B1451" s="983" t="s">
        <v>3847</v>
      </c>
      <c r="C1451" s="966">
        <v>91217</v>
      </c>
    </row>
    <row r="1452" spans="2:3" x14ac:dyDescent="0.25">
      <c r="B1452" s="983" t="s">
        <v>1287</v>
      </c>
      <c r="C1452" s="966">
        <v>91233</v>
      </c>
    </row>
    <row r="1453" spans="2:3" x14ac:dyDescent="0.25">
      <c r="B1453" s="983" t="s">
        <v>2344</v>
      </c>
      <c r="C1453" s="966">
        <v>99206</v>
      </c>
    </row>
    <row r="1454" spans="2:3" x14ac:dyDescent="0.25">
      <c r="B1454" s="983" t="s">
        <v>2345</v>
      </c>
      <c r="C1454" s="966">
        <v>90461</v>
      </c>
    </row>
    <row r="1455" spans="2:3" x14ac:dyDescent="0.25">
      <c r="B1455" s="983" t="s">
        <v>3848</v>
      </c>
      <c r="C1455" s="966">
        <v>98637</v>
      </c>
    </row>
    <row r="1456" spans="2:3" x14ac:dyDescent="0.25">
      <c r="B1456" s="983" t="s">
        <v>2346</v>
      </c>
      <c r="C1456" s="966">
        <v>96251</v>
      </c>
    </row>
    <row r="1457" spans="2:3" x14ac:dyDescent="0.25">
      <c r="B1457" s="983" t="s">
        <v>2347</v>
      </c>
      <c r="C1457" s="966">
        <v>99621</v>
      </c>
    </row>
    <row r="1458" spans="2:3" x14ac:dyDescent="0.25">
      <c r="B1458" s="983" t="s">
        <v>2348</v>
      </c>
      <c r="C1458" s="966">
        <v>91321</v>
      </c>
    </row>
    <row r="1459" spans="2:3" x14ac:dyDescent="0.25">
      <c r="B1459" s="983" t="s">
        <v>3849</v>
      </c>
      <c r="C1459" s="966">
        <v>98631</v>
      </c>
    </row>
    <row r="1460" spans="2:3" x14ac:dyDescent="0.25">
      <c r="B1460" s="983" t="s">
        <v>3850</v>
      </c>
      <c r="C1460" s="966">
        <v>93691</v>
      </c>
    </row>
    <row r="1461" spans="2:3" x14ac:dyDescent="0.25">
      <c r="B1461" s="983" t="s">
        <v>3851</v>
      </c>
      <c r="C1461" s="966">
        <v>99623</v>
      </c>
    </row>
    <row r="1462" spans="2:3" x14ac:dyDescent="0.25">
      <c r="B1462" s="983" t="s">
        <v>3852</v>
      </c>
      <c r="C1462" s="966">
        <v>91327</v>
      </c>
    </row>
    <row r="1463" spans="2:3" x14ac:dyDescent="0.25">
      <c r="B1463" s="983" t="s">
        <v>2349</v>
      </c>
      <c r="C1463" s="966">
        <v>94621</v>
      </c>
    </row>
    <row r="1464" spans="2:3" x14ac:dyDescent="0.25">
      <c r="B1464" s="983" t="s">
        <v>2350</v>
      </c>
      <c r="C1464" s="966">
        <v>92011</v>
      </c>
    </row>
    <row r="1465" spans="2:3" x14ac:dyDescent="0.25">
      <c r="B1465" s="983" t="s">
        <v>3853</v>
      </c>
      <c r="C1465" s="966">
        <v>92017</v>
      </c>
    </row>
    <row r="1466" spans="2:3" x14ac:dyDescent="0.25">
      <c r="B1466" s="983" t="s">
        <v>3854</v>
      </c>
      <c r="C1466" s="966">
        <v>99991</v>
      </c>
    </row>
    <row r="1467" spans="2:3" x14ac:dyDescent="0.25">
      <c r="B1467" s="983" t="s">
        <v>3855</v>
      </c>
      <c r="C1467" s="966">
        <v>99999</v>
      </c>
    </row>
    <row r="1468" spans="2:3" x14ac:dyDescent="0.25">
      <c r="B1468" s="983" t="s">
        <v>2351</v>
      </c>
      <c r="C1468" s="966">
        <v>92811</v>
      </c>
    </row>
    <row r="1469" spans="2:3" x14ac:dyDescent="0.25">
      <c r="B1469" s="983" t="s">
        <v>1351</v>
      </c>
      <c r="C1469" s="966">
        <v>92005</v>
      </c>
    </row>
    <row r="1470" spans="2:3" x14ac:dyDescent="0.25">
      <c r="B1470" s="983" t="s">
        <v>1711</v>
      </c>
      <c r="C1470" s="966">
        <v>96401</v>
      </c>
    </row>
    <row r="1471" spans="2:3" x14ac:dyDescent="0.25">
      <c r="B1471" s="983" t="s">
        <v>3856</v>
      </c>
      <c r="C1471" s="966">
        <v>96404</v>
      </c>
    </row>
    <row r="1472" spans="2:3" x14ac:dyDescent="0.25">
      <c r="B1472" s="983" t="s">
        <v>2352</v>
      </c>
      <c r="C1472" s="966">
        <v>96421</v>
      </c>
    </row>
    <row r="1473" spans="2:3" x14ac:dyDescent="0.25">
      <c r="B1473" s="983" t="s">
        <v>2353</v>
      </c>
      <c r="C1473" s="966">
        <v>91026</v>
      </c>
    </row>
    <row r="1474" spans="2:3" x14ac:dyDescent="0.25">
      <c r="B1474" s="983" t="s">
        <v>1636</v>
      </c>
      <c r="C1474" s="966">
        <v>95405</v>
      </c>
    </row>
    <row r="1475" spans="2:3" x14ac:dyDescent="0.25">
      <c r="B1475" s="983" t="s">
        <v>3857</v>
      </c>
      <c r="C1475" s="966">
        <v>94005</v>
      </c>
    </row>
    <row r="1476" spans="2:3" x14ac:dyDescent="0.25">
      <c r="B1476" s="983" t="s">
        <v>3858</v>
      </c>
      <c r="C1476" s="966">
        <v>95205</v>
      </c>
    </row>
    <row r="1477" spans="2:3" x14ac:dyDescent="0.25">
      <c r="B1477" s="983" t="s">
        <v>1386</v>
      </c>
      <c r="C1477" s="966">
        <v>92507</v>
      </c>
    </row>
    <row r="1478" spans="2:3" x14ac:dyDescent="0.25">
      <c r="B1478" s="983" t="s">
        <v>3859</v>
      </c>
      <c r="C1478" s="966">
        <v>92113</v>
      </c>
    </row>
    <row r="1479" spans="2:3" x14ac:dyDescent="0.25">
      <c r="B1479" s="983" t="s">
        <v>3860</v>
      </c>
      <c r="C1479" s="966">
        <v>96502</v>
      </c>
    </row>
    <row r="1480" spans="2:3" x14ac:dyDescent="0.25">
      <c r="B1480" s="983" t="s">
        <v>1720</v>
      </c>
      <c r="C1480" s="966">
        <v>96501</v>
      </c>
    </row>
    <row r="1481" spans="2:3" x14ac:dyDescent="0.25">
      <c r="B1481" s="983" t="s">
        <v>3861</v>
      </c>
      <c r="C1481" s="966">
        <v>96504</v>
      </c>
    </row>
    <row r="1482" spans="2:3" x14ac:dyDescent="0.25">
      <c r="B1482" s="983" t="s">
        <v>3862</v>
      </c>
      <c r="C1482" s="966">
        <v>97913</v>
      </c>
    </row>
    <row r="1483" spans="2:3" x14ac:dyDescent="0.25">
      <c r="B1483" s="983" t="s">
        <v>3863</v>
      </c>
      <c r="C1483" s="966">
        <v>92511</v>
      </c>
    </row>
    <row r="1484" spans="2:3" x14ac:dyDescent="0.25">
      <c r="B1484" s="983" t="s">
        <v>2354</v>
      </c>
      <c r="C1484" s="966">
        <v>90621</v>
      </c>
    </row>
    <row r="1485" spans="2:3" x14ac:dyDescent="0.25">
      <c r="B1485" s="983" t="s">
        <v>2355</v>
      </c>
      <c r="C1485" s="966">
        <v>91621</v>
      </c>
    </row>
    <row r="1486" spans="2:3" x14ac:dyDescent="0.25">
      <c r="B1486" s="983" t="s">
        <v>2356</v>
      </c>
      <c r="C1486" s="966">
        <v>91871</v>
      </c>
    </row>
    <row r="1487" spans="2:3" x14ac:dyDescent="0.25">
      <c r="B1487" s="983" t="s">
        <v>2357</v>
      </c>
      <c r="C1487" s="966">
        <v>98231</v>
      </c>
    </row>
    <row r="1488" spans="2:3" x14ac:dyDescent="0.25">
      <c r="B1488" s="983" t="s">
        <v>2358</v>
      </c>
      <c r="C1488" s="966">
        <v>99311</v>
      </c>
    </row>
    <row r="1489" spans="2:3" x14ac:dyDescent="0.25">
      <c r="B1489" s="983" t="s">
        <v>2359</v>
      </c>
      <c r="C1489" s="966">
        <v>96751</v>
      </c>
    </row>
    <row r="1490" spans="2:3" x14ac:dyDescent="0.25">
      <c r="B1490" s="983" t="s">
        <v>2360</v>
      </c>
      <c r="C1490" s="966">
        <v>99711</v>
      </c>
    </row>
    <row r="1491" spans="2:3" x14ac:dyDescent="0.25">
      <c r="B1491" s="983" t="s">
        <v>3864</v>
      </c>
      <c r="C1491" s="966">
        <v>99717</v>
      </c>
    </row>
    <row r="1492" spans="2:3" x14ac:dyDescent="0.25">
      <c r="B1492" s="983" t="s">
        <v>1732</v>
      </c>
      <c r="C1492" s="966">
        <v>96601</v>
      </c>
    </row>
    <row r="1493" spans="2:3" x14ac:dyDescent="0.25">
      <c r="B1493" s="983" t="s">
        <v>3865</v>
      </c>
      <c r="C1493" s="966">
        <v>96604</v>
      </c>
    </row>
    <row r="1494" spans="2:3" x14ac:dyDescent="0.25">
      <c r="B1494" s="983" t="s">
        <v>2361</v>
      </c>
      <c r="C1494" s="966">
        <v>91012</v>
      </c>
    </row>
    <row r="1495" spans="2:3" x14ac:dyDescent="0.25">
      <c r="B1495" s="983" t="s">
        <v>1184</v>
      </c>
      <c r="C1495" s="966">
        <v>90305</v>
      </c>
    </row>
    <row r="1496" spans="2:3" x14ac:dyDescent="0.25">
      <c r="B1496" s="983" t="s">
        <v>2362</v>
      </c>
      <c r="C1496" s="966">
        <v>98421</v>
      </c>
    </row>
    <row r="1497" spans="2:3" x14ac:dyDescent="0.25">
      <c r="B1497" s="983" t="s">
        <v>3866</v>
      </c>
      <c r="C1497" s="966">
        <v>98427</v>
      </c>
    </row>
    <row r="1498" spans="2:3" x14ac:dyDescent="0.25">
      <c r="B1498" s="983" t="s">
        <v>2363</v>
      </c>
      <c r="C1498" s="966">
        <v>95821</v>
      </c>
    </row>
    <row r="1499" spans="2:3" x14ac:dyDescent="0.25">
      <c r="B1499" s="983" t="s">
        <v>2364</v>
      </c>
      <c r="C1499" s="966">
        <v>91021</v>
      </c>
    </row>
    <row r="1500" spans="2:3" x14ac:dyDescent="0.25">
      <c r="B1500" s="983" t="s">
        <v>3867</v>
      </c>
      <c r="C1500" s="966">
        <v>91027</v>
      </c>
    </row>
    <row r="1501" spans="2:3" x14ac:dyDescent="0.25">
      <c r="B1501" s="983" t="s">
        <v>2365</v>
      </c>
      <c r="C1501" s="966">
        <v>94161</v>
      </c>
    </row>
    <row r="1502" spans="2:3" x14ac:dyDescent="0.25">
      <c r="B1502" s="983" t="s">
        <v>2366</v>
      </c>
      <c r="C1502" s="966">
        <v>98441</v>
      </c>
    </row>
    <row r="1503" spans="2:3" x14ac:dyDescent="0.25">
      <c r="B1503" s="983" t="s">
        <v>2367</v>
      </c>
      <c r="C1503" s="966">
        <v>91061</v>
      </c>
    </row>
    <row r="1504" spans="2:3" x14ac:dyDescent="0.25">
      <c r="B1504" s="983" t="s">
        <v>3868</v>
      </c>
      <c r="C1504" s="966">
        <v>91067</v>
      </c>
    </row>
    <row r="1505" spans="2:3" x14ac:dyDescent="0.25">
      <c r="B1505" s="983" t="s">
        <v>3869</v>
      </c>
      <c r="C1505" s="966">
        <v>94812</v>
      </c>
    </row>
    <row r="1506" spans="2:3" x14ac:dyDescent="0.25">
      <c r="B1506" s="983" t="s">
        <v>2368</v>
      </c>
      <c r="C1506" s="966">
        <v>95921</v>
      </c>
    </row>
    <row r="1507" spans="2:3" x14ac:dyDescent="0.25">
      <c r="B1507" s="983" t="s">
        <v>1743</v>
      </c>
      <c r="C1507" s="966">
        <v>96701</v>
      </c>
    </row>
    <row r="1508" spans="2:3" x14ac:dyDescent="0.25">
      <c r="B1508" s="983" t="s">
        <v>3870</v>
      </c>
      <c r="C1508" s="966">
        <v>96704</v>
      </c>
    </row>
    <row r="1509" spans="2:3" x14ac:dyDescent="0.25">
      <c r="B1509" s="983" t="s">
        <v>3871</v>
      </c>
      <c r="C1509" s="966">
        <v>96708</v>
      </c>
    </row>
    <row r="1510" spans="2:3" x14ac:dyDescent="0.25">
      <c r="B1510" s="983" t="s">
        <v>1752</v>
      </c>
      <c r="C1510" s="966">
        <v>96801</v>
      </c>
    </row>
    <row r="1511" spans="2:3" x14ac:dyDescent="0.25">
      <c r="B1511" s="983" t="s">
        <v>3872</v>
      </c>
      <c r="C1511" s="966">
        <v>96804</v>
      </c>
    </row>
    <row r="1512" spans="2:3" x14ac:dyDescent="0.25">
      <c r="B1512" s="983" t="s">
        <v>3873</v>
      </c>
      <c r="C1512" s="966">
        <v>96808</v>
      </c>
    </row>
    <row r="1513" spans="2:3" x14ac:dyDescent="0.25">
      <c r="B1513" s="983" t="s">
        <v>2369</v>
      </c>
      <c r="C1513" s="966">
        <v>96912</v>
      </c>
    </row>
    <row r="1514" spans="2:3" x14ac:dyDescent="0.25">
      <c r="B1514" s="983" t="s">
        <v>2370</v>
      </c>
      <c r="C1514" s="966">
        <v>93911</v>
      </c>
    </row>
    <row r="1515" spans="2:3" x14ac:dyDescent="0.25">
      <c r="B1515" s="983" t="s">
        <v>1512</v>
      </c>
      <c r="C1515" s="966">
        <v>93913</v>
      </c>
    </row>
    <row r="1516" spans="2:3" x14ac:dyDescent="0.25">
      <c r="B1516" s="983" t="s">
        <v>1758</v>
      </c>
      <c r="C1516" s="966">
        <v>96901</v>
      </c>
    </row>
    <row r="1517" spans="2:3" x14ac:dyDescent="0.25">
      <c r="B1517" s="983" t="s">
        <v>3874</v>
      </c>
      <c r="C1517" s="966">
        <v>97841</v>
      </c>
    </row>
    <row r="1518" spans="2:3" x14ac:dyDescent="0.25">
      <c r="B1518" s="983" t="s">
        <v>1447</v>
      </c>
      <c r="C1518" s="966">
        <v>93202</v>
      </c>
    </row>
    <row r="1519" spans="2:3" x14ac:dyDescent="0.25">
      <c r="B1519" s="983" t="s">
        <v>3540</v>
      </c>
      <c r="C1519" s="966">
        <v>93609</v>
      </c>
    </row>
    <row r="1520" spans="2:3" x14ac:dyDescent="0.25">
      <c r="B1520" s="983" t="s">
        <v>3875</v>
      </c>
      <c r="C1520" s="966">
        <v>97004</v>
      </c>
    </row>
    <row r="1521" spans="2:3" x14ac:dyDescent="0.25">
      <c r="B1521" s="983" t="s">
        <v>1762</v>
      </c>
      <c r="C1521" s="966">
        <v>97001</v>
      </c>
    </row>
    <row r="1522" spans="2:3" x14ac:dyDescent="0.25">
      <c r="B1522" s="983" t="s">
        <v>1763</v>
      </c>
      <c r="C1522" s="966">
        <v>97002</v>
      </c>
    </row>
    <row r="1523" spans="2:3" x14ac:dyDescent="0.25">
      <c r="B1523" s="983" t="s">
        <v>1771</v>
      </c>
      <c r="C1523" s="966">
        <v>97015</v>
      </c>
    </row>
    <row r="1524" spans="2:3" x14ac:dyDescent="0.25">
      <c r="B1524" s="983" t="s">
        <v>2371</v>
      </c>
      <c r="C1524" s="966">
        <v>90441</v>
      </c>
    </row>
    <row r="1525" spans="2:3" x14ac:dyDescent="0.25">
      <c r="B1525" s="983" t="s">
        <v>2372</v>
      </c>
      <c r="C1525" s="966">
        <v>97851</v>
      </c>
    </row>
    <row r="1526" spans="2:3" x14ac:dyDescent="0.25">
      <c r="B1526" s="983" t="s">
        <v>1841</v>
      </c>
      <c r="C1526" s="966">
        <v>97853</v>
      </c>
    </row>
    <row r="1527" spans="2:3" x14ac:dyDescent="0.25">
      <c r="B1527" s="983" t="s">
        <v>1773</v>
      </c>
      <c r="C1527" s="966">
        <v>97101</v>
      </c>
    </row>
    <row r="1528" spans="2:3" x14ac:dyDescent="0.25">
      <c r="B1528" s="983" t="s">
        <v>3876</v>
      </c>
      <c r="C1528" s="966">
        <v>97104</v>
      </c>
    </row>
    <row r="1529" spans="2:3" x14ac:dyDescent="0.25">
      <c r="B1529" s="983" t="s">
        <v>1778</v>
      </c>
      <c r="C1529" s="966">
        <v>97201</v>
      </c>
    </row>
    <row r="1530" spans="2:3" x14ac:dyDescent="0.25">
      <c r="B1530" s="983" t="s">
        <v>3877</v>
      </c>
      <c r="C1530" s="966">
        <v>97304</v>
      </c>
    </row>
    <row r="1531" spans="2:3" x14ac:dyDescent="0.25">
      <c r="B1531" s="983" t="s">
        <v>1783</v>
      </c>
      <c r="C1531" s="966">
        <v>97301</v>
      </c>
    </row>
    <row r="1532" spans="2:3" x14ac:dyDescent="0.25">
      <c r="B1532" s="983" t="s">
        <v>1980</v>
      </c>
      <c r="C1532" s="966">
        <v>99405</v>
      </c>
    </row>
    <row r="1533" spans="2:3" x14ac:dyDescent="0.25">
      <c r="B1533" s="983" t="s">
        <v>1162</v>
      </c>
      <c r="C1533" s="966">
        <v>72265</v>
      </c>
    </row>
    <row r="1534" spans="2:3" x14ac:dyDescent="0.25">
      <c r="B1534" s="983" t="s">
        <v>3878</v>
      </c>
      <c r="C1534" s="966">
        <v>94112</v>
      </c>
    </row>
    <row r="1535" spans="2:3" x14ac:dyDescent="0.25">
      <c r="B1535" s="983" t="s">
        <v>1466</v>
      </c>
      <c r="C1535" s="966">
        <v>93406</v>
      </c>
    </row>
    <row r="1536" spans="2:3" x14ac:dyDescent="0.25">
      <c r="B1536" s="983" t="s">
        <v>2373</v>
      </c>
      <c r="C1536" s="966">
        <v>99651</v>
      </c>
    </row>
    <row r="1537" spans="2:3" x14ac:dyDescent="0.25">
      <c r="B1537" s="983" t="s">
        <v>2374</v>
      </c>
      <c r="C1537" s="966">
        <v>98611</v>
      </c>
    </row>
    <row r="1538" spans="2:3" x14ac:dyDescent="0.25">
      <c r="B1538" s="983" t="s">
        <v>3879</v>
      </c>
      <c r="C1538" s="966">
        <v>98607</v>
      </c>
    </row>
    <row r="1539" spans="2:3" x14ac:dyDescent="0.25">
      <c r="B1539" s="983" t="s">
        <v>2375</v>
      </c>
      <c r="C1539" s="966">
        <v>91641</v>
      </c>
    </row>
    <row r="1540" spans="2:3" x14ac:dyDescent="0.25">
      <c r="B1540" s="983" t="s">
        <v>2376</v>
      </c>
      <c r="C1540" s="966">
        <v>95161</v>
      </c>
    </row>
    <row r="1541" spans="2:3" x14ac:dyDescent="0.25">
      <c r="B1541" s="983" t="s">
        <v>2377</v>
      </c>
      <c r="C1541" s="966">
        <v>96361</v>
      </c>
    </row>
    <row r="1542" spans="2:3" x14ac:dyDescent="0.25">
      <c r="B1542" s="983" t="s">
        <v>3880</v>
      </c>
      <c r="C1542" s="966">
        <v>94108</v>
      </c>
    </row>
    <row r="1543" spans="2:3" x14ac:dyDescent="0.25">
      <c r="B1543" s="983" t="s">
        <v>2378</v>
      </c>
      <c r="C1543" s="966">
        <v>96351</v>
      </c>
    </row>
    <row r="1544" spans="2:3" x14ac:dyDescent="0.25">
      <c r="B1544" s="983" t="s">
        <v>2379</v>
      </c>
      <c r="C1544" s="966">
        <v>93331</v>
      </c>
    </row>
    <row r="1545" spans="2:3" x14ac:dyDescent="0.25">
      <c r="B1545" s="983" t="s">
        <v>2380</v>
      </c>
      <c r="C1545" s="966">
        <v>96021</v>
      </c>
    </row>
    <row r="1546" spans="2:3" x14ac:dyDescent="0.25">
      <c r="B1546" s="983" t="s">
        <v>2381</v>
      </c>
      <c r="C1546" s="966">
        <v>95421</v>
      </c>
    </row>
    <row r="1547" spans="2:3" x14ac:dyDescent="0.25">
      <c r="B1547" s="983" t="s">
        <v>1786</v>
      </c>
      <c r="C1547" s="966">
        <v>97401</v>
      </c>
    </row>
    <row r="1548" spans="2:3" x14ac:dyDescent="0.25">
      <c r="B1548" s="983" t="s">
        <v>3881</v>
      </c>
      <c r="C1548" s="966">
        <v>97404</v>
      </c>
    </row>
    <row r="1549" spans="2:3" x14ac:dyDescent="0.25">
      <c r="B1549" s="983" t="s">
        <v>3882</v>
      </c>
      <c r="C1549" s="966">
        <v>97402</v>
      </c>
    </row>
    <row r="1550" spans="2:3" x14ac:dyDescent="0.25">
      <c r="B1550" s="983" t="s">
        <v>2382</v>
      </c>
      <c r="C1550" s="966">
        <v>91921</v>
      </c>
    </row>
    <row r="1551" spans="2:3" x14ac:dyDescent="0.25">
      <c r="B1551" s="983" t="s">
        <v>3883</v>
      </c>
      <c r="C1551" s="966">
        <v>95908</v>
      </c>
    </row>
    <row r="1552" spans="2:3" x14ac:dyDescent="0.25">
      <c r="B1552" s="983" t="s">
        <v>2383</v>
      </c>
      <c r="C1552" s="966">
        <v>99411</v>
      </c>
    </row>
    <row r="1553" spans="2:3" x14ac:dyDescent="0.25">
      <c r="B1553" s="983" t="s">
        <v>1982</v>
      </c>
      <c r="C1553" s="966">
        <v>99413</v>
      </c>
    </row>
    <row r="1554" spans="2:3" x14ac:dyDescent="0.25">
      <c r="B1554" s="983" t="s">
        <v>1803</v>
      </c>
      <c r="C1554" s="966">
        <v>97501</v>
      </c>
    </row>
    <row r="1555" spans="2:3" x14ac:dyDescent="0.25">
      <c r="B1555" s="983" t="s">
        <v>2384</v>
      </c>
      <c r="C1555" s="966">
        <v>90431</v>
      </c>
    </row>
    <row r="1556" spans="2:3" x14ac:dyDescent="0.25">
      <c r="B1556" s="983" t="s">
        <v>2385</v>
      </c>
      <c r="C1556" s="966">
        <v>95211</v>
      </c>
    </row>
    <row r="1557" spans="2:3" x14ac:dyDescent="0.25">
      <c r="B1557" s="983" t="s">
        <v>2386</v>
      </c>
      <c r="C1557" s="966">
        <v>95181</v>
      </c>
    </row>
    <row r="1558" spans="2:3" x14ac:dyDescent="0.25">
      <c r="B1558" s="983" t="s">
        <v>2387</v>
      </c>
      <c r="C1558" s="966">
        <v>93351</v>
      </c>
    </row>
    <row r="1559" spans="2:3" x14ac:dyDescent="0.25">
      <c r="B1559" s="983" t="s">
        <v>3884</v>
      </c>
      <c r="C1559" s="966">
        <v>95105</v>
      </c>
    </row>
    <row r="1560" spans="2:3" x14ac:dyDescent="0.25">
      <c r="B1560" s="983" t="s">
        <v>3885</v>
      </c>
      <c r="C1560" s="966">
        <v>92614</v>
      </c>
    </row>
    <row r="1561" spans="2:3" x14ac:dyDescent="0.25">
      <c r="B1561" s="983" t="s">
        <v>2388</v>
      </c>
      <c r="C1561" s="966">
        <v>94711</v>
      </c>
    </row>
    <row r="1562" spans="2:3" x14ac:dyDescent="0.25">
      <c r="B1562" s="983" t="s">
        <v>2389</v>
      </c>
      <c r="C1562" s="966">
        <v>99211</v>
      </c>
    </row>
    <row r="1563" spans="2:3" x14ac:dyDescent="0.25">
      <c r="B1563" s="983" t="s">
        <v>1963</v>
      </c>
      <c r="C1563" s="966">
        <v>99218</v>
      </c>
    </row>
    <row r="1564" spans="2:3" x14ac:dyDescent="0.25">
      <c r="B1564" s="983" t="s">
        <v>3886</v>
      </c>
      <c r="C1564" s="966">
        <v>99213</v>
      </c>
    </row>
    <row r="1565" spans="2:3" x14ac:dyDescent="0.25">
      <c r="B1565" s="983" t="s">
        <v>2390</v>
      </c>
      <c r="C1565" s="966">
        <v>97641</v>
      </c>
    </row>
    <row r="1566" spans="2:3" x14ac:dyDescent="0.25">
      <c r="B1566" s="983" t="s">
        <v>2391</v>
      </c>
      <c r="C1566" s="966">
        <v>97621</v>
      </c>
    </row>
    <row r="1567" spans="2:3" x14ac:dyDescent="0.25">
      <c r="B1567" s="983" t="s">
        <v>3887</v>
      </c>
      <c r="C1567" s="966">
        <v>97627</v>
      </c>
    </row>
    <row r="1568" spans="2:3" x14ac:dyDescent="0.25">
      <c r="B1568" s="983" t="s">
        <v>3888</v>
      </c>
      <c r="C1568" s="966">
        <v>97623</v>
      </c>
    </row>
    <row r="1569" spans="2:3" x14ac:dyDescent="0.25">
      <c r="B1569" s="983" t="s">
        <v>1807</v>
      </c>
      <c r="C1569" s="966">
        <v>97601</v>
      </c>
    </row>
    <row r="1570" spans="2:3" x14ac:dyDescent="0.25">
      <c r="B1570" s="983" t="s">
        <v>2392</v>
      </c>
      <c r="C1570" s="966">
        <v>93681</v>
      </c>
    </row>
    <row r="1571" spans="2:3" x14ac:dyDescent="0.25">
      <c r="B1571" s="983" t="s">
        <v>2393</v>
      </c>
      <c r="C1571" s="966">
        <v>97871</v>
      </c>
    </row>
    <row r="1572" spans="2:3" x14ac:dyDescent="0.25">
      <c r="B1572" s="983" t="s">
        <v>3889</v>
      </c>
      <c r="C1572" s="966">
        <v>97877</v>
      </c>
    </row>
    <row r="1573" spans="2:3" x14ac:dyDescent="0.25">
      <c r="B1573" s="983" t="s">
        <v>1986</v>
      </c>
      <c r="C1573" s="966">
        <v>99502</v>
      </c>
    </row>
    <row r="1574" spans="2:3" x14ac:dyDescent="0.25">
      <c r="B1574" s="983" t="s">
        <v>2394</v>
      </c>
      <c r="C1574" s="966">
        <v>97911</v>
      </c>
    </row>
    <row r="1575" spans="2:3" x14ac:dyDescent="0.25">
      <c r="B1575" s="983" t="s">
        <v>3890</v>
      </c>
      <c r="C1575" s="966">
        <v>97917</v>
      </c>
    </row>
    <row r="1576" spans="2:3" x14ac:dyDescent="0.25">
      <c r="B1576" s="983" t="s">
        <v>2395</v>
      </c>
      <c r="C1576" s="966">
        <v>96611</v>
      </c>
    </row>
    <row r="1577" spans="2:3" x14ac:dyDescent="0.25">
      <c r="B1577" s="983" t="s">
        <v>2396</v>
      </c>
      <c r="C1577" s="966">
        <v>96741</v>
      </c>
    </row>
    <row r="1578" spans="2:3" x14ac:dyDescent="0.25">
      <c r="B1578" s="983" t="s">
        <v>1819</v>
      </c>
      <c r="C1578" s="966">
        <v>97701</v>
      </c>
    </row>
    <row r="1579" spans="2:3" x14ac:dyDescent="0.25">
      <c r="B1579" s="983" t="s">
        <v>2397</v>
      </c>
      <c r="C1579" s="966">
        <v>92541</v>
      </c>
    </row>
    <row r="1580" spans="2:3" x14ac:dyDescent="0.25">
      <c r="B1580" s="983" t="s">
        <v>1543</v>
      </c>
      <c r="C1580" s="966">
        <v>94209</v>
      </c>
    </row>
    <row r="1581" spans="2:3" x14ac:dyDescent="0.25">
      <c r="B1581" s="983" t="s">
        <v>3891</v>
      </c>
      <c r="C1581" s="966">
        <v>94221</v>
      </c>
    </row>
    <row r="1582" spans="2:3" x14ac:dyDescent="0.25">
      <c r="B1582" s="983" t="s">
        <v>2398</v>
      </c>
      <c r="C1582" s="966">
        <v>96341</v>
      </c>
    </row>
    <row r="1583" spans="2:3" x14ac:dyDescent="0.25">
      <c r="B1583" s="983" t="s">
        <v>2399</v>
      </c>
      <c r="C1583" s="966">
        <v>93821</v>
      </c>
    </row>
    <row r="1584" spans="2:3" x14ac:dyDescent="0.25">
      <c r="B1584" s="983" t="s">
        <v>2400</v>
      </c>
      <c r="C1584" s="966">
        <v>95851</v>
      </c>
    </row>
    <row r="1585" spans="2:3" x14ac:dyDescent="0.25">
      <c r="B1585" s="983" t="s">
        <v>1665</v>
      </c>
      <c r="C1585" s="966">
        <v>95853</v>
      </c>
    </row>
    <row r="1586" spans="2:3" x14ac:dyDescent="0.25">
      <c r="B1586" s="983" t="s">
        <v>1827</v>
      </c>
      <c r="C1586" s="966">
        <v>97801</v>
      </c>
    </row>
    <row r="1587" spans="2:3" x14ac:dyDescent="0.25">
      <c r="B1587" s="983" t="s">
        <v>1829</v>
      </c>
      <c r="C1587" s="966">
        <v>97803</v>
      </c>
    </row>
    <row r="1588" spans="2:3" x14ac:dyDescent="0.25">
      <c r="B1588" s="983" t="s">
        <v>1830</v>
      </c>
      <c r="C1588" s="966">
        <v>97805</v>
      </c>
    </row>
    <row r="1589" spans="2:3" x14ac:dyDescent="0.25">
      <c r="B1589" s="983" t="s">
        <v>2401</v>
      </c>
      <c r="C1589" s="966">
        <v>97711</v>
      </c>
    </row>
    <row r="1590" spans="2:3" x14ac:dyDescent="0.25">
      <c r="B1590" s="983" t="s">
        <v>1845</v>
      </c>
      <c r="C1590" s="966">
        <v>97901</v>
      </c>
    </row>
    <row r="1591" spans="2:3" x14ac:dyDescent="0.25">
      <c r="B1591" s="983" t="s">
        <v>1822</v>
      </c>
      <c r="C1591" s="966">
        <v>97713</v>
      </c>
    </row>
    <row r="1592" spans="2:3" x14ac:dyDescent="0.25">
      <c r="B1592" s="983" t="s">
        <v>3892</v>
      </c>
      <c r="C1592" s="966">
        <v>97727</v>
      </c>
    </row>
    <row r="1593" spans="2:3" x14ac:dyDescent="0.25">
      <c r="B1593" s="983" t="s">
        <v>2402</v>
      </c>
      <c r="C1593" s="966">
        <v>98071</v>
      </c>
    </row>
    <row r="1594" spans="2:3" x14ac:dyDescent="0.25">
      <c r="B1594" s="983" t="s">
        <v>1459</v>
      </c>
      <c r="C1594" s="966">
        <v>93323</v>
      </c>
    </row>
    <row r="1595" spans="2:3" x14ac:dyDescent="0.25">
      <c r="B1595" s="983" t="s">
        <v>3893</v>
      </c>
      <c r="C1595" s="966">
        <v>93333</v>
      </c>
    </row>
    <row r="1596" spans="2:3" x14ac:dyDescent="0.25">
      <c r="B1596" s="983" t="s">
        <v>3894</v>
      </c>
      <c r="C1596" s="966">
        <v>93321</v>
      </c>
    </row>
    <row r="1597" spans="2:3" x14ac:dyDescent="0.25">
      <c r="B1597" s="983" t="s">
        <v>2403</v>
      </c>
      <c r="C1597" s="966">
        <v>99203</v>
      </c>
    </row>
    <row r="1598" spans="2:3" x14ac:dyDescent="0.25">
      <c r="B1598" s="983" t="s">
        <v>2404</v>
      </c>
      <c r="C1598" s="966">
        <v>99421</v>
      </c>
    </row>
    <row r="1599" spans="2:3" x14ac:dyDescent="0.25">
      <c r="B1599" s="983" t="s">
        <v>2405</v>
      </c>
      <c r="C1599" s="966">
        <v>93161</v>
      </c>
    </row>
    <row r="1600" spans="2:3" x14ac:dyDescent="0.25">
      <c r="B1600" s="983" t="s">
        <v>2406</v>
      </c>
      <c r="C1600" s="966">
        <v>98261</v>
      </c>
    </row>
    <row r="1601" spans="2:3" x14ac:dyDescent="0.25">
      <c r="B1601" s="983" t="s">
        <v>3895</v>
      </c>
      <c r="C1601" s="966">
        <v>98237</v>
      </c>
    </row>
    <row r="1602" spans="2:3" x14ac:dyDescent="0.25">
      <c r="B1602" s="983" t="s">
        <v>3896</v>
      </c>
      <c r="C1602" s="966">
        <v>98003</v>
      </c>
    </row>
    <row r="1603" spans="2:3" x14ac:dyDescent="0.25">
      <c r="B1603" s="983" t="s">
        <v>3897</v>
      </c>
      <c r="C1603" s="966">
        <v>98008</v>
      </c>
    </row>
    <row r="1604" spans="2:3" x14ac:dyDescent="0.25">
      <c r="B1604" s="983" t="s">
        <v>3898</v>
      </c>
      <c r="C1604" s="966">
        <v>98002</v>
      </c>
    </row>
    <row r="1605" spans="2:3" x14ac:dyDescent="0.25">
      <c r="B1605" s="983" t="s">
        <v>1856</v>
      </c>
      <c r="C1605" s="966">
        <v>98001</v>
      </c>
    </row>
    <row r="1606" spans="2:3" x14ac:dyDescent="0.25">
      <c r="B1606" s="983" t="s">
        <v>3899</v>
      </c>
      <c r="C1606" s="966">
        <v>98004</v>
      </c>
    </row>
    <row r="1607" spans="2:3" x14ac:dyDescent="0.25">
      <c r="B1607" s="983" t="s">
        <v>2407</v>
      </c>
      <c r="C1607" s="966">
        <v>97861</v>
      </c>
    </row>
    <row r="1608" spans="2:3" x14ac:dyDescent="0.25">
      <c r="B1608" s="983" t="s">
        <v>2408</v>
      </c>
      <c r="C1608" s="966">
        <v>97311</v>
      </c>
    </row>
    <row r="1609" spans="2:3" x14ac:dyDescent="0.25">
      <c r="B1609" s="983" t="s">
        <v>2409</v>
      </c>
      <c r="C1609" s="966">
        <v>93431</v>
      </c>
    </row>
    <row r="1610" spans="2:3" x14ac:dyDescent="0.25">
      <c r="B1610" s="983" t="s">
        <v>2410</v>
      </c>
      <c r="C1610" s="966">
        <v>91214</v>
      </c>
    </row>
    <row r="1611" spans="2:3" x14ac:dyDescent="0.25">
      <c r="B1611" s="983" t="s">
        <v>1871</v>
      </c>
      <c r="C1611" s="966">
        <v>98101</v>
      </c>
    </row>
    <row r="1612" spans="2:3" x14ac:dyDescent="0.25">
      <c r="B1612" s="983" t="s">
        <v>3900</v>
      </c>
      <c r="C1612" s="966">
        <v>98103</v>
      </c>
    </row>
    <row r="1613" spans="2:3" x14ac:dyDescent="0.25">
      <c r="B1613" s="983" t="s">
        <v>2411</v>
      </c>
      <c r="C1613" s="966">
        <v>98141</v>
      </c>
    </row>
    <row r="1614" spans="2:3" x14ac:dyDescent="0.25">
      <c r="B1614" s="983" t="s">
        <v>3901</v>
      </c>
      <c r="C1614" s="966">
        <v>98147</v>
      </c>
    </row>
    <row r="1615" spans="2:3" x14ac:dyDescent="0.25">
      <c r="B1615" s="983" t="s">
        <v>2412</v>
      </c>
      <c r="C1615" s="966">
        <v>98221</v>
      </c>
    </row>
    <row r="1616" spans="2:3" x14ac:dyDescent="0.25">
      <c r="B1616" s="983" t="s">
        <v>2413</v>
      </c>
      <c r="C1616" s="966">
        <v>98011</v>
      </c>
    </row>
    <row r="1617" spans="2:3" x14ac:dyDescent="0.25">
      <c r="B1617" s="983" t="s">
        <v>2414</v>
      </c>
      <c r="C1617" s="966">
        <v>97531</v>
      </c>
    </row>
    <row r="1618" spans="2:3" x14ac:dyDescent="0.25">
      <c r="B1618" s="983" t="s">
        <v>1883</v>
      </c>
      <c r="C1618" s="966">
        <v>98201</v>
      </c>
    </row>
    <row r="1619" spans="2:3" x14ac:dyDescent="0.25">
      <c r="B1619" s="983" t="s">
        <v>1820</v>
      </c>
      <c r="C1619" s="966">
        <v>97705</v>
      </c>
    </row>
    <row r="1620" spans="2:3" x14ac:dyDescent="0.25">
      <c r="B1620" s="983" t="s">
        <v>3542</v>
      </c>
      <c r="C1620" s="966">
        <v>96318</v>
      </c>
    </row>
    <row r="1621" spans="2:3" x14ac:dyDescent="0.25">
      <c r="B1621" s="983" t="s">
        <v>2415</v>
      </c>
      <c r="C1621" s="966">
        <v>95311</v>
      </c>
    </row>
    <row r="1622" spans="2:3" x14ac:dyDescent="0.25">
      <c r="B1622" s="983" t="s">
        <v>3902</v>
      </c>
      <c r="C1622" s="966">
        <v>95317</v>
      </c>
    </row>
    <row r="1623" spans="2:3" x14ac:dyDescent="0.25">
      <c r="B1623" s="983" t="s">
        <v>2416</v>
      </c>
      <c r="C1623" s="966">
        <v>91421</v>
      </c>
    </row>
    <row r="1624" spans="2:3" x14ac:dyDescent="0.25">
      <c r="B1624" s="983" t="s">
        <v>1894</v>
      </c>
      <c r="C1624" s="966">
        <v>98301</v>
      </c>
    </row>
    <row r="1625" spans="2:3" x14ac:dyDescent="0.25">
      <c r="B1625" s="983" t="s">
        <v>3903</v>
      </c>
      <c r="C1625" s="966">
        <v>98304</v>
      </c>
    </row>
    <row r="1626" spans="2:3" x14ac:dyDescent="0.25">
      <c r="B1626" s="983" t="s">
        <v>2417</v>
      </c>
      <c r="C1626" s="966">
        <v>94241</v>
      </c>
    </row>
    <row r="1627" spans="2:3" x14ac:dyDescent="0.25">
      <c r="B1627" s="983" t="s">
        <v>2418</v>
      </c>
      <c r="C1627" s="966">
        <v>96681</v>
      </c>
    </row>
    <row r="1628" spans="2:3" x14ac:dyDescent="0.25">
      <c r="B1628" s="983" t="s">
        <v>3904</v>
      </c>
      <c r="C1628" s="966">
        <v>72593</v>
      </c>
    </row>
    <row r="1629" spans="2:3" x14ac:dyDescent="0.25">
      <c r="B1629" s="983" t="s">
        <v>2419</v>
      </c>
      <c r="C1629" s="966">
        <v>95121</v>
      </c>
    </row>
    <row r="1630" spans="2:3" x14ac:dyDescent="0.25">
      <c r="B1630" s="983" t="s">
        <v>1617</v>
      </c>
      <c r="C1630" s="966">
        <v>95123</v>
      </c>
    </row>
    <row r="1631" spans="2:3" x14ac:dyDescent="0.25">
      <c r="B1631" s="983" t="s">
        <v>2420</v>
      </c>
      <c r="C1631" s="966">
        <v>99531</v>
      </c>
    </row>
    <row r="1632" spans="2:3" x14ac:dyDescent="0.25">
      <c r="B1632" s="983" t="s">
        <v>2421</v>
      </c>
      <c r="C1632" s="966">
        <v>96671</v>
      </c>
    </row>
    <row r="1633" spans="2:3" x14ac:dyDescent="0.25">
      <c r="B1633" s="983" t="s">
        <v>2422</v>
      </c>
      <c r="C1633" s="966">
        <v>91081</v>
      </c>
    </row>
    <row r="1634" spans="2:3" x14ac:dyDescent="0.25">
      <c r="B1634" s="983" t="s">
        <v>3905</v>
      </c>
      <c r="C1634" s="966">
        <v>91057</v>
      </c>
    </row>
    <row r="1635" spans="2:3" x14ac:dyDescent="0.25">
      <c r="B1635" s="983" t="s">
        <v>2423</v>
      </c>
      <c r="C1635" s="966">
        <v>96461</v>
      </c>
    </row>
    <row r="1636" spans="2:3" x14ac:dyDescent="0.25">
      <c r="B1636" s="983" t="s">
        <v>2424</v>
      </c>
      <c r="C1636" s="966">
        <v>92311</v>
      </c>
    </row>
    <row r="1637" spans="2:3" x14ac:dyDescent="0.25">
      <c r="B1637" s="983" t="s">
        <v>3906</v>
      </c>
      <c r="C1637" s="966">
        <v>92317</v>
      </c>
    </row>
    <row r="1638" spans="2:3" x14ac:dyDescent="0.25">
      <c r="B1638" s="983" t="s">
        <v>1789</v>
      </c>
      <c r="C1638" s="966">
        <v>97405</v>
      </c>
    </row>
    <row r="1639" spans="2:3" x14ac:dyDescent="0.25">
      <c r="B1639" s="983" t="s">
        <v>2425</v>
      </c>
      <c r="C1639" s="966">
        <v>91911</v>
      </c>
    </row>
    <row r="1640" spans="2:3" x14ac:dyDescent="0.25">
      <c r="B1640" s="983" t="s">
        <v>3907</v>
      </c>
      <c r="C1640" s="966">
        <v>91917</v>
      </c>
    </row>
    <row r="1641" spans="2:3" x14ac:dyDescent="0.25">
      <c r="B1641" s="983" t="s">
        <v>2426</v>
      </c>
      <c r="C1641" s="966">
        <v>97481</v>
      </c>
    </row>
    <row r="1642" spans="2:3" x14ac:dyDescent="0.25">
      <c r="B1642" s="983" t="s">
        <v>3908</v>
      </c>
      <c r="C1642" s="966">
        <v>91138</v>
      </c>
    </row>
    <row r="1643" spans="2:3" x14ac:dyDescent="0.25">
      <c r="B1643" s="983" t="s">
        <v>2427</v>
      </c>
      <c r="C1643" s="966">
        <v>95111</v>
      </c>
    </row>
    <row r="1644" spans="2:3" x14ac:dyDescent="0.25">
      <c r="B1644" s="983" t="s">
        <v>1614</v>
      </c>
      <c r="C1644" s="966">
        <v>95113</v>
      </c>
    </row>
    <row r="1645" spans="2:3" x14ac:dyDescent="0.25">
      <c r="B1645" s="983" t="s">
        <v>2428</v>
      </c>
      <c r="C1645" s="966">
        <v>94021</v>
      </c>
    </row>
    <row r="1646" spans="2:3" x14ac:dyDescent="0.25">
      <c r="B1646" s="983" t="s">
        <v>3909</v>
      </c>
      <c r="C1646" s="966">
        <v>90918</v>
      </c>
    </row>
    <row r="1647" spans="2:3" x14ac:dyDescent="0.25">
      <c r="B1647" s="983" t="s">
        <v>3910</v>
      </c>
      <c r="C1647" s="966">
        <v>93910</v>
      </c>
    </row>
    <row r="1648" spans="2:3" x14ac:dyDescent="0.25">
      <c r="B1648" s="983" t="s">
        <v>3543</v>
      </c>
      <c r="C1648" s="966">
        <v>91013</v>
      </c>
    </row>
    <row r="1649" spans="2:3" x14ac:dyDescent="0.25">
      <c r="B1649" s="983" t="s">
        <v>2429</v>
      </c>
      <c r="C1649" s="966">
        <v>96311</v>
      </c>
    </row>
    <row r="1650" spans="2:3" x14ac:dyDescent="0.25">
      <c r="B1650" s="983" t="s">
        <v>2430</v>
      </c>
      <c r="C1650" s="966">
        <v>92841</v>
      </c>
    </row>
    <row r="1651" spans="2:3" x14ac:dyDescent="0.25">
      <c r="B1651" s="983" t="s">
        <v>1997</v>
      </c>
      <c r="C1651" s="966">
        <v>99609</v>
      </c>
    </row>
    <row r="1652" spans="2:3" x14ac:dyDescent="0.25">
      <c r="B1652" s="983" t="s">
        <v>2431</v>
      </c>
      <c r="C1652" s="966">
        <v>91011</v>
      </c>
    </row>
    <row r="1653" spans="2:3" x14ac:dyDescent="0.25">
      <c r="B1653" s="983" t="s">
        <v>3911</v>
      </c>
      <c r="C1653" s="966">
        <v>91017</v>
      </c>
    </row>
    <row r="1654" spans="2:3" x14ac:dyDescent="0.25">
      <c r="B1654" s="983" t="s">
        <v>3912</v>
      </c>
      <c r="C1654" s="966">
        <v>95008</v>
      </c>
    </row>
    <row r="1655" spans="2:3" x14ac:dyDescent="0.25">
      <c r="B1655" s="983" t="s">
        <v>2432</v>
      </c>
      <c r="C1655" s="966">
        <v>72657</v>
      </c>
    </row>
    <row r="1656" spans="2:3" x14ac:dyDescent="0.25">
      <c r="B1656" s="983" t="s">
        <v>3913</v>
      </c>
      <c r="C1656" s="966">
        <v>90307</v>
      </c>
    </row>
    <row r="1657" spans="2:3" x14ac:dyDescent="0.25">
      <c r="B1657" s="983" t="s">
        <v>2433</v>
      </c>
      <c r="C1657" s="966">
        <v>98031</v>
      </c>
    </row>
    <row r="1658" spans="2:3" x14ac:dyDescent="0.25">
      <c r="B1658" s="983" t="s">
        <v>2434</v>
      </c>
      <c r="C1658" s="966">
        <v>98121</v>
      </c>
    </row>
    <row r="1659" spans="2:3" x14ac:dyDescent="0.25">
      <c r="B1659" s="983" t="s">
        <v>2435</v>
      </c>
      <c r="C1659" s="966">
        <v>96411</v>
      </c>
    </row>
    <row r="1660" spans="2:3" x14ac:dyDescent="0.25">
      <c r="B1660" s="983" t="s">
        <v>2436</v>
      </c>
      <c r="C1660" s="966">
        <v>92661</v>
      </c>
    </row>
    <row r="1661" spans="2:3" x14ac:dyDescent="0.25">
      <c r="B1661" s="983" t="s">
        <v>2437</v>
      </c>
      <c r="C1661" s="966">
        <v>96111</v>
      </c>
    </row>
    <row r="1662" spans="2:3" x14ac:dyDescent="0.25">
      <c r="B1662" s="983" t="s">
        <v>3914</v>
      </c>
      <c r="C1662" s="966">
        <v>91032</v>
      </c>
    </row>
    <row r="1663" spans="2:3" x14ac:dyDescent="0.25">
      <c r="B1663" s="983" t="s">
        <v>3915</v>
      </c>
      <c r="C1663" s="966">
        <v>97831</v>
      </c>
    </row>
    <row r="1664" spans="2:3" x14ac:dyDescent="0.25">
      <c r="B1664" s="983" t="s">
        <v>3916</v>
      </c>
      <c r="C1664" s="966">
        <v>97837</v>
      </c>
    </row>
    <row r="1665" spans="2:3" x14ac:dyDescent="0.25">
      <c r="B1665" s="983" t="s">
        <v>2438</v>
      </c>
      <c r="C1665" s="966">
        <v>96061</v>
      </c>
    </row>
    <row r="1666" spans="2:3" x14ac:dyDescent="0.25">
      <c r="B1666" s="983" t="s">
        <v>2439</v>
      </c>
      <c r="C1666" s="966">
        <v>98481</v>
      </c>
    </row>
    <row r="1667" spans="2:3" x14ac:dyDescent="0.25">
      <c r="B1667" s="983" t="s">
        <v>2440</v>
      </c>
      <c r="C1667" s="966">
        <v>93602</v>
      </c>
    </row>
    <row r="1668" spans="2:3" x14ac:dyDescent="0.25">
      <c r="B1668" s="983" t="s">
        <v>1901</v>
      </c>
      <c r="C1668" s="966">
        <v>98401</v>
      </c>
    </row>
    <row r="1669" spans="2:3" x14ac:dyDescent="0.25">
      <c r="B1669" s="983" t="s">
        <v>2441</v>
      </c>
      <c r="C1669" s="966">
        <v>99821</v>
      </c>
    </row>
    <row r="1670" spans="2:3" x14ac:dyDescent="0.25">
      <c r="B1670" s="983" t="s">
        <v>2442</v>
      </c>
      <c r="C1670" s="966">
        <v>96211</v>
      </c>
    </row>
    <row r="1671" spans="2:3" x14ac:dyDescent="0.25">
      <c r="B1671" s="983" t="s">
        <v>2443</v>
      </c>
      <c r="C1671" s="966">
        <v>94911</v>
      </c>
    </row>
    <row r="1672" spans="2:3" x14ac:dyDescent="0.25">
      <c r="B1672" s="983" t="s">
        <v>3917</v>
      </c>
      <c r="C1672" s="966">
        <v>94917</v>
      </c>
    </row>
    <row r="1673" spans="2:3" x14ac:dyDescent="0.25">
      <c r="B1673" s="983" t="s">
        <v>2444</v>
      </c>
      <c r="C1673" s="966">
        <v>92621</v>
      </c>
    </row>
    <row r="1674" spans="2:3" x14ac:dyDescent="0.25">
      <c r="B1674" s="983" t="s">
        <v>1910</v>
      </c>
      <c r="C1674" s="966">
        <v>98501</v>
      </c>
    </row>
    <row r="1675" spans="2:3" x14ac:dyDescent="0.25">
      <c r="B1675" s="983" t="s">
        <v>2445</v>
      </c>
      <c r="C1675" s="966">
        <v>97931</v>
      </c>
    </row>
    <row r="1676" spans="2:3" x14ac:dyDescent="0.25">
      <c r="B1676" s="983" t="s">
        <v>2446</v>
      </c>
      <c r="C1676" s="966">
        <v>93914</v>
      </c>
    </row>
    <row r="1677" spans="2:3" x14ac:dyDescent="0.25">
      <c r="B1677" s="983" t="s">
        <v>2447</v>
      </c>
      <c r="C1677" s="966">
        <v>90651</v>
      </c>
    </row>
    <row r="1678" spans="2:3" x14ac:dyDescent="0.25">
      <c r="B1678" s="983" t="s">
        <v>2448</v>
      </c>
      <c r="C1678" s="966">
        <v>94171</v>
      </c>
    </row>
    <row r="1679" spans="2:3" x14ac:dyDescent="0.25">
      <c r="B1679" s="983" t="s">
        <v>1539</v>
      </c>
      <c r="C1679" s="966">
        <v>94172</v>
      </c>
    </row>
    <row r="1680" spans="2:3" x14ac:dyDescent="0.25">
      <c r="B1680" s="983" t="s">
        <v>2449</v>
      </c>
      <c r="C1680" s="966">
        <v>91041</v>
      </c>
    </row>
    <row r="1681" spans="2:3" x14ac:dyDescent="0.25">
      <c r="B1681" s="983" t="s">
        <v>3918</v>
      </c>
      <c r="C1681" s="966">
        <v>91047</v>
      </c>
    </row>
    <row r="1682" spans="2:3" x14ac:dyDescent="0.25">
      <c r="B1682" s="983" t="s">
        <v>1777</v>
      </c>
      <c r="C1682" s="966">
        <v>97131</v>
      </c>
    </row>
    <row r="1683" spans="2:3" x14ac:dyDescent="0.25">
      <c r="B1683" s="983" t="s">
        <v>1914</v>
      </c>
      <c r="C1683" s="966">
        <v>98601</v>
      </c>
    </row>
    <row r="1684" spans="2:3" x14ac:dyDescent="0.25">
      <c r="B1684" s="983" t="s">
        <v>1924</v>
      </c>
      <c r="C1684" s="966">
        <v>98701</v>
      </c>
    </row>
    <row r="1685" spans="2:3" x14ac:dyDescent="0.25">
      <c r="B1685" s="983" t="s">
        <v>2450</v>
      </c>
      <c r="C1685" s="966">
        <v>96721</v>
      </c>
    </row>
    <row r="1686" spans="2:3" x14ac:dyDescent="0.25">
      <c r="B1686" s="983" t="s">
        <v>2451</v>
      </c>
      <c r="C1686" s="966">
        <v>95011</v>
      </c>
    </row>
    <row r="1687" spans="2:3" x14ac:dyDescent="0.25">
      <c r="B1687" s="983" t="s">
        <v>2452</v>
      </c>
      <c r="C1687" s="966">
        <v>92451</v>
      </c>
    </row>
    <row r="1688" spans="2:3" x14ac:dyDescent="0.25">
      <c r="B1688" s="983" t="s">
        <v>2453</v>
      </c>
      <c r="C1688" s="966">
        <v>93311</v>
      </c>
    </row>
    <row r="1689" spans="2:3" x14ac:dyDescent="0.25">
      <c r="B1689" s="983" t="s">
        <v>1457</v>
      </c>
      <c r="C1689" s="966">
        <v>93317</v>
      </c>
    </row>
    <row r="1690" spans="2:3" x14ac:dyDescent="0.25">
      <c r="B1690" s="983" t="s">
        <v>2454</v>
      </c>
      <c r="C1690" s="966">
        <v>90211</v>
      </c>
    </row>
    <row r="1691" spans="2:3" x14ac:dyDescent="0.25">
      <c r="B1691" s="983" t="s">
        <v>2455</v>
      </c>
      <c r="C1691" s="966">
        <v>96302</v>
      </c>
    </row>
    <row r="1692" spans="2:3" x14ac:dyDescent="0.25">
      <c r="B1692" s="983" t="s">
        <v>2456</v>
      </c>
      <c r="C1692" s="966">
        <v>93181</v>
      </c>
    </row>
    <row r="1693" spans="2:3" x14ac:dyDescent="0.25">
      <c r="B1693" s="983" t="s">
        <v>2457</v>
      </c>
      <c r="C1693" s="966">
        <v>92911</v>
      </c>
    </row>
    <row r="1694" spans="2:3" x14ac:dyDescent="0.25">
      <c r="B1694" s="983" t="s">
        <v>3919</v>
      </c>
      <c r="C1694" s="966">
        <v>92914</v>
      </c>
    </row>
    <row r="1695" spans="2:3" x14ac:dyDescent="0.25">
      <c r="B1695" s="983" t="s">
        <v>1422</v>
      </c>
      <c r="C1695" s="966">
        <v>92913</v>
      </c>
    </row>
    <row r="1696" spans="2:3" x14ac:dyDescent="0.25">
      <c r="B1696" s="983" t="s">
        <v>2458</v>
      </c>
      <c r="C1696" s="966">
        <v>93471</v>
      </c>
    </row>
    <row r="1697" spans="2:3" x14ac:dyDescent="0.25">
      <c r="B1697" s="983" t="s">
        <v>3920</v>
      </c>
      <c r="C1697" s="966">
        <v>90098</v>
      </c>
    </row>
    <row r="1698" spans="2:3" x14ac:dyDescent="0.25">
      <c r="B1698" s="983" t="s">
        <v>2459</v>
      </c>
      <c r="C1698" s="966">
        <v>97121</v>
      </c>
    </row>
    <row r="1699" spans="2:3" x14ac:dyDescent="0.25">
      <c r="B1699" s="983" t="s">
        <v>1927</v>
      </c>
      <c r="C1699" s="966">
        <v>98801</v>
      </c>
    </row>
    <row r="1700" spans="2:3" x14ac:dyDescent="0.25">
      <c r="B1700" s="983" t="s">
        <v>2460</v>
      </c>
      <c r="C1700" s="966">
        <v>92521</v>
      </c>
    </row>
    <row r="1701" spans="2:3" x14ac:dyDescent="0.25">
      <c r="B1701" s="983" t="s">
        <v>3544</v>
      </c>
      <c r="C1701" s="966">
        <v>93417</v>
      </c>
    </row>
    <row r="1702" spans="2:3" x14ac:dyDescent="0.25">
      <c r="B1702" s="983" t="s">
        <v>1452</v>
      </c>
      <c r="C1702" s="966">
        <v>93219</v>
      </c>
    </row>
    <row r="1703" spans="2:3" x14ac:dyDescent="0.25">
      <c r="B1703" s="983" t="s">
        <v>3545</v>
      </c>
      <c r="C1703" s="966">
        <v>92513</v>
      </c>
    </row>
    <row r="1704" spans="2:3" x14ac:dyDescent="0.25">
      <c r="B1704" s="983" t="s">
        <v>2461</v>
      </c>
      <c r="C1704" s="966">
        <v>97661</v>
      </c>
    </row>
    <row r="1705" spans="2:3" x14ac:dyDescent="0.25">
      <c r="B1705" s="983" t="s">
        <v>2462</v>
      </c>
      <c r="C1705" s="966">
        <v>94931</v>
      </c>
    </row>
    <row r="1706" spans="2:3" x14ac:dyDescent="0.25">
      <c r="B1706" s="983" t="s">
        <v>2463</v>
      </c>
      <c r="C1706" s="966">
        <v>96221</v>
      </c>
    </row>
    <row r="1707" spans="2:3" x14ac:dyDescent="0.25">
      <c r="B1707" s="983" t="s">
        <v>2464</v>
      </c>
      <c r="C1707" s="966">
        <v>97511</v>
      </c>
    </row>
    <row r="1708" spans="2:3" x14ac:dyDescent="0.25">
      <c r="B1708" s="983" t="s">
        <v>3921</v>
      </c>
      <c r="C1708" s="966">
        <v>95002</v>
      </c>
    </row>
    <row r="1709" spans="2:3" x14ac:dyDescent="0.25">
      <c r="B1709" s="983" t="s">
        <v>2465</v>
      </c>
      <c r="C1709" s="966">
        <v>98251</v>
      </c>
    </row>
    <row r="1710" spans="2:3" x14ac:dyDescent="0.25">
      <c r="B1710" s="983" t="s">
        <v>3922</v>
      </c>
      <c r="C1710" s="966">
        <v>98904</v>
      </c>
    </row>
    <row r="1711" spans="2:3" x14ac:dyDescent="0.25">
      <c r="B1711" s="983" t="s">
        <v>1930</v>
      </c>
      <c r="C1711" s="966">
        <v>98901</v>
      </c>
    </row>
    <row r="1712" spans="2:3" x14ac:dyDescent="0.25">
      <c r="B1712" s="983" t="s">
        <v>1933</v>
      </c>
      <c r="C1712" s="966">
        <v>99001</v>
      </c>
    </row>
    <row r="1713" spans="2:3" x14ac:dyDescent="0.25">
      <c r="B1713" s="983" t="s">
        <v>2466</v>
      </c>
      <c r="C1713" s="966">
        <v>99061</v>
      </c>
    </row>
    <row r="1714" spans="2:3" x14ac:dyDescent="0.25">
      <c r="B1714" s="983" t="s">
        <v>3923</v>
      </c>
      <c r="C1714" s="966">
        <v>93309</v>
      </c>
    </row>
    <row r="1715" spans="2:3" x14ac:dyDescent="0.25">
      <c r="B1715" s="983" t="s">
        <v>2467</v>
      </c>
      <c r="C1715" s="966">
        <v>91211</v>
      </c>
    </row>
    <row r="1716" spans="2:3" x14ac:dyDescent="0.25">
      <c r="B1716" s="983" t="s">
        <v>1282</v>
      </c>
      <c r="C1716" s="966">
        <v>91213</v>
      </c>
    </row>
    <row r="1717" spans="2:3" x14ac:dyDescent="0.25">
      <c r="B1717" s="983" t="s">
        <v>1947</v>
      </c>
      <c r="C1717" s="966">
        <v>99101</v>
      </c>
    </row>
    <row r="1718" spans="2:3" x14ac:dyDescent="0.25">
      <c r="B1718" s="983" t="s">
        <v>3924</v>
      </c>
      <c r="C1718" s="966">
        <v>99104</v>
      </c>
    </row>
    <row r="1719" spans="2:3" x14ac:dyDescent="0.25">
      <c r="B1719" s="983" t="s">
        <v>2468</v>
      </c>
      <c r="C1719" s="966">
        <v>92551</v>
      </c>
    </row>
    <row r="1720" spans="2:3" x14ac:dyDescent="0.25">
      <c r="B1720" s="983" t="s">
        <v>2469</v>
      </c>
      <c r="C1720" s="966">
        <v>96321</v>
      </c>
    </row>
    <row r="1721" spans="2:3" x14ac:dyDescent="0.25">
      <c r="B1721" s="983" t="s">
        <v>3925</v>
      </c>
      <c r="C1721" s="966">
        <v>95009</v>
      </c>
    </row>
    <row r="1722" spans="2:3" x14ac:dyDescent="0.25">
      <c r="B1722" s="983" t="s">
        <v>2470</v>
      </c>
      <c r="C1722" s="966">
        <v>92641</v>
      </c>
    </row>
    <row r="1723" spans="2:3" x14ac:dyDescent="0.25">
      <c r="B1723" s="983" t="s">
        <v>2471</v>
      </c>
      <c r="C1723" s="966">
        <v>90411</v>
      </c>
    </row>
    <row r="1724" spans="2:3" x14ac:dyDescent="0.25">
      <c r="B1724" s="983" t="s">
        <v>3926</v>
      </c>
      <c r="C1724" s="966">
        <v>90417</v>
      </c>
    </row>
    <row r="1725" spans="2:3" x14ac:dyDescent="0.25">
      <c r="B1725" s="983" t="s">
        <v>1188</v>
      </c>
      <c r="C1725" s="966">
        <v>90413</v>
      </c>
    </row>
    <row r="1726" spans="2:3" x14ac:dyDescent="0.25">
      <c r="B1726" s="983" t="s">
        <v>2472</v>
      </c>
      <c r="C1726" s="966">
        <v>98321</v>
      </c>
    </row>
    <row r="1727" spans="2:3" x14ac:dyDescent="0.25">
      <c r="B1727" s="983" t="s">
        <v>1952</v>
      </c>
      <c r="C1727" s="966">
        <v>99201</v>
      </c>
    </row>
    <row r="1728" spans="2:3" x14ac:dyDescent="0.25">
      <c r="B1728" s="983" t="s">
        <v>3927</v>
      </c>
      <c r="C1728" s="966">
        <v>99204</v>
      </c>
    </row>
    <row r="1729" spans="2:3" x14ac:dyDescent="0.25">
      <c r="B1729" s="983" t="s">
        <v>1957</v>
      </c>
      <c r="C1729" s="966">
        <v>99207</v>
      </c>
    </row>
    <row r="1730" spans="2:3" x14ac:dyDescent="0.25">
      <c r="B1730" s="983" t="s">
        <v>2473</v>
      </c>
      <c r="C1730" s="966">
        <v>99281</v>
      </c>
    </row>
    <row r="1731" spans="2:3" x14ac:dyDescent="0.25">
      <c r="B1731" s="983" t="s">
        <v>2474</v>
      </c>
      <c r="C1731" s="966">
        <v>93461</v>
      </c>
    </row>
    <row r="1732" spans="2:3" x14ac:dyDescent="0.25">
      <c r="B1732" s="983" t="s">
        <v>2475</v>
      </c>
      <c r="C1732" s="966">
        <v>93151</v>
      </c>
    </row>
    <row r="1733" spans="2:3" x14ac:dyDescent="0.25">
      <c r="B1733" s="983" t="s">
        <v>3928</v>
      </c>
      <c r="C1733" s="966">
        <v>93157</v>
      </c>
    </row>
    <row r="1734" spans="2:3" x14ac:dyDescent="0.25">
      <c r="B1734" s="983" t="s">
        <v>2476</v>
      </c>
      <c r="C1734" s="966">
        <v>98511</v>
      </c>
    </row>
    <row r="1735" spans="2:3" x14ac:dyDescent="0.25">
      <c r="B1735" s="983" t="s">
        <v>3929</v>
      </c>
      <c r="C1735" s="966">
        <v>98517</v>
      </c>
    </row>
    <row r="1736" spans="2:3" x14ac:dyDescent="0.25">
      <c r="B1736" s="983" t="s">
        <v>2477</v>
      </c>
      <c r="C1736" s="966">
        <v>99661</v>
      </c>
    </row>
    <row r="1737" spans="2:3" x14ac:dyDescent="0.25">
      <c r="B1737" s="983" t="s">
        <v>2478</v>
      </c>
      <c r="C1737" s="966">
        <v>94031</v>
      </c>
    </row>
    <row r="1738" spans="2:3" x14ac:dyDescent="0.25">
      <c r="B1738" s="983" t="s">
        <v>1974</v>
      </c>
      <c r="C1738" s="966">
        <v>99301</v>
      </c>
    </row>
    <row r="1739" spans="2:3" x14ac:dyDescent="0.25">
      <c r="B1739" s="983" t="s">
        <v>3930</v>
      </c>
      <c r="C1739" s="966">
        <v>99304</v>
      </c>
    </row>
    <row r="1740" spans="2:3" x14ac:dyDescent="0.25">
      <c r="B1740" s="983" t="s">
        <v>2479</v>
      </c>
      <c r="C1740" s="966">
        <v>99321</v>
      </c>
    </row>
    <row r="1741" spans="2:3" x14ac:dyDescent="0.25">
      <c r="B1741" s="983" t="s">
        <v>2480</v>
      </c>
      <c r="C1741" s="966">
        <v>93131</v>
      </c>
    </row>
    <row r="1742" spans="2:3" x14ac:dyDescent="0.25">
      <c r="B1742" s="983" t="s">
        <v>3931</v>
      </c>
      <c r="C1742" s="966">
        <v>93137</v>
      </c>
    </row>
    <row r="1743" spans="2:3" x14ac:dyDescent="0.25">
      <c r="B1743" s="983" t="s">
        <v>2481</v>
      </c>
      <c r="C1743" s="966">
        <v>90711</v>
      </c>
    </row>
    <row r="1744" spans="2:3" x14ac:dyDescent="0.25">
      <c r="B1744" s="983" t="s">
        <v>1978</v>
      </c>
      <c r="C1744" s="966">
        <v>99401</v>
      </c>
    </row>
    <row r="1745" spans="2:3" x14ac:dyDescent="0.25">
      <c r="B1745" s="983" t="s">
        <v>3932</v>
      </c>
      <c r="C1745" s="966">
        <v>99404</v>
      </c>
    </row>
    <row r="1746" spans="2:3" x14ac:dyDescent="0.25">
      <c r="B1746" s="983" t="s">
        <v>2482</v>
      </c>
      <c r="C1746" s="966">
        <v>90741</v>
      </c>
    </row>
    <row r="1747" spans="2:3" x14ac:dyDescent="0.25">
      <c r="B1747" s="983" t="s">
        <v>1985</v>
      </c>
      <c r="C1747" s="966">
        <v>99501</v>
      </c>
    </row>
    <row r="1748" spans="2:3" x14ac:dyDescent="0.25">
      <c r="B1748" s="983" t="s">
        <v>3933</v>
      </c>
      <c r="C1748" s="966">
        <v>99509</v>
      </c>
    </row>
    <row r="1749" spans="2:3" x14ac:dyDescent="0.25">
      <c r="B1749" s="983" t="s">
        <v>3934</v>
      </c>
      <c r="C1749" s="973">
        <v>91302</v>
      </c>
    </row>
    <row r="1750" spans="2:3" x14ac:dyDescent="0.25">
      <c r="B1750" s="983" t="s">
        <v>2483</v>
      </c>
      <c r="C1750" s="966">
        <v>99041</v>
      </c>
    </row>
    <row r="1751" spans="2:3" x14ac:dyDescent="0.25">
      <c r="B1751" s="983" t="s">
        <v>3935</v>
      </c>
      <c r="C1751" s="966">
        <v>99047</v>
      </c>
    </row>
    <row r="1752" spans="2:3" x14ac:dyDescent="0.25">
      <c r="B1752" s="983" t="s">
        <v>1993</v>
      </c>
      <c r="C1752" s="966">
        <v>99601</v>
      </c>
    </row>
    <row r="1753" spans="2:3" x14ac:dyDescent="0.25">
      <c r="B1753" s="983" t="s">
        <v>3936</v>
      </c>
      <c r="C1753" s="966">
        <v>99604</v>
      </c>
    </row>
    <row r="1754" spans="2:3" x14ac:dyDescent="0.25">
      <c r="B1754" s="983" t="s">
        <v>2484</v>
      </c>
      <c r="C1754" s="966">
        <v>94411</v>
      </c>
    </row>
    <row r="1755" spans="2:3" x14ac:dyDescent="0.25">
      <c r="B1755" s="983" t="s">
        <v>3937</v>
      </c>
      <c r="C1755" s="966">
        <v>94412</v>
      </c>
    </row>
    <row r="1756" spans="2:3" x14ac:dyDescent="0.25">
      <c r="B1756" s="983" t="s">
        <v>2485</v>
      </c>
      <c r="C1756" s="966">
        <v>91141</v>
      </c>
    </row>
    <row r="1757" spans="2:3" x14ac:dyDescent="0.25">
      <c r="B1757" s="983" t="s">
        <v>3938</v>
      </c>
      <c r="C1757" s="966">
        <v>91147</v>
      </c>
    </row>
    <row r="1758" spans="2:3" x14ac:dyDescent="0.25">
      <c r="B1758" s="983" t="s">
        <v>2486</v>
      </c>
      <c r="C1758" s="966">
        <v>99071</v>
      </c>
    </row>
    <row r="1759" spans="2:3" x14ac:dyDescent="0.25">
      <c r="B1759" s="983" t="s">
        <v>2487</v>
      </c>
      <c r="C1759" s="966">
        <v>94231</v>
      </c>
    </row>
    <row r="1760" spans="2:3" x14ac:dyDescent="0.25">
      <c r="B1760" s="983" t="s">
        <v>2488</v>
      </c>
      <c r="C1760" s="966">
        <v>99231</v>
      </c>
    </row>
    <row r="1761" spans="2:3" x14ac:dyDescent="0.25">
      <c r="B1761" s="983" t="s">
        <v>2489</v>
      </c>
      <c r="C1761" s="966">
        <v>99091</v>
      </c>
    </row>
    <row r="1762" spans="2:3" x14ac:dyDescent="0.25">
      <c r="B1762" s="983" t="s">
        <v>3939</v>
      </c>
      <c r="C1762" s="966">
        <v>91120</v>
      </c>
    </row>
    <row r="1763" spans="2:3" x14ac:dyDescent="0.25">
      <c r="B1763" s="983" t="s">
        <v>3547</v>
      </c>
      <c r="C1763" s="966">
        <v>92444</v>
      </c>
    </row>
    <row r="1764" spans="2:3" x14ac:dyDescent="0.25">
      <c r="B1764" s="983" t="s">
        <v>2490</v>
      </c>
      <c r="C1764" s="966">
        <v>90521</v>
      </c>
    </row>
    <row r="1765" spans="2:3" x14ac:dyDescent="0.25">
      <c r="B1765" s="983" t="s">
        <v>3940</v>
      </c>
      <c r="C1765" s="966">
        <v>90507</v>
      </c>
    </row>
    <row r="1766" spans="2:3" x14ac:dyDescent="0.25">
      <c r="B1766" s="983" t="s">
        <v>3941</v>
      </c>
      <c r="C1766" s="966">
        <v>92602</v>
      </c>
    </row>
    <row r="1767" spans="2:3" x14ac:dyDescent="0.25">
      <c r="B1767" s="983" t="s">
        <v>3942</v>
      </c>
      <c r="C1767" s="966">
        <v>91608</v>
      </c>
    </row>
    <row r="1768" spans="2:3" x14ac:dyDescent="0.25">
      <c r="B1768" s="983" t="s">
        <v>2491</v>
      </c>
      <c r="C1768" s="966">
        <v>91119</v>
      </c>
    </row>
    <row r="1769" spans="2:3" x14ac:dyDescent="0.25">
      <c r="B1769" s="983" t="s">
        <v>3943</v>
      </c>
      <c r="C1769" s="966">
        <v>91107</v>
      </c>
    </row>
    <row r="1770" spans="2:3" x14ac:dyDescent="0.25">
      <c r="B1770" s="983" t="s">
        <v>3944</v>
      </c>
      <c r="C1770" s="966">
        <v>91818</v>
      </c>
    </row>
    <row r="1771" spans="2:3" x14ac:dyDescent="0.25">
      <c r="B1771" s="983" t="s">
        <v>1335</v>
      </c>
      <c r="C1771" s="966">
        <v>91819</v>
      </c>
    </row>
    <row r="1772" spans="2:3" x14ac:dyDescent="0.25">
      <c r="B1772" s="983" t="s">
        <v>2492</v>
      </c>
      <c r="C1772" s="966">
        <v>96371</v>
      </c>
    </row>
    <row r="1773" spans="2:3" x14ac:dyDescent="0.25">
      <c r="B1773" s="983" t="s">
        <v>2493</v>
      </c>
      <c r="C1773" s="966">
        <v>96441</v>
      </c>
    </row>
    <row r="1774" spans="2:3" x14ac:dyDescent="0.25">
      <c r="B1774" s="983" t="s">
        <v>2494</v>
      </c>
      <c r="C1774" s="966">
        <v>90921</v>
      </c>
    </row>
    <row r="1775" spans="2:3" x14ac:dyDescent="0.25">
      <c r="B1775" s="983" t="s">
        <v>2495</v>
      </c>
      <c r="C1775" s="966">
        <v>92411</v>
      </c>
    </row>
    <row r="1776" spans="2:3" x14ac:dyDescent="0.25">
      <c r="B1776" s="983" t="s">
        <v>3945</v>
      </c>
      <c r="C1776" s="966">
        <v>92417</v>
      </c>
    </row>
    <row r="1777" spans="2:3" x14ac:dyDescent="0.25">
      <c r="B1777" s="983" t="s">
        <v>1371</v>
      </c>
      <c r="C1777" s="966">
        <v>92403</v>
      </c>
    </row>
    <row r="1778" spans="2:3" x14ac:dyDescent="0.25">
      <c r="B1778" s="983" t="s">
        <v>2005</v>
      </c>
      <c r="C1778" s="966">
        <v>99701</v>
      </c>
    </row>
    <row r="1779" spans="2:3" x14ac:dyDescent="0.25">
      <c r="B1779" s="983" t="s">
        <v>2496</v>
      </c>
      <c r="C1779" s="966">
        <v>99721</v>
      </c>
    </row>
    <row r="1780" spans="2:3" x14ac:dyDescent="0.25">
      <c r="B1780" s="983" t="s">
        <v>3946</v>
      </c>
      <c r="C1780" s="966">
        <v>99727</v>
      </c>
    </row>
    <row r="1781" spans="2:3" x14ac:dyDescent="0.25">
      <c r="B1781" s="983" t="s">
        <v>2497</v>
      </c>
      <c r="C1781" s="966">
        <v>95811</v>
      </c>
    </row>
    <row r="1782" spans="2:3" x14ac:dyDescent="0.25">
      <c r="B1782" s="983" t="s">
        <v>1660</v>
      </c>
      <c r="C1782" s="966">
        <v>95813</v>
      </c>
    </row>
    <row r="1783" spans="2:3" x14ac:dyDescent="0.25">
      <c r="B1783" s="983" t="s">
        <v>2498</v>
      </c>
      <c r="C1783" s="966">
        <v>96531</v>
      </c>
    </row>
    <row r="1784" spans="2:3" x14ac:dyDescent="0.25">
      <c r="B1784" s="983" t="s">
        <v>1722</v>
      </c>
      <c r="C1784" s="966">
        <v>96503</v>
      </c>
    </row>
    <row r="1785" spans="2:3" x14ac:dyDescent="0.25">
      <c r="B1785" s="983" t="s">
        <v>2499</v>
      </c>
      <c r="C1785" s="966">
        <v>99811</v>
      </c>
    </row>
    <row r="1786" spans="2:3" x14ac:dyDescent="0.25">
      <c r="B1786" s="983" t="s">
        <v>3947</v>
      </c>
      <c r="C1786" s="966">
        <v>99818</v>
      </c>
    </row>
    <row r="1787" spans="2:3" x14ac:dyDescent="0.25">
      <c r="B1787" s="983" t="s">
        <v>2011</v>
      </c>
      <c r="C1787" s="966">
        <v>99801</v>
      </c>
    </row>
    <row r="1788" spans="2:3" x14ac:dyDescent="0.25">
      <c r="B1788" s="983" t="s">
        <v>3948</v>
      </c>
      <c r="C1788" s="966">
        <v>99804</v>
      </c>
    </row>
    <row r="1789" spans="2:3" x14ac:dyDescent="0.25">
      <c r="B1789" s="983" t="s">
        <v>3949</v>
      </c>
      <c r="C1789" s="966">
        <v>99802</v>
      </c>
    </row>
    <row r="1790" spans="2:3" x14ac:dyDescent="0.25">
      <c r="B1790" s="983" t="s">
        <v>3950</v>
      </c>
      <c r="C1790" s="966">
        <v>99812</v>
      </c>
    </row>
    <row r="1791" spans="2:3" x14ac:dyDescent="0.25">
      <c r="B1791" s="983" t="s">
        <v>3951</v>
      </c>
      <c r="C1791" s="966">
        <v>95191</v>
      </c>
    </row>
    <row r="1792" spans="2:3" x14ac:dyDescent="0.25">
      <c r="B1792" s="983" t="s">
        <v>2500</v>
      </c>
      <c r="C1792" s="966">
        <v>90812</v>
      </c>
    </row>
    <row r="1793" spans="2:3" x14ac:dyDescent="0.25">
      <c r="B1793" s="983" t="s">
        <v>2501</v>
      </c>
      <c r="C1793" s="966">
        <v>97221</v>
      </c>
    </row>
    <row r="1794" spans="2:3" x14ac:dyDescent="0.25">
      <c r="B1794" s="983" t="s">
        <v>2502</v>
      </c>
      <c r="C1794" s="966">
        <v>99031</v>
      </c>
    </row>
    <row r="1795" spans="2:3" x14ac:dyDescent="0.25">
      <c r="B1795" s="983" t="s">
        <v>2503</v>
      </c>
      <c r="C1795" s="966">
        <v>93411</v>
      </c>
    </row>
    <row r="1796" spans="2:3" x14ac:dyDescent="0.25">
      <c r="B1796" s="983" t="s">
        <v>1468</v>
      </c>
      <c r="C1796" s="966">
        <v>93413</v>
      </c>
    </row>
    <row r="1797" spans="2:3" x14ac:dyDescent="0.25">
      <c r="B1797" s="983" t="s">
        <v>2504</v>
      </c>
      <c r="C1797" s="966">
        <v>97451</v>
      </c>
    </row>
    <row r="1798" spans="2:3" x14ac:dyDescent="0.25">
      <c r="B1798" s="983" t="s">
        <v>2505</v>
      </c>
      <c r="C1798" s="966">
        <v>94631</v>
      </c>
    </row>
    <row r="1799" spans="2:3" x14ac:dyDescent="0.25">
      <c r="B1799" s="983" t="s">
        <v>2506</v>
      </c>
      <c r="C1799" s="966">
        <v>91171</v>
      </c>
    </row>
    <row r="1800" spans="2:3" x14ac:dyDescent="0.25">
      <c r="B1800" s="983" t="s">
        <v>1260</v>
      </c>
      <c r="C1800" s="966">
        <v>91104</v>
      </c>
    </row>
    <row r="1801" spans="2:3" x14ac:dyDescent="0.25">
      <c r="B1801" s="983" t="s">
        <v>3952</v>
      </c>
      <c r="C1801" s="966">
        <v>91109</v>
      </c>
    </row>
    <row r="1802" spans="2:3" x14ac:dyDescent="0.25">
      <c r="B1802" s="983" t="s">
        <v>2507</v>
      </c>
      <c r="C1802" s="966">
        <v>96621</v>
      </c>
    </row>
    <row r="1803" spans="2:3" x14ac:dyDescent="0.25">
      <c r="B1803" s="983" t="s">
        <v>2508</v>
      </c>
      <c r="C1803" s="966">
        <v>96511</v>
      </c>
    </row>
    <row r="1804" spans="2:3" x14ac:dyDescent="0.25">
      <c r="B1804" s="983" t="s">
        <v>2021</v>
      </c>
      <c r="C1804" s="966">
        <v>99901</v>
      </c>
    </row>
    <row r="1805" spans="2:3" x14ac:dyDescent="0.25">
      <c r="B1805" s="983" t="s">
        <v>3548</v>
      </c>
      <c r="C1805" s="966">
        <v>98604</v>
      </c>
    </row>
    <row r="1806" spans="2:3" x14ac:dyDescent="0.25">
      <c r="B1806" s="983" t="s">
        <v>1916</v>
      </c>
      <c r="C1806" s="966">
        <v>98608</v>
      </c>
    </row>
    <row r="1807" spans="2:3" x14ac:dyDescent="0.25">
      <c r="B1807" s="983" t="s">
        <v>2509</v>
      </c>
      <c r="C1807" s="966">
        <v>99911</v>
      </c>
    </row>
    <row r="1808" spans="2:3" x14ac:dyDescent="0.25">
      <c r="B1808" s="983" t="s">
        <v>1164</v>
      </c>
      <c r="C1808" s="966">
        <v>90001</v>
      </c>
    </row>
    <row r="1809" spans="2:3" x14ac:dyDescent="0.25">
      <c r="B1809" s="983" t="s">
        <v>3953</v>
      </c>
      <c r="C1809" s="966">
        <v>90002</v>
      </c>
    </row>
    <row r="1810" spans="2:3" x14ac:dyDescent="0.25">
      <c r="B1810" s="983" t="s">
        <v>2510</v>
      </c>
      <c r="C1810" s="966">
        <v>91719</v>
      </c>
    </row>
    <row r="1811" spans="2:3" x14ac:dyDescent="0.25">
      <c r="B1811" s="983" t="s">
        <v>2511</v>
      </c>
      <c r="C1811" s="966">
        <v>93541</v>
      </c>
    </row>
    <row r="1812" spans="2:3" x14ac:dyDescent="0.25">
      <c r="B1812" s="983" t="s">
        <v>2512</v>
      </c>
      <c r="C1812" s="966">
        <v>99241</v>
      </c>
    </row>
    <row r="1813" spans="2:3" x14ac:dyDescent="0.25">
      <c r="B1813" s="795" t="s">
        <v>2623</v>
      </c>
      <c r="C1813" s="822" t="s">
        <v>2624</v>
      </c>
    </row>
  </sheetData>
  <sheetProtection algorithmName="SHA-512" hashValue="/ck1kxc/9YBcySa4UEh8d/Okqvuh3x2nGriAiNI4GfeyxGpFDCsDzCugAEBqvjRr7DN9Il9KTYi+RcNVmBF5jg==" saltValue="n8Dy1IKMB2MQrhLAvN5cDg==" spinCount="100000" sheet="1" objects="1" scenarios="1"/>
  <customSheetViews>
    <customSheetView guid="{C1197650-3ED8-49E4-8E4C-0D1D4B503FC0}" state="hidden">
      <selection activeCell="B5" sqref="B5"/>
      <pageMargins left="0.7" right="0.7" top="0.75" bottom="0.75" header="0.3" footer="0.3"/>
    </customSheetView>
    <customSheetView guid="{D2B860EA-92EC-4999-9A59-C624E1F8C7FB}" state="hidden">
      <selection activeCell="B5" sqref="B5"/>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U451"/>
  <sheetViews>
    <sheetView workbookViewId="0">
      <pane xSplit="18990" ySplit="2190" topLeftCell="AQ357"/>
      <selection pane="topRight" activeCell="D1" sqref="D1"/>
      <selection pane="bottomLeft" activeCell="C362" sqref="C362"/>
      <selection pane="bottomRight" activeCell="AU374" sqref="AU374"/>
    </sheetView>
  </sheetViews>
  <sheetFormatPr defaultRowHeight="12.75" x14ac:dyDescent="0.2"/>
  <cols>
    <col min="1" max="1" width="2.7109375" customWidth="1"/>
    <col min="2" max="2" width="2.28515625" customWidth="1"/>
    <col min="3" max="3" width="44.5703125" customWidth="1"/>
    <col min="4" max="6" width="13.42578125" style="620" customWidth="1"/>
    <col min="7" max="7" width="12.28515625" style="620" customWidth="1"/>
    <col min="8" max="8" width="7.7109375" style="576" customWidth="1"/>
    <col min="9" max="9" width="9.42578125" style="576" customWidth="1"/>
    <col min="10" max="10" width="7.28515625" style="576" customWidth="1"/>
    <col min="11" max="11" width="9.42578125" style="576" customWidth="1"/>
    <col min="12" max="12" width="9" style="576" customWidth="1"/>
    <col min="13" max="13" width="9.5703125" style="576" customWidth="1"/>
    <col min="14" max="14" width="10.5703125" style="576" customWidth="1"/>
    <col min="15" max="15" width="12" style="576" customWidth="1"/>
    <col min="16" max="16" width="8.5703125" style="568" customWidth="1"/>
    <col min="17" max="23" width="9" style="568" customWidth="1"/>
    <col min="24" max="25" width="10.28515625" style="568" customWidth="1"/>
    <col min="26" max="27" width="11.28515625" style="568" customWidth="1"/>
    <col min="28" max="28" width="10.28515625" style="568" customWidth="1"/>
    <col min="29" max="29" width="12" style="568" customWidth="1"/>
    <col min="30" max="30" width="10.28515625" style="576" customWidth="1"/>
    <col min="31" max="31" width="9.7109375" style="576" customWidth="1"/>
    <col min="32" max="32" width="9" style="576" customWidth="1"/>
    <col min="33" max="33" width="9.42578125" style="576" customWidth="1"/>
    <col min="34" max="35" width="12.28515625" style="576" customWidth="1"/>
    <col min="36" max="37" width="13.42578125" style="576" customWidth="1"/>
    <col min="38" max="38" width="16" style="576" customWidth="1"/>
    <col min="39" max="39" width="18.140625" style="576" customWidth="1"/>
    <col min="40" max="40" width="20" style="576" customWidth="1"/>
    <col min="41" max="41" width="12.7109375" style="576" customWidth="1"/>
    <col min="42" max="42" width="4.7109375" style="567" customWidth="1"/>
    <col min="43" max="43" width="13.140625" style="568" customWidth="1"/>
    <col min="44" max="44" width="0.85546875" style="576" customWidth="1"/>
    <col min="45" max="45" width="4.7109375" style="567" customWidth="1"/>
    <col min="46" max="46" width="13.140625" style="568" customWidth="1"/>
    <col min="47" max="47" width="5.140625" style="567" customWidth="1"/>
    <col min="48" max="48" width="12.5703125" style="576" customWidth="1"/>
    <col min="49" max="49" width="0.85546875" style="576" customWidth="1"/>
    <col min="50" max="50" width="5.140625" style="567" customWidth="1"/>
    <col min="51" max="51" width="12.5703125" style="576" customWidth="1"/>
    <col min="52" max="53" width="11.28515625" style="576" customWidth="1"/>
    <col min="54" max="54" width="14.28515625" style="580" customWidth="1"/>
    <col min="55" max="55" width="14.140625" style="580" customWidth="1"/>
    <col min="56" max="56" width="12.85546875" style="576" customWidth="1"/>
    <col min="57" max="57" width="13" style="576" bestFit="1" customWidth="1"/>
    <col min="58" max="59" width="13.7109375" style="568" bestFit="1" customWidth="1"/>
    <col min="60" max="60" width="14.5703125" style="1189" customWidth="1"/>
    <col min="61" max="61" width="14" style="1193" customWidth="1"/>
    <col min="62" max="62" width="14.85546875" style="1206" customWidth="1"/>
  </cols>
  <sheetData>
    <row r="1" spans="1:62" x14ac:dyDescent="0.2">
      <c r="A1" s="28"/>
      <c r="B1" s="17"/>
      <c r="C1" s="26"/>
      <c r="D1" s="1398" t="s">
        <v>199</v>
      </c>
      <c r="E1" s="1355"/>
      <c r="F1" s="1355"/>
      <c r="G1" s="1355"/>
      <c r="H1" s="1356"/>
      <c r="I1" s="1356"/>
      <c r="J1" s="1356"/>
      <c r="K1" s="1399"/>
      <c r="L1" s="1355" t="s">
        <v>199</v>
      </c>
      <c r="M1" s="1355"/>
      <c r="N1" s="1356"/>
      <c r="O1" s="1356"/>
      <c r="P1" s="1356"/>
      <c r="Q1" s="442"/>
      <c r="R1" s="1238"/>
      <c r="S1" s="1238"/>
      <c r="T1" s="1238"/>
      <c r="U1" s="1238"/>
      <c r="V1" s="1238"/>
      <c r="W1" s="1238"/>
      <c r="X1" s="442"/>
      <c r="Y1" s="442"/>
      <c r="Z1" s="442"/>
      <c r="AA1" s="442"/>
      <c r="AB1" s="442"/>
      <c r="AC1" s="442"/>
      <c r="AD1" s="443"/>
      <c r="AE1" s="443"/>
      <c r="AF1" s="443"/>
      <c r="AG1" s="443"/>
      <c r="AH1" s="1361" t="s">
        <v>248</v>
      </c>
      <c r="AI1" s="1362"/>
      <c r="AJ1" s="1357" t="s">
        <v>249</v>
      </c>
      <c r="AK1" s="1358"/>
      <c r="AL1" s="1343" t="s">
        <v>4029</v>
      </c>
      <c r="AM1" s="1344"/>
      <c r="AN1" s="450" t="s">
        <v>200</v>
      </c>
      <c r="AO1" s="451"/>
      <c r="AP1" s="1381" t="s">
        <v>893</v>
      </c>
      <c r="AQ1" s="1382"/>
      <c r="AR1" s="1382"/>
      <c r="AS1" s="1382"/>
      <c r="AT1" s="1382"/>
      <c r="AU1" s="1369" t="s">
        <v>894</v>
      </c>
      <c r="AV1" s="1370"/>
      <c r="AW1" s="1370"/>
      <c r="AX1" s="1370"/>
      <c r="AY1" s="1371"/>
      <c r="AZ1" s="452" t="s">
        <v>79</v>
      </c>
      <c r="BA1" s="452"/>
      <c r="BB1" s="1394" t="s">
        <v>494</v>
      </c>
      <c r="BC1" s="1395"/>
      <c r="BD1" s="453"/>
      <c r="BE1" s="1393" t="s">
        <v>684</v>
      </c>
      <c r="BF1" s="1370"/>
      <c r="BG1" s="454"/>
    </row>
    <row r="2" spans="1:62" ht="23.25" customHeight="1" thickBot="1" x14ac:dyDescent="0.25">
      <c r="A2" s="25"/>
      <c r="B2" s="14"/>
      <c r="C2" s="254" t="s">
        <v>78</v>
      </c>
      <c r="D2" s="455"/>
      <c r="E2" s="456"/>
      <c r="F2" s="456"/>
      <c r="G2" s="456"/>
      <c r="H2" s="457"/>
      <c r="I2" s="457"/>
      <c r="J2" s="457"/>
      <c r="K2" s="458"/>
      <c r="L2" s="459"/>
      <c r="M2" s="459"/>
      <c r="N2" s="459"/>
      <c r="O2" s="459"/>
      <c r="P2" s="460"/>
      <c r="Q2" s="460"/>
      <c r="R2" s="460"/>
      <c r="S2" s="460"/>
      <c r="T2" s="460"/>
      <c r="U2" s="460"/>
      <c r="V2" s="460"/>
      <c r="W2" s="460"/>
      <c r="X2" s="460"/>
      <c r="Y2" s="460"/>
      <c r="Z2" s="460"/>
      <c r="AA2" s="460"/>
      <c r="AB2" s="460"/>
      <c r="AC2" s="460"/>
      <c r="AD2" s="459"/>
      <c r="AE2" s="459"/>
      <c r="AF2" s="459"/>
      <c r="AG2" s="459"/>
      <c r="AH2" s="1363" t="s">
        <v>250</v>
      </c>
      <c r="AI2" s="1364"/>
      <c r="AJ2" s="1359"/>
      <c r="AK2" s="1360"/>
      <c r="AL2" s="1345"/>
      <c r="AM2" s="1346"/>
      <c r="AN2" s="1396" t="s">
        <v>89</v>
      </c>
      <c r="AO2" s="1397"/>
      <c r="AP2" s="1373" t="s">
        <v>3977</v>
      </c>
      <c r="AQ2" s="1383"/>
      <c r="AR2" s="1383"/>
      <c r="AS2" s="1383"/>
      <c r="AT2" s="1383"/>
      <c r="AU2" s="1372" t="s">
        <v>692</v>
      </c>
      <c r="AV2" s="1373"/>
      <c r="AW2" s="1373"/>
      <c r="AX2" s="1373"/>
      <c r="AY2" s="1374"/>
      <c r="AZ2" s="461" t="s">
        <v>80</v>
      </c>
      <c r="BA2" s="461"/>
      <c r="BB2" s="462"/>
      <c r="BC2" s="463"/>
      <c r="BD2" s="464"/>
      <c r="BE2" s="464"/>
      <c r="BF2" s="465"/>
      <c r="BG2" s="466"/>
    </row>
    <row r="3" spans="1:62" ht="17.25" customHeight="1" x14ac:dyDescent="0.2">
      <c r="A3" s="25"/>
      <c r="C3" s="254" t="s">
        <v>539</v>
      </c>
      <c r="D3" s="1404" t="s">
        <v>124</v>
      </c>
      <c r="E3" s="1405"/>
      <c r="F3" s="1405"/>
      <c r="G3" s="1405"/>
      <c r="H3" s="1348"/>
      <c r="I3" s="1348"/>
      <c r="J3" s="1348"/>
      <c r="K3" s="1406"/>
      <c r="L3" s="1347" t="s">
        <v>125</v>
      </c>
      <c r="M3" s="1348"/>
      <c r="N3" s="1348"/>
      <c r="O3" s="1348"/>
      <c r="P3" s="1348"/>
      <c r="Q3" s="1348"/>
      <c r="R3" s="1348"/>
      <c r="S3" s="1348"/>
      <c r="T3" s="1348"/>
      <c r="U3" s="1348"/>
      <c r="V3" s="1348"/>
      <c r="W3" s="1348"/>
      <c r="X3" s="1348"/>
      <c r="Y3" s="1348"/>
      <c r="Z3" s="440"/>
      <c r="AA3" s="440"/>
      <c r="AB3" s="440"/>
      <c r="AC3" s="440"/>
      <c r="AD3" s="441"/>
      <c r="AE3" s="441"/>
      <c r="AF3" s="441"/>
      <c r="AG3" s="441"/>
      <c r="AH3" s="444"/>
      <c r="AI3" s="445"/>
      <c r="AJ3" s="1349" t="s">
        <v>126</v>
      </c>
      <c r="AK3" s="1384"/>
      <c r="AL3" s="1376" t="s">
        <v>2622</v>
      </c>
      <c r="AM3" s="1377"/>
      <c r="AN3" s="1349" t="s">
        <v>289</v>
      </c>
      <c r="AO3" s="1350"/>
      <c r="AP3" s="467"/>
      <c r="AQ3" s="468"/>
      <c r="AR3" s="469"/>
      <c r="AS3" s="470"/>
      <c r="AT3" s="471"/>
      <c r="AU3" s="1351" t="s">
        <v>946</v>
      </c>
      <c r="AV3" s="1385"/>
      <c r="AW3" s="1385"/>
      <c r="AX3" s="1385"/>
      <c r="AY3" s="1352"/>
      <c r="AZ3" s="472" t="s">
        <v>1038</v>
      </c>
      <c r="BA3" s="473"/>
      <c r="BB3" s="474"/>
      <c r="BC3" s="474"/>
      <c r="BD3" s="1349" t="s">
        <v>906</v>
      </c>
      <c r="BE3" s="1350"/>
      <c r="BF3" s="1349" t="s">
        <v>906</v>
      </c>
      <c r="BG3" s="1350"/>
    </row>
    <row r="4" spans="1:62" ht="30" customHeight="1" x14ac:dyDescent="0.2">
      <c r="A4" s="25"/>
      <c r="C4" s="255"/>
      <c r="D4" s="1386" t="s">
        <v>911</v>
      </c>
      <c r="E4" s="1365"/>
      <c r="F4" s="1353" t="s">
        <v>4122</v>
      </c>
      <c r="G4" s="1387"/>
      <c r="H4" s="1353" t="s">
        <v>579</v>
      </c>
      <c r="I4" s="1387"/>
      <c r="J4" s="1353" t="s">
        <v>171</v>
      </c>
      <c r="K4" s="1388"/>
      <c r="L4" s="1392" t="s">
        <v>580</v>
      </c>
      <c r="M4" s="1392"/>
      <c r="N4" s="1353" t="s">
        <v>913</v>
      </c>
      <c r="O4" s="1365"/>
      <c r="P4" s="1353" t="s">
        <v>581</v>
      </c>
      <c r="Q4" s="1365"/>
      <c r="R4" s="1366" t="s">
        <v>4097</v>
      </c>
      <c r="S4" s="1367"/>
      <c r="T4" s="1366" t="s">
        <v>4098</v>
      </c>
      <c r="U4" s="1368"/>
      <c r="V4" s="1366" t="s">
        <v>4099</v>
      </c>
      <c r="W4" s="1367"/>
      <c r="X4" s="1353" t="s">
        <v>251</v>
      </c>
      <c r="Y4" s="1354"/>
      <c r="Z4" s="1353" t="s">
        <v>582</v>
      </c>
      <c r="AA4" s="1365"/>
      <c r="AB4" s="1353" t="s">
        <v>4123</v>
      </c>
      <c r="AC4" s="1365"/>
      <c r="AD4" s="1353" t="s">
        <v>583</v>
      </c>
      <c r="AE4" s="1365"/>
      <c r="AF4" s="1353" t="s">
        <v>1046</v>
      </c>
      <c r="AG4" s="1365"/>
      <c r="AH4" s="1351" t="s">
        <v>914</v>
      </c>
      <c r="AI4" s="1380"/>
      <c r="AJ4" s="1351" t="s">
        <v>915</v>
      </c>
      <c r="AK4" s="1375"/>
      <c r="AL4" s="1378" t="s">
        <v>4028</v>
      </c>
      <c r="AM4" s="1379"/>
      <c r="AN4" s="1351" t="s">
        <v>290</v>
      </c>
      <c r="AO4" s="1352"/>
      <c r="AP4" s="1351" t="s">
        <v>904</v>
      </c>
      <c r="AQ4" s="1385"/>
      <c r="AR4" s="1385"/>
      <c r="AS4" s="1385"/>
      <c r="AT4" s="1352"/>
      <c r="AU4" s="1351" t="s">
        <v>947</v>
      </c>
      <c r="AV4" s="1385"/>
      <c r="AW4" s="1385"/>
      <c r="AX4" s="1385"/>
      <c r="AY4" s="1352"/>
      <c r="AZ4" s="472" t="s">
        <v>81</v>
      </c>
      <c r="BA4" s="475"/>
      <c r="BB4" s="1385" t="s">
        <v>517</v>
      </c>
      <c r="BC4" s="1385"/>
      <c r="BD4" s="1351" t="s">
        <v>907</v>
      </c>
      <c r="BE4" s="1352"/>
      <c r="BF4" s="1351" t="s">
        <v>1095</v>
      </c>
      <c r="BG4" s="1352"/>
    </row>
    <row r="5" spans="1:62" ht="13.5" thickBot="1" x14ac:dyDescent="0.25">
      <c r="A5" s="272"/>
      <c r="B5" s="8"/>
      <c r="C5" s="256" t="s">
        <v>47</v>
      </c>
      <c r="D5" s="476" t="s">
        <v>132</v>
      </c>
      <c r="E5" s="477" t="s">
        <v>133</v>
      </c>
      <c r="F5" s="478" t="s">
        <v>132</v>
      </c>
      <c r="G5" s="479" t="s">
        <v>133</v>
      </c>
      <c r="H5" s="478" t="s">
        <v>132</v>
      </c>
      <c r="I5" s="479" t="s">
        <v>133</v>
      </c>
      <c r="J5" s="478" t="s">
        <v>912</v>
      </c>
      <c r="K5" s="480" t="s">
        <v>133</v>
      </c>
      <c r="L5" s="481" t="s">
        <v>132</v>
      </c>
      <c r="M5" s="481" t="s">
        <v>133</v>
      </c>
      <c r="N5" s="482" t="s">
        <v>132</v>
      </c>
      <c r="O5" s="481" t="s">
        <v>133</v>
      </c>
      <c r="P5" s="483" t="s">
        <v>132</v>
      </c>
      <c r="Q5" s="484" t="s">
        <v>133</v>
      </c>
      <c r="R5" s="482" t="s">
        <v>132</v>
      </c>
      <c r="S5" s="481" t="s">
        <v>133</v>
      </c>
      <c r="T5" s="482" t="s">
        <v>132</v>
      </c>
      <c r="U5" s="481" t="s">
        <v>133</v>
      </c>
      <c r="V5" s="482" t="s">
        <v>132</v>
      </c>
      <c r="W5" s="481" t="s">
        <v>133</v>
      </c>
      <c r="X5" s="483" t="s">
        <v>132</v>
      </c>
      <c r="Y5" s="484" t="s">
        <v>133</v>
      </c>
      <c r="Z5" s="483" t="s">
        <v>132</v>
      </c>
      <c r="AA5" s="484" t="s">
        <v>133</v>
      </c>
      <c r="AB5" s="483" t="s">
        <v>132</v>
      </c>
      <c r="AC5" s="484" t="s">
        <v>133</v>
      </c>
      <c r="AD5" s="482" t="s">
        <v>132</v>
      </c>
      <c r="AE5" s="481" t="s">
        <v>133</v>
      </c>
      <c r="AF5" s="482" t="s">
        <v>132</v>
      </c>
      <c r="AG5" s="481" t="s">
        <v>133</v>
      </c>
      <c r="AH5" s="485" t="s">
        <v>132</v>
      </c>
      <c r="AI5" s="486" t="s">
        <v>133</v>
      </c>
      <c r="AJ5" s="487" t="s">
        <v>132</v>
      </c>
      <c r="AK5" s="488" t="s">
        <v>133</v>
      </c>
      <c r="AL5" s="489" t="s">
        <v>132</v>
      </c>
      <c r="AM5" s="490" t="s">
        <v>133</v>
      </c>
      <c r="AN5" s="487" t="s">
        <v>132</v>
      </c>
      <c r="AO5" s="488" t="s">
        <v>133</v>
      </c>
      <c r="AP5" s="491" t="s">
        <v>136</v>
      </c>
      <c r="AQ5" s="492" t="s">
        <v>132</v>
      </c>
      <c r="AR5" s="493"/>
      <c r="AS5" s="494" t="s">
        <v>136</v>
      </c>
      <c r="AT5" s="495" t="s">
        <v>133</v>
      </c>
      <c r="AU5" s="491" t="s">
        <v>136</v>
      </c>
      <c r="AV5" s="493" t="s">
        <v>132</v>
      </c>
      <c r="AW5" s="493"/>
      <c r="AX5" s="494" t="s">
        <v>136</v>
      </c>
      <c r="AY5" s="488" t="s">
        <v>133</v>
      </c>
      <c r="AZ5" s="496" t="s">
        <v>132</v>
      </c>
      <c r="BA5" s="497" t="s">
        <v>133</v>
      </c>
      <c r="BB5" s="492" t="s">
        <v>132</v>
      </c>
      <c r="BC5" s="492" t="s">
        <v>133</v>
      </c>
      <c r="BD5" s="487" t="s">
        <v>132</v>
      </c>
      <c r="BE5" s="488" t="s">
        <v>133</v>
      </c>
      <c r="BF5" s="498" t="s">
        <v>132</v>
      </c>
      <c r="BG5" s="495" t="s">
        <v>133</v>
      </c>
    </row>
    <row r="6" spans="1:62" ht="18" customHeight="1" x14ac:dyDescent="0.2">
      <c r="A6" s="266" t="s">
        <v>48</v>
      </c>
      <c r="B6" s="23"/>
      <c r="C6" s="24"/>
      <c r="D6" s="499"/>
      <c r="E6" s="500"/>
      <c r="F6" s="501"/>
      <c r="G6" s="501"/>
      <c r="H6" s="501"/>
      <c r="I6" s="501"/>
      <c r="J6" s="501"/>
      <c r="K6" s="502"/>
      <c r="L6" s="503"/>
      <c r="M6" s="503"/>
      <c r="N6" s="503"/>
      <c r="O6" s="503"/>
      <c r="P6" s="504"/>
      <c r="Q6" s="504"/>
      <c r="R6" s="504"/>
      <c r="S6" s="504"/>
      <c r="T6" s="504"/>
      <c r="U6" s="504"/>
      <c r="V6" s="504"/>
      <c r="W6" s="504"/>
      <c r="X6" s="504"/>
      <c r="Y6" s="504"/>
      <c r="Z6" s="504"/>
      <c r="AA6" s="504"/>
      <c r="AB6" s="504"/>
      <c r="AC6" s="504"/>
      <c r="AD6" s="503"/>
      <c r="AE6" s="503"/>
      <c r="AF6" s="503"/>
      <c r="AG6" s="503"/>
      <c r="AH6" s="505"/>
      <c r="AI6" s="503"/>
      <c r="AJ6" s="506"/>
      <c r="AK6" s="502"/>
      <c r="AL6" s="501"/>
      <c r="AM6" s="501"/>
      <c r="AN6" s="507"/>
      <c r="AO6" s="502"/>
      <c r="AP6" s="508"/>
      <c r="AQ6" s="509"/>
      <c r="AR6" s="501"/>
      <c r="AS6" s="508"/>
      <c r="AT6" s="509"/>
      <c r="AU6" s="510"/>
      <c r="AV6" s="509"/>
      <c r="AW6" s="501"/>
      <c r="AX6" s="508"/>
      <c r="AY6" s="502"/>
      <c r="AZ6" s="511"/>
      <c r="BA6" s="512"/>
      <c r="BB6" s="465"/>
      <c r="BC6" s="465"/>
      <c r="BD6" s="507"/>
      <c r="BE6" s="502"/>
      <c r="BF6" s="509"/>
      <c r="BG6" s="513"/>
    </row>
    <row r="7" spans="1:62" ht="12.75" customHeight="1" x14ac:dyDescent="0.2">
      <c r="A7" s="270"/>
      <c r="B7" s="44" t="s">
        <v>643</v>
      </c>
      <c r="C7" s="99"/>
      <c r="D7" s="514"/>
      <c r="E7" s="515"/>
      <c r="F7" s="516"/>
      <c r="G7" s="516"/>
      <c r="H7" s="516"/>
      <c r="I7" s="516"/>
      <c r="J7" s="516"/>
      <c r="K7" s="517"/>
      <c r="L7" s="516"/>
      <c r="M7" s="516"/>
      <c r="N7" s="516"/>
      <c r="O7" s="516"/>
      <c r="P7" s="518"/>
      <c r="Q7" s="518"/>
      <c r="R7" s="518"/>
      <c r="S7" s="518"/>
      <c r="T7" s="518"/>
      <c r="U7" s="518"/>
      <c r="V7" s="518"/>
      <c r="W7" s="518"/>
      <c r="X7" s="518"/>
      <c r="Y7" s="518"/>
      <c r="Z7" s="518"/>
      <c r="AA7" s="518"/>
      <c r="AB7" s="518"/>
      <c r="AC7" s="518"/>
      <c r="AD7" s="516"/>
      <c r="AE7" s="516"/>
      <c r="AF7" s="516"/>
      <c r="AG7" s="516"/>
      <c r="AH7" s="505"/>
      <c r="AI7" s="503"/>
      <c r="AJ7" s="506"/>
      <c r="AK7" s="519"/>
      <c r="AL7" s="516"/>
      <c r="AM7" s="516"/>
      <c r="AN7" s="506"/>
      <c r="AO7" s="519"/>
      <c r="AP7" s="520"/>
      <c r="AQ7" s="504"/>
      <c r="AR7" s="503"/>
      <c r="AS7" s="520"/>
      <c r="AT7" s="504"/>
      <c r="AU7" s="521"/>
      <c r="AV7" s="504"/>
      <c r="AW7" s="503"/>
      <c r="AX7" s="520"/>
      <c r="AY7" s="522"/>
      <c r="AZ7" s="523"/>
      <c r="BA7" s="524"/>
      <c r="BB7" s="465"/>
      <c r="BC7" s="465"/>
      <c r="BD7" s="506"/>
      <c r="BE7" s="519"/>
      <c r="BF7" s="504"/>
      <c r="BG7" s="522"/>
    </row>
    <row r="8" spans="1:62" x14ac:dyDescent="0.2">
      <c r="A8" s="25"/>
      <c r="B8" t="s">
        <v>49</v>
      </c>
      <c r="C8" t="s">
        <v>1003</v>
      </c>
      <c r="D8" s="525">
        <f>10636622-294-21705+440000+1500000</f>
        <v>12554623</v>
      </c>
      <c r="E8" s="526"/>
      <c r="F8" s="516"/>
      <c r="G8" s="516"/>
      <c r="H8" s="516"/>
      <c r="I8" s="516"/>
      <c r="J8" s="516"/>
      <c r="K8" s="517"/>
      <c r="L8" s="516"/>
      <c r="M8" s="516"/>
      <c r="N8" s="516">
        <v>2450</v>
      </c>
      <c r="O8" s="516"/>
      <c r="P8" s="527">
        <v>1783</v>
      </c>
      <c r="Q8" s="527"/>
      <c r="R8" s="527">
        <v>53478</v>
      </c>
      <c r="S8" s="527"/>
      <c r="T8" s="527">
        <v>2724</v>
      </c>
      <c r="U8" s="527"/>
      <c r="V8" s="527">
        <v>72179</v>
      </c>
      <c r="W8" s="527"/>
      <c r="X8" s="527">
        <v>524</v>
      </c>
      <c r="Y8" s="527"/>
      <c r="Z8" s="527">
        <v>46000</v>
      </c>
      <c r="AA8" s="527"/>
      <c r="AB8" s="527"/>
      <c r="AC8" s="527"/>
      <c r="AD8" s="528"/>
      <c r="AE8" s="528"/>
      <c r="AF8" s="528"/>
      <c r="AG8" s="528"/>
      <c r="AH8" s="529">
        <f>L8+N8+P8+R8+T8+V8+X8+Z8+AB8+AD8+AF8</f>
        <v>179138</v>
      </c>
      <c r="AI8" s="503">
        <f>M8+O8+Q8+S8+U8+W8+Y8+AA8+AC8+AE8+AG8</f>
        <v>0</v>
      </c>
      <c r="AJ8" s="506">
        <f t="shared" ref="AJ8:AJ33" si="0">D8+F8+H8+J8+AH8</f>
        <v>12733761</v>
      </c>
      <c r="AK8" s="519">
        <f t="shared" ref="AK8:AK33" si="1">E8+G8+I8+K8+AI8</f>
        <v>0</v>
      </c>
      <c r="AL8" s="516"/>
      <c r="AM8" s="516"/>
      <c r="AN8" s="506"/>
      <c r="AO8" s="519"/>
      <c r="AP8" s="520"/>
      <c r="AQ8" s="504"/>
      <c r="AR8" s="503"/>
      <c r="AS8" s="520"/>
      <c r="AT8" s="522"/>
      <c r="AU8" s="530" t="s">
        <v>637</v>
      </c>
      <c r="AV8" s="504">
        <f>'K.1  Int. Service Fd Allocation'!E164+'K.2  Int. Service Fd Alloca'!E159+'K.3 Int. Service Fd Alloca'!E159</f>
        <v>0</v>
      </c>
      <c r="AW8" s="503"/>
      <c r="AX8" s="520"/>
      <c r="AY8" s="522"/>
      <c r="AZ8" s="523"/>
      <c r="BA8" s="524"/>
      <c r="BB8" s="465">
        <f t="shared" ref="BB8:BB16" si="2">ROUND(AJ8+AL8+AN8+AQ8+AV8+AZ8,0)</f>
        <v>12733761</v>
      </c>
      <c r="BC8" s="465">
        <f t="shared" ref="BC8:BC16" si="3">ROUND(AK8+AM8+AO8+AT8+AY8+BA8,0)</f>
        <v>0</v>
      </c>
      <c r="BD8" s="506"/>
      <c r="BE8" s="519"/>
      <c r="BF8" s="504">
        <f>IF(BB8-BC8&lt;=0," ",BB8-BC8)</f>
        <v>12733761</v>
      </c>
      <c r="BG8" s="522" t="str">
        <f>IF(BB8-BC8&gt;0," ",BC8-BB8)</f>
        <v xml:space="preserve"> </v>
      </c>
      <c r="BH8" s="1192"/>
    </row>
    <row r="9" spans="1:62" s="13" customFormat="1" x14ac:dyDescent="0.2">
      <c r="A9" s="33"/>
      <c r="C9" s="13" t="s">
        <v>50</v>
      </c>
      <c r="D9" s="531">
        <v>751887</v>
      </c>
      <c r="E9" s="532"/>
      <c r="F9" s="528">
        <f>1660000+2100000-1500000</f>
        <v>2260000</v>
      </c>
      <c r="G9" s="528"/>
      <c r="H9" s="528"/>
      <c r="I9" s="528"/>
      <c r="J9" s="528"/>
      <c r="K9" s="533"/>
      <c r="L9" s="528"/>
      <c r="M9" s="528"/>
      <c r="N9" s="528"/>
      <c r="O9" s="528"/>
      <c r="P9" s="527"/>
      <c r="Q9" s="527"/>
      <c r="R9" s="527"/>
      <c r="S9" s="527"/>
      <c r="T9" s="527"/>
      <c r="U9" s="527"/>
      <c r="V9" s="527"/>
      <c r="W9" s="527"/>
      <c r="X9" s="527">
        <v>1720</v>
      </c>
      <c r="Y9" s="527"/>
      <c r="Z9" s="527">
        <v>558550</v>
      </c>
      <c r="AA9" s="527"/>
      <c r="AB9" s="527">
        <v>330000</v>
      </c>
      <c r="AC9" s="527"/>
      <c r="AD9" s="528"/>
      <c r="AE9" s="528"/>
      <c r="AF9" s="528"/>
      <c r="AG9" s="528"/>
      <c r="AH9" s="529">
        <f t="shared" ref="AH9:AH13" si="4">L9+N9+P9+R9+T9+V9+X9+Z9+AB9+AD9+AF9</f>
        <v>890270</v>
      </c>
      <c r="AI9" s="503">
        <f t="shared" ref="AI9:AI13" si="5">M9+O9+Q9+S9+U9+W9+Y9+AA9+AC9+AE9+AG9</f>
        <v>0</v>
      </c>
      <c r="AJ9" s="506">
        <f t="shared" si="0"/>
        <v>3902157</v>
      </c>
      <c r="AK9" s="519">
        <f t="shared" si="1"/>
        <v>0</v>
      </c>
      <c r="AL9" s="528"/>
      <c r="AM9" s="528"/>
      <c r="AN9" s="534"/>
      <c r="AO9" s="535"/>
      <c r="AP9" s="536"/>
      <c r="AQ9" s="432"/>
      <c r="AR9" s="537"/>
      <c r="AS9" s="536"/>
      <c r="AT9" s="538"/>
      <c r="AU9" s="536"/>
      <c r="AV9" s="432"/>
      <c r="AW9" s="537"/>
      <c r="AX9" s="536"/>
      <c r="AY9" s="538"/>
      <c r="AZ9" s="523"/>
      <c r="BA9" s="524"/>
      <c r="BB9" s="465">
        <f t="shared" si="2"/>
        <v>3902157</v>
      </c>
      <c r="BC9" s="465">
        <f t="shared" si="3"/>
        <v>0</v>
      </c>
      <c r="BD9" s="534"/>
      <c r="BE9" s="535"/>
      <c r="BF9" s="504">
        <f>IF(BB9-BC9&lt;=0," ",BB9-BC9)</f>
        <v>3902157</v>
      </c>
      <c r="BG9" s="522" t="str">
        <f>IF(BB9-BC9&gt;0," ",BC9-BB9)</f>
        <v xml:space="preserve"> </v>
      </c>
      <c r="BH9" s="1190"/>
      <c r="BI9" s="1193"/>
      <c r="BJ9" s="1206"/>
    </row>
    <row r="10" spans="1:62" s="13" customFormat="1" x14ac:dyDescent="0.2">
      <c r="A10" s="33"/>
      <c r="C10" s="13" t="s">
        <v>239</v>
      </c>
      <c r="D10" s="531"/>
      <c r="E10" s="532"/>
      <c r="F10" s="528"/>
      <c r="G10" s="528"/>
      <c r="H10" s="528"/>
      <c r="I10" s="528"/>
      <c r="J10" s="528"/>
      <c r="K10" s="533"/>
      <c r="L10" s="528"/>
      <c r="M10" s="528"/>
      <c r="N10" s="528"/>
      <c r="O10" s="528"/>
      <c r="P10" s="527"/>
      <c r="Q10" s="527"/>
      <c r="R10" s="527"/>
      <c r="S10" s="527"/>
      <c r="T10" s="527"/>
      <c r="U10" s="527"/>
      <c r="V10" s="527"/>
      <c r="W10" s="527"/>
      <c r="X10" s="527"/>
      <c r="Y10" s="527"/>
      <c r="Z10" s="527"/>
      <c r="AA10" s="527"/>
      <c r="AB10" s="527"/>
      <c r="AC10" s="527"/>
      <c r="AD10" s="528"/>
      <c r="AE10" s="528"/>
      <c r="AF10" s="528"/>
      <c r="AG10" s="528"/>
      <c r="AH10" s="529">
        <f t="shared" si="4"/>
        <v>0</v>
      </c>
      <c r="AI10" s="503">
        <f t="shared" si="5"/>
        <v>0</v>
      </c>
      <c r="AJ10" s="506">
        <f t="shared" si="0"/>
        <v>0</v>
      </c>
      <c r="AK10" s="519">
        <f t="shared" si="1"/>
        <v>0</v>
      </c>
      <c r="AL10" s="528"/>
      <c r="AM10" s="528"/>
      <c r="AN10" s="534"/>
      <c r="AO10" s="535"/>
      <c r="AP10" s="536"/>
      <c r="AQ10" s="432"/>
      <c r="AR10" s="537"/>
      <c r="AS10" s="536"/>
      <c r="AT10" s="538"/>
      <c r="AU10" s="530" t="s">
        <v>637</v>
      </c>
      <c r="AV10" s="504">
        <f>'K.1  Int. Service Fd Allocation'!E165+'K.2  Int. Service Fd Alloca'!E160+'K.3 Int. Service Fd Alloca'!E160</f>
        <v>0</v>
      </c>
      <c r="AW10" s="537"/>
      <c r="AX10" s="536"/>
      <c r="AY10" s="538"/>
      <c r="AZ10" s="523"/>
      <c r="BA10" s="524"/>
      <c r="BB10" s="465">
        <f t="shared" si="2"/>
        <v>0</v>
      </c>
      <c r="BC10" s="465">
        <f t="shared" si="3"/>
        <v>0</v>
      </c>
      <c r="BD10" s="534"/>
      <c r="BE10" s="535"/>
      <c r="BF10" s="504" t="str">
        <f>IF(BB10-BC10&lt;=0," ",BB10-BC10)</f>
        <v xml:space="preserve"> </v>
      </c>
      <c r="BG10" s="522">
        <f>IF(BB10-BC10&gt;0," ",BC10-BB10)</f>
        <v>0</v>
      </c>
      <c r="BH10" s="1192"/>
      <c r="BI10" s="1193"/>
      <c r="BJ10" s="1206"/>
    </row>
    <row r="11" spans="1:62" x14ac:dyDescent="0.2">
      <c r="A11" s="25"/>
      <c r="C11" t="s">
        <v>51</v>
      </c>
      <c r="D11" s="525">
        <f>3981701</f>
        <v>3981701</v>
      </c>
      <c r="E11" s="526"/>
      <c r="F11" s="516"/>
      <c r="G11" s="516"/>
      <c r="H11" s="516"/>
      <c r="I11" s="516"/>
      <c r="J11" s="516"/>
      <c r="K11" s="517"/>
      <c r="L11" s="516"/>
      <c r="M11" s="516"/>
      <c r="N11" s="516">
        <v>4478</v>
      </c>
      <c r="O11" s="516"/>
      <c r="P11" s="518">
        <v>1345</v>
      </c>
      <c r="Q11" s="518"/>
      <c r="R11" s="518"/>
      <c r="S11" s="518"/>
      <c r="T11" s="518"/>
      <c r="U11" s="518"/>
      <c r="V11" s="518"/>
      <c r="W11" s="518"/>
      <c r="X11" s="518"/>
      <c r="Y11" s="518"/>
      <c r="Z11" s="518"/>
      <c r="AA11" s="518"/>
      <c r="AB11" s="518"/>
      <c r="AC11" s="518"/>
      <c r="AD11" s="516"/>
      <c r="AE11" s="516"/>
      <c r="AF11" s="516"/>
      <c r="AG11" s="516"/>
      <c r="AH11" s="529">
        <f t="shared" si="4"/>
        <v>5823</v>
      </c>
      <c r="AI11" s="503">
        <f t="shared" si="5"/>
        <v>0</v>
      </c>
      <c r="AJ11" s="506">
        <f t="shared" si="0"/>
        <v>3987524</v>
      </c>
      <c r="AK11" s="519">
        <f t="shared" si="1"/>
        <v>0</v>
      </c>
      <c r="AL11" s="516"/>
      <c r="AM11" s="516"/>
      <c r="AN11" s="506"/>
      <c r="AO11" s="519"/>
      <c r="AP11" s="520"/>
      <c r="AQ11" s="504"/>
      <c r="AR11" s="503"/>
      <c r="AS11" s="520"/>
      <c r="AT11" s="504"/>
      <c r="AU11" s="521"/>
      <c r="AV11" s="504"/>
      <c r="AW11" s="503"/>
      <c r="AX11" s="520"/>
      <c r="AY11" s="522"/>
      <c r="AZ11" s="523"/>
      <c r="BA11" s="524"/>
      <c r="BB11" s="465">
        <f t="shared" si="2"/>
        <v>3987524</v>
      </c>
      <c r="BC11" s="465">
        <f t="shared" si="3"/>
        <v>0</v>
      </c>
      <c r="BD11" s="506"/>
      <c r="BE11" s="519"/>
      <c r="BF11" s="504">
        <f>IF(BB11-BC11&lt;=0," ",BB11-BC11)</f>
        <v>3987524</v>
      </c>
      <c r="BG11" s="522" t="str">
        <f>IF(BB11-BC11&gt;0," ",BC11-BB11)</f>
        <v xml:space="preserve"> </v>
      </c>
      <c r="BH11" s="1190"/>
    </row>
    <row r="12" spans="1:62" s="1263" customFormat="1" x14ac:dyDescent="0.2">
      <c r="A12" s="25"/>
      <c r="D12" s="525"/>
      <c r="E12" s="526"/>
      <c r="F12" s="516"/>
      <c r="G12" s="516"/>
      <c r="H12" s="516"/>
      <c r="I12" s="516"/>
      <c r="J12" s="516"/>
      <c r="K12" s="517"/>
      <c r="L12" s="516"/>
      <c r="M12" s="516"/>
      <c r="N12" s="516"/>
      <c r="O12" s="516"/>
      <c r="P12" s="518"/>
      <c r="Q12" s="518"/>
      <c r="R12" s="518"/>
      <c r="S12" s="518"/>
      <c r="T12" s="518"/>
      <c r="U12" s="518"/>
      <c r="V12" s="518"/>
      <c r="W12" s="518"/>
      <c r="X12" s="518"/>
      <c r="Y12" s="518"/>
      <c r="Z12" s="518"/>
      <c r="AA12" s="518"/>
      <c r="AB12" s="518"/>
      <c r="AC12" s="518"/>
      <c r="AD12" s="516"/>
      <c r="AE12" s="516"/>
      <c r="AF12" s="516"/>
      <c r="AG12" s="516"/>
      <c r="AH12" s="529"/>
      <c r="AI12" s="503"/>
      <c r="AJ12" s="506"/>
      <c r="AK12" s="519"/>
      <c r="AL12" s="516"/>
      <c r="AM12" s="516"/>
      <c r="AN12" s="506"/>
      <c r="AO12" s="519"/>
      <c r="AP12" s="520"/>
      <c r="AQ12" s="504"/>
      <c r="AR12" s="503"/>
      <c r="AS12" s="520"/>
      <c r="AT12" s="504"/>
      <c r="AU12" s="521"/>
      <c r="AV12" s="504"/>
      <c r="AW12" s="503"/>
      <c r="AX12" s="520"/>
      <c r="AY12" s="522"/>
      <c r="AZ12" s="523"/>
      <c r="BA12" s="524"/>
      <c r="BB12" s="465"/>
      <c r="BC12" s="465"/>
      <c r="BD12" s="506"/>
      <c r="BE12" s="519"/>
      <c r="BF12" s="504"/>
      <c r="BG12" s="522"/>
      <c r="BH12" s="1190"/>
      <c r="BI12" s="1193"/>
      <c r="BJ12" s="1206"/>
    </row>
    <row r="13" spans="1:62" s="13" customFormat="1" x14ac:dyDescent="0.2">
      <c r="A13" s="33"/>
      <c r="C13" s="13" t="s">
        <v>129</v>
      </c>
      <c r="D13" s="531">
        <v>-1425295</v>
      </c>
      <c r="E13" s="532"/>
      <c r="F13" s="528"/>
      <c r="G13" s="528"/>
      <c r="H13" s="528"/>
      <c r="I13" s="528"/>
      <c r="J13" s="528"/>
      <c r="K13" s="533"/>
      <c r="L13" s="528"/>
      <c r="M13" s="528"/>
      <c r="N13" s="528"/>
      <c r="O13" s="528"/>
      <c r="P13" s="527"/>
      <c r="Q13" s="527"/>
      <c r="R13" s="527"/>
      <c r="S13" s="527"/>
      <c r="T13" s="527"/>
      <c r="U13" s="527"/>
      <c r="V13" s="527"/>
      <c r="W13" s="527"/>
      <c r="X13" s="527"/>
      <c r="Y13" s="527"/>
      <c r="Z13" s="527"/>
      <c r="AA13" s="527"/>
      <c r="AB13" s="527"/>
      <c r="AC13" s="527"/>
      <c r="AD13" s="528"/>
      <c r="AE13" s="528"/>
      <c r="AF13" s="528"/>
      <c r="AG13" s="528"/>
      <c r="AH13" s="529">
        <f t="shared" si="4"/>
        <v>0</v>
      </c>
      <c r="AI13" s="503">
        <f t="shared" si="5"/>
        <v>0</v>
      </c>
      <c r="AJ13" s="506">
        <f t="shared" si="0"/>
        <v>-1425295</v>
      </c>
      <c r="AK13" s="519">
        <f t="shared" si="1"/>
        <v>0</v>
      </c>
      <c r="AL13" s="528"/>
      <c r="AM13" s="528"/>
      <c r="AN13" s="534"/>
      <c r="AO13" s="535"/>
      <c r="AP13" s="536"/>
      <c r="AQ13" s="432"/>
      <c r="AR13" s="537"/>
      <c r="AS13" s="536"/>
      <c r="AT13" s="432"/>
      <c r="AU13" s="539"/>
      <c r="AV13" s="432"/>
      <c r="AW13" s="537"/>
      <c r="AX13" s="536"/>
      <c r="AY13" s="538"/>
      <c r="AZ13" s="523"/>
      <c r="BA13" s="524"/>
      <c r="BB13" s="465">
        <f t="shared" si="2"/>
        <v>-1425295</v>
      </c>
      <c r="BC13" s="465">
        <f t="shared" si="3"/>
        <v>0</v>
      </c>
      <c r="BD13" s="534"/>
      <c r="BE13" s="535"/>
      <c r="BF13" s="504" t="str">
        <f>IF(BB13-BC13&lt;=0," ",BB13-BC13)</f>
        <v xml:space="preserve"> </v>
      </c>
      <c r="BG13" s="522">
        <f>IF(BB13-BC13&gt;0," ",BC13-BB13)</f>
        <v>1425295</v>
      </c>
      <c r="BH13" s="1192"/>
      <c r="BI13" s="1194"/>
      <c r="BJ13" s="1206"/>
    </row>
    <row r="14" spans="1:62" x14ac:dyDescent="0.2">
      <c r="A14" s="25"/>
      <c r="C14" s="249" t="s">
        <v>140</v>
      </c>
      <c r="D14" s="540"/>
      <c r="E14" s="541"/>
      <c r="F14" s="542"/>
      <c r="G14" s="542"/>
      <c r="H14" s="542"/>
      <c r="I14" s="542"/>
      <c r="J14" s="542"/>
      <c r="K14" s="543"/>
      <c r="L14" s="542"/>
      <c r="M14" s="542"/>
      <c r="N14" s="542"/>
      <c r="O14" s="542"/>
      <c r="P14" s="544"/>
      <c r="Q14" s="544"/>
      <c r="R14" s="544"/>
      <c r="S14" s="544"/>
      <c r="T14" s="544"/>
      <c r="U14" s="544"/>
      <c r="V14" s="544"/>
      <c r="W14" s="544"/>
      <c r="X14" s="544"/>
      <c r="Y14" s="544"/>
      <c r="Z14" s="544"/>
      <c r="AA14" s="544"/>
      <c r="AB14" s="544"/>
      <c r="AC14" s="544"/>
      <c r="AD14" s="542"/>
      <c r="AE14" s="542"/>
      <c r="AF14" s="542"/>
      <c r="AG14" s="542"/>
      <c r="AH14" s="545">
        <f t="shared" ref="AH14:AH33" si="6">L14+N14+P14+R14+T14+V14+X14+Z14+AB14+AD14+AF14</f>
        <v>0</v>
      </c>
      <c r="AI14" s="546">
        <f t="shared" ref="AI14:AI33" si="7">M14+O14+Q14+S14+U14+W14+Y14+AA14+AC14+AE14+AG14</f>
        <v>0</v>
      </c>
      <c r="AJ14" s="547">
        <f t="shared" si="0"/>
        <v>0</v>
      </c>
      <c r="AK14" s="548">
        <f t="shared" si="1"/>
        <v>0</v>
      </c>
      <c r="AL14" s="542"/>
      <c r="AM14" s="542"/>
      <c r="AN14" s="547"/>
      <c r="AO14" s="548"/>
      <c r="AP14" s="549" t="str">
        <f>'B.  Property Taxes'!A53</f>
        <v>B.1</v>
      </c>
      <c r="AQ14" s="1288">
        <f>'B.  Property Taxes'!J54</f>
        <v>326897</v>
      </c>
      <c r="AR14" s="546"/>
      <c r="AS14" s="549"/>
      <c r="AT14" s="550"/>
      <c r="AU14" s="551"/>
      <c r="AV14" s="550"/>
      <c r="AW14" s="546"/>
      <c r="AX14" s="549"/>
      <c r="AY14" s="552"/>
      <c r="AZ14" s="523"/>
      <c r="BA14" s="524"/>
      <c r="BB14" s="550">
        <f t="shared" si="2"/>
        <v>326897</v>
      </c>
      <c r="BC14" s="550">
        <f t="shared" si="3"/>
        <v>0</v>
      </c>
      <c r="BD14" s="547"/>
      <c r="BE14" s="548"/>
      <c r="BF14" s="550">
        <f>IF((BB14+BB15+BB16)-(BC14+BC15+BC16)&lt;0," ",(BB14+BB15+BB16)-(BC14+BC15+BC16))</f>
        <v>329219</v>
      </c>
      <c r="BG14" s="552" t="str">
        <f>IF((BB14+BB15+BB16)-(BC14+BC15+BC16)&gt;0," ",(BC14+BC15+BC16)-(BB14+BB15+BB16))</f>
        <v xml:space="preserve"> </v>
      </c>
      <c r="BH14" s="1191"/>
    </row>
    <row r="15" spans="1:62" x14ac:dyDescent="0.2">
      <c r="A15" s="25"/>
      <c r="C15" s="250"/>
      <c r="D15" s="540"/>
      <c r="E15" s="541"/>
      <c r="F15" s="542"/>
      <c r="G15" s="542"/>
      <c r="H15" s="542"/>
      <c r="I15" s="542"/>
      <c r="J15" s="542"/>
      <c r="K15" s="543"/>
      <c r="L15" s="542"/>
      <c r="M15" s="542"/>
      <c r="N15" s="542"/>
      <c r="O15" s="542"/>
      <c r="P15" s="544"/>
      <c r="Q15" s="544"/>
      <c r="R15" s="544"/>
      <c r="S15" s="544"/>
      <c r="T15" s="544"/>
      <c r="U15" s="544"/>
      <c r="V15" s="544"/>
      <c r="W15" s="544"/>
      <c r="X15" s="544"/>
      <c r="Y15" s="544"/>
      <c r="Z15" s="544"/>
      <c r="AA15" s="544"/>
      <c r="AB15" s="544"/>
      <c r="AC15" s="544"/>
      <c r="AD15" s="542"/>
      <c r="AE15" s="542"/>
      <c r="AF15" s="542"/>
      <c r="AG15" s="542"/>
      <c r="AH15" s="545">
        <f t="shared" si="6"/>
        <v>0</v>
      </c>
      <c r="AI15" s="546">
        <f t="shared" si="7"/>
        <v>0</v>
      </c>
      <c r="AJ15" s="547">
        <f t="shared" si="0"/>
        <v>0</v>
      </c>
      <c r="AK15" s="548">
        <f t="shared" si="1"/>
        <v>0</v>
      </c>
      <c r="AL15" s="542"/>
      <c r="AM15" s="542"/>
      <c r="AN15" s="547"/>
      <c r="AO15" s="548"/>
      <c r="AP15" s="549" t="str">
        <f>'B.  Property Taxes'!A57</f>
        <v>B.2</v>
      </c>
      <c r="AQ15" s="1288">
        <f>'B.  Property Taxes'!J58</f>
        <v>2322</v>
      </c>
      <c r="AR15" s="546"/>
      <c r="AS15" s="549"/>
      <c r="AT15" s="550"/>
      <c r="AU15" s="551"/>
      <c r="AV15" s="550"/>
      <c r="AW15" s="546"/>
      <c r="AX15" s="549"/>
      <c r="AY15" s="552"/>
      <c r="AZ15" s="523"/>
      <c r="BA15" s="524"/>
      <c r="BB15" s="550">
        <f t="shared" si="2"/>
        <v>2322</v>
      </c>
      <c r="BC15" s="550">
        <f t="shared" si="3"/>
        <v>0</v>
      </c>
      <c r="BD15" s="547"/>
      <c r="BE15" s="548"/>
      <c r="BF15" s="550"/>
      <c r="BG15" s="552"/>
      <c r="BH15" s="1190"/>
    </row>
    <row r="16" spans="1:62" x14ac:dyDescent="0.2">
      <c r="A16" s="25"/>
      <c r="C16" s="249"/>
      <c r="D16" s="540"/>
      <c r="E16" s="541"/>
      <c r="F16" s="542"/>
      <c r="G16" s="542"/>
      <c r="H16" s="542"/>
      <c r="I16" s="542"/>
      <c r="J16" s="542"/>
      <c r="K16" s="543"/>
      <c r="L16" s="542"/>
      <c r="M16" s="542"/>
      <c r="N16" s="542"/>
      <c r="O16" s="542"/>
      <c r="P16" s="544"/>
      <c r="Q16" s="544"/>
      <c r="R16" s="544"/>
      <c r="S16" s="544"/>
      <c r="T16" s="544"/>
      <c r="U16" s="544"/>
      <c r="V16" s="544"/>
      <c r="W16" s="544"/>
      <c r="X16" s="544"/>
      <c r="Y16" s="544"/>
      <c r="Z16" s="544"/>
      <c r="AA16" s="544"/>
      <c r="AB16" s="544"/>
      <c r="AC16" s="544"/>
      <c r="AD16" s="542"/>
      <c r="AE16" s="542"/>
      <c r="AF16" s="542"/>
      <c r="AG16" s="542"/>
      <c r="AH16" s="545">
        <f t="shared" si="6"/>
        <v>0</v>
      </c>
      <c r="AI16" s="546">
        <f t="shared" si="7"/>
        <v>0</v>
      </c>
      <c r="AJ16" s="547">
        <f t="shared" si="0"/>
        <v>0</v>
      </c>
      <c r="AK16" s="548">
        <f t="shared" si="1"/>
        <v>0</v>
      </c>
      <c r="AL16" s="542"/>
      <c r="AM16" s="542"/>
      <c r="AN16" s="547"/>
      <c r="AO16" s="548"/>
      <c r="AP16" s="549" t="str">
        <f>'C. Other Revenues'!B207</f>
        <v>C.1</v>
      </c>
      <c r="AQ16" s="550">
        <f>'C. Other Revenues'!K207</f>
        <v>0</v>
      </c>
      <c r="AR16" s="546"/>
      <c r="AS16" s="549"/>
      <c r="AT16" s="550"/>
      <c r="AU16" s="551"/>
      <c r="AV16" s="550"/>
      <c r="AW16" s="546"/>
      <c r="AX16" s="549"/>
      <c r="AY16" s="552"/>
      <c r="AZ16" s="523"/>
      <c r="BA16" s="524"/>
      <c r="BB16" s="550">
        <f t="shared" si="2"/>
        <v>0</v>
      </c>
      <c r="BC16" s="550">
        <f t="shared" si="3"/>
        <v>0</v>
      </c>
      <c r="BD16" s="547"/>
      <c r="BE16" s="548"/>
      <c r="BF16" s="550"/>
      <c r="BG16" s="552"/>
      <c r="BH16" s="1198"/>
    </row>
    <row r="17" spans="1:62" s="13" customFormat="1" x14ac:dyDescent="0.2">
      <c r="A17" s="33"/>
      <c r="C17" s="13" t="s">
        <v>128</v>
      </c>
      <c r="D17" s="531"/>
      <c r="E17" s="532"/>
      <c r="F17" s="528"/>
      <c r="G17" s="528"/>
      <c r="H17" s="528"/>
      <c r="I17" s="528"/>
      <c r="J17" s="528"/>
      <c r="K17" s="533"/>
      <c r="L17" s="528"/>
      <c r="M17" s="528"/>
      <c r="N17" s="528"/>
      <c r="O17" s="528"/>
      <c r="P17" s="527"/>
      <c r="Q17" s="527"/>
      <c r="R17" s="527"/>
      <c r="S17" s="527"/>
      <c r="T17" s="527"/>
      <c r="U17" s="527"/>
      <c r="V17" s="527"/>
      <c r="W17" s="527"/>
      <c r="X17" s="527"/>
      <c r="Y17" s="527"/>
      <c r="Z17" s="527"/>
      <c r="AA17" s="527"/>
      <c r="AB17" s="527"/>
      <c r="AC17" s="527"/>
      <c r="AD17" s="528"/>
      <c r="AE17" s="528"/>
      <c r="AF17" s="528"/>
      <c r="AG17" s="528"/>
      <c r="AH17" s="529">
        <f t="shared" si="6"/>
        <v>0</v>
      </c>
      <c r="AI17" s="503">
        <f t="shared" si="7"/>
        <v>0</v>
      </c>
      <c r="AJ17" s="506">
        <f t="shared" si="0"/>
        <v>0</v>
      </c>
      <c r="AK17" s="519">
        <f t="shared" si="1"/>
        <v>0</v>
      </c>
      <c r="AL17" s="528"/>
      <c r="AM17" s="528"/>
      <c r="AN17" s="534"/>
      <c r="AO17" s="535"/>
      <c r="AP17" s="536"/>
      <c r="AQ17" s="432"/>
      <c r="AR17" s="537"/>
      <c r="AS17" s="536"/>
      <c r="AT17" s="432"/>
      <c r="AU17" s="539"/>
      <c r="AV17" s="432"/>
      <c r="AW17" s="537"/>
      <c r="AX17" s="536"/>
      <c r="AY17" s="538"/>
      <c r="AZ17" s="523"/>
      <c r="BA17" s="524"/>
      <c r="BB17" s="465">
        <f t="shared" ref="BB17:BB24" si="8">ROUND(AJ17+AL17+AN17+AQ17+AV17+AZ17,0)</f>
        <v>0</v>
      </c>
      <c r="BC17" s="465">
        <f t="shared" ref="BC17:BC24" si="9">ROUND(AK17+AM17+AO17+AT17+AY17+BA17,0)</f>
        <v>0</v>
      </c>
      <c r="BD17" s="534"/>
      <c r="BE17" s="535"/>
      <c r="BF17" s="432" t="str">
        <f>IF(BB17-BC17&lt;=0," ",BB17-BC17)</f>
        <v xml:space="preserve"> </v>
      </c>
      <c r="BG17" s="522">
        <f>IF(BB17-BC17&gt;0," ",BC17-BB17)</f>
        <v>0</v>
      </c>
      <c r="BH17" s="1192"/>
      <c r="BI17" s="1194"/>
      <c r="BJ17" s="1206"/>
    </row>
    <row r="18" spans="1:62" x14ac:dyDescent="0.2">
      <c r="A18" s="25"/>
      <c r="C18" t="s">
        <v>52</v>
      </c>
      <c r="D18" s="525">
        <v>879789</v>
      </c>
      <c r="E18" s="526"/>
      <c r="F18" s="516"/>
      <c r="G18" s="516"/>
      <c r="H18" s="516"/>
      <c r="I18" s="516"/>
      <c r="J18" s="516"/>
      <c r="K18" s="517"/>
      <c r="L18" s="516"/>
      <c r="M18" s="516"/>
      <c r="N18" s="516"/>
      <c r="O18" s="516"/>
      <c r="P18" s="518"/>
      <c r="Q18" s="518"/>
      <c r="R18" s="518"/>
      <c r="S18" s="518"/>
      <c r="T18" s="518"/>
      <c r="U18" s="518"/>
      <c r="V18" s="518">
        <v>2687</v>
      </c>
      <c r="W18" s="518"/>
      <c r="X18" s="518">
        <v>9093</v>
      </c>
      <c r="Y18" s="518"/>
      <c r="Z18" s="518"/>
      <c r="AA18" s="518"/>
      <c r="AB18" s="518">
        <v>2153376</v>
      </c>
      <c r="AC18" s="518"/>
      <c r="AD18" s="516"/>
      <c r="AE18" s="516"/>
      <c r="AF18" s="516"/>
      <c r="AG18" s="516"/>
      <c r="AH18" s="529">
        <f t="shared" si="6"/>
        <v>2165156</v>
      </c>
      <c r="AI18" s="503">
        <f t="shared" si="7"/>
        <v>0</v>
      </c>
      <c r="AJ18" s="506">
        <f t="shared" si="0"/>
        <v>3044945</v>
      </c>
      <c r="AK18" s="519">
        <f t="shared" si="1"/>
        <v>0</v>
      </c>
      <c r="AL18" s="516"/>
      <c r="AM18" s="516"/>
      <c r="AN18" s="506"/>
      <c r="AO18" s="519"/>
      <c r="AP18" s="520"/>
      <c r="AQ18" s="504"/>
      <c r="AR18" s="503"/>
      <c r="AS18" s="520"/>
      <c r="AT18" s="504"/>
      <c r="AU18" s="521"/>
      <c r="AV18" s="504"/>
      <c r="AW18" s="503"/>
      <c r="AX18" s="520"/>
      <c r="AY18" s="522"/>
      <c r="AZ18" s="523"/>
      <c r="BA18" s="524"/>
      <c r="BB18" s="465">
        <f t="shared" si="8"/>
        <v>3044945</v>
      </c>
      <c r="BC18" s="465">
        <f t="shared" si="9"/>
        <v>0</v>
      </c>
      <c r="BD18" s="506"/>
      <c r="BE18" s="519"/>
      <c r="BF18" s="504">
        <f>IF(BB18-BC18&lt;=0," ",BB18-BC18)</f>
        <v>3044945</v>
      </c>
      <c r="BG18" s="522" t="str">
        <f>IF(BB18-BC18&gt;0," ",BC18-BB18)</f>
        <v xml:space="preserve"> </v>
      </c>
    </row>
    <row r="19" spans="1:62" s="13" customFormat="1" x14ac:dyDescent="0.2">
      <c r="A19" s="33"/>
      <c r="C19" s="13" t="s">
        <v>127</v>
      </c>
      <c r="D19" s="531">
        <v>-168800</v>
      </c>
      <c r="E19" s="532"/>
      <c r="F19" s="528"/>
      <c r="G19" s="528"/>
      <c r="H19" s="528"/>
      <c r="I19" s="528"/>
      <c r="J19" s="528"/>
      <c r="K19" s="533"/>
      <c r="L19" s="528"/>
      <c r="M19" s="528"/>
      <c r="N19" s="528"/>
      <c r="O19" s="528"/>
      <c r="P19" s="527"/>
      <c r="Q19" s="527"/>
      <c r="R19" s="527"/>
      <c r="S19" s="527"/>
      <c r="T19" s="527"/>
      <c r="U19" s="527"/>
      <c r="V19" s="527"/>
      <c r="W19" s="527"/>
      <c r="X19" s="527"/>
      <c r="Y19" s="527"/>
      <c r="Z19" s="527"/>
      <c r="AA19" s="527"/>
      <c r="AB19" s="527"/>
      <c r="AC19" s="527">
        <v>215338</v>
      </c>
      <c r="AD19" s="528"/>
      <c r="AE19" s="528"/>
      <c r="AF19" s="528"/>
      <c r="AG19" s="528"/>
      <c r="AH19" s="529">
        <f t="shared" si="6"/>
        <v>0</v>
      </c>
      <c r="AI19" s="503">
        <f t="shared" si="7"/>
        <v>215338</v>
      </c>
      <c r="AJ19" s="506">
        <f t="shared" si="0"/>
        <v>-168800</v>
      </c>
      <c r="AK19" s="519">
        <f t="shared" si="1"/>
        <v>215338</v>
      </c>
      <c r="AL19" s="528"/>
      <c r="AM19" s="528"/>
      <c r="AN19" s="534"/>
      <c r="AO19" s="535"/>
      <c r="AP19" s="536"/>
      <c r="AQ19" s="432"/>
      <c r="AR19" s="537"/>
      <c r="AS19" s="536"/>
      <c r="AT19" s="432"/>
      <c r="AU19" s="539"/>
      <c r="AV19" s="432"/>
      <c r="AW19" s="537"/>
      <c r="AX19" s="536"/>
      <c r="AY19" s="538"/>
      <c r="AZ19" s="523"/>
      <c r="BA19" s="524"/>
      <c r="BB19" s="465">
        <f t="shared" si="8"/>
        <v>-168800</v>
      </c>
      <c r="BC19" s="465">
        <f t="shared" si="9"/>
        <v>215338</v>
      </c>
      <c r="BD19" s="534"/>
      <c r="BE19" s="535"/>
      <c r="BF19" s="504" t="str">
        <f>IF(BB19-BC19&lt;=0," ",BB19-BC19)</f>
        <v xml:space="preserve"> </v>
      </c>
      <c r="BG19" s="522">
        <f>IF(BB19-BC19&gt;0," ",BC19-BB19)</f>
        <v>384138</v>
      </c>
      <c r="BH19" s="1191"/>
      <c r="BI19" s="1194"/>
      <c r="BJ19" s="1206"/>
    </row>
    <row r="20" spans="1:62" s="1244" customFormat="1" x14ac:dyDescent="0.2">
      <c r="A20" s="33"/>
      <c r="C20" s="1244" t="s">
        <v>4102</v>
      </c>
      <c r="D20" s="531">
        <v>398364</v>
      </c>
      <c r="E20" s="532"/>
      <c r="F20" s="528"/>
      <c r="G20" s="528"/>
      <c r="H20" s="528"/>
      <c r="I20" s="528"/>
      <c r="J20" s="528"/>
      <c r="K20" s="533"/>
      <c r="L20" s="528"/>
      <c r="M20" s="528"/>
      <c r="N20" s="528"/>
      <c r="O20" s="528"/>
      <c r="P20" s="527"/>
      <c r="Q20" s="527"/>
      <c r="R20" s="527"/>
      <c r="S20" s="527"/>
      <c r="T20" s="527"/>
      <c r="U20" s="527"/>
      <c r="V20" s="527"/>
      <c r="W20" s="527"/>
      <c r="X20" s="527"/>
      <c r="Y20" s="527"/>
      <c r="Z20" s="527"/>
      <c r="AA20" s="527"/>
      <c r="AB20" s="527"/>
      <c r="AC20" s="527"/>
      <c r="AD20" s="528"/>
      <c r="AE20" s="528"/>
      <c r="AF20" s="528"/>
      <c r="AG20" s="528"/>
      <c r="AH20" s="529">
        <f t="shared" ref="AH20" si="10">L20+N20+P20+R20+T20+V20+X20+Z20+AB20+AD20+AF20</f>
        <v>0</v>
      </c>
      <c r="AI20" s="503">
        <f t="shared" ref="AI20" si="11">M20+O20+Q20+S20+U20+W20+Y20+AA20+AC20+AE20+AG20</f>
        <v>0</v>
      </c>
      <c r="AJ20" s="506">
        <f t="shared" ref="AJ20" si="12">D20+F20+H20+J20+AH20</f>
        <v>398364</v>
      </c>
      <c r="AK20" s="519">
        <f t="shared" ref="AK20" si="13">E20+G20+I20+K20+AI20</f>
        <v>0</v>
      </c>
      <c r="AL20" s="528"/>
      <c r="AM20" s="528"/>
      <c r="AN20" s="534"/>
      <c r="AO20" s="535"/>
      <c r="AP20" s="536"/>
      <c r="AQ20" s="432"/>
      <c r="AR20" s="537"/>
      <c r="AS20" s="536"/>
      <c r="AT20" s="432"/>
      <c r="AU20" s="539"/>
      <c r="AV20" s="432"/>
      <c r="AW20" s="537"/>
      <c r="AX20" s="536"/>
      <c r="AY20" s="538"/>
      <c r="AZ20" s="523"/>
      <c r="BA20" s="524"/>
      <c r="BB20" s="465">
        <f t="shared" ref="BB20" si="14">ROUND(AJ20+AL20+AN20+AQ20+AV20+AZ20,0)</f>
        <v>398364</v>
      </c>
      <c r="BC20" s="465">
        <f t="shared" ref="BC20" si="15">ROUND(AK20+AM20+AO20+AT20+AY20+BA20,0)</f>
        <v>0</v>
      </c>
      <c r="BD20" s="534"/>
      <c r="BE20" s="535"/>
      <c r="BF20" s="504">
        <f>IF(BB20-BC20&lt;=0," ",BB20-BC20)</f>
        <v>398364</v>
      </c>
      <c r="BG20" s="522" t="str">
        <f>IF(BB20-BC20&gt;0," ",BC20-BB20)</f>
        <v xml:space="preserve"> </v>
      </c>
      <c r="BH20" s="1191"/>
      <c r="BI20" s="1194"/>
      <c r="BJ20" s="1206"/>
    </row>
    <row r="21" spans="1:62" s="13" customFormat="1" x14ac:dyDescent="0.2">
      <c r="A21" s="33"/>
      <c r="C21" s="13" t="s">
        <v>219</v>
      </c>
      <c r="D21" s="531">
        <v>28833</v>
      </c>
      <c r="E21" s="532"/>
      <c r="F21" s="528"/>
      <c r="G21" s="528"/>
      <c r="H21" s="528"/>
      <c r="I21" s="528"/>
      <c r="J21" s="528"/>
      <c r="K21" s="533"/>
      <c r="L21" s="528"/>
      <c r="M21" s="528"/>
      <c r="N21" s="528"/>
      <c r="O21" s="528"/>
      <c r="P21" s="527"/>
      <c r="Q21" s="527"/>
      <c r="R21" s="527"/>
      <c r="S21" s="527"/>
      <c r="T21" s="527"/>
      <c r="U21" s="527"/>
      <c r="V21" s="527"/>
      <c r="W21" s="527"/>
      <c r="X21" s="527"/>
      <c r="Y21" s="527"/>
      <c r="Z21" s="527"/>
      <c r="AA21" s="527"/>
      <c r="AB21" s="527"/>
      <c r="AC21" s="527"/>
      <c r="AD21" s="528"/>
      <c r="AE21" s="528"/>
      <c r="AF21" s="528"/>
      <c r="AG21" s="528"/>
      <c r="AH21" s="529">
        <f t="shared" si="6"/>
        <v>0</v>
      </c>
      <c r="AI21" s="503">
        <f t="shared" si="7"/>
        <v>0</v>
      </c>
      <c r="AJ21" s="506">
        <f t="shared" si="0"/>
        <v>28833</v>
      </c>
      <c r="AK21" s="519">
        <f t="shared" si="1"/>
        <v>0</v>
      </c>
      <c r="AL21" s="528"/>
      <c r="AM21" s="528"/>
      <c r="AN21" s="534"/>
      <c r="AO21" s="535"/>
      <c r="AP21" s="536"/>
      <c r="AQ21" s="432"/>
      <c r="AR21" s="537"/>
      <c r="AS21" s="536"/>
      <c r="AT21" s="432"/>
      <c r="AU21" s="539"/>
      <c r="AV21" s="432"/>
      <c r="AW21" s="537"/>
      <c r="AX21" s="536"/>
      <c r="AY21" s="538"/>
      <c r="AZ21" s="523"/>
      <c r="BA21" s="524"/>
      <c r="BB21" s="465">
        <f t="shared" si="8"/>
        <v>28833</v>
      </c>
      <c r="BC21" s="465">
        <f t="shared" si="9"/>
        <v>0</v>
      </c>
      <c r="BD21" s="534"/>
      <c r="BE21" s="535"/>
      <c r="BF21" s="504">
        <f>IF(BB21-BC21&lt;=0," ",BB21-BC21)</f>
        <v>28833</v>
      </c>
      <c r="BG21" s="522" t="str">
        <f>IF(BB21-BC21&gt;0," ",BC21-BB21)</f>
        <v xml:space="preserve"> </v>
      </c>
      <c r="BH21" s="1191"/>
      <c r="BI21" s="1194"/>
      <c r="BJ21" s="1206"/>
    </row>
    <row r="22" spans="1:62" x14ac:dyDescent="0.2">
      <c r="A22" s="33"/>
      <c r="B22" s="13"/>
      <c r="C22" s="249" t="s">
        <v>53</v>
      </c>
      <c r="D22" s="540"/>
      <c r="E22" s="541"/>
      <c r="F22" s="542"/>
      <c r="G22" s="542"/>
      <c r="H22" s="542"/>
      <c r="I22" s="542"/>
      <c r="J22" s="542"/>
      <c r="K22" s="543"/>
      <c r="L22" s="542"/>
      <c r="M22" s="542"/>
      <c r="N22" s="542"/>
      <c r="O22" s="542"/>
      <c r="P22" s="544"/>
      <c r="Q22" s="544"/>
      <c r="R22" s="544"/>
      <c r="S22" s="544"/>
      <c r="T22" s="544"/>
      <c r="U22" s="544"/>
      <c r="V22" s="544"/>
      <c r="W22" s="544"/>
      <c r="X22" s="544"/>
      <c r="Y22" s="544"/>
      <c r="Z22" s="544"/>
      <c r="AA22" s="544"/>
      <c r="AB22" s="544"/>
      <c r="AC22" s="544"/>
      <c r="AD22" s="542"/>
      <c r="AE22" s="542"/>
      <c r="AF22" s="542"/>
      <c r="AG22" s="542"/>
      <c r="AH22" s="545">
        <f t="shared" si="6"/>
        <v>0</v>
      </c>
      <c r="AI22" s="546">
        <f t="shared" si="7"/>
        <v>0</v>
      </c>
      <c r="AJ22" s="547">
        <f t="shared" si="0"/>
        <v>0</v>
      </c>
      <c r="AK22" s="548">
        <f t="shared" si="1"/>
        <v>0</v>
      </c>
      <c r="AL22" s="542"/>
      <c r="AM22" s="542"/>
      <c r="AN22" s="547"/>
      <c r="AO22" s="548"/>
      <c r="AP22" s="549"/>
      <c r="AQ22" s="550"/>
      <c r="AR22" s="546"/>
      <c r="AS22" s="549"/>
      <c r="AT22" s="550"/>
      <c r="AU22" s="553" t="s">
        <v>637</v>
      </c>
      <c r="AV22" s="550">
        <f>'K.1  Int. Service Fd Allocation'!E166+'K.2  Int. Service Fd Alloca'!E161+'K.3 Int. Service Fd Alloca'!E161</f>
        <v>0</v>
      </c>
      <c r="AW22" s="546"/>
      <c r="AX22" s="549" t="str">
        <f>'L. Eliminations-Consolidations'!A203</f>
        <v>L.2</v>
      </c>
      <c r="AY22" s="552">
        <f>'L. Eliminations-Consolidations'!L205</f>
        <v>0</v>
      </c>
      <c r="AZ22" s="523"/>
      <c r="BA22" s="524"/>
      <c r="BB22" s="550">
        <f t="shared" si="8"/>
        <v>0</v>
      </c>
      <c r="BC22" s="550">
        <f t="shared" si="9"/>
        <v>0</v>
      </c>
      <c r="BD22" s="547"/>
      <c r="BE22" s="548"/>
      <c r="BF22" s="550" t="str">
        <f>IF((BB22+BB23+BB24)-(BC22+BC23+BC24)&lt;=0," ",(BB22+BB23+BB24)-(BC22+BC23+BC24))</f>
        <v xml:space="preserve"> </v>
      </c>
      <c r="BG22" s="552">
        <f>IF((BB22+BB23+BB24)-(BC22+BC23+BC24)&gt;0," ",(BC22+BC23+BC24)-(BB22+BB23+BB24))</f>
        <v>0</v>
      </c>
    </row>
    <row r="23" spans="1:62" x14ac:dyDescent="0.2">
      <c r="A23" s="33"/>
      <c r="B23" s="13"/>
      <c r="C23" s="249"/>
      <c r="D23" s="540"/>
      <c r="E23" s="541"/>
      <c r="F23" s="542"/>
      <c r="G23" s="542"/>
      <c r="H23" s="542"/>
      <c r="I23" s="542"/>
      <c r="J23" s="542"/>
      <c r="K23" s="543"/>
      <c r="L23" s="542"/>
      <c r="M23" s="542"/>
      <c r="N23" s="542"/>
      <c r="O23" s="542"/>
      <c r="P23" s="544"/>
      <c r="Q23" s="544"/>
      <c r="R23" s="544"/>
      <c r="S23" s="544"/>
      <c r="T23" s="544"/>
      <c r="U23" s="544"/>
      <c r="V23" s="544"/>
      <c r="W23" s="544"/>
      <c r="X23" s="544"/>
      <c r="Y23" s="544"/>
      <c r="Z23" s="544"/>
      <c r="AA23" s="544"/>
      <c r="AB23" s="544"/>
      <c r="AC23" s="544"/>
      <c r="AD23" s="542"/>
      <c r="AE23" s="542"/>
      <c r="AF23" s="542"/>
      <c r="AG23" s="542"/>
      <c r="AH23" s="545">
        <f t="shared" si="6"/>
        <v>0</v>
      </c>
      <c r="AI23" s="546">
        <f t="shared" si="7"/>
        <v>0</v>
      </c>
      <c r="AJ23" s="547">
        <f t="shared" si="0"/>
        <v>0</v>
      </c>
      <c r="AK23" s="548">
        <f t="shared" si="1"/>
        <v>0</v>
      </c>
      <c r="AL23" s="542"/>
      <c r="AM23" s="542"/>
      <c r="AN23" s="547"/>
      <c r="AO23" s="548"/>
      <c r="AP23" s="549"/>
      <c r="AQ23" s="550"/>
      <c r="AR23" s="546"/>
      <c r="AS23" s="549"/>
      <c r="AT23" s="550"/>
      <c r="AU23" s="551"/>
      <c r="AV23" s="550"/>
      <c r="AW23" s="546"/>
      <c r="AX23" s="549" t="str">
        <f>'L. Eliminations-Consolidations'!A208</f>
        <v>L.3</v>
      </c>
      <c r="AY23" s="552">
        <f>'L. Eliminations-Consolidations'!L212</f>
        <v>0</v>
      </c>
      <c r="AZ23" s="523"/>
      <c r="BA23" s="524"/>
      <c r="BB23" s="550">
        <f t="shared" si="8"/>
        <v>0</v>
      </c>
      <c r="BC23" s="550">
        <f t="shared" si="9"/>
        <v>0</v>
      </c>
      <c r="BD23" s="547"/>
      <c r="BE23" s="548"/>
      <c r="BF23" s="550"/>
      <c r="BG23" s="552"/>
    </row>
    <row r="24" spans="1:62" x14ac:dyDescent="0.2">
      <c r="A24" s="33"/>
      <c r="B24" s="13"/>
      <c r="C24" s="249"/>
      <c r="D24" s="540"/>
      <c r="E24" s="541"/>
      <c r="F24" s="542"/>
      <c r="G24" s="542"/>
      <c r="H24" s="542"/>
      <c r="I24" s="542"/>
      <c r="J24" s="542"/>
      <c r="K24" s="543"/>
      <c r="L24" s="542"/>
      <c r="M24" s="542"/>
      <c r="N24" s="542"/>
      <c r="O24" s="542"/>
      <c r="P24" s="544"/>
      <c r="Q24" s="544"/>
      <c r="R24" s="544"/>
      <c r="S24" s="544"/>
      <c r="T24" s="544"/>
      <c r="U24" s="544"/>
      <c r="V24" s="544"/>
      <c r="W24" s="544"/>
      <c r="X24" s="544"/>
      <c r="Y24" s="544"/>
      <c r="Z24" s="544"/>
      <c r="AA24" s="544"/>
      <c r="AB24" s="544"/>
      <c r="AC24" s="544"/>
      <c r="AD24" s="542"/>
      <c r="AE24" s="542"/>
      <c r="AF24" s="542"/>
      <c r="AG24" s="542"/>
      <c r="AH24" s="545">
        <f t="shared" si="6"/>
        <v>0</v>
      </c>
      <c r="AI24" s="546">
        <f t="shared" si="7"/>
        <v>0</v>
      </c>
      <c r="AJ24" s="547">
        <f t="shared" si="0"/>
        <v>0</v>
      </c>
      <c r="AK24" s="548">
        <f t="shared" si="1"/>
        <v>0</v>
      </c>
      <c r="AL24" s="542"/>
      <c r="AM24" s="542"/>
      <c r="AN24" s="547"/>
      <c r="AO24" s="548"/>
      <c r="AP24" s="549"/>
      <c r="AQ24" s="550"/>
      <c r="AR24" s="546"/>
      <c r="AS24" s="549"/>
      <c r="AT24" s="550"/>
      <c r="AU24" s="551"/>
      <c r="AV24" s="550"/>
      <c r="AW24" s="546"/>
      <c r="AX24" s="549" t="str">
        <f>'L. Eliminations-Consolidations'!A214</f>
        <v>L.4</v>
      </c>
      <c r="AY24" s="552">
        <f>'L. Eliminations-Consolidations'!L215</f>
        <v>0</v>
      </c>
      <c r="AZ24" s="523"/>
      <c r="BA24" s="524"/>
      <c r="BB24" s="550">
        <f t="shared" si="8"/>
        <v>0</v>
      </c>
      <c r="BC24" s="550">
        <f t="shared" si="9"/>
        <v>0</v>
      </c>
      <c r="BD24" s="547"/>
      <c r="BE24" s="548"/>
      <c r="BF24" s="550"/>
      <c r="BG24" s="552"/>
    </row>
    <row r="25" spans="1:62" s="13" customFormat="1" x14ac:dyDescent="0.2">
      <c r="A25" s="33"/>
      <c r="C25" s="13" t="s">
        <v>286</v>
      </c>
      <c r="D25" s="531"/>
      <c r="E25" s="532"/>
      <c r="F25" s="528"/>
      <c r="G25" s="528"/>
      <c r="H25" s="528"/>
      <c r="I25" s="528"/>
      <c r="J25" s="528"/>
      <c r="K25" s="533"/>
      <c r="L25" s="528"/>
      <c r="M25" s="528"/>
      <c r="N25" s="528"/>
      <c r="O25" s="528"/>
      <c r="P25" s="527"/>
      <c r="Q25" s="527"/>
      <c r="R25" s="527"/>
      <c r="S25" s="527"/>
      <c r="T25" s="527"/>
      <c r="U25" s="527"/>
      <c r="V25" s="527"/>
      <c r="W25" s="527"/>
      <c r="X25" s="527"/>
      <c r="Y25" s="527"/>
      <c r="Z25" s="527"/>
      <c r="AA25" s="527"/>
      <c r="AB25" s="527"/>
      <c r="AC25" s="527"/>
      <c r="AD25" s="528"/>
      <c r="AE25" s="528"/>
      <c r="AF25" s="528"/>
      <c r="AG25" s="528"/>
      <c r="AH25" s="529">
        <f t="shared" si="6"/>
        <v>0</v>
      </c>
      <c r="AI25" s="503">
        <f t="shared" si="7"/>
        <v>0</v>
      </c>
      <c r="AJ25" s="506">
        <f t="shared" si="0"/>
        <v>0</v>
      </c>
      <c r="AK25" s="519">
        <f t="shared" si="1"/>
        <v>0</v>
      </c>
      <c r="AL25" s="528"/>
      <c r="AM25" s="528"/>
      <c r="AN25" s="534"/>
      <c r="AO25" s="535"/>
      <c r="AP25" s="536"/>
      <c r="AQ25" s="432"/>
      <c r="AR25" s="537"/>
      <c r="AS25" s="536"/>
      <c r="AT25" s="432"/>
      <c r="AU25" s="539" t="str">
        <f>'L. Eliminations-Consolidations'!A214</f>
        <v>L.4</v>
      </c>
      <c r="AV25" s="432">
        <f>'L. Eliminations-Consolidations'!J214</f>
        <v>0</v>
      </c>
      <c r="AW25" s="537"/>
      <c r="AX25" s="536"/>
      <c r="AY25" s="538"/>
      <c r="AZ25" s="523"/>
      <c r="BA25" s="524"/>
      <c r="BB25" s="465">
        <f t="shared" ref="BB25:BB36" si="16">ROUND(AJ25+AL25+AN25+AQ25+AV25+AZ25,0)</f>
        <v>0</v>
      </c>
      <c r="BC25" s="465">
        <f t="shared" ref="BC25:BC36" si="17">ROUND(AK25+AM25+AO25+AT25+AY25+BA25,0)</f>
        <v>0</v>
      </c>
      <c r="BD25" s="534"/>
      <c r="BE25" s="535"/>
      <c r="BF25" s="504" t="str">
        <f>IF(BB25-BC25&lt;=0," ",BB25-BC25)</f>
        <v xml:space="preserve"> </v>
      </c>
      <c r="BG25" s="522">
        <f>IF(BB25-BC25&gt;0," ",BC25-BB25)</f>
        <v>0</v>
      </c>
      <c r="BH25" s="1191"/>
      <c r="BI25" s="1194"/>
      <c r="BJ25" s="1206"/>
    </row>
    <row r="26" spans="1:62" s="13" customFormat="1" x14ac:dyDescent="0.2">
      <c r="A26" s="33"/>
      <c r="C26" s="13" t="s">
        <v>54</v>
      </c>
      <c r="D26" s="531">
        <v>3200000</v>
      </c>
      <c r="E26" s="532"/>
      <c r="F26" s="528"/>
      <c r="G26" s="528"/>
      <c r="H26" s="528"/>
      <c r="I26" s="528"/>
      <c r="J26" s="528"/>
      <c r="K26" s="533"/>
      <c r="L26" s="528"/>
      <c r="M26" s="528"/>
      <c r="N26" s="528"/>
      <c r="O26" s="528"/>
      <c r="P26" s="527"/>
      <c r="Q26" s="527"/>
      <c r="R26" s="527"/>
      <c r="S26" s="527"/>
      <c r="T26" s="527"/>
      <c r="U26" s="527"/>
      <c r="V26" s="527"/>
      <c r="W26" s="527"/>
      <c r="X26" s="527"/>
      <c r="Y26" s="527"/>
      <c r="Z26" s="527">
        <v>54800</v>
      </c>
      <c r="AA26" s="527"/>
      <c r="AB26" s="527"/>
      <c r="AC26" s="527"/>
      <c r="AD26" s="528"/>
      <c r="AE26" s="528"/>
      <c r="AF26" s="528"/>
      <c r="AG26" s="528"/>
      <c r="AH26" s="529">
        <f t="shared" si="6"/>
        <v>54800</v>
      </c>
      <c r="AI26" s="503">
        <f t="shared" si="7"/>
        <v>0</v>
      </c>
      <c r="AJ26" s="506">
        <f t="shared" si="0"/>
        <v>3254800</v>
      </c>
      <c r="AK26" s="519">
        <f t="shared" si="1"/>
        <v>0</v>
      </c>
      <c r="AL26" s="528"/>
      <c r="AM26" s="528"/>
      <c r="AN26" s="534"/>
      <c r="AO26" s="535"/>
      <c r="AP26" s="536"/>
      <c r="AQ26" s="432"/>
      <c r="AR26" s="537"/>
      <c r="AS26" s="536"/>
      <c r="AT26" s="432"/>
      <c r="AU26" s="539"/>
      <c r="AV26" s="432"/>
      <c r="AW26" s="537"/>
      <c r="AX26" s="536"/>
      <c r="AY26" s="538"/>
      <c r="AZ26" s="523"/>
      <c r="BA26" s="524"/>
      <c r="BB26" s="465">
        <f t="shared" si="16"/>
        <v>3254800</v>
      </c>
      <c r="BC26" s="465">
        <f t="shared" si="17"/>
        <v>0</v>
      </c>
      <c r="BD26" s="534"/>
      <c r="BE26" s="535"/>
      <c r="BF26" s="504">
        <f>IF(BB26-BC26&lt;=0," ",BB26-BC26)</f>
        <v>3254800</v>
      </c>
      <c r="BG26" s="522" t="str">
        <f>IF(BB26-BC26&gt;0," ",BC26-BB26)</f>
        <v xml:space="preserve"> </v>
      </c>
      <c r="BH26" s="1192"/>
      <c r="BI26" s="1194"/>
      <c r="BJ26" s="1206"/>
    </row>
    <row r="27" spans="1:62" x14ac:dyDescent="0.2">
      <c r="A27" s="25"/>
      <c r="C27" t="s">
        <v>55</v>
      </c>
      <c r="D27" s="525">
        <v>36100</v>
      </c>
      <c r="E27" s="526"/>
      <c r="F27" s="516"/>
      <c r="G27" s="516"/>
      <c r="H27" s="516"/>
      <c r="I27" s="516"/>
      <c r="J27" s="516"/>
      <c r="K27" s="517"/>
      <c r="L27" s="516"/>
      <c r="M27" s="516"/>
      <c r="N27" s="516"/>
      <c r="O27" s="516"/>
      <c r="P27" s="518"/>
      <c r="Q27" s="518"/>
      <c r="R27" s="518"/>
      <c r="S27" s="518"/>
      <c r="T27" s="518"/>
      <c r="U27" s="518"/>
      <c r="V27" s="518"/>
      <c r="W27" s="518"/>
      <c r="X27" s="518"/>
      <c r="Y27" s="518"/>
      <c r="Z27" s="518"/>
      <c r="AA27" s="518"/>
      <c r="AB27" s="518"/>
      <c r="AC27" s="518"/>
      <c r="AD27" s="516"/>
      <c r="AE27" s="516"/>
      <c r="AF27" s="516"/>
      <c r="AG27" s="516"/>
      <c r="AH27" s="529">
        <f t="shared" si="6"/>
        <v>0</v>
      </c>
      <c r="AI27" s="503">
        <f t="shared" si="7"/>
        <v>0</v>
      </c>
      <c r="AJ27" s="506">
        <f t="shared" si="0"/>
        <v>36100</v>
      </c>
      <c r="AK27" s="519">
        <f t="shared" si="1"/>
        <v>0</v>
      </c>
      <c r="AL27" s="516"/>
      <c r="AM27" s="516"/>
      <c r="AN27" s="506"/>
      <c r="AO27" s="519"/>
      <c r="AP27" s="520"/>
      <c r="AQ27" s="504"/>
      <c r="AR27" s="503"/>
      <c r="AS27" s="520"/>
      <c r="AT27" s="504"/>
      <c r="AU27" s="521"/>
      <c r="AV27" s="504"/>
      <c r="AW27" s="503"/>
      <c r="AX27" s="520"/>
      <c r="AY27" s="522"/>
      <c r="AZ27" s="523"/>
      <c r="BA27" s="524"/>
      <c r="BB27" s="465">
        <f t="shared" si="16"/>
        <v>36100</v>
      </c>
      <c r="BC27" s="465">
        <f t="shared" si="17"/>
        <v>0</v>
      </c>
      <c r="BD27" s="506"/>
      <c r="BE27" s="519"/>
      <c r="BF27" s="504">
        <f>IF(BB27-BC27&lt;=0," ",BB27-BC27)</f>
        <v>36100</v>
      </c>
      <c r="BG27" s="522" t="str">
        <f>IF(BB27-BC27&gt;0," ",BC27-BB27)</f>
        <v xml:space="preserve"> </v>
      </c>
      <c r="BH27" s="1192"/>
    </row>
    <row r="28" spans="1:62" x14ac:dyDescent="0.2">
      <c r="A28" s="25"/>
      <c r="C28" s="249" t="s">
        <v>416</v>
      </c>
      <c r="D28" s="540"/>
      <c r="E28" s="541"/>
      <c r="F28" s="542"/>
      <c r="G28" s="542"/>
      <c r="H28" s="542"/>
      <c r="I28" s="542"/>
      <c r="J28" s="542"/>
      <c r="K28" s="543"/>
      <c r="L28" s="542"/>
      <c r="M28" s="542"/>
      <c r="N28" s="542"/>
      <c r="O28" s="542"/>
      <c r="P28" s="544"/>
      <c r="Q28" s="544"/>
      <c r="R28" s="544"/>
      <c r="S28" s="544"/>
      <c r="T28" s="544"/>
      <c r="U28" s="544"/>
      <c r="V28" s="544"/>
      <c r="W28" s="544"/>
      <c r="X28" s="544"/>
      <c r="Y28" s="544"/>
      <c r="Z28" s="544"/>
      <c r="AA28" s="544"/>
      <c r="AB28" s="544"/>
      <c r="AC28" s="544"/>
      <c r="AD28" s="542"/>
      <c r="AE28" s="542"/>
      <c r="AF28" s="542"/>
      <c r="AG28" s="542"/>
      <c r="AH28" s="545">
        <f t="shared" si="6"/>
        <v>0</v>
      </c>
      <c r="AI28" s="546">
        <f t="shared" si="7"/>
        <v>0</v>
      </c>
      <c r="AJ28" s="547">
        <f t="shared" si="0"/>
        <v>0</v>
      </c>
      <c r="AK28" s="548">
        <f t="shared" si="1"/>
        <v>0</v>
      </c>
      <c r="AL28" s="542"/>
      <c r="AM28" s="542"/>
      <c r="AN28" s="547"/>
      <c r="AO28" s="548"/>
      <c r="AP28" s="549"/>
      <c r="AQ28" s="550"/>
      <c r="AR28" s="546"/>
      <c r="AS28" s="549"/>
      <c r="AT28" s="550"/>
      <c r="AU28" s="551" t="str">
        <f>'L. Eliminations-Consolidations'!A208</f>
        <v>L.3</v>
      </c>
      <c r="AV28" s="550">
        <f>'L. Eliminations-Consolidations'!J210</f>
        <v>0</v>
      </c>
      <c r="AW28" s="546"/>
      <c r="AX28" s="554" t="s">
        <v>637</v>
      </c>
      <c r="AY28" s="550">
        <f>'K.1  Int. Service Fd Allocation'!G218+'K.2  Int. Service Fd Alloca'!G213+'K.3 Int. Service Fd Alloca'!G213</f>
        <v>0</v>
      </c>
      <c r="AZ28" s="555"/>
      <c r="BA28" s="524"/>
      <c r="BB28" s="550">
        <f t="shared" si="16"/>
        <v>0</v>
      </c>
      <c r="BC28" s="550">
        <f t="shared" si="17"/>
        <v>0</v>
      </c>
      <c r="BD28" s="547"/>
      <c r="BE28" s="548"/>
      <c r="BF28" s="550" t="str">
        <f>IF((BB28+BB29)-(BC28+BC29)&lt;=0," ",(BB28+BB29)-(BC28+BC29))</f>
        <v xml:space="preserve"> </v>
      </c>
      <c r="BG28" s="552">
        <f>IF((BB28+BB29)-(BC28+BC29)&gt;0," ",(BC28+BC29)-(BB28+BB29))</f>
        <v>0</v>
      </c>
      <c r="BH28" s="1192"/>
    </row>
    <row r="29" spans="1:62" x14ac:dyDescent="0.2">
      <c r="A29" s="25"/>
      <c r="C29" s="249"/>
      <c r="D29" s="540"/>
      <c r="E29" s="541"/>
      <c r="F29" s="542"/>
      <c r="G29" s="542"/>
      <c r="H29" s="542"/>
      <c r="I29" s="542"/>
      <c r="J29" s="542"/>
      <c r="K29" s="543"/>
      <c r="L29" s="542"/>
      <c r="M29" s="542"/>
      <c r="N29" s="542"/>
      <c r="O29" s="542"/>
      <c r="P29" s="544"/>
      <c r="Q29" s="544"/>
      <c r="R29" s="544"/>
      <c r="S29" s="544"/>
      <c r="T29" s="544"/>
      <c r="U29" s="544"/>
      <c r="V29" s="544"/>
      <c r="W29" s="544"/>
      <c r="X29" s="544"/>
      <c r="Y29" s="544"/>
      <c r="Z29" s="544"/>
      <c r="AA29" s="544"/>
      <c r="AB29" s="544"/>
      <c r="AC29" s="544"/>
      <c r="AD29" s="542"/>
      <c r="AE29" s="542"/>
      <c r="AF29" s="542"/>
      <c r="AG29" s="542"/>
      <c r="AH29" s="545">
        <f t="shared" si="6"/>
        <v>0</v>
      </c>
      <c r="AI29" s="546">
        <f t="shared" si="7"/>
        <v>0</v>
      </c>
      <c r="AJ29" s="547">
        <f t="shared" si="0"/>
        <v>0</v>
      </c>
      <c r="AK29" s="548">
        <f t="shared" si="1"/>
        <v>0</v>
      </c>
      <c r="AL29" s="542"/>
      <c r="AM29" s="542"/>
      <c r="AN29" s="547"/>
      <c r="AO29" s="548"/>
      <c r="AP29" s="549"/>
      <c r="AQ29" s="550"/>
      <c r="AR29" s="546"/>
      <c r="AS29" s="549"/>
      <c r="AT29" s="550"/>
      <c r="AU29" s="551" t="str">
        <f>'L. Eliminations-Consolidations'!B273</f>
        <v>L.8</v>
      </c>
      <c r="AV29" s="550">
        <f>'L. Eliminations-Consolidations'!J273</f>
        <v>0</v>
      </c>
      <c r="AW29" s="546"/>
      <c r="AX29" s="549" t="str">
        <f>'L. Eliminations-Consolidations'!B273</f>
        <v>L.8</v>
      </c>
      <c r="AY29" s="552">
        <f>'L. Eliminations-Consolidations'!L273</f>
        <v>0</v>
      </c>
      <c r="AZ29" s="523"/>
      <c r="BA29" s="524"/>
      <c r="BB29" s="550">
        <f t="shared" si="16"/>
        <v>0</v>
      </c>
      <c r="BC29" s="550">
        <f t="shared" si="17"/>
        <v>0</v>
      </c>
      <c r="BD29" s="547"/>
      <c r="BE29" s="548"/>
      <c r="BF29" s="550"/>
      <c r="BG29" s="552"/>
      <c r="BH29" s="1192"/>
    </row>
    <row r="30" spans="1:62" s="13" customFormat="1" x14ac:dyDescent="0.2">
      <c r="A30" s="33"/>
      <c r="C30" s="13" t="s">
        <v>56</v>
      </c>
      <c r="D30" s="531">
        <v>2551800</v>
      </c>
      <c r="E30" s="532"/>
      <c r="F30" s="528"/>
      <c r="G30" s="528"/>
      <c r="H30" s="528"/>
      <c r="I30" s="528"/>
      <c r="J30" s="528"/>
      <c r="K30" s="533"/>
      <c r="L30" s="528"/>
      <c r="M30" s="528"/>
      <c r="N30" s="528"/>
      <c r="O30" s="528"/>
      <c r="P30" s="527"/>
      <c r="Q30" s="527"/>
      <c r="R30" s="527"/>
      <c r="S30" s="527"/>
      <c r="T30" s="527"/>
      <c r="U30" s="527"/>
      <c r="V30" s="527"/>
      <c r="W30" s="527"/>
      <c r="X30" s="527"/>
      <c r="Y30" s="527"/>
      <c r="Z30" s="527"/>
      <c r="AA30" s="527"/>
      <c r="AB30" s="527"/>
      <c r="AC30" s="527"/>
      <c r="AD30" s="528"/>
      <c r="AE30" s="528"/>
      <c r="AF30" s="528"/>
      <c r="AG30" s="528"/>
      <c r="AH30" s="529">
        <f t="shared" si="6"/>
        <v>0</v>
      </c>
      <c r="AI30" s="503">
        <f t="shared" si="7"/>
        <v>0</v>
      </c>
      <c r="AJ30" s="506">
        <f t="shared" si="0"/>
        <v>2551800</v>
      </c>
      <c r="AK30" s="519">
        <f t="shared" si="1"/>
        <v>0</v>
      </c>
      <c r="AL30" s="528"/>
      <c r="AM30" s="528"/>
      <c r="AN30" s="534"/>
      <c r="AO30" s="535"/>
      <c r="AP30" s="556"/>
      <c r="AQ30" s="432"/>
      <c r="AR30" s="537"/>
      <c r="AS30" s="536"/>
      <c r="AT30" s="432"/>
      <c r="AU30" s="557" t="s">
        <v>637</v>
      </c>
      <c r="AV30" s="504">
        <f>'K.1  Int. Service Fd Allocation'!E168+'K.2  Int. Service Fd Alloca'!E163+'K.3 Int. Service Fd Alloca'!E163</f>
        <v>0</v>
      </c>
      <c r="AW30" s="537"/>
      <c r="AX30" s="536"/>
      <c r="AY30" s="538"/>
      <c r="AZ30" s="523"/>
      <c r="BA30" s="524"/>
      <c r="BB30" s="465">
        <f t="shared" si="16"/>
        <v>2551800</v>
      </c>
      <c r="BC30" s="465">
        <f t="shared" si="17"/>
        <v>0</v>
      </c>
      <c r="BD30" s="534"/>
      <c r="BE30" s="535"/>
      <c r="BF30" s="504">
        <f>IF(BB30-BC30&lt;=0," ",BB30-BC30)</f>
        <v>2551800</v>
      </c>
      <c r="BG30" s="522" t="str">
        <f>IF(BB30-BC30&gt;0," ",BC30-BB30)</f>
        <v xml:space="preserve"> </v>
      </c>
      <c r="BH30" s="1192"/>
      <c r="BI30" s="1194"/>
      <c r="BJ30" s="1206"/>
    </row>
    <row r="31" spans="1:62" x14ac:dyDescent="0.2">
      <c r="A31" s="25"/>
      <c r="C31" t="s">
        <v>57</v>
      </c>
      <c r="D31" s="525"/>
      <c r="E31" s="526"/>
      <c r="F31" s="516"/>
      <c r="G31" s="516"/>
      <c r="H31" s="516"/>
      <c r="I31" s="516"/>
      <c r="J31" s="516"/>
      <c r="K31" s="517"/>
      <c r="L31" s="516"/>
      <c r="M31" s="516"/>
      <c r="N31" s="516"/>
      <c r="O31" s="516"/>
      <c r="P31" s="518"/>
      <c r="Q31" s="518"/>
      <c r="R31" s="518"/>
      <c r="S31" s="518"/>
      <c r="T31" s="518"/>
      <c r="U31" s="518"/>
      <c r="V31" s="518"/>
      <c r="W31" s="518"/>
      <c r="X31" s="518"/>
      <c r="Y31" s="518"/>
      <c r="Z31" s="518"/>
      <c r="AA31" s="518"/>
      <c r="AB31" s="518"/>
      <c r="AC31" s="518"/>
      <c r="AD31" s="516"/>
      <c r="AE31" s="516"/>
      <c r="AF31" s="516"/>
      <c r="AG31" s="516"/>
      <c r="AH31" s="529">
        <f t="shared" si="6"/>
        <v>0</v>
      </c>
      <c r="AI31" s="503">
        <f t="shared" si="7"/>
        <v>0</v>
      </c>
      <c r="AJ31" s="506">
        <f t="shared" si="0"/>
        <v>0</v>
      </c>
      <c r="AK31" s="519">
        <f t="shared" si="1"/>
        <v>0</v>
      </c>
      <c r="AL31" s="516"/>
      <c r="AM31" s="516"/>
      <c r="AN31" s="506"/>
      <c r="AO31" s="519"/>
      <c r="AP31" s="558"/>
      <c r="AQ31" s="504"/>
      <c r="AR31" s="503"/>
      <c r="AS31" s="520"/>
      <c r="AT31" s="504"/>
      <c r="AU31" s="557" t="s">
        <v>637</v>
      </c>
      <c r="AV31" s="504">
        <f>'K.1  Int. Service Fd Allocation'!E169+'K.2  Int. Service Fd Alloca'!E164+'K.3 Int. Service Fd Alloca'!E164</f>
        <v>0</v>
      </c>
      <c r="AW31" s="503"/>
      <c r="AX31" s="520"/>
      <c r="AY31" s="522"/>
      <c r="AZ31" s="523"/>
      <c r="BA31" s="524"/>
      <c r="BB31" s="465">
        <f t="shared" si="16"/>
        <v>0</v>
      </c>
      <c r="BC31" s="465">
        <f t="shared" si="17"/>
        <v>0</v>
      </c>
      <c r="BD31" s="506"/>
      <c r="BE31" s="519"/>
      <c r="BF31" s="504" t="str">
        <f>IF(BB31-BC31&lt;=0," ",BB31-BC31)</f>
        <v xml:space="preserve"> </v>
      </c>
      <c r="BG31" s="522">
        <f>IF(BB31-BC31&gt;0," ",BC31-BB31)</f>
        <v>0</v>
      </c>
      <c r="BH31" s="1192"/>
    </row>
    <row r="32" spans="1:62" s="754" customFormat="1" x14ac:dyDescent="0.2">
      <c r="A32" s="25"/>
      <c r="C32" s="754" t="s">
        <v>2615</v>
      </c>
      <c r="D32" s="525"/>
      <c r="E32" s="526"/>
      <c r="F32" s="516"/>
      <c r="G32" s="516"/>
      <c r="H32" s="516"/>
      <c r="I32" s="516"/>
      <c r="J32" s="516"/>
      <c r="K32" s="517"/>
      <c r="L32" s="516"/>
      <c r="M32" s="516"/>
      <c r="N32" s="516"/>
      <c r="O32" s="516"/>
      <c r="P32" s="518"/>
      <c r="Q32" s="518"/>
      <c r="R32" s="518"/>
      <c r="S32" s="518"/>
      <c r="T32" s="518"/>
      <c r="U32" s="518"/>
      <c r="V32" s="518"/>
      <c r="W32" s="518"/>
      <c r="X32" s="518"/>
      <c r="Y32" s="518"/>
      <c r="Z32" s="518"/>
      <c r="AA32" s="518"/>
      <c r="AB32" s="518"/>
      <c r="AC32" s="518"/>
      <c r="AD32" s="516"/>
      <c r="AE32" s="516"/>
      <c r="AF32" s="516"/>
      <c r="AG32" s="516"/>
      <c r="AH32" s="529">
        <f t="shared" si="6"/>
        <v>0</v>
      </c>
      <c r="AI32" s="503">
        <f t="shared" si="7"/>
        <v>0</v>
      </c>
      <c r="AJ32" s="506">
        <f t="shared" si="0"/>
        <v>0</v>
      </c>
      <c r="AK32" s="519">
        <f t="shared" si="1"/>
        <v>0</v>
      </c>
      <c r="AL32" s="516"/>
      <c r="AM32" s="516"/>
      <c r="AN32" s="506"/>
      <c r="AO32" s="519"/>
      <c r="AP32" s="558" t="s">
        <v>2050</v>
      </c>
      <c r="AQ32" s="504">
        <f>'N.1 GASB 68 LGERS'!C95</f>
        <v>0</v>
      </c>
      <c r="AR32" s="503"/>
      <c r="AS32" s="520" t="s">
        <v>2050</v>
      </c>
      <c r="AT32" s="504">
        <f>'N.1 GASB 68 LGERS'!D95</f>
        <v>0</v>
      </c>
      <c r="AU32" s="557"/>
      <c r="AV32" s="504"/>
      <c r="AW32" s="503"/>
      <c r="AX32" s="520"/>
      <c r="AY32" s="522"/>
      <c r="AZ32" s="523"/>
      <c r="BA32" s="524"/>
      <c r="BB32" s="465">
        <f>ROUND(AJ32+AL32+AN32+AQ32+AV32+AZ32,0)</f>
        <v>0</v>
      </c>
      <c r="BC32" s="465">
        <f>ROUND(AK32+AM32+AO32+AT32+AY32+BA32,0)</f>
        <v>0</v>
      </c>
      <c r="BD32" s="506"/>
      <c r="BE32" s="519"/>
      <c r="BF32" s="504" t="str">
        <f>IF(BB32-BC32&lt;=0," ",BB32-BC32)</f>
        <v xml:space="preserve"> </v>
      </c>
      <c r="BG32" s="538">
        <f>IF(BB32-BC32&gt;0," ",BC32-BB32)</f>
        <v>0</v>
      </c>
      <c r="BH32" s="1192"/>
      <c r="BI32" s="1193"/>
      <c r="BJ32" s="1206"/>
    </row>
    <row r="33" spans="1:255" s="671" customFormat="1" x14ac:dyDescent="0.2">
      <c r="A33" s="25"/>
      <c r="C33" s="697" t="s">
        <v>2616</v>
      </c>
      <c r="D33" s="525"/>
      <c r="E33" s="526"/>
      <c r="F33" s="516"/>
      <c r="G33" s="516"/>
      <c r="H33" s="516"/>
      <c r="I33" s="516"/>
      <c r="J33" s="516"/>
      <c r="K33" s="517"/>
      <c r="L33" s="516"/>
      <c r="M33" s="516"/>
      <c r="N33" s="516"/>
      <c r="O33" s="516"/>
      <c r="P33" s="518"/>
      <c r="Q33" s="518"/>
      <c r="R33" s="518"/>
      <c r="S33" s="518"/>
      <c r="T33" s="518"/>
      <c r="U33" s="518"/>
      <c r="V33" s="518"/>
      <c r="W33" s="518"/>
      <c r="X33" s="518"/>
      <c r="Y33" s="518"/>
      <c r="Z33" s="518"/>
      <c r="AA33" s="518"/>
      <c r="AB33" s="518"/>
      <c r="AC33" s="518"/>
      <c r="AD33" s="516"/>
      <c r="AE33" s="516"/>
      <c r="AF33" s="516"/>
      <c r="AG33" s="516"/>
      <c r="AH33" s="529">
        <f t="shared" si="6"/>
        <v>0</v>
      </c>
      <c r="AI33" s="503">
        <f t="shared" si="7"/>
        <v>0</v>
      </c>
      <c r="AJ33" s="506">
        <f t="shared" si="0"/>
        <v>0</v>
      </c>
      <c r="AK33" s="519">
        <f t="shared" si="1"/>
        <v>0</v>
      </c>
      <c r="AL33" s="516">
        <f>'N.2 GASB 68 ROD'!C63*-'N.2 GASB 68 ROD'!H28</f>
        <v>77702</v>
      </c>
      <c r="AM33" s="516"/>
      <c r="AN33" s="506"/>
      <c r="AO33" s="519"/>
      <c r="AP33" s="558" t="s">
        <v>2051</v>
      </c>
      <c r="AQ33" s="504">
        <f>'N.2 GASB 68 ROD'!C67</f>
        <v>0</v>
      </c>
      <c r="AR33" s="503"/>
      <c r="AS33" s="520" t="s">
        <v>2051</v>
      </c>
      <c r="AT33" s="432">
        <f>'N.2 GASB 68 ROD'!D67</f>
        <v>1679</v>
      </c>
      <c r="AU33" s="557"/>
      <c r="AV33" s="504"/>
      <c r="AW33" s="503"/>
      <c r="AX33" s="520"/>
      <c r="AY33" s="522"/>
      <c r="AZ33" s="523"/>
      <c r="BA33" s="524"/>
      <c r="BB33" s="465">
        <f>ROUND(AJ33+AL33+AN33+AQ33+AV33+AZ33,0)</f>
        <v>77702</v>
      </c>
      <c r="BC33" s="465">
        <f>ROUND(AK33+AM33+AO33+AT33+AY33+BA33,0)</f>
        <v>1679</v>
      </c>
      <c r="BD33" s="506"/>
      <c r="BE33" s="519"/>
      <c r="BF33" s="432">
        <f>IF(BB33-BC33&lt;=0," ",BB33-BC33)</f>
        <v>76023</v>
      </c>
      <c r="BG33" s="522" t="str">
        <f>IF(BB33-BC33&gt;0," ",BC33-BB33)</f>
        <v xml:space="preserve"> </v>
      </c>
      <c r="BH33" s="1192"/>
      <c r="BI33" s="1193"/>
      <c r="BJ33" s="1206"/>
    </row>
    <row r="34" spans="1:255" s="693" customFormat="1" x14ac:dyDescent="0.2">
      <c r="A34" s="25"/>
      <c r="C34" s="697"/>
      <c r="D34" s="525"/>
      <c r="E34" s="526"/>
      <c r="F34" s="516"/>
      <c r="G34" s="516"/>
      <c r="H34" s="516"/>
      <c r="I34" s="516"/>
      <c r="J34" s="516"/>
      <c r="K34" s="517"/>
      <c r="L34" s="516"/>
      <c r="M34" s="516"/>
      <c r="N34" s="516"/>
      <c r="O34" s="516"/>
      <c r="P34" s="518"/>
      <c r="Q34" s="518"/>
      <c r="R34" s="518"/>
      <c r="S34" s="518"/>
      <c r="T34" s="518"/>
      <c r="U34" s="518"/>
      <c r="V34" s="518"/>
      <c r="W34" s="518"/>
      <c r="X34" s="518"/>
      <c r="Y34" s="518"/>
      <c r="Z34" s="518"/>
      <c r="AA34" s="518"/>
      <c r="AB34" s="518"/>
      <c r="AC34" s="518"/>
      <c r="AD34" s="516"/>
      <c r="AE34" s="516"/>
      <c r="AF34" s="516"/>
      <c r="AG34" s="516"/>
      <c r="AH34" s="529"/>
      <c r="AI34" s="503"/>
      <c r="AJ34" s="506"/>
      <c r="AK34" s="519"/>
      <c r="AL34" s="516"/>
      <c r="AM34" s="516"/>
      <c r="AN34" s="506"/>
      <c r="AO34" s="519"/>
      <c r="AP34" s="558"/>
      <c r="AQ34" s="504"/>
      <c r="AR34" s="503"/>
      <c r="AS34" s="520"/>
      <c r="AT34" s="504"/>
      <c r="AU34" s="557"/>
      <c r="AV34" s="504"/>
      <c r="AW34" s="503"/>
      <c r="AX34" s="520"/>
      <c r="AY34" s="522"/>
      <c r="AZ34" s="523"/>
      <c r="BA34" s="524"/>
      <c r="BB34" s="465"/>
      <c r="BC34" s="465"/>
      <c r="BD34" s="506"/>
      <c r="BE34" s="519"/>
      <c r="BF34" s="504"/>
      <c r="BG34" s="522"/>
      <c r="BH34" s="1192"/>
      <c r="BI34" s="1193"/>
      <c r="BJ34" s="1206"/>
    </row>
    <row r="35" spans="1:255" x14ac:dyDescent="0.2">
      <c r="A35" s="33"/>
      <c r="B35" s="13"/>
      <c r="C35" s="249" t="s">
        <v>838</v>
      </c>
      <c r="D35" s="540"/>
      <c r="E35" s="541"/>
      <c r="F35" s="542"/>
      <c r="G35" s="542"/>
      <c r="H35" s="542"/>
      <c r="I35" s="542"/>
      <c r="J35" s="542"/>
      <c r="K35" s="543"/>
      <c r="L35" s="542"/>
      <c r="M35" s="542"/>
      <c r="N35" s="542"/>
      <c r="O35" s="542"/>
      <c r="P35" s="544"/>
      <c r="Q35" s="544"/>
      <c r="R35" s="544"/>
      <c r="S35" s="544"/>
      <c r="T35" s="544"/>
      <c r="U35" s="544"/>
      <c r="V35" s="544"/>
      <c r="W35" s="544"/>
      <c r="X35" s="544"/>
      <c r="Y35" s="544"/>
      <c r="Z35" s="544"/>
      <c r="AA35" s="544"/>
      <c r="AB35" s="544"/>
      <c r="AC35" s="544"/>
      <c r="AD35" s="542"/>
      <c r="AE35" s="542"/>
      <c r="AF35" s="542"/>
      <c r="AG35" s="542"/>
      <c r="AH35" s="545">
        <f t="shared" ref="AH35:AH42" si="18">L35+N35+P35+R35+T35+V35+X35+Z35+AB35+AD35+AF35</f>
        <v>0</v>
      </c>
      <c r="AI35" s="546">
        <f t="shared" ref="AI35:AI42" si="19">M35+O35+Q35+S35+U35+W35+Y35+AA35+AC35+AE35+AG35</f>
        <v>0</v>
      </c>
      <c r="AJ35" s="547">
        <f t="shared" ref="AJ35:AJ78" si="20">D35+F35+H35+J35+AH35</f>
        <v>0</v>
      </c>
      <c r="AK35" s="548">
        <f t="shared" ref="AK35:AK78" si="21">E35+G35+I35+K35+AI35</f>
        <v>0</v>
      </c>
      <c r="AL35" s="542"/>
      <c r="AM35" s="542"/>
      <c r="AN35" s="547"/>
      <c r="AO35" s="548"/>
      <c r="AP35" s="549"/>
      <c r="AQ35" s="550"/>
      <c r="AR35" s="546"/>
      <c r="AS35" s="549"/>
      <c r="AT35" s="550"/>
      <c r="AU35" s="553" t="s">
        <v>637</v>
      </c>
      <c r="AV35" s="550">
        <f>'K.1  Int. Service Fd Allocation'!E167+'K.2  Int. Service Fd Alloca'!E162+'K.3 Int. Service Fd Alloca'!E162</f>
        <v>0</v>
      </c>
      <c r="AW35" s="546"/>
      <c r="AX35" s="549" t="str">
        <f>'L. Eliminations-Consolidations'!A203</f>
        <v>L.2</v>
      </c>
      <c r="AY35" s="552">
        <f>'L. Eliminations-Consolidations'!L206</f>
        <v>0</v>
      </c>
      <c r="AZ35" s="523"/>
      <c r="BA35" s="524"/>
      <c r="BB35" s="550">
        <f t="shared" si="16"/>
        <v>0</v>
      </c>
      <c r="BC35" s="550">
        <f t="shared" si="17"/>
        <v>0</v>
      </c>
      <c r="BD35" s="547"/>
      <c r="BE35" s="548"/>
      <c r="BF35" s="550" t="str">
        <f>IF((BB35+BB36)-(BC35+BC36)&lt;=0," ",(BB35+BB36)-(BC35+BC36))</f>
        <v xml:space="preserve"> </v>
      </c>
      <c r="BG35" s="552">
        <f>IF((BB35+BB36)-(BC35+BC36)&gt;0," ",(BC35+BC36)-(BB35+BB36))</f>
        <v>0</v>
      </c>
    </row>
    <row r="36" spans="1:255" x14ac:dyDescent="0.2">
      <c r="A36" s="33"/>
      <c r="B36" s="13"/>
      <c r="C36" s="249"/>
      <c r="D36" s="540"/>
      <c r="E36" s="541"/>
      <c r="F36" s="542"/>
      <c r="G36" s="542"/>
      <c r="H36" s="542"/>
      <c r="I36" s="542"/>
      <c r="J36" s="542"/>
      <c r="K36" s="543"/>
      <c r="L36" s="542"/>
      <c r="M36" s="542"/>
      <c r="N36" s="542"/>
      <c r="O36" s="542"/>
      <c r="P36" s="544"/>
      <c r="Q36" s="544"/>
      <c r="R36" s="544"/>
      <c r="S36" s="544"/>
      <c r="T36" s="544"/>
      <c r="U36" s="544"/>
      <c r="V36" s="544"/>
      <c r="W36" s="544"/>
      <c r="X36" s="544"/>
      <c r="Y36" s="544"/>
      <c r="Z36" s="544"/>
      <c r="AA36" s="544"/>
      <c r="AB36" s="544"/>
      <c r="AC36" s="544"/>
      <c r="AD36" s="542"/>
      <c r="AE36" s="542"/>
      <c r="AF36" s="542"/>
      <c r="AG36" s="542"/>
      <c r="AH36" s="545">
        <f t="shared" si="18"/>
        <v>0</v>
      </c>
      <c r="AI36" s="546">
        <f t="shared" si="19"/>
        <v>0</v>
      </c>
      <c r="AJ36" s="547">
        <f t="shared" si="20"/>
        <v>0</v>
      </c>
      <c r="AK36" s="548">
        <f t="shared" si="21"/>
        <v>0</v>
      </c>
      <c r="AL36" s="542"/>
      <c r="AM36" s="542"/>
      <c r="AN36" s="547"/>
      <c r="AO36" s="548"/>
      <c r="AP36" s="549"/>
      <c r="AQ36" s="550"/>
      <c r="AR36" s="546"/>
      <c r="AS36" s="549"/>
      <c r="AT36" s="550"/>
      <c r="AU36" s="551"/>
      <c r="AV36" s="550"/>
      <c r="AW36" s="546"/>
      <c r="AX36" s="549" t="str">
        <f>'L. Eliminations-Consolidations'!A208</f>
        <v>L.3</v>
      </c>
      <c r="AY36" s="552">
        <f>'L. Eliminations-Consolidations'!L211</f>
        <v>0</v>
      </c>
      <c r="AZ36" s="523"/>
      <c r="BA36" s="524"/>
      <c r="BB36" s="550">
        <f t="shared" si="16"/>
        <v>0</v>
      </c>
      <c r="BC36" s="550">
        <f t="shared" si="17"/>
        <v>0</v>
      </c>
      <c r="BD36" s="547"/>
      <c r="BE36" s="548"/>
      <c r="BF36" s="550"/>
      <c r="BG36" s="552"/>
    </row>
    <row r="37" spans="1:255" ht="25.5" x14ac:dyDescent="0.2">
      <c r="A37" s="25"/>
      <c r="C37" s="34" t="s">
        <v>1004</v>
      </c>
      <c r="D37" s="525"/>
      <c r="E37" s="526"/>
      <c r="F37" s="516"/>
      <c r="G37" s="516"/>
      <c r="H37" s="516"/>
      <c r="I37" s="516"/>
      <c r="J37" s="516"/>
      <c r="K37" s="517"/>
      <c r="L37" s="516"/>
      <c r="M37" s="516"/>
      <c r="N37" s="516"/>
      <c r="O37" s="516"/>
      <c r="P37" s="518"/>
      <c r="Q37" s="518"/>
      <c r="R37" s="518"/>
      <c r="S37" s="518"/>
      <c r="T37" s="518"/>
      <c r="U37" s="518"/>
      <c r="V37" s="518"/>
      <c r="W37" s="518"/>
      <c r="X37" s="518"/>
      <c r="Y37" s="518"/>
      <c r="Z37" s="518"/>
      <c r="AA37" s="518"/>
      <c r="AB37" s="518"/>
      <c r="AC37" s="518"/>
      <c r="AD37" s="516"/>
      <c r="AE37" s="516"/>
      <c r="AF37" s="516"/>
      <c r="AG37" s="516"/>
      <c r="AH37" s="529">
        <f>L37+N37+P37+R37+T37+V37+X37+Z37+AB37+AD37+AF37</f>
        <v>0</v>
      </c>
      <c r="AI37" s="503">
        <f>M37+O37+Q37+S37+U37+W37+Y37+AA37+AC37+AE37+AG37</f>
        <v>0</v>
      </c>
      <c r="AJ37" s="506">
        <f>D37+F37+H37+J37+AH37</f>
        <v>0</v>
      </c>
      <c r="AK37" s="519">
        <f>E37+G37+I37+K37+AI37</f>
        <v>0</v>
      </c>
      <c r="AL37" s="516"/>
      <c r="AN37" s="506"/>
      <c r="AO37" s="519"/>
      <c r="AP37" s="558" t="str">
        <f>'I.  Other Asset Entries'!B108</f>
        <v>I.1</v>
      </c>
      <c r="AQ37" s="504">
        <f>'I.  Other Asset Entries'!L112</f>
        <v>0</v>
      </c>
      <c r="AR37" s="503"/>
      <c r="AS37" s="520"/>
      <c r="AT37" s="504"/>
      <c r="AU37" s="521"/>
      <c r="AV37" s="504"/>
      <c r="AW37" s="503"/>
      <c r="AX37" s="520"/>
      <c r="AY37" s="522"/>
      <c r="AZ37" s="523"/>
      <c r="BA37" s="524"/>
      <c r="BB37" s="465">
        <f>ROUND(AJ37+AL37+AN37+AQ37+AV37+AZ37,0)</f>
        <v>0</v>
      </c>
      <c r="BC37" s="465">
        <f>ROUND(AK37+AL37+AO37+AT37+AY37+BA37,0)</f>
        <v>0</v>
      </c>
      <c r="BD37" s="506"/>
      <c r="BE37" s="519"/>
      <c r="BF37" s="504" t="str">
        <f>IF(BB37-BC37&lt;=0," ",BB37-BC37)</f>
        <v xml:space="preserve"> </v>
      </c>
      <c r="BG37" s="522">
        <f>IF(BB37-BC37&gt;0," ",BC37-BB37)</f>
        <v>0</v>
      </c>
    </row>
    <row r="38" spans="1:255" s="1241" customFormat="1" x14ac:dyDescent="0.2">
      <c r="A38" s="25"/>
      <c r="C38" s="1239" t="s">
        <v>4124</v>
      </c>
      <c r="D38" s="525"/>
      <c r="E38" s="526"/>
      <c r="F38" s="516"/>
      <c r="G38" s="516"/>
      <c r="H38" s="516"/>
      <c r="I38" s="516"/>
      <c r="J38" s="516"/>
      <c r="K38" s="517"/>
      <c r="L38" s="516"/>
      <c r="M38" s="516"/>
      <c r="N38" s="516"/>
      <c r="O38" s="516"/>
      <c r="P38" s="518"/>
      <c r="Q38" s="518"/>
      <c r="R38" s="518"/>
      <c r="S38" s="518"/>
      <c r="T38" s="518"/>
      <c r="U38" s="518"/>
      <c r="V38" s="518"/>
      <c r="W38" s="518"/>
      <c r="X38" s="518"/>
      <c r="Y38" s="518"/>
      <c r="Z38" s="518"/>
      <c r="AA38" s="518"/>
      <c r="AB38" s="518"/>
      <c r="AC38" s="518"/>
      <c r="AD38" s="516"/>
      <c r="AE38" s="516"/>
      <c r="AF38" s="516"/>
      <c r="AG38" s="516"/>
      <c r="AH38" s="529">
        <f t="shared" ref="AH38:AH41" si="22">L38+N38+P38+R38+T38+V38+X38+Z38+AB38+AD38+AF38</f>
        <v>0</v>
      </c>
      <c r="AI38" s="503">
        <f t="shared" ref="AI38:AI41" si="23">M38+O38+Q38+S38+U38+W38+Y38+AA38+AC38+AE38+AG38</f>
        <v>0</v>
      </c>
      <c r="AJ38" s="506">
        <f t="shared" ref="AJ38:AJ41" si="24">D38+F38+H38+J38+AH38</f>
        <v>0</v>
      </c>
      <c r="AK38" s="519">
        <f t="shared" ref="AK38:AK41" si="25">E38+G38+I38+K38+AI38</f>
        <v>0</v>
      </c>
      <c r="AL38" s="516"/>
      <c r="AM38" s="516"/>
      <c r="AN38" s="506"/>
      <c r="AO38" s="519"/>
      <c r="AP38" s="558" t="s">
        <v>4113</v>
      </c>
      <c r="AQ38" s="1288">
        <f>'Q. GASB 87 Lease Entries'!M31</f>
        <v>279755</v>
      </c>
      <c r="AR38" s="503"/>
      <c r="AT38" s="504"/>
      <c r="AU38" s="521"/>
      <c r="AV38" s="504"/>
      <c r="AW38" s="503"/>
      <c r="AX38" s="520"/>
      <c r="AY38" s="522"/>
      <c r="AZ38" s="523"/>
      <c r="BA38" s="524"/>
      <c r="BB38" s="465">
        <f>ROUND(AJ38+AL38+AN38+AQ38+AV38+AZ38,0)</f>
        <v>279755</v>
      </c>
      <c r="BC38" s="465">
        <f>ROUND(AK38+AM38+AO38+AT38+AY38+BA38,0)</f>
        <v>0</v>
      </c>
      <c r="BD38" s="506"/>
      <c r="BE38" s="519"/>
      <c r="BF38" s="504">
        <f t="shared" ref="BF38:BF40" si="26">IF(BB38-BC38&lt;=0," ",BB38-BC38)</f>
        <v>279755</v>
      </c>
      <c r="BG38" s="522" t="str">
        <f t="shared" ref="BG38:BG41" si="27">IF(BB38-BC38&gt;0," ",BC38-BB38)</f>
        <v xml:space="preserve"> </v>
      </c>
      <c r="BH38" s="1189"/>
      <c r="BI38" s="1193"/>
      <c r="BJ38" s="1206"/>
    </row>
    <row r="39" spans="1:255" s="1263" customFormat="1" ht="25.5" x14ac:dyDescent="0.2">
      <c r="A39" s="25"/>
      <c r="C39" s="1260" t="s">
        <v>4125</v>
      </c>
      <c r="D39" s="525"/>
      <c r="E39" s="526"/>
      <c r="F39" s="516"/>
      <c r="G39" s="516"/>
      <c r="H39" s="516"/>
      <c r="I39" s="516"/>
      <c r="J39" s="516"/>
      <c r="K39" s="517"/>
      <c r="L39" s="516"/>
      <c r="M39" s="516"/>
      <c r="N39" s="516"/>
      <c r="O39" s="516"/>
      <c r="P39" s="518"/>
      <c r="Q39" s="518"/>
      <c r="R39" s="518"/>
      <c r="S39" s="518"/>
      <c r="T39" s="518"/>
      <c r="U39" s="518"/>
      <c r="V39" s="518"/>
      <c r="W39" s="518"/>
      <c r="X39" s="518"/>
      <c r="Y39" s="518"/>
      <c r="Z39" s="518"/>
      <c r="AA39" s="518"/>
      <c r="AB39" s="518"/>
      <c r="AC39" s="518"/>
      <c r="AD39" s="516"/>
      <c r="AE39" s="516"/>
      <c r="AF39" s="516"/>
      <c r="AG39" s="516"/>
      <c r="AH39" s="529">
        <f t="shared" si="22"/>
        <v>0</v>
      </c>
      <c r="AI39" s="503">
        <f t="shared" si="23"/>
        <v>0</v>
      </c>
      <c r="AJ39" s="506">
        <f t="shared" si="24"/>
        <v>0</v>
      </c>
      <c r="AK39" s="519">
        <f t="shared" si="25"/>
        <v>0</v>
      </c>
      <c r="AL39" s="516"/>
      <c r="AM39" s="516"/>
      <c r="AN39" s="506"/>
      <c r="AO39" s="519"/>
      <c r="AP39" s="558"/>
      <c r="AQ39" s="504"/>
      <c r="AR39" s="503"/>
      <c r="AS39" s="520" t="s">
        <v>4117</v>
      </c>
      <c r="AT39" s="1288">
        <f>'Q. GASB 87 Lease Entries'!O77</f>
        <v>22999</v>
      </c>
      <c r="AU39" s="521"/>
      <c r="AV39" s="504"/>
      <c r="AW39" s="503"/>
      <c r="AX39" s="520"/>
      <c r="AY39" s="522"/>
      <c r="AZ39" s="523"/>
      <c r="BA39" s="524"/>
      <c r="BB39" s="465">
        <f>ROUND(AJ39+AL39+AN39+AQ39+AV39+AZ39,0)</f>
        <v>0</v>
      </c>
      <c r="BC39" s="465">
        <f>ROUND(AK39+AM39+AO39+AT39+AY39+BA39,0)</f>
        <v>22999</v>
      </c>
      <c r="BD39" s="506"/>
      <c r="BE39" s="519"/>
      <c r="BF39" s="504" t="str">
        <f t="shared" si="26"/>
        <v xml:space="preserve"> </v>
      </c>
      <c r="BG39" s="522">
        <f t="shared" si="27"/>
        <v>22999</v>
      </c>
      <c r="BH39" s="1189"/>
      <c r="BI39" s="1193"/>
      <c r="BJ39" s="1206"/>
    </row>
    <row r="40" spans="1:255" s="1263" customFormat="1" x14ac:dyDescent="0.2">
      <c r="A40" s="25"/>
      <c r="C40" s="1260" t="s">
        <v>4126</v>
      </c>
      <c r="D40" s="525"/>
      <c r="E40" s="526"/>
      <c r="F40" s="516"/>
      <c r="G40" s="516"/>
      <c r="H40" s="516"/>
      <c r="I40" s="516"/>
      <c r="J40" s="516"/>
      <c r="K40" s="517"/>
      <c r="L40" s="516"/>
      <c r="M40" s="516"/>
      <c r="N40" s="516"/>
      <c r="O40" s="516"/>
      <c r="P40" s="518"/>
      <c r="Q40" s="518"/>
      <c r="R40" s="518"/>
      <c r="S40" s="518"/>
      <c r="T40" s="518"/>
      <c r="U40" s="518"/>
      <c r="V40" s="518"/>
      <c r="W40" s="518"/>
      <c r="X40" s="518"/>
      <c r="Y40" s="518"/>
      <c r="Z40" s="518"/>
      <c r="AA40" s="518"/>
      <c r="AB40" s="518"/>
      <c r="AC40" s="518"/>
      <c r="AD40" s="516"/>
      <c r="AE40" s="516"/>
      <c r="AF40" s="516"/>
      <c r="AG40" s="516"/>
      <c r="AH40" s="529">
        <f t="shared" si="22"/>
        <v>0</v>
      </c>
      <c r="AI40" s="503">
        <f t="shared" si="23"/>
        <v>0</v>
      </c>
      <c r="AJ40" s="506">
        <f t="shared" si="24"/>
        <v>0</v>
      </c>
      <c r="AK40" s="519">
        <f t="shared" si="25"/>
        <v>0</v>
      </c>
      <c r="AL40" s="516">
        <v>23557</v>
      </c>
      <c r="AM40" s="516"/>
      <c r="AN40" s="506"/>
      <c r="AO40" s="519"/>
      <c r="AP40" s="558" t="s">
        <v>4179</v>
      </c>
      <c r="AQ40" s="1288">
        <f>'R. GASB 96 Subscription Entries'!M31</f>
        <v>48781</v>
      </c>
      <c r="AR40" s="503"/>
      <c r="AS40" s="520"/>
      <c r="AT40" s="504"/>
      <c r="AU40" s="521"/>
      <c r="AV40" s="504"/>
      <c r="AW40" s="503"/>
      <c r="AX40" s="520"/>
      <c r="AY40" s="522"/>
      <c r="AZ40" s="523"/>
      <c r="BA40" s="524"/>
      <c r="BB40" s="465">
        <f>ROUND(AJ40+AL40+AN40+AQ40+AV40+AZ40,0)</f>
        <v>72338</v>
      </c>
      <c r="BC40" s="465">
        <f>ROUND(AK40+AM40+AO40+AT40+AY40+BA40,0)</f>
        <v>0</v>
      </c>
      <c r="BD40" s="506"/>
      <c r="BE40" s="519"/>
      <c r="BF40" s="504">
        <f t="shared" si="26"/>
        <v>72338</v>
      </c>
      <c r="BG40" s="522" t="str">
        <f t="shared" si="27"/>
        <v xml:space="preserve"> </v>
      </c>
      <c r="BH40" s="1189"/>
      <c r="BI40" s="1193"/>
      <c r="BJ40" s="1206"/>
    </row>
    <row r="41" spans="1:255" s="1263" customFormat="1" ht="25.5" x14ac:dyDescent="0.2">
      <c r="A41" s="25"/>
      <c r="C41" s="1260" t="s">
        <v>4127</v>
      </c>
      <c r="D41" s="525"/>
      <c r="E41" s="526"/>
      <c r="F41" s="516"/>
      <c r="G41" s="516"/>
      <c r="H41" s="516"/>
      <c r="I41" s="516"/>
      <c r="J41" s="516"/>
      <c r="K41" s="517"/>
      <c r="L41" s="516"/>
      <c r="M41" s="516"/>
      <c r="N41" s="516"/>
      <c r="O41" s="516"/>
      <c r="P41" s="518"/>
      <c r="Q41" s="518"/>
      <c r="R41" s="518"/>
      <c r="S41" s="518"/>
      <c r="T41" s="518"/>
      <c r="U41" s="518"/>
      <c r="V41" s="518"/>
      <c r="W41" s="518"/>
      <c r="X41" s="518"/>
      <c r="Y41" s="518"/>
      <c r="Z41" s="518"/>
      <c r="AA41" s="518"/>
      <c r="AB41" s="518"/>
      <c r="AC41" s="518"/>
      <c r="AD41" s="516"/>
      <c r="AE41" s="516"/>
      <c r="AF41" s="516"/>
      <c r="AG41" s="516"/>
      <c r="AH41" s="529">
        <f t="shared" si="22"/>
        <v>0</v>
      </c>
      <c r="AI41" s="503">
        <f t="shared" si="23"/>
        <v>0</v>
      </c>
      <c r="AJ41" s="506">
        <f t="shared" si="24"/>
        <v>0</v>
      </c>
      <c r="AK41" s="519">
        <f t="shared" si="25"/>
        <v>0</v>
      </c>
      <c r="AL41" s="516"/>
      <c r="AM41" s="516"/>
      <c r="AN41" s="506"/>
      <c r="AO41" s="519"/>
      <c r="AP41" s="558"/>
      <c r="AQ41" s="504"/>
      <c r="AR41" s="503"/>
      <c r="AS41" s="520" t="s">
        <v>4131</v>
      </c>
      <c r="AT41" s="1288">
        <f>'R. GASB 96 Subscription Entries'!O77</f>
        <v>21535</v>
      </c>
      <c r="AU41" s="521"/>
      <c r="AV41" s="504"/>
      <c r="AW41" s="503"/>
      <c r="AX41" s="520"/>
      <c r="AY41" s="522"/>
      <c r="AZ41" s="523"/>
      <c r="BA41" s="524"/>
      <c r="BB41" s="465"/>
      <c r="BC41" s="465">
        <f>ROUND(AK41+AM41+AO41+AT41+AY41+BA41,0)</f>
        <v>21535</v>
      </c>
      <c r="BD41" s="506"/>
      <c r="BE41" s="519"/>
      <c r="BF41" s="504">
        <v>0</v>
      </c>
      <c r="BG41" s="522">
        <f t="shared" si="27"/>
        <v>21535</v>
      </c>
      <c r="BH41" s="1189"/>
      <c r="BI41" s="1193"/>
      <c r="BJ41" s="1206"/>
    </row>
    <row r="42" spans="1:255" x14ac:dyDescent="0.2">
      <c r="A42" s="25"/>
      <c r="C42" s="13" t="s">
        <v>1122</v>
      </c>
      <c r="D42" s="525"/>
      <c r="E42" s="526"/>
      <c r="F42" s="516"/>
      <c r="G42" s="516"/>
      <c r="H42" s="516"/>
      <c r="I42" s="516"/>
      <c r="J42" s="516"/>
      <c r="K42" s="517"/>
      <c r="L42" s="516"/>
      <c r="M42" s="516"/>
      <c r="N42" s="516"/>
      <c r="O42" s="516"/>
      <c r="P42" s="518"/>
      <c r="Q42" s="518"/>
      <c r="R42" s="518"/>
      <c r="S42" s="518"/>
      <c r="T42" s="518"/>
      <c r="U42" s="518"/>
      <c r="V42" s="518"/>
      <c r="W42" s="518"/>
      <c r="X42" s="518"/>
      <c r="Y42" s="518"/>
      <c r="Z42" s="518"/>
      <c r="AA42" s="518"/>
      <c r="AB42" s="518"/>
      <c r="AC42" s="518"/>
      <c r="AD42" s="516"/>
      <c r="AE42" s="516"/>
      <c r="AF42" s="516"/>
      <c r="AG42" s="516"/>
      <c r="AH42" s="529">
        <f t="shared" si="18"/>
        <v>0</v>
      </c>
      <c r="AI42" s="503">
        <f t="shared" si="19"/>
        <v>0</v>
      </c>
      <c r="AJ42" s="506">
        <f t="shared" si="20"/>
        <v>0</v>
      </c>
      <c r="AK42" s="519">
        <f t="shared" si="21"/>
        <v>0</v>
      </c>
      <c r="AL42" s="516"/>
      <c r="AM42" s="516"/>
      <c r="AN42" s="506"/>
      <c r="AO42" s="519"/>
      <c r="AP42" s="520" t="str">
        <f>'H. Debt Issues'!D78</f>
        <v>H.1</v>
      </c>
      <c r="AQ42" s="504">
        <f>'H. Debt Issues'!L84</f>
        <v>0</v>
      </c>
      <c r="AR42" s="503"/>
      <c r="AS42" s="520" t="str">
        <f>'H. Debt Issues'!D78</f>
        <v>H.1</v>
      </c>
      <c r="AT42" s="504">
        <f>'H. Debt Issues'!N84</f>
        <v>0</v>
      </c>
      <c r="AU42" s="521"/>
      <c r="AV42" s="504"/>
      <c r="AW42" s="503"/>
      <c r="AX42" s="520"/>
      <c r="AY42" s="522"/>
      <c r="AZ42" s="523"/>
      <c r="BA42" s="524"/>
      <c r="BB42" s="465">
        <f t="shared" ref="BB42:BB45" si="28">ROUND(AJ42+AL42+AN42+AQ42+AV42+AZ42,0)</f>
        <v>0</v>
      </c>
      <c r="BC42" s="465">
        <f t="shared" ref="BC42:BC45" si="29">ROUND(AK42+AM42+AO42+AT42+AY42+BA42,0)</f>
        <v>0</v>
      </c>
      <c r="BD42" s="506"/>
      <c r="BE42" s="519"/>
      <c r="BF42" s="504" t="str">
        <f>IF(BB42-BC42&lt;=0," ",BB42-BC42)</f>
        <v xml:space="preserve"> </v>
      </c>
      <c r="BG42" s="522">
        <f>IF(BB42-BC42&gt;0," ",BC42-BB42)</f>
        <v>0</v>
      </c>
    </row>
    <row r="43" spans="1:255" x14ac:dyDescent="0.2">
      <c r="A43" s="33"/>
      <c r="B43" s="29"/>
      <c r="C43" s="249" t="s">
        <v>814</v>
      </c>
      <c r="D43" s="540"/>
      <c r="E43" s="541"/>
      <c r="F43" s="542"/>
      <c r="G43" s="542"/>
      <c r="H43" s="542"/>
      <c r="I43" s="542"/>
      <c r="J43" s="542"/>
      <c r="K43" s="543"/>
      <c r="L43" s="542"/>
      <c r="M43" s="542"/>
      <c r="N43" s="542"/>
      <c r="O43" s="542"/>
      <c r="P43" s="544"/>
      <c r="Q43" s="544"/>
      <c r="R43" s="544"/>
      <c r="S43" s="544"/>
      <c r="T43" s="544"/>
      <c r="U43" s="544"/>
      <c r="V43" s="544"/>
      <c r="W43" s="544"/>
      <c r="X43" s="544"/>
      <c r="Y43" s="544"/>
      <c r="Z43" s="544"/>
      <c r="AA43" s="544"/>
      <c r="AB43" s="544"/>
      <c r="AC43" s="544"/>
      <c r="AD43" s="542"/>
      <c r="AE43" s="542"/>
      <c r="AF43" s="542"/>
      <c r="AG43" s="542"/>
      <c r="AH43" s="545">
        <f t="shared" ref="AH43:AH47" si="30">L43+N43+P43+R43+T43+V43+X43+Z43+AB43+AD43+AF43</f>
        <v>0</v>
      </c>
      <c r="AI43" s="546">
        <f t="shared" ref="AI43:AI47" si="31">M43+O43+Q43+S43+U43+W43+Y43+AA43+AC43+AE43+AG43</f>
        <v>0</v>
      </c>
      <c r="AJ43" s="547">
        <f t="shared" si="20"/>
        <v>0</v>
      </c>
      <c r="AK43" s="548">
        <f t="shared" si="21"/>
        <v>0</v>
      </c>
      <c r="AL43" s="1294">
        <v>1795206</v>
      </c>
      <c r="AM43" s="542"/>
      <c r="AN43" s="547"/>
      <c r="AO43" s="548"/>
      <c r="AP43" s="549" t="str">
        <f>'E. Capital Outlay'!D54</f>
        <v>E.1</v>
      </c>
      <c r="AQ43" s="550">
        <f>'E. Capital Outlay'!L54</f>
        <v>0</v>
      </c>
      <c r="AR43" s="546"/>
      <c r="AS43" s="549" t="str">
        <f>'F.  Other Cap Asset Entries'!D220</f>
        <v>F.1</v>
      </c>
      <c r="AT43" s="1288">
        <f>'F.  Other Cap Asset Entries'!O232</f>
        <v>1000</v>
      </c>
      <c r="AU43" s="553" t="s">
        <v>637</v>
      </c>
      <c r="AV43" s="550">
        <f>'K.1  Int. Service Fd Allocation'!E170+'K.2  Int. Service Fd Alloca'!E165+'K.3 Int. Service Fd Alloca'!E165</f>
        <v>0</v>
      </c>
      <c r="AW43" s="546"/>
      <c r="AX43" s="549"/>
      <c r="AY43" s="552"/>
      <c r="AZ43" s="523"/>
      <c r="BA43" s="524"/>
      <c r="BB43" s="550">
        <f t="shared" si="28"/>
        <v>1795206</v>
      </c>
      <c r="BC43" s="550">
        <f t="shared" si="29"/>
        <v>1000</v>
      </c>
      <c r="BD43" s="547"/>
      <c r="BE43" s="548"/>
      <c r="BF43" s="550">
        <f>IF((BB43+BB44+BB45)-(BC43+BC44+BC45)&lt;=0," ",(BB43+BB44+BB45)-(BC43+BC44+BC45))</f>
        <v>1831706</v>
      </c>
      <c r="BG43" s="552" t="str">
        <f>IF((BB43+BB44+BB45)-(BC43+BC44+BC45)&gt;0," ",(BC43+BC44+BC45)-(BB43+BB44+BB45))</f>
        <v xml:space="preserve"> </v>
      </c>
      <c r="BH43" s="1192"/>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c r="IU43" s="13"/>
    </row>
    <row r="44" spans="1:255" x14ac:dyDescent="0.2">
      <c r="A44" s="33"/>
      <c r="B44" s="29"/>
      <c r="C44" s="249"/>
      <c r="D44" s="540"/>
      <c r="E44" s="541"/>
      <c r="F44" s="542"/>
      <c r="G44" s="542"/>
      <c r="H44" s="542"/>
      <c r="I44" s="542"/>
      <c r="J44" s="542"/>
      <c r="K44" s="543"/>
      <c r="L44" s="542"/>
      <c r="M44" s="542"/>
      <c r="N44" s="542"/>
      <c r="O44" s="542"/>
      <c r="P44" s="544"/>
      <c r="Q44" s="544"/>
      <c r="R44" s="544"/>
      <c r="S44" s="544"/>
      <c r="T44" s="544"/>
      <c r="U44" s="544"/>
      <c r="V44" s="544"/>
      <c r="W44" s="544"/>
      <c r="X44" s="544"/>
      <c r="Y44" s="544"/>
      <c r="Z44" s="544"/>
      <c r="AA44" s="544"/>
      <c r="AB44" s="544"/>
      <c r="AC44" s="544"/>
      <c r="AD44" s="542"/>
      <c r="AE44" s="542"/>
      <c r="AF44" s="542"/>
      <c r="AG44" s="542"/>
      <c r="AH44" s="545">
        <f t="shared" si="30"/>
        <v>0</v>
      </c>
      <c r="AI44" s="546">
        <f t="shared" si="31"/>
        <v>0</v>
      </c>
      <c r="AJ44" s="547">
        <f t="shared" si="20"/>
        <v>0</v>
      </c>
      <c r="AK44" s="548">
        <f t="shared" si="21"/>
        <v>0</v>
      </c>
      <c r="AL44" s="547"/>
      <c r="AM44" s="542"/>
      <c r="AN44" s="547"/>
      <c r="AO44" s="548"/>
      <c r="AP44" s="549" t="str">
        <f>'F.  Other Cap Asset Entries'!D220</f>
        <v>F.1</v>
      </c>
      <c r="AQ44" s="550">
        <f>'F.  Other Cap Asset Entries'!M232</f>
        <v>0</v>
      </c>
      <c r="AR44" s="546"/>
      <c r="AS44" s="559" t="s">
        <v>624</v>
      </c>
      <c r="AT44" s="560">
        <f>'F.  Other Cap Asset Entries'!O267</f>
        <v>0</v>
      </c>
      <c r="AU44" s="551"/>
      <c r="AV44" s="550"/>
      <c r="AW44" s="546"/>
      <c r="AX44" s="549"/>
      <c r="AY44" s="552"/>
      <c r="AZ44" s="523"/>
      <c r="BA44" s="524"/>
      <c r="BB44" s="550">
        <f t="shared" si="28"/>
        <v>0</v>
      </c>
      <c r="BC44" s="550">
        <f t="shared" si="29"/>
        <v>0</v>
      </c>
      <c r="BD44" s="547"/>
      <c r="BE44" s="548"/>
      <c r="BF44" s="550"/>
      <c r="BG44" s="552"/>
      <c r="BH44" s="1191"/>
      <c r="BI44" s="1194"/>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row>
    <row r="45" spans="1:255" x14ac:dyDescent="0.2">
      <c r="A45" s="33"/>
      <c r="B45" s="29"/>
      <c r="C45" s="249"/>
      <c r="D45" s="540"/>
      <c r="E45" s="541"/>
      <c r="F45" s="542"/>
      <c r="G45" s="542"/>
      <c r="H45" s="542"/>
      <c r="I45" s="542"/>
      <c r="J45" s="542"/>
      <c r="K45" s="543"/>
      <c r="L45" s="542"/>
      <c r="M45" s="542"/>
      <c r="N45" s="542"/>
      <c r="O45" s="542"/>
      <c r="P45" s="544"/>
      <c r="Q45" s="544"/>
      <c r="R45" s="544"/>
      <c r="S45" s="544"/>
      <c r="T45" s="544"/>
      <c r="U45" s="544"/>
      <c r="V45" s="544"/>
      <c r="W45" s="544"/>
      <c r="X45" s="544"/>
      <c r="Y45" s="544"/>
      <c r="Z45" s="544"/>
      <c r="AA45" s="544"/>
      <c r="AB45" s="544"/>
      <c r="AC45" s="544"/>
      <c r="AD45" s="542"/>
      <c r="AE45" s="542"/>
      <c r="AF45" s="542"/>
      <c r="AG45" s="542"/>
      <c r="AH45" s="545">
        <f t="shared" si="30"/>
        <v>0</v>
      </c>
      <c r="AI45" s="546">
        <f t="shared" si="31"/>
        <v>0</v>
      </c>
      <c r="AJ45" s="547">
        <f t="shared" si="20"/>
        <v>0</v>
      </c>
      <c r="AK45" s="548">
        <f t="shared" si="21"/>
        <v>0</v>
      </c>
      <c r="AL45" s="547"/>
      <c r="AM45" s="542"/>
      <c r="AN45" s="547"/>
      <c r="AO45" s="548"/>
      <c r="AP45" s="549" t="str">
        <f>'F.  Other Cap Asset Entries'!D244</f>
        <v>F.2</v>
      </c>
      <c r="AQ45" s="550">
        <f>'F.  Other Cap Asset Entries'!M244</f>
        <v>37500</v>
      </c>
      <c r="AR45" s="546"/>
      <c r="AS45" s="559"/>
      <c r="AT45" s="560"/>
      <c r="AU45" s="551"/>
      <c r="AV45" s="550"/>
      <c r="AW45" s="546"/>
      <c r="AX45" s="549"/>
      <c r="AY45" s="552"/>
      <c r="AZ45" s="523"/>
      <c r="BA45" s="524"/>
      <c r="BB45" s="550">
        <f t="shared" si="28"/>
        <v>37500</v>
      </c>
      <c r="BC45" s="550">
        <f t="shared" si="29"/>
        <v>0</v>
      </c>
      <c r="BD45" s="547"/>
      <c r="BE45" s="548"/>
      <c r="BF45" s="550"/>
      <c r="BG45" s="552"/>
      <c r="BH45" s="1191"/>
      <c r="BI45" s="1194"/>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c r="GG45" s="13"/>
      <c r="GH45" s="13"/>
      <c r="GI45" s="13"/>
      <c r="GJ45" s="13"/>
      <c r="GK45" s="13"/>
      <c r="GL45" s="13"/>
      <c r="GM45" s="13"/>
      <c r="GN45" s="13"/>
      <c r="GO45" s="13"/>
      <c r="GP45" s="13"/>
      <c r="GQ45" s="13"/>
      <c r="GR45" s="13"/>
      <c r="GS45" s="13"/>
      <c r="GT45" s="13"/>
      <c r="GU45" s="13"/>
      <c r="GV45" s="13"/>
      <c r="GW45" s="13"/>
      <c r="GX45" s="13"/>
      <c r="GY45" s="13"/>
      <c r="GZ45" s="13"/>
      <c r="HA45" s="13"/>
      <c r="HB45" s="13"/>
      <c r="HC45" s="13"/>
      <c r="HD45" s="13"/>
      <c r="HE45" s="13"/>
      <c r="HF45" s="13"/>
      <c r="HG45" s="13"/>
      <c r="HH45" s="13"/>
      <c r="HI45" s="13"/>
      <c r="HJ45" s="13"/>
      <c r="HK45" s="13"/>
      <c r="HL45" s="13"/>
      <c r="HM45" s="13"/>
      <c r="HN45" s="13"/>
      <c r="HO45" s="13"/>
      <c r="HP45" s="13"/>
      <c r="HQ45" s="13"/>
      <c r="HR45" s="13"/>
      <c r="HS45" s="13"/>
      <c r="HT45" s="13"/>
      <c r="HU45" s="13"/>
      <c r="HV45" s="13"/>
      <c r="HW45" s="13"/>
      <c r="HX45" s="13"/>
      <c r="HY45" s="13"/>
      <c r="HZ45" s="13"/>
      <c r="IA45" s="13"/>
      <c r="IB45" s="13"/>
      <c r="IC45" s="13"/>
      <c r="ID45" s="13"/>
      <c r="IE45" s="13"/>
      <c r="IF45" s="13"/>
      <c r="IG45" s="13"/>
      <c r="IH45" s="13"/>
      <c r="II45" s="13"/>
      <c r="IJ45" s="13"/>
      <c r="IK45" s="13"/>
      <c r="IL45" s="13"/>
      <c r="IM45" s="13"/>
      <c r="IN45" s="13"/>
      <c r="IO45" s="13"/>
      <c r="IP45" s="13"/>
      <c r="IQ45" s="13"/>
      <c r="IR45" s="13"/>
      <c r="IS45" s="13"/>
      <c r="IT45" s="13"/>
      <c r="IU45" s="13"/>
    </row>
    <row r="46" spans="1:255" x14ac:dyDescent="0.2">
      <c r="A46" s="33"/>
      <c r="B46" s="29"/>
      <c r="C46" s="13" t="s">
        <v>827</v>
      </c>
      <c r="D46" s="531"/>
      <c r="E46" s="532"/>
      <c r="F46" s="528"/>
      <c r="G46" s="528"/>
      <c r="H46" s="528"/>
      <c r="I46" s="528"/>
      <c r="J46" s="528"/>
      <c r="K46" s="533"/>
      <c r="L46" s="528"/>
      <c r="M46" s="528"/>
      <c r="N46" s="528"/>
      <c r="O46" s="528"/>
      <c r="P46" s="527"/>
      <c r="Q46" s="527"/>
      <c r="R46" s="527"/>
      <c r="S46" s="527"/>
      <c r="T46" s="527"/>
      <c r="U46" s="527"/>
      <c r="V46" s="527"/>
      <c r="W46" s="527"/>
      <c r="X46" s="527"/>
      <c r="Y46" s="527"/>
      <c r="Z46" s="527"/>
      <c r="AA46" s="527"/>
      <c r="AB46" s="527"/>
      <c r="AC46" s="527"/>
      <c r="AD46" s="528"/>
      <c r="AE46" s="528"/>
      <c r="AF46" s="528"/>
      <c r="AG46" s="528"/>
      <c r="AH46" s="529">
        <f t="shared" si="30"/>
        <v>0</v>
      </c>
      <c r="AI46" s="503">
        <f t="shared" si="31"/>
        <v>0</v>
      </c>
      <c r="AJ46" s="506">
        <f t="shared" si="20"/>
        <v>0</v>
      </c>
      <c r="AK46" s="519">
        <f t="shared" si="21"/>
        <v>0</v>
      </c>
      <c r="AL46" s="1294">
        <v>294467</v>
      </c>
      <c r="AM46" s="528"/>
      <c r="AN46" s="534"/>
      <c r="AO46" s="535"/>
      <c r="AP46" s="536" t="str">
        <f>'E. Capital Outlay'!D54</f>
        <v>E.1</v>
      </c>
      <c r="AQ46" s="432">
        <f>'E. Capital Outlay'!L55</f>
        <v>146096</v>
      </c>
      <c r="AR46" s="537"/>
      <c r="AS46" s="536"/>
      <c r="AT46" s="432"/>
      <c r="AU46" s="539"/>
      <c r="AV46" s="432"/>
      <c r="AW46" s="537"/>
      <c r="AX46" s="536"/>
      <c r="AY46" s="538"/>
      <c r="AZ46" s="523"/>
      <c r="BA46" s="524"/>
      <c r="BB46" s="465">
        <f t="shared" ref="BB46:BB78" si="32">ROUND(AJ46+AL46+AN46+AQ46+AV46+AZ46,0)</f>
        <v>440563</v>
      </c>
      <c r="BC46" s="465">
        <f t="shared" ref="BC46:BC78" si="33">ROUND(AK46+AM46+AO46+AT46+AY46+BA46,0)</f>
        <v>0</v>
      </c>
      <c r="BD46" s="506"/>
      <c r="BE46" s="535"/>
      <c r="BF46" s="504">
        <f t="shared" ref="BF46:BF51" si="34">IF(BB46-BC46&lt;=0," ",BB46-BC46)</f>
        <v>440563</v>
      </c>
      <c r="BG46" s="522" t="str">
        <f>IF(BB46-BC46&gt;0," ",BC46-BB46)</f>
        <v xml:space="preserve"> </v>
      </c>
      <c r="BH46" s="1192"/>
      <c r="BI46" s="1194"/>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c r="GX46" s="13"/>
      <c r="GY46" s="13"/>
      <c r="GZ46" s="13"/>
      <c r="HA46" s="13"/>
      <c r="HB46" s="13"/>
      <c r="HC46" s="13"/>
      <c r="HD46" s="13"/>
      <c r="HE46" s="13"/>
      <c r="HF46" s="13"/>
      <c r="HG46" s="13"/>
      <c r="HH46" s="13"/>
      <c r="HI46" s="13"/>
      <c r="HJ46" s="13"/>
      <c r="HK46" s="13"/>
      <c r="HL46" s="13"/>
      <c r="HM46" s="13"/>
      <c r="HN46" s="13"/>
      <c r="HO46" s="13"/>
      <c r="HP46" s="13"/>
      <c r="HQ46" s="13"/>
      <c r="HR46" s="13"/>
      <c r="HS46" s="13"/>
      <c r="HT46" s="13"/>
      <c r="HU46" s="13"/>
      <c r="HV46" s="13"/>
      <c r="HW46" s="13"/>
      <c r="HX46" s="13"/>
      <c r="HY46" s="13"/>
      <c r="HZ46" s="13"/>
      <c r="IA46" s="13"/>
      <c r="IB46" s="13"/>
      <c r="IC46" s="13"/>
      <c r="ID46" s="13"/>
      <c r="IE46" s="13"/>
      <c r="IF46" s="13"/>
      <c r="IG46" s="13"/>
      <c r="IH46" s="13"/>
      <c r="II46" s="13"/>
      <c r="IJ46" s="13"/>
      <c r="IK46" s="13"/>
      <c r="IL46" s="13"/>
      <c r="IM46" s="13"/>
      <c r="IN46" s="13"/>
      <c r="IO46" s="13"/>
      <c r="IP46" s="13"/>
      <c r="IQ46" s="13"/>
      <c r="IR46" s="13"/>
      <c r="IS46" s="13"/>
      <c r="IT46" s="13"/>
      <c r="IU46" s="13"/>
    </row>
    <row r="47" spans="1:255" x14ac:dyDescent="0.2">
      <c r="A47" s="33"/>
      <c r="B47" s="29"/>
      <c r="C47" s="13" t="s">
        <v>703</v>
      </c>
      <c r="D47" s="531"/>
      <c r="E47" s="532"/>
      <c r="F47" s="528"/>
      <c r="G47" s="528"/>
      <c r="H47" s="528"/>
      <c r="I47" s="528"/>
      <c r="J47" s="528"/>
      <c r="K47" s="533"/>
      <c r="L47" s="528"/>
      <c r="M47" s="528"/>
      <c r="N47" s="528"/>
      <c r="O47" s="528"/>
      <c r="P47" s="527"/>
      <c r="Q47" s="527"/>
      <c r="R47" s="527"/>
      <c r="S47" s="527"/>
      <c r="T47" s="527"/>
      <c r="U47" s="527"/>
      <c r="V47" s="527"/>
      <c r="W47" s="527"/>
      <c r="X47" s="527"/>
      <c r="Y47" s="527"/>
      <c r="Z47" s="527"/>
      <c r="AA47" s="527"/>
      <c r="AB47" s="527"/>
      <c r="AC47" s="527"/>
      <c r="AD47" s="528"/>
      <c r="AE47" s="528"/>
      <c r="AF47" s="528"/>
      <c r="AG47" s="528"/>
      <c r="AH47" s="529">
        <f t="shared" si="30"/>
        <v>0</v>
      </c>
      <c r="AI47" s="503">
        <f t="shared" si="31"/>
        <v>0</v>
      </c>
      <c r="AJ47" s="506">
        <f t="shared" si="20"/>
        <v>0</v>
      </c>
      <c r="AK47" s="519">
        <f t="shared" si="21"/>
        <v>0</v>
      </c>
      <c r="AL47" s="534"/>
      <c r="AM47" s="528"/>
      <c r="AN47" s="534"/>
      <c r="AO47" s="535"/>
      <c r="AP47" s="536"/>
      <c r="AQ47" s="432"/>
      <c r="AR47" s="537"/>
      <c r="AS47" s="536"/>
      <c r="AT47" s="432"/>
      <c r="AU47" s="539"/>
      <c r="AV47" s="432"/>
      <c r="AW47" s="537"/>
      <c r="AX47" s="536"/>
      <c r="AY47" s="538"/>
      <c r="AZ47" s="523"/>
      <c r="BA47" s="524"/>
      <c r="BB47" s="465">
        <f t="shared" si="32"/>
        <v>0</v>
      </c>
      <c r="BC47" s="465">
        <f t="shared" si="33"/>
        <v>0</v>
      </c>
      <c r="BD47" s="506"/>
      <c r="BE47" s="535"/>
      <c r="BF47" s="504" t="str">
        <f t="shared" si="34"/>
        <v xml:space="preserve"> </v>
      </c>
      <c r="BG47" s="522">
        <f>IF(BB47-BC47&gt;0," ",BC47-BB47)</f>
        <v>0</v>
      </c>
      <c r="BH47" s="1191"/>
      <c r="BI47" s="1194"/>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c r="IU47" s="13"/>
    </row>
    <row r="48" spans="1:255" s="13" customFormat="1" x14ac:dyDescent="0.2">
      <c r="A48" s="33"/>
      <c r="B48" s="29"/>
      <c r="C48" s="249" t="s">
        <v>815</v>
      </c>
      <c r="D48" s="540"/>
      <c r="E48" s="541"/>
      <c r="F48" s="542"/>
      <c r="G48" s="542"/>
      <c r="H48" s="542"/>
      <c r="I48" s="542"/>
      <c r="J48" s="542"/>
      <c r="K48" s="543"/>
      <c r="L48" s="542"/>
      <c r="M48" s="542"/>
      <c r="N48" s="542"/>
      <c r="O48" s="542"/>
      <c r="P48" s="544"/>
      <c r="Q48" s="544"/>
      <c r="R48" s="544"/>
      <c r="S48" s="544"/>
      <c r="T48" s="544"/>
      <c r="U48" s="544"/>
      <c r="V48" s="544"/>
      <c r="W48" s="544"/>
      <c r="X48" s="544"/>
      <c r="Y48" s="544"/>
      <c r="Z48" s="544"/>
      <c r="AA48" s="544"/>
      <c r="AB48" s="544"/>
      <c r="AC48" s="544"/>
      <c r="AD48" s="542"/>
      <c r="AE48" s="542"/>
      <c r="AF48" s="542"/>
      <c r="AG48" s="542"/>
      <c r="AH48" s="545">
        <f t="shared" ref="AH48:AH51" si="35">L48+N48+P48+R48+T48+V48+X48+Z48+AB48+AD48+AF48</f>
        <v>0</v>
      </c>
      <c r="AI48" s="546">
        <f t="shared" ref="AI48:AI51" si="36">M48+O48+Q48+S48+U48+W48+Y48+AA48+AC48+AE48+AG48</f>
        <v>0</v>
      </c>
      <c r="AJ48" s="547">
        <f t="shared" si="20"/>
        <v>0</v>
      </c>
      <c r="AK48" s="548">
        <f t="shared" si="21"/>
        <v>0</v>
      </c>
      <c r="AL48" s="1294">
        <v>14513340</v>
      </c>
      <c r="AM48" s="542"/>
      <c r="AN48" s="547"/>
      <c r="AO48" s="548"/>
      <c r="AP48" s="549" t="str">
        <f>'E. Capital Outlay'!D54</f>
        <v>E.1</v>
      </c>
      <c r="AQ48" s="550">
        <f>'E. Capital Outlay'!L56</f>
        <v>92650</v>
      </c>
      <c r="AR48" s="546"/>
      <c r="AS48" s="549" t="str">
        <f>'F.  Other Cap Asset Entries'!D220</f>
        <v>F.1</v>
      </c>
      <c r="AT48" s="550">
        <f>'F.  Other Cap Asset Entries'!O233</f>
        <v>0</v>
      </c>
      <c r="AU48" s="553" t="s">
        <v>637</v>
      </c>
      <c r="AV48" s="550">
        <f>'K.1  Int. Service Fd Allocation'!E171+'K.2  Int. Service Fd Alloca'!E166+'K.3 Int. Service Fd Alloca'!E166</f>
        <v>0</v>
      </c>
      <c r="AW48" s="546"/>
      <c r="AX48" s="549"/>
      <c r="AY48" s="552"/>
      <c r="AZ48" s="523"/>
      <c r="BA48" s="524"/>
      <c r="BB48" s="550">
        <f t="shared" si="32"/>
        <v>14605990</v>
      </c>
      <c r="BC48" s="550">
        <f t="shared" si="33"/>
        <v>0</v>
      </c>
      <c r="BD48" s="547"/>
      <c r="BE48" s="548"/>
      <c r="BF48" s="550">
        <f>IF(BB48+BB49+BB50-(BC48+BC49+BC50)&lt;=0," ",BB48+BB49+BB50-(BC48+BC49+BC50))</f>
        <v>14605990</v>
      </c>
      <c r="BG48" s="552" t="str">
        <f>IF(BB48+BB49+BB50-(BC48+BC49+BC50)&gt;0," ",BC48+BC49+BC50-(BB48+BB49+BB50))</f>
        <v xml:space="preserve"> </v>
      </c>
      <c r="BH48" s="1192"/>
      <c r="BI48" s="1194"/>
      <c r="BJ48" s="1206"/>
    </row>
    <row r="49" spans="1:255" s="13" customFormat="1" x14ac:dyDescent="0.2">
      <c r="A49" s="33"/>
      <c r="B49" s="29"/>
      <c r="C49" s="249"/>
      <c r="D49" s="540"/>
      <c r="E49" s="541"/>
      <c r="F49" s="542"/>
      <c r="G49" s="542"/>
      <c r="H49" s="542"/>
      <c r="I49" s="542"/>
      <c r="J49" s="542"/>
      <c r="K49" s="543"/>
      <c r="L49" s="542"/>
      <c r="M49" s="542"/>
      <c r="N49" s="542"/>
      <c r="O49" s="542"/>
      <c r="P49" s="544"/>
      <c r="Q49" s="544"/>
      <c r="R49" s="544"/>
      <c r="S49" s="544"/>
      <c r="T49" s="544"/>
      <c r="U49" s="544"/>
      <c r="V49" s="544"/>
      <c r="W49" s="544"/>
      <c r="X49" s="544"/>
      <c r="Y49" s="544"/>
      <c r="Z49" s="544"/>
      <c r="AA49" s="544"/>
      <c r="AB49" s="544"/>
      <c r="AC49" s="544"/>
      <c r="AD49" s="542"/>
      <c r="AE49" s="542"/>
      <c r="AF49" s="542"/>
      <c r="AG49" s="542"/>
      <c r="AH49" s="545">
        <f t="shared" si="35"/>
        <v>0</v>
      </c>
      <c r="AI49" s="546">
        <f t="shared" si="36"/>
        <v>0</v>
      </c>
      <c r="AJ49" s="547">
        <f t="shared" si="20"/>
        <v>0</v>
      </c>
      <c r="AK49" s="548">
        <f t="shared" si="21"/>
        <v>0</v>
      </c>
      <c r="AL49" s="547"/>
      <c r="AM49" s="542"/>
      <c r="AN49" s="547"/>
      <c r="AO49" s="548"/>
      <c r="AP49" s="549" t="str">
        <f>'F.  Other Cap Asset Entries'!D220</f>
        <v>F.1</v>
      </c>
      <c r="AQ49" s="550">
        <f>'F.  Other Cap Asset Entries'!M233</f>
        <v>0</v>
      </c>
      <c r="AR49" s="546"/>
      <c r="AS49" s="549" t="s">
        <v>624</v>
      </c>
      <c r="AT49" s="550">
        <f>'F.  Other Cap Asset Entries'!O268</f>
        <v>0</v>
      </c>
      <c r="AU49" s="551"/>
      <c r="AV49" s="550"/>
      <c r="AW49" s="546"/>
      <c r="AX49" s="549"/>
      <c r="AY49" s="552"/>
      <c r="AZ49" s="523"/>
      <c r="BA49" s="524"/>
      <c r="BB49" s="550">
        <f t="shared" si="32"/>
        <v>0</v>
      </c>
      <c r="BC49" s="550">
        <f t="shared" si="33"/>
        <v>0</v>
      </c>
      <c r="BD49" s="547"/>
      <c r="BE49" s="548"/>
      <c r="BF49" s="550"/>
      <c r="BG49" s="552"/>
      <c r="BH49" s="1192"/>
      <c r="BI49" s="1194"/>
      <c r="BJ49" s="1206"/>
    </row>
    <row r="50" spans="1:255" s="13" customFormat="1" x14ac:dyDescent="0.2">
      <c r="A50" s="33"/>
      <c r="B50" s="29"/>
      <c r="C50" s="249"/>
      <c r="D50" s="540"/>
      <c r="E50" s="541"/>
      <c r="F50" s="542"/>
      <c r="G50" s="542"/>
      <c r="H50" s="542"/>
      <c r="I50" s="542"/>
      <c r="J50" s="542"/>
      <c r="K50" s="543"/>
      <c r="L50" s="542"/>
      <c r="M50" s="542"/>
      <c r="N50" s="542"/>
      <c r="O50" s="542"/>
      <c r="P50" s="544"/>
      <c r="Q50" s="544"/>
      <c r="R50" s="544"/>
      <c r="S50" s="544"/>
      <c r="T50" s="544"/>
      <c r="U50" s="544"/>
      <c r="V50" s="544"/>
      <c r="W50" s="544"/>
      <c r="X50" s="544"/>
      <c r="Y50" s="544"/>
      <c r="Z50" s="544"/>
      <c r="AA50" s="544"/>
      <c r="AB50" s="544"/>
      <c r="AC50" s="544"/>
      <c r="AD50" s="542"/>
      <c r="AE50" s="542"/>
      <c r="AF50" s="542"/>
      <c r="AG50" s="542"/>
      <c r="AH50" s="545">
        <f t="shared" si="35"/>
        <v>0</v>
      </c>
      <c r="AI50" s="546">
        <f t="shared" si="36"/>
        <v>0</v>
      </c>
      <c r="AJ50" s="547">
        <f t="shared" si="20"/>
        <v>0</v>
      </c>
      <c r="AK50" s="548">
        <f t="shared" si="21"/>
        <v>0</v>
      </c>
      <c r="AL50" s="547"/>
      <c r="AM50" s="542"/>
      <c r="AN50" s="547"/>
      <c r="AO50" s="548"/>
      <c r="AP50" s="549" t="str">
        <f>'F.  Other Cap Asset Entries'!D244</f>
        <v>F.2</v>
      </c>
      <c r="AQ50" s="550">
        <f>'F.  Other Cap Asset Entries'!M245</f>
        <v>0</v>
      </c>
      <c r="AR50" s="546"/>
      <c r="AS50" s="549"/>
      <c r="AT50" s="550"/>
      <c r="AU50" s="551"/>
      <c r="AV50" s="550"/>
      <c r="AW50" s="546"/>
      <c r="AX50" s="549"/>
      <c r="AY50" s="552"/>
      <c r="AZ50" s="523"/>
      <c r="BA50" s="524"/>
      <c r="BB50" s="550">
        <f t="shared" si="32"/>
        <v>0</v>
      </c>
      <c r="BC50" s="550">
        <f t="shared" si="33"/>
        <v>0</v>
      </c>
      <c r="BD50" s="547"/>
      <c r="BE50" s="548"/>
      <c r="BF50" s="550"/>
      <c r="BG50" s="552"/>
      <c r="BH50" s="1192"/>
      <c r="BI50" s="1194"/>
      <c r="BJ50" s="1206"/>
    </row>
    <row r="51" spans="1:255" x14ac:dyDescent="0.2">
      <c r="A51" s="33"/>
      <c r="B51" s="29"/>
      <c r="C51" s="22" t="s">
        <v>493</v>
      </c>
      <c r="D51" s="531"/>
      <c r="E51" s="532"/>
      <c r="F51" s="528"/>
      <c r="G51" s="528"/>
      <c r="H51" s="528"/>
      <c r="I51" s="528"/>
      <c r="J51" s="528"/>
      <c r="K51" s="533"/>
      <c r="L51" s="528"/>
      <c r="M51" s="528"/>
      <c r="N51" s="528"/>
      <c r="O51" s="528"/>
      <c r="P51" s="527"/>
      <c r="Q51" s="527"/>
      <c r="R51" s="527"/>
      <c r="S51" s="527"/>
      <c r="T51" s="527"/>
      <c r="U51" s="527"/>
      <c r="V51" s="527"/>
      <c r="W51" s="527"/>
      <c r="X51" s="527"/>
      <c r="Y51" s="527"/>
      <c r="Z51" s="527"/>
      <c r="AA51" s="527"/>
      <c r="AB51" s="527"/>
      <c r="AC51" s="527"/>
      <c r="AD51" s="528"/>
      <c r="AE51" s="528"/>
      <c r="AF51" s="528"/>
      <c r="AG51" s="528"/>
      <c r="AH51" s="529">
        <f t="shared" si="35"/>
        <v>0</v>
      </c>
      <c r="AI51" s="503">
        <f t="shared" si="36"/>
        <v>0</v>
      </c>
      <c r="AJ51" s="506">
        <f t="shared" si="20"/>
        <v>0</v>
      </c>
      <c r="AK51" s="519">
        <f t="shared" si="21"/>
        <v>0</v>
      </c>
      <c r="AL51" s="534"/>
      <c r="AM51" s="1295">
        <v>4355382</v>
      </c>
      <c r="AN51" s="534"/>
      <c r="AO51" s="535"/>
      <c r="AP51" s="536" t="str">
        <f>'F.  Other Cap Asset Entries'!D220</f>
        <v>F.1</v>
      </c>
      <c r="AQ51" s="432">
        <f>'F.  Other Cap Asset Entries'!M220</f>
        <v>0</v>
      </c>
      <c r="AR51" s="537"/>
      <c r="AS51" s="536" t="str">
        <f>'D. Depreciation'!A55</f>
        <v>D.1</v>
      </c>
      <c r="AT51" s="432">
        <f>'D. Depreciation'!L65</f>
        <v>725792</v>
      </c>
      <c r="AU51" s="539"/>
      <c r="AV51" s="432"/>
      <c r="AW51" s="537"/>
      <c r="AX51" s="530" t="s">
        <v>637</v>
      </c>
      <c r="AY51" s="432">
        <f>'K.1  Int. Service Fd Allocation'!G183+'K.2  Int. Service Fd Alloca'!G178+'K.3 Int. Service Fd Alloca'!G178</f>
        <v>0</v>
      </c>
      <c r="AZ51" s="555"/>
      <c r="BA51" s="524"/>
      <c r="BB51" s="465">
        <f t="shared" si="32"/>
        <v>0</v>
      </c>
      <c r="BC51" s="465">
        <f t="shared" si="33"/>
        <v>5081174</v>
      </c>
      <c r="BD51" s="534"/>
      <c r="BE51" s="535"/>
      <c r="BF51" s="504" t="str">
        <f t="shared" si="34"/>
        <v xml:space="preserve"> </v>
      </c>
      <c r="BG51" s="522">
        <f>IF(BB51-BC51&gt;0," ",BC51-BB51)</f>
        <v>5081174</v>
      </c>
      <c r="BH51" s="1192"/>
      <c r="BI51" s="1194"/>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c r="IU51" s="13"/>
    </row>
    <row r="52" spans="1:255" x14ac:dyDescent="0.2">
      <c r="A52" s="33"/>
      <c r="B52" s="13"/>
      <c r="C52" s="249" t="s">
        <v>163</v>
      </c>
      <c r="D52" s="540"/>
      <c r="E52" s="541"/>
      <c r="F52" s="542"/>
      <c r="G52" s="542"/>
      <c r="H52" s="542"/>
      <c r="I52" s="542"/>
      <c r="J52" s="542"/>
      <c r="K52" s="543"/>
      <c r="L52" s="542"/>
      <c r="M52" s="542"/>
      <c r="N52" s="542"/>
      <c r="O52" s="542"/>
      <c r="P52" s="544"/>
      <c r="Q52" s="544"/>
      <c r="R52" s="544"/>
      <c r="S52" s="544"/>
      <c r="T52" s="544"/>
      <c r="U52" s="544"/>
      <c r="V52" s="544"/>
      <c r="W52" s="544"/>
      <c r="X52" s="544"/>
      <c r="Y52" s="544"/>
      <c r="Z52" s="544"/>
      <c r="AA52" s="544"/>
      <c r="AB52" s="544"/>
      <c r="AC52" s="544"/>
      <c r="AD52" s="542"/>
      <c r="AE52" s="542"/>
      <c r="AF52" s="542"/>
      <c r="AG52" s="542"/>
      <c r="AH52" s="545">
        <f t="shared" ref="AH52:AH55" si="37">L52+N52+P52+R52+T52+V52+X52+Z52+AB52+AD52+AF52</f>
        <v>0</v>
      </c>
      <c r="AI52" s="546">
        <f t="shared" ref="AI52:AI55" si="38">M52+O52+Q52+S52+U52+W52+Y52+AA52+AC52+AE52+AG52</f>
        <v>0</v>
      </c>
      <c r="AJ52" s="547">
        <f t="shared" si="20"/>
        <v>0</v>
      </c>
      <c r="AK52" s="548">
        <f t="shared" si="21"/>
        <v>0</v>
      </c>
      <c r="AL52" s="1294">
        <v>1382098</v>
      </c>
      <c r="AM52" s="548"/>
      <c r="AN52" s="547"/>
      <c r="AO52" s="548"/>
      <c r="AP52" s="549" t="str">
        <f>'E. Capital Outlay'!D54</f>
        <v>E.1</v>
      </c>
      <c r="AQ52" s="550">
        <f>'E. Capital Outlay'!L57</f>
        <v>43000</v>
      </c>
      <c r="AR52" s="546"/>
      <c r="AS52" s="549" t="str">
        <f>'F.  Other Cap Asset Entries'!D220</f>
        <v>F.1</v>
      </c>
      <c r="AT52" s="550">
        <f>'F.  Other Cap Asset Entries'!O234</f>
        <v>9150</v>
      </c>
      <c r="AU52" s="551"/>
      <c r="AV52" s="550"/>
      <c r="AW52" s="546"/>
      <c r="AX52" s="549"/>
      <c r="AY52" s="552"/>
      <c r="AZ52" s="523"/>
      <c r="BA52" s="524"/>
      <c r="BB52" s="550">
        <f t="shared" si="32"/>
        <v>1425098</v>
      </c>
      <c r="BC52" s="550">
        <f t="shared" si="33"/>
        <v>9150</v>
      </c>
      <c r="BD52" s="547"/>
      <c r="BE52" s="548"/>
      <c r="BF52" s="550">
        <f>IF((BB52+BB53+BB54)-(BC52+BC53+BC54)&lt;=0," ",(BB52+BB53+BB54)-(BC52+BC53+BC54))</f>
        <v>1415948</v>
      </c>
      <c r="BG52" s="552" t="str">
        <f>IF((BB52+BB53+BB54)-(BC52+BC53+BC54)&gt;0," ",(BC52+BC53+BC54)-(BB52+BB53+BB54))</f>
        <v xml:space="preserve"> </v>
      </c>
      <c r="BH52" s="1192"/>
      <c r="BI52" s="1194"/>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row>
    <row r="53" spans="1:255" x14ac:dyDescent="0.2">
      <c r="A53" s="33"/>
      <c r="B53" s="13"/>
      <c r="C53" s="249"/>
      <c r="D53" s="540"/>
      <c r="E53" s="541"/>
      <c r="F53" s="542"/>
      <c r="G53" s="542"/>
      <c r="H53" s="542"/>
      <c r="I53" s="542"/>
      <c r="J53" s="542"/>
      <c r="K53" s="543"/>
      <c r="L53" s="542"/>
      <c r="M53" s="542"/>
      <c r="N53" s="542"/>
      <c r="O53" s="542"/>
      <c r="P53" s="544"/>
      <c r="Q53" s="544"/>
      <c r="R53" s="544"/>
      <c r="S53" s="544"/>
      <c r="T53" s="544"/>
      <c r="U53" s="544"/>
      <c r="V53" s="544"/>
      <c r="W53" s="544"/>
      <c r="X53" s="544"/>
      <c r="Y53" s="544"/>
      <c r="Z53" s="544"/>
      <c r="AA53" s="544"/>
      <c r="AB53" s="544"/>
      <c r="AC53" s="544"/>
      <c r="AD53" s="542"/>
      <c r="AE53" s="542"/>
      <c r="AF53" s="542"/>
      <c r="AG53" s="542"/>
      <c r="AH53" s="545">
        <f t="shared" si="37"/>
        <v>0</v>
      </c>
      <c r="AI53" s="546">
        <f t="shared" si="38"/>
        <v>0</v>
      </c>
      <c r="AJ53" s="547">
        <f t="shared" si="20"/>
        <v>0</v>
      </c>
      <c r="AK53" s="548">
        <f t="shared" si="21"/>
        <v>0</v>
      </c>
      <c r="AL53" s="547"/>
      <c r="AM53" s="548"/>
      <c r="AN53" s="547"/>
      <c r="AO53" s="548"/>
      <c r="AP53" s="549" t="str">
        <f>'F.  Other Cap Asset Entries'!D220</f>
        <v>F.1</v>
      </c>
      <c r="AQ53" s="550">
        <f>'F.  Other Cap Asset Entries'!M234</f>
        <v>0</v>
      </c>
      <c r="AR53" s="546"/>
      <c r="AS53" s="549" t="s">
        <v>624</v>
      </c>
      <c r="AT53" s="550">
        <f>'F.  Other Cap Asset Entries'!O269</f>
        <v>0</v>
      </c>
      <c r="AU53" s="551"/>
      <c r="AV53" s="550"/>
      <c r="AW53" s="546"/>
      <c r="AX53" s="549"/>
      <c r="AY53" s="552"/>
      <c r="AZ53" s="523"/>
      <c r="BA53" s="524"/>
      <c r="BB53" s="550">
        <f t="shared" si="32"/>
        <v>0</v>
      </c>
      <c r="BC53" s="550">
        <f t="shared" si="33"/>
        <v>0</v>
      </c>
      <c r="BD53" s="547"/>
      <c r="BE53" s="548"/>
      <c r="BF53" s="550"/>
      <c r="BG53" s="552"/>
      <c r="BH53" s="1192"/>
      <c r="BI53" s="1194"/>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c r="IU53" s="13"/>
    </row>
    <row r="54" spans="1:255" x14ac:dyDescent="0.2">
      <c r="A54" s="33"/>
      <c r="B54" s="13"/>
      <c r="C54" s="249"/>
      <c r="D54" s="540"/>
      <c r="E54" s="541"/>
      <c r="F54" s="542"/>
      <c r="G54" s="542"/>
      <c r="H54" s="542"/>
      <c r="I54" s="542"/>
      <c r="J54" s="542"/>
      <c r="K54" s="543"/>
      <c r="L54" s="542"/>
      <c r="M54" s="542"/>
      <c r="N54" s="542"/>
      <c r="O54" s="542"/>
      <c r="P54" s="544"/>
      <c r="Q54" s="544"/>
      <c r="R54" s="544"/>
      <c r="S54" s="544"/>
      <c r="T54" s="544"/>
      <c r="U54" s="544"/>
      <c r="V54" s="544"/>
      <c r="W54" s="544"/>
      <c r="X54" s="544"/>
      <c r="Y54" s="544"/>
      <c r="Z54" s="544"/>
      <c r="AA54" s="544"/>
      <c r="AB54" s="544"/>
      <c r="AC54" s="544"/>
      <c r="AD54" s="542"/>
      <c r="AE54" s="542"/>
      <c r="AF54" s="542"/>
      <c r="AG54" s="542"/>
      <c r="AH54" s="545">
        <f t="shared" si="37"/>
        <v>0</v>
      </c>
      <c r="AI54" s="546">
        <f t="shared" si="38"/>
        <v>0</v>
      </c>
      <c r="AJ54" s="547">
        <f t="shared" si="20"/>
        <v>0</v>
      </c>
      <c r="AK54" s="548">
        <f t="shared" si="21"/>
        <v>0</v>
      </c>
      <c r="AL54" s="547"/>
      <c r="AM54" s="548"/>
      <c r="AN54" s="547"/>
      <c r="AO54" s="548"/>
      <c r="AP54" s="549" t="str">
        <f>'F.  Other Cap Asset Entries'!D244</f>
        <v>F.2</v>
      </c>
      <c r="AQ54" s="550">
        <f>'F.  Other Cap Asset Entries'!M246</f>
        <v>0</v>
      </c>
      <c r="AR54" s="546"/>
      <c r="AS54" s="549"/>
      <c r="AT54" s="550"/>
      <c r="AU54" s="551"/>
      <c r="AV54" s="550"/>
      <c r="AW54" s="546"/>
      <c r="AX54" s="549"/>
      <c r="AY54" s="552"/>
      <c r="AZ54" s="523"/>
      <c r="BA54" s="524"/>
      <c r="BB54" s="550">
        <f t="shared" si="32"/>
        <v>0</v>
      </c>
      <c r="BC54" s="550">
        <f t="shared" si="33"/>
        <v>0</v>
      </c>
      <c r="BD54" s="547"/>
      <c r="BE54" s="548"/>
      <c r="BF54" s="550"/>
      <c r="BG54" s="552"/>
      <c r="BH54" s="1191"/>
      <c r="BI54" s="1194"/>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c r="IU54" s="13"/>
    </row>
    <row r="55" spans="1:255" x14ac:dyDescent="0.2">
      <c r="A55" s="33"/>
      <c r="B55" s="29"/>
      <c r="C55" s="13" t="s">
        <v>134</v>
      </c>
      <c r="D55" s="531"/>
      <c r="E55" s="532"/>
      <c r="F55" s="528"/>
      <c r="G55" s="528"/>
      <c r="H55" s="528"/>
      <c r="I55" s="528"/>
      <c r="J55" s="528"/>
      <c r="K55" s="533"/>
      <c r="L55" s="528"/>
      <c r="M55" s="528"/>
      <c r="N55" s="528"/>
      <c r="O55" s="528"/>
      <c r="P55" s="527"/>
      <c r="Q55" s="527"/>
      <c r="R55" s="527"/>
      <c r="S55" s="527"/>
      <c r="T55" s="527"/>
      <c r="U55" s="527"/>
      <c r="V55" s="527"/>
      <c r="W55" s="527"/>
      <c r="X55" s="527"/>
      <c r="Y55" s="527"/>
      <c r="Z55" s="527"/>
      <c r="AA55" s="527"/>
      <c r="AB55" s="527"/>
      <c r="AC55" s="527"/>
      <c r="AD55" s="528"/>
      <c r="AE55" s="528"/>
      <c r="AF55" s="528"/>
      <c r="AG55" s="528"/>
      <c r="AH55" s="529">
        <f t="shared" si="37"/>
        <v>0</v>
      </c>
      <c r="AI55" s="503">
        <f t="shared" si="38"/>
        <v>0</v>
      </c>
      <c r="AJ55" s="506">
        <f t="shared" si="20"/>
        <v>0</v>
      </c>
      <c r="AK55" s="519">
        <f t="shared" si="21"/>
        <v>0</v>
      </c>
      <c r="AL55" s="534"/>
      <c r="AM55" s="1295">
        <v>442271</v>
      </c>
      <c r="AN55" s="534"/>
      <c r="AO55" s="535"/>
      <c r="AP55" s="536" t="str">
        <f>'F.  Other Cap Asset Entries'!D220</f>
        <v>F.1</v>
      </c>
      <c r="AQ55" s="432">
        <f>'F.  Other Cap Asset Entries'!M221</f>
        <v>9150</v>
      </c>
      <c r="AR55" s="537"/>
      <c r="AS55" s="536" t="str">
        <f>'D. Depreciation'!A55</f>
        <v>D.1</v>
      </c>
      <c r="AT55" s="432">
        <f>'D. Depreciation'!L66</f>
        <v>92600</v>
      </c>
      <c r="AU55" s="539"/>
      <c r="AV55" s="432"/>
      <c r="AW55" s="537"/>
      <c r="AX55" s="536"/>
      <c r="AY55" s="538"/>
      <c r="AZ55" s="523"/>
      <c r="BA55" s="524"/>
      <c r="BB55" s="465">
        <f t="shared" si="32"/>
        <v>9150</v>
      </c>
      <c r="BC55" s="465">
        <f t="shared" si="33"/>
        <v>534871</v>
      </c>
      <c r="BD55" s="534"/>
      <c r="BE55" s="535"/>
      <c r="BF55" s="504" t="str">
        <f>IF(BB55-BC55&lt;=0," ",BB55-BC55)</f>
        <v xml:space="preserve"> </v>
      </c>
      <c r="BG55" s="522">
        <f>IF(BB55-BC55&gt;0," ",BC55-BB55)</f>
        <v>525721</v>
      </c>
      <c r="BH55" s="1191"/>
      <c r="BI55" s="1194"/>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row>
    <row r="56" spans="1:255" x14ac:dyDescent="0.2">
      <c r="A56" s="33"/>
      <c r="B56" s="29"/>
      <c r="C56" s="249" t="s">
        <v>70</v>
      </c>
      <c r="D56" s="540"/>
      <c r="E56" s="541"/>
      <c r="F56" s="542"/>
      <c r="G56" s="542"/>
      <c r="H56" s="542"/>
      <c r="I56" s="542"/>
      <c r="J56" s="542"/>
      <c r="K56" s="543"/>
      <c r="L56" s="542"/>
      <c r="M56" s="542"/>
      <c r="N56" s="542"/>
      <c r="O56" s="542"/>
      <c r="P56" s="544"/>
      <c r="Q56" s="544"/>
      <c r="R56" s="544"/>
      <c r="S56" s="544"/>
      <c r="T56" s="544"/>
      <c r="U56" s="544"/>
      <c r="V56" s="544"/>
      <c r="W56" s="544"/>
      <c r="X56" s="544"/>
      <c r="Y56" s="544"/>
      <c r="Z56" s="544"/>
      <c r="AA56" s="544"/>
      <c r="AB56" s="544"/>
      <c r="AC56" s="544"/>
      <c r="AD56" s="542"/>
      <c r="AE56" s="542"/>
      <c r="AF56" s="542"/>
      <c r="AG56" s="542"/>
      <c r="AH56" s="545">
        <f t="shared" ref="AH56:AH59" si="39">L56+N56+P56+R56+T56+V56+X56+Z56+AB56+AD56+AF56</f>
        <v>0</v>
      </c>
      <c r="AI56" s="546">
        <f t="shared" ref="AI56:AI59" si="40">M56+O56+Q56+S56+U56+W56+Y56+AA56+AC56+AE56+AG56</f>
        <v>0</v>
      </c>
      <c r="AJ56" s="547">
        <f t="shared" si="20"/>
        <v>0</v>
      </c>
      <c r="AK56" s="548">
        <f t="shared" si="21"/>
        <v>0</v>
      </c>
      <c r="AL56" s="1294">
        <f>1961318-100000</f>
        <v>1861318</v>
      </c>
      <c r="AM56" s="548"/>
      <c r="AN56" s="547"/>
      <c r="AO56" s="548"/>
      <c r="AP56" s="549" t="str">
        <f>'E. Capital Outlay'!D54</f>
        <v>E.1</v>
      </c>
      <c r="AQ56" s="550">
        <f>'E. Capital Outlay'!L58</f>
        <v>546307</v>
      </c>
      <c r="AR56" s="546"/>
      <c r="AS56" s="549" t="str">
        <f>'F.  Other Cap Asset Entries'!D220</f>
        <v>F.1</v>
      </c>
      <c r="AT56" s="550">
        <f>'F.  Other Cap Asset Entries'!O235</f>
        <v>125058</v>
      </c>
      <c r="AU56" s="553" t="s">
        <v>637</v>
      </c>
      <c r="AV56" s="550">
        <f>'K.1  Int. Service Fd Allocation'!E172+'K.2  Int. Service Fd Alloca'!E167+'K.3 Int. Service Fd Alloca'!E167</f>
        <v>0</v>
      </c>
      <c r="AW56" s="546"/>
      <c r="AX56" s="549"/>
      <c r="AY56" s="552"/>
      <c r="AZ56" s="523"/>
      <c r="BA56" s="524"/>
      <c r="BB56" s="550">
        <f t="shared" si="32"/>
        <v>2407625</v>
      </c>
      <c r="BC56" s="550">
        <f t="shared" si="33"/>
        <v>125058</v>
      </c>
      <c r="BD56" s="547"/>
      <c r="BE56" s="548"/>
      <c r="BF56" s="550">
        <f>IF((BB56+BB57+BB58)-(BC56+BC57+BC58)&lt;=0," ",(BB56+BB57+BB58)-(BC56+BC57+BC58))</f>
        <v>2282567</v>
      </c>
      <c r="BG56" s="552" t="str">
        <f>IF((BB56+BB57+BB58)-(BC56+BC57+BC58)&gt;0," ",(BC56+BC57+BC58)-(BB56+BB57+BB58))</f>
        <v xml:space="preserve"> </v>
      </c>
      <c r="BH56" s="1191"/>
      <c r="BI56" s="1194"/>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row>
    <row r="57" spans="1:255" x14ac:dyDescent="0.2">
      <c r="A57" s="33"/>
      <c r="B57" s="29"/>
      <c r="C57" s="249"/>
      <c r="D57" s="540"/>
      <c r="E57" s="541"/>
      <c r="F57" s="542"/>
      <c r="G57" s="542"/>
      <c r="H57" s="542"/>
      <c r="I57" s="542"/>
      <c r="J57" s="542"/>
      <c r="K57" s="543"/>
      <c r="L57" s="542"/>
      <c r="M57" s="542"/>
      <c r="N57" s="542"/>
      <c r="O57" s="542"/>
      <c r="P57" s="544"/>
      <c r="Q57" s="544"/>
      <c r="R57" s="544"/>
      <c r="S57" s="544"/>
      <c r="T57" s="544"/>
      <c r="U57" s="544"/>
      <c r="V57" s="544"/>
      <c r="W57" s="544"/>
      <c r="X57" s="544"/>
      <c r="Y57" s="544"/>
      <c r="Z57" s="544"/>
      <c r="AA57" s="544"/>
      <c r="AB57" s="544"/>
      <c r="AC57" s="544"/>
      <c r="AD57" s="542"/>
      <c r="AE57" s="542"/>
      <c r="AF57" s="542"/>
      <c r="AG57" s="542"/>
      <c r="AH57" s="545">
        <f t="shared" si="39"/>
        <v>0</v>
      </c>
      <c r="AI57" s="546">
        <f t="shared" si="40"/>
        <v>0</v>
      </c>
      <c r="AJ57" s="547">
        <f t="shared" si="20"/>
        <v>0</v>
      </c>
      <c r="AK57" s="548">
        <f t="shared" si="21"/>
        <v>0</v>
      </c>
      <c r="AL57" s="547"/>
      <c r="AM57" s="548"/>
      <c r="AN57" s="547"/>
      <c r="AO57" s="548"/>
      <c r="AP57" s="549" t="str">
        <f>'F.  Other Cap Asset Entries'!D220</f>
        <v>F.1</v>
      </c>
      <c r="AQ57" s="550">
        <f>'F.  Other Cap Asset Entries'!M235</f>
        <v>0</v>
      </c>
      <c r="AR57" s="546"/>
      <c r="AS57" s="549" t="s">
        <v>624</v>
      </c>
      <c r="AT57" s="550">
        <f>'F.  Other Cap Asset Entries'!O270</f>
        <v>0</v>
      </c>
      <c r="AU57" s="551"/>
      <c r="AV57" s="550"/>
      <c r="AW57" s="546"/>
      <c r="AX57" s="549"/>
      <c r="AY57" s="552"/>
      <c r="AZ57" s="523"/>
      <c r="BA57" s="524"/>
      <c r="BB57" s="550">
        <f t="shared" si="32"/>
        <v>0</v>
      </c>
      <c r="BC57" s="550">
        <f t="shared" si="33"/>
        <v>0</v>
      </c>
      <c r="BD57" s="547"/>
      <c r="BE57" s="548"/>
      <c r="BF57" s="550"/>
      <c r="BG57" s="552"/>
      <c r="BH57" s="1191"/>
      <c r="BI57" s="1194"/>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row>
    <row r="58" spans="1:255" x14ac:dyDescent="0.2">
      <c r="A58" s="33"/>
      <c r="B58" s="29"/>
      <c r="C58" s="249"/>
      <c r="D58" s="540"/>
      <c r="E58" s="541"/>
      <c r="F58" s="542"/>
      <c r="G58" s="542"/>
      <c r="H58" s="542"/>
      <c r="I58" s="542"/>
      <c r="J58" s="542"/>
      <c r="K58" s="543"/>
      <c r="L58" s="542"/>
      <c r="M58" s="542"/>
      <c r="N58" s="542"/>
      <c r="O58" s="542"/>
      <c r="P58" s="544"/>
      <c r="Q58" s="544"/>
      <c r="R58" s="544"/>
      <c r="S58" s="544"/>
      <c r="T58" s="544"/>
      <c r="U58" s="544"/>
      <c r="V58" s="544"/>
      <c r="W58" s="544"/>
      <c r="X58" s="544"/>
      <c r="Y58" s="544"/>
      <c r="Z58" s="544"/>
      <c r="AA58" s="544"/>
      <c r="AB58" s="544"/>
      <c r="AC58" s="544"/>
      <c r="AD58" s="542"/>
      <c r="AE58" s="542"/>
      <c r="AF58" s="542"/>
      <c r="AG58" s="542"/>
      <c r="AH58" s="545">
        <f t="shared" si="39"/>
        <v>0</v>
      </c>
      <c r="AI58" s="546">
        <f t="shared" si="40"/>
        <v>0</v>
      </c>
      <c r="AJ58" s="547">
        <f t="shared" si="20"/>
        <v>0</v>
      </c>
      <c r="AK58" s="548">
        <f t="shared" si="21"/>
        <v>0</v>
      </c>
      <c r="AL58" s="547"/>
      <c r="AM58" s="548"/>
      <c r="AN58" s="547"/>
      <c r="AO58" s="548"/>
      <c r="AP58" s="549" t="str">
        <f>'F.  Other Cap Asset Entries'!D244</f>
        <v>F.2</v>
      </c>
      <c r="AQ58" s="550">
        <f>'F.  Other Cap Asset Entries'!M247</f>
        <v>0</v>
      </c>
      <c r="AR58" s="546"/>
      <c r="AS58" s="549"/>
      <c r="AT58" s="550"/>
      <c r="AU58" s="551"/>
      <c r="AV58" s="550"/>
      <c r="AW58" s="546"/>
      <c r="AX58" s="549"/>
      <c r="AY58" s="552"/>
      <c r="AZ58" s="523"/>
      <c r="BA58" s="524"/>
      <c r="BB58" s="550">
        <f t="shared" si="32"/>
        <v>0</v>
      </c>
      <c r="BC58" s="550">
        <f t="shared" si="33"/>
        <v>0</v>
      </c>
      <c r="BD58" s="547"/>
      <c r="BE58" s="548"/>
      <c r="BF58" s="550"/>
      <c r="BG58" s="552"/>
      <c r="BH58" s="1191"/>
      <c r="BI58" s="1194"/>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row>
    <row r="59" spans="1:255" x14ac:dyDescent="0.2">
      <c r="A59" s="33"/>
      <c r="B59" s="29"/>
      <c r="C59" s="13" t="s">
        <v>71</v>
      </c>
      <c r="D59" s="531"/>
      <c r="E59" s="532"/>
      <c r="F59" s="528"/>
      <c r="G59" s="528"/>
      <c r="H59" s="528"/>
      <c r="I59" s="528"/>
      <c r="J59" s="528"/>
      <c r="K59" s="533"/>
      <c r="L59" s="528"/>
      <c r="M59" s="528"/>
      <c r="N59" s="528"/>
      <c r="O59" s="528"/>
      <c r="P59" s="527"/>
      <c r="Q59" s="527"/>
      <c r="R59" s="527"/>
      <c r="S59" s="527"/>
      <c r="T59" s="527"/>
      <c r="U59" s="527"/>
      <c r="V59" s="527"/>
      <c r="W59" s="527"/>
      <c r="X59" s="527"/>
      <c r="Y59" s="527"/>
      <c r="Z59" s="527"/>
      <c r="AA59" s="527"/>
      <c r="AB59" s="527"/>
      <c r="AC59" s="527"/>
      <c r="AD59" s="528"/>
      <c r="AE59" s="528"/>
      <c r="AF59" s="528"/>
      <c r="AG59" s="528"/>
      <c r="AH59" s="529">
        <f t="shared" si="39"/>
        <v>0</v>
      </c>
      <c r="AI59" s="503">
        <f t="shared" si="40"/>
        <v>0</v>
      </c>
      <c r="AJ59" s="506">
        <f t="shared" si="20"/>
        <v>0</v>
      </c>
      <c r="AK59" s="519">
        <f t="shared" si="21"/>
        <v>0</v>
      </c>
      <c r="AL59" s="534"/>
      <c r="AM59" s="1295">
        <f>1274857-65018</f>
        <v>1209839</v>
      </c>
      <c r="AN59" s="534"/>
      <c r="AO59" s="535"/>
      <c r="AP59" s="536" t="str">
        <f>'F.  Other Cap Asset Entries'!D220</f>
        <v>F.1</v>
      </c>
      <c r="AQ59" s="432">
        <f>'F.  Other Cap Asset Entries'!M222</f>
        <v>125058</v>
      </c>
      <c r="AR59" s="537"/>
      <c r="AS59" s="536" t="str">
        <f>'D. Depreciation'!A55</f>
        <v>D.1</v>
      </c>
      <c r="AT59" s="432">
        <f>'D. Depreciation'!L67</f>
        <v>161652</v>
      </c>
      <c r="AU59" s="539"/>
      <c r="AV59" s="432"/>
      <c r="AW59" s="561"/>
      <c r="AX59" s="530" t="s">
        <v>637</v>
      </c>
      <c r="AY59" s="432">
        <f>'K.1  Int. Service Fd Allocation'!G184+'K.2  Int. Service Fd Alloca'!G179+'K.3 Int. Service Fd Alloca'!G179</f>
        <v>0</v>
      </c>
      <c r="AZ59" s="555"/>
      <c r="BA59" s="524"/>
      <c r="BB59" s="465">
        <f t="shared" si="32"/>
        <v>125058</v>
      </c>
      <c r="BC59" s="465">
        <f t="shared" si="33"/>
        <v>1371491</v>
      </c>
      <c r="BD59" s="534"/>
      <c r="BE59" s="535"/>
      <c r="BF59" s="504" t="str">
        <f>IF(BB59-BC59&lt;=0," ",BB59-BC59)</f>
        <v xml:space="preserve"> </v>
      </c>
      <c r="BG59" s="522">
        <f>IF(BB59-BC59&gt;0," ",BC59-BB59)</f>
        <v>1246433</v>
      </c>
      <c r="BH59" s="1191"/>
      <c r="BI59" s="1194"/>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c r="IU59" s="13"/>
    </row>
    <row r="60" spans="1:255" s="1273" customFormat="1" x14ac:dyDescent="0.2">
      <c r="A60" s="33"/>
      <c r="B60" s="29"/>
      <c r="C60" s="249" t="s">
        <v>4168</v>
      </c>
      <c r="D60" s="540"/>
      <c r="E60" s="541"/>
      <c r="F60" s="542"/>
      <c r="G60" s="542"/>
      <c r="H60" s="542"/>
      <c r="I60" s="542"/>
      <c r="J60" s="542"/>
      <c r="K60" s="543"/>
      <c r="L60" s="542"/>
      <c r="M60" s="542"/>
      <c r="N60" s="542"/>
      <c r="O60" s="542"/>
      <c r="P60" s="544"/>
      <c r="Q60" s="544"/>
      <c r="R60" s="544"/>
      <c r="S60" s="544"/>
      <c r="T60" s="544"/>
      <c r="U60" s="544"/>
      <c r="V60" s="544"/>
      <c r="W60" s="544"/>
      <c r="X60" s="544"/>
      <c r="Y60" s="544"/>
      <c r="Z60" s="544"/>
      <c r="AA60" s="544"/>
      <c r="AB60" s="544"/>
      <c r="AC60" s="544"/>
      <c r="AD60" s="542"/>
      <c r="AE60" s="542"/>
      <c r="AF60" s="542"/>
      <c r="AG60" s="542"/>
      <c r="AH60" s="545">
        <f t="shared" ref="AH60:AH61" si="41">L60+N60+P60+R60+T60+V60+X60+Z60+AB60+AD60+AF60</f>
        <v>0</v>
      </c>
      <c r="AI60" s="546">
        <f t="shared" ref="AI60:AI61" si="42">M60+O60+Q60+S60+U60+W60+Y60+AA60+AC60+AE60+AG60</f>
        <v>0</v>
      </c>
      <c r="AJ60" s="547">
        <f t="shared" ref="AJ60:AJ61" si="43">D60+F60+H60+J60+AH60</f>
        <v>0</v>
      </c>
      <c r="AK60" s="548">
        <f t="shared" ref="AK60:AK61" si="44">E60+G60+I60+K60+AI60</f>
        <v>0</v>
      </c>
      <c r="AL60" s="1294">
        <v>100000</v>
      </c>
      <c r="AM60" s="548"/>
      <c r="AN60" s="534"/>
      <c r="AO60" s="535"/>
      <c r="AP60" s="549" t="str">
        <f>'E. Capital Outlay'!D54</f>
        <v>E.1</v>
      </c>
      <c r="AQ60" s="550">
        <f>'E. Capital Outlay'!L60</f>
        <v>0</v>
      </c>
      <c r="AR60" s="549"/>
      <c r="AS60" s="549" t="str">
        <f>'F.  Other Cap Asset Entries'!D220</f>
        <v>F.1</v>
      </c>
      <c r="AT60" s="550">
        <f>'F.  Other Cap Asset Entries'!O236</f>
        <v>6721</v>
      </c>
      <c r="AU60" s="549"/>
      <c r="AV60" s="550"/>
      <c r="AW60" s="549"/>
      <c r="AX60" s="550"/>
      <c r="AY60" s="549"/>
      <c r="AZ60" s="523"/>
      <c r="BA60" s="524"/>
      <c r="BB60" s="465">
        <f t="shared" ref="BB60:BB61" si="45">ROUND(AJ60+AL60+AN60+AQ60+AV60+AZ60,0)</f>
        <v>100000</v>
      </c>
      <c r="BC60" s="465">
        <f t="shared" ref="BC60:BC61" si="46">ROUND(AK60+AM60+AO60+AT60+AY60+BA60,0)</f>
        <v>6721</v>
      </c>
      <c r="BD60" s="549"/>
      <c r="BE60" s="550"/>
      <c r="BF60" s="550">
        <f t="shared" ref="BF60" si="47">IF(BB60-BC60&lt;=0," ",BB60-BC60)</f>
        <v>93279</v>
      </c>
      <c r="BG60" s="550" t="str">
        <f>IF(BB60-BC60&gt;0," ",BC60-BB60)</f>
        <v xml:space="preserve"> </v>
      </c>
      <c r="BH60" s="1191"/>
      <c r="BI60" s="1194"/>
      <c r="BJ60" s="1206"/>
      <c r="BK60" s="1278"/>
      <c r="BL60" s="1278"/>
      <c r="BM60" s="1278"/>
      <c r="BN60" s="1278"/>
      <c r="BO60" s="1278"/>
      <c r="BP60" s="1278"/>
      <c r="BQ60" s="1278"/>
      <c r="BR60" s="1278"/>
      <c r="BS60" s="1278"/>
      <c r="BT60" s="1278"/>
      <c r="BU60" s="1278"/>
      <c r="BV60" s="1278"/>
      <c r="BW60" s="1278"/>
      <c r="BX60" s="1278"/>
      <c r="BY60" s="1278"/>
      <c r="BZ60" s="1278"/>
      <c r="CA60" s="1278"/>
      <c r="CB60" s="1278"/>
      <c r="CC60" s="1278"/>
      <c r="CD60" s="1278"/>
      <c r="CE60" s="1278"/>
      <c r="CF60" s="1278"/>
      <c r="CG60" s="1278"/>
      <c r="CH60" s="1278"/>
      <c r="CI60" s="1278"/>
      <c r="CJ60" s="1278"/>
      <c r="CK60" s="1278"/>
      <c r="CL60" s="1278"/>
      <c r="CM60" s="1278"/>
      <c r="CN60" s="1278"/>
      <c r="CO60" s="1278"/>
      <c r="CP60" s="1278"/>
      <c r="CQ60" s="1278"/>
      <c r="CR60" s="1278"/>
      <c r="CS60" s="1278"/>
      <c r="CT60" s="1278"/>
      <c r="CU60" s="1278"/>
      <c r="CV60" s="1278"/>
      <c r="CW60" s="1278"/>
      <c r="CX60" s="1278"/>
      <c r="CY60" s="1278"/>
      <c r="CZ60" s="1278"/>
      <c r="DA60" s="1278"/>
      <c r="DB60" s="1278"/>
      <c r="DC60" s="1278"/>
      <c r="DD60" s="1278"/>
      <c r="DE60" s="1278"/>
      <c r="DF60" s="1278"/>
      <c r="DG60" s="1278"/>
      <c r="DH60" s="1278"/>
      <c r="DI60" s="1278"/>
      <c r="DJ60" s="1278"/>
      <c r="DK60" s="1278"/>
      <c r="DL60" s="1278"/>
      <c r="DM60" s="1278"/>
      <c r="DN60" s="1278"/>
      <c r="DO60" s="1278"/>
      <c r="DP60" s="1278"/>
      <c r="DQ60" s="1278"/>
      <c r="DR60" s="1278"/>
      <c r="DS60" s="1278"/>
      <c r="DT60" s="1278"/>
      <c r="DU60" s="1278"/>
      <c r="DV60" s="1278"/>
      <c r="DW60" s="1278"/>
      <c r="DX60" s="1278"/>
      <c r="DY60" s="1278"/>
      <c r="DZ60" s="1278"/>
      <c r="EA60" s="1278"/>
      <c r="EB60" s="1278"/>
      <c r="EC60" s="1278"/>
      <c r="ED60" s="1278"/>
      <c r="EE60" s="1278"/>
      <c r="EF60" s="1278"/>
      <c r="EG60" s="1278"/>
      <c r="EH60" s="1278"/>
      <c r="EI60" s="1278"/>
      <c r="EJ60" s="1278"/>
      <c r="EK60" s="1278"/>
      <c r="EL60" s="1278"/>
      <c r="EM60" s="1278"/>
      <c r="EN60" s="1278"/>
      <c r="EO60" s="1278"/>
      <c r="EP60" s="1278"/>
      <c r="EQ60" s="1278"/>
      <c r="ER60" s="1278"/>
      <c r="ES60" s="1278"/>
      <c r="ET60" s="1278"/>
      <c r="EU60" s="1278"/>
      <c r="EV60" s="1278"/>
      <c r="EW60" s="1278"/>
      <c r="EX60" s="1278"/>
      <c r="EY60" s="1278"/>
      <c r="EZ60" s="1278"/>
      <c r="FA60" s="1278"/>
      <c r="FB60" s="1278"/>
      <c r="FC60" s="1278"/>
      <c r="FD60" s="1278"/>
      <c r="FE60" s="1278"/>
      <c r="FF60" s="1278"/>
      <c r="FG60" s="1278"/>
      <c r="FH60" s="1278"/>
      <c r="FI60" s="1278"/>
      <c r="FJ60" s="1278"/>
      <c r="FK60" s="1278"/>
      <c r="FL60" s="1278"/>
      <c r="FM60" s="1278"/>
      <c r="FN60" s="1278"/>
      <c r="FO60" s="1278"/>
      <c r="FP60" s="1278"/>
      <c r="FQ60" s="1278"/>
      <c r="FR60" s="1278"/>
      <c r="FS60" s="1278"/>
      <c r="FT60" s="1278"/>
      <c r="FU60" s="1278"/>
      <c r="FV60" s="1278"/>
      <c r="FW60" s="1278"/>
      <c r="FX60" s="1278"/>
      <c r="FY60" s="1278"/>
      <c r="FZ60" s="1278"/>
      <c r="GA60" s="1278"/>
      <c r="GB60" s="1278"/>
      <c r="GC60" s="1278"/>
      <c r="GD60" s="1278"/>
      <c r="GE60" s="1278"/>
      <c r="GF60" s="1278"/>
      <c r="GG60" s="1278"/>
      <c r="GH60" s="1278"/>
      <c r="GI60" s="1278"/>
      <c r="GJ60" s="1278"/>
      <c r="GK60" s="1278"/>
      <c r="GL60" s="1278"/>
      <c r="GM60" s="1278"/>
      <c r="GN60" s="1278"/>
      <c r="GO60" s="1278"/>
      <c r="GP60" s="1278"/>
      <c r="GQ60" s="1278"/>
      <c r="GR60" s="1278"/>
      <c r="GS60" s="1278"/>
      <c r="GT60" s="1278"/>
      <c r="GU60" s="1278"/>
      <c r="GV60" s="1278"/>
      <c r="GW60" s="1278"/>
      <c r="GX60" s="1278"/>
      <c r="GY60" s="1278"/>
      <c r="GZ60" s="1278"/>
      <c r="HA60" s="1278"/>
      <c r="HB60" s="1278"/>
      <c r="HC60" s="1278"/>
      <c r="HD60" s="1278"/>
      <c r="HE60" s="1278"/>
      <c r="HF60" s="1278"/>
      <c r="HG60" s="1278"/>
      <c r="HH60" s="1278"/>
      <c r="HI60" s="1278"/>
      <c r="HJ60" s="1278"/>
      <c r="HK60" s="1278"/>
      <c r="HL60" s="1278"/>
      <c r="HM60" s="1278"/>
      <c r="HN60" s="1278"/>
      <c r="HO60" s="1278"/>
      <c r="HP60" s="1278"/>
      <c r="HQ60" s="1278"/>
      <c r="HR60" s="1278"/>
      <c r="HS60" s="1278"/>
      <c r="HT60" s="1278"/>
      <c r="HU60" s="1278"/>
      <c r="HV60" s="1278"/>
      <c r="HW60" s="1278"/>
      <c r="HX60" s="1278"/>
      <c r="HY60" s="1278"/>
      <c r="HZ60" s="1278"/>
      <c r="IA60" s="1278"/>
      <c r="IB60" s="1278"/>
      <c r="IC60" s="1278"/>
      <c r="ID60" s="1278"/>
      <c r="IE60" s="1278"/>
      <c r="IF60" s="1278"/>
      <c r="IG60" s="1278"/>
      <c r="IH60" s="1278"/>
      <c r="II60" s="1278"/>
      <c r="IJ60" s="1278"/>
      <c r="IK60" s="1278"/>
      <c r="IL60" s="1278"/>
      <c r="IM60" s="1278"/>
      <c r="IN60" s="1278"/>
      <c r="IO60" s="1278"/>
      <c r="IP60" s="1278"/>
      <c r="IQ60" s="1278"/>
      <c r="IR60" s="1278"/>
      <c r="IS60" s="1278"/>
      <c r="IT60" s="1278"/>
      <c r="IU60" s="1278"/>
    </row>
    <row r="61" spans="1:255" s="1273" customFormat="1" x14ac:dyDescent="0.2">
      <c r="A61" s="33"/>
      <c r="B61" s="29"/>
      <c r="C61" s="1278" t="s">
        <v>4169</v>
      </c>
      <c r="D61" s="531"/>
      <c r="E61" s="532"/>
      <c r="F61" s="528"/>
      <c r="G61" s="528"/>
      <c r="H61" s="528"/>
      <c r="I61" s="528"/>
      <c r="J61" s="528"/>
      <c r="K61" s="533"/>
      <c r="L61" s="528"/>
      <c r="M61" s="528"/>
      <c r="N61" s="528"/>
      <c r="O61" s="528"/>
      <c r="P61" s="527"/>
      <c r="Q61" s="527"/>
      <c r="R61" s="527"/>
      <c r="S61" s="527"/>
      <c r="T61" s="527"/>
      <c r="U61" s="527"/>
      <c r="V61" s="527"/>
      <c r="W61" s="527"/>
      <c r="X61" s="527"/>
      <c r="Y61" s="527"/>
      <c r="Z61" s="527"/>
      <c r="AA61" s="527"/>
      <c r="AB61" s="527"/>
      <c r="AC61" s="527"/>
      <c r="AD61" s="528"/>
      <c r="AE61" s="528"/>
      <c r="AF61" s="528"/>
      <c r="AG61" s="528"/>
      <c r="AH61" s="529">
        <f t="shared" si="41"/>
        <v>0</v>
      </c>
      <c r="AI61" s="503">
        <f t="shared" si="42"/>
        <v>0</v>
      </c>
      <c r="AJ61" s="506">
        <f t="shared" si="43"/>
        <v>0</v>
      </c>
      <c r="AK61" s="519">
        <f t="shared" si="44"/>
        <v>0</v>
      </c>
      <c r="AL61" s="534"/>
      <c r="AM61" s="1295">
        <v>65018</v>
      </c>
      <c r="AN61" s="534"/>
      <c r="AO61" s="535"/>
      <c r="AP61" s="536" t="str">
        <f>'F.  Other Cap Asset Entries'!D220</f>
        <v>F.1</v>
      </c>
      <c r="AQ61" s="432">
        <f>'F.  Other Cap Asset Entries'!M223</f>
        <v>6721</v>
      </c>
      <c r="AR61" s="537"/>
      <c r="AS61" s="536" t="str">
        <f>'D. Depreciation'!A55</f>
        <v>D.1</v>
      </c>
      <c r="AT61" s="432">
        <f>'D. Depreciation'!L68</f>
        <v>14480</v>
      </c>
      <c r="AU61" s="539"/>
      <c r="AV61" s="432"/>
      <c r="AW61" s="561"/>
      <c r="AX61" s="530"/>
      <c r="AY61" s="432"/>
      <c r="AZ61" s="523"/>
      <c r="BA61" s="524"/>
      <c r="BB61" s="465">
        <f t="shared" si="45"/>
        <v>6721</v>
      </c>
      <c r="BC61" s="465">
        <f t="shared" si="46"/>
        <v>79498</v>
      </c>
      <c r="BD61" s="534"/>
      <c r="BE61" s="535"/>
      <c r="BF61" s="504" t="str">
        <f>IF(BB61-BC61&lt;=0," ",BB61-BC61)</f>
        <v xml:space="preserve"> </v>
      </c>
      <c r="BG61" s="522">
        <f>IF(BB61-BC61&gt;0," ",BC61-BB61)</f>
        <v>72777</v>
      </c>
      <c r="BH61" s="1191"/>
      <c r="BI61" s="1194"/>
      <c r="BJ61" s="1206"/>
      <c r="BK61" s="1278"/>
      <c r="BL61" s="1278"/>
      <c r="BM61" s="1278"/>
      <c r="BN61" s="1278"/>
      <c r="BO61" s="1278"/>
      <c r="BP61" s="1278"/>
      <c r="BQ61" s="1278"/>
      <c r="BR61" s="1278"/>
      <c r="BS61" s="1278"/>
      <c r="BT61" s="1278"/>
      <c r="BU61" s="1278"/>
      <c r="BV61" s="1278"/>
      <c r="BW61" s="1278"/>
      <c r="BX61" s="1278"/>
      <c r="BY61" s="1278"/>
      <c r="BZ61" s="1278"/>
      <c r="CA61" s="1278"/>
      <c r="CB61" s="1278"/>
      <c r="CC61" s="1278"/>
      <c r="CD61" s="1278"/>
      <c r="CE61" s="1278"/>
      <c r="CF61" s="1278"/>
      <c r="CG61" s="1278"/>
      <c r="CH61" s="1278"/>
      <c r="CI61" s="1278"/>
      <c r="CJ61" s="1278"/>
      <c r="CK61" s="1278"/>
      <c r="CL61" s="1278"/>
      <c r="CM61" s="1278"/>
      <c r="CN61" s="1278"/>
      <c r="CO61" s="1278"/>
      <c r="CP61" s="1278"/>
      <c r="CQ61" s="1278"/>
      <c r="CR61" s="1278"/>
      <c r="CS61" s="1278"/>
      <c r="CT61" s="1278"/>
      <c r="CU61" s="1278"/>
      <c r="CV61" s="1278"/>
      <c r="CW61" s="1278"/>
      <c r="CX61" s="1278"/>
      <c r="CY61" s="1278"/>
      <c r="CZ61" s="1278"/>
      <c r="DA61" s="1278"/>
      <c r="DB61" s="1278"/>
      <c r="DC61" s="1278"/>
      <c r="DD61" s="1278"/>
      <c r="DE61" s="1278"/>
      <c r="DF61" s="1278"/>
      <c r="DG61" s="1278"/>
      <c r="DH61" s="1278"/>
      <c r="DI61" s="1278"/>
      <c r="DJ61" s="1278"/>
      <c r="DK61" s="1278"/>
      <c r="DL61" s="1278"/>
      <c r="DM61" s="1278"/>
      <c r="DN61" s="1278"/>
      <c r="DO61" s="1278"/>
      <c r="DP61" s="1278"/>
      <c r="DQ61" s="1278"/>
      <c r="DR61" s="1278"/>
      <c r="DS61" s="1278"/>
      <c r="DT61" s="1278"/>
      <c r="DU61" s="1278"/>
      <c r="DV61" s="1278"/>
      <c r="DW61" s="1278"/>
      <c r="DX61" s="1278"/>
      <c r="DY61" s="1278"/>
      <c r="DZ61" s="1278"/>
      <c r="EA61" s="1278"/>
      <c r="EB61" s="1278"/>
      <c r="EC61" s="1278"/>
      <c r="ED61" s="1278"/>
      <c r="EE61" s="1278"/>
      <c r="EF61" s="1278"/>
      <c r="EG61" s="1278"/>
      <c r="EH61" s="1278"/>
      <c r="EI61" s="1278"/>
      <c r="EJ61" s="1278"/>
      <c r="EK61" s="1278"/>
      <c r="EL61" s="1278"/>
      <c r="EM61" s="1278"/>
      <c r="EN61" s="1278"/>
      <c r="EO61" s="1278"/>
      <c r="EP61" s="1278"/>
      <c r="EQ61" s="1278"/>
      <c r="ER61" s="1278"/>
      <c r="ES61" s="1278"/>
      <c r="ET61" s="1278"/>
      <c r="EU61" s="1278"/>
      <c r="EV61" s="1278"/>
      <c r="EW61" s="1278"/>
      <c r="EX61" s="1278"/>
      <c r="EY61" s="1278"/>
      <c r="EZ61" s="1278"/>
      <c r="FA61" s="1278"/>
      <c r="FB61" s="1278"/>
      <c r="FC61" s="1278"/>
      <c r="FD61" s="1278"/>
      <c r="FE61" s="1278"/>
      <c r="FF61" s="1278"/>
      <c r="FG61" s="1278"/>
      <c r="FH61" s="1278"/>
      <c r="FI61" s="1278"/>
      <c r="FJ61" s="1278"/>
      <c r="FK61" s="1278"/>
      <c r="FL61" s="1278"/>
      <c r="FM61" s="1278"/>
      <c r="FN61" s="1278"/>
      <c r="FO61" s="1278"/>
      <c r="FP61" s="1278"/>
      <c r="FQ61" s="1278"/>
      <c r="FR61" s="1278"/>
      <c r="FS61" s="1278"/>
      <c r="FT61" s="1278"/>
      <c r="FU61" s="1278"/>
      <c r="FV61" s="1278"/>
      <c r="FW61" s="1278"/>
      <c r="FX61" s="1278"/>
      <c r="FY61" s="1278"/>
      <c r="FZ61" s="1278"/>
      <c r="GA61" s="1278"/>
      <c r="GB61" s="1278"/>
      <c r="GC61" s="1278"/>
      <c r="GD61" s="1278"/>
      <c r="GE61" s="1278"/>
      <c r="GF61" s="1278"/>
      <c r="GG61" s="1278"/>
      <c r="GH61" s="1278"/>
      <c r="GI61" s="1278"/>
      <c r="GJ61" s="1278"/>
      <c r="GK61" s="1278"/>
      <c r="GL61" s="1278"/>
      <c r="GM61" s="1278"/>
      <c r="GN61" s="1278"/>
      <c r="GO61" s="1278"/>
      <c r="GP61" s="1278"/>
      <c r="GQ61" s="1278"/>
      <c r="GR61" s="1278"/>
      <c r="GS61" s="1278"/>
      <c r="GT61" s="1278"/>
      <c r="GU61" s="1278"/>
      <c r="GV61" s="1278"/>
      <c r="GW61" s="1278"/>
      <c r="GX61" s="1278"/>
      <c r="GY61" s="1278"/>
      <c r="GZ61" s="1278"/>
      <c r="HA61" s="1278"/>
      <c r="HB61" s="1278"/>
      <c r="HC61" s="1278"/>
      <c r="HD61" s="1278"/>
      <c r="HE61" s="1278"/>
      <c r="HF61" s="1278"/>
      <c r="HG61" s="1278"/>
      <c r="HH61" s="1278"/>
      <c r="HI61" s="1278"/>
      <c r="HJ61" s="1278"/>
      <c r="HK61" s="1278"/>
      <c r="HL61" s="1278"/>
      <c r="HM61" s="1278"/>
      <c r="HN61" s="1278"/>
      <c r="HO61" s="1278"/>
      <c r="HP61" s="1278"/>
      <c r="HQ61" s="1278"/>
      <c r="HR61" s="1278"/>
      <c r="HS61" s="1278"/>
      <c r="HT61" s="1278"/>
      <c r="HU61" s="1278"/>
      <c r="HV61" s="1278"/>
      <c r="HW61" s="1278"/>
      <c r="HX61" s="1278"/>
      <c r="HY61" s="1278"/>
      <c r="HZ61" s="1278"/>
      <c r="IA61" s="1278"/>
      <c r="IB61" s="1278"/>
      <c r="IC61" s="1278"/>
      <c r="ID61" s="1278"/>
      <c r="IE61" s="1278"/>
      <c r="IF61" s="1278"/>
      <c r="IG61" s="1278"/>
      <c r="IH61" s="1278"/>
      <c r="II61" s="1278"/>
      <c r="IJ61" s="1278"/>
      <c r="IK61" s="1278"/>
      <c r="IL61" s="1278"/>
      <c r="IM61" s="1278"/>
      <c r="IN61" s="1278"/>
      <c r="IO61" s="1278"/>
      <c r="IP61" s="1278"/>
      <c r="IQ61" s="1278"/>
      <c r="IR61" s="1278"/>
      <c r="IS61" s="1278"/>
      <c r="IT61" s="1278"/>
      <c r="IU61" s="1278"/>
    </row>
    <row r="62" spans="1:255" x14ac:dyDescent="0.2">
      <c r="A62" s="33"/>
      <c r="B62" s="29"/>
      <c r="C62" s="249" t="s">
        <v>824</v>
      </c>
      <c r="D62" s="540"/>
      <c r="E62" s="541"/>
      <c r="F62" s="542"/>
      <c r="G62" s="542"/>
      <c r="H62" s="542"/>
      <c r="I62" s="542"/>
      <c r="J62" s="542"/>
      <c r="K62" s="543"/>
      <c r="L62" s="542"/>
      <c r="M62" s="542"/>
      <c r="N62" s="542"/>
      <c r="O62" s="542"/>
      <c r="P62" s="544"/>
      <c r="Q62" s="544"/>
      <c r="R62" s="544"/>
      <c r="S62" s="544"/>
      <c r="T62" s="544"/>
      <c r="U62" s="544"/>
      <c r="V62" s="544"/>
      <c r="W62" s="544"/>
      <c r="X62" s="544"/>
      <c r="Y62" s="544"/>
      <c r="Z62" s="544"/>
      <c r="AA62" s="544"/>
      <c r="AB62" s="544"/>
      <c r="AC62" s="544"/>
      <c r="AD62" s="542"/>
      <c r="AE62" s="542"/>
      <c r="AF62" s="542"/>
      <c r="AG62" s="542"/>
      <c r="AH62" s="545">
        <f t="shared" ref="AH62:AH65" si="48">L62+N62+P62+R62+T62+V62+X62+Z62+AB62+AD62+AF62</f>
        <v>0</v>
      </c>
      <c r="AI62" s="546">
        <f t="shared" ref="AI62:AI65" si="49">M62+O62+Q62+S62+U62+W62+Y62+AA62+AC62+AE62+AG62</f>
        <v>0</v>
      </c>
      <c r="AJ62" s="547">
        <f t="shared" si="20"/>
        <v>0</v>
      </c>
      <c r="AK62" s="548">
        <f t="shared" si="21"/>
        <v>0</v>
      </c>
      <c r="AL62" s="1294">
        <v>682247</v>
      </c>
      <c r="AM62" s="548"/>
      <c r="AN62" s="547"/>
      <c r="AO62" s="548"/>
      <c r="AP62" s="549" t="str">
        <f>'E. Capital Outlay'!D54</f>
        <v>E.1</v>
      </c>
      <c r="AQ62" s="550">
        <f>'E. Capital Outlay'!L59</f>
        <v>168562</v>
      </c>
      <c r="AR62" s="546"/>
      <c r="AS62" s="549" t="str">
        <f>'F.  Other Cap Asset Entries'!D220</f>
        <v>F.1</v>
      </c>
      <c r="AT62" s="550">
        <f>'F.  Other Cap Asset Entries'!O237</f>
        <v>2639</v>
      </c>
      <c r="AU62" s="551" t="s">
        <v>637</v>
      </c>
      <c r="AV62" s="550">
        <f>'K.1  Int. Service Fd Allocation'!E173+'K.2  Int. Service Fd Alloca'!E168+'K.3 Int. Service Fd Alloca'!E168</f>
        <v>0</v>
      </c>
      <c r="AW62" s="546"/>
      <c r="AX62" s="549"/>
      <c r="AY62" s="552"/>
      <c r="AZ62" s="523"/>
      <c r="BA62" s="524"/>
      <c r="BB62" s="550">
        <f t="shared" si="32"/>
        <v>850809</v>
      </c>
      <c r="BC62" s="550">
        <f t="shared" si="33"/>
        <v>2639</v>
      </c>
      <c r="BD62" s="547"/>
      <c r="BE62" s="548"/>
      <c r="BF62" s="550">
        <f>IF((BB62+BB63+BB64)-(BC62+BC63+BC64)&lt;=0," ",(BB62+BB63+BB64)-(BC62+BC63+BC64))</f>
        <v>848170</v>
      </c>
      <c r="BG62" s="552" t="str">
        <f>IF((BB62+BB63+BB64)-(BC62+BC63+BC64)&gt;0," ",(BC62+BC63+BC64)-(BB62+BB63+BB64))</f>
        <v xml:space="preserve"> </v>
      </c>
      <c r="BH62" s="1191"/>
      <c r="BI62" s="1194"/>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c r="IU62" s="13"/>
    </row>
    <row r="63" spans="1:255" x14ac:dyDescent="0.2">
      <c r="A63" s="33"/>
      <c r="B63" s="29"/>
      <c r="C63" s="249"/>
      <c r="D63" s="540"/>
      <c r="E63" s="541"/>
      <c r="F63" s="542"/>
      <c r="G63" s="542"/>
      <c r="H63" s="542"/>
      <c r="I63" s="542"/>
      <c r="J63" s="542"/>
      <c r="K63" s="543"/>
      <c r="L63" s="542"/>
      <c r="M63" s="542"/>
      <c r="N63" s="542"/>
      <c r="O63" s="542"/>
      <c r="P63" s="544"/>
      <c r="Q63" s="544"/>
      <c r="R63" s="544"/>
      <c r="S63" s="544"/>
      <c r="T63" s="544"/>
      <c r="U63" s="544"/>
      <c r="V63" s="544"/>
      <c r="W63" s="544"/>
      <c r="X63" s="544"/>
      <c r="Y63" s="544"/>
      <c r="Z63" s="544"/>
      <c r="AA63" s="544"/>
      <c r="AB63" s="544"/>
      <c r="AC63" s="544"/>
      <c r="AD63" s="542"/>
      <c r="AE63" s="542"/>
      <c r="AF63" s="542"/>
      <c r="AG63" s="542"/>
      <c r="AH63" s="545">
        <f t="shared" si="48"/>
        <v>0</v>
      </c>
      <c r="AI63" s="546">
        <f t="shared" si="49"/>
        <v>0</v>
      </c>
      <c r="AJ63" s="547">
        <f t="shared" si="20"/>
        <v>0</v>
      </c>
      <c r="AK63" s="548">
        <f t="shared" si="21"/>
        <v>0</v>
      </c>
      <c r="AL63" s="547"/>
      <c r="AM63" s="548"/>
      <c r="AN63" s="547"/>
      <c r="AO63" s="548"/>
      <c r="AP63" s="549" t="str">
        <f>'F.  Other Cap Asset Entries'!D220</f>
        <v>F.1</v>
      </c>
      <c r="AQ63" s="550">
        <f>'F.  Other Cap Asset Entries'!M237</f>
        <v>0</v>
      </c>
      <c r="AR63" s="546"/>
      <c r="AS63" s="549" t="s">
        <v>624</v>
      </c>
      <c r="AT63" s="550">
        <f>'F.  Other Cap Asset Entries'!O271</f>
        <v>0</v>
      </c>
      <c r="AU63" s="551"/>
      <c r="AV63" s="550"/>
      <c r="AW63" s="546"/>
      <c r="AX63" s="549"/>
      <c r="AY63" s="552"/>
      <c r="AZ63" s="523"/>
      <c r="BA63" s="524"/>
      <c r="BB63" s="550">
        <f t="shared" si="32"/>
        <v>0</v>
      </c>
      <c r="BC63" s="550">
        <f t="shared" si="33"/>
        <v>0</v>
      </c>
      <c r="BD63" s="547"/>
      <c r="BE63" s="548"/>
      <c r="BF63" s="550"/>
      <c r="BG63" s="552"/>
      <c r="BH63" s="1191"/>
      <c r="BI63" s="1194"/>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row>
    <row r="64" spans="1:255" x14ac:dyDescent="0.2">
      <c r="A64" s="33"/>
      <c r="B64" s="29"/>
      <c r="C64" s="249"/>
      <c r="D64" s="540"/>
      <c r="E64" s="541"/>
      <c r="F64" s="542"/>
      <c r="G64" s="542"/>
      <c r="H64" s="542"/>
      <c r="I64" s="542"/>
      <c r="J64" s="542"/>
      <c r="K64" s="543"/>
      <c r="L64" s="542"/>
      <c r="M64" s="542"/>
      <c r="N64" s="542"/>
      <c r="O64" s="542"/>
      <c r="P64" s="544"/>
      <c r="Q64" s="544"/>
      <c r="R64" s="544"/>
      <c r="S64" s="544"/>
      <c r="T64" s="544"/>
      <c r="U64" s="544"/>
      <c r="V64" s="544"/>
      <c r="W64" s="544"/>
      <c r="X64" s="544"/>
      <c r="Y64" s="544"/>
      <c r="Z64" s="544"/>
      <c r="AA64" s="544"/>
      <c r="AB64" s="544"/>
      <c r="AC64" s="544"/>
      <c r="AD64" s="542"/>
      <c r="AE64" s="542"/>
      <c r="AF64" s="542"/>
      <c r="AG64" s="542"/>
      <c r="AH64" s="545">
        <f t="shared" si="48"/>
        <v>0</v>
      </c>
      <c r="AI64" s="546">
        <f t="shared" si="49"/>
        <v>0</v>
      </c>
      <c r="AJ64" s="547">
        <f t="shared" si="20"/>
        <v>0</v>
      </c>
      <c r="AK64" s="548">
        <f t="shared" si="21"/>
        <v>0</v>
      </c>
      <c r="AL64" s="547"/>
      <c r="AM64" s="548"/>
      <c r="AN64" s="547"/>
      <c r="AO64" s="548"/>
      <c r="AP64" s="549" t="str">
        <f>'F.  Other Cap Asset Entries'!D244</f>
        <v>F.2</v>
      </c>
      <c r="AQ64" s="550">
        <f>'F.  Other Cap Asset Entries'!M248</f>
        <v>0</v>
      </c>
      <c r="AR64" s="546"/>
      <c r="AS64" s="549"/>
      <c r="AT64" s="550"/>
      <c r="AU64" s="551"/>
      <c r="AV64" s="550"/>
      <c r="AW64" s="546"/>
      <c r="AX64" s="549"/>
      <c r="AY64" s="552"/>
      <c r="AZ64" s="523"/>
      <c r="BA64" s="524"/>
      <c r="BB64" s="550">
        <f t="shared" si="32"/>
        <v>0</v>
      </c>
      <c r="BC64" s="550">
        <f t="shared" si="33"/>
        <v>0</v>
      </c>
      <c r="BD64" s="547"/>
      <c r="BE64" s="548"/>
      <c r="BF64" s="550"/>
      <c r="BG64" s="552"/>
      <c r="BH64" s="1191"/>
      <c r="BI64" s="1194"/>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row>
    <row r="65" spans="1:255" x14ac:dyDescent="0.2">
      <c r="A65" s="33"/>
      <c r="B65" s="29"/>
      <c r="C65" s="13" t="s">
        <v>851</v>
      </c>
      <c r="D65" s="531"/>
      <c r="E65" s="532"/>
      <c r="F65" s="528"/>
      <c r="G65" s="528"/>
      <c r="H65" s="528"/>
      <c r="I65" s="528"/>
      <c r="J65" s="528"/>
      <c r="K65" s="533"/>
      <c r="L65" s="528"/>
      <c r="M65" s="528"/>
      <c r="N65" s="528"/>
      <c r="O65" s="528"/>
      <c r="P65" s="527"/>
      <c r="Q65" s="527"/>
      <c r="R65" s="527"/>
      <c r="S65" s="527"/>
      <c r="T65" s="527"/>
      <c r="U65" s="527"/>
      <c r="V65" s="527"/>
      <c r="W65" s="527"/>
      <c r="X65" s="527"/>
      <c r="Y65" s="527"/>
      <c r="Z65" s="527"/>
      <c r="AA65" s="527"/>
      <c r="AB65" s="527"/>
      <c r="AC65" s="527"/>
      <c r="AD65" s="528"/>
      <c r="AE65" s="528"/>
      <c r="AF65" s="528"/>
      <c r="AG65" s="528"/>
      <c r="AH65" s="529">
        <f t="shared" si="48"/>
        <v>0</v>
      </c>
      <c r="AI65" s="503">
        <f t="shared" si="49"/>
        <v>0</v>
      </c>
      <c r="AJ65" s="506">
        <f t="shared" si="20"/>
        <v>0</v>
      </c>
      <c r="AK65" s="519">
        <f t="shared" si="21"/>
        <v>0</v>
      </c>
      <c r="AL65" s="534"/>
      <c r="AM65" s="1295">
        <v>396049</v>
      </c>
      <c r="AN65" s="534"/>
      <c r="AO65" s="535"/>
      <c r="AP65" s="536" t="str">
        <f>'F.  Other Cap Asset Entries'!D220</f>
        <v>F.1</v>
      </c>
      <c r="AQ65" s="432">
        <f>'F.  Other Cap Asset Entries'!M224</f>
        <v>2639</v>
      </c>
      <c r="AR65" s="537"/>
      <c r="AS65" s="536" t="str">
        <f>'D. Depreciation'!A55</f>
        <v>D.1</v>
      </c>
      <c r="AT65" s="432">
        <f>'D. Depreciation'!L69</f>
        <v>127719</v>
      </c>
      <c r="AU65" s="539"/>
      <c r="AV65" s="432"/>
      <c r="AW65" s="537"/>
      <c r="AX65" s="530" t="s">
        <v>637</v>
      </c>
      <c r="AY65" s="432">
        <f>'K.1  Int. Service Fd Allocation'!G185+'K.2  Int. Service Fd Alloca'!G180+'K.3 Int. Service Fd Alloca'!G180</f>
        <v>0</v>
      </c>
      <c r="AZ65" s="555"/>
      <c r="BA65" s="524"/>
      <c r="BB65" s="465">
        <f t="shared" si="32"/>
        <v>2639</v>
      </c>
      <c r="BC65" s="465">
        <f t="shared" si="33"/>
        <v>523768</v>
      </c>
      <c r="BD65" s="534"/>
      <c r="BE65" s="535"/>
      <c r="BF65" s="504" t="str">
        <f>IF(BB65-BC65&lt;=0," ",BB65-BC65)</f>
        <v xml:space="preserve"> </v>
      </c>
      <c r="BG65" s="522">
        <f>IF(BB65-BC65&gt;0," ",BC65-BB65)</f>
        <v>521129</v>
      </c>
      <c r="BH65" s="1191"/>
      <c r="BI65" s="1194"/>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row>
    <row r="66" spans="1:255" x14ac:dyDescent="0.2">
      <c r="A66" s="33"/>
      <c r="B66" s="13"/>
      <c r="C66" s="249" t="s">
        <v>813</v>
      </c>
      <c r="D66" s="540"/>
      <c r="E66" s="541"/>
      <c r="F66" s="542"/>
      <c r="G66" s="542"/>
      <c r="H66" s="542"/>
      <c r="I66" s="542"/>
      <c r="J66" s="542"/>
      <c r="K66" s="543"/>
      <c r="L66" s="542"/>
      <c r="M66" s="542"/>
      <c r="N66" s="542"/>
      <c r="O66" s="542"/>
      <c r="P66" s="544"/>
      <c r="Q66" s="544"/>
      <c r="R66" s="544"/>
      <c r="S66" s="544"/>
      <c r="T66" s="544"/>
      <c r="U66" s="544"/>
      <c r="V66" s="544"/>
      <c r="W66" s="544"/>
      <c r="X66" s="544"/>
      <c r="Y66" s="544"/>
      <c r="Z66" s="544"/>
      <c r="AA66" s="544"/>
      <c r="AB66" s="544"/>
      <c r="AC66" s="544"/>
      <c r="AD66" s="542"/>
      <c r="AE66" s="542"/>
      <c r="AF66" s="542"/>
      <c r="AG66" s="542"/>
      <c r="AH66" s="545">
        <f t="shared" ref="AH66:AH69" si="50">L66+N66+P66+R66+T66+V66+X66+Z66+AB66+AD66+AF66</f>
        <v>0</v>
      </c>
      <c r="AI66" s="546">
        <f t="shared" ref="AI66:AI69" si="51">M66+O66+Q66+S66+U66+W66+Y66+AA66+AC66+AE66+AG66</f>
        <v>0</v>
      </c>
      <c r="AJ66" s="547">
        <f t="shared" si="20"/>
        <v>0</v>
      </c>
      <c r="AK66" s="548">
        <f t="shared" si="21"/>
        <v>0</v>
      </c>
      <c r="AL66" s="1294">
        <v>1040672</v>
      </c>
      <c r="AM66" s="548"/>
      <c r="AN66" s="547"/>
      <c r="AO66" s="548"/>
      <c r="AP66" s="549" t="str">
        <f>'E. Capital Outlay'!D54</f>
        <v>E.1</v>
      </c>
      <c r="AQ66" s="550">
        <f>'E. Capital Outlay'!L62</f>
        <v>0</v>
      </c>
      <c r="AR66" s="546"/>
      <c r="AS66" s="549" t="str">
        <f>'F.  Other Cap Asset Entries'!D220</f>
        <v>F.1</v>
      </c>
      <c r="AT66" s="550">
        <f>'F.  Other Cap Asset Entries'!O238</f>
        <v>0</v>
      </c>
      <c r="AU66" s="551"/>
      <c r="AV66" s="550"/>
      <c r="AW66" s="546"/>
      <c r="AX66" s="549"/>
      <c r="AY66" s="552"/>
      <c r="AZ66" s="523"/>
      <c r="BA66" s="524"/>
      <c r="BB66" s="550">
        <f t="shared" si="32"/>
        <v>1040672</v>
      </c>
      <c r="BC66" s="550">
        <f t="shared" si="33"/>
        <v>0</v>
      </c>
      <c r="BD66" s="547"/>
      <c r="BE66" s="548"/>
      <c r="BF66" s="550">
        <f>IF((BB66+BB67+BB68)-(BC66+BC67+BC68)&lt;=0," ",(BB66+BB67+BB68)-(BC66+BC67+BC68))</f>
        <v>1040672</v>
      </c>
      <c r="BG66" s="552" t="str">
        <f>IF((BB66+BB67+BB68)-(BC66+BC67+BC68)&gt;0," ",(BC66+BC67+BC68)-(BB66+BB67+BB68))</f>
        <v xml:space="preserve"> </v>
      </c>
      <c r="BH66" s="1191"/>
      <c r="BI66" s="1194"/>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row>
    <row r="67" spans="1:255" x14ac:dyDescent="0.2">
      <c r="A67" s="33"/>
      <c r="B67" s="13"/>
      <c r="C67" s="249"/>
      <c r="D67" s="540"/>
      <c r="E67" s="541"/>
      <c r="F67" s="542"/>
      <c r="G67" s="542"/>
      <c r="H67" s="542"/>
      <c r="I67" s="542"/>
      <c r="J67" s="542"/>
      <c r="K67" s="543"/>
      <c r="L67" s="542"/>
      <c r="M67" s="542"/>
      <c r="N67" s="542"/>
      <c r="O67" s="542"/>
      <c r="P67" s="544"/>
      <c r="Q67" s="544"/>
      <c r="R67" s="544"/>
      <c r="S67" s="544"/>
      <c r="T67" s="544"/>
      <c r="U67" s="544"/>
      <c r="V67" s="544"/>
      <c r="W67" s="544"/>
      <c r="X67" s="544"/>
      <c r="Y67" s="544"/>
      <c r="Z67" s="544"/>
      <c r="AA67" s="544"/>
      <c r="AB67" s="544"/>
      <c r="AC67" s="544"/>
      <c r="AD67" s="542"/>
      <c r="AE67" s="542"/>
      <c r="AF67" s="542"/>
      <c r="AG67" s="542"/>
      <c r="AH67" s="545">
        <f t="shared" si="50"/>
        <v>0</v>
      </c>
      <c r="AI67" s="546">
        <f t="shared" si="51"/>
        <v>0</v>
      </c>
      <c r="AJ67" s="547">
        <f t="shared" si="20"/>
        <v>0</v>
      </c>
      <c r="AK67" s="548">
        <f t="shared" si="21"/>
        <v>0</v>
      </c>
      <c r="AL67" s="547"/>
      <c r="AM67" s="548"/>
      <c r="AN67" s="547"/>
      <c r="AO67" s="548"/>
      <c r="AP67" s="549" t="str">
        <f>'F.  Other Cap Asset Entries'!D220</f>
        <v>F.1</v>
      </c>
      <c r="AQ67" s="550">
        <f>'F.  Other Cap Asset Entries'!M238</f>
        <v>0</v>
      </c>
      <c r="AR67" s="546"/>
      <c r="AS67" s="549" t="s">
        <v>624</v>
      </c>
      <c r="AT67" s="550">
        <f>'F.  Other Cap Asset Entries'!O272</f>
        <v>0</v>
      </c>
      <c r="AU67" s="551"/>
      <c r="AV67" s="550"/>
      <c r="AW67" s="546"/>
      <c r="AX67" s="549"/>
      <c r="AY67" s="552"/>
      <c r="AZ67" s="523"/>
      <c r="BA67" s="524"/>
      <c r="BB67" s="550">
        <f t="shared" si="32"/>
        <v>0</v>
      </c>
      <c r="BC67" s="550">
        <f t="shared" si="33"/>
        <v>0</v>
      </c>
      <c r="BD67" s="547"/>
      <c r="BE67" s="548"/>
      <c r="BF67" s="550"/>
      <c r="BG67" s="552"/>
      <c r="BH67" s="1191"/>
      <c r="BI67" s="1194"/>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row>
    <row r="68" spans="1:255" x14ac:dyDescent="0.2">
      <c r="A68" s="33"/>
      <c r="B68" s="13"/>
      <c r="C68" s="249"/>
      <c r="D68" s="540"/>
      <c r="E68" s="541"/>
      <c r="F68" s="542"/>
      <c r="G68" s="542"/>
      <c r="H68" s="542"/>
      <c r="I68" s="542"/>
      <c r="J68" s="542"/>
      <c r="K68" s="543"/>
      <c r="L68" s="542"/>
      <c r="M68" s="542"/>
      <c r="N68" s="542"/>
      <c r="O68" s="542"/>
      <c r="P68" s="544"/>
      <c r="Q68" s="544"/>
      <c r="R68" s="544"/>
      <c r="S68" s="544"/>
      <c r="T68" s="544"/>
      <c r="U68" s="544"/>
      <c r="V68" s="544"/>
      <c r="W68" s="544"/>
      <c r="X68" s="544"/>
      <c r="Y68" s="544"/>
      <c r="Z68" s="544"/>
      <c r="AA68" s="544"/>
      <c r="AB68" s="544"/>
      <c r="AC68" s="544"/>
      <c r="AD68" s="542"/>
      <c r="AE68" s="542"/>
      <c r="AF68" s="542"/>
      <c r="AG68" s="542"/>
      <c r="AH68" s="545">
        <f t="shared" si="50"/>
        <v>0</v>
      </c>
      <c r="AI68" s="546">
        <f t="shared" si="51"/>
        <v>0</v>
      </c>
      <c r="AJ68" s="547">
        <f t="shared" si="20"/>
        <v>0</v>
      </c>
      <c r="AK68" s="548">
        <f t="shared" si="21"/>
        <v>0</v>
      </c>
      <c r="AL68" s="547"/>
      <c r="AM68" s="548"/>
      <c r="AN68" s="547"/>
      <c r="AO68" s="548"/>
      <c r="AP68" s="549" t="str">
        <f>'F.  Other Cap Asset Entries'!D244</f>
        <v>F.2</v>
      </c>
      <c r="AQ68" s="550">
        <f>'F.  Other Cap Asset Entries'!M249</f>
        <v>0</v>
      </c>
      <c r="AR68" s="546"/>
      <c r="AS68" s="549"/>
      <c r="AT68" s="550"/>
      <c r="AU68" s="551"/>
      <c r="AV68" s="550"/>
      <c r="AW68" s="546"/>
      <c r="AX68" s="549"/>
      <c r="AY68" s="552"/>
      <c r="AZ68" s="523"/>
      <c r="BA68" s="524"/>
      <c r="BB68" s="550">
        <f t="shared" si="32"/>
        <v>0</v>
      </c>
      <c r="BC68" s="550">
        <f t="shared" si="33"/>
        <v>0</v>
      </c>
      <c r="BD68" s="547"/>
      <c r="BE68" s="548"/>
      <c r="BF68" s="550"/>
      <c r="BG68" s="552"/>
      <c r="BH68" s="1191"/>
      <c r="BI68" s="1194"/>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row>
    <row r="69" spans="1:255" x14ac:dyDescent="0.2">
      <c r="A69" s="25"/>
      <c r="C69" s="13" t="s">
        <v>135</v>
      </c>
      <c r="D69" s="525"/>
      <c r="E69" s="526"/>
      <c r="F69" s="516"/>
      <c r="G69" s="516"/>
      <c r="H69" s="516"/>
      <c r="I69" s="516"/>
      <c r="J69" s="516"/>
      <c r="K69" s="517"/>
      <c r="L69" s="516"/>
      <c r="M69" s="516"/>
      <c r="N69" s="516"/>
      <c r="O69" s="516"/>
      <c r="P69" s="518"/>
      <c r="Q69" s="518"/>
      <c r="R69" s="518"/>
      <c r="S69" s="518"/>
      <c r="T69" s="518"/>
      <c r="U69" s="518"/>
      <c r="V69" s="518"/>
      <c r="W69" s="518"/>
      <c r="X69" s="518"/>
      <c r="Y69" s="518"/>
      <c r="Z69" s="518"/>
      <c r="AA69" s="518"/>
      <c r="AB69" s="518"/>
      <c r="AC69" s="518"/>
      <c r="AD69" s="516"/>
      <c r="AE69" s="516"/>
      <c r="AF69" s="516"/>
      <c r="AG69" s="516"/>
      <c r="AH69" s="529">
        <f t="shared" si="50"/>
        <v>0</v>
      </c>
      <c r="AI69" s="503">
        <f t="shared" si="51"/>
        <v>0</v>
      </c>
      <c r="AJ69" s="506">
        <f t="shared" si="20"/>
        <v>0</v>
      </c>
      <c r="AK69" s="519">
        <f t="shared" si="21"/>
        <v>0</v>
      </c>
      <c r="AL69" s="506"/>
      <c r="AM69" s="1295">
        <v>312016</v>
      </c>
      <c r="AN69" s="506"/>
      <c r="AO69" s="519"/>
      <c r="AP69" s="520" t="str">
        <f>'F.  Other Cap Asset Entries'!D220</f>
        <v>F.1</v>
      </c>
      <c r="AQ69" s="504">
        <f>'F.  Other Cap Asset Entries'!M227</f>
        <v>0</v>
      </c>
      <c r="AR69" s="503"/>
      <c r="AS69" s="520" t="str">
        <f>'D. Depreciation'!A55</f>
        <v>D.1</v>
      </c>
      <c r="AT69" s="504">
        <f>'D. Depreciation'!L70</f>
        <v>26017</v>
      </c>
      <c r="AU69" s="521"/>
      <c r="AV69" s="504"/>
      <c r="AW69" s="503"/>
      <c r="AX69" s="520"/>
      <c r="AY69" s="522"/>
      <c r="AZ69" s="523"/>
      <c r="BA69" s="524"/>
      <c r="BB69" s="465">
        <f t="shared" si="32"/>
        <v>0</v>
      </c>
      <c r="BC69" s="465">
        <f t="shared" si="33"/>
        <v>338033</v>
      </c>
      <c r="BD69" s="506"/>
      <c r="BE69" s="519"/>
      <c r="BF69" s="504" t="str">
        <f>IF(BB69-BC69&lt;=0," ",BB69-BC69)</f>
        <v xml:space="preserve"> </v>
      </c>
      <c r="BG69" s="522">
        <f>IF(BB69-BC69&gt;0," ",BC69-BB69)</f>
        <v>338033</v>
      </c>
    </row>
    <row r="70" spans="1:255" x14ac:dyDescent="0.2">
      <c r="A70" s="25"/>
      <c r="C70" s="640" t="s">
        <v>1040</v>
      </c>
      <c r="D70" s="540"/>
      <c r="E70" s="541"/>
      <c r="F70" s="542"/>
      <c r="G70" s="542"/>
      <c r="H70" s="542"/>
      <c r="I70" s="542"/>
      <c r="J70" s="542"/>
      <c r="K70" s="543"/>
      <c r="L70" s="542"/>
      <c r="M70" s="542"/>
      <c r="N70" s="542"/>
      <c r="O70" s="542"/>
      <c r="P70" s="544"/>
      <c r="Q70" s="544"/>
      <c r="R70" s="544"/>
      <c r="S70" s="544"/>
      <c r="T70" s="544"/>
      <c r="U70" s="544"/>
      <c r="V70" s="544"/>
      <c r="W70" s="544"/>
      <c r="X70" s="544"/>
      <c r="Y70" s="544"/>
      <c r="Z70" s="544"/>
      <c r="AA70" s="544"/>
      <c r="AB70" s="544"/>
      <c r="AC70" s="544"/>
      <c r="AD70" s="542"/>
      <c r="AE70" s="542"/>
      <c r="AF70" s="542"/>
      <c r="AG70" s="542"/>
      <c r="AH70" s="545">
        <f t="shared" ref="AH70:AH73" si="52">L70+N70+P70+R70+T70+V70+X70+Z70+AB70+AD70+AF70</f>
        <v>0</v>
      </c>
      <c r="AI70" s="546">
        <f t="shared" ref="AI70:AI73" si="53">M70+O70+Q70+S70+U70+W70+Y70+AA70+AC70+AE70+AG70</f>
        <v>0</v>
      </c>
      <c r="AJ70" s="547">
        <f t="shared" si="20"/>
        <v>0</v>
      </c>
      <c r="AK70" s="548">
        <f t="shared" si="21"/>
        <v>0</v>
      </c>
      <c r="AL70" s="1294">
        <v>5000</v>
      </c>
      <c r="AM70" s="548"/>
      <c r="AN70" s="547"/>
      <c r="AO70" s="548"/>
      <c r="AP70" s="549" t="str">
        <f>'E. Capital Outlay'!D54</f>
        <v>E.1</v>
      </c>
      <c r="AQ70" s="550">
        <f>'E. Capital Outlay'!L61</f>
        <v>0</v>
      </c>
      <c r="AR70" s="546"/>
      <c r="AS70" s="549" t="str">
        <f>'F.  Other Cap Asset Entries'!D220</f>
        <v>F.1</v>
      </c>
      <c r="AT70" s="550">
        <f>'F.  Other Cap Asset Entries'!O239</f>
        <v>0</v>
      </c>
      <c r="AU70" s="551"/>
      <c r="AV70" s="550"/>
      <c r="AW70" s="546"/>
      <c r="AX70" s="549"/>
      <c r="AY70" s="552"/>
      <c r="AZ70" s="523"/>
      <c r="BA70" s="524"/>
      <c r="BB70" s="550">
        <f t="shared" si="32"/>
        <v>5000</v>
      </c>
      <c r="BC70" s="550">
        <f t="shared" si="33"/>
        <v>0</v>
      </c>
      <c r="BD70" s="547"/>
      <c r="BE70" s="548"/>
      <c r="BF70" s="550">
        <f>IF((BB70+BB71+BB72)-(BC70+BC71+BC72)&lt;=0," ",(BB70+BB71+BB72)-(BC70+BC71+BC72))</f>
        <v>5000</v>
      </c>
      <c r="BG70" s="552" t="str">
        <f>IF((BB70+BB71+BB72)-(BC70+BC71+BC72)&gt;0," ",(BC70+BC71+BC72)-(BB70+BB71+BB72))</f>
        <v xml:space="preserve"> </v>
      </c>
    </row>
    <row r="71" spans="1:255" x14ac:dyDescent="0.2">
      <c r="A71" s="25"/>
      <c r="C71" s="249"/>
      <c r="D71" s="540"/>
      <c r="E71" s="541"/>
      <c r="F71" s="542"/>
      <c r="G71" s="542"/>
      <c r="H71" s="542"/>
      <c r="I71" s="542"/>
      <c r="J71" s="542"/>
      <c r="K71" s="543"/>
      <c r="L71" s="542"/>
      <c r="M71" s="542"/>
      <c r="N71" s="542"/>
      <c r="O71" s="542"/>
      <c r="P71" s="544"/>
      <c r="Q71" s="544"/>
      <c r="R71" s="544"/>
      <c r="S71" s="544"/>
      <c r="T71" s="544"/>
      <c r="U71" s="544"/>
      <c r="V71" s="544"/>
      <c r="W71" s="544"/>
      <c r="X71" s="544"/>
      <c r="Y71" s="544"/>
      <c r="Z71" s="544"/>
      <c r="AA71" s="544"/>
      <c r="AB71" s="544"/>
      <c r="AC71" s="544"/>
      <c r="AD71" s="542"/>
      <c r="AE71" s="542"/>
      <c r="AF71" s="542"/>
      <c r="AG71" s="542"/>
      <c r="AH71" s="545">
        <f t="shared" si="52"/>
        <v>0</v>
      </c>
      <c r="AI71" s="546">
        <f t="shared" si="53"/>
        <v>0</v>
      </c>
      <c r="AJ71" s="547">
        <f t="shared" si="20"/>
        <v>0</v>
      </c>
      <c r="AK71" s="548">
        <f t="shared" si="21"/>
        <v>0</v>
      </c>
      <c r="AL71" s="547"/>
      <c r="AM71" s="548"/>
      <c r="AN71" s="547"/>
      <c r="AO71" s="548"/>
      <c r="AP71" s="549" t="str">
        <f>'F.  Other Cap Asset Entries'!D220</f>
        <v>F.1</v>
      </c>
      <c r="AQ71" s="550">
        <f>'F.  Other Cap Asset Entries'!M239</f>
        <v>0</v>
      </c>
      <c r="AR71" s="546"/>
      <c r="AS71" s="549" t="s">
        <v>624</v>
      </c>
      <c r="AT71" s="550">
        <f>'F.  Other Cap Asset Entries'!O273</f>
        <v>0</v>
      </c>
      <c r="AU71" s="551"/>
      <c r="AV71" s="550"/>
      <c r="AW71" s="546"/>
      <c r="AX71" s="549"/>
      <c r="AY71" s="552"/>
      <c r="AZ71" s="523"/>
      <c r="BA71" s="524"/>
      <c r="BB71" s="550">
        <f t="shared" si="32"/>
        <v>0</v>
      </c>
      <c r="BC71" s="550">
        <f t="shared" si="33"/>
        <v>0</v>
      </c>
      <c r="BD71" s="547"/>
      <c r="BE71" s="548"/>
      <c r="BF71" s="550"/>
      <c r="BG71" s="552"/>
    </row>
    <row r="72" spans="1:255" x14ac:dyDescent="0.2">
      <c r="A72" s="25"/>
      <c r="C72" s="249"/>
      <c r="D72" s="540"/>
      <c r="E72" s="541"/>
      <c r="F72" s="542"/>
      <c r="G72" s="542"/>
      <c r="H72" s="542"/>
      <c r="I72" s="542"/>
      <c r="J72" s="542"/>
      <c r="K72" s="543"/>
      <c r="L72" s="542"/>
      <c r="M72" s="542"/>
      <c r="N72" s="542"/>
      <c r="O72" s="542"/>
      <c r="P72" s="544"/>
      <c r="Q72" s="544"/>
      <c r="R72" s="544"/>
      <c r="S72" s="544"/>
      <c r="T72" s="544"/>
      <c r="U72" s="544"/>
      <c r="V72" s="544"/>
      <c r="W72" s="544"/>
      <c r="X72" s="544"/>
      <c r="Y72" s="544"/>
      <c r="Z72" s="544"/>
      <c r="AA72" s="544"/>
      <c r="AB72" s="544"/>
      <c r="AC72" s="544"/>
      <c r="AD72" s="542"/>
      <c r="AE72" s="542"/>
      <c r="AF72" s="542"/>
      <c r="AG72" s="542"/>
      <c r="AH72" s="545">
        <f t="shared" si="52"/>
        <v>0</v>
      </c>
      <c r="AI72" s="546">
        <f t="shared" si="53"/>
        <v>0</v>
      </c>
      <c r="AJ72" s="547">
        <f t="shared" si="20"/>
        <v>0</v>
      </c>
      <c r="AK72" s="548">
        <f t="shared" si="21"/>
        <v>0</v>
      </c>
      <c r="AL72" s="547"/>
      <c r="AM72" s="548"/>
      <c r="AN72" s="547"/>
      <c r="AO72" s="548"/>
      <c r="AP72" s="549" t="str">
        <f>'F.  Other Cap Asset Entries'!D244</f>
        <v>F.2</v>
      </c>
      <c r="AQ72" s="550">
        <f>'F.  Other Cap Asset Entries'!M250</f>
        <v>0</v>
      </c>
      <c r="AR72" s="546"/>
      <c r="AS72" s="549"/>
      <c r="AT72" s="550"/>
      <c r="AU72" s="551"/>
      <c r="AV72" s="550"/>
      <c r="AW72" s="546"/>
      <c r="AX72" s="549"/>
      <c r="AY72" s="552"/>
      <c r="AZ72" s="523"/>
      <c r="BA72" s="524"/>
      <c r="BB72" s="550">
        <f t="shared" si="32"/>
        <v>0</v>
      </c>
      <c r="BC72" s="550">
        <f t="shared" si="33"/>
        <v>0</v>
      </c>
      <c r="BD72" s="547"/>
      <c r="BE72" s="548"/>
      <c r="BF72" s="550"/>
      <c r="BG72" s="552"/>
    </row>
    <row r="73" spans="1:255" x14ac:dyDescent="0.2">
      <c r="A73" s="25"/>
      <c r="C73" s="641" t="s">
        <v>1041</v>
      </c>
      <c r="D73" s="525"/>
      <c r="E73" s="526"/>
      <c r="F73" s="516"/>
      <c r="G73" s="516"/>
      <c r="H73" s="516"/>
      <c r="I73" s="516"/>
      <c r="J73" s="516"/>
      <c r="K73" s="517"/>
      <c r="L73" s="516"/>
      <c r="M73" s="516"/>
      <c r="N73" s="516"/>
      <c r="O73" s="516"/>
      <c r="P73" s="518"/>
      <c r="Q73" s="518"/>
      <c r="R73" s="518"/>
      <c r="S73" s="518"/>
      <c r="T73" s="518"/>
      <c r="U73" s="518"/>
      <c r="V73" s="518"/>
      <c r="W73" s="518"/>
      <c r="X73" s="518"/>
      <c r="Y73" s="518"/>
      <c r="Z73" s="518"/>
      <c r="AA73" s="518"/>
      <c r="AB73" s="518"/>
      <c r="AC73" s="518"/>
      <c r="AD73" s="516"/>
      <c r="AE73" s="516"/>
      <c r="AF73" s="516"/>
      <c r="AG73" s="516"/>
      <c r="AH73" s="529">
        <f t="shared" si="52"/>
        <v>0</v>
      </c>
      <c r="AI73" s="503">
        <f t="shared" si="53"/>
        <v>0</v>
      </c>
      <c r="AJ73" s="506">
        <f t="shared" si="20"/>
        <v>0</v>
      </c>
      <c r="AK73" s="519">
        <f t="shared" si="21"/>
        <v>0</v>
      </c>
      <c r="AL73" s="506"/>
      <c r="AM73" s="1295">
        <v>120</v>
      </c>
      <c r="AN73" s="506"/>
      <c r="AO73" s="519"/>
      <c r="AP73" s="520" t="str">
        <f>'F.  Other Cap Asset Entries'!D220</f>
        <v>F.1</v>
      </c>
      <c r="AQ73" s="504">
        <f>'F.  Other Cap Asset Entries'!M225</f>
        <v>0</v>
      </c>
      <c r="AR73" s="503"/>
      <c r="AS73" s="520" t="str">
        <f>'D. Depreciation'!A55</f>
        <v>D.1</v>
      </c>
      <c r="AT73" s="504">
        <f>'D. Depreciation'!L71</f>
        <v>125</v>
      </c>
      <c r="AU73" s="521"/>
      <c r="AV73" s="504"/>
      <c r="AW73" s="503"/>
      <c r="AX73" s="520"/>
      <c r="AY73" s="522"/>
      <c r="AZ73" s="523"/>
      <c r="BA73" s="524"/>
      <c r="BB73" s="465">
        <f t="shared" si="32"/>
        <v>0</v>
      </c>
      <c r="BC73" s="465">
        <f t="shared" si="33"/>
        <v>245</v>
      </c>
      <c r="BD73" s="506"/>
      <c r="BE73" s="519"/>
      <c r="BF73" s="504" t="str">
        <f>IF(BB73-BC73&lt;=0," ",BB73-BC73)</f>
        <v xml:space="preserve"> </v>
      </c>
      <c r="BG73" s="522">
        <f>IF(BB73-BC73&gt;0," ",BC73-BB73)</f>
        <v>245</v>
      </c>
      <c r="BH73" s="1190"/>
    </row>
    <row r="74" spans="1:255" x14ac:dyDescent="0.2">
      <c r="A74" s="25"/>
      <c r="C74" s="640" t="s">
        <v>896</v>
      </c>
      <c r="D74" s="540"/>
      <c r="E74" s="541"/>
      <c r="F74" s="542"/>
      <c r="G74" s="542"/>
      <c r="H74" s="542"/>
      <c r="I74" s="542"/>
      <c r="J74" s="542"/>
      <c r="K74" s="543"/>
      <c r="L74" s="542"/>
      <c r="M74" s="542"/>
      <c r="N74" s="542"/>
      <c r="O74" s="542"/>
      <c r="P74" s="544"/>
      <c r="Q74" s="544"/>
      <c r="R74" s="544"/>
      <c r="S74" s="544"/>
      <c r="T74" s="544"/>
      <c r="U74" s="544"/>
      <c r="V74" s="544"/>
      <c r="W74" s="544"/>
      <c r="X74" s="544"/>
      <c r="Y74" s="544"/>
      <c r="Z74" s="544"/>
      <c r="AA74" s="544"/>
      <c r="AB74" s="544"/>
      <c r="AC74" s="544"/>
      <c r="AD74" s="542"/>
      <c r="AE74" s="542"/>
      <c r="AF74" s="542"/>
      <c r="AG74" s="542"/>
      <c r="AH74" s="545">
        <f t="shared" ref="AH74:AH78" si="54">L74+N74+P74+R74+T74+V74+X74+Z74+AB74+AD74+AF74</f>
        <v>0</v>
      </c>
      <c r="AI74" s="546">
        <f t="shared" ref="AI74:AI78" si="55">M74+O74+Q74+S74+U74+W74+Y74+AA74+AC74+AE74+AG74</f>
        <v>0</v>
      </c>
      <c r="AJ74" s="547">
        <f t="shared" si="20"/>
        <v>0</v>
      </c>
      <c r="AK74" s="548">
        <f t="shared" si="21"/>
        <v>0</v>
      </c>
      <c r="AL74" s="547"/>
      <c r="AM74" s="548"/>
      <c r="AN74" s="547"/>
      <c r="AO74" s="548"/>
      <c r="AP74" s="549" t="str">
        <f>'E. Capital Outlay'!D54</f>
        <v>E.1</v>
      </c>
      <c r="AQ74" s="550">
        <f>'E. Capital Outlay'!L64</f>
        <v>0</v>
      </c>
      <c r="AR74" s="546"/>
      <c r="AS74" s="549" t="str">
        <f>'F.  Other Cap Asset Entries'!D220</f>
        <v>F.1</v>
      </c>
      <c r="AT74" s="550">
        <f>'F.  Other Cap Asset Entries'!O240</f>
        <v>0</v>
      </c>
      <c r="AU74" s="551"/>
      <c r="AV74" s="550"/>
      <c r="AW74" s="546"/>
      <c r="AX74" s="549"/>
      <c r="AY74" s="552"/>
      <c r="AZ74" s="523"/>
      <c r="BA74" s="524"/>
      <c r="BB74" s="550">
        <f t="shared" si="32"/>
        <v>0</v>
      </c>
      <c r="BC74" s="550">
        <f t="shared" si="33"/>
        <v>0</v>
      </c>
      <c r="BD74" s="547"/>
      <c r="BE74" s="548"/>
      <c r="BF74" s="550" t="str">
        <f>IF((BB74+BB75+BB76)-(BC74+BC75+BC76)&lt;=0," ",(BB74+BB75+BB76)-(BC74+BC75+BC76))</f>
        <v xml:space="preserve"> </v>
      </c>
      <c r="BG74" s="552">
        <f>IF((BB74+BB75+BB76)-(BC74+BC75+BC76)&gt;0," ",(BC74+BC75+BC76)-(BB74+BB75+BB76))</f>
        <v>0</v>
      </c>
    </row>
    <row r="75" spans="1:255" x14ac:dyDescent="0.2">
      <c r="A75" s="25"/>
      <c r="C75" s="249"/>
      <c r="D75" s="540"/>
      <c r="E75" s="541"/>
      <c r="F75" s="542"/>
      <c r="G75" s="542"/>
      <c r="H75" s="542"/>
      <c r="I75" s="542"/>
      <c r="J75" s="542"/>
      <c r="K75" s="543"/>
      <c r="L75" s="542"/>
      <c r="M75" s="542"/>
      <c r="N75" s="542"/>
      <c r="O75" s="542"/>
      <c r="P75" s="544"/>
      <c r="Q75" s="544"/>
      <c r="R75" s="544"/>
      <c r="S75" s="544"/>
      <c r="T75" s="544"/>
      <c r="U75" s="544"/>
      <c r="V75" s="544"/>
      <c r="W75" s="544"/>
      <c r="X75" s="544"/>
      <c r="Y75" s="544"/>
      <c r="Z75" s="544"/>
      <c r="AA75" s="544"/>
      <c r="AB75" s="544"/>
      <c r="AC75" s="544"/>
      <c r="AD75" s="542"/>
      <c r="AE75" s="542"/>
      <c r="AF75" s="542"/>
      <c r="AG75" s="542"/>
      <c r="AH75" s="545">
        <f t="shared" si="54"/>
        <v>0</v>
      </c>
      <c r="AI75" s="546">
        <f t="shared" si="55"/>
        <v>0</v>
      </c>
      <c r="AJ75" s="547">
        <f t="shared" si="20"/>
        <v>0</v>
      </c>
      <c r="AK75" s="548">
        <f t="shared" si="21"/>
        <v>0</v>
      </c>
      <c r="AL75" s="547"/>
      <c r="AM75" s="548"/>
      <c r="AN75" s="547"/>
      <c r="AO75" s="548"/>
      <c r="AP75" s="549" t="str">
        <f>'F.  Other Cap Asset Entries'!D220</f>
        <v>F.1</v>
      </c>
      <c r="AQ75" s="550">
        <f>'F.  Other Cap Asset Entries'!M240</f>
        <v>0</v>
      </c>
      <c r="AR75" s="546"/>
      <c r="AS75" s="549" t="s">
        <v>624</v>
      </c>
      <c r="AT75" s="550">
        <f>'F.  Other Cap Asset Entries'!O274</f>
        <v>0</v>
      </c>
      <c r="AU75" s="551"/>
      <c r="AV75" s="550"/>
      <c r="AW75" s="546"/>
      <c r="AX75" s="549"/>
      <c r="AY75" s="552"/>
      <c r="AZ75" s="523"/>
      <c r="BA75" s="524"/>
      <c r="BB75" s="550">
        <f t="shared" si="32"/>
        <v>0</v>
      </c>
      <c r="BC75" s="550">
        <f t="shared" si="33"/>
        <v>0</v>
      </c>
      <c r="BD75" s="547"/>
      <c r="BE75" s="548"/>
      <c r="BF75" s="550"/>
      <c r="BG75" s="552"/>
    </row>
    <row r="76" spans="1:255" x14ac:dyDescent="0.2">
      <c r="A76" s="25"/>
      <c r="C76" s="249"/>
      <c r="D76" s="540"/>
      <c r="E76" s="541"/>
      <c r="F76" s="542"/>
      <c r="G76" s="542"/>
      <c r="H76" s="542"/>
      <c r="I76" s="542"/>
      <c r="J76" s="542"/>
      <c r="K76" s="543"/>
      <c r="L76" s="542"/>
      <c r="M76" s="542"/>
      <c r="N76" s="542"/>
      <c r="O76" s="542"/>
      <c r="P76" s="544"/>
      <c r="Q76" s="544"/>
      <c r="R76" s="544"/>
      <c r="S76" s="544"/>
      <c r="T76" s="544"/>
      <c r="U76" s="544"/>
      <c r="V76" s="544"/>
      <c r="W76" s="544"/>
      <c r="X76" s="544"/>
      <c r="Y76" s="544"/>
      <c r="Z76" s="544"/>
      <c r="AA76" s="544"/>
      <c r="AB76" s="544"/>
      <c r="AC76" s="544"/>
      <c r="AD76" s="542"/>
      <c r="AE76" s="542"/>
      <c r="AF76" s="542"/>
      <c r="AG76" s="542"/>
      <c r="AH76" s="545">
        <f t="shared" si="54"/>
        <v>0</v>
      </c>
      <c r="AI76" s="546">
        <f t="shared" si="55"/>
        <v>0</v>
      </c>
      <c r="AJ76" s="547">
        <f t="shared" si="20"/>
        <v>0</v>
      </c>
      <c r="AK76" s="548">
        <f t="shared" si="21"/>
        <v>0</v>
      </c>
      <c r="AL76" s="547"/>
      <c r="AM76" s="548"/>
      <c r="AN76" s="547"/>
      <c r="AO76" s="548"/>
      <c r="AP76" s="549" t="str">
        <f>'F.  Other Cap Asset Entries'!D244</f>
        <v>F.2</v>
      </c>
      <c r="AQ76" s="550">
        <f>'F.  Other Cap Asset Entries'!M251</f>
        <v>0</v>
      </c>
      <c r="AR76" s="546"/>
      <c r="AS76" s="549"/>
      <c r="AT76" s="550"/>
      <c r="AU76" s="551"/>
      <c r="AV76" s="550"/>
      <c r="AW76" s="546"/>
      <c r="AX76" s="549"/>
      <c r="AY76" s="552"/>
      <c r="AZ76" s="523"/>
      <c r="BA76" s="524"/>
      <c r="BB76" s="550">
        <f t="shared" si="32"/>
        <v>0</v>
      </c>
      <c r="BC76" s="550">
        <f t="shared" si="33"/>
        <v>0</v>
      </c>
      <c r="BD76" s="547"/>
      <c r="BE76" s="548"/>
      <c r="BF76" s="550"/>
      <c r="BG76" s="552"/>
    </row>
    <row r="77" spans="1:255" x14ac:dyDescent="0.2">
      <c r="A77" s="25"/>
      <c r="C77" s="641" t="s">
        <v>1042</v>
      </c>
      <c r="D77" s="525"/>
      <c r="E77" s="526"/>
      <c r="F77" s="516"/>
      <c r="G77" s="516"/>
      <c r="H77" s="516"/>
      <c r="I77" s="516"/>
      <c r="J77" s="516"/>
      <c r="K77" s="517"/>
      <c r="L77" s="516"/>
      <c r="M77" s="516"/>
      <c r="N77" s="516"/>
      <c r="O77" s="516"/>
      <c r="P77" s="518"/>
      <c r="Q77" s="518"/>
      <c r="R77" s="518"/>
      <c r="S77" s="518"/>
      <c r="T77" s="518"/>
      <c r="U77" s="518"/>
      <c r="V77" s="518"/>
      <c r="W77" s="518"/>
      <c r="X77" s="518"/>
      <c r="Y77" s="518"/>
      <c r="Z77" s="518"/>
      <c r="AA77" s="518"/>
      <c r="AB77" s="518"/>
      <c r="AC77" s="518"/>
      <c r="AD77" s="516"/>
      <c r="AE77" s="516"/>
      <c r="AF77" s="516"/>
      <c r="AG77" s="516"/>
      <c r="AH77" s="529">
        <f t="shared" si="54"/>
        <v>0</v>
      </c>
      <c r="AI77" s="503">
        <f t="shared" si="55"/>
        <v>0</v>
      </c>
      <c r="AJ77" s="506">
        <f t="shared" si="20"/>
        <v>0</v>
      </c>
      <c r="AK77" s="519">
        <f t="shared" si="21"/>
        <v>0</v>
      </c>
      <c r="AL77" s="516"/>
      <c r="AM77" s="516"/>
      <c r="AN77" s="506"/>
      <c r="AO77" s="519"/>
      <c r="AP77" s="520" t="str">
        <f>'F.  Other Cap Asset Entries'!D220</f>
        <v>F.1</v>
      </c>
      <c r="AQ77" s="504">
        <f>'F.  Other Cap Asset Entries'!M226</f>
        <v>0</v>
      </c>
      <c r="AR77" s="503"/>
      <c r="AS77" s="520" t="str">
        <f>'D. Depreciation'!A55</f>
        <v>D.1</v>
      </c>
      <c r="AT77" s="504">
        <f>'D. Depreciation'!L72</f>
        <v>0</v>
      </c>
      <c r="AU77" s="521"/>
      <c r="AV77" s="504"/>
      <c r="AW77" s="503"/>
      <c r="AX77" s="520"/>
      <c r="AY77" s="522"/>
      <c r="AZ77" s="523"/>
      <c r="BA77" s="524"/>
      <c r="BB77" s="465">
        <f t="shared" si="32"/>
        <v>0</v>
      </c>
      <c r="BC77" s="465">
        <f t="shared" si="33"/>
        <v>0</v>
      </c>
      <c r="BD77" s="506"/>
      <c r="BE77" s="519"/>
      <c r="BF77" s="504" t="str">
        <f>IF(BB77-BC77&lt;=0," ",BB77-BC77)</f>
        <v xml:space="preserve"> </v>
      </c>
      <c r="BG77" s="522">
        <f>IF(BB77-BC77&gt;0," ",BC77-BB77)</f>
        <v>0</v>
      </c>
    </row>
    <row r="78" spans="1:255" x14ac:dyDescent="0.2">
      <c r="A78" s="25"/>
      <c r="C78" s="13" t="s">
        <v>732</v>
      </c>
      <c r="D78" s="525"/>
      <c r="E78" s="526"/>
      <c r="F78" s="516"/>
      <c r="G78" s="516"/>
      <c r="H78" s="516"/>
      <c r="I78" s="516"/>
      <c r="J78" s="516"/>
      <c r="K78" s="517"/>
      <c r="L78" s="516"/>
      <c r="M78" s="516"/>
      <c r="N78" s="516"/>
      <c r="O78" s="516"/>
      <c r="P78" s="518"/>
      <c r="Q78" s="518"/>
      <c r="R78" s="518"/>
      <c r="S78" s="518"/>
      <c r="T78" s="518"/>
      <c r="U78" s="518"/>
      <c r="V78" s="518"/>
      <c r="W78" s="518"/>
      <c r="X78" s="518"/>
      <c r="Y78" s="518"/>
      <c r="Z78" s="518"/>
      <c r="AA78" s="518"/>
      <c r="AB78" s="518"/>
      <c r="AC78" s="518"/>
      <c r="AD78" s="516"/>
      <c r="AE78" s="516"/>
      <c r="AF78" s="516"/>
      <c r="AG78" s="516"/>
      <c r="AH78" s="529">
        <f t="shared" si="54"/>
        <v>0</v>
      </c>
      <c r="AI78" s="503">
        <f t="shared" si="55"/>
        <v>0</v>
      </c>
      <c r="AJ78" s="506">
        <f t="shared" si="20"/>
        <v>0</v>
      </c>
      <c r="AK78" s="519">
        <f t="shared" si="21"/>
        <v>0</v>
      </c>
      <c r="AL78" s="516"/>
      <c r="AM78" s="516"/>
      <c r="AN78" s="506"/>
      <c r="AO78" s="519"/>
      <c r="AP78" s="558" t="str">
        <f>'I.  Other Asset Entries'!B108</f>
        <v>I.1</v>
      </c>
      <c r="AQ78" s="504">
        <f>'I.  Other Asset Entries'!L108</f>
        <v>8932</v>
      </c>
      <c r="AR78" s="503"/>
      <c r="AS78" s="520"/>
      <c r="AT78" s="504"/>
      <c r="AU78" s="521"/>
      <c r="AV78" s="504"/>
      <c r="AW78" s="503"/>
      <c r="AX78" s="520"/>
      <c r="AY78" s="522"/>
      <c r="AZ78" s="523"/>
      <c r="BA78" s="524"/>
      <c r="BB78" s="465">
        <f t="shared" si="32"/>
        <v>8932</v>
      </c>
      <c r="BC78" s="465">
        <f t="shared" si="33"/>
        <v>0</v>
      </c>
      <c r="BD78" s="506"/>
      <c r="BE78" s="519"/>
      <c r="BF78" s="504">
        <f>IF(BB78-BC78&lt;=0," ",BB78-BC78)</f>
        <v>8932</v>
      </c>
      <c r="BG78" s="522" t="str">
        <f>IF(BB78-BC78&gt;0," ",BC78-BB78)</f>
        <v xml:space="preserve"> </v>
      </c>
    </row>
    <row r="79" spans="1:255" s="13" customFormat="1" ht="5.25" customHeight="1" x14ac:dyDescent="0.2">
      <c r="A79" s="33"/>
      <c r="D79" s="531"/>
      <c r="E79" s="532"/>
      <c r="F79" s="528"/>
      <c r="G79" s="528"/>
      <c r="H79" s="528"/>
      <c r="I79" s="528"/>
      <c r="J79" s="528"/>
      <c r="K79" s="533"/>
      <c r="L79" s="528"/>
      <c r="M79" s="528"/>
      <c r="N79" s="528"/>
      <c r="O79" s="528"/>
      <c r="P79" s="527"/>
      <c r="Q79" s="527"/>
      <c r="R79" s="527"/>
      <c r="S79" s="527"/>
      <c r="T79" s="527"/>
      <c r="U79" s="527"/>
      <c r="V79" s="527"/>
      <c r="W79" s="527"/>
      <c r="X79" s="527"/>
      <c r="Y79" s="527"/>
      <c r="Z79" s="527"/>
      <c r="AA79" s="527"/>
      <c r="AB79" s="527"/>
      <c r="AC79" s="527"/>
      <c r="AD79" s="528"/>
      <c r="AE79" s="528"/>
      <c r="AF79" s="528"/>
      <c r="AG79" s="528"/>
      <c r="AH79" s="529"/>
      <c r="AI79" s="537"/>
      <c r="AJ79" s="534"/>
      <c r="AK79" s="535"/>
      <c r="AL79" s="528"/>
      <c r="AM79" s="528"/>
      <c r="AN79" s="534"/>
      <c r="AO79" s="535"/>
      <c r="AP79" s="536"/>
      <c r="AQ79" s="432"/>
      <c r="AR79" s="537"/>
      <c r="AS79" s="536"/>
      <c r="AT79" s="432"/>
      <c r="AU79" s="539"/>
      <c r="AV79" s="432"/>
      <c r="AW79" s="537"/>
      <c r="AX79" s="536"/>
      <c r="AY79" s="538"/>
      <c r="AZ79" s="523"/>
      <c r="BA79" s="524"/>
      <c r="BB79" s="432"/>
      <c r="BC79" s="432"/>
      <c r="BD79" s="534"/>
      <c r="BE79" s="535"/>
      <c r="BF79" s="432"/>
      <c r="BG79" s="538"/>
      <c r="BH79" s="1191"/>
      <c r="BI79" s="1194"/>
      <c r="BJ79" s="1206"/>
    </row>
    <row r="80" spans="1:255" s="13" customFormat="1" ht="12.75" customHeight="1" x14ac:dyDescent="0.2">
      <c r="A80" s="33"/>
      <c r="B80" s="147" t="s">
        <v>1053</v>
      </c>
      <c r="D80" s="531"/>
      <c r="E80" s="532"/>
      <c r="F80" s="528"/>
      <c r="G80" s="528"/>
      <c r="H80" s="528"/>
      <c r="I80" s="528"/>
      <c r="J80" s="528"/>
      <c r="K80" s="533"/>
      <c r="L80" s="528"/>
      <c r="M80" s="528"/>
      <c r="N80" s="528"/>
      <c r="O80" s="528"/>
      <c r="P80" s="527"/>
      <c r="Q80" s="527"/>
      <c r="R80" s="527"/>
      <c r="S80" s="527"/>
      <c r="T80" s="527"/>
      <c r="U80" s="527"/>
      <c r="V80" s="527"/>
      <c r="W80" s="527"/>
      <c r="X80" s="527"/>
      <c r="Y80" s="527"/>
      <c r="Z80" s="527"/>
      <c r="AA80" s="527"/>
      <c r="AB80" s="527"/>
      <c r="AC80" s="527"/>
      <c r="AD80" s="528"/>
      <c r="AE80" s="528"/>
      <c r="AF80" s="528"/>
      <c r="AG80" s="528"/>
      <c r="AH80" s="529"/>
      <c r="AI80" s="537"/>
      <c r="AJ80" s="534"/>
      <c r="AK80" s="535"/>
      <c r="AL80" s="528"/>
      <c r="AM80" s="528"/>
      <c r="AN80" s="534"/>
      <c r="AO80" s="535"/>
      <c r="AP80" s="536"/>
      <c r="AQ80" s="432"/>
      <c r="AR80" s="537"/>
      <c r="AS80" s="536"/>
      <c r="AT80" s="432"/>
      <c r="AU80" s="539"/>
      <c r="AV80" s="432"/>
      <c r="AW80" s="537"/>
      <c r="AX80" s="536"/>
      <c r="AY80" s="538"/>
      <c r="AZ80" s="523"/>
      <c r="BA80" s="524"/>
      <c r="BB80" s="432"/>
      <c r="BC80" s="432"/>
      <c r="BD80" s="534"/>
      <c r="BE80" s="535"/>
      <c r="BF80" s="432"/>
      <c r="BG80" s="538"/>
      <c r="BH80" s="1191"/>
      <c r="BI80" s="1194"/>
      <c r="BJ80" s="1206"/>
    </row>
    <row r="81" spans="1:62" x14ac:dyDescent="0.2">
      <c r="A81" s="25"/>
      <c r="C81" s="13" t="s">
        <v>472</v>
      </c>
      <c r="D81" s="531"/>
      <c r="E81" s="532"/>
      <c r="F81" s="528"/>
      <c r="G81" s="528"/>
      <c r="H81" s="528"/>
      <c r="I81" s="528"/>
      <c r="J81" s="528"/>
      <c r="K81" s="533"/>
      <c r="L81" s="528"/>
      <c r="M81" s="528"/>
      <c r="N81" s="528"/>
      <c r="O81" s="528"/>
      <c r="P81" s="650"/>
      <c r="Q81" s="650"/>
      <c r="R81" s="650"/>
      <c r="S81" s="650"/>
      <c r="T81" s="650"/>
      <c r="U81" s="650"/>
      <c r="V81" s="650"/>
      <c r="W81" s="650"/>
      <c r="X81" s="650"/>
      <c r="Y81" s="650"/>
      <c r="Z81" s="650"/>
      <c r="AA81" s="650"/>
      <c r="AB81" s="650"/>
      <c r="AC81" s="650"/>
      <c r="AD81" s="528"/>
      <c r="AE81" s="528"/>
      <c r="AF81" s="528"/>
      <c r="AG81" s="528"/>
      <c r="AH81" s="529">
        <f t="shared" ref="AH81" si="56">L81+N81+P81+R81+T81+V81+X81+Z81+AB81+AD81+AF81</f>
        <v>0</v>
      </c>
      <c r="AI81" s="503">
        <f t="shared" ref="AI81" si="57">M81+O81+Q81+S81+U81+W81+Y81+AA81+AC81+AE81+AG81</f>
        <v>0</v>
      </c>
      <c r="AJ81" s="534">
        <f t="shared" ref="AJ81:AK83" si="58">D81+F81+H81+J81+AH81</f>
        <v>0</v>
      </c>
      <c r="AK81" s="535">
        <f t="shared" si="58"/>
        <v>0</v>
      </c>
      <c r="AL81" s="528"/>
      <c r="AM81" s="528"/>
      <c r="AN81" s="534"/>
      <c r="AO81" s="535"/>
      <c r="AP81" s="536" t="str">
        <f>'H. Debt Issues'!D78</f>
        <v>H.1</v>
      </c>
      <c r="AQ81" s="1296">
        <f>'H. Debt Issues'!L85</f>
        <v>315000</v>
      </c>
      <c r="AR81" s="537"/>
      <c r="AS81" s="536" t="str">
        <f>'H. Debt Issues'!D78</f>
        <v>H.1</v>
      </c>
      <c r="AT81" s="1296">
        <f>'H. Debt Issues'!N85</f>
        <v>22500</v>
      </c>
      <c r="AU81" s="539"/>
      <c r="AV81" s="651"/>
      <c r="AW81" s="537"/>
      <c r="AX81" s="536"/>
      <c r="AY81" s="652"/>
      <c r="AZ81" s="523"/>
      <c r="BA81" s="524"/>
      <c r="BB81" s="465">
        <f>ROUND(AJ81+AL81+AN81+AQ81+AV81+AZ81,0)</f>
        <v>315000</v>
      </c>
      <c r="BC81" s="465">
        <f>ROUND(AK81+AM81+AO81+AT81+AY81+BA81,0)</f>
        <v>22500</v>
      </c>
      <c r="BD81" s="534"/>
      <c r="BE81" s="535"/>
      <c r="BF81" s="432">
        <f>IF(BB81-BC81&lt;=0," ",BB81-BC81)</f>
        <v>292500</v>
      </c>
      <c r="BG81" s="538" t="str">
        <f>IF(BB81-BC81&gt;0," ",BC81-BB81)</f>
        <v xml:space="preserve"> </v>
      </c>
      <c r="BH81" s="1192"/>
    </row>
    <row r="82" spans="1:62" s="671" customFormat="1" x14ac:dyDescent="0.2">
      <c r="A82" s="25"/>
      <c r="C82" s="1064" t="s">
        <v>2045</v>
      </c>
      <c r="D82" s="880"/>
      <c r="E82" s="881"/>
      <c r="F82" s="882"/>
      <c r="G82" s="882"/>
      <c r="H82" s="882"/>
      <c r="I82" s="882"/>
      <c r="J82" s="882"/>
      <c r="K82" s="883"/>
      <c r="L82" s="882"/>
      <c r="M82" s="882"/>
      <c r="N82" s="882"/>
      <c r="O82" s="882"/>
      <c r="P82" s="884"/>
      <c r="Q82" s="884"/>
      <c r="R82" s="884"/>
      <c r="S82" s="884"/>
      <c r="T82" s="884"/>
      <c r="U82" s="884"/>
      <c r="V82" s="884"/>
      <c r="W82" s="884"/>
      <c r="X82" s="884"/>
      <c r="Y82" s="884"/>
      <c r="Z82" s="884"/>
      <c r="AA82" s="884"/>
      <c r="AB82" s="884"/>
      <c r="AC82" s="884"/>
      <c r="AD82" s="882"/>
      <c r="AE82" s="882"/>
      <c r="AF82" s="882"/>
      <c r="AG82" s="882"/>
      <c r="AH82" s="545">
        <f t="shared" ref="AH82:AH83" si="59">L82+N82+P82+R82+T82+V82+X82+Z82+AB82+AD82+AF82</f>
        <v>0</v>
      </c>
      <c r="AI82" s="546">
        <f t="shared" ref="AI82:AI83" si="60">M82+O82+Q82+S82+U82+W82+Y82+AA82+AC82+AE82+AG82</f>
        <v>0</v>
      </c>
      <c r="AJ82" s="876">
        <f t="shared" si="58"/>
        <v>0</v>
      </c>
      <c r="AK82" s="877">
        <f t="shared" si="58"/>
        <v>0</v>
      </c>
      <c r="AL82" s="882">
        <f>'N.1 GASB 68 LGERS'!C75*'N.1 GASB 68 LGERS'!C17+'N.2 GASB 68 ROD'!C63*'N.2 GASB 68 ROD'!C16+'O. GASB 73 LEO Entries'!D77</f>
        <v>970422</v>
      </c>
      <c r="AM82" s="882"/>
      <c r="AN82" s="876"/>
      <c r="AO82" s="877"/>
      <c r="AP82" s="887" t="s">
        <v>475</v>
      </c>
      <c r="AQ82" s="888">
        <f>'J. Other Liability &amp; Expenses'!L215</f>
        <v>1221075</v>
      </c>
      <c r="AR82" s="886"/>
      <c r="AS82" s="887" t="s">
        <v>2050</v>
      </c>
      <c r="AT82" s="890">
        <f>'N.1 GASB 68 LGERS'!D114</f>
        <v>950950</v>
      </c>
      <c r="AU82" s="1149" t="s">
        <v>637</v>
      </c>
      <c r="AV82" s="888">
        <f>'K.1  Int. Service Fd Allocation'!E174+'K.2  Int. Service Fd Alloca'!E169+'K.3 Int. Service Fd Alloca'!E169</f>
        <v>0</v>
      </c>
      <c r="AW82" s="886"/>
      <c r="AX82" s="887"/>
      <c r="AY82" s="890"/>
      <c r="AZ82" s="523"/>
      <c r="BA82" s="524"/>
      <c r="BB82" s="875">
        <f>ROUND(AJ82+AL82+AN82+AQ82+AV82+AZ82,0)</f>
        <v>2191497</v>
      </c>
      <c r="BC82" s="875">
        <f>ROUND(AK82+AM82+AO82+AT82+AY82+BA82,0)</f>
        <v>950950</v>
      </c>
      <c r="BD82" s="876"/>
      <c r="BE82" s="877"/>
      <c r="BF82" s="875">
        <f>IF(SUM(BB82:BB84)-SUM(BC82:BC84)&lt;=0," ",SUM(BB82:BB84)-SUM(BC82:BC84))</f>
        <v>1242354</v>
      </c>
      <c r="BG82" s="878" t="str">
        <f>IF(SUM(BB82:BB84)-SUM(BC82:BC84)&gt;0," ",SUM(BC82:BC84)-SUM(BB82:BB84))</f>
        <v xml:space="preserve"> </v>
      </c>
      <c r="BH82" s="1194"/>
      <c r="BI82" s="1193"/>
      <c r="BJ82" s="1206"/>
    </row>
    <row r="83" spans="1:62" s="754" customFormat="1" x14ac:dyDescent="0.2">
      <c r="A83" s="25"/>
      <c r="C83" s="879"/>
      <c r="D83" s="880"/>
      <c r="E83" s="881"/>
      <c r="F83" s="882"/>
      <c r="G83" s="882"/>
      <c r="H83" s="882"/>
      <c r="I83" s="882"/>
      <c r="J83" s="882"/>
      <c r="K83" s="883"/>
      <c r="L83" s="882"/>
      <c r="M83" s="882"/>
      <c r="N83" s="882"/>
      <c r="O83" s="882"/>
      <c r="P83" s="884"/>
      <c r="Q83" s="884"/>
      <c r="R83" s="884"/>
      <c r="S83" s="884"/>
      <c r="T83" s="884"/>
      <c r="U83" s="884"/>
      <c r="V83" s="884"/>
      <c r="W83" s="884"/>
      <c r="X83" s="884"/>
      <c r="Y83" s="884"/>
      <c r="Z83" s="884"/>
      <c r="AA83" s="884"/>
      <c r="AB83" s="884"/>
      <c r="AC83" s="884"/>
      <c r="AD83" s="882"/>
      <c r="AE83" s="882"/>
      <c r="AF83" s="882"/>
      <c r="AG83" s="882"/>
      <c r="AH83" s="545">
        <f t="shared" si="59"/>
        <v>0</v>
      </c>
      <c r="AI83" s="546">
        <f t="shared" si="60"/>
        <v>0</v>
      </c>
      <c r="AJ83" s="876">
        <f t="shared" si="58"/>
        <v>0</v>
      </c>
      <c r="AK83" s="877">
        <f t="shared" si="58"/>
        <v>0</v>
      </c>
      <c r="AL83" s="882"/>
      <c r="AM83" s="882"/>
      <c r="AN83" s="876"/>
      <c r="AO83" s="877"/>
      <c r="AP83" s="887" t="s">
        <v>475</v>
      </c>
      <c r="AQ83" s="888">
        <f>'J. Other Liability &amp; Expenses'!L216</f>
        <v>4000</v>
      </c>
      <c r="AR83" s="886"/>
      <c r="AS83" s="887" t="s">
        <v>2051</v>
      </c>
      <c r="AT83" s="890">
        <f>'N.2 GASB 68 ROD'!D86</f>
        <v>3200</v>
      </c>
      <c r="AU83" s="879"/>
      <c r="AV83" s="879"/>
      <c r="AW83" s="886"/>
      <c r="AX83" s="887"/>
      <c r="AY83" s="890"/>
      <c r="AZ83" s="523"/>
      <c r="BA83" s="524"/>
      <c r="BB83" s="875">
        <f>ROUND(AJ83+AL83+AN83+AQ83+AV85+AZ83,0)</f>
        <v>4000</v>
      </c>
      <c r="BC83" s="875">
        <f t="shared" ref="BC83:BC102" si="61">ROUND(AK83+AM83+AO83+AT83+AY83+BA83,0)</f>
        <v>3200</v>
      </c>
      <c r="BD83" s="876"/>
      <c r="BE83" s="877"/>
      <c r="BF83" s="875"/>
      <c r="BG83" s="878"/>
      <c r="BH83" s="1192"/>
      <c r="BI83" s="1193"/>
      <c r="BJ83" s="1206"/>
    </row>
    <row r="84" spans="1:62" s="845" customFormat="1" x14ac:dyDescent="0.2">
      <c r="A84" s="25"/>
      <c r="C84" s="879"/>
      <c r="D84" s="880"/>
      <c r="E84" s="881"/>
      <c r="F84" s="882"/>
      <c r="G84" s="882"/>
      <c r="H84" s="882"/>
      <c r="I84" s="882"/>
      <c r="J84" s="882"/>
      <c r="K84" s="883"/>
      <c r="L84" s="882"/>
      <c r="M84" s="882"/>
      <c r="N84" s="882"/>
      <c r="O84" s="882"/>
      <c r="P84" s="884"/>
      <c r="Q84" s="884"/>
      <c r="R84" s="884"/>
      <c r="S84" s="884"/>
      <c r="T84" s="884"/>
      <c r="U84" s="884"/>
      <c r="V84" s="884"/>
      <c r="W84" s="884"/>
      <c r="X84" s="884"/>
      <c r="Y84" s="884"/>
      <c r="Z84" s="884"/>
      <c r="AA84" s="884"/>
      <c r="AB84" s="884"/>
      <c r="AC84" s="884"/>
      <c r="AD84" s="882"/>
      <c r="AE84" s="882"/>
      <c r="AF84" s="882"/>
      <c r="AG84" s="882"/>
      <c r="AH84" s="885"/>
      <c r="AI84" s="886"/>
      <c r="AJ84" s="876"/>
      <c r="AK84" s="877"/>
      <c r="AL84" s="882"/>
      <c r="AM84" s="882"/>
      <c r="AN84" s="876"/>
      <c r="AO84" s="877"/>
      <c r="AP84" s="887" t="s">
        <v>3617</v>
      </c>
      <c r="AQ84" s="888">
        <f>'O. GASB 73 LEO Entries'!C77+'O. GASB 73 LEO Entries'!C78</f>
        <v>17279</v>
      </c>
      <c r="AR84" s="886"/>
      <c r="AS84" s="887" t="s">
        <v>3617</v>
      </c>
      <c r="AT84" s="888">
        <f>'O. GASB 73 LEO Entries'!D77+'O. GASB 73 LEO Entries'!D78</f>
        <v>16272</v>
      </c>
      <c r="AU84" s="889"/>
      <c r="AV84" s="888"/>
      <c r="AW84" s="886"/>
      <c r="AX84" s="887"/>
      <c r="AY84" s="890"/>
      <c r="AZ84" s="523"/>
      <c r="BA84" s="524"/>
      <c r="BB84" s="875">
        <f>ROUND(AJ84+AL84+AN84+AQ84+AV84+AZ84,0)</f>
        <v>17279</v>
      </c>
      <c r="BC84" s="875">
        <f>ROUND(AK84+AM84+AO84+AT84+AY84+BA84,0)</f>
        <v>16272</v>
      </c>
      <c r="BD84" s="876"/>
      <c r="BE84" s="877"/>
      <c r="BF84" s="875"/>
      <c r="BG84" s="878"/>
      <c r="BH84" s="1191"/>
      <c r="BI84" s="1193"/>
      <c r="BJ84" s="1206"/>
    </row>
    <row r="85" spans="1:62" s="1031" customFormat="1" x14ac:dyDescent="0.2">
      <c r="A85" s="25"/>
      <c r="C85" s="1064" t="s">
        <v>3978</v>
      </c>
      <c r="D85" s="880"/>
      <c r="E85" s="881"/>
      <c r="F85" s="882"/>
      <c r="G85" s="882"/>
      <c r="H85" s="882"/>
      <c r="I85" s="882"/>
      <c r="J85" s="882"/>
      <c r="K85" s="883"/>
      <c r="L85" s="882"/>
      <c r="M85" s="882"/>
      <c r="N85" s="882"/>
      <c r="O85" s="882"/>
      <c r="P85" s="884"/>
      <c r="Q85" s="884"/>
      <c r="R85" s="884"/>
      <c r="S85" s="884"/>
      <c r="T85" s="884"/>
      <c r="U85" s="884"/>
      <c r="V85" s="884"/>
      <c r="W85" s="884"/>
      <c r="X85" s="884"/>
      <c r="Y85" s="884"/>
      <c r="Z85" s="884"/>
      <c r="AA85" s="884"/>
      <c r="AB85" s="884"/>
      <c r="AC85" s="884"/>
      <c r="AD85" s="882"/>
      <c r="AE85" s="882"/>
      <c r="AF85" s="882"/>
      <c r="AG85" s="882"/>
      <c r="AH85" s="545">
        <f t="shared" ref="AH85:AH89" si="62">L85+N85+P85+R85+T85+V85+X85+Z85+AB85+AD85+AF85</f>
        <v>0</v>
      </c>
      <c r="AI85" s="546">
        <f t="shared" ref="AI85:AI89" si="63">M85+O85+Q85+S85+U85+W85+Y85+AA85+AC85+AE85+AG85</f>
        <v>0</v>
      </c>
      <c r="AJ85" s="876">
        <f t="shared" ref="AJ85:AJ98" si="64">D85+F85+H85+J85+AH85</f>
        <v>0</v>
      </c>
      <c r="AK85" s="877">
        <f t="shared" ref="AK85:AK98" si="65">E85+G85+I85+K85+AI85</f>
        <v>0</v>
      </c>
      <c r="AL85" s="888"/>
      <c r="AM85" s="888"/>
      <c r="AN85" s="876"/>
      <c r="AO85" s="877"/>
      <c r="AP85" s="887" t="s">
        <v>4022</v>
      </c>
      <c r="AQ85" s="888">
        <f>'P.1 GASB 75 OPEB  - plan 1'!C138+'P.1 GASB 75 OPEB  - plan 1'!C139</f>
        <v>40850</v>
      </c>
      <c r="AR85" s="886"/>
      <c r="AS85" s="887"/>
      <c r="AT85" s="888"/>
      <c r="AU85" s="889" t="s">
        <v>637</v>
      </c>
      <c r="AV85" s="888">
        <f>'K.1  Int. Service Fd Allocation'!E179+'K.2  Int. Service Fd Alloca'!E174+'K.2  Int. Service Fd Alloca'!E174</f>
        <v>0</v>
      </c>
      <c r="AW85" s="886"/>
      <c r="AX85" s="887"/>
      <c r="AY85" s="890"/>
      <c r="AZ85" s="523"/>
      <c r="BA85" s="524"/>
      <c r="BB85" s="875">
        <f>ROUND(AJ85+AL85+AN85+AQ85+AV85+AZ85,0)</f>
        <v>40850</v>
      </c>
      <c r="BC85" s="875">
        <f>ROUND(AK85+AM85+AO85+AT85+AY85+BA85,0)</f>
        <v>0</v>
      </c>
      <c r="BD85" s="876"/>
      <c r="BE85" s="877"/>
      <c r="BF85" s="875">
        <f>IF(SUM(BB85:BB87)-SUM(BC85:BC87)&lt;=0," ",SUM(BB85:BB87)-SUM(BC85:BC87))</f>
        <v>40850</v>
      </c>
      <c r="BG85" s="878" t="str">
        <f>IF(SUM(BB85:BB87)-SUM(BC85:BC87)&gt;0," ",SUM(BC85:BC87)-SUM(BB85:BB87))</f>
        <v xml:space="preserve"> </v>
      </c>
      <c r="BH85" s="1191"/>
      <c r="BI85" s="1193"/>
      <c r="BJ85" s="1206"/>
    </row>
    <row r="86" spans="1:62" s="1099" customFormat="1" x14ac:dyDescent="0.2">
      <c r="A86" s="25"/>
      <c r="C86" s="879"/>
      <c r="D86" s="880"/>
      <c r="E86" s="881"/>
      <c r="F86" s="882"/>
      <c r="G86" s="882"/>
      <c r="H86" s="882"/>
      <c r="I86" s="882"/>
      <c r="J86" s="882"/>
      <c r="K86" s="883"/>
      <c r="L86" s="882"/>
      <c r="M86" s="882"/>
      <c r="N86" s="882"/>
      <c r="O86" s="882"/>
      <c r="P86" s="884"/>
      <c r="Q86" s="884"/>
      <c r="R86" s="884"/>
      <c r="S86" s="884"/>
      <c r="T86" s="884"/>
      <c r="U86" s="884"/>
      <c r="V86" s="884"/>
      <c r="W86" s="884"/>
      <c r="X86" s="884"/>
      <c r="Y86" s="884"/>
      <c r="Z86" s="884"/>
      <c r="AA86" s="884"/>
      <c r="AB86" s="884"/>
      <c r="AC86" s="884"/>
      <c r="AD86" s="882"/>
      <c r="AE86" s="882"/>
      <c r="AF86" s="882"/>
      <c r="AG86" s="882"/>
      <c r="AH86" s="545">
        <f t="shared" si="62"/>
        <v>0</v>
      </c>
      <c r="AI86" s="546">
        <f t="shared" si="63"/>
        <v>0</v>
      </c>
      <c r="AJ86" s="876">
        <f t="shared" si="64"/>
        <v>0</v>
      </c>
      <c r="AK86" s="877">
        <f t="shared" si="65"/>
        <v>0</v>
      </c>
      <c r="AL86" s="888"/>
      <c r="AM86" s="888"/>
      <c r="AN86" s="876"/>
      <c r="AO86" s="877"/>
      <c r="AP86" s="887" t="s">
        <v>4023</v>
      </c>
      <c r="AQ86" s="888">
        <f>'P.2 GASB 75 OPEB - plan 2'!C138+'P.2 GASB 75 OPEB - plan 2'!C139</f>
        <v>0</v>
      </c>
      <c r="AR86" s="886"/>
      <c r="AS86" s="887"/>
      <c r="AT86" s="888"/>
      <c r="AU86" s="889"/>
      <c r="AV86" s="888"/>
      <c r="AW86" s="886"/>
      <c r="AX86" s="887"/>
      <c r="AY86" s="890"/>
      <c r="AZ86" s="523"/>
      <c r="BA86" s="524"/>
      <c r="BB86" s="875">
        <f t="shared" ref="BB86:BB87" si="66">ROUND(AJ86+AL86+AN86+AQ86+AV86+AZ86,0)</f>
        <v>0</v>
      </c>
      <c r="BC86" s="875">
        <f t="shared" ref="BC86:BC87" si="67">ROUND(AK86+AM86+AO86+AT86+AY86+BA86,0)</f>
        <v>0</v>
      </c>
      <c r="BD86" s="876"/>
      <c r="BE86" s="877"/>
      <c r="BF86" s="875"/>
      <c r="BG86" s="878"/>
      <c r="BH86" s="1191"/>
      <c r="BI86" s="1193"/>
      <c r="BJ86" s="1206"/>
    </row>
    <row r="87" spans="1:62" s="1099" customFormat="1" x14ac:dyDescent="0.2">
      <c r="A87" s="25"/>
      <c r="C87" s="879"/>
      <c r="D87" s="880"/>
      <c r="E87" s="881"/>
      <c r="F87" s="882"/>
      <c r="G87" s="882"/>
      <c r="H87" s="882"/>
      <c r="I87" s="882"/>
      <c r="J87" s="882"/>
      <c r="K87" s="883"/>
      <c r="L87" s="882"/>
      <c r="M87" s="882"/>
      <c r="N87" s="882"/>
      <c r="O87" s="882"/>
      <c r="P87" s="884"/>
      <c r="Q87" s="884"/>
      <c r="R87" s="884"/>
      <c r="S87" s="884"/>
      <c r="T87" s="884"/>
      <c r="U87" s="884"/>
      <c r="V87" s="884"/>
      <c r="W87" s="884"/>
      <c r="X87" s="884"/>
      <c r="Y87" s="884"/>
      <c r="Z87" s="884"/>
      <c r="AA87" s="884"/>
      <c r="AB87" s="884"/>
      <c r="AC87" s="884"/>
      <c r="AD87" s="882"/>
      <c r="AE87" s="882"/>
      <c r="AF87" s="882"/>
      <c r="AG87" s="882"/>
      <c r="AH87" s="545">
        <f t="shared" si="62"/>
        <v>0</v>
      </c>
      <c r="AI87" s="546">
        <f t="shared" si="63"/>
        <v>0</v>
      </c>
      <c r="AJ87" s="876">
        <f t="shared" si="64"/>
        <v>0</v>
      </c>
      <c r="AK87" s="877">
        <f t="shared" si="65"/>
        <v>0</v>
      </c>
      <c r="AL87" s="888"/>
      <c r="AM87" s="888"/>
      <c r="AN87" s="876"/>
      <c r="AO87" s="877"/>
      <c r="AP87" s="887" t="s">
        <v>4024</v>
      </c>
      <c r="AQ87" s="888">
        <f>'P.3 GASB 75 OPEB - plan 3'!C138+'P.3 GASB 75 OPEB - plan 3'!C139</f>
        <v>0</v>
      </c>
      <c r="AR87" s="886"/>
      <c r="AS87" s="887"/>
      <c r="AT87" s="888"/>
      <c r="AU87" s="889"/>
      <c r="AV87" s="888"/>
      <c r="AW87" s="886"/>
      <c r="AX87" s="887"/>
      <c r="AY87" s="890"/>
      <c r="AZ87" s="523"/>
      <c r="BA87" s="524"/>
      <c r="BB87" s="875">
        <f t="shared" si="66"/>
        <v>0</v>
      </c>
      <c r="BC87" s="875">
        <f t="shared" si="67"/>
        <v>0</v>
      </c>
      <c r="BD87" s="876"/>
      <c r="BE87" s="877"/>
      <c r="BF87" s="875"/>
      <c r="BG87" s="878"/>
      <c r="BH87" s="1191"/>
      <c r="BI87" s="1193"/>
      <c r="BJ87" s="1206"/>
    </row>
    <row r="88" spans="1:62" s="671" customFormat="1" ht="38.25" x14ac:dyDescent="0.2">
      <c r="A88" s="25"/>
      <c r="C88" s="1052" t="s">
        <v>4016</v>
      </c>
      <c r="D88" s="531"/>
      <c r="E88" s="532"/>
      <c r="F88" s="528"/>
      <c r="G88" s="528"/>
      <c r="H88" s="528"/>
      <c r="I88" s="528"/>
      <c r="J88" s="528"/>
      <c r="K88" s="533"/>
      <c r="L88" s="528"/>
      <c r="M88" s="528"/>
      <c r="N88" s="528"/>
      <c r="O88" s="528"/>
      <c r="P88" s="650"/>
      <c r="Q88" s="650"/>
      <c r="R88" s="650"/>
      <c r="S88" s="650"/>
      <c r="T88" s="650"/>
      <c r="U88" s="650"/>
      <c r="V88" s="650"/>
      <c r="W88" s="650"/>
      <c r="X88" s="650"/>
      <c r="Y88" s="650"/>
      <c r="Z88" s="650"/>
      <c r="AA88" s="650"/>
      <c r="AB88" s="650"/>
      <c r="AC88" s="650"/>
      <c r="AD88" s="528"/>
      <c r="AE88" s="528"/>
      <c r="AF88" s="528"/>
      <c r="AG88" s="528"/>
      <c r="AH88" s="529">
        <f t="shared" si="62"/>
        <v>0</v>
      </c>
      <c r="AI88" s="503">
        <f t="shared" si="63"/>
        <v>0</v>
      </c>
      <c r="AJ88" s="534">
        <f t="shared" si="64"/>
        <v>0</v>
      </c>
      <c r="AK88" s="535">
        <f t="shared" si="65"/>
        <v>0</v>
      </c>
      <c r="AL88" s="528">
        <f>'N.1 GASB 68 LGERS'!C75*'N.1 GASB 68 LGERS'!M39+'N.2 GASB 68 ROD'!C63*'N.2 GASB 68 ROD'!M28</f>
        <v>124664</v>
      </c>
      <c r="AM88" s="528"/>
      <c r="AN88" s="534"/>
      <c r="AO88" s="535"/>
      <c r="AP88" s="536" t="s">
        <v>2050</v>
      </c>
      <c r="AQ88" s="651">
        <f>'N.1 GASB 68 LGERS'!C109</f>
        <v>0</v>
      </c>
      <c r="AR88" s="537"/>
      <c r="AS88" s="536" t="s">
        <v>2050</v>
      </c>
      <c r="AT88" s="651">
        <f>'N.1 GASB 68 LGERS'!D109</f>
        <v>43764</v>
      </c>
      <c r="AU88" s="557" t="s">
        <v>637</v>
      </c>
      <c r="AV88" s="651">
        <f>'K.1  Int. Service Fd Allocation'!E175+'K.2  Int. Service Fd Alloca'!E170+'K.3 Int. Service Fd Alloca'!E170</f>
        <v>0</v>
      </c>
      <c r="AW88" s="537"/>
      <c r="AX88" s="536"/>
      <c r="AY88" s="652"/>
      <c r="AZ88" s="523"/>
      <c r="BA88" s="524"/>
      <c r="BB88" s="465">
        <f t="shared" ref="BB88:BB102" si="68">ROUND(AJ88+AL88+AN88+AQ88+AV88+AZ88,0)</f>
        <v>124664</v>
      </c>
      <c r="BC88" s="465">
        <f t="shared" si="61"/>
        <v>43764</v>
      </c>
      <c r="BD88" s="534"/>
      <c r="BE88" s="535"/>
      <c r="BF88" s="432">
        <f>IF(SUM(BB88:BB89)-SUM(BC88:BC89)&lt;=0," ",SUM(BB88:BB89)-SUM(BC88:BC89))</f>
        <v>80513</v>
      </c>
      <c r="BG88" s="538" t="str">
        <f>IF(SUM(BB88:BB89)-SUM(BC88:BC89)&gt;0," ",SUM(BC88:BC89)-SUM(BB88:BB89))</f>
        <v xml:space="preserve"> </v>
      </c>
      <c r="BH88" s="1191"/>
      <c r="BI88" s="1193"/>
      <c r="BJ88" s="1206"/>
    </row>
    <row r="89" spans="1:62" s="754" customFormat="1" x14ac:dyDescent="0.2">
      <c r="A89" s="25"/>
      <c r="C89" s="753"/>
      <c r="D89" s="531"/>
      <c r="E89" s="532"/>
      <c r="F89" s="528"/>
      <c r="G89" s="528"/>
      <c r="H89" s="528"/>
      <c r="I89" s="528"/>
      <c r="J89" s="528"/>
      <c r="K89" s="533"/>
      <c r="L89" s="528"/>
      <c r="M89" s="528"/>
      <c r="N89" s="528"/>
      <c r="O89" s="528"/>
      <c r="P89" s="650"/>
      <c r="Q89" s="650"/>
      <c r="R89" s="650"/>
      <c r="S89" s="650"/>
      <c r="T89" s="650"/>
      <c r="U89" s="650"/>
      <c r="V89" s="650"/>
      <c r="W89" s="650"/>
      <c r="X89" s="650"/>
      <c r="Y89" s="650"/>
      <c r="Z89" s="650"/>
      <c r="AA89" s="650"/>
      <c r="AB89" s="650"/>
      <c r="AC89" s="650"/>
      <c r="AD89" s="528"/>
      <c r="AE89" s="528"/>
      <c r="AF89" s="528"/>
      <c r="AG89" s="528"/>
      <c r="AH89" s="529">
        <f t="shared" si="62"/>
        <v>0</v>
      </c>
      <c r="AI89" s="503">
        <f t="shared" si="63"/>
        <v>0</v>
      </c>
      <c r="AJ89" s="534">
        <f t="shared" si="64"/>
        <v>0</v>
      </c>
      <c r="AK89" s="535">
        <f t="shared" si="65"/>
        <v>0</v>
      </c>
      <c r="AL89" s="528"/>
      <c r="AM89" s="528"/>
      <c r="AN89" s="534"/>
      <c r="AO89" s="535"/>
      <c r="AP89" s="536" t="s">
        <v>2051</v>
      </c>
      <c r="AQ89" s="651">
        <f>'N.2 GASB 68 ROD'!C81</f>
        <v>0</v>
      </c>
      <c r="AR89" s="537"/>
      <c r="AS89" s="536" t="s">
        <v>2051</v>
      </c>
      <c r="AT89" s="651">
        <f>'N.2 GASB 68 ROD'!D81</f>
        <v>387</v>
      </c>
      <c r="AU89" s="557"/>
      <c r="AV89" s="651"/>
      <c r="AW89" s="537"/>
      <c r="AX89" s="536"/>
      <c r="AY89" s="652"/>
      <c r="AZ89" s="523"/>
      <c r="BA89" s="524"/>
      <c r="BB89" s="465">
        <f t="shared" si="68"/>
        <v>0</v>
      </c>
      <c r="BC89" s="465">
        <f t="shared" si="61"/>
        <v>387</v>
      </c>
      <c r="BD89" s="534"/>
      <c r="BE89" s="535"/>
      <c r="BF89" s="432"/>
      <c r="BG89" s="538"/>
      <c r="BH89" s="1191"/>
      <c r="BI89" s="1193"/>
      <c r="BJ89" s="1206"/>
    </row>
    <row r="90" spans="1:62" s="671" customFormat="1" ht="25.5" x14ac:dyDescent="0.2">
      <c r="A90" s="25"/>
      <c r="C90" s="1065" t="s">
        <v>4018</v>
      </c>
      <c r="D90" s="880"/>
      <c r="E90" s="881"/>
      <c r="F90" s="882"/>
      <c r="G90" s="882"/>
      <c r="H90" s="882"/>
      <c r="I90" s="882"/>
      <c r="J90" s="882"/>
      <c r="K90" s="883"/>
      <c r="L90" s="882"/>
      <c r="M90" s="882"/>
      <c r="N90" s="882"/>
      <c r="O90" s="882"/>
      <c r="P90" s="884"/>
      <c r="Q90" s="884"/>
      <c r="R90" s="884"/>
      <c r="S90" s="884"/>
      <c r="T90" s="884"/>
      <c r="U90" s="884"/>
      <c r="V90" s="884"/>
      <c r="W90" s="884"/>
      <c r="X90" s="884"/>
      <c r="Y90" s="884"/>
      <c r="Z90" s="884"/>
      <c r="AA90" s="884"/>
      <c r="AB90" s="884"/>
      <c r="AC90" s="884"/>
      <c r="AD90" s="882"/>
      <c r="AE90" s="882"/>
      <c r="AF90" s="882"/>
      <c r="AG90" s="882"/>
      <c r="AH90" s="885">
        <f t="shared" ref="AH90:AH92" si="69">L90+N90+P90+X90+Z90+AB90+AD90+AF90</f>
        <v>0</v>
      </c>
      <c r="AI90" s="886">
        <f t="shared" ref="AI90:AI92" si="70">M90+O90+Q90+Y90+AA90+AC90+AE90+AG90</f>
        <v>0</v>
      </c>
      <c r="AJ90" s="876">
        <f t="shared" si="64"/>
        <v>0</v>
      </c>
      <c r="AK90" s="877">
        <f t="shared" si="65"/>
        <v>0</v>
      </c>
      <c r="AL90" s="882">
        <f>'N.1 GASB 68 LGERS'!C75*'N.1 GASB 68 LGERS'!J39+'N.2 GASB 68 ROD'!C63*'N.2 GASB 68 ROD'!J28+'O. GASB 73 LEO Entries'!D19</f>
        <v>233287</v>
      </c>
      <c r="AM90" s="882"/>
      <c r="AN90" s="876"/>
      <c r="AO90" s="877"/>
      <c r="AP90" s="887" t="s">
        <v>2050</v>
      </c>
      <c r="AQ90" s="888">
        <f>'N.1 GASB 68 LGERS'!C106</f>
        <v>693169</v>
      </c>
      <c r="AR90" s="886"/>
      <c r="AS90" s="887" t="s">
        <v>2050</v>
      </c>
      <c r="AT90" s="888">
        <f>'N.1 GASB 68 LGERS'!D106</f>
        <v>0</v>
      </c>
      <c r="AU90" s="889" t="s">
        <v>637</v>
      </c>
      <c r="AV90" s="888">
        <f>'K.1  Int. Service Fd Allocation'!E176+'K.2  Int. Service Fd Alloca'!E171+'K.3 Int. Service Fd Alloca'!E171</f>
        <v>0</v>
      </c>
      <c r="AW90" s="886"/>
      <c r="AX90" s="887"/>
      <c r="AY90" s="890"/>
      <c r="AZ90" s="523"/>
      <c r="BA90" s="524"/>
      <c r="BB90" s="875">
        <f t="shared" si="68"/>
        <v>926456</v>
      </c>
      <c r="BC90" s="875">
        <f t="shared" si="61"/>
        <v>0</v>
      </c>
      <c r="BD90" s="876"/>
      <c r="BE90" s="877"/>
      <c r="BF90" s="875">
        <f>IF(SUM(BB90:BB92)-SUM(BC90:BC92)&lt;=0," ",SUM(BB90:BB92)-SUM(BC90:BC92))</f>
        <v>924232</v>
      </c>
      <c r="BG90" s="878" t="str">
        <f>IF(SUM(BB90:BB92)-SUM(BC90:BC92)&gt;0," ",SUM(BC90:BC92)-SUM(BB90:BB92))</f>
        <v xml:space="preserve"> </v>
      </c>
      <c r="BH90" s="1191"/>
      <c r="BI90" s="1193"/>
      <c r="BJ90" s="1206"/>
    </row>
    <row r="91" spans="1:62" s="754" customFormat="1" x14ac:dyDescent="0.2">
      <c r="A91" s="25"/>
      <c r="C91" s="891"/>
      <c r="D91" s="880"/>
      <c r="E91" s="881"/>
      <c r="F91" s="882"/>
      <c r="G91" s="882"/>
      <c r="H91" s="882"/>
      <c r="I91" s="882"/>
      <c r="J91" s="882"/>
      <c r="K91" s="883"/>
      <c r="L91" s="882"/>
      <c r="M91" s="882"/>
      <c r="N91" s="882"/>
      <c r="O91" s="882"/>
      <c r="P91" s="884"/>
      <c r="Q91" s="884"/>
      <c r="R91" s="884"/>
      <c r="S91" s="884"/>
      <c r="T91" s="884"/>
      <c r="U91" s="884"/>
      <c r="V91" s="884"/>
      <c r="W91" s="884"/>
      <c r="X91" s="884"/>
      <c r="Y91" s="884"/>
      <c r="Z91" s="884"/>
      <c r="AA91" s="884"/>
      <c r="AB91" s="884"/>
      <c r="AC91" s="884"/>
      <c r="AD91" s="882"/>
      <c r="AE91" s="882"/>
      <c r="AF91" s="882"/>
      <c r="AG91" s="882"/>
      <c r="AH91" s="885">
        <f t="shared" si="69"/>
        <v>0</v>
      </c>
      <c r="AI91" s="886">
        <f t="shared" si="70"/>
        <v>0</v>
      </c>
      <c r="AJ91" s="876">
        <f t="shared" si="64"/>
        <v>0</v>
      </c>
      <c r="AK91" s="877">
        <f t="shared" si="65"/>
        <v>0</v>
      </c>
      <c r="AL91" s="882"/>
      <c r="AM91" s="882"/>
      <c r="AN91" s="876"/>
      <c r="AO91" s="877"/>
      <c r="AP91" s="887" t="s">
        <v>2051</v>
      </c>
      <c r="AQ91" s="888">
        <f>'N.2 GASB 68 ROD'!C78</f>
        <v>0</v>
      </c>
      <c r="AR91" s="886"/>
      <c r="AS91" s="887" t="s">
        <v>2051</v>
      </c>
      <c r="AT91" s="888">
        <f>'N.2 GASB 68 ROD'!D78</f>
        <v>664</v>
      </c>
      <c r="AU91" s="889"/>
      <c r="AV91" s="888"/>
      <c r="AW91" s="886"/>
      <c r="AX91" s="887"/>
      <c r="AY91" s="890"/>
      <c r="AZ91" s="523"/>
      <c r="BA91" s="524"/>
      <c r="BB91" s="875">
        <f t="shared" si="68"/>
        <v>0</v>
      </c>
      <c r="BC91" s="875">
        <f t="shared" si="61"/>
        <v>664</v>
      </c>
      <c r="BD91" s="876"/>
      <c r="BE91" s="877"/>
      <c r="BF91" s="875"/>
      <c r="BG91" s="878"/>
      <c r="BH91" s="1191"/>
      <c r="BI91" s="1193"/>
      <c r="BJ91" s="1206"/>
    </row>
    <row r="92" spans="1:62" s="693" customFormat="1" x14ac:dyDescent="0.2">
      <c r="A92" s="25"/>
      <c r="C92" s="891"/>
      <c r="D92" s="880"/>
      <c r="E92" s="881"/>
      <c r="F92" s="882"/>
      <c r="G92" s="882"/>
      <c r="H92" s="882"/>
      <c r="I92" s="882"/>
      <c r="J92" s="882"/>
      <c r="K92" s="883"/>
      <c r="L92" s="882"/>
      <c r="M92" s="882"/>
      <c r="N92" s="882"/>
      <c r="O92" s="882"/>
      <c r="P92" s="884"/>
      <c r="Q92" s="884"/>
      <c r="R92" s="884"/>
      <c r="S92" s="884"/>
      <c r="T92" s="884"/>
      <c r="U92" s="884"/>
      <c r="V92" s="884"/>
      <c r="W92" s="884"/>
      <c r="X92" s="884"/>
      <c r="Y92" s="884"/>
      <c r="Z92" s="884"/>
      <c r="AA92" s="884"/>
      <c r="AB92" s="884"/>
      <c r="AC92" s="884"/>
      <c r="AD92" s="882"/>
      <c r="AE92" s="882"/>
      <c r="AF92" s="882"/>
      <c r="AG92" s="882"/>
      <c r="AH92" s="885">
        <f t="shared" si="69"/>
        <v>0</v>
      </c>
      <c r="AI92" s="886">
        <f t="shared" si="70"/>
        <v>0</v>
      </c>
      <c r="AJ92" s="876">
        <f t="shared" si="64"/>
        <v>0</v>
      </c>
      <c r="AK92" s="877">
        <f t="shared" si="65"/>
        <v>0</v>
      </c>
      <c r="AL92" s="882"/>
      <c r="AM92" s="882"/>
      <c r="AN92" s="876"/>
      <c r="AO92" s="877"/>
      <c r="AP92" s="887" t="s">
        <v>3617</v>
      </c>
      <c r="AQ92" s="888">
        <f>'O. GASB 73 LEO Entries'!C73</f>
        <v>0</v>
      </c>
      <c r="AR92" s="886"/>
      <c r="AS92" s="887" t="s">
        <v>3617</v>
      </c>
      <c r="AT92" s="888">
        <f>'O. GASB 73 LEO Entries'!D73</f>
        <v>1560</v>
      </c>
      <c r="AU92" s="889"/>
      <c r="AV92" s="888"/>
      <c r="AW92" s="886"/>
      <c r="AX92" s="887"/>
      <c r="AY92" s="890"/>
      <c r="AZ92" s="523"/>
      <c r="BA92" s="524"/>
      <c r="BB92" s="875">
        <f t="shared" si="68"/>
        <v>0</v>
      </c>
      <c r="BC92" s="875">
        <f t="shared" si="61"/>
        <v>1560</v>
      </c>
      <c r="BD92" s="876"/>
      <c r="BE92" s="877"/>
      <c r="BF92" s="875"/>
      <c r="BG92" s="878"/>
      <c r="BH92" s="1191"/>
      <c r="BI92" s="1193"/>
      <c r="BJ92" s="1206"/>
    </row>
    <row r="93" spans="1:62" s="1045" customFormat="1" ht="25.5" x14ac:dyDescent="0.2">
      <c r="A93" s="25"/>
      <c r="C93" s="1065" t="s">
        <v>4017</v>
      </c>
      <c r="D93" s="880"/>
      <c r="E93" s="881"/>
      <c r="F93" s="882"/>
      <c r="G93" s="882"/>
      <c r="H93" s="882"/>
      <c r="I93" s="882"/>
      <c r="J93" s="882"/>
      <c r="K93" s="883"/>
      <c r="L93" s="882"/>
      <c r="M93" s="882"/>
      <c r="N93" s="882"/>
      <c r="O93" s="882"/>
      <c r="P93" s="884"/>
      <c r="Q93" s="884"/>
      <c r="R93" s="884"/>
      <c r="S93" s="884"/>
      <c r="T93" s="884"/>
      <c r="U93" s="884"/>
      <c r="V93" s="884"/>
      <c r="W93" s="884"/>
      <c r="X93" s="884"/>
      <c r="Y93" s="884"/>
      <c r="Z93" s="884"/>
      <c r="AA93" s="884"/>
      <c r="AB93" s="884"/>
      <c r="AC93" s="884"/>
      <c r="AD93" s="882"/>
      <c r="AE93" s="882"/>
      <c r="AF93" s="882"/>
      <c r="AG93" s="882"/>
      <c r="AH93" s="885">
        <f t="shared" ref="AH93" si="71">L93+N93+P93+X93+Z93+AB93+AD93+AF93</f>
        <v>0</v>
      </c>
      <c r="AI93" s="886">
        <f t="shared" ref="AI93" si="72">M93+O93+Q93+Y93+AA93+AC93+AE93+AG93</f>
        <v>0</v>
      </c>
      <c r="AJ93" s="876">
        <f t="shared" si="64"/>
        <v>0</v>
      </c>
      <c r="AK93" s="877">
        <f t="shared" si="65"/>
        <v>0</v>
      </c>
      <c r="AL93" s="888"/>
      <c r="AM93" s="888"/>
      <c r="AN93" s="876"/>
      <c r="AO93" s="877"/>
      <c r="AP93" s="887" t="s">
        <v>4022</v>
      </c>
      <c r="AQ93" s="888">
        <f>'P.1 GASB 75 OPEB  - plan 1'!C132</f>
        <v>0</v>
      </c>
      <c r="AR93" s="886"/>
      <c r="AS93" s="887"/>
      <c r="AT93" s="888"/>
      <c r="AU93" s="889" t="s">
        <v>637</v>
      </c>
      <c r="AV93" s="888">
        <f>'K.1  Int. Service Fd Allocation'!E180+'K.2  Int. Service Fd Alloca'!E175+'K.3 Int. Service Fd Alloca'!E175</f>
        <v>0</v>
      </c>
      <c r="AW93" s="886"/>
      <c r="AX93" s="887"/>
      <c r="AY93" s="890"/>
      <c r="AZ93" s="523"/>
      <c r="BA93" s="524"/>
      <c r="BB93" s="875">
        <f t="shared" ref="BB93:BB95" si="73">ROUND(AJ93+AL93+AN93+AQ93+AV93+AZ93,0)</f>
        <v>0</v>
      </c>
      <c r="BC93" s="875">
        <f t="shared" ref="BC93:BC95" si="74">ROUND(AK93+AM93+AO93+AT93+AY93+BA93,0)</f>
        <v>0</v>
      </c>
      <c r="BD93" s="876"/>
      <c r="BE93" s="877"/>
      <c r="BF93" s="875" t="str">
        <f>IF(SUM(BB93:BB95)-SUM(BC93:BC95)&lt;=0," ",SUM(BB93:BB95)-SUM(BC93:BC95))</f>
        <v xml:space="preserve"> </v>
      </c>
      <c r="BG93" s="878">
        <f>IF(SUM(BB93:BB95)-SUM(BC93:BC95)&gt;0," ",SUM(BC93:BC95)-SUM(BB93:BB95))</f>
        <v>0</v>
      </c>
      <c r="BH93" s="1191"/>
      <c r="BI93" s="1193"/>
      <c r="BJ93" s="1206"/>
    </row>
    <row r="94" spans="1:62" s="1099" customFormat="1" x14ac:dyDescent="0.2">
      <c r="A94" s="25"/>
      <c r="C94" s="891"/>
      <c r="D94" s="880"/>
      <c r="E94" s="881"/>
      <c r="F94" s="882"/>
      <c r="G94" s="882"/>
      <c r="H94" s="882"/>
      <c r="I94" s="882"/>
      <c r="J94" s="882"/>
      <c r="K94" s="883"/>
      <c r="L94" s="882"/>
      <c r="M94" s="882"/>
      <c r="N94" s="882"/>
      <c r="O94" s="882"/>
      <c r="P94" s="884"/>
      <c r="Q94" s="884"/>
      <c r="R94" s="884"/>
      <c r="S94" s="884"/>
      <c r="T94" s="884"/>
      <c r="U94" s="884"/>
      <c r="V94" s="884"/>
      <c r="W94" s="884"/>
      <c r="X94" s="884"/>
      <c r="Y94" s="884"/>
      <c r="Z94" s="884"/>
      <c r="AA94" s="884"/>
      <c r="AB94" s="884"/>
      <c r="AC94" s="884"/>
      <c r="AD94" s="882"/>
      <c r="AE94" s="882"/>
      <c r="AF94" s="882"/>
      <c r="AG94" s="882"/>
      <c r="AH94" s="885">
        <f t="shared" ref="AH94:AH95" si="75">L94+N94+P94+X94+Z94+AB94+AD94+AF94</f>
        <v>0</v>
      </c>
      <c r="AI94" s="886">
        <f t="shared" ref="AI94:AI95" si="76">M94+O94+Q94+Y94+AA94+AC94+AE94+AG94</f>
        <v>0</v>
      </c>
      <c r="AJ94" s="876">
        <f t="shared" si="64"/>
        <v>0</v>
      </c>
      <c r="AK94" s="877">
        <f t="shared" si="65"/>
        <v>0</v>
      </c>
      <c r="AL94" s="888"/>
      <c r="AM94" s="888"/>
      <c r="AN94" s="876"/>
      <c r="AO94" s="877"/>
      <c r="AP94" s="887" t="s">
        <v>4023</v>
      </c>
      <c r="AQ94" s="888">
        <f>'P.2 GASB 75 OPEB - plan 2'!C132</f>
        <v>0</v>
      </c>
      <c r="AR94" s="886"/>
      <c r="AS94" s="887"/>
      <c r="AT94" s="888"/>
      <c r="AU94" s="889"/>
      <c r="AV94" s="888"/>
      <c r="AW94" s="886"/>
      <c r="AX94" s="887"/>
      <c r="AY94" s="890"/>
      <c r="AZ94" s="523"/>
      <c r="BA94" s="524"/>
      <c r="BB94" s="875">
        <f t="shared" si="73"/>
        <v>0</v>
      </c>
      <c r="BC94" s="875">
        <f t="shared" si="74"/>
        <v>0</v>
      </c>
      <c r="BD94" s="876"/>
      <c r="BE94" s="877"/>
      <c r="BF94" s="875"/>
      <c r="BG94" s="878"/>
      <c r="BH94" s="1191"/>
      <c r="BI94" s="1193"/>
      <c r="BJ94" s="1206"/>
    </row>
    <row r="95" spans="1:62" s="1099" customFormat="1" x14ac:dyDescent="0.2">
      <c r="A95" s="25"/>
      <c r="C95" s="891"/>
      <c r="D95" s="880"/>
      <c r="E95" s="881"/>
      <c r="F95" s="882"/>
      <c r="G95" s="882"/>
      <c r="H95" s="882"/>
      <c r="I95" s="882"/>
      <c r="J95" s="882"/>
      <c r="K95" s="883"/>
      <c r="L95" s="882"/>
      <c r="M95" s="882"/>
      <c r="N95" s="882"/>
      <c r="O95" s="882"/>
      <c r="P95" s="884"/>
      <c r="Q95" s="884"/>
      <c r="R95" s="884"/>
      <c r="S95" s="884"/>
      <c r="T95" s="884"/>
      <c r="U95" s="884"/>
      <c r="V95" s="884"/>
      <c r="W95" s="884"/>
      <c r="X95" s="884"/>
      <c r="Y95" s="884"/>
      <c r="Z95" s="884"/>
      <c r="AA95" s="884"/>
      <c r="AB95" s="884"/>
      <c r="AC95" s="884"/>
      <c r="AD95" s="882"/>
      <c r="AE95" s="882"/>
      <c r="AF95" s="882"/>
      <c r="AG95" s="882"/>
      <c r="AH95" s="885">
        <f t="shared" si="75"/>
        <v>0</v>
      </c>
      <c r="AI95" s="886">
        <f t="shared" si="76"/>
        <v>0</v>
      </c>
      <c r="AJ95" s="876">
        <f t="shared" si="64"/>
        <v>0</v>
      </c>
      <c r="AK95" s="877">
        <f t="shared" si="65"/>
        <v>0</v>
      </c>
      <c r="AL95" s="888"/>
      <c r="AM95" s="888"/>
      <c r="AN95" s="876"/>
      <c r="AO95" s="877"/>
      <c r="AP95" s="887" t="s">
        <v>4024</v>
      </c>
      <c r="AQ95" s="888">
        <f>'P.3 GASB 75 OPEB - plan 3'!C132</f>
        <v>0</v>
      </c>
      <c r="AR95" s="886"/>
      <c r="AS95" s="887"/>
      <c r="AT95" s="888"/>
      <c r="AU95" s="889"/>
      <c r="AV95" s="888"/>
      <c r="AW95" s="886"/>
      <c r="AX95" s="887"/>
      <c r="AY95" s="890"/>
      <c r="AZ95" s="523"/>
      <c r="BA95" s="524"/>
      <c r="BB95" s="875">
        <f t="shared" si="73"/>
        <v>0</v>
      </c>
      <c r="BC95" s="875">
        <f t="shared" si="74"/>
        <v>0</v>
      </c>
      <c r="BD95" s="876"/>
      <c r="BE95" s="877"/>
      <c r="BF95" s="875"/>
      <c r="BG95" s="878"/>
      <c r="BH95" s="1191"/>
      <c r="BI95" s="1193"/>
      <c r="BJ95" s="1206"/>
    </row>
    <row r="96" spans="1:62" s="671" customFormat="1" x14ac:dyDescent="0.2">
      <c r="A96" s="25"/>
      <c r="C96" s="1052" t="s">
        <v>4019</v>
      </c>
      <c r="D96" s="531"/>
      <c r="E96" s="532"/>
      <c r="F96" s="528"/>
      <c r="G96" s="528"/>
      <c r="H96" s="528"/>
      <c r="I96" s="528"/>
      <c r="J96" s="528"/>
      <c r="K96" s="533"/>
      <c r="L96" s="528"/>
      <c r="M96" s="528"/>
      <c r="N96" s="528"/>
      <c r="O96" s="528"/>
      <c r="P96" s="650"/>
      <c r="Q96" s="650"/>
      <c r="R96" s="650"/>
      <c r="S96" s="650"/>
      <c r="T96" s="650"/>
      <c r="U96" s="650"/>
      <c r="V96" s="650"/>
      <c r="W96" s="650"/>
      <c r="X96" s="650"/>
      <c r="Y96" s="650"/>
      <c r="Z96" s="650"/>
      <c r="AA96" s="650"/>
      <c r="AB96" s="650"/>
      <c r="AC96" s="650"/>
      <c r="AD96" s="528"/>
      <c r="AE96" s="528"/>
      <c r="AF96" s="528"/>
      <c r="AG96" s="528"/>
      <c r="AH96" s="529">
        <f t="shared" ref="AH96:AH98" si="77">L96+N96+P96+R96+T96+V96+X96+Z96+AB96+AD96+AF96</f>
        <v>0</v>
      </c>
      <c r="AI96" s="503">
        <f t="shared" ref="AI96:AI98" si="78">M96+O96+Q96+S96+U96+W96+Y96+AA96+AC96+AE96+AG96</f>
        <v>0</v>
      </c>
      <c r="AJ96" s="534">
        <f t="shared" si="64"/>
        <v>0</v>
      </c>
      <c r="AK96" s="535">
        <f t="shared" si="65"/>
        <v>0</v>
      </c>
      <c r="AL96" s="528">
        <f>'N.1 GASB 68 LGERS'!C75*'N.1 GASB 68 LGERS'!L39+'N.2 GASB 68 ROD'!C63*'N.2 GASB 68 ROD'!L28+3711</f>
        <v>567768</v>
      </c>
      <c r="AM96" s="528"/>
      <c r="AN96" s="534"/>
      <c r="AO96" s="535"/>
      <c r="AP96" s="536" t="s">
        <v>2050</v>
      </c>
      <c r="AQ96" s="651">
        <f>'N.1 GASB 68 LGERS'!C108</f>
        <v>1023603</v>
      </c>
      <c r="AR96" s="537"/>
      <c r="AS96" s="536" t="s">
        <v>2050</v>
      </c>
      <c r="AT96" s="651">
        <f>'N.1 GASB 68 LGERS'!D108</f>
        <v>0</v>
      </c>
      <c r="AU96" s="557" t="s">
        <v>637</v>
      </c>
      <c r="AV96" s="651">
        <f>'K.1  Int. Service Fd Allocation'!E177+'K.2  Int. Service Fd Alloca'!E172+'K.3 Int. Service Fd Alloca'!E172</f>
        <v>0</v>
      </c>
      <c r="AW96" s="537"/>
      <c r="AX96" s="536"/>
      <c r="AY96" s="652"/>
      <c r="AZ96" s="523"/>
      <c r="BA96" s="524"/>
      <c r="BB96" s="465">
        <f t="shared" si="68"/>
        <v>1591371</v>
      </c>
      <c r="BC96" s="465">
        <f t="shared" si="61"/>
        <v>0</v>
      </c>
      <c r="BD96" s="534"/>
      <c r="BE96" s="535"/>
      <c r="BF96" s="432">
        <f>IF(SUM(BB96:BB98)-SUM(BC96:BC98)&lt;=0," ",SUM(BB96:BB98)-SUM(BC96:BC98))</f>
        <v>1581837</v>
      </c>
      <c r="BG96" s="538" t="str">
        <f>IF(SUM(BB96:BB98)-SUM(BC96:BC98)&gt;0," ",SUM(BC96:BC98)-SUM(BB96:BB98))</f>
        <v xml:space="preserve"> </v>
      </c>
      <c r="BH96" s="1191">
        <f>1574550+3576</f>
        <v>1578126</v>
      </c>
      <c r="BI96" s="1193"/>
      <c r="BJ96" s="1206"/>
    </row>
    <row r="97" spans="1:63" s="754" customFormat="1" x14ac:dyDescent="0.2">
      <c r="A97" s="25"/>
      <c r="C97" s="753"/>
      <c r="D97" s="531"/>
      <c r="E97" s="532"/>
      <c r="F97" s="528"/>
      <c r="G97" s="528"/>
      <c r="H97" s="528"/>
      <c r="I97" s="528"/>
      <c r="J97" s="528"/>
      <c r="K97" s="533"/>
      <c r="L97" s="528"/>
      <c r="M97" s="528"/>
      <c r="N97" s="528"/>
      <c r="O97" s="528"/>
      <c r="P97" s="650"/>
      <c r="Q97" s="650"/>
      <c r="R97" s="650"/>
      <c r="S97" s="650"/>
      <c r="T97" s="650"/>
      <c r="U97" s="650"/>
      <c r="V97" s="650"/>
      <c r="W97" s="650"/>
      <c r="X97" s="650"/>
      <c r="Y97" s="650"/>
      <c r="Z97" s="650"/>
      <c r="AA97" s="650"/>
      <c r="AB97" s="650"/>
      <c r="AC97" s="650"/>
      <c r="AD97" s="528"/>
      <c r="AE97" s="528"/>
      <c r="AF97" s="528"/>
      <c r="AG97" s="528"/>
      <c r="AH97" s="529">
        <f t="shared" si="77"/>
        <v>0</v>
      </c>
      <c r="AI97" s="503">
        <f t="shared" si="78"/>
        <v>0</v>
      </c>
      <c r="AJ97" s="534">
        <f t="shared" si="64"/>
        <v>0</v>
      </c>
      <c r="AK97" s="535">
        <f t="shared" si="65"/>
        <v>0</v>
      </c>
      <c r="AL97" s="528"/>
      <c r="AM97" s="528"/>
      <c r="AN97" s="534"/>
      <c r="AO97" s="535"/>
      <c r="AP97" s="536" t="s">
        <v>2051</v>
      </c>
      <c r="AQ97" s="651">
        <f>'N.2 GASB 68 ROD'!C80</f>
        <v>0</v>
      </c>
      <c r="AR97" s="537"/>
      <c r="AS97" s="536" t="s">
        <v>2051</v>
      </c>
      <c r="AT97" s="651">
        <f>'N.2 GASB 68 ROD'!D80</f>
        <v>9534</v>
      </c>
      <c r="AU97" s="557"/>
      <c r="AV97" s="651"/>
      <c r="AW97" s="537"/>
      <c r="AX97" s="536"/>
      <c r="AY97" s="652"/>
      <c r="AZ97" s="523"/>
      <c r="BA97" s="524"/>
      <c r="BB97" s="465">
        <f t="shared" si="68"/>
        <v>0</v>
      </c>
      <c r="BC97" s="465">
        <f t="shared" si="61"/>
        <v>9534</v>
      </c>
      <c r="BD97" s="534"/>
      <c r="BE97" s="535"/>
      <c r="BF97" s="432"/>
      <c r="BG97" s="538"/>
      <c r="BH97" s="1191">
        <v>-1581837</v>
      </c>
      <c r="BI97" s="1193"/>
      <c r="BJ97" s="1206"/>
    </row>
    <row r="98" spans="1:63" s="693" customFormat="1" x14ac:dyDescent="0.2">
      <c r="A98" s="25"/>
      <c r="C98" s="753"/>
      <c r="D98" s="531"/>
      <c r="E98" s="532"/>
      <c r="F98" s="528"/>
      <c r="G98" s="528"/>
      <c r="H98" s="528"/>
      <c r="I98" s="528"/>
      <c r="J98" s="528"/>
      <c r="K98" s="533"/>
      <c r="L98" s="528"/>
      <c r="M98" s="528"/>
      <c r="N98" s="528"/>
      <c r="O98" s="528"/>
      <c r="P98" s="650"/>
      <c r="Q98" s="650"/>
      <c r="R98" s="650"/>
      <c r="S98" s="650"/>
      <c r="T98" s="650"/>
      <c r="U98" s="650"/>
      <c r="V98" s="650"/>
      <c r="W98" s="650"/>
      <c r="X98" s="650"/>
      <c r="Y98" s="650"/>
      <c r="Z98" s="650"/>
      <c r="AA98" s="650"/>
      <c r="AB98" s="650"/>
      <c r="AC98" s="650"/>
      <c r="AD98" s="528"/>
      <c r="AE98" s="528"/>
      <c r="AF98" s="528"/>
      <c r="AG98" s="528"/>
      <c r="AH98" s="529">
        <f t="shared" si="77"/>
        <v>0</v>
      </c>
      <c r="AI98" s="503">
        <f t="shared" si="78"/>
        <v>0</v>
      </c>
      <c r="AJ98" s="534">
        <f t="shared" si="64"/>
        <v>0</v>
      </c>
      <c r="AK98" s="535">
        <f t="shared" si="65"/>
        <v>0</v>
      </c>
      <c r="AL98" s="528"/>
      <c r="AM98" s="528"/>
      <c r="AN98" s="534"/>
      <c r="AO98" s="535"/>
      <c r="AP98" s="536" t="s">
        <v>3617</v>
      </c>
      <c r="AQ98" s="651">
        <f>'O. GASB 73 LEO Entries'!C74</f>
        <v>0</v>
      </c>
      <c r="AR98" s="537"/>
      <c r="AS98" s="536" t="s">
        <v>3617</v>
      </c>
      <c r="AT98" s="651">
        <f>'O. GASB 73 LEO Entries'!D74</f>
        <v>0</v>
      </c>
      <c r="AU98" s="557"/>
      <c r="AV98" s="651"/>
      <c r="AW98" s="537"/>
      <c r="AX98" s="536"/>
      <c r="AY98" s="652"/>
      <c r="AZ98" s="523"/>
      <c r="BA98" s="524"/>
      <c r="BB98" s="465">
        <f t="shared" si="68"/>
        <v>0</v>
      </c>
      <c r="BC98" s="465">
        <f t="shared" si="61"/>
        <v>0</v>
      </c>
      <c r="BD98" s="534"/>
      <c r="BE98" s="535"/>
      <c r="BF98" s="432"/>
      <c r="BG98" s="538"/>
      <c r="BH98" s="1191"/>
      <c r="BI98" s="1193"/>
      <c r="BJ98" s="1206"/>
    </row>
    <row r="99" spans="1:63" s="1045" customFormat="1" x14ac:dyDescent="0.2">
      <c r="A99" s="25"/>
      <c r="C99" s="1131" t="s">
        <v>4020</v>
      </c>
      <c r="D99" s="531"/>
      <c r="E99" s="532"/>
      <c r="F99" s="528"/>
      <c r="G99" s="528"/>
      <c r="H99" s="528"/>
      <c r="I99" s="528"/>
      <c r="J99" s="528"/>
      <c r="K99" s="533"/>
      <c r="L99" s="528"/>
      <c r="M99" s="528"/>
      <c r="N99" s="528"/>
      <c r="O99" s="528"/>
      <c r="P99" s="650"/>
      <c r="Q99" s="650"/>
      <c r="R99" s="650"/>
      <c r="S99" s="650"/>
      <c r="T99" s="650"/>
      <c r="U99" s="650"/>
      <c r="V99" s="650"/>
      <c r="W99" s="650"/>
      <c r="X99" s="650"/>
      <c r="Y99" s="650"/>
      <c r="Z99" s="650"/>
      <c r="AA99" s="650"/>
      <c r="AB99" s="650"/>
      <c r="AC99" s="650"/>
      <c r="AD99" s="528"/>
      <c r="AE99" s="528"/>
      <c r="AF99" s="528"/>
      <c r="AG99" s="528"/>
      <c r="AH99" s="529"/>
      <c r="AI99" s="537"/>
      <c r="AJ99" s="534"/>
      <c r="AK99" s="535"/>
      <c r="AM99" s="651"/>
      <c r="AN99" s="534"/>
      <c r="AO99" s="535"/>
      <c r="AP99" s="536" t="s">
        <v>4022</v>
      </c>
      <c r="AQ99" s="651">
        <f>'P.1 GASB 75 OPEB  - plan 1'!C133</f>
        <v>0</v>
      </c>
      <c r="AR99" s="537"/>
      <c r="AS99" s="536"/>
      <c r="AT99" s="651"/>
      <c r="AU99" s="557" t="s">
        <v>637</v>
      </c>
      <c r="AV99" s="651">
        <f>'K.1  Int. Service Fd Allocation'!E181+'K.2  Int. Service Fd Alloca'!E176+'K.3 Int. Service Fd Alloca'!E176</f>
        <v>0</v>
      </c>
      <c r="AW99" s="537"/>
      <c r="AX99" s="536"/>
      <c r="AY99" s="652"/>
      <c r="AZ99" s="523"/>
      <c r="BA99" s="524"/>
      <c r="BB99" s="465">
        <f t="shared" si="68"/>
        <v>0</v>
      </c>
      <c r="BC99" s="465">
        <f t="shared" ref="BC99:BC101" si="79">ROUND(AK99+AM99+AO99+AT99+AY99+BA99,0)</f>
        <v>0</v>
      </c>
      <c r="BD99" s="534"/>
      <c r="BE99" s="535"/>
      <c r="BF99" s="432" t="str">
        <f>IF(SUM(BB99:BB101)-SUM(BC99:BC101)&lt;=0," ",SUM(BB99:BB101)-SUM(BC99:BC101))</f>
        <v xml:space="preserve"> </v>
      </c>
      <c r="BG99" s="538">
        <f>IF(SUM(BB99:BB101)-SUM(BC99:BC101)&gt;0," ",SUM(BC99:BC101)-SUM(BB99:BB101))</f>
        <v>0</v>
      </c>
      <c r="BH99" s="1192"/>
      <c r="BI99" s="1194"/>
      <c r="BJ99" s="1206"/>
      <c r="BK99" s="5"/>
    </row>
    <row r="100" spans="1:63" s="1099" customFormat="1" x14ac:dyDescent="0.2">
      <c r="A100" s="25"/>
      <c r="C100" s="1098"/>
      <c r="D100" s="531"/>
      <c r="E100" s="532"/>
      <c r="F100" s="528"/>
      <c r="G100" s="528"/>
      <c r="H100" s="528"/>
      <c r="I100" s="528"/>
      <c r="J100" s="528"/>
      <c r="K100" s="533"/>
      <c r="L100" s="528"/>
      <c r="M100" s="528"/>
      <c r="N100" s="528"/>
      <c r="O100" s="528"/>
      <c r="P100" s="650"/>
      <c r="Q100" s="650"/>
      <c r="R100" s="650"/>
      <c r="S100" s="650"/>
      <c r="T100" s="650"/>
      <c r="U100" s="650"/>
      <c r="V100" s="650"/>
      <c r="W100" s="650"/>
      <c r="X100" s="650"/>
      <c r="Y100" s="650"/>
      <c r="Z100" s="650"/>
      <c r="AA100" s="650"/>
      <c r="AB100" s="650"/>
      <c r="AC100" s="650"/>
      <c r="AD100" s="528"/>
      <c r="AE100" s="528"/>
      <c r="AF100" s="528"/>
      <c r="AG100" s="528"/>
      <c r="AH100" s="529"/>
      <c r="AI100" s="537"/>
      <c r="AJ100" s="534"/>
      <c r="AK100" s="535"/>
      <c r="AM100" s="651"/>
      <c r="AN100" s="534"/>
      <c r="AO100" s="535"/>
      <c r="AP100" s="536" t="s">
        <v>4023</v>
      </c>
      <c r="AQ100" s="651">
        <f>'P.2 GASB 75 OPEB - plan 2'!C133</f>
        <v>0</v>
      </c>
      <c r="AR100" s="537"/>
      <c r="AS100" s="536"/>
      <c r="AT100" s="651"/>
      <c r="AU100" s="557"/>
      <c r="AV100" s="651"/>
      <c r="AW100" s="537"/>
      <c r="AX100" s="536"/>
      <c r="AY100" s="652"/>
      <c r="AZ100" s="523"/>
      <c r="BA100" s="524"/>
      <c r="BB100" s="465">
        <f t="shared" si="68"/>
        <v>0</v>
      </c>
      <c r="BC100" s="465">
        <f t="shared" si="79"/>
        <v>0</v>
      </c>
      <c r="BD100" s="534"/>
      <c r="BE100" s="535"/>
      <c r="BF100" s="432"/>
      <c r="BG100" s="538"/>
      <c r="BH100" s="1191"/>
      <c r="BI100" s="1193"/>
      <c r="BJ100" s="1206"/>
    </row>
    <row r="101" spans="1:63" s="1099" customFormat="1" x14ac:dyDescent="0.2">
      <c r="A101" s="25"/>
      <c r="C101" s="1098"/>
      <c r="D101" s="531"/>
      <c r="E101" s="532"/>
      <c r="F101" s="528"/>
      <c r="G101" s="528"/>
      <c r="H101" s="528"/>
      <c r="I101" s="528"/>
      <c r="J101" s="528"/>
      <c r="K101" s="533"/>
      <c r="L101" s="528"/>
      <c r="M101" s="528"/>
      <c r="N101" s="528"/>
      <c r="O101" s="528"/>
      <c r="P101" s="650"/>
      <c r="Q101" s="650"/>
      <c r="R101" s="650"/>
      <c r="S101" s="650"/>
      <c r="T101" s="650"/>
      <c r="U101" s="650"/>
      <c r="V101" s="650"/>
      <c r="W101" s="650"/>
      <c r="X101" s="650"/>
      <c r="Y101" s="650"/>
      <c r="Z101" s="650"/>
      <c r="AA101" s="650"/>
      <c r="AB101" s="650"/>
      <c r="AC101" s="650"/>
      <c r="AD101" s="528"/>
      <c r="AE101" s="528"/>
      <c r="AF101" s="528"/>
      <c r="AG101" s="528"/>
      <c r="AH101" s="529"/>
      <c r="AI101" s="537"/>
      <c r="AJ101" s="534"/>
      <c r="AK101" s="535"/>
      <c r="AM101" s="651"/>
      <c r="AN101" s="534"/>
      <c r="AO101" s="535"/>
      <c r="AP101" s="536" t="s">
        <v>4024</v>
      </c>
      <c r="AQ101" s="651">
        <f>'P.3 GASB 75 OPEB - plan 3'!C133</f>
        <v>0</v>
      </c>
      <c r="AR101" s="537"/>
      <c r="AS101" s="536"/>
      <c r="AT101" s="651"/>
      <c r="AU101" s="557"/>
      <c r="AV101" s="651"/>
      <c r="AW101" s="537"/>
      <c r="AX101" s="536"/>
      <c r="AY101" s="652"/>
      <c r="AZ101" s="523"/>
      <c r="BA101" s="524"/>
      <c r="BB101" s="465">
        <f t="shared" si="68"/>
        <v>0</v>
      </c>
      <c r="BC101" s="465">
        <f t="shared" si="79"/>
        <v>0</v>
      </c>
      <c r="BD101" s="534"/>
      <c r="BE101" s="535"/>
      <c r="BF101" s="432"/>
      <c r="BG101" s="538"/>
      <c r="BH101" s="1191"/>
      <c r="BI101" s="1193"/>
      <c r="BJ101" s="1206"/>
    </row>
    <row r="102" spans="1:63" s="754" customFormat="1" ht="25.5" x14ac:dyDescent="0.2">
      <c r="A102" s="25"/>
      <c r="C102" s="1065" t="s">
        <v>4021</v>
      </c>
      <c r="D102" s="880"/>
      <c r="E102" s="881"/>
      <c r="F102" s="882"/>
      <c r="G102" s="882"/>
      <c r="H102" s="882"/>
      <c r="I102" s="882"/>
      <c r="J102" s="882"/>
      <c r="K102" s="883"/>
      <c r="L102" s="882"/>
      <c r="M102" s="882"/>
      <c r="N102" s="882"/>
      <c r="O102" s="882"/>
      <c r="P102" s="884"/>
      <c r="Q102" s="884"/>
      <c r="R102" s="884"/>
      <c r="S102" s="884"/>
      <c r="T102" s="884"/>
      <c r="U102" s="884"/>
      <c r="V102" s="884"/>
      <c r="W102" s="884"/>
      <c r="X102" s="884"/>
      <c r="Y102" s="884"/>
      <c r="Z102" s="884"/>
      <c r="AA102" s="884"/>
      <c r="AB102" s="884"/>
      <c r="AC102" s="884"/>
      <c r="AD102" s="882"/>
      <c r="AE102" s="882"/>
      <c r="AF102" s="882"/>
      <c r="AG102" s="882"/>
      <c r="AH102" s="545">
        <f t="shared" ref="AH102:AH106" si="80">L102+N102+P102+R102+T102+V102+X102+Z102+AB102+AD102+AF102</f>
        <v>0</v>
      </c>
      <c r="AI102" s="546">
        <f t="shared" ref="AI102:AI106" si="81">M102+O102+Q102+S102+U102+W102+Y102+AA102+AC102+AE102+AG102</f>
        <v>0</v>
      </c>
      <c r="AJ102" s="876">
        <f t="shared" ref="AJ102:AK106" si="82">D102+F102+H102+J102+AH102</f>
        <v>0</v>
      </c>
      <c r="AK102" s="877">
        <f t="shared" si="82"/>
        <v>0</v>
      </c>
      <c r="AL102" s="882">
        <f>IF('N.1 GASB 68 LGERS'!K43&gt;0,'N.1 GASB 68 LGERS'!K43*'N.1 GASB 68 LGERS'!C75,0)</f>
        <v>936678</v>
      </c>
      <c r="AM102" s="882"/>
      <c r="AN102" s="876"/>
      <c r="AO102" s="877"/>
      <c r="AP102" s="887" t="s">
        <v>2050</v>
      </c>
      <c r="AQ102" s="888">
        <f>'N.1 GASB 68 LGERS'!C107</f>
        <v>0</v>
      </c>
      <c r="AR102" s="886"/>
      <c r="AS102" s="887" t="s">
        <v>2050</v>
      </c>
      <c r="AT102" s="888">
        <f>'N.1 GASB 68 LGERS'!D107</f>
        <v>122171</v>
      </c>
      <c r="AU102" s="889"/>
      <c r="AV102" s="888"/>
      <c r="AW102" s="886"/>
      <c r="AX102" s="887"/>
      <c r="AY102" s="890"/>
      <c r="AZ102" s="523"/>
      <c r="BA102" s="524"/>
      <c r="BB102" s="875">
        <f t="shared" si="68"/>
        <v>936678</v>
      </c>
      <c r="BC102" s="875">
        <f t="shared" si="61"/>
        <v>122171</v>
      </c>
      <c r="BD102" s="876"/>
      <c r="BE102" s="877"/>
      <c r="BF102" s="875">
        <f>IF(SUM(BB102:BB103)-SUM(BC102:BC103)&lt;=0," ",SUM(BB102:BB103)-SUM(BC102:BC103))</f>
        <v>826624</v>
      </c>
      <c r="BG102" s="878" t="str">
        <f>IF(SUM(BB102:BB103)-SUM(BC102:BC103)&gt;0," ",SUM(BC102:BC103)-SUM(BB102:BB103))</f>
        <v xml:space="preserve"> </v>
      </c>
      <c r="BH102" s="1191"/>
      <c r="BI102" s="1193"/>
      <c r="BJ102" s="1206"/>
    </row>
    <row r="103" spans="1:63" s="1025" customFormat="1" x14ac:dyDescent="0.2">
      <c r="A103" s="33"/>
      <c r="C103" s="891"/>
      <c r="D103" s="880"/>
      <c r="E103" s="881"/>
      <c r="F103" s="882"/>
      <c r="G103" s="882"/>
      <c r="H103" s="882"/>
      <c r="I103" s="882"/>
      <c r="J103" s="882"/>
      <c r="K103" s="883"/>
      <c r="L103" s="882"/>
      <c r="M103" s="882"/>
      <c r="N103" s="882"/>
      <c r="O103" s="882"/>
      <c r="P103" s="884"/>
      <c r="Q103" s="884"/>
      <c r="R103" s="884"/>
      <c r="S103" s="884"/>
      <c r="T103" s="884"/>
      <c r="U103" s="884"/>
      <c r="V103" s="884"/>
      <c r="W103" s="884"/>
      <c r="X103" s="884"/>
      <c r="Y103" s="884"/>
      <c r="Z103" s="884"/>
      <c r="AA103" s="884"/>
      <c r="AB103" s="884"/>
      <c r="AC103" s="884"/>
      <c r="AD103" s="882"/>
      <c r="AE103" s="882"/>
      <c r="AF103" s="882"/>
      <c r="AG103" s="882"/>
      <c r="AH103" s="545">
        <f t="shared" si="80"/>
        <v>0</v>
      </c>
      <c r="AI103" s="546">
        <f t="shared" si="81"/>
        <v>0</v>
      </c>
      <c r="AJ103" s="876">
        <f t="shared" si="82"/>
        <v>0</v>
      </c>
      <c r="AK103" s="877">
        <f t="shared" si="82"/>
        <v>0</v>
      </c>
      <c r="AL103" s="882">
        <f>IF('N.2 GASB 68 ROD'!K32&gt;0,'N.2 GASB 68 ROD'!K32*'N.2 GASB 68 ROD'!C63,0)</f>
        <v>6605</v>
      </c>
      <c r="AM103" s="882"/>
      <c r="AN103" s="876"/>
      <c r="AO103" s="877"/>
      <c r="AP103" s="887" t="s">
        <v>2051</v>
      </c>
      <c r="AQ103" s="888">
        <f>'N.2 GASB 68 ROD'!C79</f>
        <v>5512</v>
      </c>
      <c r="AR103" s="886"/>
      <c r="AS103" s="887" t="s">
        <v>2051</v>
      </c>
      <c r="AT103" s="888">
        <f>'N.2 GASB 68 ROD'!D79</f>
        <v>0</v>
      </c>
      <c r="AU103" s="889" t="s">
        <v>637</v>
      </c>
      <c r="AV103" s="888">
        <f>'K.1  Int. Service Fd Allocation'!E178+'K.2  Int. Service Fd Alloca'!E173+'K.3 Int. Service Fd Alloca'!E173</f>
        <v>0</v>
      </c>
      <c r="AW103" s="886"/>
      <c r="AX103" s="887"/>
      <c r="AY103" s="890"/>
      <c r="AZ103" s="1026"/>
      <c r="BA103" s="1027"/>
      <c r="BB103" s="875">
        <f>ROUND(AJ103+AL103+AN103+AQ103+AV103+AZ103,0)</f>
        <v>12117</v>
      </c>
      <c r="BC103" s="875">
        <f>ROUND(AK103+AM103+AO103+AT103+AY103+BA103,0)</f>
        <v>0</v>
      </c>
      <c r="BD103" s="876"/>
      <c r="BE103" s="877"/>
      <c r="BF103" s="875"/>
      <c r="BG103" s="878"/>
      <c r="BH103" s="1191"/>
      <c r="BI103" s="1194"/>
      <c r="BJ103" s="1206"/>
    </row>
    <row r="104" spans="1:63" s="1047" customFormat="1" ht="25.5" x14ac:dyDescent="0.2">
      <c r="A104" s="33"/>
      <c r="C104" s="1065" t="s">
        <v>4025</v>
      </c>
      <c r="D104" s="880"/>
      <c r="E104" s="881"/>
      <c r="F104" s="882"/>
      <c r="G104" s="882"/>
      <c r="H104" s="882"/>
      <c r="I104" s="882"/>
      <c r="J104" s="882"/>
      <c r="K104" s="883"/>
      <c r="L104" s="882"/>
      <c r="M104" s="882"/>
      <c r="N104" s="882"/>
      <c r="O104" s="882"/>
      <c r="P104" s="884"/>
      <c r="Q104" s="884"/>
      <c r="R104" s="884"/>
      <c r="S104" s="884"/>
      <c r="T104" s="884"/>
      <c r="U104" s="884"/>
      <c r="V104" s="884"/>
      <c r="W104" s="884"/>
      <c r="X104" s="884"/>
      <c r="Y104" s="884"/>
      <c r="Z104" s="884"/>
      <c r="AA104" s="884"/>
      <c r="AB104" s="884"/>
      <c r="AC104" s="884"/>
      <c r="AD104" s="882"/>
      <c r="AE104" s="882"/>
      <c r="AF104" s="882"/>
      <c r="AG104" s="882"/>
      <c r="AH104" s="545">
        <f t="shared" si="80"/>
        <v>0</v>
      </c>
      <c r="AI104" s="546">
        <f t="shared" si="81"/>
        <v>0</v>
      </c>
      <c r="AJ104" s="876">
        <f t="shared" si="82"/>
        <v>0</v>
      </c>
      <c r="AK104" s="877">
        <f t="shared" si="82"/>
        <v>0</v>
      </c>
      <c r="AL104" s="888"/>
      <c r="AM104" s="888"/>
      <c r="AN104" s="876"/>
      <c r="AO104" s="877"/>
      <c r="AP104" s="887" t="s">
        <v>4022</v>
      </c>
      <c r="AQ104" s="888">
        <f>'P.1 GASB 75 OPEB  - plan 1'!C134</f>
        <v>0</v>
      </c>
      <c r="AR104" s="886"/>
      <c r="AS104" s="887"/>
      <c r="AT104" s="888"/>
      <c r="AU104" s="889" t="s">
        <v>637</v>
      </c>
      <c r="AV104" s="888">
        <f>'K.1  Int. Service Fd Allocation'!E182+'K.2  Int. Service Fd Alloca'!E177+'K.3 Int. Service Fd Alloca'!E177</f>
        <v>0</v>
      </c>
      <c r="AW104" s="886"/>
      <c r="AX104" s="887"/>
      <c r="AY104" s="890"/>
      <c r="AZ104" s="1026"/>
      <c r="BA104" s="1027"/>
      <c r="BB104" s="875">
        <f t="shared" ref="BB104:BB106" si="83">ROUND(AJ104+AL104+AN104+AQ104+AV104+AZ104,0)</f>
        <v>0</v>
      </c>
      <c r="BC104" s="875">
        <f t="shared" ref="BC104:BC106" si="84">ROUND(AK104+AM104+AO104+AT104+AY104+BA104,0)</f>
        <v>0</v>
      </c>
      <c r="BD104" s="876"/>
      <c r="BE104" s="877"/>
      <c r="BF104" s="875" t="str">
        <f>IF(SUM(BB104:BB106)-SUM(BC104:BC106)&lt;=0," ",SUM(BB104:BB106)-SUM(BC104:BC106))</f>
        <v xml:space="preserve"> </v>
      </c>
      <c r="BG104" s="878">
        <f>IF(SUM(BB104:BB106)-SUM(BC104:BC106)&gt;0," ",SUM(BC104:BC106)-SUM(BB104:BB106))</f>
        <v>0</v>
      </c>
      <c r="BH104" s="1191"/>
      <c r="BI104" s="1194"/>
      <c r="BJ104" s="1206"/>
    </row>
    <row r="105" spans="1:63" s="1100" customFormat="1" x14ac:dyDescent="0.2">
      <c r="A105" s="33"/>
      <c r="C105" s="891"/>
      <c r="D105" s="880"/>
      <c r="E105" s="881"/>
      <c r="F105" s="882"/>
      <c r="G105" s="882"/>
      <c r="H105" s="882"/>
      <c r="I105" s="882"/>
      <c r="J105" s="882"/>
      <c r="K105" s="883"/>
      <c r="L105" s="882"/>
      <c r="M105" s="882"/>
      <c r="N105" s="882"/>
      <c r="O105" s="882"/>
      <c r="P105" s="884"/>
      <c r="Q105" s="884"/>
      <c r="R105" s="884"/>
      <c r="S105" s="884"/>
      <c r="T105" s="884"/>
      <c r="U105" s="884"/>
      <c r="V105" s="884"/>
      <c r="W105" s="884"/>
      <c r="X105" s="884"/>
      <c r="Y105" s="884"/>
      <c r="Z105" s="884"/>
      <c r="AA105" s="884"/>
      <c r="AB105" s="884"/>
      <c r="AC105" s="884"/>
      <c r="AD105" s="882"/>
      <c r="AE105" s="882"/>
      <c r="AF105" s="882"/>
      <c r="AG105" s="882"/>
      <c r="AH105" s="545">
        <f t="shared" si="80"/>
        <v>0</v>
      </c>
      <c r="AI105" s="546">
        <f t="shared" si="81"/>
        <v>0</v>
      </c>
      <c r="AJ105" s="876">
        <f t="shared" si="82"/>
        <v>0</v>
      </c>
      <c r="AK105" s="877">
        <f t="shared" si="82"/>
        <v>0</v>
      </c>
      <c r="AL105" s="888"/>
      <c r="AM105" s="888"/>
      <c r="AN105" s="876"/>
      <c r="AO105" s="877"/>
      <c r="AP105" s="887" t="s">
        <v>4023</v>
      </c>
      <c r="AQ105" s="888">
        <f>'P.2 GASB 75 OPEB - plan 2'!C134</f>
        <v>0</v>
      </c>
      <c r="AR105" s="886"/>
      <c r="AS105" s="887"/>
      <c r="AT105" s="888"/>
      <c r="AU105" s="889"/>
      <c r="AV105" s="888"/>
      <c r="AW105" s="886"/>
      <c r="AX105" s="887"/>
      <c r="AY105" s="890"/>
      <c r="AZ105" s="1026"/>
      <c r="BA105" s="1027"/>
      <c r="BB105" s="875">
        <f t="shared" si="83"/>
        <v>0</v>
      </c>
      <c r="BC105" s="875">
        <f t="shared" si="84"/>
        <v>0</v>
      </c>
      <c r="BD105" s="876"/>
      <c r="BE105" s="877"/>
      <c r="BF105" s="875"/>
      <c r="BG105" s="878"/>
      <c r="BH105" s="1191"/>
      <c r="BI105" s="1194"/>
      <c r="BJ105" s="1206"/>
    </row>
    <row r="106" spans="1:63" s="1100" customFormat="1" x14ac:dyDescent="0.2">
      <c r="A106" s="33"/>
      <c r="C106" s="891"/>
      <c r="D106" s="880"/>
      <c r="E106" s="881"/>
      <c r="F106" s="882"/>
      <c r="G106" s="882"/>
      <c r="H106" s="882"/>
      <c r="I106" s="882"/>
      <c r="J106" s="882"/>
      <c r="K106" s="883"/>
      <c r="L106" s="882"/>
      <c r="M106" s="882"/>
      <c r="N106" s="882"/>
      <c r="O106" s="882"/>
      <c r="P106" s="884"/>
      <c r="Q106" s="884"/>
      <c r="R106" s="884"/>
      <c r="S106" s="884"/>
      <c r="T106" s="884"/>
      <c r="U106" s="884"/>
      <c r="V106" s="884"/>
      <c r="W106" s="884"/>
      <c r="X106" s="884"/>
      <c r="Y106" s="884"/>
      <c r="Z106" s="884"/>
      <c r="AA106" s="884"/>
      <c r="AB106" s="884"/>
      <c r="AC106" s="884"/>
      <c r="AD106" s="882"/>
      <c r="AE106" s="882"/>
      <c r="AF106" s="882"/>
      <c r="AG106" s="882"/>
      <c r="AH106" s="545">
        <f t="shared" si="80"/>
        <v>0</v>
      </c>
      <c r="AI106" s="546">
        <f t="shared" si="81"/>
        <v>0</v>
      </c>
      <c r="AJ106" s="876">
        <f t="shared" si="82"/>
        <v>0</v>
      </c>
      <c r="AK106" s="877">
        <f t="shared" si="82"/>
        <v>0</v>
      </c>
      <c r="AL106" s="888"/>
      <c r="AM106" s="888"/>
      <c r="AN106" s="876"/>
      <c r="AO106" s="877"/>
      <c r="AP106" s="887" t="s">
        <v>4024</v>
      </c>
      <c r="AQ106" s="888">
        <f>'P.3 GASB 75 OPEB - plan 3'!C134</f>
        <v>0</v>
      </c>
      <c r="AR106" s="886"/>
      <c r="AS106" s="887"/>
      <c r="AT106" s="888"/>
      <c r="AU106" s="889"/>
      <c r="AV106" s="888"/>
      <c r="AW106" s="886"/>
      <c r="AX106" s="887"/>
      <c r="AY106" s="890"/>
      <c r="AZ106" s="1026"/>
      <c r="BA106" s="1027"/>
      <c r="BB106" s="875">
        <f t="shared" si="83"/>
        <v>0</v>
      </c>
      <c r="BC106" s="875">
        <f t="shared" si="84"/>
        <v>0</v>
      </c>
      <c r="BD106" s="876"/>
      <c r="BE106" s="877"/>
      <c r="BF106" s="875"/>
      <c r="BG106" s="878"/>
      <c r="BH106" s="1191"/>
      <c r="BI106" s="1194"/>
      <c r="BJ106" s="1206"/>
    </row>
    <row r="107" spans="1:63" s="13" customFormat="1" ht="12.75" customHeight="1" x14ac:dyDescent="0.2">
      <c r="A107" s="33"/>
      <c r="D107" s="531"/>
      <c r="E107" s="532"/>
      <c r="F107" s="528"/>
      <c r="G107" s="528"/>
      <c r="H107" s="528"/>
      <c r="I107" s="528"/>
      <c r="J107" s="528"/>
      <c r="K107" s="533"/>
      <c r="L107" s="528"/>
      <c r="M107" s="528"/>
      <c r="N107" s="528"/>
      <c r="O107" s="528"/>
      <c r="P107" s="527"/>
      <c r="Q107" s="527"/>
      <c r="R107" s="527"/>
      <c r="S107" s="527"/>
      <c r="T107" s="527"/>
      <c r="U107" s="527"/>
      <c r="V107" s="527"/>
      <c r="W107" s="527"/>
      <c r="X107" s="527"/>
      <c r="Y107" s="527"/>
      <c r="Z107" s="527"/>
      <c r="AA107" s="527"/>
      <c r="AB107" s="527"/>
      <c r="AC107" s="527"/>
      <c r="AD107" s="528"/>
      <c r="AE107" s="528"/>
      <c r="AF107" s="528"/>
      <c r="AG107" s="528"/>
      <c r="AH107" s="529"/>
      <c r="AI107" s="537"/>
      <c r="AJ107" s="534"/>
      <c r="AK107" s="535"/>
      <c r="AL107" s="528"/>
      <c r="AM107" s="528"/>
      <c r="AN107" s="534"/>
      <c r="AO107" s="535"/>
      <c r="AP107" s="536"/>
      <c r="AQ107" s="432"/>
      <c r="AR107" s="537"/>
      <c r="AS107" s="536"/>
      <c r="AT107" s="432"/>
      <c r="AU107" s="539"/>
      <c r="AV107" s="432"/>
      <c r="AW107" s="537"/>
      <c r="AX107" s="536"/>
      <c r="AY107" s="538"/>
      <c r="AZ107" s="523"/>
      <c r="BA107" s="524"/>
      <c r="BB107" s="432"/>
      <c r="BC107" s="432"/>
      <c r="BD107" s="534"/>
      <c r="BE107" s="535"/>
      <c r="BF107" s="432"/>
      <c r="BG107" s="538"/>
      <c r="BH107" s="1191"/>
      <c r="BI107" s="1194"/>
      <c r="BJ107" s="1206"/>
    </row>
    <row r="108" spans="1:63" ht="12.75" customHeight="1" x14ac:dyDescent="0.2">
      <c r="A108" s="25"/>
      <c r="B108" s="4" t="s">
        <v>644</v>
      </c>
      <c r="C108" s="13"/>
      <c r="D108" s="525"/>
      <c r="E108" s="526"/>
      <c r="F108" s="516"/>
      <c r="G108" s="516"/>
      <c r="H108" s="516"/>
      <c r="I108" s="516"/>
      <c r="J108" s="516"/>
      <c r="K108" s="517"/>
      <c r="L108" s="516"/>
      <c r="M108" s="516"/>
      <c r="N108" s="516"/>
      <c r="O108" s="516"/>
      <c r="P108" s="518"/>
      <c r="Q108" s="518"/>
      <c r="R108" s="518"/>
      <c r="S108" s="518"/>
      <c r="T108" s="518"/>
      <c r="U108" s="518"/>
      <c r="V108" s="518"/>
      <c r="W108" s="518"/>
      <c r="X108" s="518"/>
      <c r="Y108" s="518"/>
      <c r="Z108" s="518"/>
      <c r="AA108" s="518"/>
      <c r="AB108" s="518"/>
      <c r="AC108" s="518"/>
      <c r="AD108" s="516"/>
      <c r="AE108" s="516"/>
      <c r="AF108" s="516"/>
      <c r="AG108" s="516"/>
      <c r="AH108" s="529">
        <f t="shared" ref="AH108:AH114" si="85">L108+N108+P108+R108+T108+V108+X108+Z108+AB108+AD108+AF108</f>
        <v>0</v>
      </c>
      <c r="AI108" s="503">
        <f t="shared" ref="AI108:AI114" si="86">M108+O108+Q108+S108+U108+W108+Y108+AA108+AC108+AE108+AG108</f>
        <v>0</v>
      </c>
      <c r="AJ108" s="506">
        <f t="shared" ref="AJ108:AK114" si="87">D108+F108+H108+J108+AH108</f>
        <v>0</v>
      </c>
      <c r="AK108" s="519">
        <f t="shared" si="87"/>
        <v>0</v>
      </c>
      <c r="AL108" s="516"/>
      <c r="AM108" s="516"/>
      <c r="AN108" s="506"/>
      <c r="AO108" s="519"/>
      <c r="AP108" s="520"/>
      <c r="AQ108" s="504"/>
      <c r="AR108" s="503"/>
      <c r="AS108" s="520"/>
      <c r="AT108" s="504"/>
      <c r="AU108" s="521"/>
      <c r="AV108" s="504"/>
      <c r="AW108" s="503"/>
      <c r="AX108" s="520"/>
      <c r="AY108" s="522"/>
      <c r="AZ108" s="523"/>
      <c r="BA108" s="524"/>
      <c r="BB108" s="465">
        <f t="shared" ref="BB108:BB114" si="88">ROUND(AJ108+AL108+AN108+AQ108+AV108+AZ108,0)</f>
        <v>0</v>
      </c>
      <c r="BC108" s="465">
        <f t="shared" ref="BC108:BC114" si="89">ROUND(AK108+AM108+AO108+AT108+AY108+BA108,0)</f>
        <v>0</v>
      </c>
      <c r="BD108" s="506"/>
      <c r="BE108" s="519"/>
      <c r="BF108" s="504" t="str">
        <f>IF(BB108-BC108&lt;=0," ",BB108-BC108)</f>
        <v xml:space="preserve"> </v>
      </c>
      <c r="BG108" s="522"/>
    </row>
    <row r="109" spans="1:63" x14ac:dyDescent="0.2">
      <c r="A109" s="25"/>
      <c r="C109" t="s">
        <v>225</v>
      </c>
      <c r="D109" s="525"/>
      <c r="E109" s="526">
        <f>3563131-1639</f>
        <v>3561492</v>
      </c>
      <c r="F109" s="516"/>
      <c r="G109" s="516"/>
      <c r="H109" s="516"/>
      <c r="I109" s="516"/>
      <c r="J109" s="516"/>
      <c r="K109" s="517"/>
      <c r="L109" s="516"/>
      <c r="M109" s="516"/>
      <c r="N109" s="516"/>
      <c r="O109" s="516">
        <v>4478</v>
      </c>
      <c r="P109" s="518"/>
      <c r="Q109" s="518"/>
      <c r="R109" s="518"/>
      <c r="S109" s="518">
        <v>7132</v>
      </c>
      <c r="T109" s="518"/>
      <c r="U109" s="518"/>
      <c r="V109" s="518"/>
      <c r="W109" s="518"/>
      <c r="X109" s="518"/>
      <c r="Y109" s="518">
        <v>3368</v>
      </c>
      <c r="Z109" s="518"/>
      <c r="AA109" s="518">
        <v>5500</v>
      </c>
      <c r="AB109" s="518"/>
      <c r="AC109" s="518"/>
      <c r="AD109" s="516"/>
      <c r="AE109" s="516"/>
      <c r="AF109" s="516"/>
      <c r="AG109" s="516"/>
      <c r="AH109" s="529">
        <f t="shared" si="85"/>
        <v>0</v>
      </c>
      <c r="AI109" s="503">
        <f t="shared" si="86"/>
        <v>20478</v>
      </c>
      <c r="AJ109" s="506">
        <f t="shared" si="87"/>
        <v>0</v>
      </c>
      <c r="AK109" s="519">
        <f t="shared" si="87"/>
        <v>3581970</v>
      </c>
      <c r="AL109" s="516"/>
      <c r="AM109" s="516"/>
      <c r="AN109" s="506"/>
      <c r="AO109" s="519"/>
      <c r="AP109" s="520"/>
      <c r="AQ109" s="504"/>
      <c r="AR109" s="503"/>
      <c r="AS109" s="520"/>
      <c r="AT109" s="504"/>
      <c r="AU109" s="521"/>
      <c r="AV109" s="504"/>
      <c r="AW109" s="503"/>
      <c r="AX109" s="530" t="s">
        <v>637</v>
      </c>
      <c r="AY109" s="432">
        <f>'K.1  Int. Service Fd Allocation'!G186+'K.2  Int. Service Fd Alloca'!G181+'K.3 Int. Service Fd Alloca'!G181</f>
        <v>0</v>
      </c>
      <c r="AZ109" s="555"/>
      <c r="BA109" s="524"/>
      <c r="BB109" s="465">
        <f t="shared" si="88"/>
        <v>0</v>
      </c>
      <c r="BC109" s="465">
        <f t="shared" si="89"/>
        <v>3581970</v>
      </c>
      <c r="BD109" s="506"/>
      <c r="BE109" s="519"/>
      <c r="BF109" s="504" t="str">
        <f t="shared" ref="BF109:BF213" si="90">IF(BB109-BC109&lt;=0," ",BB109-BC109)</f>
        <v xml:space="preserve"> </v>
      </c>
      <c r="BG109" s="522">
        <f>IF(BB109-BC109&gt;0," ",BC109-BB109)</f>
        <v>3581970</v>
      </c>
      <c r="BH109" s="1190"/>
    </row>
    <row r="110" spans="1:63" x14ac:dyDescent="0.2">
      <c r="A110" s="25"/>
      <c r="C110" s="21" t="s">
        <v>220</v>
      </c>
      <c r="D110" s="525"/>
      <c r="E110" s="526">
        <v>226142</v>
      </c>
      <c r="F110" s="516"/>
      <c r="G110" s="516"/>
      <c r="H110" s="516"/>
      <c r="I110" s="516"/>
      <c r="J110" s="516"/>
      <c r="K110" s="517"/>
      <c r="L110" s="516"/>
      <c r="M110" s="516"/>
      <c r="N110" s="516"/>
      <c r="O110" s="516"/>
      <c r="P110" s="518"/>
      <c r="Q110" s="518"/>
      <c r="R110" s="518"/>
      <c r="S110" s="518"/>
      <c r="T110" s="518"/>
      <c r="U110" s="518"/>
      <c r="V110" s="518"/>
      <c r="W110" s="518"/>
      <c r="X110" s="518"/>
      <c r="Y110" s="518"/>
      <c r="Z110" s="518"/>
      <c r="AA110" s="518"/>
      <c r="AB110" s="518"/>
      <c r="AC110" s="518"/>
      <c r="AD110" s="516"/>
      <c r="AE110" s="516"/>
      <c r="AF110" s="516"/>
      <c r="AG110" s="516"/>
      <c r="AH110" s="529">
        <f t="shared" si="85"/>
        <v>0</v>
      </c>
      <c r="AI110" s="503">
        <f t="shared" si="86"/>
        <v>0</v>
      </c>
      <c r="AJ110" s="506">
        <f t="shared" si="87"/>
        <v>0</v>
      </c>
      <c r="AK110" s="519">
        <f t="shared" si="87"/>
        <v>226142</v>
      </c>
      <c r="AL110" s="516"/>
      <c r="AM110" s="516"/>
      <c r="AN110" s="506"/>
      <c r="AO110" s="519"/>
      <c r="AP110" s="520"/>
      <c r="AQ110" s="504"/>
      <c r="AR110" s="503"/>
      <c r="AS110" s="520"/>
      <c r="AT110" s="504"/>
      <c r="AU110" s="521"/>
      <c r="AV110" s="504"/>
      <c r="AW110" s="503"/>
      <c r="AX110" s="520"/>
      <c r="AY110" s="522"/>
      <c r="AZ110" s="523"/>
      <c r="BA110" s="524"/>
      <c r="BB110" s="465">
        <f t="shared" si="88"/>
        <v>0</v>
      </c>
      <c r="BC110" s="465">
        <f t="shared" si="89"/>
        <v>226142</v>
      </c>
      <c r="BD110" s="506"/>
      <c r="BE110" s="519"/>
      <c r="BF110" s="504" t="str">
        <f t="shared" si="90"/>
        <v xml:space="preserve"> </v>
      </c>
      <c r="BG110" s="522">
        <f>IF(BB110-BC110&gt;0," ",BC110-BB110)</f>
        <v>226142</v>
      </c>
      <c r="BH110" s="1193"/>
    </row>
    <row r="111" spans="1:63" x14ac:dyDescent="0.2">
      <c r="A111" s="25"/>
      <c r="C111" s="21" t="s">
        <v>224</v>
      </c>
      <c r="D111" s="525"/>
      <c r="E111" s="526"/>
      <c r="F111" s="516"/>
      <c r="G111" s="516"/>
      <c r="H111" s="516"/>
      <c r="I111" s="516"/>
      <c r="J111" s="516"/>
      <c r="K111" s="517"/>
      <c r="L111" s="516"/>
      <c r="M111" s="516"/>
      <c r="N111" s="516"/>
      <c r="O111" s="516"/>
      <c r="P111" s="518"/>
      <c r="Q111" s="518"/>
      <c r="R111" s="518"/>
      <c r="S111" s="518"/>
      <c r="T111" s="518"/>
      <c r="U111" s="518"/>
      <c r="V111" s="518"/>
      <c r="W111" s="518"/>
      <c r="X111" s="518"/>
      <c r="Y111" s="518"/>
      <c r="Z111" s="518"/>
      <c r="AA111" s="518">
        <v>85030</v>
      </c>
      <c r="AB111" s="518"/>
      <c r="AC111" s="518"/>
      <c r="AD111" s="516"/>
      <c r="AE111" s="516"/>
      <c r="AF111" s="516"/>
      <c r="AG111" s="516"/>
      <c r="AH111" s="529">
        <f t="shared" si="85"/>
        <v>0</v>
      </c>
      <c r="AI111" s="503">
        <f t="shared" si="86"/>
        <v>85030</v>
      </c>
      <c r="AJ111" s="506">
        <f t="shared" si="87"/>
        <v>0</v>
      </c>
      <c r="AK111" s="519">
        <f t="shared" si="87"/>
        <v>85030</v>
      </c>
      <c r="AL111" s="516"/>
      <c r="AM111" s="516"/>
      <c r="AN111" s="506"/>
      <c r="AO111" s="519"/>
      <c r="AP111" s="520"/>
      <c r="AQ111" s="504"/>
      <c r="AR111" s="503"/>
      <c r="AS111" s="520"/>
      <c r="AT111" s="504"/>
      <c r="AU111" s="521"/>
      <c r="AV111" s="504"/>
      <c r="AW111" s="503"/>
      <c r="AX111" s="520"/>
      <c r="AY111" s="522"/>
      <c r="AZ111" s="523"/>
      <c r="BA111" s="524"/>
      <c r="BB111" s="465">
        <f t="shared" si="88"/>
        <v>0</v>
      </c>
      <c r="BC111" s="465">
        <f>ROUND(AK111+AM111+AO111+AT111+AY111+BA111,0)</f>
        <v>85030</v>
      </c>
      <c r="BD111" s="506"/>
      <c r="BE111" s="519"/>
      <c r="BF111" s="504" t="str">
        <f t="shared" si="90"/>
        <v xml:space="preserve"> </v>
      </c>
      <c r="BG111" s="522">
        <f>IF(BB111-BC111&gt;0," ",BC111-BB111)</f>
        <v>85030</v>
      </c>
      <c r="BH111" s="1190"/>
    </row>
    <row r="112" spans="1:63" x14ac:dyDescent="0.2">
      <c r="A112" s="25"/>
      <c r="B112" s="14"/>
      <c r="C112" s="247" t="s">
        <v>58</v>
      </c>
      <c r="D112" s="540"/>
      <c r="E112" s="541"/>
      <c r="F112" s="542"/>
      <c r="G112" s="542"/>
      <c r="H112" s="542"/>
      <c r="I112" s="542"/>
      <c r="J112" s="542"/>
      <c r="K112" s="543"/>
      <c r="L112" s="542"/>
      <c r="M112" s="542"/>
      <c r="N112" s="542"/>
      <c r="O112" s="542"/>
      <c r="P112" s="544"/>
      <c r="Q112" s="544"/>
      <c r="R112" s="544"/>
      <c r="S112" s="544"/>
      <c r="T112" s="544"/>
      <c r="U112" s="544"/>
      <c r="V112" s="544"/>
      <c r="W112" s="544"/>
      <c r="X112" s="544"/>
      <c r="Y112" s="544"/>
      <c r="Z112" s="544"/>
      <c r="AA112" s="544"/>
      <c r="AB112" s="544"/>
      <c r="AC112" s="544"/>
      <c r="AD112" s="542"/>
      <c r="AE112" s="542"/>
      <c r="AF112" s="542"/>
      <c r="AG112" s="542"/>
      <c r="AH112" s="545">
        <f t="shared" si="85"/>
        <v>0</v>
      </c>
      <c r="AI112" s="546">
        <f t="shared" si="86"/>
        <v>0</v>
      </c>
      <c r="AJ112" s="547">
        <f t="shared" si="87"/>
        <v>0</v>
      </c>
      <c r="AK112" s="548">
        <f t="shared" si="87"/>
        <v>0</v>
      </c>
      <c r="AL112" s="542"/>
      <c r="AM112" s="542"/>
      <c r="AN112" s="547"/>
      <c r="AO112" s="548"/>
      <c r="AP112" s="549"/>
      <c r="AQ112" s="550"/>
      <c r="AR112" s="546"/>
      <c r="AS112" s="549"/>
      <c r="AT112" s="550"/>
      <c r="AU112" s="551" t="str">
        <f>'L. Eliminations-Consolidations'!A203</f>
        <v>L.2</v>
      </c>
      <c r="AV112" s="550">
        <f>'L. Eliminations-Consolidations'!J203</f>
        <v>0</v>
      </c>
      <c r="AW112" s="546"/>
      <c r="AX112" s="554" t="s">
        <v>637</v>
      </c>
      <c r="AY112" s="550">
        <f>'K.1  Int. Service Fd Allocation'!G187+'K.2  Int. Service Fd Alloca'!G182+'K.3 Int. Service Fd Alloca'!G182</f>
        <v>0</v>
      </c>
      <c r="AZ112" s="555"/>
      <c r="BA112" s="524"/>
      <c r="BB112" s="550">
        <f t="shared" si="88"/>
        <v>0</v>
      </c>
      <c r="BC112" s="550">
        <f t="shared" si="89"/>
        <v>0</v>
      </c>
      <c r="BD112" s="547"/>
      <c r="BE112" s="548"/>
      <c r="BF112" s="550" t="str">
        <f>IF((BB112+BB113+BB114)-(BC112+BC113+BC114)&lt;=0," ",(BB112+BB113+BB114)-(BC112+BC113+BC114))</f>
        <v xml:space="preserve"> </v>
      </c>
      <c r="BG112" s="552">
        <f>IF((BB112+BB113+BB114)-(BC112+BC113+BC114)&gt;0," ",(BC112+BC113+BC114)-(BB112+BB113+BB114))</f>
        <v>0</v>
      </c>
    </row>
    <row r="113" spans="1:60" x14ac:dyDescent="0.2">
      <c r="A113" s="25"/>
      <c r="B113" s="14"/>
      <c r="C113" s="247"/>
      <c r="D113" s="540"/>
      <c r="E113" s="541"/>
      <c r="F113" s="542"/>
      <c r="G113" s="542"/>
      <c r="H113" s="542"/>
      <c r="I113" s="542"/>
      <c r="J113" s="542"/>
      <c r="K113" s="543"/>
      <c r="L113" s="542"/>
      <c r="M113" s="542"/>
      <c r="N113" s="542"/>
      <c r="O113" s="542"/>
      <c r="P113" s="544"/>
      <c r="Q113" s="544"/>
      <c r="R113" s="544"/>
      <c r="S113" s="544"/>
      <c r="T113" s="544"/>
      <c r="U113" s="544"/>
      <c r="V113" s="544"/>
      <c r="W113" s="544"/>
      <c r="X113" s="544"/>
      <c r="Y113" s="544"/>
      <c r="Z113" s="544"/>
      <c r="AA113" s="544"/>
      <c r="AB113" s="544"/>
      <c r="AC113" s="544"/>
      <c r="AD113" s="542"/>
      <c r="AE113" s="542"/>
      <c r="AF113" s="542"/>
      <c r="AG113" s="542"/>
      <c r="AH113" s="545">
        <f t="shared" si="85"/>
        <v>0</v>
      </c>
      <c r="AI113" s="546">
        <f t="shared" si="86"/>
        <v>0</v>
      </c>
      <c r="AJ113" s="547">
        <f t="shared" si="87"/>
        <v>0</v>
      </c>
      <c r="AK113" s="548">
        <f t="shared" si="87"/>
        <v>0</v>
      </c>
      <c r="AL113" s="542"/>
      <c r="AM113" s="542"/>
      <c r="AN113" s="547"/>
      <c r="AO113" s="548"/>
      <c r="AP113" s="549"/>
      <c r="AQ113" s="550"/>
      <c r="AR113" s="546"/>
      <c r="AS113" s="549"/>
      <c r="AT113" s="550"/>
      <c r="AU113" s="551" t="str">
        <f>'L. Eliminations-Consolidations'!A208</f>
        <v>L.3</v>
      </c>
      <c r="AV113" s="550">
        <f>'L. Eliminations-Consolidations'!J209</f>
        <v>0</v>
      </c>
      <c r="AW113" s="546"/>
      <c r="AX113" s="549"/>
      <c r="AY113" s="552"/>
      <c r="AZ113" s="523"/>
      <c r="BA113" s="524"/>
      <c r="BB113" s="550">
        <f t="shared" si="88"/>
        <v>0</v>
      </c>
      <c r="BC113" s="550">
        <f t="shared" si="89"/>
        <v>0</v>
      </c>
      <c r="BD113" s="547"/>
      <c r="BE113" s="548"/>
      <c r="BF113" s="550"/>
      <c r="BG113" s="552"/>
    </row>
    <row r="114" spans="1:60" x14ac:dyDescent="0.2">
      <c r="A114" s="25"/>
      <c r="B114" s="14"/>
      <c r="C114" s="247"/>
      <c r="D114" s="540"/>
      <c r="E114" s="541"/>
      <c r="F114" s="542"/>
      <c r="G114" s="542"/>
      <c r="H114" s="542"/>
      <c r="I114" s="542"/>
      <c r="J114" s="542"/>
      <c r="K114" s="543"/>
      <c r="L114" s="542"/>
      <c r="M114" s="542"/>
      <c r="N114" s="542"/>
      <c r="O114" s="542"/>
      <c r="P114" s="544"/>
      <c r="Q114" s="544"/>
      <c r="R114" s="544"/>
      <c r="S114" s="544"/>
      <c r="T114" s="544"/>
      <c r="U114" s="544"/>
      <c r="V114" s="544"/>
      <c r="W114" s="544"/>
      <c r="X114" s="544"/>
      <c r="Y114" s="544"/>
      <c r="Z114" s="544"/>
      <c r="AA114" s="544"/>
      <c r="AB114" s="544"/>
      <c r="AC114" s="544"/>
      <c r="AD114" s="542"/>
      <c r="AE114" s="542"/>
      <c r="AF114" s="542"/>
      <c r="AG114" s="542"/>
      <c r="AH114" s="545">
        <f t="shared" si="85"/>
        <v>0</v>
      </c>
      <c r="AI114" s="546">
        <f t="shared" si="86"/>
        <v>0</v>
      </c>
      <c r="AJ114" s="547">
        <f t="shared" si="87"/>
        <v>0</v>
      </c>
      <c r="AK114" s="548">
        <f t="shared" si="87"/>
        <v>0</v>
      </c>
      <c r="AL114" s="542"/>
      <c r="AM114" s="542"/>
      <c r="AN114" s="547"/>
      <c r="AO114" s="548"/>
      <c r="AP114" s="549"/>
      <c r="AQ114" s="550"/>
      <c r="AR114" s="546"/>
      <c r="AS114" s="549"/>
      <c r="AT114" s="550"/>
      <c r="AU114" s="551" t="str">
        <f>'L. Eliminations-Consolidations'!A214</f>
        <v>L.4</v>
      </c>
      <c r="AV114" s="550">
        <f>'L. Eliminations-Consolidations'!J216</f>
        <v>0</v>
      </c>
      <c r="AW114" s="546"/>
      <c r="AX114" s="549"/>
      <c r="AY114" s="552"/>
      <c r="AZ114" s="523"/>
      <c r="BA114" s="524"/>
      <c r="BB114" s="550">
        <f t="shared" si="88"/>
        <v>0</v>
      </c>
      <c r="BC114" s="550">
        <f t="shared" si="89"/>
        <v>0</v>
      </c>
      <c r="BD114" s="547"/>
      <c r="BE114" s="548"/>
      <c r="BF114" s="550"/>
      <c r="BG114" s="552"/>
    </row>
    <row r="115" spans="1:60" ht="5.25" customHeight="1" x14ac:dyDescent="0.2">
      <c r="A115" s="25"/>
      <c r="B115" s="14"/>
      <c r="C115" s="21"/>
      <c r="D115" s="525"/>
      <c r="E115" s="526"/>
      <c r="F115" s="516"/>
      <c r="G115" s="516"/>
      <c r="H115" s="516"/>
      <c r="I115" s="516"/>
      <c r="J115" s="516"/>
      <c r="K115" s="517"/>
      <c r="L115" s="516"/>
      <c r="M115" s="516"/>
      <c r="N115" s="516"/>
      <c r="O115" s="516"/>
      <c r="P115" s="518"/>
      <c r="Q115" s="518"/>
      <c r="R115" s="518"/>
      <c r="S115" s="518"/>
      <c r="T115" s="518"/>
      <c r="U115" s="518"/>
      <c r="V115" s="518"/>
      <c r="W115" s="518"/>
      <c r="X115" s="518"/>
      <c r="Y115" s="518"/>
      <c r="Z115" s="518"/>
      <c r="AA115" s="518"/>
      <c r="AB115" s="518"/>
      <c r="AC115" s="518"/>
      <c r="AD115" s="516"/>
      <c r="AE115" s="516"/>
      <c r="AF115" s="516"/>
      <c r="AG115" s="516"/>
      <c r="AH115" s="529"/>
      <c r="AI115" s="503"/>
      <c r="AJ115" s="506"/>
      <c r="AK115" s="519"/>
      <c r="AL115" s="516"/>
      <c r="AM115" s="516"/>
      <c r="AN115" s="506"/>
      <c r="AO115" s="519"/>
      <c r="AP115" s="520"/>
      <c r="AQ115" s="504"/>
      <c r="AR115" s="503"/>
      <c r="AS115" s="520"/>
      <c r="AT115" s="504"/>
      <c r="AU115" s="521"/>
      <c r="AV115" s="504"/>
      <c r="AW115" s="503"/>
      <c r="AX115" s="520"/>
      <c r="AY115" s="522"/>
      <c r="AZ115" s="523"/>
      <c r="BA115" s="524"/>
      <c r="BB115" s="432"/>
      <c r="BC115" s="432"/>
      <c r="BD115" s="506"/>
      <c r="BE115" s="519"/>
      <c r="BF115" s="504"/>
      <c r="BG115" s="522"/>
    </row>
    <row r="116" spans="1:60" ht="38.25" x14ac:dyDescent="0.2">
      <c r="A116" s="25"/>
      <c r="C116" s="743" t="s">
        <v>1144</v>
      </c>
      <c r="D116" s="540"/>
      <c r="E116" s="541"/>
      <c r="F116" s="542"/>
      <c r="G116" s="542">
        <f>1660000+2100000-1500000</f>
        <v>2260000</v>
      </c>
      <c r="H116" s="542"/>
      <c r="I116" s="542"/>
      <c r="J116" s="542"/>
      <c r="K116" s="543"/>
      <c r="L116" s="542"/>
      <c r="M116" s="542"/>
      <c r="N116" s="542"/>
      <c r="O116" s="542"/>
      <c r="P116" s="544"/>
      <c r="Q116" s="544"/>
      <c r="R116" s="544"/>
      <c r="S116" s="544"/>
      <c r="T116" s="544"/>
      <c r="U116" s="544"/>
      <c r="V116" s="544"/>
      <c r="W116" s="544"/>
      <c r="X116" s="544"/>
      <c r="Y116" s="544"/>
      <c r="Z116" s="544"/>
      <c r="AA116" s="544"/>
      <c r="AB116" s="544"/>
      <c r="AC116" s="544">
        <v>0</v>
      </c>
      <c r="AD116" s="542"/>
      <c r="AE116" s="542"/>
      <c r="AF116" s="542"/>
      <c r="AG116" s="542"/>
      <c r="AH116" s="545">
        <f t="shared" ref="AH116:AH122" si="91">L116+N116+P116+R116+T116+V116+X116+Z116+AB116+AD116+AF116</f>
        <v>0</v>
      </c>
      <c r="AI116" s="546">
        <f t="shared" ref="AI116:AI122" si="92">M116+O116+Q116+S116+U116+W116+Y116+AA116+AC116+AE116+AG116</f>
        <v>0</v>
      </c>
      <c r="AJ116" s="547">
        <f t="shared" ref="AJ116:AJ149" si="93">D116+F116+H116+J116+AH116</f>
        <v>0</v>
      </c>
      <c r="AK116" s="548">
        <f t="shared" ref="AK116:AK149" si="94">E116+G116+I116+K116+AI116</f>
        <v>2260000</v>
      </c>
      <c r="AL116" s="542"/>
      <c r="AM116" s="542"/>
      <c r="AN116" s="547"/>
      <c r="AO116" s="548"/>
      <c r="AP116" s="549"/>
      <c r="AQ116" s="550"/>
      <c r="AR116" s="546"/>
      <c r="AS116" s="549"/>
      <c r="AT116" s="550"/>
      <c r="AU116" s="551"/>
      <c r="AV116" s="550"/>
      <c r="AW116" s="546"/>
      <c r="AX116" s="549"/>
      <c r="AY116" s="552"/>
      <c r="AZ116" s="523"/>
      <c r="BA116" s="524"/>
      <c r="BB116" s="550">
        <f>ROUND(AJ116+AL116+AN116+AQ116+AV116+AZ116,0)</f>
        <v>0</v>
      </c>
      <c r="BC116" s="550">
        <f>ROUND(AK116+AM116+AO116+AT116+AY116+BA116,0)</f>
        <v>2260000</v>
      </c>
      <c r="BD116" s="547"/>
      <c r="BE116" s="548"/>
      <c r="BF116" s="550" t="str">
        <f>IF((BB116+BB117+BB118)-(BC116+BC117+BC118)&lt;=0," ",(BB116+BB117+BB118)-(BC116+BC117+BC118))</f>
        <v xml:space="preserve"> </v>
      </c>
      <c r="BG116" s="552">
        <f>IF((BB116+BB117+BB118)-(BC116+BC117+BC118)&gt;0," ",(BC116+BC117+BC118)-(BB116+BB117+BB118))</f>
        <v>2260000</v>
      </c>
    </row>
    <row r="117" spans="1:60" x14ac:dyDescent="0.2">
      <c r="A117" s="25"/>
      <c r="B117" s="14"/>
      <c r="C117" s="248"/>
      <c r="D117" s="540"/>
      <c r="E117" s="541"/>
      <c r="F117" s="542"/>
      <c r="G117" s="542"/>
      <c r="H117" s="542"/>
      <c r="I117" s="542"/>
      <c r="J117" s="542"/>
      <c r="K117" s="543"/>
      <c r="L117" s="542"/>
      <c r="M117" s="542"/>
      <c r="N117" s="542"/>
      <c r="O117" s="542"/>
      <c r="P117" s="544"/>
      <c r="Q117" s="544"/>
      <c r="R117" s="544"/>
      <c r="S117" s="544"/>
      <c r="T117" s="544"/>
      <c r="U117" s="544"/>
      <c r="V117" s="544"/>
      <c r="W117" s="544"/>
      <c r="X117" s="544"/>
      <c r="Y117" s="544"/>
      <c r="Z117" s="544"/>
      <c r="AA117" s="544"/>
      <c r="AB117" s="544"/>
      <c r="AC117" s="544"/>
      <c r="AD117" s="542"/>
      <c r="AE117" s="542"/>
      <c r="AF117" s="542"/>
      <c r="AG117" s="542"/>
      <c r="AH117" s="545">
        <f t="shared" si="91"/>
        <v>0</v>
      </c>
      <c r="AI117" s="546">
        <f t="shared" si="92"/>
        <v>0</v>
      </c>
      <c r="AJ117" s="547">
        <f t="shared" si="93"/>
        <v>0</v>
      </c>
      <c r="AK117" s="548">
        <f t="shared" si="94"/>
        <v>0</v>
      </c>
      <c r="AL117" s="542"/>
      <c r="AM117" s="542"/>
      <c r="AN117" s="547"/>
      <c r="AO117" s="548"/>
      <c r="AP117" s="549"/>
      <c r="AQ117" s="550"/>
      <c r="AR117" s="546"/>
      <c r="AS117" s="549"/>
      <c r="AT117" s="550"/>
      <c r="AU117" s="551"/>
      <c r="AV117" s="550"/>
      <c r="AW117" s="546"/>
      <c r="AX117" s="549"/>
      <c r="AY117" s="552"/>
      <c r="AZ117" s="523"/>
      <c r="BA117" s="524"/>
      <c r="BB117" s="550">
        <f>ROUND(AJ117+AL117+AN117+AQ117+AV117+AZ117,0)</f>
        <v>0</v>
      </c>
      <c r="BC117" s="550">
        <f>ROUND(AK117+AM117+AO117+AT117+AY117+BA117,0)</f>
        <v>0</v>
      </c>
      <c r="BD117" s="547"/>
      <c r="BE117" s="548"/>
      <c r="BF117" s="550"/>
      <c r="BG117" s="552"/>
    </row>
    <row r="118" spans="1:60" x14ac:dyDescent="0.2">
      <c r="A118" s="25"/>
      <c r="B118" s="14"/>
      <c r="C118" s="248"/>
      <c r="D118" s="540"/>
      <c r="E118" s="541"/>
      <c r="F118" s="542"/>
      <c r="G118" s="542"/>
      <c r="H118" s="542"/>
      <c r="I118" s="542"/>
      <c r="J118" s="542"/>
      <c r="K118" s="543"/>
      <c r="L118" s="542"/>
      <c r="M118" s="542"/>
      <c r="N118" s="542"/>
      <c r="O118" s="542"/>
      <c r="P118" s="544"/>
      <c r="Q118" s="544"/>
      <c r="R118" s="544"/>
      <c r="S118" s="544"/>
      <c r="T118" s="544"/>
      <c r="U118" s="544"/>
      <c r="V118" s="544"/>
      <c r="W118" s="544"/>
      <c r="X118" s="544"/>
      <c r="Y118" s="544"/>
      <c r="Z118" s="544"/>
      <c r="AA118" s="544"/>
      <c r="AB118" s="544"/>
      <c r="AC118" s="544"/>
      <c r="AD118" s="542"/>
      <c r="AE118" s="542"/>
      <c r="AF118" s="542"/>
      <c r="AG118" s="542"/>
      <c r="AH118" s="545">
        <f t="shared" si="91"/>
        <v>0</v>
      </c>
      <c r="AI118" s="546">
        <f t="shared" si="92"/>
        <v>0</v>
      </c>
      <c r="AJ118" s="547">
        <f t="shared" si="93"/>
        <v>0</v>
      </c>
      <c r="AK118" s="548">
        <f t="shared" si="94"/>
        <v>0</v>
      </c>
      <c r="AL118" s="542"/>
      <c r="AM118" s="542"/>
      <c r="AN118" s="547"/>
      <c r="AO118" s="548"/>
      <c r="AP118" s="549"/>
      <c r="AQ118" s="550"/>
      <c r="AR118" s="546"/>
      <c r="AS118" s="549"/>
      <c r="AT118" s="550"/>
      <c r="AU118" s="551"/>
      <c r="AV118" s="550"/>
      <c r="AW118" s="546"/>
      <c r="AX118" s="549"/>
      <c r="AY118" s="552"/>
      <c r="AZ118" s="523"/>
      <c r="BA118" s="524"/>
      <c r="BB118" s="550">
        <f>ROUND(AJ118+AL118+AN118+AQ118+AV118+AZ118,0)</f>
        <v>0</v>
      </c>
      <c r="BC118" s="550">
        <f>ROUND(AK118+AM118+AO118+AT118+AY118+BA118,0)</f>
        <v>0</v>
      </c>
      <c r="BD118" s="547"/>
      <c r="BE118" s="548"/>
      <c r="BF118" s="550"/>
      <c r="BG118" s="552"/>
    </row>
    <row r="119" spans="1:60" x14ac:dyDescent="0.2">
      <c r="A119" s="25"/>
      <c r="B119" s="14"/>
      <c r="C119" s="14" t="s">
        <v>59</v>
      </c>
      <c r="D119" s="525"/>
      <c r="E119" s="526"/>
      <c r="F119" s="516"/>
      <c r="G119" s="516"/>
      <c r="H119" s="516"/>
      <c r="I119" s="516"/>
      <c r="J119" s="516"/>
      <c r="K119" s="517"/>
      <c r="L119" s="516"/>
      <c r="M119" s="516"/>
      <c r="N119" s="516"/>
      <c r="O119" s="516"/>
      <c r="P119" s="518"/>
      <c r="Q119" s="518"/>
      <c r="R119" s="518"/>
      <c r="S119" s="518"/>
      <c r="T119" s="518"/>
      <c r="U119" s="518"/>
      <c r="V119" s="518"/>
      <c r="W119" s="518"/>
      <c r="X119" s="518"/>
      <c r="Y119" s="518"/>
      <c r="Z119" s="518"/>
      <c r="AA119" s="518"/>
      <c r="AB119" s="518"/>
      <c r="AC119" s="518"/>
      <c r="AD119" s="516"/>
      <c r="AE119" s="516"/>
      <c r="AF119" s="516"/>
      <c r="AG119" s="516"/>
      <c r="AH119" s="529">
        <f t="shared" si="91"/>
        <v>0</v>
      </c>
      <c r="AI119" s="503">
        <f t="shared" si="92"/>
        <v>0</v>
      </c>
      <c r="AJ119" s="506">
        <f t="shared" si="93"/>
        <v>0</v>
      </c>
      <c r="AK119" s="519">
        <f t="shared" si="94"/>
        <v>0</v>
      </c>
      <c r="AL119" s="516"/>
      <c r="AM119" s="516"/>
      <c r="AN119" s="506"/>
      <c r="AO119" s="519"/>
      <c r="AP119" s="520"/>
      <c r="AQ119" s="504"/>
      <c r="AR119" s="503"/>
      <c r="AS119" s="520"/>
      <c r="AT119" s="504"/>
      <c r="AU119" s="521"/>
      <c r="AV119" s="504"/>
      <c r="AW119" s="503"/>
      <c r="AX119" s="520"/>
      <c r="AY119" s="522"/>
      <c r="AZ119" s="523"/>
      <c r="BA119" s="524"/>
      <c r="BB119" s="465">
        <f t="shared" ref="BB119:BB124" si="95">ROUND(AJ119+AL119+AN119+AQ119+AV119+AZ119,0)</f>
        <v>0</v>
      </c>
      <c r="BC119" s="465">
        <f t="shared" ref="BC119:BC124" si="96">ROUND(AK119+AM119+AO119+AT119+AY119+BA119,0)</f>
        <v>0</v>
      </c>
      <c r="BD119" s="506"/>
      <c r="BE119" s="519"/>
      <c r="BF119" s="504" t="str">
        <f t="shared" si="90"/>
        <v xml:space="preserve"> </v>
      </c>
      <c r="BG119" s="522">
        <f>IF(BB119-BC119&gt;0," ",BC119-BB119)</f>
        <v>0</v>
      </c>
    </row>
    <row r="120" spans="1:60" x14ac:dyDescent="0.2">
      <c r="A120" s="25"/>
      <c r="B120" s="14"/>
      <c r="C120" s="14" t="s">
        <v>141</v>
      </c>
      <c r="D120" s="525"/>
      <c r="E120" s="526">
        <v>50551</v>
      </c>
      <c r="F120" s="516"/>
      <c r="G120" s="516"/>
      <c r="H120" s="516"/>
      <c r="I120" s="516"/>
      <c r="J120" s="516"/>
      <c r="K120" s="517"/>
      <c r="L120" s="516"/>
      <c r="M120" s="516"/>
      <c r="N120" s="516"/>
      <c r="O120" s="516"/>
      <c r="P120" s="518"/>
      <c r="Q120" s="518"/>
      <c r="R120" s="518"/>
      <c r="S120" s="518"/>
      <c r="T120" s="518"/>
      <c r="U120" s="518">
        <v>2724</v>
      </c>
      <c r="V120" s="518"/>
      <c r="W120" s="518">
        <v>72179</v>
      </c>
      <c r="X120" s="518"/>
      <c r="Y120" s="518"/>
      <c r="Z120" s="518"/>
      <c r="AA120" s="518"/>
      <c r="AB120" s="518"/>
      <c r="AC120" s="518"/>
      <c r="AD120" s="516"/>
      <c r="AE120" s="516"/>
      <c r="AF120" s="516"/>
      <c r="AG120" s="516"/>
      <c r="AH120" s="529">
        <f t="shared" si="91"/>
        <v>0</v>
      </c>
      <c r="AI120" s="503">
        <f t="shared" si="92"/>
        <v>74903</v>
      </c>
      <c r="AJ120" s="506">
        <f t="shared" si="93"/>
        <v>0</v>
      </c>
      <c r="AK120" s="519">
        <f t="shared" si="94"/>
        <v>125454</v>
      </c>
      <c r="AL120" s="516"/>
      <c r="AM120" s="516"/>
      <c r="AN120" s="506"/>
      <c r="AO120" s="519"/>
      <c r="AP120" s="520"/>
      <c r="AQ120" s="504"/>
      <c r="AR120" s="503"/>
      <c r="AS120" s="520"/>
      <c r="AT120" s="504"/>
      <c r="AU120" s="521"/>
      <c r="AV120" s="504"/>
      <c r="AW120" s="503"/>
      <c r="AX120" s="520"/>
      <c r="AY120" s="522"/>
      <c r="AZ120" s="523"/>
      <c r="BA120" s="524"/>
      <c r="BB120" s="465">
        <f t="shared" si="95"/>
        <v>0</v>
      </c>
      <c r="BC120" s="465">
        <f t="shared" si="96"/>
        <v>125454</v>
      </c>
      <c r="BD120" s="506"/>
      <c r="BE120" s="519"/>
      <c r="BF120" s="504" t="str">
        <f t="shared" si="90"/>
        <v xml:space="preserve"> </v>
      </c>
      <c r="BG120" s="522">
        <f>IF(BB120-BC120&gt;0," ",BC120-BB120)</f>
        <v>125454</v>
      </c>
      <c r="BH120" s="1190"/>
    </row>
    <row r="121" spans="1:60" x14ac:dyDescent="0.2">
      <c r="A121" s="25"/>
      <c r="B121" s="14"/>
      <c r="C121" s="14" t="s">
        <v>287</v>
      </c>
      <c r="D121" s="525"/>
      <c r="E121" s="526"/>
      <c r="F121" s="516"/>
      <c r="G121" s="516"/>
      <c r="H121" s="516"/>
      <c r="I121" s="516"/>
      <c r="J121" s="516"/>
      <c r="K121" s="517"/>
      <c r="L121" s="516"/>
      <c r="M121" s="516"/>
      <c r="N121" s="516"/>
      <c r="O121" s="516"/>
      <c r="P121" s="518"/>
      <c r="Q121" s="518"/>
      <c r="R121" s="518"/>
      <c r="S121" s="518"/>
      <c r="T121" s="518"/>
      <c r="U121" s="518"/>
      <c r="V121" s="518"/>
      <c r="W121" s="518"/>
      <c r="X121" s="518"/>
      <c r="Y121" s="518"/>
      <c r="Z121" s="518"/>
      <c r="AA121" s="518"/>
      <c r="AB121" s="518"/>
      <c r="AC121" s="518"/>
      <c r="AD121" s="516"/>
      <c r="AE121" s="516"/>
      <c r="AF121" s="516"/>
      <c r="AG121" s="516"/>
      <c r="AH121" s="529">
        <f t="shared" si="91"/>
        <v>0</v>
      </c>
      <c r="AI121" s="503">
        <f t="shared" si="92"/>
        <v>0</v>
      </c>
      <c r="AJ121" s="506">
        <f t="shared" si="93"/>
        <v>0</v>
      </c>
      <c r="AK121" s="519">
        <f t="shared" si="94"/>
        <v>0</v>
      </c>
      <c r="AL121" s="516"/>
      <c r="AM121" s="516"/>
      <c r="AN121" s="506"/>
      <c r="AO121" s="519"/>
      <c r="AP121" s="520"/>
      <c r="AQ121" s="504"/>
      <c r="AR121" s="503"/>
      <c r="AS121" s="520"/>
      <c r="AT121" s="504"/>
      <c r="AU121" s="521"/>
      <c r="AV121" s="504"/>
      <c r="AW121" s="503"/>
      <c r="AX121" s="520" t="str">
        <f>'L. Eliminations-Consolidations'!A214</f>
        <v>L.4</v>
      </c>
      <c r="AY121" s="522">
        <f>'L. Eliminations-Consolidations'!L217</f>
        <v>0</v>
      </c>
      <c r="AZ121" s="523"/>
      <c r="BA121" s="524"/>
      <c r="BB121" s="465">
        <f t="shared" si="95"/>
        <v>0</v>
      </c>
      <c r="BC121" s="465">
        <f t="shared" si="96"/>
        <v>0</v>
      </c>
      <c r="BD121" s="506"/>
      <c r="BE121" s="519"/>
      <c r="BF121" s="504" t="str">
        <f t="shared" si="90"/>
        <v xml:space="preserve"> </v>
      </c>
      <c r="BG121" s="522">
        <f>IF(BB121-BC121&gt;0," ",BC121-BB121)</f>
        <v>0</v>
      </c>
      <c r="BH121" s="1193"/>
    </row>
    <row r="122" spans="1:60" x14ac:dyDescent="0.2">
      <c r="A122" s="25"/>
      <c r="B122" s="14"/>
      <c r="C122" s="14" t="s">
        <v>60</v>
      </c>
      <c r="D122" s="525"/>
      <c r="E122" s="526"/>
      <c r="F122" s="516"/>
      <c r="G122" s="516"/>
      <c r="H122" s="516"/>
      <c r="I122" s="516"/>
      <c r="J122" s="516"/>
      <c r="K122" s="517"/>
      <c r="L122" s="516"/>
      <c r="M122" s="516"/>
      <c r="N122" s="516"/>
      <c r="O122" s="516"/>
      <c r="P122" s="518"/>
      <c r="Q122" s="518"/>
      <c r="R122" s="518"/>
      <c r="S122" s="518"/>
      <c r="T122" s="518"/>
      <c r="U122" s="518"/>
      <c r="V122" s="518"/>
      <c r="W122" s="518"/>
      <c r="X122" s="518"/>
      <c r="Y122" s="518"/>
      <c r="Z122" s="518"/>
      <c r="AA122" s="518"/>
      <c r="AB122" s="518"/>
      <c r="AC122" s="518"/>
      <c r="AD122" s="516"/>
      <c r="AE122" s="516"/>
      <c r="AF122" s="516"/>
      <c r="AG122" s="516"/>
      <c r="AH122" s="529">
        <f t="shared" si="91"/>
        <v>0</v>
      </c>
      <c r="AI122" s="503">
        <f t="shared" si="92"/>
        <v>0</v>
      </c>
      <c r="AJ122" s="506">
        <f t="shared" si="93"/>
        <v>0</v>
      </c>
      <c r="AK122" s="519">
        <f t="shared" si="94"/>
        <v>0</v>
      </c>
      <c r="AL122" s="516"/>
      <c r="AM122" s="516"/>
      <c r="AN122" s="506"/>
      <c r="AO122" s="519"/>
      <c r="AP122" s="520"/>
      <c r="AQ122" s="504"/>
      <c r="AR122" s="503"/>
      <c r="AS122" s="520"/>
      <c r="AT122" s="504"/>
      <c r="AU122" s="521"/>
      <c r="AV122" s="504"/>
      <c r="AW122" s="503"/>
      <c r="AX122" s="520"/>
      <c r="AY122" s="522"/>
      <c r="AZ122" s="523"/>
      <c r="BA122" s="524"/>
      <c r="BB122" s="465">
        <f t="shared" si="95"/>
        <v>0</v>
      </c>
      <c r="BC122" s="465">
        <f t="shared" si="96"/>
        <v>0</v>
      </c>
      <c r="BD122" s="506"/>
      <c r="BE122" s="519"/>
      <c r="BF122" s="504" t="str">
        <f t="shared" si="90"/>
        <v xml:space="preserve"> </v>
      </c>
      <c r="BG122" s="522">
        <f>IF(BB122-BC122&gt;0," ",BC122-BB122)</f>
        <v>0</v>
      </c>
      <c r="BH122" s="1190"/>
    </row>
    <row r="123" spans="1:60" x14ac:dyDescent="0.2">
      <c r="A123" s="25"/>
      <c r="B123" s="14"/>
      <c r="C123" s="248" t="s">
        <v>837</v>
      </c>
      <c r="D123" s="540"/>
      <c r="E123" s="541"/>
      <c r="F123" s="542"/>
      <c r="G123" s="542"/>
      <c r="H123" s="542"/>
      <c r="I123" s="542"/>
      <c r="J123" s="542"/>
      <c r="K123" s="543"/>
      <c r="L123" s="542"/>
      <c r="M123" s="542"/>
      <c r="N123" s="542"/>
      <c r="O123" s="542"/>
      <c r="P123" s="544"/>
      <c r="Q123" s="544"/>
      <c r="R123" s="544"/>
      <c r="S123" s="544"/>
      <c r="T123" s="544"/>
      <c r="U123" s="544"/>
      <c r="V123" s="544"/>
      <c r="W123" s="544"/>
      <c r="X123" s="544"/>
      <c r="Y123" s="544"/>
      <c r="Z123" s="544"/>
      <c r="AA123" s="544"/>
      <c r="AB123" s="544"/>
      <c r="AC123" s="544"/>
      <c r="AD123" s="542"/>
      <c r="AE123" s="542"/>
      <c r="AF123" s="542"/>
      <c r="AG123" s="542"/>
      <c r="AH123" s="545">
        <f t="shared" ref="AH123:AH135" si="97">L123+N123+P123+R123+T123+V123+X123+Z123+AB123+AD123+AF123</f>
        <v>0</v>
      </c>
      <c r="AI123" s="546">
        <f t="shared" ref="AI123:AI135" si="98">M123+O123+Q123+S123+U123+W123+Y123+AA123+AC123+AE123+AG123</f>
        <v>0</v>
      </c>
      <c r="AJ123" s="547">
        <f t="shared" si="93"/>
        <v>0</v>
      </c>
      <c r="AK123" s="548">
        <f t="shared" si="94"/>
        <v>0</v>
      </c>
      <c r="AL123" s="542"/>
      <c r="AM123" s="542"/>
      <c r="AN123" s="547"/>
      <c r="AO123" s="548"/>
      <c r="AP123" s="549"/>
      <c r="AQ123" s="550"/>
      <c r="AR123" s="546"/>
      <c r="AS123" s="549"/>
      <c r="AT123" s="550"/>
      <c r="AU123" s="551" t="str">
        <f>'L. Eliminations-Consolidations'!A203</f>
        <v>L.2</v>
      </c>
      <c r="AV123" s="550">
        <f>'L. Eliminations-Consolidations'!J204</f>
        <v>0</v>
      </c>
      <c r="AW123" s="546"/>
      <c r="AX123" s="554" t="s">
        <v>637</v>
      </c>
      <c r="AY123" s="550">
        <f>'K.1  Int. Service Fd Allocation'!G188+'K.2  Int. Service Fd Alloca'!G183+'K.3 Int. Service Fd Alloca'!G183</f>
        <v>0</v>
      </c>
      <c r="AZ123" s="555"/>
      <c r="BA123" s="524"/>
      <c r="BB123" s="550">
        <f t="shared" si="95"/>
        <v>0</v>
      </c>
      <c r="BC123" s="550">
        <f t="shared" si="96"/>
        <v>0</v>
      </c>
      <c r="BD123" s="547"/>
      <c r="BE123" s="548"/>
      <c r="BF123" s="550" t="str">
        <f>IF((BB123+BB124)-(BC123+BC124)&lt;=0," ",(BB123+BB124)-(BC123+BC124))</f>
        <v xml:space="preserve"> </v>
      </c>
      <c r="BG123" s="552">
        <f>IF((BB123+BB124)-(BC123+BC124)&gt;0," ",(BC123+BC124)-(BB123+BB124))</f>
        <v>0</v>
      </c>
    </row>
    <row r="124" spans="1:60" x14ac:dyDescent="0.2">
      <c r="A124" s="25"/>
      <c r="B124" s="14"/>
      <c r="C124" s="248"/>
      <c r="D124" s="540"/>
      <c r="E124" s="541"/>
      <c r="F124" s="542"/>
      <c r="G124" s="542"/>
      <c r="H124" s="542"/>
      <c r="I124" s="542"/>
      <c r="J124" s="542"/>
      <c r="K124" s="543"/>
      <c r="L124" s="542"/>
      <c r="M124" s="542"/>
      <c r="N124" s="542"/>
      <c r="O124" s="542"/>
      <c r="P124" s="544"/>
      <c r="Q124" s="544"/>
      <c r="R124" s="544"/>
      <c r="S124" s="544"/>
      <c r="T124" s="544"/>
      <c r="U124" s="544"/>
      <c r="V124" s="544"/>
      <c r="W124" s="544"/>
      <c r="X124" s="544"/>
      <c r="Y124" s="544"/>
      <c r="Z124" s="544"/>
      <c r="AA124" s="544"/>
      <c r="AB124" s="544"/>
      <c r="AC124" s="544"/>
      <c r="AD124" s="542"/>
      <c r="AE124" s="542"/>
      <c r="AF124" s="542"/>
      <c r="AG124" s="542"/>
      <c r="AH124" s="545">
        <f t="shared" si="97"/>
        <v>0</v>
      </c>
      <c r="AI124" s="546">
        <f t="shared" si="98"/>
        <v>0</v>
      </c>
      <c r="AJ124" s="547">
        <f t="shared" si="93"/>
        <v>0</v>
      </c>
      <c r="AK124" s="548">
        <f t="shared" si="94"/>
        <v>0</v>
      </c>
      <c r="AL124" s="542"/>
      <c r="AM124" s="542"/>
      <c r="AN124" s="547"/>
      <c r="AO124" s="548"/>
      <c r="AP124" s="549"/>
      <c r="AQ124" s="550"/>
      <c r="AR124" s="546"/>
      <c r="AS124" s="549"/>
      <c r="AT124" s="550"/>
      <c r="AU124" s="551" t="str">
        <f>'L. Eliminations-Consolidations'!A208</f>
        <v>L.3</v>
      </c>
      <c r="AV124" s="550">
        <f>'L. Eliminations-Consolidations'!J208</f>
        <v>0</v>
      </c>
      <c r="AW124" s="546"/>
      <c r="AX124" s="549"/>
      <c r="AY124" s="552"/>
      <c r="AZ124" s="523"/>
      <c r="BA124" s="524"/>
      <c r="BB124" s="550">
        <f t="shared" si="95"/>
        <v>0</v>
      </c>
      <c r="BC124" s="550">
        <f t="shared" si="96"/>
        <v>0</v>
      </c>
      <c r="BD124" s="547"/>
      <c r="BE124" s="548"/>
      <c r="BF124" s="550"/>
      <c r="BG124" s="552"/>
    </row>
    <row r="125" spans="1:60" x14ac:dyDescent="0.2">
      <c r="A125" s="25"/>
      <c r="B125" s="14"/>
      <c r="C125" s="14" t="s">
        <v>167</v>
      </c>
      <c r="D125" s="525"/>
      <c r="E125" s="526">
        <v>1639</v>
      </c>
      <c r="F125" s="516"/>
      <c r="G125" s="516"/>
      <c r="H125" s="516"/>
      <c r="I125" s="516"/>
      <c r="J125" s="516"/>
      <c r="K125" s="517"/>
      <c r="L125" s="516"/>
      <c r="M125" s="516"/>
      <c r="N125" s="516"/>
      <c r="O125" s="516"/>
      <c r="P125" s="518"/>
      <c r="Q125" s="518"/>
      <c r="R125" s="518"/>
      <c r="S125" s="518"/>
      <c r="T125" s="518"/>
      <c r="U125" s="518"/>
      <c r="V125" s="518"/>
      <c r="W125" s="518"/>
      <c r="X125" s="518"/>
      <c r="Y125" s="518"/>
      <c r="Z125" s="518"/>
      <c r="AA125" s="518"/>
      <c r="AB125" s="518"/>
      <c r="AC125" s="518"/>
      <c r="AD125" s="516"/>
      <c r="AE125" s="516"/>
      <c r="AF125" s="516"/>
      <c r="AG125" s="516"/>
      <c r="AH125" s="529">
        <f t="shared" si="97"/>
        <v>0</v>
      </c>
      <c r="AI125" s="503">
        <f t="shared" si="98"/>
        <v>0</v>
      </c>
      <c r="AJ125" s="506">
        <f t="shared" si="93"/>
        <v>0</v>
      </c>
      <c r="AK125" s="519">
        <f t="shared" si="94"/>
        <v>1639</v>
      </c>
      <c r="AL125" s="516"/>
      <c r="AM125" s="516"/>
      <c r="AN125" s="506"/>
      <c r="AO125" s="519"/>
      <c r="AP125" s="520" t="str">
        <f>'G. Debt Service'!D57</f>
        <v>G.3</v>
      </c>
      <c r="AQ125" s="504">
        <f>'G. Debt Service'!L57</f>
        <v>19163</v>
      </c>
      <c r="AR125" s="503"/>
      <c r="AS125" s="520" t="str">
        <f>'G. Debt Service'!D54</f>
        <v>G.2</v>
      </c>
      <c r="AT125" s="504">
        <f>'G. Debt Service'!N55</f>
        <v>331007</v>
      </c>
      <c r="AU125" s="521"/>
      <c r="AV125" s="504"/>
      <c r="AW125" s="503"/>
      <c r="AX125" s="520"/>
      <c r="AY125" s="522"/>
      <c r="AZ125" s="523"/>
      <c r="BA125" s="524"/>
      <c r="BB125" s="465">
        <f t="shared" ref="BB125:BB135" si="99">ROUND(AJ125+AL125+AN125+AQ125+AV125+AZ125,0)</f>
        <v>19163</v>
      </c>
      <c r="BC125" s="465">
        <f t="shared" ref="BC125:BC134" si="100">ROUND(AK125+AM125+AO125+AT125+AY125+BA125,0)</f>
        <v>332646</v>
      </c>
      <c r="BD125" s="506"/>
      <c r="BE125" s="519"/>
      <c r="BF125" s="504" t="str">
        <f t="shared" si="90"/>
        <v xml:space="preserve"> </v>
      </c>
      <c r="BG125" s="538">
        <f t="shared" ref="BG125:BG134" si="101">IF(BB125-BC125&gt;0," ",BC125-BB125)</f>
        <v>313483</v>
      </c>
      <c r="BH125" s="1190"/>
    </row>
    <row r="126" spans="1:60" x14ac:dyDescent="0.2">
      <c r="A126" s="25"/>
      <c r="B126" s="14"/>
      <c r="C126" s="14" t="s">
        <v>660</v>
      </c>
      <c r="D126" s="525"/>
      <c r="E126" s="526"/>
      <c r="F126" s="516"/>
      <c r="G126" s="516"/>
      <c r="H126" s="516"/>
      <c r="I126" s="516"/>
      <c r="J126" s="516"/>
      <c r="K126" s="517"/>
      <c r="L126" s="516"/>
      <c r="M126" s="516"/>
      <c r="N126" s="516"/>
      <c r="O126" s="516"/>
      <c r="P126" s="518"/>
      <c r="Q126" s="518"/>
      <c r="R126" s="518"/>
      <c r="S126" s="518"/>
      <c r="T126" s="518"/>
      <c r="U126" s="518"/>
      <c r="V126" s="518"/>
      <c r="W126" s="518"/>
      <c r="X126" s="518"/>
      <c r="Y126" s="518"/>
      <c r="Z126" s="518"/>
      <c r="AA126" s="518"/>
      <c r="AB126" s="518"/>
      <c r="AC126" s="518"/>
      <c r="AD126" s="516"/>
      <c r="AE126" s="516"/>
      <c r="AF126" s="516"/>
      <c r="AG126" s="516"/>
      <c r="AH126" s="529">
        <f t="shared" si="97"/>
        <v>0</v>
      </c>
      <c r="AI126" s="503">
        <f t="shared" si="98"/>
        <v>0</v>
      </c>
      <c r="AJ126" s="506">
        <f t="shared" si="93"/>
        <v>0</v>
      </c>
      <c r="AK126" s="519">
        <f t="shared" si="94"/>
        <v>0</v>
      </c>
      <c r="AL126" s="516"/>
      <c r="AM126" s="516"/>
      <c r="AN126" s="506"/>
      <c r="AO126" s="519"/>
      <c r="AP126" s="520"/>
      <c r="AQ126" s="504"/>
      <c r="AR126" s="503"/>
      <c r="AS126" s="520"/>
      <c r="AT126" s="504"/>
      <c r="AU126" s="521"/>
      <c r="AV126" s="504"/>
      <c r="AW126" s="503"/>
      <c r="AX126" s="520" t="str">
        <f>'L. Eliminations-Consolidations'!A224</f>
        <v>L.6</v>
      </c>
      <c r="AY126" s="522">
        <f>'L. Eliminations-Consolidations'!L233</f>
        <v>0</v>
      </c>
      <c r="AZ126" s="523"/>
      <c r="BA126" s="524"/>
      <c r="BB126" s="465">
        <f t="shared" si="99"/>
        <v>0</v>
      </c>
      <c r="BC126" s="465">
        <f t="shared" si="100"/>
        <v>0</v>
      </c>
      <c r="BD126" s="506"/>
      <c r="BE126" s="519"/>
      <c r="BF126" s="504" t="str">
        <f t="shared" si="90"/>
        <v xml:space="preserve"> </v>
      </c>
      <c r="BG126" s="538">
        <f t="shared" si="101"/>
        <v>0</v>
      </c>
    </row>
    <row r="127" spans="1:60" x14ac:dyDescent="0.2">
      <c r="A127" s="25"/>
      <c r="B127" s="14"/>
      <c r="C127" s="14" t="s">
        <v>661</v>
      </c>
      <c r="D127" s="525"/>
      <c r="E127" s="526"/>
      <c r="F127" s="516"/>
      <c r="G127" s="516"/>
      <c r="H127" s="516"/>
      <c r="I127" s="516"/>
      <c r="J127" s="516"/>
      <c r="K127" s="517"/>
      <c r="L127" s="516"/>
      <c r="M127" s="516"/>
      <c r="N127" s="516"/>
      <c r="O127" s="516"/>
      <c r="P127" s="518"/>
      <c r="Q127" s="518"/>
      <c r="R127" s="518"/>
      <c r="S127" s="518"/>
      <c r="T127" s="518"/>
      <c r="U127" s="518"/>
      <c r="V127" s="518"/>
      <c r="W127" s="518"/>
      <c r="X127" s="518"/>
      <c r="Y127" s="518"/>
      <c r="Z127" s="518"/>
      <c r="AA127" s="518"/>
      <c r="AB127" s="518"/>
      <c r="AC127" s="518"/>
      <c r="AD127" s="516"/>
      <c r="AE127" s="516"/>
      <c r="AF127" s="516"/>
      <c r="AG127" s="516"/>
      <c r="AH127" s="529">
        <f t="shared" si="97"/>
        <v>0</v>
      </c>
      <c r="AI127" s="503">
        <f t="shared" si="98"/>
        <v>0</v>
      </c>
      <c r="AJ127" s="506">
        <f t="shared" si="93"/>
        <v>0</v>
      </c>
      <c r="AK127" s="519">
        <f t="shared" si="94"/>
        <v>0</v>
      </c>
      <c r="AL127" s="516"/>
      <c r="AM127" s="516"/>
      <c r="AN127" s="506"/>
      <c r="AO127" s="519"/>
      <c r="AP127" s="520"/>
      <c r="AQ127" s="504"/>
      <c r="AR127" s="503"/>
      <c r="AS127" s="520"/>
      <c r="AT127" s="504"/>
      <c r="AU127" s="521"/>
      <c r="AV127" s="504"/>
      <c r="AW127" s="503"/>
      <c r="AX127" s="520" t="str">
        <f>'L. Eliminations-Consolidations'!A224</f>
        <v>L.6</v>
      </c>
      <c r="AY127" s="522">
        <f>'L. Eliminations-Consolidations'!L234</f>
        <v>171429</v>
      </c>
      <c r="AZ127" s="523"/>
      <c r="BA127" s="524"/>
      <c r="BB127" s="465">
        <f t="shared" si="99"/>
        <v>0</v>
      </c>
      <c r="BC127" s="465">
        <f t="shared" si="100"/>
        <v>171429</v>
      </c>
      <c r="BD127" s="506"/>
      <c r="BE127" s="519"/>
      <c r="BF127" s="432" t="str">
        <f t="shared" si="90"/>
        <v xml:space="preserve"> </v>
      </c>
      <c r="BG127" s="538">
        <f t="shared" si="101"/>
        <v>171429</v>
      </c>
    </row>
    <row r="128" spans="1:60" x14ac:dyDescent="0.2">
      <c r="A128" s="25"/>
      <c r="B128" s="14"/>
      <c r="C128" s="14" t="s">
        <v>662</v>
      </c>
      <c r="D128" s="525"/>
      <c r="E128" s="526"/>
      <c r="F128" s="516"/>
      <c r="G128" s="516"/>
      <c r="H128" s="516"/>
      <c r="I128" s="516"/>
      <c r="J128" s="516"/>
      <c r="K128" s="517"/>
      <c r="L128" s="516"/>
      <c r="M128" s="516"/>
      <c r="N128" s="516"/>
      <c r="O128" s="516"/>
      <c r="P128" s="518"/>
      <c r="Q128" s="518"/>
      <c r="R128" s="518"/>
      <c r="S128" s="518"/>
      <c r="T128" s="518"/>
      <c r="U128" s="518"/>
      <c r="V128" s="518"/>
      <c r="W128" s="518"/>
      <c r="X128" s="518"/>
      <c r="Y128" s="518"/>
      <c r="Z128" s="518"/>
      <c r="AA128" s="518"/>
      <c r="AB128" s="518"/>
      <c r="AC128" s="518"/>
      <c r="AD128" s="516"/>
      <c r="AE128" s="516"/>
      <c r="AF128" s="516"/>
      <c r="AG128" s="516"/>
      <c r="AH128" s="529">
        <f t="shared" si="97"/>
        <v>0</v>
      </c>
      <c r="AI128" s="503">
        <f t="shared" si="98"/>
        <v>0</v>
      </c>
      <c r="AJ128" s="506">
        <f t="shared" si="93"/>
        <v>0</v>
      </c>
      <c r="AK128" s="519">
        <f t="shared" si="94"/>
        <v>0</v>
      </c>
      <c r="AL128" s="516"/>
      <c r="AM128" s="516"/>
      <c r="AN128" s="506"/>
      <c r="AO128" s="519"/>
      <c r="AP128" s="520"/>
      <c r="AQ128" s="504"/>
      <c r="AR128" s="503"/>
      <c r="AS128" s="520"/>
      <c r="AT128" s="504"/>
      <c r="AU128" s="521"/>
      <c r="AV128" s="504"/>
      <c r="AW128" s="503"/>
      <c r="AX128" s="520" t="str">
        <f>'L. Eliminations-Consolidations'!A224</f>
        <v>L.6</v>
      </c>
      <c r="AY128" s="522">
        <f>'L. Eliminations-Consolidations'!L235</f>
        <v>625000</v>
      </c>
      <c r="AZ128" s="523"/>
      <c r="BA128" s="524"/>
      <c r="BB128" s="465">
        <f t="shared" si="99"/>
        <v>0</v>
      </c>
      <c r="BC128" s="465">
        <f t="shared" si="100"/>
        <v>625000</v>
      </c>
      <c r="BD128" s="506"/>
      <c r="BE128" s="519"/>
      <c r="BF128" s="432" t="str">
        <f t="shared" si="90"/>
        <v xml:space="preserve"> </v>
      </c>
      <c r="BG128" s="538">
        <f t="shared" si="101"/>
        <v>625000</v>
      </c>
    </row>
    <row r="129" spans="1:62" x14ac:dyDescent="0.2">
      <c r="A129" s="25"/>
      <c r="B129" s="14"/>
      <c r="C129" s="14" t="s">
        <v>663</v>
      </c>
      <c r="D129" s="525"/>
      <c r="E129" s="526"/>
      <c r="F129" s="516"/>
      <c r="G129" s="516"/>
      <c r="H129" s="516"/>
      <c r="I129" s="516"/>
      <c r="J129" s="516"/>
      <c r="K129" s="517"/>
      <c r="L129" s="516"/>
      <c r="M129" s="516"/>
      <c r="N129" s="516"/>
      <c r="O129" s="516"/>
      <c r="P129" s="518"/>
      <c r="Q129" s="518"/>
      <c r="R129" s="518"/>
      <c r="S129" s="518"/>
      <c r="T129" s="518"/>
      <c r="U129" s="518"/>
      <c r="V129" s="518"/>
      <c r="W129" s="518"/>
      <c r="X129" s="518"/>
      <c r="Y129" s="518"/>
      <c r="Z129" s="518"/>
      <c r="AA129" s="518"/>
      <c r="AB129" s="518"/>
      <c r="AC129" s="518"/>
      <c r="AD129" s="516"/>
      <c r="AE129" s="516"/>
      <c r="AF129" s="516"/>
      <c r="AG129" s="516"/>
      <c r="AH129" s="529">
        <f t="shared" si="97"/>
        <v>0</v>
      </c>
      <c r="AI129" s="503">
        <f t="shared" si="98"/>
        <v>0</v>
      </c>
      <c r="AJ129" s="506">
        <f t="shared" si="93"/>
        <v>0</v>
      </c>
      <c r="AK129" s="519">
        <f t="shared" si="94"/>
        <v>0</v>
      </c>
      <c r="AL129" s="516"/>
      <c r="AM129" s="516"/>
      <c r="AN129" s="506"/>
      <c r="AO129" s="519"/>
      <c r="AP129" s="520"/>
      <c r="AQ129" s="504"/>
      <c r="AR129" s="503"/>
      <c r="AS129" s="520"/>
      <c r="AT129" s="504"/>
      <c r="AU129" s="521"/>
      <c r="AV129" s="504"/>
      <c r="AW129" s="503"/>
      <c r="AX129" s="520" t="str">
        <f>'L. Eliminations-Consolidations'!A224</f>
        <v>L.6</v>
      </c>
      <c r="AY129" s="522">
        <f>'L. Eliminations-Consolidations'!L236</f>
        <v>0</v>
      </c>
      <c r="AZ129" s="523"/>
      <c r="BA129" s="524"/>
      <c r="BB129" s="465">
        <f t="shared" si="99"/>
        <v>0</v>
      </c>
      <c r="BC129" s="465">
        <f t="shared" si="100"/>
        <v>0</v>
      </c>
      <c r="BD129" s="506"/>
      <c r="BE129" s="519"/>
      <c r="BF129" s="432" t="str">
        <f t="shared" si="90"/>
        <v xml:space="preserve"> </v>
      </c>
      <c r="BG129" s="538">
        <f t="shared" si="101"/>
        <v>0</v>
      </c>
    </row>
    <row r="130" spans="1:62" x14ac:dyDescent="0.2">
      <c r="A130" s="25"/>
      <c r="B130" s="14"/>
      <c r="C130" s="14" t="s">
        <v>4104</v>
      </c>
      <c r="D130" s="525"/>
      <c r="E130" s="526"/>
      <c r="F130" s="516"/>
      <c r="G130" s="516"/>
      <c r="H130" s="516"/>
      <c r="I130" s="516"/>
      <c r="J130" s="516"/>
      <c r="K130" s="517"/>
      <c r="L130" s="516"/>
      <c r="M130" s="516"/>
      <c r="N130" s="516"/>
      <c r="O130" s="516"/>
      <c r="P130" s="518"/>
      <c r="Q130" s="518"/>
      <c r="R130" s="518"/>
      <c r="S130" s="518"/>
      <c r="T130" s="518"/>
      <c r="U130" s="518"/>
      <c r="V130" s="518"/>
      <c r="W130" s="518"/>
      <c r="X130" s="518"/>
      <c r="Y130" s="518"/>
      <c r="Z130" s="518"/>
      <c r="AA130" s="518"/>
      <c r="AB130" s="518"/>
      <c r="AC130" s="518"/>
      <c r="AD130" s="516"/>
      <c r="AE130" s="516"/>
      <c r="AF130" s="516"/>
      <c r="AG130" s="516"/>
      <c r="AH130" s="529">
        <f t="shared" si="97"/>
        <v>0</v>
      </c>
      <c r="AI130" s="503">
        <f t="shared" si="98"/>
        <v>0</v>
      </c>
      <c r="AJ130" s="506">
        <f t="shared" si="93"/>
        <v>0</v>
      </c>
      <c r="AK130" s="519">
        <f t="shared" si="94"/>
        <v>0</v>
      </c>
      <c r="AL130" s="516"/>
      <c r="AM130" s="516"/>
      <c r="AN130" s="506"/>
      <c r="AO130" s="519"/>
      <c r="AP130" s="520"/>
      <c r="AQ130" s="504"/>
      <c r="AR130" s="503"/>
      <c r="AS130" s="520"/>
      <c r="AT130" s="504"/>
      <c r="AU130" s="521"/>
      <c r="AV130" s="504"/>
      <c r="AW130" s="503"/>
      <c r="AX130" s="520" t="str">
        <f>'L. Eliminations-Consolidations'!A224</f>
        <v>L.6</v>
      </c>
      <c r="AY130" s="522">
        <f>'L. Eliminations-Consolidations'!L237</f>
        <v>44777</v>
      </c>
      <c r="AZ130" s="523"/>
      <c r="BA130" s="524"/>
      <c r="BB130" s="465">
        <f t="shared" si="99"/>
        <v>0</v>
      </c>
      <c r="BC130" s="465">
        <f t="shared" si="100"/>
        <v>44777</v>
      </c>
      <c r="BD130" s="506"/>
      <c r="BE130" s="519"/>
      <c r="BF130" s="432" t="str">
        <f t="shared" si="90"/>
        <v xml:space="preserve"> </v>
      </c>
      <c r="BG130" s="538">
        <f t="shared" si="101"/>
        <v>44777</v>
      </c>
      <c r="BH130" s="1199"/>
    </row>
    <row r="131" spans="1:62" s="1263" customFormat="1" x14ac:dyDescent="0.2">
      <c r="A131" s="25"/>
      <c r="B131" s="14"/>
      <c r="C131" s="1264" t="s">
        <v>4128</v>
      </c>
      <c r="D131" s="525"/>
      <c r="E131" s="526"/>
      <c r="F131" s="516"/>
      <c r="G131" s="516"/>
      <c r="H131" s="516"/>
      <c r="I131" s="516"/>
      <c r="J131" s="516"/>
      <c r="K131" s="517"/>
      <c r="L131" s="516"/>
      <c r="M131" s="516"/>
      <c r="N131" s="516"/>
      <c r="O131" s="516"/>
      <c r="P131" s="518"/>
      <c r="Q131" s="518"/>
      <c r="R131" s="518"/>
      <c r="S131" s="518"/>
      <c r="T131" s="518"/>
      <c r="U131" s="518"/>
      <c r="V131" s="518"/>
      <c r="W131" s="518"/>
      <c r="X131" s="518"/>
      <c r="Y131" s="518"/>
      <c r="Z131" s="518"/>
      <c r="AA131" s="518"/>
      <c r="AB131" s="518"/>
      <c r="AC131" s="518"/>
      <c r="AD131" s="516"/>
      <c r="AE131" s="516"/>
      <c r="AF131" s="516"/>
      <c r="AG131" s="516"/>
      <c r="AH131" s="529">
        <f t="shared" ref="AH131" si="102">L131+N131+P131+R131+T131+V131+X131+Z131+AB131+AD131+AF131</f>
        <v>0</v>
      </c>
      <c r="AI131" s="503">
        <f t="shared" ref="AI131" si="103">M131+O131+Q131+S131+U131+W131+Y131+AA131+AC131+AE131+AG131</f>
        <v>0</v>
      </c>
      <c r="AJ131" s="506">
        <f t="shared" ref="AJ131" si="104">D131+F131+H131+J131+AH131</f>
        <v>0</v>
      </c>
      <c r="AK131" s="519">
        <f t="shared" ref="AK131" si="105">E131+G131+I131+K131+AI131</f>
        <v>0</v>
      </c>
      <c r="AL131" s="516"/>
      <c r="AN131" s="506"/>
      <c r="AO131" s="519"/>
      <c r="AP131" s="520"/>
      <c r="AQ131" s="504"/>
      <c r="AR131" s="503"/>
      <c r="AS131" s="520"/>
      <c r="AT131" s="504"/>
      <c r="AU131" s="520"/>
      <c r="AV131" s="504"/>
      <c r="AW131" s="503"/>
      <c r="AX131" s="520" t="str">
        <f>'L. Eliminations-Consolidations'!A224</f>
        <v>L.6</v>
      </c>
      <c r="AY131" s="522">
        <f>'L. Eliminations-Consolidations'!L238</f>
        <v>21367</v>
      </c>
      <c r="AZ131" s="523"/>
      <c r="BA131" s="524"/>
      <c r="BB131" s="465">
        <f t="shared" ref="BB131" si="106">ROUND(AJ131+AL131+AN131+AQ131+AV131+AZ131,0)</f>
        <v>0</v>
      </c>
      <c r="BC131" s="465">
        <f>ROUND(AK131+AM131+AO131+AT131+AY131+BA131,0)</f>
        <v>21367</v>
      </c>
      <c r="BD131" s="506"/>
      <c r="BE131" s="519"/>
      <c r="BF131" s="432"/>
      <c r="BG131" s="538">
        <f t="shared" si="101"/>
        <v>21367</v>
      </c>
      <c r="BH131" s="1199"/>
      <c r="BI131" s="1193"/>
      <c r="BJ131" s="1206"/>
    </row>
    <row r="132" spans="1:62" x14ac:dyDescent="0.2">
      <c r="A132" s="25"/>
      <c r="B132" s="14"/>
      <c r="C132" s="14" t="s">
        <v>878</v>
      </c>
      <c r="D132" s="525"/>
      <c r="E132" s="526"/>
      <c r="F132" s="516"/>
      <c r="G132" s="516"/>
      <c r="H132" s="516"/>
      <c r="I132" s="516"/>
      <c r="J132" s="516"/>
      <c r="K132" s="517"/>
      <c r="L132" s="516"/>
      <c r="M132" s="516"/>
      <c r="N132" s="516"/>
      <c r="O132" s="516"/>
      <c r="P132" s="518"/>
      <c r="Q132" s="518"/>
      <c r="R132" s="518"/>
      <c r="S132" s="518"/>
      <c r="T132" s="518"/>
      <c r="U132" s="518"/>
      <c r="V132" s="518"/>
      <c r="W132" s="518"/>
      <c r="X132" s="518"/>
      <c r="Y132" s="518"/>
      <c r="Z132" s="518"/>
      <c r="AA132" s="518"/>
      <c r="AB132" s="518"/>
      <c r="AC132" s="518"/>
      <c r="AD132" s="516"/>
      <c r="AE132" s="516"/>
      <c r="AF132" s="516"/>
      <c r="AG132" s="516"/>
      <c r="AH132" s="529">
        <f t="shared" si="97"/>
        <v>0</v>
      </c>
      <c r="AI132" s="503">
        <f t="shared" si="98"/>
        <v>0</v>
      </c>
      <c r="AJ132" s="506">
        <f t="shared" si="93"/>
        <v>0</v>
      </c>
      <c r="AK132" s="519">
        <f t="shared" si="94"/>
        <v>0</v>
      </c>
      <c r="AL132" s="516"/>
      <c r="AM132" s="516"/>
      <c r="AN132" s="506"/>
      <c r="AO132" s="519"/>
      <c r="AP132" s="520"/>
      <c r="AQ132" s="504"/>
      <c r="AR132" s="503"/>
      <c r="AS132" s="520"/>
      <c r="AT132" s="504"/>
      <c r="AU132" s="521"/>
      <c r="AV132" s="504"/>
      <c r="AW132" s="503"/>
      <c r="AX132" s="520" t="str">
        <f>'L. Eliminations-Consolidations'!A224</f>
        <v>L.6</v>
      </c>
      <c r="AY132" s="522">
        <f>'L. Eliminations-Consolidations'!L239</f>
        <v>0</v>
      </c>
      <c r="AZ132" s="523"/>
      <c r="BA132" s="524"/>
      <c r="BB132" s="465">
        <f t="shared" si="99"/>
        <v>0</v>
      </c>
      <c r="BC132" s="465">
        <f t="shared" si="100"/>
        <v>0</v>
      </c>
      <c r="BD132" s="506"/>
      <c r="BE132" s="519"/>
      <c r="BF132" s="432" t="str">
        <f t="shared" si="90"/>
        <v xml:space="preserve"> </v>
      </c>
      <c r="BG132" s="538">
        <f t="shared" si="101"/>
        <v>0</v>
      </c>
    </row>
    <row r="133" spans="1:62" x14ac:dyDescent="0.2">
      <c r="A133" s="25"/>
      <c r="B133" s="14"/>
      <c r="C133" s="335" t="s">
        <v>666</v>
      </c>
      <c r="D133" s="525"/>
      <c r="E133" s="526"/>
      <c r="F133" s="516"/>
      <c r="G133" s="516"/>
      <c r="H133" s="516"/>
      <c r="I133" s="516"/>
      <c r="J133" s="516"/>
      <c r="K133" s="517"/>
      <c r="L133" s="516"/>
      <c r="M133" s="516"/>
      <c r="N133" s="516"/>
      <c r="O133" s="516"/>
      <c r="P133" s="518"/>
      <c r="Q133" s="518"/>
      <c r="R133" s="518"/>
      <c r="S133" s="518"/>
      <c r="T133" s="518"/>
      <c r="U133" s="518"/>
      <c r="V133" s="518"/>
      <c r="W133" s="518"/>
      <c r="X133" s="518"/>
      <c r="Y133" s="518"/>
      <c r="Z133" s="518"/>
      <c r="AA133" s="518"/>
      <c r="AB133" s="518"/>
      <c r="AC133" s="518"/>
      <c r="AD133" s="516"/>
      <c r="AE133" s="516"/>
      <c r="AF133" s="516"/>
      <c r="AG133" s="516"/>
      <c r="AH133" s="529">
        <f t="shared" si="97"/>
        <v>0</v>
      </c>
      <c r="AI133" s="503">
        <f t="shared" si="98"/>
        <v>0</v>
      </c>
      <c r="AJ133" s="506">
        <f t="shared" si="93"/>
        <v>0</v>
      </c>
      <c r="AK133" s="519">
        <f t="shared" si="94"/>
        <v>0</v>
      </c>
      <c r="AL133" s="516"/>
      <c r="AM133" s="516"/>
      <c r="AN133" s="506"/>
      <c r="AO133" s="519"/>
      <c r="AP133" s="520"/>
      <c r="AQ133" s="504"/>
      <c r="AR133" s="503"/>
      <c r="AS133" s="520"/>
      <c r="AT133" s="504"/>
      <c r="AU133" s="521"/>
      <c r="AV133" s="504"/>
      <c r="AW133" s="503"/>
      <c r="AX133" s="520" t="str">
        <f>'L. Eliminations-Consolidations'!A224</f>
        <v>L.6</v>
      </c>
      <c r="AY133" s="522">
        <f>'L. Eliminations-Consolidations'!L240</f>
        <v>0</v>
      </c>
      <c r="AZ133" s="523"/>
      <c r="BA133" s="524"/>
      <c r="BB133" s="465">
        <f t="shared" si="99"/>
        <v>0</v>
      </c>
      <c r="BC133" s="465">
        <f t="shared" si="100"/>
        <v>0</v>
      </c>
      <c r="BD133" s="506"/>
      <c r="BE133" s="519"/>
      <c r="BF133" s="432" t="str">
        <f t="shared" si="90"/>
        <v xml:space="preserve"> </v>
      </c>
      <c r="BG133" s="538">
        <f t="shared" si="101"/>
        <v>0</v>
      </c>
    </row>
    <row r="134" spans="1:62" x14ac:dyDescent="0.2">
      <c r="A134" s="25"/>
      <c r="B134" s="14"/>
      <c r="C134" s="335" t="s">
        <v>665</v>
      </c>
      <c r="D134" s="525"/>
      <c r="E134" s="526"/>
      <c r="F134" s="516"/>
      <c r="G134" s="516"/>
      <c r="H134" s="516"/>
      <c r="I134" s="516"/>
      <c r="J134" s="516"/>
      <c r="K134" s="517"/>
      <c r="L134" s="516"/>
      <c r="M134" s="516"/>
      <c r="N134" s="516"/>
      <c r="O134" s="516"/>
      <c r="P134" s="518"/>
      <c r="Q134" s="518"/>
      <c r="R134" s="518"/>
      <c r="S134" s="518"/>
      <c r="T134" s="518"/>
      <c r="U134" s="518"/>
      <c r="V134" s="518"/>
      <c r="W134" s="518"/>
      <c r="X134" s="518"/>
      <c r="Y134" s="518"/>
      <c r="Z134" s="518"/>
      <c r="AA134" s="518"/>
      <c r="AB134" s="518"/>
      <c r="AC134" s="518"/>
      <c r="AD134" s="516"/>
      <c r="AE134" s="516"/>
      <c r="AF134" s="516"/>
      <c r="AG134" s="516"/>
      <c r="AH134" s="529">
        <f t="shared" si="97"/>
        <v>0</v>
      </c>
      <c r="AI134" s="503">
        <f t="shared" si="98"/>
        <v>0</v>
      </c>
      <c r="AJ134" s="506">
        <f t="shared" si="93"/>
        <v>0</v>
      </c>
      <c r="AK134" s="519">
        <f t="shared" si="94"/>
        <v>0</v>
      </c>
      <c r="AL134" s="516"/>
      <c r="AM134" s="516"/>
      <c r="AN134" s="506"/>
      <c r="AO134" s="519"/>
      <c r="AP134" s="520"/>
      <c r="AQ134" s="504"/>
      <c r="AR134" s="503"/>
      <c r="AS134" s="520"/>
      <c r="AT134" s="504"/>
      <c r="AU134" s="521"/>
      <c r="AV134" s="504"/>
      <c r="AW134" s="503"/>
      <c r="AX134" s="520" t="str">
        <f>'L. Eliminations-Consolidations'!A224</f>
        <v>L.6</v>
      </c>
      <c r="AY134" s="522">
        <f>'L. Eliminations-Consolidations'!L241</f>
        <v>0</v>
      </c>
      <c r="AZ134" s="523"/>
      <c r="BA134" s="524"/>
      <c r="BB134" s="465">
        <f t="shared" si="99"/>
        <v>0</v>
      </c>
      <c r="BC134" s="465">
        <f t="shared" si="100"/>
        <v>0</v>
      </c>
      <c r="BD134" s="506"/>
      <c r="BE134" s="519"/>
      <c r="BF134" s="432" t="str">
        <f t="shared" si="90"/>
        <v xml:space="preserve"> </v>
      </c>
      <c r="BG134" s="538">
        <f t="shared" si="101"/>
        <v>0</v>
      </c>
    </row>
    <row r="135" spans="1:62" x14ac:dyDescent="0.2">
      <c r="A135" s="25"/>
      <c r="B135" s="14"/>
      <c r="C135" s="31" t="s">
        <v>899</v>
      </c>
      <c r="D135" s="525"/>
      <c r="E135" s="526">
        <v>62879</v>
      </c>
      <c r="F135" s="516"/>
      <c r="G135" s="516"/>
      <c r="H135" s="516"/>
      <c r="I135" s="516"/>
      <c r="J135" s="516"/>
      <c r="K135" s="517"/>
      <c r="L135" s="516"/>
      <c r="M135" s="516"/>
      <c r="N135" s="516"/>
      <c r="O135" s="516"/>
      <c r="P135" s="518"/>
      <c r="Q135" s="518"/>
      <c r="R135" s="518"/>
      <c r="S135" s="518"/>
      <c r="T135" s="518"/>
      <c r="U135" s="518"/>
      <c r="V135" s="518"/>
      <c r="W135" s="518"/>
      <c r="X135" s="518"/>
      <c r="Y135" s="518"/>
      <c r="Z135" s="518"/>
      <c r="AA135" s="518"/>
      <c r="AB135" s="518"/>
      <c r="AC135" s="518"/>
      <c r="AD135" s="516"/>
      <c r="AE135" s="516"/>
      <c r="AF135" s="516"/>
      <c r="AG135" s="516"/>
      <c r="AH135" s="529">
        <f t="shared" si="97"/>
        <v>0</v>
      </c>
      <c r="AI135" s="503">
        <f t="shared" si="98"/>
        <v>0</v>
      </c>
      <c r="AJ135" s="506">
        <f t="shared" si="93"/>
        <v>0</v>
      </c>
      <c r="AK135" s="519">
        <f t="shared" si="94"/>
        <v>62879</v>
      </c>
      <c r="AL135" s="516"/>
      <c r="AM135" s="516"/>
      <c r="AN135" s="506"/>
      <c r="AO135" s="519"/>
      <c r="AP135" s="520"/>
      <c r="AQ135" s="504"/>
      <c r="AR135" s="503"/>
      <c r="AS135" s="520"/>
      <c r="AT135" s="504"/>
      <c r="AU135" s="521"/>
      <c r="AV135" s="504"/>
      <c r="AW135" s="503"/>
      <c r="AX135" s="520"/>
      <c r="AY135" s="522"/>
      <c r="AZ135" s="523"/>
      <c r="BA135" s="524"/>
      <c r="BB135" s="465">
        <f t="shared" si="99"/>
        <v>0</v>
      </c>
      <c r="BC135" s="465">
        <f t="shared" ref="BC135:BC151" si="107">ROUND(AK135+AM135+AO135+AT135+AY135+BA135,0)</f>
        <v>62879</v>
      </c>
      <c r="BD135" s="506"/>
      <c r="BE135" s="519"/>
      <c r="BF135" s="432" t="str">
        <f t="shared" si="90"/>
        <v xml:space="preserve"> </v>
      </c>
      <c r="BG135" s="538">
        <f>IF(BB135-BC135&gt;0," ",BC135-BB135)</f>
        <v>62879</v>
      </c>
      <c r="BH135" s="1190"/>
    </row>
    <row r="136" spans="1:62" x14ac:dyDescent="0.2">
      <c r="A136" s="25"/>
      <c r="B136" s="267"/>
      <c r="C136" s="248" t="s">
        <v>61</v>
      </c>
      <c r="D136" s="540"/>
      <c r="E136" s="541"/>
      <c r="F136" s="542"/>
      <c r="G136" s="542"/>
      <c r="H136" s="542"/>
      <c r="I136" s="542"/>
      <c r="J136" s="542"/>
      <c r="K136" s="543"/>
      <c r="L136" s="542"/>
      <c r="M136" s="542"/>
      <c r="N136" s="542"/>
      <c r="O136" s="542"/>
      <c r="P136" s="544"/>
      <c r="Q136" s="544"/>
      <c r="R136" s="544"/>
      <c r="S136" s="544"/>
      <c r="T136" s="544"/>
      <c r="U136" s="544"/>
      <c r="V136" s="544"/>
      <c r="W136" s="544"/>
      <c r="X136" s="544"/>
      <c r="Y136" s="544"/>
      <c r="Z136" s="544"/>
      <c r="AA136" s="544"/>
      <c r="AB136" s="544"/>
      <c r="AC136" s="544"/>
      <c r="AD136" s="542"/>
      <c r="AE136" s="542"/>
      <c r="AF136" s="542"/>
      <c r="AG136" s="542"/>
      <c r="AH136" s="545">
        <f t="shared" ref="AH136:AH149" si="108">L136+N136+P136+R136+T136+V136+X136+Z136+AB136+AD136+AF136</f>
        <v>0</v>
      </c>
      <c r="AI136" s="546">
        <f t="shared" ref="AI136:AI149" si="109">M136+O136+Q136+S136+U136+W136+Y136+AA136+AC136+AE136+AG136</f>
        <v>0</v>
      </c>
      <c r="AJ136" s="547">
        <f t="shared" si="93"/>
        <v>0</v>
      </c>
      <c r="AK136" s="548">
        <f t="shared" si="94"/>
        <v>0</v>
      </c>
      <c r="AL136" s="542"/>
      <c r="AM136" s="542">
        <v>11536000</v>
      </c>
      <c r="AN136" s="547"/>
      <c r="AO136" s="548"/>
      <c r="AP136" s="549" t="str">
        <f>'G. Debt Service'!D47</f>
        <v>G.1</v>
      </c>
      <c r="AQ136" s="1288">
        <f>'G. Debt Service'!L47</f>
        <v>611000</v>
      </c>
      <c r="AR136" s="546"/>
      <c r="AS136" s="549"/>
      <c r="AT136" s="550"/>
      <c r="AU136" s="551" t="str">
        <f>'L. Eliminations-Consolidations'!A224</f>
        <v>L.6</v>
      </c>
      <c r="AV136" s="550">
        <f>'L. Eliminations-Consolidations'!J226</f>
        <v>625000</v>
      </c>
      <c r="AW136" s="546"/>
      <c r="AX136" s="549"/>
      <c r="AY136" s="552"/>
      <c r="AZ136" s="523"/>
      <c r="BA136" s="524"/>
      <c r="BB136" s="550">
        <f t="shared" ref="BB136:BB152" si="110">ROUND(AJ136+AL136+AN136+AQ136+AV136+AZ136,0)</f>
        <v>1236000</v>
      </c>
      <c r="BC136" s="550">
        <f t="shared" si="107"/>
        <v>11536000</v>
      </c>
      <c r="BD136" s="547"/>
      <c r="BE136" s="548"/>
      <c r="BF136" s="1106" t="str">
        <f>IF((BB136+BB137)-(BC136+BC137)&lt;=0," ",(BB136+BB137)-(BC136+BC137))</f>
        <v xml:space="preserve"> </v>
      </c>
      <c r="BG136" s="1107">
        <f>IF((BB136+BB137)-(BC136+BC137)&gt;0," ",(BC136+BC137)-(BB136+BB137))</f>
        <v>10665000</v>
      </c>
    </row>
    <row r="137" spans="1:62" x14ac:dyDescent="0.2">
      <c r="A137" s="25"/>
      <c r="B137" s="267"/>
      <c r="C137" s="248"/>
      <c r="D137" s="540"/>
      <c r="E137" s="541"/>
      <c r="F137" s="542"/>
      <c r="G137" s="542"/>
      <c r="H137" s="542"/>
      <c r="I137" s="542"/>
      <c r="J137" s="542"/>
      <c r="K137" s="543"/>
      <c r="L137" s="542"/>
      <c r="M137" s="542"/>
      <c r="N137" s="542"/>
      <c r="O137" s="542"/>
      <c r="P137" s="544"/>
      <c r="Q137" s="544"/>
      <c r="R137" s="544"/>
      <c r="S137" s="544"/>
      <c r="T137" s="544"/>
      <c r="U137" s="544"/>
      <c r="V137" s="544"/>
      <c r="W137" s="544"/>
      <c r="X137" s="544"/>
      <c r="Y137" s="544"/>
      <c r="Z137" s="544"/>
      <c r="AA137" s="544"/>
      <c r="AB137" s="544"/>
      <c r="AC137" s="544"/>
      <c r="AD137" s="542"/>
      <c r="AE137" s="542"/>
      <c r="AF137" s="542"/>
      <c r="AG137" s="542"/>
      <c r="AH137" s="545">
        <f t="shared" si="108"/>
        <v>0</v>
      </c>
      <c r="AI137" s="546">
        <f t="shared" si="109"/>
        <v>0</v>
      </c>
      <c r="AJ137" s="547">
        <f t="shared" si="93"/>
        <v>0</v>
      </c>
      <c r="AK137" s="548">
        <f t="shared" si="94"/>
        <v>0</v>
      </c>
      <c r="AL137" s="542"/>
      <c r="AM137" s="542"/>
      <c r="AN137" s="547"/>
      <c r="AO137" s="548"/>
      <c r="AP137" s="549" t="str">
        <f>'H. Debt Issues'!D78</f>
        <v>H.1</v>
      </c>
      <c r="AQ137" s="1288">
        <f>'H. Debt Issues'!L94</f>
        <v>3000000</v>
      </c>
      <c r="AR137" s="546"/>
      <c r="AS137" s="549" t="str">
        <f>'H. Debt Issues'!D78</f>
        <v>H.1</v>
      </c>
      <c r="AT137" s="1288">
        <f>'H. Debt Issues'!N94</f>
        <v>3365000</v>
      </c>
      <c r="AU137" s="551"/>
      <c r="AV137" s="550"/>
      <c r="AW137" s="546"/>
      <c r="AX137" s="549"/>
      <c r="AY137" s="552"/>
      <c r="AZ137" s="523"/>
      <c r="BA137" s="524"/>
      <c r="BB137" s="550">
        <f t="shared" si="110"/>
        <v>3000000</v>
      </c>
      <c r="BC137" s="550">
        <f t="shared" si="107"/>
        <v>3365000</v>
      </c>
      <c r="BD137" s="547"/>
      <c r="BE137" s="548"/>
      <c r="BF137" s="1106"/>
      <c r="BG137" s="1107"/>
    </row>
    <row r="138" spans="1:62" x14ac:dyDescent="0.2">
      <c r="A138" s="25"/>
      <c r="B138" s="267"/>
      <c r="C138" s="31" t="s">
        <v>474</v>
      </c>
      <c r="D138" s="525"/>
      <c r="E138" s="526"/>
      <c r="F138" s="516"/>
      <c r="G138" s="516"/>
      <c r="H138" s="516"/>
      <c r="I138" s="516"/>
      <c r="J138" s="516"/>
      <c r="K138" s="517"/>
      <c r="L138" s="516"/>
      <c r="M138" s="516"/>
      <c r="N138" s="516"/>
      <c r="O138" s="516"/>
      <c r="P138" s="518"/>
      <c r="Q138" s="518"/>
      <c r="R138" s="518"/>
      <c r="S138" s="518"/>
      <c r="T138" s="518"/>
      <c r="U138" s="518"/>
      <c r="V138" s="518"/>
      <c r="W138" s="518"/>
      <c r="X138" s="518"/>
      <c r="Y138" s="518"/>
      <c r="Z138" s="518"/>
      <c r="AA138" s="518"/>
      <c r="AB138" s="518"/>
      <c r="AC138" s="518"/>
      <c r="AD138" s="516"/>
      <c r="AE138" s="516"/>
      <c r="AF138" s="516"/>
      <c r="AG138" s="516"/>
      <c r="AH138" s="529">
        <f t="shared" si="108"/>
        <v>0</v>
      </c>
      <c r="AI138" s="503">
        <f t="shared" si="109"/>
        <v>0</v>
      </c>
      <c r="AJ138" s="506">
        <f t="shared" si="93"/>
        <v>0</v>
      </c>
      <c r="AK138" s="519">
        <f t="shared" si="94"/>
        <v>0</v>
      </c>
      <c r="AL138" s="516"/>
      <c r="AM138" s="516"/>
      <c r="AN138" s="506"/>
      <c r="AO138" s="519"/>
      <c r="AP138" s="520" t="str">
        <f>'H. Debt Issues'!D78</f>
        <v>H.1</v>
      </c>
      <c r="AQ138" s="504">
        <f>'H. Debt Issues'!L93</f>
        <v>0</v>
      </c>
      <c r="AR138" s="503"/>
      <c r="AS138" s="520" t="str">
        <f>'H. Debt Issues'!D78</f>
        <v>H.1</v>
      </c>
      <c r="AT138" s="504">
        <f>'H. Debt Issues'!N93</f>
        <v>0</v>
      </c>
      <c r="AU138" s="521"/>
      <c r="AV138" s="504"/>
      <c r="AW138" s="503"/>
      <c r="AX138" s="520"/>
      <c r="AY138" s="522"/>
      <c r="AZ138" s="523"/>
      <c r="BA138" s="524"/>
      <c r="BB138" s="465">
        <f t="shared" si="110"/>
        <v>0</v>
      </c>
      <c r="BC138" s="465">
        <f t="shared" si="107"/>
        <v>0</v>
      </c>
      <c r="BD138" s="506"/>
      <c r="BE138" s="519"/>
      <c r="BF138" s="432" t="str">
        <f t="shared" si="90"/>
        <v xml:space="preserve"> </v>
      </c>
      <c r="BG138" s="538">
        <f t="shared" ref="BG138:BG148" si="111">IF(BB138-BC138&gt;0," ",BC138-BB138)</f>
        <v>0</v>
      </c>
    </row>
    <row r="139" spans="1:62" x14ac:dyDescent="0.2">
      <c r="A139" s="25"/>
      <c r="B139" s="267"/>
      <c r="C139" s="31" t="s">
        <v>1035</v>
      </c>
      <c r="D139" s="525"/>
      <c r="E139" s="526"/>
      <c r="F139" s="516"/>
      <c r="G139" s="516"/>
      <c r="H139" s="516"/>
      <c r="I139" s="516"/>
      <c r="J139" s="516"/>
      <c r="K139" s="517"/>
      <c r="L139" s="516"/>
      <c r="M139" s="516"/>
      <c r="N139" s="516"/>
      <c r="O139" s="516"/>
      <c r="P139" s="518"/>
      <c r="Q139" s="518"/>
      <c r="R139" s="518"/>
      <c r="S139" s="518"/>
      <c r="T139" s="518"/>
      <c r="U139" s="518"/>
      <c r="V139" s="518"/>
      <c r="W139" s="518"/>
      <c r="X139" s="518"/>
      <c r="Y139" s="518"/>
      <c r="Z139" s="518"/>
      <c r="AA139" s="518"/>
      <c r="AB139" s="518"/>
      <c r="AC139" s="518"/>
      <c r="AD139" s="516"/>
      <c r="AE139" s="516"/>
      <c r="AF139" s="516"/>
      <c r="AG139" s="516"/>
      <c r="AH139" s="529">
        <f t="shared" si="108"/>
        <v>0</v>
      </c>
      <c r="AI139" s="503">
        <f t="shared" si="109"/>
        <v>0</v>
      </c>
      <c r="AJ139" s="506">
        <f t="shared" si="93"/>
        <v>0</v>
      </c>
      <c r="AK139" s="519">
        <f t="shared" si="94"/>
        <v>0</v>
      </c>
      <c r="AL139" s="516"/>
      <c r="AM139" s="516"/>
      <c r="AN139" s="506"/>
      <c r="AO139" s="519"/>
      <c r="AP139" s="520" t="str">
        <f>'H. Debt Issues'!D78</f>
        <v>H.1</v>
      </c>
      <c r="AQ139" s="504">
        <f>'H. Debt Issues'!L83</f>
        <v>0</v>
      </c>
      <c r="AR139" s="503"/>
      <c r="AS139" s="520" t="str">
        <f>'H. Debt Issues'!D78</f>
        <v>H.1</v>
      </c>
      <c r="AT139" s="504">
        <f>'H. Debt Issues'!N83</f>
        <v>0</v>
      </c>
      <c r="AU139" s="521"/>
      <c r="AV139" s="504"/>
      <c r="AW139" s="503"/>
      <c r="AX139" s="520"/>
      <c r="AY139" s="522"/>
      <c r="AZ139" s="523"/>
      <c r="BA139" s="524"/>
      <c r="BB139" s="465">
        <f t="shared" si="110"/>
        <v>0</v>
      </c>
      <c r="BC139" s="465">
        <f t="shared" si="107"/>
        <v>0</v>
      </c>
      <c r="BD139" s="506"/>
      <c r="BE139" s="519"/>
      <c r="BF139" s="432" t="str">
        <f t="shared" si="90"/>
        <v xml:space="preserve"> </v>
      </c>
      <c r="BG139" s="538">
        <f t="shared" si="111"/>
        <v>0</v>
      </c>
    </row>
    <row r="140" spans="1:62" x14ac:dyDescent="0.2">
      <c r="A140" s="25"/>
      <c r="B140" s="14"/>
      <c r="C140" s="31" t="s">
        <v>62</v>
      </c>
      <c r="D140" s="525"/>
      <c r="E140" s="526"/>
      <c r="F140" s="516"/>
      <c r="G140" s="516"/>
      <c r="H140" s="516"/>
      <c r="I140" s="516"/>
      <c r="J140" s="516"/>
      <c r="K140" s="517"/>
      <c r="L140" s="516"/>
      <c r="M140" s="516"/>
      <c r="N140" s="516"/>
      <c r="O140" s="516"/>
      <c r="P140" s="518"/>
      <c r="Q140" s="518"/>
      <c r="R140" s="518"/>
      <c r="S140" s="518"/>
      <c r="T140" s="518"/>
      <c r="U140" s="518"/>
      <c r="V140" s="518"/>
      <c r="W140" s="518"/>
      <c r="X140" s="518"/>
      <c r="Y140" s="518"/>
      <c r="Z140" s="518"/>
      <c r="AA140" s="518"/>
      <c r="AB140" s="518"/>
      <c r="AC140" s="518"/>
      <c r="AD140" s="516"/>
      <c r="AE140" s="516"/>
      <c r="AF140" s="516"/>
      <c r="AG140" s="516"/>
      <c r="AH140" s="529">
        <f t="shared" si="108"/>
        <v>0</v>
      </c>
      <c r="AI140" s="503">
        <f t="shared" si="109"/>
        <v>0</v>
      </c>
      <c r="AJ140" s="506">
        <f t="shared" si="93"/>
        <v>0</v>
      </c>
      <c r="AK140" s="519">
        <f t="shared" si="94"/>
        <v>0</v>
      </c>
      <c r="AL140" s="516"/>
      <c r="AM140" s="516"/>
      <c r="AN140" s="506"/>
      <c r="AO140" s="519"/>
      <c r="AP140" s="520" t="str">
        <f>'G. Debt Service'!D47</f>
        <v>G.1</v>
      </c>
      <c r="AQ140" s="504">
        <f>'G. Debt Service'!L48</f>
        <v>0</v>
      </c>
      <c r="AR140" s="503"/>
      <c r="AS140" s="520" t="str">
        <f>'H. Debt Issues'!D78</f>
        <v>H.1</v>
      </c>
      <c r="AT140" s="504">
        <f>'H. Debt Issues'!N95</f>
        <v>0</v>
      </c>
      <c r="AU140" s="521"/>
      <c r="AV140" s="504"/>
      <c r="AW140" s="503"/>
      <c r="AX140" s="520"/>
      <c r="AY140" s="522"/>
      <c r="AZ140" s="523"/>
      <c r="BA140" s="524"/>
      <c r="BB140" s="465">
        <f t="shared" si="110"/>
        <v>0</v>
      </c>
      <c r="BC140" s="465">
        <f t="shared" si="107"/>
        <v>0</v>
      </c>
      <c r="BD140" s="506"/>
      <c r="BE140" s="519"/>
      <c r="BF140" s="432" t="str">
        <f t="shared" si="90"/>
        <v xml:space="preserve"> </v>
      </c>
      <c r="BG140" s="538">
        <f t="shared" si="111"/>
        <v>0</v>
      </c>
    </row>
    <row r="141" spans="1:62" x14ac:dyDescent="0.2">
      <c r="A141" s="25"/>
      <c r="B141" s="14"/>
      <c r="C141" s="31" t="s">
        <v>469</v>
      </c>
      <c r="D141" s="525"/>
      <c r="E141" s="526"/>
      <c r="F141" s="516"/>
      <c r="G141" s="516"/>
      <c r="H141" s="516"/>
      <c r="I141" s="516"/>
      <c r="J141" s="516"/>
      <c r="K141" s="517"/>
      <c r="L141" s="516"/>
      <c r="M141" s="516"/>
      <c r="N141" s="516"/>
      <c r="O141" s="516"/>
      <c r="P141" s="518"/>
      <c r="Q141" s="518"/>
      <c r="R141" s="518"/>
      <c r="S141" s="518"/>
      <c r="T141" s="518"/>
      <c r="U141" s="518"/>
      <c r="V141" s="518"/>
      <c r="W141" s="518"/>
      <c r="X141" s="518"/>
      <c r="Y141" s="518"/>
      <c r="Z141" s="518"/>
      <c r="AA141" s="518"/>
      <c r="AB141" s="518"/>
      <c r="AC141" s="518"/>
      <c r="AD141" s="516"/>
      <c r="AE141" s="516"/>
      <c r="AF141" s="516"/>
      <c r="AG141" s="516"/>
      <c r="AH141" s="529">
        <f t="shared" si="108"/>
        <v>0</v>
      </c>
      <c r="AI141" s="503">
        <f t="shared" si="109"/>
        <v>0</v>
      </c>
      <c r="AJ141" s="506">
        <f t="shared" si="93"/>
        <v>0</v>
      </c>
      <c r="AK141" s="519">
        <f t="shared" si="94"/>
        <v>0</v>
      </c>
      <c r="AL141" s="516"/>
      <c r="AM141" s="516"/>
      <c r="AN141" s="506"/>
      <c r="AO141" s="519"/>
      <c r="AP141" s="520" t="str">
        <f>'G. Debt Service'!D47</f>
        <v>G.1</v>
      </c>
      <c r="AQ141" s="504">
        <f>'G. Debt Service'!L49</f>
        <v>0</v>
      </c>
      <c r="AR141" s="503"/>
      <c r="AS141" s="520" t="str">
        <f>'H. Debt Issues'!D78</f>
        <v>H.1</v>
      </c>
      <c r="AT141" s="1288">
        <f>'H. Debt Issues'!N96</f>
        <v>1200000</v>
      </c>
      <c r="AU141" s="521" t="str">
        <f>'L. Eliminations-Consolidations'!A224</f>
        <v>L.6</v>
      </c>
      <c r="AV141" s="504">
        <f>'L. Eliminations-Consolidations'!J225</f>
        <v>171429</v>
      </c>
      <c r="AW141" s="503"/>
      <c r="AX141" s="520"/>
      <c r="AY141" s="522"/>
      <c r="AZ141" s="523"/>
      <c r="BA141" s="524"/>
      <c r="BB141" s="465">
        <f t="shared" si="110"/>
        <v>171429</v>
      </c>
      <c r="BC141" s="465">
        <f t="shared" si="107"/>
        <v>1200000</v>
      </c>
      <c r="BD141" s="506"/>
      <c r="BE141" s="519"/>
      <c r="BF141" s="432" t="str">
        <f t="shared" si="90"/>
        <v xml:space="preserve"> </v>
      </c>
      <c r="BG141" s="538">
        <f t="shared" si="111"/>
        <v>1028571</v>
      </c>
    </row>
    <row r="142" spans="1:62" x14ac:dyDescent="0.2">
      <c r="A142" s="25"/>
      <c r="B142" s="14"/>
      <c r="C142" s="31" t="s">
        <v>4105</v>
      </c>
      <c r="D142" s="525"/>
      <c r="E142" s="526"/>
      <c r="F142" s="516"/>
      <c r="G142" s="516"/>
      <c r="H142" s="516"/>
      <c r="I142" s="516"/>
      <c r="J142" s="516"/>
      <c r="K142" s="517"/>
      <c r="L142" s="516"/>
      <c r="M142" s="516"/>
      <c r="N142" s="516"/>
      <c r="O142" s="516"/>
      <c r="P142" s="518"/>
      <c r="Q142" s="518"/>
      <c r="R142" s="518"/>
      <c r="S142" s="518"/>
      <c r="T142" s="518"/>
      <c r="U142" s="518"/>
      <c r="V142" s="518"/>
      <c r="W142" s="518"/>
      <c r="X142" s="518"/>
      <c r="Y142" s="518"/>
      <c r="Z142" s="518"/>
      <c r="AA142" s="518"/>
      <c r="AB142" s="518"/>
      <c r="AC142" s="518"/>
      <c r="AD142" s="516"/>
      <c r="AE142" s="516"/>
      <c r="AF142" s="516"/>
      <c r="AG142" s="516"/>
      <c r="AH142" s="529">
        <f t="shared" si="108"/>
        <v>0</v>
      </c>
      <c r="AI142" s="503">
        <f t="shared" si="109"/>
        <v>0</v>
      </c>
      <c r="AJ142" s="506">
        <f t="shared" si="93"/>
        <v>0</v>
      </c>
      <c r="AK142" s="519">
        <f t="shared" si="94"/>
        <v>0</v>
      </c>
      <c r="AL142" s="516"/>
      <c r="AM142" s="516"/>
      <c r="AN142" s="506"/>
      <c r="AO142" s="519"/>
      <c r="AP142" s="520" t="str">
        <f>'G. Debt Service'!D47</f>
        <v>G.1</v>
      </c>
      <c r="AQ142" s="1288">
        <f>'G. Debt Service'!L50</f>
        <v>18219</v>
      </c>
      <c r="AR142" s="503"/>
      <c r="AS142" s="520" t="str">
        <f>'H. Debt Issues'!D78</f>
        <v>H.1</v>
      </c>
      <c r="AT142" s="1288">
        <f>'H. Debt Issues'!N97</f>
        <v>279755</v>
      </c>
      <c r="AU142" s="521" t="str">
        <f>'L. Eliminations-Consolidations'!A224</f>
        <v>L.6</v>
      </c>
      <c r="AV142" s="504">
        <f>'L. Eliminations-Consolidations'!J228</f>
        <v>44777</v>
      </c>
      <c r="AW142" s="503"/>
      <c r="AX142" s="520"/>
      <c r="AY142" s="522"/>
      <c r="AZ142" s="523"/>
      <c r="BA142" s="524"/>
      <c r="BB142" s="465">
        <f t="shared" si="110"/>
        <v>62996</v>
      </c>
      <c r="BC142" s="465">
        <f t="shared" si="107"/>
        <v>279755</v>
      </c>
      <c r="BD142" s="506"/>
      <c r="BE142" s="519"/>
      <c r="BF142" s="432" t="str">
        <f t="shared" si="90"/>
        <v xml:space="preserve"> </v>
      </c>
      <c r="BG142" s="538">
        <f t="shared" si="111"/>
        <v>216759</v>
      </c>
    </row>
    <row r="143" spans="1:62" s="1263" customFormat="1" x14ac:dyDescent="0.2">
      <c r="A143" s="25"/>
      <c r="B143" s="14"/>
      <c r="C143" s="1264" t="s">
        <v>4129</v>
      </c>
      <c r="D143" s="525"/>
      <c r="E143" s="526"/>
      <c r="F143" s="516"/>
      <c r="G143" s="516"/>
      <c r="H143" s="516"/>
      <c r="I143" s="516"/>
      <c r="J143" s="516"/>
      <c r="K143" s="517"/>
      <c r="L143" s="516"/>
      <c r="M143" s="516"/>
      <c r="N143" s="516"/>
      <c r="O143" s="516"/>
      <c r="P143" s="518"/>
      <c r="Q143" s="518"/>
      <c r="R143" s="518"/>
      <c r="S143" s="518"/>
      <c r="T143" s="518"/>
      <c r="U143" s="518"/>
      <c r="V143" s="518"/>
      <c r="W143" s="518"/>
      <c r="X143" s="518"/>
      <c r="Y143" s="518"/>
      <c r="Z143" s="518"/>
      <c r="AA143" s="518"/>
      <c r="AB143" s="518"/>
      <c r="AC143" s="518"/>
      <c r="AD143" s="516"/>
      <c r="AE143" s="516"/>
      <c r="AF143" s="516"/>
      <c r="AG143" s="516"/>
      <c r="AH143" s="529">
        <f t="shared" ref="AH143" si="112">L143+N143+P143+R143+T143+V143+X143+Z143+AB143+AD143+AF143</f>
        <v>0</v>
      </c>
      <c r="AI143" s="503">
        <f t="shared" ref="AI143" si="113">M143+O143+Q143+S143+U143+W143+Y143+AA143+AC143+AE143+AG143</f>
        <v>0</v>
      </c>
      <c r="AJ143" s="506">
        <f t="shared" ref="AJ143" si="114">D143+F143+H143+J143+AH143</f>
        <v>0</v>
      </c>
      <c r="AK143" s="519">
        <f t="shared" ref="AK143" si="115">E143+G143+I143+K143+AI143</f>
        <v>0</v>
      </c>
      <c r="AL143" s="516"/>
      <c r="AM143" s="516">
        <v>23557</v>
      </c>
      <c r="AN143" s="506"/>
      <c r="AO143" s="519"/>
      <c r="AP143" s="520" t="str">
        <f>'G. Debt Service'!D47</f>
        <v>G.1</v>
      </c>
      <c r="AQ143" s="1288">
        <f>'G. Debt Service'!L51</f>
        <v>21705</v>
      </c>
      <c r="AR143" s="503"/>
      <c r="AS143" s="520" t="str">
        <f>'H. Debt Issues'!D78</f>
        <v>H.1</v>
      </c>
      <c r="AT143" s="1288">
        <f>'H. Debt Issues'!N98</f>
        <v>48781</v>
      </c>
      <c r="AU143" s="521" t="str">
        <f>'L. Eliminations-Consolidations'!A224</f>
        <v>L.6</v>
      </c>
      <c r="AV143" s="504">
        <f>'L. Eliminations-Consolidations'!J229</f>
        <v>21367</v>
      </c>
      <c r="AW143" s="503"/>
      <c r="AX143" s="520"/>
      <c r="AY143" s="522"/>
      <c r="AZ143" s="523"/>
      <c r="BA143" s="524"/>
      <c r="BB143" s="465">
        <f t="shared" ref="BB143" si="116">ROUND(AJ143+AL143+AN143+AQ143+AV143+AZ143,0)</f>
        <v>43072</v>
      </c>
      <c r="BC143" s="465">
        <f>ROUND(AK143+AF143+AM143+AO143+AT143+AY143+BA143,0)</f>
        <v>72338</v>
      </c>
      <c r="BD143" s="506"/>
      <c r="BE143" s="519"/>
      <c r="BF143" s="432" t="str">
        <f t="shared" ref="BF143" si="117">IF(BB143-BC143&lt;=0," ",BB143-BC143)</f>
        <v xml:space="preserve"> </v>
      </c>
      <c r="BG143" s="538">
        <f t="shared" ref="BG143" si="118">IF(BB143-BC143&gt;0," ",BC143-BB143)</f>
        <v>29266</v>
      </c>
      <c r="BH143" s="1189"/>
      <c r="BI143" s="1193"/>
      <c r="BJ143" s="1206"/>
    </row>
    <row r="144" spans="1:62" x14ac:dyDescent="0.2">
      <c r="A144" s="25"/>
      <c r="B144" s="14"/>
      <c r="C144" s="31" t="s">
        <v>477</v>
      </c>
      <c r="D144" s="525"/>
      <c r="E144" s="526"/>
      <c r="F144" s="516"/>
      <c r="G144" s="516"/>
      <c r="H144" s="516"/>
      <c r="I144" s="516"/>
      <c r="J144" s="516"/>
      <c r="K144" s="517"/>
      <c r="L144" s="516"/>
      <c r="M144" s="516"/>
      <c r="N144" s="516"/>
      <c r="O144" s="516"/>
      <c r="P144" s="518"/>
      <c r="Q144" s="518"/>
      <c r="R144" s="518"/>
      <c r="S144" s="518"/>
      <c r="T144" s="518"/>
      <c r="U144" s="518"/>
      <c r="V144" s="518"/>
      <c r="W144" s="518"/>
      <c r="X144" s="518"/>
      <c r="Y144" s="518"/>
      <c r="Z144" s="518"/>
      <c r="AA144" s="518"/>
      <c r="AB144" s="518"/>
      <c r="AC144" s="518"/>
      <c r="AD144" s="516"/>
      <c r="AE144" s="516"/>
      <c r="AF144" s="516"/>
      <c r="AG144" s="516"/>
      <c r="AH144" s="529">
        <f t="shared" si="108"/>
        <v>0</v>
      </c>
      <c r="AI144" s="503">
        <f t="shared" si="109"/>
        <v>0</v>
      </c>
      <c r="AJ144" s="506">
        <f t="shared" si="93"/>
        <v>0</v>
      </c>
      <c r="AK144" s="519">
        <f t="shared" si="94"/>
        <v>0</v>
      </c>
      <c r="AL144" s="516"/>
      <c r="AM144" s="516"/>
      <c r="AN144" s="506"/>
      <c r="AO144" s="519"/>
      <c r="AP144" s="520"/>
      <c r="AQ144" s="504"/>
      <c r="AR144" s="503"/>
      <c r="AS144" s="520"/>
      <c r="AT144" s="504"/>
      <c r="AU144" s="521" t="str">
        <f>'L. Eliminations-Consolidations'!A224</f>
        <v>L.6</v>
      </c>
      <c r="AV144" s="504">
        <f>'L. Eliminations-Consolidations'!J227</f>
        <v>0</v>
      </c>
      <c r="AW144" s="503"/>
      <c r="AX144" s="530" t="s">
        <v>637</v>
      </c>
      <c r="AY144" s="432">
        <f>'K.1  Int. Service Fd Allocation'!G192+'K.2  Int. Service Fd Alloca'!G187+'K.3 Int. Service Fd Alloca'!G187</f>
        <v>0</v>
      </c>
      <c r="AZ144" s="555"/>
      <c r="BA144" s="524"/>
      <c r="BB144" s="465">
        <f t="shared" si="110"/>
        <v>0</v>
      </c>
      <c r="BC144" s="465">
        <f t="shared" si="107"/>
        <v>0</v>
      </c>
      <c r="BD144" s="506"/>
      <c r="BE144" s="519"/>
      <c r="BF144" s="432" t="str">
        <f t="shared" si="90"/>
        <v xml:space="preserve"> </v>
      </c>
      <c r="BG144" s="538">
        <f t="shared" si="111"/>
        <v>0</v>
      </c>
    </row>
    <row r="145" spans="1:62" x14ac:dyDescent="0.2">
      <c r="A145" s="25"/>
      <c r="B145" s="14"/>
      <c r="C145" s="31" t="s">
        <v>900</v>
      </c>
      <c r="D145" s="525"/>
      <c r="E145" s="526"/>
      <c r="F145" s="516"/>
      <c r="G145" s="516"/>
      <c r="H145" s="516"/>
      <c r="I145" s="516"/>
      <c r="J145" s="516"/>
      <c r="K145" s="517"/>
      <c r="L145" s="516"/>
      <c r="M145" s="516"/>
      <c r="N145" s="516"/>
      <c r="O145" s="516"/>
      <c r="P145" s="518"/>
      <c r="Q145" s="518"/>
      <c r="R145" s="518"/>
      <c r="S145" s="518"/>
      <c r="T145" s="518"/>
      <c r="U145" s="518"/>
      <c r="V145" s="518"/>
      <c r="W145" s="518"/>
      <c r="X145" s="518"/>
      <c r="Y145" s="518"/>
      <c r="Z145" s="518"/>
      <c r="AA145" s="518"/>
      <c r="AB145" s="518"/>
      <c r="AC145" s="518"/>
      <c r="AD145" s="516"/>
      <c r="AE145" s="516"/>
      <c r="AF145" s="516"/>
      <c r="AG145" s="516"/>
      <c r="AH145" s="529">
        <f t="shared" si="108"/>
        <v>0</v>
      </c>
      <c r="AI145" s="503">
        <f t="shared" si="109"/>
        <v>0</v>
      </c>
      <c r="AJ145" s="506">
        <f t="shared" si="93"/>
        <v>0</v>
      </c>
      <c r="AK145" s="519">
        <f t="shared" si="94"/>
        <v>0</v>
      </c>
      <c r="AL145" s="516"/>
      <c r="AM145" s="516">
        <f>375360</f>
        <v>375360</v>
      </c>
      <c r="AN145" s="506"/>
      <c r="AO145" s="519"/>
      <c r="AP145" s="520" t="str">
        <f>'J. Other Liability &amp; Expenses'!D203</f>
        <v>J.1</v>
      </c>
      <c r="AQ145" s="504"/>
      <c r="AR145" s="503"/>
      <c r="AS145" s="520" t="str">
        <f>'J. Other Liability &amp; Expenses'!D203</f>
        <v>J.1</v>
      </c>
      <c r="AT145" s="504">
        <f>'J. Other Liability &amp; Expenses'!N214</f>
        <v>87925</v>
      </c>
      <c r="AU145" s="521" t="str">
        <f>'L. Eliminations-Consolidations'!A224</f>
        <v>L.6</v>
      </c>
      <c r="AV145" s="504">
        <f>'L. Eliminations-Consolidations'!J230</f>
        <v>0</v>
      </c>
      <c r="AW145" s="503"/>
      <c r="AX145" s="530" t="s">
        <v>637</v>
      </c>
      <c r="AY145" s="432">
        <f>'K.1  Int. Service Fd Allocation'!G189+'K.2  Int. Service Fd Alloca'!G184+'K.3 Int. Service Fd Alloca'!G184</f>
        <v>0</v>
      </c>
      <c r="AZ145" s="555"/>
      <c r="BA145" s="524"/>
      <c r="BB145" s="465">
        <f t="shared" si="110"/>
        <v>0</v>
      </c>
      <c r="BC145" s="465">
        <f t="shared" si="107"/>
        <v>463285</v>
      </c>
      <c r="BD145" s="506"/>
      <c r="BE145" s="519"/>
      <c r="BF145" s="432" t="str">
        <f t="shared" si="90"/>
        <v xml:space="preserve"> </v>
      </c>
      <c r="BG145" s="538">
        <f t="shared" si="111"/>
        <v>463285</v>
      </c>
      <c r="BH145" s="1195"/>
    </row>
    <row r="146" spans="1:62" x14ac:dyDescent="0.2">
      <c r="A146" s="25"/>
      <c r="B146" s="14"/>
      <c r="C146" s="31" t="s">
        <v>204</v>
      </c>
      <c r="D146" s="525"/>
      <c r="E146" s="526"/>
      <c r="F146" s="516"/>
      <c r="G146" s="516"/>
      <c r="H146" s="516"/>
      <c r="I146" s="516"/>
      <c r="J146" s="516"/>
      <c r="K146" s="517"/>
      <c r="L146" s="516"/>
      <c r="M146" s="516"/>
      <c r="N146" s="516"/>
      <c r="O146" s="516"/>
      <c r="P146" s="518"/>
      <c r="Q146" s="518"/>
      <c r="R146" s="518"/>
      <c r="S146" s="518"/>
      <c r="T146" s="518"/>
      <c r="U146" s="518"/>
      <c r="V146" s="518"/>
      <c r="W146" s="518"/>
      <c r="X146" s="518"/>
      <c r="Y146" s="518"/>
      <c r="Z146" s="518"/>
      <c r="AA146" s="518"/>
      <c r="AB146" s="518"/>
      <c r="AC146" s="518"/>
      <c r="AD146" s="516"/>
      <c r="AE146" s="516"/>
      <c r="AF146" s="516"/>
      <c r="AG146" s="516"/>
      <c r="AH146" s="529">
        <f t="shared" si="108"/>
        <v>0</v>
      </c>
      <c r="AI146" s="503">
        <f t="shared" si="109"/>
        <v>0</v>
      </c>
      <c r="AJ146" s="506">
        <f t="shared" si="93"/>
        <v>0</v>
      </c>
      <c r="AK146" s="519">
        <f t="shared" si="94"/>
        <v>0</v>
      </c>
      <c r="AL146" s="516"/>
      <c r="AM146" s="516"/>
      <c r="AN146" s="506"/>
      <c r="AO146" s="519"/>
      <c r="AP146" s="520"/>
      <c r="AQ146" s="504"/>
      <c r="AR146" s="503"/>
      <c r="AS146" s="520" t="str">
        <f>'J. Other Liability &amp; Expenses'!D203</f>
        <v>J.1</v>
      </c>
      <c r="AT146" s="504">
        <f>'J. Other Liability &amp; Expenses'!N217</f>
        <v>0</v>
      </c>
      <c r="AU146" s="521" t="str">
        <f>'L. Eliminations-Consolidations'!A224</f>
        <v>L.6</v>
      </c>
      <c r="AV146" s="504">
        <f>'L. Eliminations-Consolidations'!J224</f>
        <v>0</v>
      </c>
      <c r="AW146" s="503"/>
      <c r="AX146" s="530" t="s">
        <v>637</v>
      </c>
      <c r="AY146" s="432">
        <f>'K.1  Int. Service Fd Allocation'!G190+'K.2  Int. Service Fd Alloca'!G185+'K.3 Int. Service Fd Alloca'!G185</f>
        <v>0</v>
      </c>
      <c r="AZ146" s="555"/>
      <c r="BA146" s="524"/>
      <c r="BB146" s="465">
        <f t="shared" si="110"/>
        <v>0</v>
      </c>
      <c r="BC146" s="465">
        <f t="shared" si="107"/>
        <v>0</v>
      </c>
      <c r="BD146" s="506"/>
      <c r="BE146" s="519"/>
      <c r="BF146" s="432" t="str">
        <f t="shared" si="90"/>
        <v xml:space="preserve"> </v>
      </c>
      <c r="BG146" s="538">
        <f t="shared" si="111"/>
        <v>0</v>
      </c>
    </row>
    <row r="147" spans="1:62" x14ac:dyDescent="0.2">
      <c r="A147" s="25"/>
      <c r="B147" s="14"/>
      <c r="C147" s="335" t="s">
        <v>654</v>
      </c>
      <c r="D147" s="525"/>
      <c r="E147" s="526"/>
      <c r="F147" s="516"/>
      <c r="G147" s="516"/>
      <c r="H147" s="516"/>
      <c r="I147" s="516"/>
      <c r="J147" s="516"/>
      <c r="K147" s="517"/>
      <c r="L147" s="516"/>
      <c r="M147" s="516"/>
      <c r="N147" s="516"/>
      <c r="O147" s="516"/>
      <c r="P147" s="518"/>
      <c r="Q147" s="518"/>
      <c r="R147" s="518"/>
      <c r="S147" s="518"/>
      <c r="T147" s="518"/>
      <c r="U147" s="518"/>
      <c r="V147" s="518"/>
      <c r="W147" s="518"/>
      <c r="X147" s="518"/>
      <c r="Y147" s="518"/>
      <c r="Z147" s="518"/>
      <c r="AA147" s="518"/>
      <c r="AB147" s="518"/>
      <c r="AC147" s="518"/>
      <c r="AD147" s="516"/>
      <c r="AE147" s="516"/>
      <c r="AF147" s="516"/>
      <c r="AG147" s="516"/>
      <c r="AH147" s="529">
        <f t="shared" si="108"/>
        <v>0</v>
      </c>
      <c r="AI147" s="503">
        <f t="shared" si="109"/>
        <v>0</v>
      </c>
      <c r="AJ147" s="506">
        <f t="shared" si="93"/>
        <v>0</v>
      </c>
      <c r="AK147" s="519">
        <f t="shared" si="94"/>
        <v>0</v>
      </c>
      <c r="AL147" s="516"/>
      <c r="AM147" s="516"/>
      <c r="AN147" s="506"/>
      <c r="AO147" s="519"/>
      <c r="AP147" s="520" t="str">
        <f>'J. Other Liability &amp; Expenses'!D203</f>
        <v>J.1</v>
      </c>
      <c r="AQ147" s="504">
        <f>'J. Other Liability &amp; Expenses'!L218</f>
        <v>0</v>
      </c>
      <c r="AR147" s="503"/>
      <c r="AS147" s="520" t="str">
        <f>'J. Other Liability &amp; Expenses'!D203</f>
        <v>J.1</v>
      </c>
      <c r="AT147" s="504">
        <f>'J. Other Liability &amp; Expenses'!N218</f>
        <v>0</v>
      </c>
      <c r="AU147" s="521" t="str">
        <f>'L. Eliminations-Consolidations'!A224</f>
        <v>L.6</v>
      </c>
      <c r="AV147" s="504">
        <f>'L. Eliminations-Consolidations'!J231</f>
        <v>0</v>
      </c>
      <c r="AW147" s="503"/>
      <c r="AX147" s="520"/>
      <c r="AY147" s="522"/>
      <c r="AZ147" s="523"/>
      <c r="BA147" s="524"/>
      <c r="BB147" s="465">
        <f t="shared" si="110"/>
        <v>0</v>
      </c>
      <c r="BC147" s="465">
        <f t="shared" si="107"/>
        <v>0</v>
      </c>
      <c r="BD147" s="506"/>
      <c r="BE147" s="519"/>
      <c r="BF147" s="432" t="str">
        <f t="shared" si="90"/>
        <v xml:space="preserve"> </v>
      </c>
      <c r="BG147" s="538">
        <f t="shared" si="111"/>
        <v>0</v>
      </c>
    </row>
    <row r="148" spans="1:62" x14ac:dyDescent="0.2">
      <c r="A148" s="25"/>
      <c r="B148" s="14"/>
      <c r="C148" s="335" t="s">
        <v>655</v>
      </c>
      <c r="D148" s="525"/>
      <c r="E148" s="526"/>
      <c r="F148" s="516"/>
      <c r="G148" s="516"/>
      <c r="H148" s="516"/>
      <c r="I148" s="516"/>
      <c r="J148" s="516"/>
      <c r="K148" s="517"/>
      <c r="L148" s="516"/>
      <c r="M148" s="516"/>
      <c r="N148" s="516"/>
      <c r="O148" s="516"/>
      <c r="P148" s="518"/>
      <c r="Q148" s="518"/>
      <c r="R148" s="518"/>
      <c r="S148" s="518"/>
      <c r="T148" s="518"/>
      <c r="U148" s="518"/>
      <c r="V148" s="518"/>
      <c r="W148" s="518"/>
      <c r="X148" s="518"/>
      <c r="Y148" s="518"/>
      <c r="Z148" s="518"/>
      <c r="AA148" s="518"/>
      <c r="AB148" s="518"/>
      <c r="AC148" s="518"/>
      <c r="AD148" s="516"/>
      <c r="AE148" s="516"/>
      <c r="AF148" s="516"/>
      <c r="AG148" s="516"/>
      <c r="AH148" s="529">
        <f t="shared" si="108"/>
        <v>0</v>
      </c>
      <c r="AI148" s="503">
        <f t="shared" si="109"/>
        <v>0</v>
      </c>
      <c r="AJ148" s="506">
        <f t="shared" si="93"/>
        <v>0</v>
      </c>
      <c r="AK148" s="519">
        <f t="shared" si="94"/>
        <v>0</v>
      </c>
      <c r="AL148" s="516"/>
      <c r="AM148" s="516"/>
      <c r="AN148" s="506"/>
      <c r="AO148" s="519"/>
      <c r="AP148" s="520" t="str">
        <f>'J. Other Liability &amp; Expenses'!D203</f>
        <v>J.1</v>
      </c>
      <c r="AQ148" s="504">
        <f>'J. Other Liability &amp; Expenses'!L219</f>
        <v>0</v>
      </c>
      <c r="AR148" s="503"/>
      <c r="AS148" s="520" t="str">
        <f>'J. Other Liability &amp; Expenses'!D203</f>
        <v>J.1</v>
      </c>
      <c r="AT148" s="504">
        <f>'J. Other Liability &amp; Expenses'!N219</f>
        <v>0</v>
      </c>
      <c r="AU148" s="521" t="str">
        <f>'L. Eliminations-Consolidations'!A224</f>
        <v>L.6</v>
      </c>
      <c r="AV148" s="504">
        <f>'L. Eliminations-Consolidations'!J232</f>
        <v>0</v>
      </c>
      <c r="AW148" s="503"/>
      <c r="AX148" s="520"/>
      <c r="AY148" s="522"/>
      <c r="AZ148" s="523"/>
      <c r="BA148" s="524"/>
      <c r="BB148" s="465">
        <f t="shared" si="110"/>
        <v>0</v>
      </c>
      <c r="BC148" s="465">
        <f t="shared" si="107"/>
        <v>0</v>
      </c>
      <c r="BD148" s="506"/>
      <c r="BE148" s="519"/>
      <c r="BF148" s="432" t="str">
        <f t="shared" si="90"/>
        <v xml:space="preserve"> </v>
      </c>
      <c r="BG148" s="538">
        <f t="shared" si="111"/>
        <v>0</v>
      </c>
    </row>
    <row r="149" spans="1:62" x14ac:dyDescent="0.2">
      <c r="A149" s="25"/>
      <c r="B149" s="14"/>
      <c r="C149" s="31" t="s">
        <v>2617</v>
      </c>
      <c r="D149" s="525"/>
      <c r="E149" s="526"/>
      <c r="F149" s="516"/>
      <c r="G149" s="516"/>
      <c r="H149" s="516"/>
      <c r="I149" s="516"/>
      <c r="J149" s="516"/>
      <c r="K149" s="517"/>
      <c r="L149" s="516"/>
      <c r="M149" s="516"/>
      <c r="N149" s="516"/>
      <c r="O149" s="516"/>
      <c r="P149" s="518"/>
      <c r="Q149" s="518"/>
      <c r="R149" s="518"/>
      <c r="S149" s="518"/>
      <c r="T149" s="518"/>
      <c r="U149" s="518"/>
      <c r="V149" s="518"/>
      <c r="W149" s="518"/>
      <c r="X149" s="518"/>
      <c r="Y149" s="518"/>
      <c r="Z149" s="518"/>
      <c r="AA149" s="518"/>
      <c r="AB149" s="518"/>
      <c r="AC149" s="518"/>
      <c r="AD149" s="516"/>
      <c r="AE149" s="516"/>
      <c r="AF149" s="516"/>
      <c r="AG149" s="516"/>
      <c r="AH149" s="529">
        <f t="shared" si="108"/>
        <v>0</v>
      </c>
      <c r="AI149" s="503">
        <f t="shared" si="109"/>
        <v>0</v>
      </c>
      <c r="AJ149" s="506">
        <f t="shared" si="93"/>
        <v>0</v>
      </c>
      <c r="AK149" s="519">
        <f t="shared" si="94"/>
        <v>0</v>
      </c>
      <c r="AL149" s="516"/>
      <c r="AM149" s="516">
        <f>'N.1 GASB 68 LGERS'!C75*'N.1 GASB 68 LGERS'!H39</f>
        <v>3857799</v>
      </c>
      <c r="AN149" s="506"/>
      <c r="AO149" s="519"/>
      <c r="AP149" s="520" t="s">
        <v>2050</v>
      </c>
      <c r="AQ149" s="504">
        <f>'N.1 GASB 68 LGERS'!C96</f>
        <v>0</v>
      </c>
      <c r="AR149" s="503" t="s">
        <v>2050</v>
      </c>
      <c r="AS149" s="520"/>
      <c r="AT149" s="504">
        <f>'N.1 GASB 68 LGERS'!D96</f>
        <v>2075808</v>
      </c>
      <c r="AU149" s="521"/>
      <c r="AV149" s="504"/>
      <c r="AW149" s="503"/>
      <c r="AX149" s="520"/>
      <c r="AY149" s="522"/>
      <c r="AZ149" s="523"/>
      <c r="BA149" s="524"/>
      <c r="BB149" s="465">
        <f t="shared" si="110"/>
        <v>0</v>
      </c>
      <c r="BC149" s="465">
        <f t="shared" si="107"/>
        <v>5933607</v>
      </c>
      <c r="BD149" s="506"/>
      <c r="BE149" s="519"/>
      <c r="BF149" s="504" t="str">
        <f t="shared" si="90"/>
        <v xml:space="preserve"> </v>
      </c>
      <c r="BG149" s="538">
        <f>IF(BB149-BC149&gt;0," ",BC149-BB149)</f>
        <v>5933607</v>
      </c>
    </row>
    <row r="150" spans="1:62" s="754" customFormat="1" ht="12.75" hidden="1" customHeight="1" x14ac:dyDescent="0.2">
      <c r="A150" s="25"/>
      <c r="B150" s="14"/>
      <c r="C150" s="756" t="s">
        <v>2618</v>
      </c>
      <c r="D150" s="525"/>
      <c r="E150" s="526"/>
      <c r="F150" s="516"/>
      <c r="G150" s="516"/>
      <c r="H150" s="516"/>
      <c r="I150" s="516"/>
      <c r="J150" s="516"/>
      <c r="K150" s="517"/>
      <c r="L150" s="516"/>
      <c r="M150" s="516"/>
      <c r="N150" s="516"/>
      <c r="O150" s="516"/>
      <c r="P150" s="518"/>
      <c r="Q150" s="518"/>
      <c r="R150" s="518"/>
      <c r="S150" s="518"/>
      <c r="T150" s="518"/>
      <c r="U150" s="518"/>
      <c r="V150" s="518"/>
      <c r="W150" s="518"/>
      <c r="X150" s="518"/>
      <c r="Y150" s="518"/>
      <c r="Z150" s="518"/>
      <c r="AA150" s="518"/>
      <c r="AB150" s="518"/>
      <c r="AC150" s="518"/>
      <c r="AD150" s="516"/>
      <c r="AE150" s="516"/>
      <c r="AF150" s="516"/>
      <c r="AG150" s="516"/>
      <c r="AH150" s="529"/>
      <c r="AI150" s="503"/>
      <c r="AJ150" s="506"/>
      <c r="AK150" s="519"/>
      <c r="AM150" s="516">
        <f>'J. Other Liability &amp; Expenses'!N87</f>
        <v>0</v>
      </c>
      <c r="AN150" s="506"/>
      <c r="AO150" s="519"/>
      <c r="AP150" s="520" t="s">
        <v>475</v>
      </c>
      <c r="AQ150" s="504">
        <f>'J. Other Liability &amp; Expenses'!L220</f>
        <v>0</v>
      </c>
      <c r="AR150" s="503"/>
      <c r="AS150" s="520" t="str">
        <f>'J. Other Liability &amp; Expenses'!D203</f>
        <v>J.1</v>
      </c>
      <c r="AT150" s="504">
        <f>'J. Other Liability &amp; Expenses'!N220</f>
        <v>0</v>
      </c>
      <c r="AU150" s="521"/>
      <c r="AV150" s="504"/>
      <c r="AW150" s="503"/>
      <c r="AX150" s="520"/>
      <c r="AY150" s="522"/>
      <c r="AZ150" s="523"/>
      <c r="BA150" s="524"/>
      <c r="BB150" s="1040">
        <f t="shared" si="110"/>
        <v>0</v>
      </c>
      <c r="BC150" s="1040">
        <f t="shared" si="107"/>
        <v>0</v>
      </c>
      <c r="BD150" s="506"/>
      <c r="BE150" s="519"/>
      <c r="BF150" s="504" t="str">
        <f>IF(BB150-BC150&lt;=0," ",BB150-BC150)</f>
        <v xml:space="preserve"> </v>
      </c>
      <c r="BG150" s="538">
        <f>IF(BB150-BC150&gt;0," ",BC150-BB150)</f>
        <v>0</v>
      </c>
      <c r="BH150" s="1189"/>
      <c r="BI150" s="1193"/>
      <c r="BJ150" s="1206"/>
    </row>
    <row r="151" spans="1:62" s="1030" customFormat="1" x14ac:dyDescent="0.2">
      <c r="A151" s="33"/>
      <c r="B151" s="1029"/>
      <c r="C151" s="1029" t="s">
        <v>3581</v>
      </c>
      <c r="D151" s="531"/>
      <c r="E151" s="532"/>
      <c r="F151" s="528"/>
      <c r="G151" s="528"/>
      <c r="H151" s="528"/>
      <c r="I151" s="528"/>
      <c r="J151" s="528"/>
      <c r="K151" s="533"/>
      <c r="L151" s="528"/>
      <c r="M151" s="528"/>
      <c r="N151" s="528"/>
      <c r="O151" s="528"/>
      <c r="P151" s="527"/>
      <c r="Q151" s="527"/>
      <c r="R151" s="527"/>
      <c r="S151" s="527"/>
      <c r="T151" s="527"/>
      <c r="U151" s="527"/>
      <c r="V151" s="527"/>
      <c r="W151" s="527"/>
      <c r="X151" s="527"/>
      <c r="Y151" s="527"/>
      <c r="Z151" s="527"/>
      <c r="AA151" s="527"/>
      <c r="AB151" s="527"/>
      <c r="AC151" s="527"/>
      <c r="AD151" s="528"/>
      <c r="AE151" s="528"/>
      <c r="AF151" s="528"/>
      <c r="AG151" s="528"/>
      <c r="AH151" s="529"/>
      <c r="AI151" s="537"/>
      <c r="AJ151" s="534"/>
      <c r="AK151" s="535"/>
      <c r="AL151" s="528"/>
      <c r="AM151" s="528">
        <f>'O. GASB 73 LEO Entries'!C70</f>
        <v>218892</v>
      </c>
      <c r="AN151" s="534"/>
      <c r="AO151" s="535"/>
      <c r="AP151" s="536" t="s">
        <v>3617</v>
      </c>
      <c r="AQ151" s="432">
        <f>IF('O. GASB 73 LEO Entries'!C71=0,0,'O. GASB 73 LEO Entries'!C70-'O. GASB 73 LEO Entries'!C71)</f>
        <v>0</v>
      </c>
      <c r="AR151" s="537"/>
      <c r="AS151" s="536" t="s">
        <v>3617</v>
      </c>
      <c r="AT151" s="432">
        <f>IF('O. GASB 73 LEO Entries'!D71=0,0,'O. GASB 73 LEO Entries'!D71-'O. GASB 73 LEO Entries'!C70)</f>
        <v>3780</v>
      </c>
      <c r="AU151" s="539"/>
      <c r="AV151" s="432"/>
      <c r="AW151" s="537"/>
      <c r="AX151" s="536"/>
      <c r="AY151" s="538"/>
      <c r="AZ151" s="1026"/>
      <c r="BA151" s="1027"/>
      <c r="BB151" s="1040">
        <f t="shared" si="110"/>
        <v>0</v>
      </c>
      <c r="BC151" s="1040">
        <f t="shared" si="107"/>
        <v>222672</v>
      </c>
      <c r="BD151" s="534"/>
      <c r="BE151" s="535"/>
      <c r="BF151" s="432" t="str">
        <f>IF(BB151-BC151&lt;=0," ",BB151-BC151)</f>
        <v xml:space="preserve"> </v>
      </c>
      <c r="BG151" s="538">
        <f>IF(BB151-BC151&gt;0," ",BC151-BB151)</f>
        <v>222672</v>
      </c>
      <c r="BH151" s="1191"/>
      <c r="BI151" s="1194"/>
      <c r="BJ151" s="1206"/>
    </row>
    <row r="152" spans="1:62" s="1036" customFormat="1" x14ac:dyDescent="0.2">
      <c r="A152" s="33"/>
      <c r="B152" s="1034"/>
      <c r="C152" s="862" t="s">
        <v>3971</v>
      </c>
      <c r="D152" s="531"/>
      <c r="E152" s="532"/>
      <c r="F152" s="528"/>
      <c r="G152" s="528"/>
      <c r="H152" s="528"/>
      <c r="I152" s="528"/>
      <c r="J152" s="528"/>
      <c r="K152" s="533"/>
      <c r="L152" s="528"/>
      <c r="M152" s="528"/>
      <c r="N152" s="528"/>
      <c r="O152" s="528"/>
      <c r="P152" s="527"/>
      <c r="Q152" s="527"/>
      <c r="R152" s="527"/>
      <c r="S152" s="527"/>
      <c r="T152" s="527"/>
      <c r="U152" s="527"/>
      <c r="V152" s="527"/>
      <c r="W152" s="527"/>
      <c r="X152" s="527"/>
      <c r="Y152" s="527"/>
      <c r="Z152" s="527"/>
      <c r="AA152" s="527"/>
      <c r="AB152" s="527"/>
      <c r="AC152" s="527"/>
      <c r="AD152" s="528"/>
      <c r="AE152" s="528"/>
      <c r="AF152" s="528"/>
      <c r="AG152" s="528"/>
      <c r="AH152" s="529">
        <f t="shared" ref="AH152" si="119">L152+N152+P152+R152+T152+V152+X152+Z152+AB152+AD152+AF152</f>
        <v>0</v>
      </c>
      <c r="AI152" s="503">
        <f t="shared" ref="AI152" si="120">M152+O152+Q152+S152+U152+W152+Y152+AA152+AC152+AE152+AG152</f>
        <v>0</v>
      </c>
      <c r="AJ152" s="534">
        <f>D152+F152+H152+J152+AH152</f>
        <v>0</v>
      </c>
      <c r="AK152" s="535">
        <f>E152+G152+I152+K152+AI152</f>
        <v>0</v>
      </c>
      <c r="AL152" s="528"/>
      <c r="AM152" s="528">
        <f>'J. Other Liability &amp; Expenses'!N221</f>
        <v>50585</v>
      </c>
      <c r="AN152" s="534"/>
      <c r="AO152" s="535"/>
      <c r="AP152" s="536" t="s">
        <v>475</v>
      </c>
      <c r="AQ152" s="432">
        <f>'J. Other Liability &amp; Expenses'!L222</f>
        <v>50585</v>
      </c>
      <c r="AR152" s="537"/>
      <c r="AS152" s="536" t="str">
        <f>'J. Other Liability &amp; Expenses'!D203</f>
        <v>J.1</v>
      </c>
      <c r="AT152" s="432">
        <f>'J. Other Liability &amp; Expenses'!N222</f>
        <v>0</v>
      </c>
      <c r="AU152" s="539"/>
      <c r="AV152" s="432"/>
      <c r="AW152" s="537"/>
      <c r="AX152" s="574"/>
      <c r="AY152" s="432"/>
      <c r="AZ152" s="1042"/>
      <c r="BA152" s="1027"/>
      <c r="BB152" s="1040">
        <f t="shared" si="110"/>
        <v>50585</v>
      </c>
      <c r="BC152" s="1040">
        <f>ROUND(AK152+AM152+AO152+AT152+AY152+BA152,0)</f>
        <v>50585</v>
      </c>
      <c r="BD152" s="534"/>
      <c r="BE152" s="535"/>
      <c r="BF152" s="432" t="str">
        <f>IF(BB152-BC152&lt;=0," ",BB152-BC152)</f>
        <v xml:space="preserve"> </v>
      </c>
      <c r="BG152" s="538">
        <f>IF(BB152-BC152&gt;0," ",BC152-BB152)</f>
        <v>0</v>
      </c>
      <c r="BH152" s="1191"/>
      <c r="BI152" s="1194"/>
      <c r="BJ152" s="1206"/>
    </row>
    <row r="153" spans="1:62" s="1208" customFormat="1" x14ac:dyDescent="0.2">
      <c r="A153" s="33"/>
      <c r="B153" s="1209"/>
      <c r="C153" s="862" t="s">
        <v>4076</v>
      </c>
      <c r="D153" s="531"/>
      <c r="E153" s="532"/>
      <c r="F153" s="528"/>
      <c r="G153" s="528"/>
      <c r="H153" s="528"/>
      <c r="I153" s="528"/>
      <c r="J153" s="528"/>
      <c r="K153" s="533"/>
      <c r="L153" s="528"/>
      <c r="M153" s="528"/>
      <c r="N153" s="528"/>
      <c r="O153" s="528"/>
      <c r="P153" s="527"/>
      <c r="Q153" s="527"/>
      <c r="R153" s="527"/>
      <c r="S153" s="527"/>
      <c r="T153" s="527"/>
      <c r="U153" s="527"/>
      <c r="V153" s="527"/>
      <c r="W153" s="527"/>
      <c r="X153" s="527"/>
      <c r="Y153" s="527"/>
      <c r="Z153" s="527"/>
      <c r="AA153" s="527"/>
      <c r="AB153" s="527"/>
      <c r="AC153" s="527"/>
      <c r="AD153" s="528"/>
      <c r="AE153" s="528"/>
      <c r="AF153" s="528"/>
      <c r="AG153" s="528"/>
      <c r="AH153" s="529"/>
      <c r="AI153" s="537"/>
      <c r="AJ153" s="534"/>
      <c r="AK153" s="535"/>
      <c r="AL153" s="528"/>
      <c r="AM153" s="528"/>
      <c r="AN153" s="534"/>
      <c r="AO153" s="535"/>
      <c r="AP153" s="536" t="s">
        <v>4022</v>
      </c>
      <c r="AQ153" s="432"/>
      <c r="AR153" s="537"/>
      <c r="AS153" s="536" t="s">
        <v>4022</v>
      </c>
      <c r="AT153" s="432">
        <f>'P.1 GASB 75 OPEB  - plan 1'!D104</f>
        <v>1400640</v>
      </c>
      <c r="AU153" s="539"/>
      <c r="AV153" s="432"/>
      <c r="AW153" s="537"/>
      <c r="AX153" s="574" t="s">
        <v>637</v>
      </c>
      <c r="AY153" s="432">
        <f>'K.1  Int. Service Fd Allocation'!G191+'K.2  Int. Service Fd Alloca'!G186+'K.3 Int. Service Fd Alloca'!G186</f>
        <v>0</v>
      </c>
      <c r="AZ153" s="1042"/>
      <c r="BA153" s="1027"/>
      <c r="BB153" s="1040">
        <f>ROUND(AJ153+AL153+AN153+AQ153+AV153+AZ153,0)</f>
        <v>0</v>
      </c>
      <c r="BC153" s="1040">
        <f>ROUND(AK153+AM153+AO153+AT153+AY153+BA153,0)</f>
        <v>1400640</v>
      </c>
      <c r="BD153" s="534"/>
      <c r="BE153" s="535"/>
      <c r="BF153" s="432"/>
      <c r="BG153" s="538">
        <f>IF(BB153-BC153&gt;0," ",BC153-BB153)</f>
        <v>1400640</v>
      </c>
      <c r="BH153" s="1191"/>
      <c r="BI153" s="1194"/>
      <c r="BJ153" s="1226"/>
    </row>
    <row r="154" spans="1:62" s="1208" customFormat="1" x14ac:dyDescent="0.2">
      <c r="A154" s="33"/>
      <c r="B154" s="1209"/>
      <c r="C154" s="862" t="s">
        <v>4077</v>
      </c>
      <c r="D154" s="531"/>
      <c r="E154" s="532"/>
      <c r="F154" s="528"/>
      <c r="G154" s="528"/>
      <c r="H154" s="528"/>
      <c r="I154" s="528"/>
      <c r="J154" s="528"/>
      <c r="K154" s="533"/>
      <c r="L154" s="528"/>
      <c r="M154" s="528"/>
      <c r="N154" s="528"/>
      <c r="O154" s="528"/>
      <c r="P154" s="527"/>
      <c r="Q154" s="527"/>
      <c r="R154" s="527"/>
      <c r="S154" s="527"/>
      <c r="T154" s="527"/>
      <c r="U154" s="527"/>
      <c r="V154" s="527"/>
      <c r="W154" s="527"/>
      <c r="X154" s="527"/>
      <c r="Y154" s="527"/>
      <c r="Z154" s="527"/>
      <c r="AA154" s="527"/>
      <c r="AB154" s="527"/>
      <c r="AC154" s="527"/>
      <c r="AD154" s="528"/>
      <c r="AE154" s="528"/>
      <c r="AF154" s="528"/>
      <c r="AG154" s="528"/>
      <c r="AH154" s="529"/>
      <c r="AI154" s="537"/>
      <c r="AJ154" s="534"/>
      <c r="AK154" s="535"/>
      <c r="AL154" s="528"/>
      <c r="AM154" s="528"/>
      <c r="AN154" s="534"/>
      <c r="AO154" s="535"/>
      <c r="AP154" s="536" t="s">
        <v>4023</v>
      </c>
      <c r="AQ154" s="432"/>
      <c r="AR154" s="537"/>
      <c r="AS154" s="536" t="s">
        <v>4023</v>
      </c>
      <c r="AT154" s="432">
        <f>'P.2 GASB 75 OPEB - plan 2'!D104</f>
        <v>0</v>
      </c>
      <c r="AU154" s="539"/>
      <c r="AV154" s="432"/>
      <c r="AW154" s="537"/>
      <c r="AX154" s="574"/>
      <c r="AY154" s="432"/>
      <c r="AZ154" s="1042"/>
      <c r="BA154" s="1027"/>
      <c r="BB154" s="1040">
        <f t="shared" ref="BB154:BB155" si="121">ROUND(AJ154+AL154+AN154+AQ154+AV154+AZ154,0)</f>
        <v>0</v>
      </c>
      <c r="BC154" s="1040">
        <f t="shared" ref="BC154" si="122">ROUND(AK154+AM154+AO154+AT154+AY154+BA154,0)</f>
        <v>0</v>
      </c>
      <c r="BD154" s="534"/>
      <c r="BE154" s="535"/>
      <c r="BF154" s="432"/>
      <c r="BG154" s="538">
        <f t="shared" ref="BG154" si="123">IF(BB154-BC154&gt;0," ",BC154-BB154)</f>
        <v>0</v>
      </c>
      <c r="BH154" s="1191"/>
      <c r="BI154" s="1194"/>
      <c r="BJ154" s="1226"/>
    </row>
    <row r="155" spans="1:62" s="1208" customFormat="1" x14ac:dyDescent="0.2">
      <c r="A155" s="33"/>
      <c r="B155" s="1209"/>
      <c r="C155" s="862" t="s">
        <v>4078</v>
      </c>
      <c r="D155" s="531"/>
      <c r="E155" s="532"/>
      <c r="F155" s="528"/>
      <c r="G155" s="528"/>
      <c r="H155" s="528"/>
      <c r="I155" s="528"/>
      <c r="J155" s="528"/>
      <c r="K155" s="533"/>
      <c r="L155" s="528"/>
      <c r="M155" s="528"/>
      <c r="N155" s="528"/>
      <c r="O155" s="528"/>
      <c r="P155" s="527"/>
      <c r="Q155" s="527"/>
      <c r="R155" s="527"/>
      <c r="S155" s="527"/>
      <c r="T155" s="527"/>
      <c r="U155" s="527"/>
      <c r="V155" s="527"/>
      <c r="W155" s="527"/>
      <c r="X155" s="527"/>
      <c r="Y155" s="527"/>
      <c r="Z155" s="527"/>
      <c r="AA155" s="527"/>
      <c r="AB155" s="527"/>
      <c r="AC155" s="527"/>
      <c r="AD155" s="528"/>
      <c r="AE155" s="528"/>
      <c r="AF155" s="528"/>
      <c r="AG155" s="528"/>
      <c r="AH155" s="529"/>
      <c r="AI155" s="537"/>
      <c r="AJ155" s="534"/>
      <c r="AK155" s="535"/>
      <c r="AL155" s="528"/>
      <c r="AM155" s="528"/>
      <c r="AN155" s="534"/>
      <c r="AO155" s="535"/>
      <c r="AP155" s="536" t="s">
        <v>4024</v>
      </c>
      <c r="AQ155" s="432"/>
      <c r="AR155" s="537"/>
      <c r="AS155" s="536" t="s">
        <v>4024</v>
      </c>
      <c r="AT155" s="432">
        <f>'P.3 GASB 75 OPEB - plan 3'!D103</f>
        <v>0</v>
      </c>
      <c r="AU155" s="539"/>
      <c r="AV155" s="432"/>
      <c r="AW155" s="537"/>
      <c r="AX155" s="574"/>
      <c r="AY155" s="432"/>
      <c r="AZ155" s="1042"/>
      <c r="BA155" s="1027"/>
      <c r="BB155" s="1040">
        <f t="shared" si="121"/>
        <v>0</v>
      </c>
      <c r="BC155" s="1040">
        <f>ROUND(AK155+AM155+AO155+AT155+AY155+BA155,0)</f>
        <v>0</v>
      </c>
      <c r="BD155" s="534"/>
      <c r="BE155" s="535"/>
      <c r="BF155" s="432"/>
      <c r="BG155" s="538">
        <f>IF(BB155-BC155&gt;0," ",BC155-BB155)</f>
        <v>0</v>
      </c>
      <c r="BH155" s="1192"/>
      <c r="BI155" s="1194"/>
      <c r="BJ155" s="1226"/>
    </row>
    <row r="156" spans="1:62" x14ac:dyDescent="0.2">
      <c r="A156" s="25"/>
      <c r="B156" s="44" t="s">
        <v>1143</v>
      </c>
      <c r="C156" s="31"/>
      <c r="D156" s="525"/>
      <c r="E156" s="526"/>
      <c r="F156" s="516"/>
      <c r="G156" s="516"/>
      <c r="H156" s="516"/>
      <c r="I156" s="516"/>
      <c r="J156" s="516"/>
      <c r="K156" s="517"/>
      <c r="L156" s="516"/>
      <c r="M156" s="516"/>
      <c r="N156" s="516"/>
      <c r="O156" s="516"/>
      <c r="P156" s="518"/>
      <c r="Q156" s="518"/>
      <c r="R156" s="518"/>
      <c r="S156" s="518"/>
      <c r="T156" s="518"/>
      <c r="U156" s="518"/>
      <c r="V156" s="518"/>
      <c r="W156" s="518"/>
      <c r="X156" s="518"/>
      <c r="Y156" s="518"/>
      <c r="Z156" s="518"/>
      <c r="AA156" s="518"/>
      <c r="AB156" s="518"/>
      <c r="AC156" s="518"/>
      <c r="AD156" s="516"/>
      <c r="AE156" s="516"/>
      <c r="AF156" s="516"/>
      <c r="AG156" s="516"/>
      <c r="AH156" s="529"/>
      <c r="AI156" s="503"/>
      <c r="AJ156" s="506"/>
      <c r="AK156" s="519"/>
      <c r="AL156" s="516"/>
      <c r="AM156" s="516"/>
      <c r="AN156" s="506"/>
      <c r="AO156" s="519"/>
      <c r="AP156" s="520"/>
      <c r="AQ156" s="504"/>
      <c r="AR156" s="503"/>
      <c r="AS156" s="520"/>
      <c r="AT156" s="432"/>
      <c r="AU156" s="521"/>
      <c r="AV156" s="504"/>
      <c r="AW156" s="503"/>
      <c r="AX156" s="530"/>
      <c r="AY156" s="432"/>
      <c r="AZ156" s="555"/>
      <c r="BA156" s="524"/>
      <c r="BB156" s="1040"/>
      <c r="BC156" s="1040"/>
      <c r="BD156" s="506"/>
      <c r="BE156" s="519"/>
      <c r="BF156" s="504"/>
      <c r="BG156" s="522"/>
      <c r="BH156" s="1191"/>
      <c r="BI156" s="1194"/>
    </row>
    <row r="157" spans="1:62" x14ac:dyDescent="0.2">
      <c r="A157" s="25"/>
      <c r="B157" s="14"/>
      <c r="C157" s="657" t="s">
        <v>544</v>
      </c>
      <c r="D157" s="658"/>
      <c r="E157" s="659">
        <v>329403</v>
      </c>
      <c r="F157" s="660"/>
      <c r="G157" s="660"/>
      <c r="H157" s="660"/>
      <c r="I157" s="660"/>
      <c r="J157" s="660"/>
      <c r="K157" s="661"/>
      <c r="L157" s="660"/>
      <c r="M157" s="660"/>
      <c r="N157" s="660"/>
      <c r="O157" s="660"/>
      <c r="P157" s="662"/>
      <c r="Q157" s="662"/>
      <c r="R157" s="662"/>
      <c r="S157" s="662"/>
      <c r="T157" s="662"/>
      <c r="U157" s="662"/>
      <c r="V157" s="662"/>
      <c r="W157" s="662"/>
      <c r="X157" s="662"/>
      <c r="Y157" s="662"/>
      <c r="Z157" s="662"/>
      <c r="AA157" s="662"/>
      <c r="AB157" s="662"/>
      <c r="AC157" s="662"/>
      <c r="AD157" s="660"/>
      <c r="AE157" s="660"/>
      <c r="AF157" s="660"/>
      <c r="AG157" s="660"/>
      <c r="AH157" s="545">
        <f t="shared" ref="AH157:AH160" si="124">L157+N157+P157+R157+T157+V157+X157+Z157+AB157+AD157+AF157</f>
        <v>0</v>
      </c>
      <c r="AI157" s="546">
        <f t="shared" ref="AI157:AI160" si="125">M157+O157+Q157+S157+U157+W157+Y157+AA157+AC157+AE157+AG157</f>
        <v>0</v>
      </c>
      <c r="AJ157" s="665">
        <f t="shared" ref="AJ157:AK166" si="126">D157+F157+H157+J157+AH157</f>
        <v>0</v>
      </c>
      <c r="AK157" s="666">
        <f t="shared" si="126"/>
        <v>329403</v>
      </c>
      <c r="AL157" s="660"/>
      <c r="AM157" s="660"/>
      <c r="AN157" s="665"/>
      <c r="AO157" s="666"/>
      <c r="AP157" s="549"/>
      <c r="AQ157" s="550"/>
      <c r="AR157" s="546"/>
      <c r="AS157" s="559"/>
      <c r="AT157" s="560"/>
      <c r="AU157" s="669"/>
      <c r="AV157" s="668"/>
      <c r="AW157" s="664"/>
      <c r="AX157" s="667"/>
      <c r="AY157" s="670"/>
      <c r="AZ157" s="555"/>
      <c r="BA157" s="524"/>
      <c r="BB157" s="465">
        <f>ROUND(AJ157+AL157+AN157+AQ157+AV157+AZ157,0)</f>
        <v>0</v>
      </c>
      <c r="BC157" s="465">
        <f>ROUND(AK157+AM157+AO157+AT157+AY157+BA157,0)</f>
        <v>329403</v>
      </c>
      <c r="BD157" s="665"/>
      <c r="BE157" s="666"/>
      <c r="BF157" s="668" t="str">
        <f>IF(BB157-BC157&lt;=0," ",BB157-BC157)</f>
        <v xml:space="preserve"> </v>
      </c>
      <c r="BG157" s="670">
        <f>IF(BB157-BC157&gt;0," ",BC157-BB157)</f>
        <v>329403</v>
      </c>
      <c r="BH157" s="1192" t="s">
        <v>4184</v>
      </c>
      <c r="BI157" s="1194"/>
    </row>
    <row r="158" spans="1:62" ht="15.6" customHeight="1" x14ac:dyDescent="0.2">
      <c r="A158" s="25"/>
      <c r="B158" s="14"/>
      <c r="C158" s="1109" t="s">
        <v>1054</v>
      </c>
      <c r="D158" s="1110"/>
      <c r="E158" s="1111">
        <f>2556406+142070-329219</f>
        <v>2369257</v>
      </c>
      <c r="F158" s="1112"/>
      <c r="G158" s="1112"/>
      <c r="H158" s="1112"/>
      <c r="I158" s="1112"/>
      <c r="J158" s="1112"/>
      <c r="K158" s="1113"/>
      <c r="L158" s="1112"/>
      <c r="M158" s="1112"/>
      <c r="N158" s="1312"/>
      <c r="O158" s="1112"/>
      <c r="P158" s="1114"/>
      <c r="Q158" s="1313">
        <v>1345</v>
      </c>
      <c r="R158" s="1313"/>
      <c r="S158" s="1313"/>
      <c r="T158" s="1313"/>
      <c r="U158" s="1313"/>
      <c r="V158" s="1313"/>
      <c r="W158" s="1313"/>
      <c r="X158" s="1313"/>
      <c r="Y158" s="1313"/>
      <c r="Z158" s="1313"/>
      <c r="AA158" s="1313"/>
      <c r="AB158" s="1313"/>
      <c r="AC158" s="1313">
        <v>1938038</v>
      </c>
      <c r="AD158" s="1112"/>
      <c r="AE158" s="1112"/>
      <c r="AF158" s="1112"/>
      <c r="AG158" s="1112"/>
      <c r="AH158" s="1314">
        <f>L158+O158+P158+R158+T158+V158+X158+Z158+AB158+AD158+AF158</f>
        <v>0</v>
      </c>
      <c r="AI158" s="1115">
        <f t="shared" si="125"/>
        <v>1939383</v>
      </c>
      <c r="AJ158" s="1116">
        <f t="shared" si="126"/>
        <v>0</v>
      </c>
      <c r="AK158" s="1117">
        <f t="shared" si="126"/>
        <v>4308640</v>
      </c>
      <c r="AL158" s="1112"/>
      <c r="AM158" s="1112"/>
      <c r="AN158" s="1116"/>
      <c r="AO158" s="1117"/>
      <c r="AP158" s="892" t="str">
        <f>'B.  Property Taxes'!A57</f>
        <v>B.2</v>
      </c>
      <c r="AQ158" s="1115">
        <f>'B.  Property Taxes'!J57</f>
        <v>2370602</v>
      </c>
      <c r="AR158" s="1115"/>
      <c r="AS158" s="892" t="str">
        <f>'C. Other Revenues'!B207</f>
        <v>C.1</v>
      </c>
      <c r="AT158" s="1106">
        <f>'C. Other Revenues'!M208</f>
        <v>0</v>
      </c>
      <c r="AU158" s="1118"/>
      <c r="AV158" s="1315"/>
      <c r="AW158" s="1115"/>
      <c r="AX158" s="892"/>
      <c r="AY158" s="1315"/>
      <c r="AZ158" s="555"/>
      <c r="BA158" s="524"/>
      <c r="BB158" s="465">
        <f t="shared" ref="BB158:BB177" si="127">ROUND(AJ158+AL158+AN158+AQ158+AV158+AZ158,0)</f>
        <v>2370602</v>
      </c>
      <c r="BC158" s="465">
        <f t="shared" ref="BC158:BC179" si="128">ROUND(AK158+AM158+AO158+AT158+AY158+BA158,0)</f>
        <v>4308640</v>
      </c>
      <c r="BD158" s="1116"/>
      <c r="BE158" s="1117"/>
      <c r="BF158" s="1106" t="str">
        <f>IF(SUM(BB158:BB160)-SUM(BC158:BC160)&lt;=0," ",SUM(BB158:BB160)-SUM(BC158:BC160))</f>
        <v xml:space="preserve"> </v>
      </c>
      <c r="BG158" s="1107">
        <f>IF(SUM(BB158:BB159)-SUM(BC158:BC159)&gt;0," ",SUM(BC158:BC159)-SUM(BB158:BB159))</f>
        <v>0</v>
      </c>
      <c r="BH158" s="1194"/>
      <c r="BI158" s="1194"/>
    </row>
    <row r="159" spans="1:62" s="1302" customFormat="1" ht="15.6" customHeight="1" x14ac:dyDescent="0.2">
      <c r="A159" s="25"/>
      <c r="B159" s="14"/>
      <c r="C159" s="1109"/>
      <c r="D159" s="1110"/>
      <c r="E159" s="1111"/>
      <c r="F159" s="1112"/>
      <c r="G159" s="1112"/>
      <c r="H159" s="1112"/>
      <c r="I159" s="1112"/>
      <c r="J159" s="1112"/>
      <c r="K159" s="1113"/>
      <c r="L159" s="1112"/>
      <c r="M159" s="1112"/>
      <c r="N159" s="1312"/>
      <c r="O159" s="1112"/>
      <c r="P159" s="1114"/>
      <c r="Q159" s="1313"/>
      <c r="R159" s="1313"/>
      <c r="S159" s="1313"/>
      <c r="T159" s="1313"/>
      <c r="U159" s="1313"/>
      <c r="V159" s="1313"/>
      <c r="W159" s="1313"/>
      <c r="X159" s="1313"/>
      <c r="Y159" s="1313"/>
      <c r="Z159" s="1313"/>
      <c r="AA159" s="1313"/>
      <c r="AB159" s="1313"/>
      <c r="AC159" s="1313"/>
      <c r="AD159" s="1112"/>
      <c r="AE159" s="1112"/>
      <c r="AF159" s="1112"/>
      <c r="AG159" s="1112"/>
      <c r="AH159" s="1314"/>
      <c r="AI159" s="1115"/>
      <c r="AJ159" s="1116"/>
      <c r="AK159" s="1117"/>
      <c r="AL159" s="1112"/>
      <c r="AM159" s="1112"/>
      <c r="AN159" s="1116"/>
      <c r="AO159" s="1117"/>
      <c r="AP159" s="892" t="str">
        <f>'C. Other Revenues'!B207</f>
        <v>C.1</v>
      </c>
      <c r="AQ159" s="1115">
        <f>'C. Other Revenues'!K208</f>
        <v>1938038</v>
      </c>
      <c r="AR159" s="1115"/>
      <c r="AS159" s="892"/>
      <c r="AT159" s="1106"/>
      <c r="AU159" s="1118"/>
      <c r="AV159" s="1315"/>
      <c r="AW159" s="1115"/>
      <c r="AX159" s="892"/>
      <c r="AY159" s="1315"/>
      <c r="AZ159" s="555"/>
      <c r="BA159" s="524"/>
      <c r="BB159" s="465">
        <f t="shared" si="127"/>
        <v>1938038</v>
      </c>
      <c r="BC159" s="465"/>
      <c r="BD159" s="1116"/>
      <c r="BE159" s="1117"/>
      <c r="BF159" s="1106"/>
      <c r="BG159" s="1107"/>
      <c r="BH159" s="1194"/>
      <c r="BI159" s="1194"/>
      <c r="BJ159" s="1206"/>
    </row>
    <row r="160" spans="1:62" x14ac:dyDescent="0.2">
      <c r="A160" s="25"/>
      <c r="B160" s="14"/>
      <c r="C160" s="862" t="s">
        <v>4213</v>
      </c>
      <c r="D160" s="531"/>
      <c r="E160" s="533">
        <v>28833</v>
      </c>
      <c r="F160" s="528"/>
      <c r="G160" s="528"/>
      <c r="H160" s="528"/>
      <c r="I160" s="528"/>
      <c r="J160" s="528"/>
      <c r="K160" s="533"/>
      <c r="L160" s="528"/>
      <c r="M160" s="528"/>
      <c r="N160" s="528"/>
      <c r="O160" s="528"/>
      <c r="P160" s="650"/>
      <c r="Q160" s="650"/>
      <c r="R160" s="650"/>
      <c r="S160" s="650"/>
      <c r="T160" s="650"/>
      <c r="U160" s="650"/>
      <c r="V160" s="650"/>
      <c r="W160" s="650"/>
      <c r="X160" s="650"/>
      <c r="Y160" s="650"/>
      <c r="Z160" s="650"/>
      <c r="AA160" s="650"/>
      <c r="AB160" s="650"/>
      <c r="AC160" s="650"/>
      <c r="AD160" s="528"/>
      <c r="AE160" s="528"/>
      <c r="AF160" s="528"/>
      <c r="AG160" s="528"/>
      <c r="AH160" s="529">
        <f t="shared" si="124"/>
        <v>0</v>
      </c>
      <c r="AI160" s="503">
        <f t="shared" si="125"/>
        <v>0</v>
      </c>
      <c r="AJ160" s="534">
        <f t="shared" si="126"/>
        <v>0</v>
      </c>
      <c r="AK160" s="535">
        <f t="shared" si="126"/>
        <v>28833</v>
      </c>
      <c r="AL160" s="528"/>
      <c r="AM160" s="528"/>
      <c r="AN160" s="534"/>
      <c r="AO160" s="535"/>
      <c r="AP160" s="536" t="str">
        <f>'C. Other Revenues'!B207</f>
        <v>C.1</v>
      </c>
      <c r="AQ160" s="537">
        <f>'C. Other Revenues'!K209</f>
        <v>28833</v>
      </c>
      <c r="AR160" s="537"/>
      <c r="AS160" s="580"/>
      <c r="AT160" s="580"/>
      <c r="AU160" s="539"/>
      <c r="AV160" s="651"/>
      <c r="AW160" s="537"/>
      <c r="AX160" s="536"/>
      <c r="AY160" s="651"/>
      <c r="AZ160" s="555"/>
      <c r="BA160" s="524"/>
      <c r="BB160" s="465">
        <f t="shared" si="127"/>
        <v>28833</v>
      </c>
      <c r="BC160" s="465">
        <f>ROUND(AK160+AM160+AO160+AT160+AY160+BA160,0)</f>
        <v>28833</v>
      </c>
      <c r="BD160" s="534"/>
      <c r="BE160" s="535"/>
      <c r="BF160" s="651" t="str">
        <f>IF(BB160+BB158-BC160-BC158&lt;=0," ",BB160+BB158-BC160-BC158)</f>
        <v xml:space="preserve"> </v>
      </c>
      <c r="BG160" s="538">
        <f t="shared" ref="BG160" si="129">IF(BB160-BC160&gt;0," ",BC160-BB160)</f>
        <v>0</v>
      </c>
      <c r="BH160" s="1192"/>
      <c r="BI160" s="1194"/>
    </row>
    <row r="161" spans="1:62" s="1241" customFormat="1" x14ac:dyDescent="0.2">
      <c r="A161" s="25"/>
      <c r="B161" s="14"/>
      <c r="C161" s="1247" t="s">
        <v>4103</v>
      </c>
      <c r="D161" s="531"/>
      <c r="E161" s="533">
        <v>391502</v>
      </c>
      <c r="F161" s="528"/>
      <c r="G161" s="528"/>
      <c r="H161" s="528"/>
      <c r="I161" s="528"/>
      <c r="J161" s="528"/>
      <c r="K161" s="533"/>
      <c r="L161" s="528"/>
      <c r="M161" s="528"/>
      <c r="N161" s="528"/>
      <c r="O161" s="528"/>
      <c r="P161" s="650"/>
      <c r="Q161" s="650"/>
      <c r="R161" s="650"/>
      <c r="S161" s="650"/>
      <c r="T161" s="650"/>
      <c r="U161" s="650"/>
      <c r="V161" s="650"/>
      <c r="W161" s="650"/>
      <c r="X161" s="650"/>
      <c r="Y161" s="650"/>
      <c r="Z161" s="650"/>
      <c r="AA161" s="650"/>
      <c r="AB161" s="650"/>
      <c r="AC161" s="650"/>
      <c r="AD161" s="528"/>
      <c r="AE161" s="528"/>
      <c r="AF161" s="528"/>
      <c r="AG161" s="528"/>
      <c r="AH161" s="529">
        <f t="shared" ref="AH161" si="130">L161+N161+P161+R161+T161+V161+X161+Z161+AB161+AD161+AF161</f>
        <v>0</v>
      </c>
      <c r="AI161" s="503">
        <f t="shared" ref="AI161" si="131">M161+O161+Q161+S161+U161+W161+Y161+AA161+AC161+AE161+AG161</f>
        <v>0</v>
      </c>
      <c r="AJ161" s="534">
        <f t="shared" ref="AJ161" si="132">D161+F161+H161+J161+AH161</f>
        <v>0</v>
      </c>
      <c r="AK161" s="535">
        <f t="shared" ref="AK161" si="133">E161+G161+I161+K161+AI161</f>
        <v>391502</v>
      </c>
      <c r="AL161" s="528"/>
      <c r="AM161" s="528"/>
      <c r="AN161" s="534"/>
      <c r="AO161" s="535"/>
      <c r="AP161" s="536"/>
      <c r="AQ161" s="537"/>
      <c r="AR161" s="537"/>
      <c r="AS161" s="580"/>
      <c r="AT161" s="580"/>
      <c r="AU161" s="539"/>
      <c r="AV161" s="651"/>
      <c r="AW161" s="537"/>
      <c r="AX161" s="536"/>
      <c r="AY161" s="651"/>
      <c r="AZ161" s="555"/>
      <c r="BA161" s="524"/>
      <c r="BB161" s="1040">
        <f>ROUND(AJ161+AL161+AN161+AQ161+AV161+AZ161,0)</f>
        <v>0</v>
      </c>
      <c r="BC161" s="1040">
        <f>ROUND(AK161+AM161+AO161+AT161+AY161+BA161,0)</f>
        <v>391502</v>
      </c>
      <c r="BD161" s="534"/>
      <c r="BE161" s="535"/>
      <c r="BF161" s="432"/>
      <c r="BG161" s="538">
        <f>IF(BB161-BC161&gt;0," ",BC161-BB161)</f>
        <v>391502</v>
      </c>
      <c r="BH161" s="1192" t="s">
        <v>4184</v>
      </c>
      <c r="BI161" s="1194"/>
      <c r="BJ161" s="1206"/>
    </row>
    <row r="162" spans="1:62" s="671" customFormat="1" ht="38.25" x14ac:dyDescent="0.2">
      <c r="A162" s="25"/>
      <c r="B162" s="14"/>
      <c r="C162" s="1066" t="s">
        <v>4009</v>
      </c>
      <c r="D162" s="658"/>
      <c r="E162" s="661"/>
      <c r="F162" s="660"/>
      <c r="G162" s="660"/>
      <c r="H162" s="660"/>
      <c r="I162" s="660"/>
      <c r="J162" s="660"/>
      <c r="K162" s="661"/>
      <c r="L162" s="660"/>
      <c r="M162" s="660"/>
      <c r="N162" s="660"/>
      <c r="O162" s="660"/>
      <c r="P162" s="662"/>
      <c r="Q162" s="662"/>
      <c r="R162" s="662"/>
      <c r="S162" s="662"/>
      <c r="T162" s="662"/>
      <c r="U162" s="662"/>
      <c r="V162" s="662"/>
      <c r="W162" s="662"/>
      <c r="X162" s="662"/>
      <c r="Y162" s="662"/>
      <c r="Z162" s="662"/>
      <c r="AA162" s="662"/>
      <c r="AB162" s="662"/>
      <c r="AC162" s="662"/>
      <c r="AD162" s="660"/>
      <c r="AE162" s="660"/>
      <c r="AF162" s="660"/>
      <c r="AG162" s="660"/>
      <c r="AH162" s="545">
        <f t="shared" ref="AH162:AH166" si="134">L162+N162+P162+R162+T162+V162+X162+Z162+AB162+AD162+AF162</f>
        <v>0</v>
      </c>
      <c r="AI162" s="546">
        <f t="shared" ref="AI162:AI166" si="135">M162+O162+Q162+S162+U162+W162+Y162+AA162+AC162+AE162+AG162</f>
        <v>0</v>
      </c>
      <c r="AJ162" s="665">
        <f t="shared" si="126"/>
        <v>0</v>
      </c>
      <c r="AK162" s="666">
        <f t="shared" si="126"/>
        <v>0</v>
      </c>
      <c r="AL162" s="660"/>
      <c r="AM162" s="660">
        <f>'N.1 GASB 68 LGERS'!C75*'N.1 GASB 68 LGERS'!R39+'N.2 GASB 68 ROD'!C63*'N.2 GASB 68 ROD'!R28</f>
        <v>33612</v>
      </c>
      <c r="AN162" s="665"/>
      <c r="AO162" s="666"/>
      <c r="AP162" s="549" t="s">
        <v>2050</v>
      </c>
      <c r="AQ162" s="546">
        <f>'N.1 GASB 68 LGERS'!C113</f>
        <v>0</v>
      </c>
      <c r="AR162" s="546"/>
      <c r="AS162" s="560" t="s">
        <v>2050</v>
      </c>
      <c r="AT162" s="560">
        <f>'N.1 GASB 68 LGERS'!D113</f>
        <v>74158</v>
      </c>
      <c r="AU162" s="669"/>
      <c r="AV162" s="668"/>
      <c r="AW162" s="664"/>
      <c r="AX162" s="667" t="s">
        <v>2082</v>
      </c>
      <c r="AY162" s="668">
        <f>'K.1  Int. Service Fd Allocation'!G193+'K.2  Int. Service Fd Alloca'!G188+'K.3 Int. Service Fd Alloca'!G188</f>
        <v>0</v>
      </c>
      <c r="AZ162" s="555"/>
      <c r="BA162" s="524"/>
      <c r="BB162" s="465">
        <f t="shared" si="127"/>
        <v>0</v>
      </c>
      <c r="BC162" s="465">
        <f t="shared" si="128"/>
        <v>107770</v>
      </c>
      <c r="BD162" s="665"/>
      <c r="BE162" s="666"/>
      <c r="BF162" s="873" t="str">
        <f>IF(SUM(BB162:BB163)-SUM(BC162:BC163)&lt;=0," ",SUM(BB162:BB163)-SUM(BC162:BC163))</f>
        <v xml:space="preserve"> </v>
      </c>
      <c r="BG162" s="874">
        <f>IF(SUM(BB162:BB163)-SUM(BC162:BC163)&gt;0," ",SUM(BC162:BC163)-SUM(BB162:BB163))</f>
        <v>106055</v>
      </c>
      <c r="BH162" s="1191"/>
      <c r="BI162" s="1194"/>
      <c r="BJ162" s="1206"/>
    </row>
    <row r="163" spans="1:62" s="671" customFormat="1" x14ac:dyDescent="0.2">
      <c r="A163" s="25"/>
      <c r="B163" s="14"/>
      <c r="C163" s="707"/>
      <c r="D163" s="658"/>
      <c r="E163" s="661"/>
      <c r="F163" s="660"/>
      <c r="G163" s="660"/>
      <c r="H163" s="660"/>
      <c r="I163" s="660"/>
      <c r="J163" s="660"/>
      <c r="K163" s="661"/>
      <c r="L163" s="660"/>
      <c r="M163" s="660"/>
      <c r="N163" s="660"/>
      <c r="O163" s="660"/>
      <c r="P163" s="662"/>
      <c r="Q163" s="662"/>
      <c r="R163" s="662"/>
      <c r="S163" s="662"/>
      <c r="T163" s="662"/>
      <c r="U163" s="662"/>
      <c r="V163" s="662"/>
      <c r="W163" s="662"/>
      <c r="X163" s="662"/>
      <c r="Y163" s="662"/>
      <c r="Z163" s="662"/>
      <c r="AA163" s="662"/>
      <c r="AB163" s="662"/>
      <c r="AC163" s="662"/>
      <c r="AD163" s="660"/>
      <c r="AE163" s="660"/>
      <c r="AF163" s="660"/>
      <c r="AG163" s="660"/>
      <c r="AH163" s="545">
        <f t="shared" si="134"/>
        <v>0</v>
      </c>
      <c r="AI163" s="546">
        <f t="shared" si="135"/>
        <v>0</v>
      </c>
      <c r="AJ163" s="665">
        <f t="shared" si="126"/>
        <v>0</v>
      </c>
      <c r="AK163" s="666">
        <f t="shared" si="126"/>
        <v>0</v>
      </c>
      <c r="AL163" s="660"/>
      <c r="AM163" s="660"/>
      <c r="AN163" s="665"/>
      <c r="AO163" s="666"/>
      <c r="AP163" s="549" t="s">
        <v>2051</v>
      </c>
      <c r="AQ163" s="546">
        <f>'N.2 GASB 68 ROD'!C85</f>
        <v>1715</v>
      </c>
      <c r="AR163" s="546"/>
      <c r="AS163" s="560" t="s">
        <v>2051</v>
      </c>
      <c r="AT163" s="560">
        <f>'N.2 GASB 68 ROD'!D85</f>
        <v>0</v>
      </c>
      <c r="AU163" s="669"/>
      <c r="AV163" s="668"/>
      <c r="AW163" s="664"/>
      <c r="AX163" s="667"/>
      <c r="AY163" s="668"/>
      <c r="AZ163" s="555"/>
      <c r="BA163" s="524"/>
      <c r="BB163" s="465">
        <f t="shared" si="127"/>
        <v>1715</v>
      </c>
      <c r="BC163" s="465">
        <f t="shared" si="128"/>
        <v>0</v>
      </c>
      <c r="BD163" s="665"/>
      <c r="BE163" s="666"/>
      <c r="BF163" s="668"/>
      <c r="BG163" s="670"/>
      <c r="BH163" s="1191"/>
      <c r="BI163" s="1194"/>
      <c r="BJ163" s="1206"/>
    </row>
    <row r="164" spans="1:62" s="671" customFormat="1" ht="25.5" x14ac:dyDescent="0.2">
      <c r="A164" s="25"/>
      <c r="B164" s="14"/>
      <c r="C164" s="849" t="s">
        <v>4018</v>
      </c>
      <c r="D164" s="531"/>
      <c r="E164" s="533"/>
      <c r="F164" s="528"/>
      <c r="G164" s="528"/>
      <c r="H164" s="528"/>
      <c r="I164" s="528"/>
      <c r="J164" s="528"/>
      <c r="K164" s="533"/>
      <c r="L164" s="528"/>
      <c r="M164" s="528"/>
      <c r="N164" s="528"/>
      <c r="O164" s="528"/>
      <c r="P164" s="650"/>
      <c r="Q164" s="650"/>
      <c r="R164" s="650"/>
      <c r="S164" s="650"/>
      <c r="T164" s="650"/>
      <c r="U164" s="650"/>
      <c r="V164" s="650"/>
      <c r="W164" s="650"/>
      <c r="X164" s="650"/>
      <c r="Y164" s="650"/>
      <c r="Z164" s="650"/>
      <c r="AA164" s="650"/>
      <c r="AB164" s="650"/>
      <c r="AC164" s="650"/>
      <c r="AD164" s="528"/>
      <c r="AE164" s="528"/>
      <c r="AF164" s="528"/>
      <c r="AG164" s="528"/>
      <c r="AH164" s="529">
        <f t="shared" si="134"/>
        <v>0</v>
      </c>
      <c r="AI164" s="503">
        <f t="shared" si="135"/>
        <v>0</v>
      </c>
      <c r="AJ164" s="534">
        <f t="shared" si="126"/>
        <v>0</v>
      </c>
      <c r="AK164" s="535">
        <f t="shared" si="126"/>
        <v>0</v>
      </c>
      <c r="AL164" s="528"/>
      <c r="AM164" s="528">
        <f>'N.1 GASB 68 LGERS'!C75*'N.1 GASB 68 LGERS'!O39+'N.2 GASB 68 ROD'!C63*'N.2 GASB 68 ROD'!O28</f>
        <v>109453</v>
      </c>
      <c r="AN164" s="534"/>
      <c r="AO164" s="535"/>
      <c r="AP164" s="536" t="s">
        <v>2050</v>
      </c>
      <c r="AQ164" s="537">
        <f>'N.1 GASB 68 LGERS'!C110</f>
        <v>78487</v>
      </c>
      <c r="AR164" s="537"/>
      <c r="AS164" s="580" t="s">
        <v>2050</v>
      </c>
      <c r="AT164" s="580">
        <f>'N.1 GASB 68 LGERS'!D110</f>
        <v>0</v>
      </c>
      <c r="AU164" s="539"/>
      <c r="AV164" s="651"/>
      <c r="AW164" s="537"/>
      <c r="AX164" s="697" t="s">
        <v>2082</v>
      </c>
      <c r="AY164" s="651">
        <f>'K.1  Int. Service Fd Allocation'!G194+'K.2  Int. Service Fd Alloca'!G189+'K.3 Int. Service Fd Alloca'!G189</f>
        <v>0</v>
      </c>
      <c r="AZ164" s="555"/>
      <c r="BA164" s="524"/>
      <c r="BB164" s="465">
        <f t="shared" si="127"/>
        <v>78487</v>
      </c>
      <c r="BC164" s="465">
        <f>ROUND(AK164+AM164+AO164+AT164+AY164+BA164,0)</f>
        <v>109453</v>
      </c>
      <c r="BD164" s="534"/>
      <c r="BE164" s="535"/>
      <c r="BF164" s="432" t="str">
        <f>IF(SUM(BB164:BB166)-SUM(BC164:BC166)&lt;=0," ",SUM(BB164:BB166)-SUM(BC164:BC166))</f>
        <v xml:space="preserve"> </v>
      </c>
      <c r="BG164" s="538">
        <f>IF(SUM(BB164:BB166)-SUM(BC164:BC166)&gt;0," ",SUM(BC164:BC166)-SUM(BB164:BB166))</f>
        <v>34186</v>
      </c>
      <c r="BH164" s="1191" t="s">
        <v>4184</v>
      </c>
      <c r="BI164" s="1194"/>
      <c r="BJ164" s="1206"/>
    </row>
    <row r="165" spans="1:62" s="754" customFormat="1" x14ac:dyDescent="0.2">
      <c r="A165" s="25"/>
      <c r="B165" s="14"/>
      <c r="C165" s="846"/>
      <c r="D165" s="531"/>
      <c r="E165" s="533"/>
      <c r="F165" s="528"/>
      <c r="G165" s="528"/>
      <c r="H165" s="528"/>
      <c r="I165" s="528"/>
      <c r="J165" s="528"/>
      <c r="K165" s="533"/>
      <c r="L165" s="528"/>
      <c r="M165" s="528"/>
      <c r="N165" s="528"/>
      <c r="O165" s="528"/>
      <c r="P165" s="650"/>
      <c r="Q165" s="650"/>
      <c r="R165" s="650"/>
      <c r="S165" s="650"/>
      <c r="T165" s="650"/>
      <c r="U165" s="650"/>
      <c r="V165" s="650"/>
      <c r="W165" s="650"/>
      <c r="X165" s="650"/>
      <c r="Y165" s="650"/>
      <c r="Z165" s="650"/>
      <c r="AA165" s="650"/>
      <c r="AB165" s="650"/>
      <c r="AC165" s="650"/>
      <c r="AD165" s="528"/>
      <c r="AE165" s="528"/>
      <c r="AF165" s="528"/>
      <c r="AG165" s="528"/>
      <c r="AH165" s="529">
        <f t="shared" si="134"/>
        <v>0</v>
      </c>
      <c r="AI165" s="503">
        <f t="shared" si="135"/>
        <v>0</v>
      </c>
      <c r="AJ165" s="534">
        <f t="shared" si="126"/>
        <v>0</v>
      </c>
      <c r="AK165" s="535">
        <f t="shared" si="126"/>
        <v>0</v>
      </c>
      <c r="AL165" s="528"/>
      <c r="AM165" s="528"/>
      <c r="AN165" s="534"/>
      <c r="AO165" s="535"/>
      <c r="AP165" s="536" t="s">
        <v>2051</v>
      </c>
      <c r="AQ165" s="537">
        <f>'N.2 GASB 68 ROD'!C82</f>
        <v>0</v>
      </c>
      <c r="AR165" s="537"/>
      <c r="AS165" s="580" t="s">
        <v>2051</v>
      </c>
      <c r="AT165" s="580">
        <f>'N.2 GASB 68 ROD'!D82</f>
        <v>3220</v>
      </c>
      <c r="AU165" s="539"/>
      <c r="AV165" s="651"/>
      <c r="AW165" s="537"/>
      <c r="AX165" s="536"/>
      <c r="AY165" s="651"/>
      <c r="AZ165" s="555"/>
      <c r="BA165" s="524"/>
      <c r="BB165" s="465">
        <f t="shared" si="127"/>
        <v>0</v>
      </c>
      <c r="BC165" s="465">
        <f t="shared" si="128"/>
        <v>3220</v>
      </c>
      <c r="BD165" s="534"/>
      <c r="BE165" s="535"/>
      <c r="BF165" s="651"/>
      <c r="BG165" s="652"/>
      <c r="BH165" s="1191"/>
      <c r="BI165" s="1194"/>
      <c r="BJ165" s="1206"/>
    </row>
    <row r="166" spans="1:62" s="754" customFormat="1" x14ac:dyDescent="0.2">
      <c r="A166" s="25"/>
      <c r="B166" s="14"/>
      <c r="C166" s="846"/>
      <c r="D166" s="531"/>
      <c r="E166" s="533"/>
      <c r="F166" s="528"/>
      <c r="G166" s="528"/>
      <c r="H166" s="528"/>
      <c r="I166" s="528"/>
      <c r="J166" s="528"/>
      <c r="K166" s="533"/>
      <c r="L166" s="528"/>
      <c r="M166" s="528"/>
      <c r="N166" s="528"/>
      <c r="O166" s="528"/>
      <c r="P166" s="650"/>
      <c r="Q166" s="650"/>
      <c r="R166" s="650"/>
      <c r="S166" s="650"/>
      <c r="T166" s="650"/>
      <c r="U166" s="650"/>
      <c r="V166" s="650"/>
      <c r="W166" s="650"/>
      <c r="X166" s="650"/>
      <c r="Y166" s="650"/>
      <c r="Z166" s="650"/>
      <c r="AA166" s="650"/>
      <c r="AB166" s="650"/>
      <c r="AC166" s="650"/>
      <c r="AD166" s="528"/>
      <c r="AE166" s="528"/>
      <c r="AF166" s="528"/>
      <c r="AG166" s="528"/>
      <c r="AH166" s="529">
        <f t="shared" si="134"/>
        <v>0</v>
      </c>
      <c r="AI166" s="503">
        <f t="shared" si="135"/>
        <v>0</v>
      </c>
      <c r="AJ166" s="534">
        <f t="shared" si="126"/>
        <v>0</v>
      </c>
      <c r="AK166" s="535">
        <f t="shared" si="126"/>
        <v>0</v>
      </c>
      <c r="AL166" s="528"/>
      <c r="AM166" s="528"/>
      <c r="AN166" s="534"/>
      <c r="AO166" s="535"/>
      <c r="AP166" s="536" t="s">
        <v>3617</v>
      </c>
      <c r="AQ166" s="537">
        <f>'O. GASB 73 LEO Entries'!C75</f>
        <v>0</v>
      </c>
      <c r="AR166" s="537"/>
      <c r="AS166" s="580" t="s">
        <v>3617</v>
      </c>
      <c r="AT166" s="580">
        <f>'O. GASB 73 LEO Entries'!D75</f>
        <v>0</v>
      </c>
      <c r="AU166" s="539"/>
      <c r="AV166" s="651"/>
      <c r="AW166" s="537"/>
      <c r="AX166" s="536"/>
      <c r="AY166" s="651"/>
      <c r="AZ166" s="555"/>
      <c r="BA166" s="524"/>
      <c r="BB166" s="465">
        <f t="shared" si="127"/>
        <v>0</v>
      </c>
      <c r="BC166" s="465">
        <f t="shared" si="128"/>
        <v>0</v>
      </c>
      <c r="BD166" s="534"/>
      <c r="BE166" s="535"/>
      <c r="BF166" s="651"/>
      <c r="BG166" s="652"/>
      <c r="BH166" s="1191"/>
      <c r="BI166" s="1194"/>
      <c r="BJ166" s="1206"/>
    </row>
    <row r="167" spans="1:62" s="1031" customFormat="1" ht="25.5" x14ac:dyDescent="0.2">
      <c r="A167" s="25"/>
      <c r="B167" s="14"/>
      <c r="C167" s="849" t="s">
        <v>4017</v>
      </c>
      <c r="D167" s="531"/>
      <c r="E167" s="533"/>
      <c r="F167" s="528"/>
      <c r="G167" s="528"/>
      <c r="H167" s="528"/>
      <c r="I167" s="528"/>
      <c r="J167" s="528"/>
      <c r="K167" s="533"/>
      <c r="L167" s="528"/>
      <c r="M167" s="528"/>
      <c r="N167" s="528"/>
      <c r="O167" s="528"/>
      <c r="P167" s="650"/>
      <c r="Q167" s="650"/>
      <c r="R167" s="650"/>
      <c r="S167" s="650"/>
      <c r="T167" s="650"/>
      <c r="U167" s="650"/>
      <c r="V167" s="650"/>
      <c r="W167" s="650"/>
      <c r="X167" s="650"/>
      <c r="Y167" s="650"/>
      <c r="Z167" s="650"/>
      <c r="AA167" s="650"/>
      <c r="AB167" s="650"/>
      <c r="AC167" s="650"/>
      <c r="AD167" s="528"/>
      <c r="AE167" s="528"/>
      <c r="AF167" s="528"/>
      <c r="AG167" s="528"/>
      <c r="AH167" s="529"/>
      <c r="AI167" s="537"/>
      <c r="AJ167" s="534"/>
      <c r="AK167" s="535"/>
      <c r="AL167" s="580"/>
      <c r="AM167" s="580"/>
      <c r="AN167" s="534"/>
      <c r="AO167" s="535"/>
      <c r="AP167" s="536"/>
      <c r="AQ167" s="580"/>
      <c r="AR167" s="580"/>
      <c r="AS167" s="536" t="s">
        <v>4022</v>
      </c>
      <c r="AT167" s="580">
        <f>'P.1 GASB 75 OPEB  - plan 1'!D135</f>
        <v>130496</v>
      </c>
      <c r="AU167" s="539"/>
      <c r="AV167" s="651"/>
      <c r="AW167" s="537"/>
      <c r="AX167" s="697" t="s">
        <v>2082</v>
      </c>
      <c r="AY167" s="651">
        <f>'K.1  Int. Service Fd Allocation'!G197+'K.2  Int. Service Fd Alloca'!G192+'K.3 Int. Service Fd Alloca'!G192</f>
        <v>0</v>
      </c>
      <c r="AZ167" s="555"/>
      <c r="BA167" s="524"/>
      <c r="BB167" s="465">
        <f>ROUND(AJ167+AL167+AN167+AQ167+AV167+AZ167,0)</f>
        <v>0</v>
      </c>
      <c r="BC167" s="465">
        <f>ROUND(AK167+AM167+AO167+AT167+AY167+BA167,0)</f>
        <v>130496</v>
      </c>
      <c r="BD167" s="534"/>
      <c r="BE167" s="535"/>
      <c r="BF167" s="651" t="str">
        <f>IF(SUM(BB167:BB169)-SUM(BC167:BC169)&lt;=0," ",SUM(BB167:BB169)-SUM(BC167:BC169))</f>
        <v xml:space="preserve"> </v>
      </c>
      <c r="BG167" s="652">
        <f>IF(SUM(BB167:BB169)-SUM(BC167:BC169)&gt;0," ",SUM(BC167:BC169)-SUM(BB167:BB169))</f>
        <v>130496</v>
      </c>
      <c r="BH167" s="1191" t="s">
        <v>4184</v>
      </c>
      <c r="BI167" s="1194"/>
      <c r="BJ167" s="1206"/>
    </row>
    <row r="168" spans="1:62" s="1099" customFormat="1" x14ac:dyDescent="0.2">
      <c r="A168" s="25"/>
      <c r="B168" s="14"/>
      <c r="C168" s="1101"/>
      <c r="D168" s="531"/>
      <c r="E168" s="533"/>
      <c r="F168" s="528"/>
      <c r="G168" s="528"/>
      <c r="H168" s="528"/>
      <c r="I168" s="528"/>
      <c r="J168" s="528"/>
      <c r="K168" s="533"/>
      <c r="L168" s="528"/>
      <c r="M168" s="528"/>
      <c r="N168" s="528"/>
      <c r="O168" s="528"/>
      <c r="P168" s="650"/>
      <c r="Q168" s="650"/>
      <c r="R168" s="650"/>
      <c r="S168" s="650"/>
      <c r="T168" s="650"/>
      <c r="U168" s="650"/>
      <c r="V168" s="650"/>
      <c r="W168" s="650"/>
      <c r="X168" s="650"/>
      <c r="Y168" s="650"/>
      <c r="Z168" s="650"/>
      <c r="AA168" s="650"/>
      <c r="AB168" s="650"/>
      <c r="AC168" s="650"/>
      <c r="AD168" s="528"/>
      <c r="AE168" s="528"/>
      <c r="AF168" s="528"/>
      <c r="AG168" s="528"/>
      <c r="AH168" s="529"/>
      <c r="AI168" s="537"/>
      <c r="AJ168" s="534"/>
      <c r="AK168" s="535"/>
      <c r="AL168" s="580"/>
      <c r="AM168" s="580"/>
      <c r="AN168" s="534"/>
      <c r="AO168" s="535"/>
      <c r="AP168" s="536"/>
      <c r="AQ168" s="580"/>
      <c r="AR168" s="580"/>
      <c r="AS168" s="536" t="s">
        <v>4023</v>
      </c>
      <c r="AT168" s="580">
        <f>'P.2 GASB 75 OPEB - plan 2'!D135</f>
        <v>0</v>
      </c>
      <c r="AU168" s="539"/>
      <c r="AV168" s="651"/>
      <c r="AW168" s="537"/>
      <c r="AX168" s="536"/>
      <c r="AY168" s="651"/>
      <c r="AZ168" s="555"/>
      <c r="BA168" s="524"/>
      <c r="BB168" s="465">
        <f t="shared" ref="BB168" si="136">ROUND(AJ168+AL168+AN168+AQ168+AV168+AZ168,0)</f>
        <v>0</v>
      </c>
      <c r="BC168" s="465">
        <f t="shared" ref="BC168" si="137">ROUND(AK168+AM168+AO168+AT168+AY168+BA168,0)</f>
        <v>0</v>
      </c>
      <c r="BD168" s="534"/>
      <c r="BE168" s="535"/>
      <c r="BF168" s="651"/>
      <c r="BG168" s="652"/>
      <c r="BH168" s="1191"/>
      <c r="BI168" s="1194"/>
      <c r="BJ168" s="1206"/>
    </row>
    <row r="169" spans="1:62" s="1099" customFormat="1" x14ac:dyDescent="0.2">
      <c r="A169" s="25"/>
      <c r="B169" s="14"/>
      <c r="C169" s="1101"/>
      <c r="D169" s="531"/>
      <c r="E169" s="533"/>
      <c r="F169" s="528"/>
      <c r="G169" s="528"/>
      <c r="H169" s="528"/>
      <c r="I169" s="528"/>
      <c r="J169" s="528"/>
      <c r="K169" s="533"/>
      <c r="L169" s="528"/>
      <c r="M169" s="528"/>
      <c r="N169" s="528"/>
      <c r="O169" s="528"/>
      <c r="P169" s="650"/>
      <c r="Q169" s="650"/>
      <c r="R169" s="650"/>
      <c r="S169" s="650"/>
      <c r="T169" s="650"/>
      <c r="U169" s="650"/>
      <c r="V169" s="650"/>
      <c r="W169" s="650"/>
      <c r="X169" s="650"/>
      <c r="Y169" s="650"/>
      <c r="Z169" s="650"/>
      <c r="AA169" s="650"/>
      <c r="AB169" s="650"/>
      <c r="AC169" s="650"/>
      <c r="AD169" s="528"/>
      <c r="AE169" s="528"/>
      <c r="AF169" s="528"/>
      <c r="AG169" s="528"/>
      <c r="AH169" s="529"/>
      <c r="AI169" s="537"/>
      <c r="AJ169" s="534"/>
      <c r="AK169" s="535"/>
      <c r="AL169" s="580"/>
      <c r="AM169" s="580"/>
      <c r="AN169" s="534"/>
      <c r="AO169" s="535"/>
      <c r="AP169" s="536"/>
      <c r="AQ169" s="580"/>
      <c r="AR169" s="580"/>
      <c r="AS169" s="536" t="s">
        <v>4024</v>
      </c>
      <c r="AT169" s="580">
        <f>'P.3 GASB 75 OPEB - plan 3'!D135</f>
        <v>0</v>
      </c>
      <c r="AU169" s="539"/>
      <c r="AV169" s="651"/>
      <c r="AW169" s="537"/>
      <c r="AX169" s="536"/>
      <c r="AY169" s="651"/>
      <c r="AZ169" s="555"/>
      <c r="BA169" s="524"/>
      <c r="BB169" s="465">
        <f>ROUND(AJ169+AL169+AN169+AQ169+AV169+AZ169,0)</f>
        <v>0</v>
      </c>
      <c r="BC169" s="465">
        <f>ROUND(AK169+AM169+AO169+AT169+AY169+BA169,0)</f>
        <v>0</v>
      </c>
      <c r="BD169" s="534"/>
      <c r="BE169" s="535"/>
      <c r="BF169" s="651"/>
      <c r="BG169" s="652"/>
      <c r="BH169" s="1191"/>
      <c r="BI169" s="1194"/>
      <c r="BJ169" s="1206"/>
    </row>
    <row r="170" spans="1:62" s="1099" customFormat="1" x14ac:dyDescent="0.2">
      <c r="A170" s="25"/>
      <c r="B170" s="14"/>
      <c r="C170" s="1101"/>
      <c r="D170" s="531"/>
      <c r="E170" s="533"/>
      <c r="F170" s="528"/>
      <c r="G170" s="528"/>
      <c r="H170" s="528"/>
      <c r="I170" s="528"/>
      <c r="J170" s="528"/>
      <c r="K170" s="533"/>
      <c r="L170" s="528"/>
      <c r="M170" s="528"/>
      <c r="N170" s="528"/>
      <c r="O170" s="528"/>
      <c r="P170" s="650"/>
      <c r="Q170" s="650"/>
      <c r="R170" s="650"/>
      <c r="S170" s="650"/>
      <c r="T170" s="650"/>
      <c r="U170" s="650"/>
      <c r="V170" s="650"/>
      <c r="W170" s="650"/>
      <c r="X170" s="650"/>
      <c r="Y170" s="650"/>
      <c r="Z170" s="650"/>
      <c r="AA170" s="650"/>
      <c r="AB170" s="650"/>
      <c r="AC170" s="650"/>
      <c r="AD170" s="528"/>
      <c r="AE170" s="528"/>
      <c r="AF170" s="528"/>
      <c r="AG170" s="528"/>
      <c r="AH170" s="529"/>
      <c r="AI170" s="537"/>
      <c r="AJ170" s="534"/>
      <c r="AK170" s="535"/>
      <c r="AL170" s="528"/>
      <c r="AM170" s="528"/>
      <c r="AN170" s="534"/>
      <c r="AO170" s="535"/>
      <c r="AP170" s="536"/>
      <c r="AQ170" s="580"/>
      <c r="AR170" s="580"/>
      <c r="AS170" s="536"/>
      <c r="AT170" s="580"/>
      <c r="AU170" s="539"/>
      <c r="AV170" s="651"/>
      <c r="AW170" s="537"/>
      <c r="AX170" s="536"/>
      <c r="AY170" s="651"/>
      <c r="AZ170" s="555"/>
      <c r="BA170" s="524"/>
      <c r="BB170" s="465"/>
      <c r="BC170" s="465"/>
      <c r="BD170" s="534"/>
      <c r="BE170" s="535"/>
      <c r="BF170" s="651"/>
      <c r="BG170" s="652"/>
      <c r="BH170" s="1191"/>
      <c r="BI170" s="1194"/>
      <c r="BJ170" s="1206"/>
    </row>
    <row r="171" spans="1:62" s="754" customFormat="1" x14ac:dyDescent="0.2">
      <c r="A171" s="25"/>
      <c r="B171" s="14"/>
      <c r="C171" s="1066" t="s">
        <v>4019</v>
      </c>
      <c r="D171" s="658"/>
      <c r="E171" s="661"/>
      <c r="F171" s="660"/>
      <c r="G171" s="660"/>
      <c r="H171" s="660"/>
      <c r="I171" s="660"/>
      <c r="J171" s="660"/>
      <c r="K171" s="661"/>
      <c r="L171" s="660"/>
      <c r="M171" s="660"/>
      <c r="N171" s="660"/>
      <c r="O171" s="660"/>
      <c r="P171" s="662"/>
      <c r="Q171" s="662"/>
      <c r="R171" s="662"/>
      <c r="S171" s="662"/>
      <c r="T171" s="662"/>
      <c r="U171" s="662"/>
      <c r="V171" s="662"/>
      <c r="W171" s="662"/>
      <c r="X171" s="662"/>
      <c r="Y171" s="662"/>
      <c r="Z171" s="662"/>
      <c r="AA171" s="662"/>
      <c r="AB171" s="662"/>
      <c r="AC171" s="662"/>
      <c r="AD171" s="660"/>
      <c r="AE171" s="660"/>
      <c r="AF171" s="660"/>
      <c r="AG171" s="660"/>
      <c r="AH171" s="545">
        <f t="shared" ref="AH171:AH173" si="138">L171+N171+P171+R171+T171+V171+X171+Z171+AB171+AD171+AF171</f>
        <v>0</v>
      </c>
      <c r="AI171" s="546">
        <f t="shared" ref="AI171:AI173" si="139">M171+O171+Q171+S171+U171+W171+Y171+AA171+AC171+AE171+AG171</f>
        <v>0</v>
      </c>
      <c r="AJ171" s="665">
        <f t="shared" ref="AJ171:AK173" si="140">D171+F171+H171+J171+AH171</f>
        <v>0</v>
      </c>
      <c r="AK171" s="666">
        <f t="shared" si="140"/>
        <v>0</v>
      </c>
      <c r="AL171" s="660"/>
      <c r="AM171" s="660">
        <v>4439</v>
      </c>
      <c r="AN171" s="665"/>
      <c r="AO171" s="666"/>
      <c r="AP171" s="549" t="s">
        <v>2050</v>
      </c>
      <c r="AQ171" s="546">
        <f>'N.1 GASB 68 LGERS'!C112</f>
        <v>0</v>
      </c>
      <c r="AR171" s="546"/>
      <c r="AS171" s="560" t="s">
        <v>2050</v>
      </c>
      <c r="AT171" s="560">
        <f>'N.1 GASB 68 LGERS'!D112</f>
        <v>0</v>
      </c>
      <c r="AU171" s="669"/>
      <c r="AV171" s="668"/>
      <c r="AW171" s="664"/>
      <c r="AX171" s="667" t="s">
        <v>2082</v>
      </c>
      <c r="AY171" s="668">
        <f>'K.1  Int. Service Fd Allocation'!G195+'K.2  Int. Service Fd Alloca'!G190+'K.3 Int. Service Fd Alloca'!G190</f>
        <v>0</v>
      </c>
      <c r="AZ171" s="555"/>
      <c r="BA171" s="524"/>
      <c r="BB171" s="465">
        <f t="shared" si="127"/>
        <v>0</v>
      </c>
      <c r="BC171" s="465">
        <f>ROUND(AK171+AM171+AO171+AT171+AY171+BA171,0)</f>
        <v>4439</v>
      </c>
      <c r="BD171" s="665"/>
      <c r="BE171" s="666"/>
      <c r="BF171" s="873" t="str">
        <f>IF(SUM(BB171:BB173)-SUM(BC171:BC173)&lt;=0," ",SUM(BB171:BB173)-SUM(BC171:BC173))</f>
        <v xml:space="preserve"> </v>
      </c>
      <c r="BG171" s="874">
        <f>IF(SUM(BB171:BB173)-SUM(BC171:BC173)&gt;0," ",SUM(BC171:BC173)-SUM(BB171:BB173))</f>
        <v>4481</v>
      </c>
      <c r="BH171" s="1191"/>
      <c r="BI171" s="1194"/>
      <c r="BJ171" s="1206"/>
    </row>
    <row r="172" spans="1:62" s="754" customFormat="1" x14ac:dyDescent="0.2">
      <c r="A172" s="25"/>
      <c r="B172" s="14"/>
      <c r="C172" s="707"/>
      <c r="D172" s="658"/>
      <c r="E172" s="661"/>
      <c r="F172" s="660"/>
      <c r="G172" s="660"/>
      <c r="H172" s="660"/>
      <c r="I172" s="660"/>
      <c r="J172" s="660"/>
      <c r="K172" s="661"/>
      <c r="L172" s="660"/>
      <c r="M172" s="660"/>
      <c r="N172" s="660"/>
      <c r="O172" s="660"/>
      <c r="P172" s="662"/>
      <c r="Q172" s="662"/>
      <c r="R172" s="662"/>
      <c r="S172" s="662"/>
      <c r="T172" s="662"/>
      <c r="U172" s="662"/>
      <c r="V172" s="662"/>
      <c r="W172" s="662"/>
      <c r="X172" s="662"/>
      <c r="Y172" s="662"/>
      <c r="Z172" s="662"/>
      <c r="AA172" s="662"/>
      <c r="AB172" s="662"/>
      <c r="AC172" s="662"/>
      <c r="AD172" s="660"/>
      <c r="AE172" s="660"/>
      <c r="AF172" s="660"/>
      <c r="AG172" s="660"/>
      <c r="AH172" s="545">
        <f t="shared" si="138"/>
        <v>0</v>
      </c>
      <c r="AI172" s="546">
        <f t="shared" si="139"/>
        <v>0</v>
      </c>
      <c r="AJ172" s="665">
        <f t="shared" si="140"/>
        <v>0</v>
      </c>
      <c r="AK172" s="666">
        <f t="shared" si="140"/>
        <v>0</v>
      </c>
      <c r="AL172" s="660"/>
      <c r="AM172" s="660"/>
      <c r="AN172" s="665"/>
      <c r="AO172" s="666"/>
      <c r="AP172" s="549" t="s">
        <v>2051</v>
      </c>
      <c r="AQ172" s="546">
        <f>'N.2 GASB 68 ROD'!C84</f>
        <v>0</v>
      </c>
      <c r="AR172" s="546"/>
      <c r="AS172" s="560" t="s">
        <v>2051</v>
      </c>
      <c r="AT172" s="560">
        <f>'N.2 GASB 68 ROD'!D84</f>
        <v>0</v>
      </c>
      <c r="AU172" s="669"/>
      <c r="AV172" s="668"/>
      <c r="AW172" s="664"/>
      <c r="AX172" s="667"/>
      <c r="AY172" s="668"/>
      <c r="AZ172" s="555"/>
      <c r="BA172" s="524"/>
      <c r="BB172" s="465">
        <f t="shared" si="127"/>
        <v>0</v>
      </c>
      <c r="BC172" s="465">
        <f t="shared" si="128"/>
        <v>0</v>
      </c>
      <c r="BD172" s="665"/>
      <c r="BE172" s="666"/>
      <c r="BF172" s="668"/>
      <c r="BG172" s="670"/>
      <c r="BH172" s="1191"/>
      <c r="BI172" s="1194"/>
      <c r="BJ172" s="1206"/>
    </row>
    <row r="173" spans="1:62" s="754" customFormat="1" x14ac:dyDescent="0.2">
      <c r="A173" s="25"/>
      <c r="B173" s="14"/>
      <c r="C173" s="707"/>
      <c r="D173" s="658"/>
      <c r="E173" s="661"/>
      <c r="F173" s="660"/>
      <c r="G173" s="660"/>
      <c r="H173" s="660"/>
      <c r="I173" s="660"/>
      <c r="J173" s="660"/>
      <c r="K173" s="661"/>
      <c r="L173" s="660"/>
      <c r="M173" s="660"/>
      <c r="N173" s="660"/>
      <c r="O173" s="660"/>
      <c r="P173" s="662"/>
      <c r="Q173" s="662"/>
      <c r="R173" s="662"/>
      <c r="S173" s="662"/>
      <c r="T173" s="662"/>
      <c r="U173" s="662"/>
      <c r="V173" s="662"/>
      <c r="W173" s="662"/>
      <c r="X173" s="662"/>
      <c r="Y173" s="662"/>
      <c r="Z173" s="662"/>
      <c r="AA173" s="662"/>
      <c r="AB173" s="662"/>
      <c r="AC173" s="662"/>
      <c r="AD173" s="660"/>
      <c r="AE173" s="660"/>
      <c r="AF173" s="660"/>
      <c r="AG173" s="660"/>
      <c r="AH173" s="545">
        <f t="shared" si="138"/>
        <v>0</v>
      </c>
      <c r="AI173" s="546">
        <f t="shared" si="139"/>
        <v>0</v>
      </c>
      <c r="AJ173" s="665">
        <f t="shared" si="140"/>
        <v>0</v>
      </c>
      <c r="AK173" s="666">
        <f t="shared" si="140"/>
        <v>0</v>
      </c>
      <c r="AL173" s="660"/>
      <c r="AM173" s="660">
        <f>-'O. GASB 73 LEO Entries'!D20</f>
        <v>5501</v>
      </c>
      <c r="AN173" s="665"/>
      <c r="AO173" s="666"/>
      <c r="AP173" s="549" t="s">
        <v>3617</v>
      </c>
      <c r="AQ173" s="546">
        <f>'O. GASB 73 LEO Entries'!C76</f>
        <v>5459</v>
      </c>
      <c r="AR173" s="546"/>
      <c r="AS173" s="560" t="s">
        <v>3617</v>
      </c>
      <c r="AT173" s="560">
        <f>'O. GASB 73 LEO Entries'!D76</f>
        <v>0</v>
      </c>
      <c r="AU173" s="669"/>
      <c r="AV173" s="668"/>
      <c r="AW173" s="664"/>
      <c r="AX173" s="667"/>
      <c r="AY173" s="668"/>
      <c r="AZ173" s="555"/>
      <c r="BA173" s="524"/>
      <c r="BB173" s="465">
        <f t="shared" si="127"/>
        <v>5459</v>
      </c>
      <c r="BC173" s="465">
        <f>ROUND(AK173+AM173+AO173+AT173+AY173+BA173,0)</f>
        <v>5501</v>
      </c>
      <c r="BD173" s="665"/>
      <c r="BE173" s="666"/>
      <c r="BF173" s="668"/>
      <c r="BG173" s="670"/>
      <c r="BH173" s="1191"/>
      <c r="BI173" s="1194"/>
      <c r="BJ173" s="1206"/>
    </row>
    <row r="174" spans="1:62" s="1031" customFormat="1" x14ac:dyDescent="0.2">
      <c r="A174" s="25"/>
      <c r="B174" s="14"/>
      <c r="C174" s="1066" t="s">
        <v>4020</v>
      </c>
      <c r="D174" s="658"/>
      <c r="E174" s="661"/>
      <c r="F174" s="660"/>
      <c r="G174" s="660"/>
      <c r="H174" s="660"/>
      <c r="I174" s="660"/>
      <c r="J174" s="660"/>
      <c r="K174" s="661"/>
      <c r="L174" s="660"/>
      <c r="M174" s="660"/>
      <c r="N174" s="660"/>
      <c r="O174" s="660"/>
      <c r="P174" s="662"/>
      <c r="Q174" s="662"/>
      <c r="R174" s="662"/>
      <c r="S174" s="662"/>
      <c r="T174" s="662"/>
      <c r="U174" s="662"/>
      <c r="V174" s="662"/>
      <c r="W174" s="662"/>
      <c r="X174" s="662"/>
      <c r="Y174" s="662"/>
      <c r="Z174" s="662"/>
      <c r="AA174" s="662"/>
      <c r="AB174" s="662"/>
      <c r="AC174" s="662"/>
      <c r="AD174" s="660"/>
      <c r="AE174" s="660"/>
      <c r="AF174" s="660"/>
      <c r="AG174" s="660"/>
      <c r="AH174" s="663"/>
      <c r="AI174" s="664"/>
      <c r="AJ174" s="665"/>
      <c r="AK174" s="666"/>
      <c r="AL174" s="660"/>
      <c r="AM174" s="660"/>
      <c r="AN174" s="665"/>
      <c r="AO174" s="666"/>
      <c r="AP174" s="549"/>
      <c r="AQ174" s="1038"/>
      <c r="AR174" s="546"/>
      <c r="AS174" s="560" t="s">
        <v>4022</v>
      </c>
      <c r="AT174" s="560">
        <f>'P.1 GASB 75 OPEB  - plan 1'!D136</f>
        <v>385730</v>
      </c>
      <c r="AU174" s="669"/>
      <c r="AV174" s="668"/>
      <c r="AW174" s="664"/>
      <c r="AX174" s="667" t="s">
        <v>2082</v>
      </c>
      <c r="AY174" s="668">
        <f>'K.1  Int. Service Fd Allocation'!G198+'K.2  Int. Service Fd Alloca'!G193+'K.3 Int. Service Fd Alloca'!G193</f>
        <v>0</v>
      </c>
      <c r="AZ174" s="555"/>
      <c r="BA174" s="524"/>
      <c r="BB174" s="465">
        <f>ROUND(AJ174+AL174+AN174+AQ174+AV174+AZ174,0)</f>
        <v>0</v>
      </c>
      <c r="BC174" s="465">
        <f>ROUND(AK174+AM174+AO174+AT174+AY174+BA174,0)</f>
        <v>385730</v>
      </c>
      <c r="BD174" s="665"/>
      <c r="BE174" s="666"/>
      <c r="BF174" s="668" t="str">
        <f>IF(SUM(BB174:BB176)-SUM(BC174:BC176)&lt;=0," ",SUM(BB174:BB176)-SUM(BC174:BC176))</f>
        <v xml:space="preserve"> </v>
      </c>
      <c r="BG174" s="670">
        <f>IF(SUM(BB174:BB176)-SUM(BC174:BC176)&gt;0," ",SUM(BC174:BC176)-SUM(BB174:BB176))</f>
        <v>385730</v>
      </c>
      <c r="BH174" s="1191" t="s">
        <v>4184</v>
      </c>
      <c r="BI174" s="1194"/>
      <c r="BJ174" s="1206"/>
    </row>
    <row r="175" spans="1:62" s="1099" customFormat="1" x14ac:dyDescent="0.2">
      <c r="A175" s="25"/>
      <c r="B175" s="14"/>
      <c r="C175" s="707"/>
      <c r="D175" s="658"/>
      <c r="E175" s="661"/>
      <c r="F175" s="660"/>
      <c r="G175" s="660"/>
      <c r="H175" s="660"/>
      <c r="I175" s="660"/>
      <c r="J175" s="660"/>
      <c r="K175" s="661"/>
      <c r="L175" s="660"/>
      <c r="M175" s="660"/>
      <c r="N175" s="660"/>
      <c r="O175" s="660"/>
      <c r="P175" s="662"/>
      <c r="Q175" s="662"/>
      <c r="R175" s="662"/>
      <c r="S175" s="662"/>
      <c r="T175" s="662"/>
      <c r="U175" s="662"/>
      <c r="V175" s="662"/>
      <c r="W175" s="662"/>
      <c r="X175" s="662"/>
      <c r="Y175" s="662"/>
      <c r="Z175" s="662"/>
      <c r="AA175" s="662"/>
      <c r="AB175" s="662"/>
      <c r="AC175" s="662"/>
      <c r="AD175" s="660"/>
      <c r="AE175" s="660"/>
      <c r="AF175" s="660"/>
      <c r="AG175" s="660"/>
      <c r="AH175" s="663"/>
      <c r="AI175" s="664"/>
      <c r="AJ175" s="665"/>
      <c r="AK175" s="666"/>
      <c r="AL175" s="660"/>
      <c r="AM175" s="660"/>
      <c r="AN175" s="665"/>
      <c r="AO175" s="666"/>
      <c r="AP175" s="549"/>
      <c r="AQ175" s="1038"/>
      <c r="AR175" s="546"/>
      <c r="AS175" s="560" t="s">
        <v>4023</v>
      </c>
      <c r="AT175" s="560">
        <f>'P.2 GASB 75 OPEB - plan 2'!D136</f>
        <v>0</v>
      </c>
      <c r="AU175" s="669"/>
      <c r="AV175" s="668"/>
      <c r="AW175" s="664"/>
      <c r="AX175" s="667"/>
      <c r="AY175" s="668"/>
      <c r="AZ175" s="555"/>
      <c r="BA175" s="524"/>
      <c r="BB175" s="465">
        <f t="shared" ref="BB175:BB176" si="141">ROUND(AJ175+AL175+AN175+AQ175+AV175+AZ175,0)</f>
        <v>0</v>
      </c>
      <c r="BC175" s="465">
        <f t="shared" ref="BC175:BC176" si="142">ROUND(AK175+AM175+AO175+AT175+AY175+BA175,0)</f>
        <v>0</v>
      </c>
      <c r="BD175" s="665"/>
      <c r="BE175" s="666"/>
      <c r="BF175" s="668"/>
      <c r="BG175" s="670"/>
      <c r="BH175" s="1191"/>
      <c r="BI175" s="1194"/>
      <c r="BJ175" s="1206"/>
    </row>
    <row r="176" spans="1:62" s="1099" customFormat="1" x14ac:dyDescent="0.2">
      <c r="A176" s="25"/>
      <c r="B176" s="14"/>
      <c r="C176" s="707"/>
      <c r="D176" s="658"/>
      <c r="E176" s="661"/>
      <c r="F176" s="660"/>
      <c r="G176" s="660"/>
      <c r="H176" s="660"/>
      <c r="I176" s="660"/>
      <c r="J176" s="660"/>
      <c r="K176" s="661"/>
      <c r="L176" s="660"/>
      <c r="M176" s="660"/>
      <c r="N176" s="660"/>
      <c r="O176" s="660"/>
      <c r="P176" s="662"/>
      <c r="Q176" s="662"/>
      <c r="R176" s="662"/>
      <c r="S176" s="662"/>
      <c r="T176" s="662"/>
      <c r="U176" s="662"/>
      <c r="V176" s="662"/>
      <c r="W176" s="662"/>
      <c r="X176" s="662"/>
      <c r="Y176" s="662"/>
      <c r="Z176" s="662"/>
      <c r="AA176" s="662"/>
      <c r="AB176" s="662"/>
      <c r="AC176" s="662"/>
      <c r="AD176" s="660"/>
      <c r="AE176" s="660"/>
      <c r="AF176" s="660"/>
      <c r="AG176" s="660"/>
      <c r="AH176" s="663"/>
      <c r="AI176" s="664"/>
      <c r="AJ176" s="665"/>
      <c r="AK176" s="666"/>
      <c r="AL176" s="660"/>
      <c r="AM176" s="660"/>
      <c r="AN176" s="665"/>
      <c r="AO176" s="666"/>
      <c r="AP176" s="549"/>
      <c r="AQ176" s="1038"/>
      <c r="AR176" s="546"/>
      <c r="AS176" s="560" t="s">
        <v>4024</v>
      </c>
      <c r="AT176" s="560">
        <f>'P.3 GASB 75 OPEB - plan 3'!D136</f>
        <v>0</v>
      </c>
      <c r="AU176" s="669"/>
      <c r="AV176" s="668"/>
      <c r="AW176" s="664"/>
      <c r="AX176" s="667"/>
      <c r="AY176" s="668"/>
      <c r="AZ176" s="555"/>
      <c r="BA176" s="524"/>
      <c r="BB176" s="465">
        <f t="shared" si="141"/>
        <v>0</v>
      </c>
      <c r="BC176" s="465">
        <f t="shared" si="142"/>
        <v>0</v>
      </c>
      <c r="BD176" s="665"/>
      <c r="BE176" s="666"/>
      <c r="BF176" s="668"/>
      <c r="BG176" s="670"/>
      <c r="BH176" s="1191"/>
      <c r="BI176" s="1194"/>
      <c r="BJ176" s="1206"/>
    </row>
    <row r="177" spans="1:64" s="754" customFormat="1" ht="25.5" x14ac:dyDescent="0.2">
      <c r="A177" s="25"/>
      <c r="B177" s="14"/>
      <c r="C177" s="849" t="s">
        <v>4021</v>
      </c>
      <c r="D177" s="531"/>
      <c r="E177" s="533"/>
      <c r="F177" s="528"/>
      <c r="G177" s="528"/>
      <c r="H177" s="528"/>
      <c r="I177" s="528"/>
      <c r="J177" s="528"/>
      <c r="K177" s="533"/>
      <c r="L177" s="528"/>
      <c r="M177" s="528"/>
      <c r="N177" s="528"/>
      <c r="O177" s="528"/>
      <c r="P177" s="650"/>
      <c r="Q177" s="650"/>
      <c r="R177" s="650"/>
      <c r="S177" s="650"/>
      <c r="T177" s="650"/>
      <c r="U177" s="650"/>
      <c r="V177" s="650"/>
      <c r="W177" s="650"/>
      <c r="X177" s="650"/>
      <c r="Y177" s="650"/>
      <c r="Z177" s="650"/>
      <c r="AA177" s="650"/>
      <c r="AB177" s="650"/>
      <c r="AC177" s="650"/>
      <c r="AD177" s="528"/>
      <c r="AE177" s="528"/>
      <c r="AF177" s="528"/>
      <c r="AG177" s="528"/>
      <c r="AH177" s="529">
        <f t="shared" ref="AH177:AH178" si="143">L177+N177+P177+R177+T177+V177+X177+Z177+AB177+AD177+AF177</f>
        <v>0</v>
      </c>
      <c r="AI177" s="503">
        <f t="shared" ref="AI177:AI178" si="144">M177+O177+Q177+S177+U177+W177+Y177+AA177+AC177+AE177+AG177</f>
        <v>0</v>
      </c>
      <c r="AJ177" s="534">
        <f>D177+F177+H177+J177+AH177</f>
        <v>0</v>
      </c>
      <c r="AK177" s="535">
        <f>E177+G177+I177+K177+AI177</f>
        <v>0</v>
      </c>
      <c r="AL177" s="528"/>
      <c r="AM177" s="528">
        <f>IF('N.1 GASB 68 LGERS'!K43&lt;0,-'N.1 GASB 68 LGERS'!K43*'N.1 GASB 68 LGERS'!C75,0)</f>
        <v>0</v>
      </c>
      <c r="AN177" s="534"/>
      <c r="AO177" s="535"/>
      <c r="AP177" s="536" t="s">
        <v>2050</v>
      </c>
      <c r="AQ177" s="537">
        <f>'N.1 GASB 68 LGERS'!C111</f>
        <v>0</v>
      </c>
      <c r="AR177" s="537"/>
      <c r="AS177" s="580" t="s">
        <v>2050</v>
      </c>
      <c r="AT177" s="580">
        <f>'N.1 GASB 68 LGERS'!D111</f>
        <v>0</v>
      </c>
      <c r="AU177" s="539"/>
      <c r="AV177" s="651"/>
      <c r="AW177" s="537"/>
      <c r="AX177" s="536" t="s">
        <v>2082</v>
      </c>
      <c r="AY177" s="651">
        <f>'K.1  Int. Service Fd Allocation'!G196+'K.2  Int. Service Fd Alloca'!G191+'K.3 Int. Service Fd Alloca'!G191</f>
        <v>0</v>
      </c>
      <c r="AZ177" s="555"/>
      <c r="BA177" s="524"/>
      <c r="BB177" s="465">
        <f t="shared" si="127"/>
        <v>0</v>
      </c>
      <c r="BC177" s="465">
        <f t="shared" si="128"/>
        <v>0</v>
      </c>
      <c r="BD177" s="534"/>
      <c r="BE177" s="535"/>
      <c r="BF177" s="432" t="str">
        <f>IF(SUM(BB177:BB178)-SUM(BC177:BC178)&lt;=0," ",SUM(BB177:BB178)-SUM(BC177:BC178))</f>
        <v xml:space="preserve"> </v>
      </c>
      <c r="BG177" s="538">
        <f>IF(SUM(BB177:BB178)-SUM(BC177:BC178)&gt;0," ",SUM(BC177:BC178)-SUM(BB177:BB178))</f>
        <v>0</v>
      </c>
      <c r="BH177" s="1191"/>
      <c r="BI177" s="1194"/>
      <c r="BJ177" s="1206"/>
    </row>
    <row r="178" spans="1:64" s="671" customFormat="1" x14ac:dyDescent="0.2">
      <c r="A178" s="25"/>
      <c r="B178" s="14"/>
      <c r="C178" s="846"/>
      <c r="D178" s="531"/>
      <c r="E178" s="533"/>
      <c r="F178" s="528"/>
      <c r="G178" s="528"/>
      <c r="H178" s="528"/>
      <c r="I178" s="528"/>
      <c r="J178" s="528"/>
      <c r="K178" s="533"/>
      <c r="L178" s="528"/>
      <c r="M178" s="528"/>
      <c r="N178" s="528"/>
      <c r="O178" s="528"/>
      <c r="P178" s="650"/>
      <c r="Q178" s="650"/>
      <c r="R178" s="650"/>
      <c r="S178" s="650"/>
      <c r="T178" s="650"/>
      <c r="U178" s="650"/>
      <c r="V178" s="650"/>
      <c r="W178" s="650"/>
      <c r="X178" s="650"/>
      <c r="Y178" s="650"/>
      <c r="Z178" s="650"/>
      <c r="AA178" s="650"/>
      <c r="AB178" s="650"/>
      <c r="AC178" s="650"/>
      <c r="AD178" s="528"/>
      <c r="AE178" s="528"/>
      <c r="AF178" s="528"/>
      <c r="AG178" s="528"/>
      <c r="AH178" s="529">
        <f t="shared" si="143"/>
        <v>0</v>
      </c>
      <c r="AI178" s="503">
        <f t="shared" si="144"/>
        <v>0</v>
      </c>
      <c r="AJ178" s="534">
        <f>D178+F178+H178+J178+AH178</f>
        <v>0</v>
      </c>
      <c r="AK178" s="535">
        <f>E178+G178+I178+K178+AI178</f>
        <v>0</v>
      </c>
      <c r="AL178" s="528"/>
      <c r="AM178" s="528">
        <f>IF('N.2 GASB 68 ROD'!K32&lt;0,-'N.2 GASB 68 ROD'!K32*'N.2 GASB 68 ROD'!C63,0)</f>
        <v>0</v>
      </c>
      <c r="AN178" s="534"/>
      <c r="AO178" s="535"/>
      <c r="AP178" s="536" t="s">
        <v>2051</v>
      </c>
      <c r="AQ178" s="537">
        <f>'N.2 GASB 68 ROD'!C83</f>
        <v>0</v>
      </c>
      <c r="AR178" s="537"/>
      <c r="AS178" s="580" t="s">
        <v>2051</v>
      </c>
      <c r="AT178" s="580">
        <f>'N.2 GASB 68 ROD'!D83</f>
        <v>0</v>
      </c>
      <c r="AU178" s="539"/>
      <c r="AV178" s="651"/>
      <c r="AW178" s="537"/>
      <c r="AY178" s="651"/>
      <c r="AZ178" s="555"/>
      <c r="BA178" s="524"/>
      <c r="BB178" s="465">
        <f>ROUND(AJ178+AL178+AN178+AQ178+AV178+AZ178,0)</f>
        <v>0</v>
      </c>
      <c r="BC178" s="465">
        <f>ROUND(AK178+AM178+AO178+AT178+AY178+BA178,0)</f>
        <v>0</v>
      </c>
      <c r="BD178" s="534"/>
      <c r="BE178" s="535"/>
      <c r="BF178" s="651"/>
      <c r="BG178" s="652"/>
      <c r="BH178" s="1191"/>
      <c r="BI178" s="36"/>
      <c r="BJ178" s="1206"/>
    </row>
    <row r="179" spans="1:64" s="1031" customFormat="1" ht="25.5" x14ac:dyDescent="0.2">
      <c r="A179" s="25"/>
      <c r="B179" s="14"/>
      <c r="C179" s="849" t="s">
        <v>4025</v>
      </c>
      <c r="D179" s="531"/>
      <c r="E179" s="533"/>
      <c r="F179" s="528"/>
      <c r="G179" s="528"/>
      <c r="H179" s="528"/>
      <c r="I179" s="528"/>
      <c r="J179" s="528"/>
      <c r="K179" s="533"/>
      <c r="L179" s="528"/>
      <c r="M179" s="528"/>
      <c r="N179" s="528"/>
      <c r="O179" s="528"/>
      <c r="P179" s="650"/>
      <c r="Q179" s="650"/>
      <c r="R179" s="650"/>
      <c r="S179" s="650"/>
      <c r="T179" s="650"/>
      <c r="U179" s="650"/>
      <c r="V179" s="650"/>
      <c r="W179" s="650"/>
      <c r="X179" s="650"/>
      <c r="Y179" s="650"/>
      <c r="Z179" s="650"/>
      <c r="AA179" s="650"/>
      <c r="AB179" s="650"/>
      <c r="AC179" s="650"/>
      <c r="AD179" s="528"/>
      <c r="AE179" s="528"/>
      <c r="AF179" s="528"/>
      <c r="AG179" s="528"/>
      <c r="AH179" s="529"/>
      <c r="AI179" s="537"/>
      <c r="AJ179" s="534"/>
      <c r="AK179" s="535"/>
      <c r="AL179" s="580"/>
      <c r="AM179" s="580"/>
      <c r="AN179" s="534"/>
      <c r="AO179" s="535"/>
      <c r="AP179" s="536"/>
      <c r="AQ179" s="580"/>
      <c r="AR179" s="537"/>
      <c r="AS179" s="1138" t="s">
        <v>4022</v>
      </c>
      <c r="AT179" s="580">
        <f>'P.1 GASB 75 OPEB  - plan 1'!D137</f>
        <v>521</v>
      </c>
      <c r="AU179" s="539"/>
      <c r="AV179" s="651"/>
      <c r="AW179" s="537"/>
      <c r="AX179" s="536" t="s">
        <v>2082</v>
      </c>
      <c r="AY179" s="651">
        <f>'K.1  Int. Service Fd Allocation'!G199+'K.2  Int. Service Fd Alloca'!G194+'K.3 Int. Service Fd Alloca'!G194</f>
        <v>0</v>
      </c>
      <c r="AZ179" s="555"/>
      <c r="BA179" s="524"/>
      <c r="BB179" s="465">
        <f>ROUND(AJ179+AL179+AN179+AQ179+AV179+AZ179,0)</f>
        <v>0</v>
      </c>
      <c r="BC179" s="465">
        <f t="shared" si="128"/>
        <v>521</v>
      </c>
      <c r="BD179" s="534"/>
      <c r="BE179" s="535"/>
      <c r="BF179" s="432" t="str">
        <f>IF(SUM(BB179:BB181)-SUM(BC179:BC181)&lt;=0," ",SUM(BB179:BB181)-SUM(BC179:BC181))</f>
        <v xml:space="preserve"> </v>
      </c>
      <c r="BG179" s="538">
        <f>IF(SUM(BB179:BB181)-SUM(BC179:BC181)&gt;0," ",SUM(BC179:BC181)-SUM(BB179:BB181))</f>
        <v>521</v>
      </c>
      <c r="BH179" s="1192" t="s">
        <v>4184</v>
      </c>
      <c r="BI179" s="1194"/>
      <c r="BJ179" s="1206"/>
      <c r="BL179" s="5"/>
    </row>
    <row r="180" spans="1:64" s="1099" customFormat="1" x14ac:dyDescent="0.2">
      <c r="A180" s="25"/>
      <c r="B180" s="14"/>
      <c r="C180" s="849"/>
      <c r="D180" s="531"/>
      <c r="E180" s="533"/>
      <c r="F180" s="528"/>
      <c r="G180" s="528"/>
      <c r="H180" s="528"/>
      <c r="I180" s="528"/>
      <c r="J180" s="528"/>
      <c r="K180" s="533"/>
      <c r="L180" s="528"/>
      <c r="M180" s="528"/>
      <c r="N180" s="528"/>
      <c r="O180" s="528"/>
      <c r="P180" s="650"/>
      <c r="Q180" s="650"/>
      <c r="R180" s="650"/>
      <c r="S180" s="650"/>
      <c r="T180" s="650"/>
      <c r="U180" s="650"/>
      <c r="V180" s="650"/>
      <c r="W180" s="650"/>
      <c r="X180" s="650"/>
      <c r="Y180" s="650"/>
      <c r="Z180" s="650"/>
      <c r="AA180" s="650"/>
      <c r="AB180" s="650"/>
      <c r="AC180" s="650"/>
      <c r="AD180" s="528"/>
      <c r="AE180" s="528"/>
      <c r="AF180" s="528"/>
      <c r="AG180" s="528"/>
      <c r="AH180" s="529"/>
      <c r="AI180" s="537"/>
      <c r="AJ180" s="534"/>
      <c r="AK180" s="535"/>
      <c r="AL180" s="580"/>
      <c r="AM180" s="580"/>
      <c r="AN180" s="534"/>
      <c r="AO180" s="535"/>
      <c r="AP180" s="536"/>
      <c r="AQ180" s="580"/>
      <c r="AR180" s="537"/>
      <c r="AS180" s="1138" t="s">
        <v>4023</v>
      </c>
      <c r="AT180" s="580">
        <f>'P.2 GASB 75 OPEB - plan 2'!D137</f>
        <v>0</v>
      </c>
      <c r="AU180" s="539"/>
      <c r="AV180" s="651"/>
      <c r="AW180" s="537"/>
      <c r="AX180" s="536"/>
      <c r="AY180" s="651"/>
      <c r="AZ180" s="555"/>
      <c r="BA180" s="524"/>
      <c r="BB180" s="465">
        <f t="shared" ref="BB180" si="145">ROUND(AJ180+AL180+AN180+AQ180+AV180+AZ180,0)</f>
        <v>0</v>
      </c>
      <c r="BC180" s="465">
        <f t="shared" ref="BC180:BC181" si="146">ROUND(AK180+AM180+AO180+AT180+AY180+BA180,0)</f>
        <v>0</v>
      </c>
      <c r="BD180" s="534"/>
      <c r="BE180" s="535"/>
      <c r="BF180" s="432"/>
      <c r="BG180" s="538"/>
      <c r="BH180" s="1192"/>
      <c r="BI180" s="1194"/>
      <c r="BJ180" s="1206"/>
    </row>
    <row r="181" spans="1:64" s="1099" customFormat="1" x14ac:dyDescent="0.2">
      <c r="A181" s="25"/>
      <c r="B181" s="14"/>
      <c r="C181" s="849"/>
      <c r="D181" s="531"/>
      <c r="E181" s="533"/>
      <c r="F181" s="528"/>
      <c r="G181" s="528"/>
      <c r="H181" s="528"/>
      <c r="I181" s="528"/>
      <c r="J181" s="528"/>
      <c r="K181" s="533"/>
      <c r="L181" s="528"/>
      <c r="M181" s="528"/>
      <c r="N181" s="528"/>
      <c r="O181" s="528"/>
      <c r="P181" s="650"/>
      <c r="Q181" s="650"/>
      <c r="R181" s="650"/>
      <c r="S181" s="650"/>
      <c r="T181" s="650"/>
      <c r="U181" s="650"/>
      <c r="V181" s="650"/>
      <c r="W181" s="650"/>
      <c r="X181" s="650"/>
      <c r="Y181" s="650"/>
      <c r="Z181" s="650"/>
      <c r="AA181" s="650"/>
      <c r="AB181" s="650"/>
      <c r="AC181" s="650"/>
      <c r="AD181" s="528"/>
      <c r="AE181" s="528"/>
      <c r="AF181" s="528"/>
      <c r="AG181" s="528"/>
      <c r="AH181" s="529"/>
      <c r="AI181" s="537"/>
      <c r="AJ181" s="534"/>
      <c r="AK181" s="535"/>
      <c r="AL181" s="580"/>
      <c r="AM181" s="580"/>
      <c r="AN181" s="534"/>
      <c r="AO181" s="535"/>
      <c r="AP181" s="536"/>
      <c r="AQ181" s="580"/>
      <c r="AR181" s="537"/>
      <c r="AS181" s="1138" t="s">
        <v>4024</v>
      </c>
      <c r="AT181" s="580">
        <f>'P.3 GASB 75 OPEB - plan 3'!D137</f>
        <v>0</v>
      </c>
      <c r="AU181" s="539"/>
      <c r="AV181" s="651"/>
      <c r="AW181" s="537"/>
      <c r="AX181" s="536"/>
      <c r="AY181" s="651"/>
      <c r="AZ181" s="555"/>
      <c r="BA181" s="524"/>
      <c r="BB181" s="465">
        <f>ROUND(AJ181+AL181+AN181+AQ181+AV181+AZ181,0)</f>
        <v>0</v>
      </c>
      <c r="BC181" s="465">
        <f t="shared" si="146"/>
        <v>0</v>
      </c>
      <c r="BD181" s="534"/>
      <c r="BE181" s="535"/>
      <c r="BF181" s="432"/>
      <c r="BG181" s="538"/>
      <c r="BH181" s="1191"/>
      <c r="BI181" s="1194"/>
      <c r="BJ181" s="1206"/>
    </row>
    <row r="182" spans="1:64" x14ac:dyDescent="0.2">
      <c r="A182" s="25"/>
      <c r="B182" s="14"/>
      <c r="C182" s="31"/>
      <c r="D182" s="525"/>
      <c r="E182" s="526"/>
      <c r="F182" s="516"/>
      <c r="G182" s="516"/>
      <c r="H182" s="516"/>
      <c r="I182" s="516"/>
      <c r="J182" s="516"/>
      <c r="K182" s="517"/>
      <c r="L182" s="516"/>
      <c r="M182" s="516"/>
      <c r="N182" s="516"/>
      <c r="O182" s="516"/>
      <c r="P182" s="518"/>
      <c r="Q182" s="518"/>
      <c r="R182" s="518"/>
      <c r="S182" s="518"/>
      <c r="T182" s="518"/>
      <c r="U182" s="518"/>
      <c r="V182" s="518"/>
      <c r="W182" s="518"/>
      <c r="X182" s="518"/>
      <c r="Y182" s="518"/>
      <c r="Z182" s="518"/>
      <c r="AA182" s="518"/>
      <c r="AB182" s="518"/>
      <c r="AC182" s="518"/>
      <c r="AD182" s="516"/>
      <c r="AE182" s="516"/>
      <c r="AF182" s="516"/>
      <c r="AG182" s="516"/>
      <c r="AH182" s="529"/>
      <c r="AI182" s="503"/>
      <c r="AJ182" s="506"/>
      <c r="AK182" s="519"/>
      <c r="AL182" s="516"/>
      <c r="AM182" s="516"/>
      <c r="AN182" s="506"/>
      <c r="AO182" s="519"/>
      <c r="AP182" s="520"/>
      <c r="AQ182" s="504"/>
      <c r="AR182" s="503"/>
      <c r="AS182" s="520"/>
      <c r="AT182" s="432"/>
      <c r="AU182" s="521"/>
      <c r="AV182" s="504"/>
      <c r="AW182" s="503"/>
      <c r="AX182" s="530"/>
      <c r="AY182" s="432"/>
      <c r="AZ182" s="555"/>
      <c r="BA182" s="524"/>
      <c r="BB182" s="1040"/>
      <c r="BC182" s="1040"/>
      <c r="BD182" s="506"/>
      <c r="BE182" s="519"/>
      <c r="BF182" s="504"/>
      <c r="BG182" s="522"/>
      <c r="BH182" s="1191"/>
      <c r="BI182" s="1194"/>
    </row>
    <row r="183" spans="1:64" x14ac:dyDescent="0.2">
      <c r="A183" s="33"/>
      <c r="B183" s="31"/>
      <c r="C183" s="248" t="s">
        <v>852</v>
      </c>
      <c r="D183" s="540"/>
      <c r="E183" s="541">
        <f>13086274-36253+25774+803+440000</f>
        <v>13516598</v>
      </c>
      <c r="F183" s="542"/>
      <c r="G183" s="542"/>
      <c r="H183" s="542"/>
      <c r="I183" s="542"/>
      <c r="J183" s="542"/>
      <c r="K183" s="543"/>
      <c r="L183" s="542"/>
      <c r="M183" s="542"/>
      <c r="N183" s="542"/>
      <c r="O183" s="544">
        <v>11000</v>
      </c>
      <c r="P183" s="544"/>
      <c r="Q183" s="544">
        <v>1623</v>
      </c>
      <c r="R183" s="544"/>
      <c r="S183" s="544">
        <v>12351</v>
      </c>
      <c r="T183" s="544"/>
      <c r="U183" s="544"/>
      <c r="V183" s="544"/>
      <c r="W183" s="544">
        <v>3364</v>
      </c>
      <c r="X183" s="544"/>
      <c r="Y183" s="544">
        <v>27633</v>
      </c>
      <c r="Z183" s="544"/>
      <c r="AA183" s="544">
        <v>337000</v>
      </c>
      <c r="AB183" s="544"/>
      <c r="AC183" s="544">
        <v>290000</v>
      </c>
      <c r="AD183" s="542"/>
      <c r="AE183" s="542"/>
      <c r="AF183" s="542"/>
      <c r="AG183" s="542"/>
      <c r="AH183" s="545">
        <f t="shared" ref="AH183:AH185" si="147">L183+N183+P183+R183+T183+V183+X183+Z183+AB183+AD183+AF183</f>
        <v>0</v>
      </c>
      <c r="AI183" s="546">
        <f t="shared" ref="AI183:AI185" si="148">M183+O183+Q183+S183+U183+W183+Y183+AA183+AC183+AE183+AG183</f>
        <v>682971</v>
      </c>
      <c r="AJ183" s="547">
        <f t="shared" ref="AJ183:AK185" si="149">D183+F183+H183+J183+AH183</f>
        <v>0</v>
      </c>
      <c r="AK183" s="548">
        <f t="shared" si="149"/>
        <v>14199569</v>
      </c>
      <c r="AL183" s="542">
        <f>12141700</f>
        <v>12141700</v>
      </c>
      <c r="AM183" s="542">
        <f>15038456+(8778)+(190721)+15933-646+34952</f>
        <v>15288194</v>
      </c>
      <c r="AN183" s="547"/>
      <c r="AO183" s="548"/>
      <c r="AP183" s="549" t="str">
        <f>'G. Debt Service'!D54</f>
        <v>G.2</v>
      </c>
      <c r="AQ183" s="550">
        <f>'G. Debt Service'!L54</f>
        <v>331007</v>
      </c>
      <c r="AR183" s="546"/>
      <c r="AS183" s="549" t="str">
        <f>'B.  Property Taxes'!A53</f>
        <v>B.1</v>
      </c>
      <c r="AT183" s="1288">
        <f>'B.  Property Taxes'!L55</f>
        <v>2590150</v>
      </c>
      <c r="AU183" s="551"/>
      <c r="AV183" s="550"/>
      <c r="AW183" s="546"/>
      <c r="AX183" s="554" t="s">
        <v>637</v>
      </c>
      <c r="AY183" s="550">
        <f>'K.1  Int. Service Fd Allocation'!G200+'K.2  Int. Service Fd Alloca'!G195+'K.3 Int. Service Fd Alloca'!G195</f>
        <v>0</v>
      </c>
      <c r="AZ183" s="555"/>
      <c r="BA183" s="524"/>
      <c r="BB183" s="550">
        <f t="shared" ref="BB183:BB193" si="150">ROUND(AJ183+AL183+AN183+AQ183+AV183+AZ183,0)</f>
        <v>12472707</v>
      </c>
      <c r="BC183" s="550">
        <f t="shared" ref="BC183:BC194" si="151">ROUND(AK183+AM183+AO183+AT183+AY183+BA183,0)</f>
        <v>32077913</v>
      </c>
      <c r="BD183" s="547"/>
      <c r="BE183" s="548"/>
      <c r="BF183" s="781">
        <f>IF(SUM(BB183:BB190)+BB192-SUM(BC183:BC190)-BC192&gt;0,SUM(BB183:BB190)+BB192-SUM(BC183:BC190)-BC192,0)</f>
        <v>0</v>
      </c>
      <c r="BG183" s="552">
        <f>IF(SUM(BC183:BC190)+BC192-SUM(BB183:BB190)-BB192&gt;0,SUM(BC183:BC190)+BC192-SUM(BB183:BB190)-BB192,0)-5+15</f>
        <v>18303756</v>
      </c>
      <c r="BH183" s="1192"/>
      <c r="BI183" s="1194"/>
    </row>
    <row r="184" spans="1:64" x14ac:dyDescent="0.2">
      <c r="A184" s="33"/>
      <c r="B184" s="31"/>
      <c r="C184" s="248"/>
      <c r="D184" s="540"/>
      <c r="E184" s="541"/>
      <c r="F184" s="542"/>
      <c r="G184" s="542"/>
      <c r="H184" s="542"/>
      <c r="I184" s="542"/>
      <c r="J184" s="542"/>
      <c r="K184" s="543"/>
      <c r="L184" s="542"/>
      <c r="M184" s="542"/>
      <c r="N184" s="542"/>
      <c r="O184" s="542"/>
      <c r="P184" s="544"/>
      <c r="Q184" s="544"/>
      <c r="R184" s="544"/>
      <c r="S184" s="544"/>
      <c r="T184" s="544"/>
      <c r="U184" s="544"/>
      <c r="V184" s="544"/>
      <c r="W184" s="544"/>
      <c r="X184" s="544"/>
      <c r="Y184" s="544"/>
      <c r="Z184" s="544"/>
      <c r="AA184" s="544"/>
      <c r="AB184" s="544"/>
      <c r="AC184" s="544"/>
      <c r="AD184" s="542"/>
      <c r="AE184" s="542"/>
      <c r="AF184" s="542"/>
      <c r="AG184" s="542"/>
      <c r="AH184" s="545">
        <f t="shared" si="147"/>
        <v>0</v>
      </c>
      <c r="AI184" s="546">
        <f t="shared" si="148"/>
        <v>0</v>
      </c>
      <c r="AJ184" s="547">
        <f t="shared" si="149"/>
        <v>0</v>
      </c>
      <c r="AK184" s="548">
        <f t="shared" si="149"/>
        <v>0</v>
      </c>
      <c r="AL184" s="563"/>
      <c r="AM184" s="563"/>
      <c r="AN184" s="547"/>
      <c r="AO184" s="548"/>
      <c r="AP184" s="549" t="s">
        <v>3617</v>
      </c>
      <c r="AQ184" s="550"/>
      <c r="AR184" s="546"/>
      <c r="AS184" s="549" t="str">
        <f>'C. Other Revenues'!B207</f>
        <v>C.1</v>
      </c>
      <c r="AT184" s="550">
        <f>'C. Other Revenues'!M247</f>
        <v>1806100</v>
      </c>
      <c r="AU184" s="551" t="str">
        <f>'L. Eliminations-Consolidations'!B273</f>
        <v>L.8</v>
      </c>
      <c r="AV184" s="550">
        <f>'L. Eliminations-Consolidations'!J283</f>
        <v>0</v>
      </c>
      <c r="AW184" s="546"/>
      <c r="AX184" s="549" t="str">
        <f>'L. Eliminations-Consolidations'!B273</f>
        <v>L.8</v>
      </c>
      <c r="AY184" s="552">
        <f>'L. Eliminations-Consolidations'!L283</f>
        <v>0</v>
      </c>
      <c r="AZ184" s="523"/>
      <c r="BA184" s="524"/>
      <c r="BB184" s="550">
        <f t="shared" si="150"/>
        <v>0</v>
      </c>
      <c r="BC184" s="550">
        <f t="shared" si="151"/>
        <v>1806100</v>
      </c>
      <c r="BD184" s="547"/>
      <c r="BE184" s="548"/>
      <c r="BF184" s="550"/>
      <c r="BG184" s="552"/>
      <c r="BH184" s="1192"/>
      <c r="BI184" s="1194"/>
    </row>
    <row r="185" spans="1:64" x14ac:dyDescent="0.2">
      <c r="A185" s="33"/>
      <c r="B185" s="31"/>
      <c r="C185" s="248"/>
      <c r="D185" s="540"/>
      <c r="E185" s="541"/>
      <c r="F185" s="542"/>
      <c r="G185" s="542"/>
      <c r="H185" s="542"/>
      <c r="I185" s="542"/>
      <c r="J185" s="542"/>
      <c r="K185" s="543"/>
      <c r="L185" s="542"/>
      <c r="M185" s="542"/>
      <c r="N185" s="542"/>
      <c r="O185" s="542"/>
      <c r="P185" s="544"/>
      <c r="Q185" s="544"/>
      <c r="R185" s="544"/>
      <c r="S185" s="544"/>
      <c r="T185" s="544"/>
      <c r="U185" s="544"/>
      <c r="V185" s="544"/>
      <c r="W185" s="544"/>
      <c r="X185" s="544"/>
      <c r="Y185" s="544"/>
      <c r="Z185" s="544"/>
      <c r="AA185" s="544"/>
      <c r="AB185" s="544"/>
      <c r="AC185" s="544"/>
      <c r="AD185" s="542"/>
      <c r="AE185" s="542"/>
      <c r="AF185" s="542"/>
      <c r="AG185" s="542"/>
      <c r="AH185" s="545">
        <f t="shared" si="147"/>
        <v>0</v>
      </c>
      <c r="AI185" s="546">
        <f t="shared" si="148"/>
        <v>0</v>
      </c>
      <c r="AJ185" s="547">
        <f t="shared" si="149"/>
        <v>0</v>
      </c>
      <c r="AK185" s="548">
        <f t="shared" si="149"/>
        <v>0</v>
      </c>
      <c r="AL185" s="563"/>
      <c r="AM185" s="563"/>
      <c r="AN185" s="547"/>
      <c r="AO185" s="548"/>
      <c r="AP185" s="549"/>
      <c r="AQ185" s="550"/>
      <c r="AR185" s="546"/>
      <c r="AS185" s="892" t="str">
        <f>'I.  Other Asset Entries'!B108</f>
        <v>I.1</v>
      </c>
      <c r="AT185" s="550">
        <f>'I.  Other Asset Entries'!N123</f>
        <v>8383</v>
      </c>
      <c r="AU185" s="551"/>
      <c r="AV185" s="550"/>
      <c r="AW185" s="546"/>
      <c r="AX185" s="549"/>
      <c r="AY185" s="552"/>
      <c r="AZ185" s="523"/>
      <c r="BA185" s="524"/>
      <c r="BB185" s="550">
        <f t="shared" si="150"/>
        <v>0</v>
      </c>
      <c r="BC185" s="550">
        <f t="shared" si="151"/>
        <v>8383</v>
      </c>
      <c r="BD185" s="547"/>
      <c r="BE185" s="548"/>
      <c r="BF185" s="550"/>
      <c r="BG185" s="552"/>
      <c r="BH185" s="1192"/>
      <c r="BI185" s="1194"/>
    </row>
    <row r="186" spans="1:64" s="693" customFormat="1" x14ac:dyDescent="0.2">
      <c r="A186" s="33"/>
      <c r="B186" s="694"/>
      <c r="C186" s="780" t="s">
        <v>4051</v>
      </c>
      <c r="D186" s="540"/>
      <c r="E186" s="541"/>
      <c r="F186" s="542"/>
      <c r="G186" s="542"/>
      <c r="H186" s="542"/>
      <c r="I186" s="542"/>
      <c r="J186" s="542"/>
      <c r="K186" s="543"/>
      <c r="L186" s="542"/>
      <c r="M186" s="542"/>
      <c r="N186" s="542"/>
      <c r="O186" s="542"/>
      <c r="P186" s="544"/>
      <c r="Q186" s="544"/>
      <c r="R186" s="544"/>
      <c r="S186" s="544"/>
      <c r="T186" s="544"/>
      <c r="U186" s="544"/>
      <c r="V186" s="544"/>
      <c r="W186" s="544"/>
      <c r="X186" s="544"/>
      <c r="Y186" s="544"/>
      <c r="Z186" s="544"/>
      <c r="AA186" s="544"/>
      <c r="AB186" s="544"/>
      <c r="AC186" s="544"/>
      <c r="AD186" s="542"/>
      <c r="AE186" s="542"/>
      <c r="AF186" s="542"/>
      <c r="AG186" s="542"/>
      <c r="AH186" s="545"/>
      <c r="AI186" s="546"/>
      <c r="AJ186" s="547"/>
      <c r="AK186" s="548"/>
      <c r="AL186" s="563">
        <f>AM151</f>
        <v>218892</v>
      </c>
      <c r="AM186" s="563"/>
      <c r="AN186" s="547"/>
      <c r="AO186" s="548"/>
      <c r="AP186" s="549"/>
      <c r="AQ186" s="550"/>
      <c r="AR186" s="546"/>
      <c r="AS186" s="1148"/>
      <c r="AT186" s="1148"/>
      <c r="AU186" s="551"/>
      <c r="AV186" s="550"/>
      <c r="AW186" s="546"/>
      <c r="AX186" s="549"/>
      <c r="AY186" s="552"/>
      <c r="AZ186" s="523"/>
      <c r="BA186" s="524"/>
      <c r="BB186" s="550">
        <f t="shared" ref="BB186:BB187" si="152">ROUND(AJ186+AL186+AN186+AQ186+AV186+AZ186,0)</f>
        <v>218892</v>
      </c>
      <c r="BC186" s="550">
        <f t="shared" ref="BC186:BC187" si="153">ROUND(AK186+AM186+AO186+AT186+AY186+BA186,0)</f>
        <v>0</v>
      </c>
      <c r="BD186" s="547"/>
      <c r="BE186" s="548"/>
      <c r="BF186" s="550"/>
      <c r="BG186" s="552"/>
      <c r="BH186" s="1192"/>
      <c r="BI186" s="1194"/>
      <c r="BJ186" s="1206"/>
    </row>
    <row r="187" spans="1:64" s="1141" customFormat="1" x14ac:dyDescent="0.2">
      <c r="A187" s="33"/>
      <c r="B187" s="1142"/>
      <c r="C187" s="780"/>
      <c r="D187" s="540"/>
      <c r="E187" s="541"/>
      <c r="F187" s="542"/>
      <c r="G187" s="542"/>
      <c r="H187" s="542"/>
      <c r="I187" s="542"/>
      <c r="J187" s="542"/>
      <c r="K187" s="543"/>
      <c r="L187" s="542"/>
      <c r="M187" s="542"/>
      <c r="N187" s="542"/>
      <c r="O187" s="542"/>
      <c r="P187" s="544"/>
      <c r="Q187" s="544"/>
      <c r="R187" s="544"/>
      <c r="S187" s="544"/>
      <c r="T187" s="544"/>
      <c r="U187" s="544"/>
      <c r="V187" s="544"/>
      <c r="W187" s="544"/>
      <c r="X187" s="544"/>
      <c r="Y187" s="544"/>
      <c r="Z187" s="544"/>
      <c r="AA187" s="544"/>
      <c r="AB187" s="544"/>
      <c r="AC187" s="544"/>
      <c r="AD187" s="542"/>
      <c r="AE187" s="542"/>
      <c r="AF187" s="542"/>
      <c r="AG187" s="542"/>
      <c r="AH187" s="545"/>
      <c r="AI187" s="546"/>
      <c r="AJ187" s="547"/>
      <c r="AK187" s="548"/>
      <c r="AL187" s="563"/>
      <c r="AM187" s="563"/>
      <c r="AN187" s="547"/>
      <c r="AO187" s="548"/>
      <c r="AP187" s="549"/>
      <c r="AQ187" s="550"/>
      <c r="AR187" s="546"/>
      <c r="AS187" s="549" t="s">
        <v>475</v>
      </c>
      <c r="AT187" s="550">
        <f>'J. Other Liability &amp; Expenses'!N221</f>
        <v>50585</v>
      </c>
      <c r="AU187" s="551"/>
      <c r="AV187" s="550"/>
      <c r="AW187" s="546"/>
      <c r="AX187" s="549"/>
      <c r="AY187" s="552"/>
      <c r="AZ187" s="523"/>
      <c r="BA187" s="524"/>
      <c r="BB187" s="550">
        <f t="shared" si="152"/>
        <v>0</v>
      </c>
      <c r="BC187" s="550">
        <f t="shared" si="153"/>
        <v>50585</v>
      </c>
      <c r="BD187" s="547"/>
      <c r="BE187" s="548"/>
      <c r="BF187" s="550"/>
      <c r="BG187" s="552"/>
      <c r="BH187" s="1192"/>
      <c r="BI187" s="1194"/>
      <c r="BJ187" s="1206"/>
    </row>
    <row r="188" spans="1:64" s="1104" customFormat="1" x14ac:dyDescent="0.2">
      <c r="A188" s="33"/>
      <c r="B188" s="1105"/>
      <c r="C188" s="780" t="s">
        <v>4073</v>
      </c>
      <c r="D188" s="540"/>
      <c r="E188" s="541"/>
      <c r="F188" s="542"/>
      <c r="G188" s="542"/>
      <c r="H188" s="542"/>
      <c r="I188" s="542"/>
      <c r="J188" s="542"/>
      <c r="K188" s="543"/>
      <c r="L188" s="542"/>
      <c r="M188" s="542"/>
      <c r="N188" s="542"/>
      <c r="O188" s="542"/>
      <c r="P188" s="544"/>
      <c r="Q188" s="544"/>
      <c r="R188" s="544"/>
      <c r="S188" s="544"/>
      <c r="T188" s="544"/>
      <c r="U188" s="544"/>
      <c r="V188" s="544"/>
      <c r="W188" s="544"/>
      <c r="X188" s="544"/>
      <c r="Y188" s="544"/>
      <c r="Z188" s="544"/>
      <c r="AA188" s="544"/>
      <c r="AB188" s="544"/>
      <c r="AC188" s="544"/>
      <c r="AD188" s="542"/>
      <c r="AE188" s="542"/>
      <c r="AF188" s="542"/>
      <c r="AG188" s="542"/>
      <c r="AH188" s="545"/>
      <c r="AI188" s="546"/>
      <c r="AJ188" s="547"/>
      <c r="AK188" s="548"/>
      <c r="AL188" s="781"/>
      <c r="AM188" s="781"/>
      <c r="AN188" s="547"/>
      <c r="AO188" s="548"/>
      <c r="AP188" s="549" t="s">
        <v>4022</v>
      </c>
      <c r="AQ188" s="550">
        <f>'P.1 GASB 75 OPEB  - plan 1'!C103</f>
        <v>1853958</v>
      </c>
      <c r="AR188" s="546"/>
      <c r="AS188" s="549" t="s">
        <v>4022</v>
      </c>
      <c r="AT188" s="550">
        <f>'P.1 GASB 75 OPEB  - plan 1'!D103</f>
        <v>0</v>
      </c>
      <c r="AU188" s="551"/>
      <c r="AV188" s="550"/>
      <c r="AW188" s="546"/>
      <c r="AX188" s="549"/>
      <c r="AY188" s="552"/>
      <c r="AZ188" s="523"/>
      <c r="BA188" s="524"/>
      <c r="BB188" s="550">
        <f t="shared" ref="BB188" si="154">ROUND(AJ188+AL188+AN188+AQ188+AV188+AZ188,0)</f>
        <v>1853958</v>
      </c>
      <c r="BC188" s="550">
        <f t="shared" ref="BC188:BC189" si="155">ROUND(AK188+AM188+AO188+AT188+AY188+BA188,0)</f>
        <v>0</v>
      </c>
      <c r="BD188" s="547"/>
      <c r="BE188" s="548"/>
      <c r="BF188" s="550"/>
      <c r="BG188" s="552"/>
      <c r="BH188" s="1192"/>
      <c r="BI188" s="1194"/>
      <c r="BJ188" s="1206"/>
    </row>
    <row r="189" spans="1:64" s="1104" customFormat="1" x14ac:dyDescent="0.2">
      <c r="A189" s="33"/>
      <c r="B189" s="1105"/>
      <c r="C189" s="780" t="s">
        <v>4074</v>
      </c>
      <c r="D189" s="540"/>
      <c r="E189" s="541"/>
      <c r="F189" s="542"/>
      <c r="G189" s="542"/>
      <c r="H189" s="542"/>
      <c r="I189" s="542"/>
      <c r="J189" s="542"/>
      <c r="K189" s="543"/>
      <c r="L189" s="542"/>
      <c r="M189" s="542"/>
      <c r="N189" s="542"/>
      <c r="O189" s="542"/>
      <c r="P189" s="544"/>
      <c r="Q189" s="544"/>
      <c r="R189" s="544"/>
      <c r="S189" s="544"/>
      <c r="T189" s="544"/>
      <c r="U189" s="544"/>
      <c r="V189" s="544"/>
      <c r="W189" s="544"/>
      <c r="X189" s="544"/>
      <c r="Y189" s="544"/>
      <c r="Z189" s="544"/>
      <c r="AA189" s="544"/>
      <c r="AB189" s="544"/>
      <c r="AC189" s="544"/>
      <c r="AD189" s="542"/>
      <c r="AE189" s="542"/>
      <c r="AF189" s="542"/>
      <c r="AG189" s="542"/>
      <c r="AH189" s="545"/>
      <c r="AI189" s="546"/>
      <c r="AJ189" s="547"/>
      <c r="AK189" s="548"/>
      <c r="AL189" s="781"/>
      <c r="AM189" s="550"/>
      <c r="AN189" s="547"/>
      <c r="AO189" s="548"/>
      <c r="AP189" s="549" t="s">
        <v>4023</v>
      </c>
      <c r="AQ189" s="550">
        <f>'P.2 GASB 75 OPEB - plan 2'!C103</f>
        <v>0</v>
      </c>
      <c r="AR189" s="546"/>
      <c r="AS189" s="549" t="s">
        <v>4023</v>
      </c>
      <c r="AT189" s="550">
        <f>'P.2 GASB 75 OPEB - plan 2'!D103</f>
        <v>0</v>
      </c>
      <c r="AU189" s="551"/>
      <c r="AV189" s="550"/>
      <c r="AW189" s="546"/>
      <c r="AX189" s="549"/>
      <c r="AY189" s="552"/>
      <c r="AZ189" s="523"/>
      <c r="BA189" s="524"/>
      <c r="BB189" s="550">
        <f>ROUND(AJ189+AL189+AN189+AQ189+AV189+AZ189,0)</f>
        <v>0</v>
      </c>
      <c r="BC189" s="550">
        <f t="shared" si="155"/>
        <v>0</v>
      </c>
      <c r="BD189" s="547"/>
      <c r="BE189" s="548"/>
      <c r="BF189" s="550"/>
      <c r="BG189" s="552"/>
      <c r="BH189" s="1192"/>
      <c r="BI189" s="1194"/>
      <c r="BJ189" s="1206"/>
    </row>
    <row r="190" spans="1:64" s="1104" customFormat="1" x14ac:dyDescent="0.2">
      <c r="A190" s="33"/>
      <c r="B190" s="1105"/>
      <c r="C190" s="780" t="s">
        <v>4075</v>
      </c>
      <c r="D190" s="540"/>
      <c r="E190" s="541"/>
      <c r="F190" s="542"/>
      <c r="G190" s="542"/>
      <c r="H190" s="542"/>
      <c r="I190" s="542"/>
      <c r="J190" s="542"/>
      <c r="K190" s="543"/>
      <c r="L190" s="542"/>
      <c r="M190" s="542"/>
      <c r="N190" s="542"/>
      <c r="O190" s="542"/>
      <c r="P190" s="544"/>
      <c r="Q190" s="544"/>
      <c r="R190" s="544"/>
      <c r="S190" s="544"/>
      <c r="T190" s="544"/>
      <c r="U190" s="544"/>
      <c r="V190" s="544"/>
      <c r="W190" s="544"/>
      <c r="X190" s="544"/>
      <c r="Y190" s="544"/>
      <c r="Z190" s="544"/>
      <c r="AA190" s="544"/>
      <c r="AB190" s="544"/>
      <c r="AC190" s="544"/>
      <c r="AD190" s="542"/>
      <c r="AE190" s="542"/>
      <c r="AF190" s="542"/>
      <c r="AG190" s="542"/>
      <c r="AH190" s="545"/>
      <c r="AI190" s="546"/>
      <c r="AJ190" s="547"/>
      <c r="AK190" s="548"/>
      <c r="AL190" s="781"/>
      <c r="AM190" s="550"/>
      <c r="AN190" s="547"/>
      <c r="AO190" s="548"/>
      <c r="AP190" s="549" t="s">
        <v>4024</v>
      </c>
      <c r="AQ190" s="550">
        <f>'P.3 GASB 75 OPEB - plan 3'!C103</f>
        <v>0</v>
      </c>
      <c r="AR190" s="546"/>
      <c r="AS190" s="549" t="s">
        <v>4024</v>
      </c>
      <c r="AT190" s="550">
        <f>'P.3 GASB 75 OPEB - plan 3'!D103</f>
        <v>0</v>
      </c>
      <c r="AU190" s="551"/>
      <c r="AV190" s="550"/>
      <c r="AW190" s="546"/>
      <c r="AX190" s="549"/>
      <c r="AY190" s="552"/>
      <c r="AZ190" s="523"/>
      <c r="BA190" s="524"/>
      <c r="BB190" s="550">
        <f>ROUND(AJ190+AL190+AN190+AQ190+AV190+AZ190,0)</f>
        <v>0</v>
      </c>
      <c r="BC190" s="550">
        <f>ROUND(AK190+AM190+AO190+AT190+AY190+BA190,0)</f>
        <v>0</v>
      </c>
      <c r="BD190" s="547"/>
      <c r="BE190" s="548"/>
      <c r="BF190" s="550"/>
      <c r="BG190" s="552"/>
      <c r="BH190" s="1192"/>
      <c r="BI190" s="1194"/>
      <c r="BJ190" s="1206"/>
    </row>
    <row r="191" spans="1:64" x14ac:dyDescent="0.2">
      <c r="A191" s="33"/>
      <c r="B191" s="31"/>
      <c r="C191" s="248"/>
      <c r="D191" s="540"/>
      <c r="E191" s="541"/>
      <c r="F191" s="542"/>
      <c r="G191" s="542"/>
      <c r="H191" s="542"/>
      <c r="I191" s="542"/>
      <c r="J191" s="542"/>
      <c r="K191" s="543"/>
      <c r="L191" s="542"/>
      <c r="M191" s="542"/>
      <c r="N191" s="542"/>
      <c r="O191" s="542"/>
      <c r="P191" s="544"/>
      <c r="Q191" s="544"/>
      <c r="R191" s="544"/>
      <c r="S191" s="544"/>
      <c r="T191" s="544"/>
      <c r="U191" s="544"/>
      <c r="V191" s="544"/>
      <c r="W191" s="544"/>
      <c r="X191" s="544"/>
      <c r="Y191" s="544"/>
      <c r="Z191" s="544"/>
      <c r="AA191" s="544"/>
      <c r="AB191" s="544"/>
      <c r="AC191" s="544"/>
      <c r="AD191" s="542"/>
      <c r="AE191" s="542"/>
      <c r="AF191" s="542"/>
      <c r="AG191" s="542"/>
      <c r="AH191" s="545">
        <f t="shared" ref="AH191:AH197" si="156">L191+N191+P191+R191+T191+V191+X191+Z191+AB191+AD191+AF191</f>
        <v>0</v>
      </c>
      <c r="AI191" s="546">
        <f t="shared" ref="AI191:AI197" si="157">M191+O191+Q191+S191+U191+W191+Y191+AA191+AC191+AE191+AG191</f>
        <v>0</v>
      </c>
      <c r="AJ191" s="547">
        <f t="shared" ref="AJ191:AJ214" si="158">D191+F191+H191+J191+AH191</f>
        <v>0</v>
      </c>
      <c r="AK191" s="548">
        <f t="shared" ref="AK191:AK214" si="159">E191+G191+I191+K191+AI191</f>
        <v>0</v>
      </c>
      <c r="AL191" s="563"/>
      <c r="AM191" s="563"/>
      <c r="AN191" s="547"/>
      <c r="AO191" s="548"/>
      <c r="AP191" s="549"/>
      <c r="AQ191" s="550"/>
      <c r="AR191" s="546"/>
      <c r="AS191" s="559"/>
      <c r="AT191" s="560"/>
      <c r="AU191" s="551" t="str">
        <f>'L. Eliminations-Consolidations'!B289</f>
        <v>L.9</v>
      </c>
      <c r="AV191" s="550">
        <f>'L. Eliminations-Consolidations'!J289</f>
        <v>19758172</v>
      </c>
      <c r="AW191" s="546"/>
      <c r="AX191" s="549"/>
      <c r="AY191" s="552"/>
      <c r="AZ191" s="523"/>
      <c r="BA191" s="524"/>
      <c r="BB191" s="550">
        <f>ROUND(AJ191+AL191+AN191+AQ191+AV191+AZ191,0)</f>
        <v>19758172</v>
      </c>
      <c r="BC191" s="550">
        <f t="shared" si="151"/>
        <v>0</v>
      </c>
      <c r="BD191" s="547"/>
      <c r="BE191" s="548"/>
      <c r="BF191" s="550"/>
      <c r="BG191" s="552"/>
      <c r="BH191" s="1190"/>
    </row>
    <row r="192" spans="1:64" s="778" customFormat="1" ht="25.5" x14ac:dyDescent="0.2">
      <c r="A192" s="33"/>
      <c r="B192" s="779"/>
      <c r="C192" s="780" t="s">
        <v>2621</v>
      </c>
      <c r="D192" s="540"/>
      <c r="E192" s="541"/>
      <c r="F192" s="542"/>
      <c r="G192" s="542"/>
      <c r="H192" s="542"/>
      <c r="I192" s="542"/>
      <c r="J192" s="542"/>
      <c r="K192" s="543"/>
      <c r="L192" s="542"/>
      <c r="M192" s="542"/>
      <c r="N192" s="542"/>
      <c r="O192" s="542"/>
      <c r="P192" s="544"/>
      <c r="Q192" s="544"/>
      <c r="R192" s="544"/>
      <c r="S192" s="544"/>
      <c r="T192" s="544"/>
      <c r="U192" s="544"/>
      <c r="V192" s="544"/>
      <c r="W192" s="544"/>
      <c r="X192" s="544"/>
      <c r="Y192" s="544"/>
      <c r="Z192" s="544"/>
      <c r="AA192" s="544"/>
      <c r="AB192" s="544"/>
      <c r="AC192" s="544"/>
      <c r="AD192" s="542"/>
      <c r="AE192" s="542"/>
      <c r="AF192" s="542"/>
      <c r="AG192" s="542"/>
      <c r="AH192" s="545">
        <f t="shared" si="156"/>
        <v>0</v>
      </c>
      <c r="AI192" s="546">
        <f t="shared" si="157"/>
        <v>0</v>
      </c>
      <c r="AJ192" s="547">
        <f t="shared" si="158"/>
        <v>0</v>
      </c>
      <c r="AK192" s="548">
        <f t="shared" si="159"/>
        <v>0</v>
      </c>
      <c r="AL192" s="540">
        <f>AM178+AM177+AM173+AM172+AM171+AM166+AM165+AM164+AM163+AM162+AM149</f>
        <v>4010804</v>
      </c>
      <c r="AM192" s="541">
        <f>AL103+AL102+AL98+AL97+AL96+AL92+AL91+AL90+AL89+AL88+AL83+AL82+AL33+AL32</f>
        <v>2917126</v>
      </c>
      <c r="AN192" s="547"/>
      <c r="AO192" s="548"/>
      <c r="AP192" s="549"/>
      <c r="AQ192" s="550"/>
      <c r="AR192" s="546"/>
      <c r="AS192" s="559"/>
      <c r="AT192" s="560"/>
      <c r="AU192" s="551"/>
      <c r="AV192" s="550"/>
      <c r="AW192" s="546"/>
      <c r="AX192" s="549"/>
      <c r="AY192" s="552"/>
      <c r="AZ192" s="523"/>
      <c r="BA192" s="524"/>
      <c r="BB192" s="550">
        <f t="shared" si="150"/>
        <v>4010804</v>
      </c>
      <c r="BC192" s="550">
        <f t="shared" si="151"/>
        <v>2917126</v>
      </c>
      <c r="BD192" s="547"/>
      <c r="BE192" s="548"/>
      <c r="BF192" s="550"/>
      <c r="BG192" s="552"/>
      <c r="BH192" s="1189"/>
      <c r="BI192" s="1193"/>
      <c r="BJ192" s="1206"/>
    </row>
    <row r="193" spans="1:63" x14ac:dyDescent="0.2">
      <c r="A193" s="25"/>
      <c r="B193" s="14"/>
      <c r="C193" s="653" t="s">
        <v>1141</v>
      </c>
      <c r="D193" s="540"/>
      <c r="E193" s="541"/>
      <c r="F193" s="542"/>
      <c r="G193" s="542"/>
      <c r="H193" s="565"/>
      <c r="I193" s="565"/>
      <c r="J193" s="565"/>
      <c r="K193" s="541"/>
      <c r="L193" s="542"/>
      <c r="M193" s="542"/>
      <c r="N193" s="542"/>
      <c r="O193" s="542"/>
      <c r="P193" s="544"/>
      <c r="Q193" s="544"/>
      <c r="R193" s="544"/>
      <c r="S193" s="544"/>
      <c r="T193" s="544"/>
      <c r="U193" s="544"/>
      <c r="V193" s="544"/>
      <c r="W193" s="544"/>
      <c r="X193" s="544"/>
      <c r="Y193" s="544"/>
      <c r="Z193" s="544"/>
      <c r="AA193" s="544"/>
      <c r="AB193" s="544"/>
      <c r="AC193" s="544"/>
      <c r="AD193" s="542"/>
      <c r="AE193" s="542"/>
      <c r="AF193" s="542"/>
      <c r="AG193" s="542"/>
      <c r="AH193" s="545">
        <f t="shared" si="156"/>
        <v>0</v>
      </c>
      <c r="AI193" s="546">
        <f t="shared" si="157"/>
        <v>0</v>
      </c>
      <c r="AJ193" s="547">
        <f t="shared" si="158"/>
        <v>0</v>
      </c>
      <c r="AK193" s="548">
        <f t="shared" si="159"/>
        <v>0</v>
      </c>
      <c r="AL193" s="542"/>
      <c r="AM193" s="542"/>
      <c r="AN193" s="547"/>
      <c r="AO193" s="548"/>
      <c r="AP193" s="549"/>
      <c r="AQ193" s="550"/>
      <c r="AR193" s="546"/>
      <c r="AS193" s="559"/>
      <c r="AT193" s="560"/>
      <c r="AU193" s="551"/>
      <c r="AV193" s="550"/>
      <c r="AW193" s="546"/>
      <c r="AX193" s="549"/>
      <c r="AY193" s="552"/>
      <c r="AZ193" s="523"/>
      <c r="BA193" s="524"/>
      <c r="BB193" s="550">
        <f t="shared" si="150"/>
        <v>0</v>
      </c>
      <c r="BC193" s="550">
        <f t="shared" si="151"/>
        <v>0</v>
      </c>
      <c r="BD193" s="547"/>
      <c r="BE193" s="548"/>
      <c r="BF193" s="550">
        <f>BE417</f>
        <v>0</v>
      </c>
      <c r="BG193" s="552">
        <f>BD417</f>
        <v>1454416</v>
      </c>
      <c r="BH193" s="1192"/>
      <c r="BK193" s="576"/>
    </row>
    <row r="194" spans="1:63" x14ac:dyDescent="0.2">
      <c r="A194" s="25"/>
      <c r="B194" s="14"/>
      <c r="C194" s="653" t="s">
        <v>1142</v>
      </c>
      <c r="D194" s="540"/>
      <c r="E194" s="541"/>
      <c r="F194" s="542"/>
      <c r="G194" s="542"/>
      <c r="H194" s="565"/>
      <c r="I194" s="565"/>
      <c r="J194" s="565"/>
      <c r="K194" s="541"/>
      <c r="L194" s="542"/>
      <c r="M194" s="542"/>
      <c r="N194" s="542"/>
      <c r="O194" s="542"/>
      <c r="P194" s="544"/>
      <c r="Q194" s="544"/>
      <c r="R194" s="544"/>
      <c r="S194" s="544"/>
      <c r="T194" s="544"/>
      <c r="U194" s="544"/>
      <c r="V194" s="544"/>
      <c r="W194" s="544"/>
      <c r="X194" s="544"/>
      <c r="Y194" s="544"/>
      <c r="Z194" s="544"/>
      <c r="AA194" s="544"/>
      <c r="AB194" s="544"/>
      <c r="AC194" s="544"/>
      <c r="AD194" s="542"/>
      <c r="AE194" s="542"/>
      <c r="AF194" s="542"/>
      <c r="AG194" s="542"/>
      <c r="AH194" s="545">
        <f t="shared" si="156"/>
        <v>0</v>
      </c>
      <c r="AI194" s="546">
        <f t="shared" si="157"/>
        <v>0</v>
      </c>
      <c r="AJ194" s="547">
        <f t="shared" si="158"/>
        <v>0</v>
      </c>
      <c r="AK194" s="548">
        <f t="shared" si="159"/>
        <v>0</v>
      </c>
      <c r="AL194" s="542"/>
      <c r="AM194" s="542"/>
      <c r="AN194" s="547"/>
      <c r="AO194" s="548"/>
      <c r="AP194" s="549"/>
      <c r="AQ194" s="550"/>
      <c r="AR194" s="546"/>
      <c r="AS194" s="559"/>
      <c r="AT194" s="560"/>
      <c r="AU194" s="551"/>
      <c r="AV194" s="550"/>
      <c r="AW194" s="546"/>
      <c r="AX194" s="549"/>
      <c r="AY194" s="552"/>
      <c r="AZ194" s="523"/>
      <c r="BA194" s="524"/>
      <c r="BB194" s="550">
        <f>ROUND(AJ194+AL194+AN194+AQ194+AV194+AZ194,0)</f>
        <v>0</v>
      </c>
      <c r="BC194" s="550">
        <f t="shared" si="151"/>
        <v>0</v>
      </c>
      <c r="BD194" s="547"/>
      <c r="BE194" s="548"/>
      <c r="BF194" s="550">
        <f>BB191</f>
        <v>19758172</v>
      </c>
      <c r="BG194" s="552"/>
      <c r="BH194" s="1200"/>
    </row>
    <row r="195" spans="1:63" x14ac:dyDescent="0.2">
      <c r="A195" s="25"/>
      <c r="B195" s="14"/>
      <c r="C195" s="14"/>
      <c r="D195" s="525"/>
      <c r="E195" s="526"/>
      <c r="F195" s="516"/>
      <c r="G195" s="516"/>
      <c r="H195" s="566"/>
      <c r="I195" s="566"/>
      <c r="J195" s="566"/>
      <c r="K195" s="526"/>
      <c r="L195" s="516"/>
      <c r="M195" s="516"/>
      <c r="N195" s="516"/>
      <c r="O195" s="516"/>
      <c r="P195" s="518"/>
      <c r="Q195" s="518"/>
      <c r="R195" s="518"/>
      <c r="S195" s="518"/>
      <c r="T195" s="518"/>
      <c r="U195" s="518"/>
      <c r="V195" s="518"/>
      <c r="W195" s="518"/>
      <c r="X195" s="518"/>
      <c r="Y195" s="518"/>
      <c r="Z195" s="518"/>
      <c r="AA195" s="518"/>
      <c r="AB195" s="518"/>
      <c r="AC195" s="518"/>
      <c r="AD195" s="516"/>
      <c r="AE195" s="516"/>
      <c r="AF195" s="516"/>
      <c r="AG195" s="516"/>
      <c r="AH195" s="529">
        <f t="shared" si="156"/>
        <v>0</v>
      </c>
      <c r="AI195" s="503">
        <f t="shared" si="157"/>
        <v>0</v>
      </c>
      <c r="AJ195" s="506">
        <f t="shared" si="158"/>
        <v>0</v>
      </c>
      <c r="AK195" s="519">
        <f t="shared" si="159"/>
        <v>0</v>
      </c>
      <c r="AL195" s="503"/>
      <c r="AM195" s="503"/>
      <c r="AN195" s="506"/>
      <c r="AO195" s="519"/>
      <c r="AP195" s="520"/>
      <c r="AQ195" s="504"/>
      <c r="AR195" s="503"/>
      <c r="AU195" s="521"/>
      <c r="AV195" s="504"/>
      <c r="AW195" s="503"/>
      <c r="AX195" s="520"/>
      <c r="AY195" s="522"/>
      <c r="AZ195" s="523"/>
      <c r="BA195" s="524"/>
      <c r="BB195" s="432"/>
      <c r="BC195" s="432"/>
      <c r="BD195" s="506"/>
      <c r="BE195" s="519"/>
      <c r="BF195" s="504"/>
      <c r="BG195" s="522"/>
    </row>
    <row r="196" spans="1:63" x14ac:dyDescent="0.2">
      <c r="A196" s="25"/>
      <c r="B196" s="44" t="s">
        <v>1095</v>
      </c>
      <c r="C196" s="31"/>
      <c r="D196" s="525"/>
      <c r="E196" s="526"/>
      <c r="F196" s="516"/>
      <c r="G196" s="516"/>
      <c r="H196" s="566"/>
      <c r="I196" s="566"/>
      <c r="J196" s="566"/>
      <c r="K196" s="526"/>
      <c r="L196" s="516"/>
      <c r="M196" s="516"/>
      <c r="N196" s="516"/>
      <c r="O196" s="516"/>
      <c r="P196" s="518"/>
      <c r="Q196" s="518"/>
      <c r="R196" s="518"/>
      <c r="S196" s="518"/>
      <c r="T196" s="518"/>
      <c r="U196" s="518"/>
      <c r="V196" s="518"/>
      <c r="W196" s="518"/>
      <c r="X196" s="518"/>
      <c r="Y196" s="518"/>
      <c r="Z196" s="518"/>
      <c r="AA196" s="518"/>
      <c r="AB196" s="518"/>
      <c r="AC196" s="518"/>
      <c r="AD196" s="516"/>
      <c r="AE196" s="516"/>
      <c r="AF196" s="516"/>
      <c r="AG196" s="516"/>
      <c r="AH196" s="529">
        <f t="shared" si="156"/>
        <v>0</v>
      </c>
      <c r="AI196" s="503">
        <f t="shared" si="157"/>
        <v>0</v>
      </c>
      <c r="AJ196" s="506">
        <f t="shared" si="158"/>
        <v>0</v>
      </c>
      <c r="AK196" s="519">
        <f t="shared" si="159"/>
        <v>0</v>
      </c>
      <c r="AL196" s="503"/>
      <c r="AM196" s="503"/>
      <c r="AN196" s="506"/>
      <c r="AO196" s="519"/>
      <c r="AP196" s="520"/>
      <c r="AQ196" s="504"/>
      <c r="AR196" s="503"/>
      <c r="AU196" s="521"/>
      <c r="AV196" s="504"/>
      <c r="AW196" s="503"/>
      <c r="AX196" s="520"/>
      <c r="AY196" s="522"/>
      <c r="AZ196" s="523"/>
      <c r="BA196" s="524"/>
      <c r="BB196" s="432"/>
      <c r="BC196" s="432"/>
      <c r="BD196" s="506"/>
      <c r="BE196" s="519"/>
      <c r="BF196" s="504" t="str">
        <f t="shared" si="90"/>
        <v xml:space="preserve"> </v>
      </c>
      <c r="BG196" s="522"/>
    </row>
    <row r="197" spans="1:63" ht="14.25" customHeight="1" x14ac:dyDescent="0.2">
      <c r="A197" s="25"/>
      <c r="B197" s="1391" t="s">
        <v>564</v>
      </c>
      <c r="C197" s="403" t="s">
        <v>1059</v>
      </c>
      <c r="D197" s="525"/>
      <c r="E197" s="526"/>
      <c r="F197" s="516"/>
      <c r="G197" s="516"/>
      <c r="H197" s="566"/>
      <c r="I197" s="566"/>
      <c r="J197" s="566"/>
      <c r="K197" s="526"/>
      <c r="L197" s="516"/>
      <c r="M197" s="516"/>
      <c r="N197" s="516"/>
      <c r="O197" s="516"/>
      <c r="P197" s="518"/>
      <c r="Q197" s="518"/>
      <c r="R197" s="518"/>
      <c r="S197" s="518"/>
      <c r="T197" s="518"/>
      <c r="U197" s="518"/>
      <c r="V197" s="518"/>
      <c r="W197" s="518"/>
      <c r="X197" s="518"/>
      <c r="Y197" s="518"/>
      <c r="Z197" s="518"/>
      <c r="AA197" s="518"/>
      <c r="AB197" s="518"/>
      <c r="AC197" s="518"/>
      <c r="AD197" s="516"/>
      <c r="AE197" s="516"/>
      <c r="AF197" s="516"/>
      <c r="AG197" s="516"/>
      <c r="AH197" s="529">
        <f t="shared" si="156"/>
        <v>0</v>
      </c>
      <c r="AI197" s="503">
        <f t="shared" si="157"/>
        <v>0</v>
      </c>
      <c r="AJ197" s="506">
        <f t="shared" si="158"/>
        <v>0</v>
      </c>
      <c r="AK197" s="519">
        <f t="shared" si="159"/>
        <v>0</v>
      </c>
      <c r="AL197" s="503"/>
      <c r="AM197" s="503"/>
      <c r="AN197" s="506"/>
      <c r="AO197" s="519"/>
      <c r="AP197" s="520"/>
      <c r="AQ197" s="504"/>
      <c r="AR197" s="503"/>
      <c r="AU197" s="521"/>
      <c r="AV197" s="504"/>
      <c r="AW197" s="503"/>
      <c r="AX197" s="520" t="str">
        <f>'L. Eliminations-Consolidations'!B289</f>
        <v>L.9</v>
      </c>
      <c r="AY197" s="522">
        <f>'L. Eliminations-Consolidations'!L290</f>
        <v>10958773</v>
      </c>
      <c r="AZ197" s="523"/>
      <c r="BA197" s="524"/>
      <c r="BB197" s="465">
        <f t="shared" ref="BB197:BB212" si="160">ROUND(AJ197+AL197+AN197+AQ197+AV197+AZ197,0)</f>
        <v>0</v>
      </c>
      <c r="BC197" s="465">
        <f t="shared" ref="BC197:BC212" si="161">ROUND(AK197+AM197+AO197+AT197+AY197+BA197,0)</f>
        <v>10958773</v>
      </c>
      <c r="BD197" s="506"/>
      <c r="BE197" s="519"/>
      <c r="BF197" s="504" t="str">
        <f t="shared" si="90"/>
        <v xml:space="preserve"> </v>
      </c>
      <c r="BG197" s="522">
        <f t="shared" ref="BG197:BG213" si="162">IF(BB197-BC197&gt;0," ",BC197-BB197)</f>
        <v>10958773</v>
      </c>
      <c r="BH197" s="1190"/>
    </row>
    <row r="198" spans="1:63" ht="14.25" customHeight="1" x14ac:dyDescent="0.2">
      <c r="A198" s="25"/>
      <c r="B198" s="1391"/>
      <c r="C198" s="14" t="s">
        <v>107</v>
      </c>
      <c r="D198" s="525"/>
      <c r="E198" s="526"/>
      <c r="F198" s="516"/>
      <c r="G198" s="516"/>
      <c r="H198" s="566"/>
      <c r="I198" s="566"/>
      <c r="J198" s="566"/>
      <c r="K198" s="526"/>
      <c r="L198" s="516"/>
      <c r="M198" s="516"/>
      <c r="N198" s="516"/>
      <c r="O198" s="516"/>
      <c r="P198" s="518"/>
      <c r="Q198" s="518"/>
      <c r="R198" s="518"/>
      <c r="S198" s="518"/>
      <c r="T198" s="518"/>
      <c r="U198" s="518"/>
      <c r="V198" s="518"/>
      <c r="W198" s="518"/>
      <c r="X198" s="518"/>
      <c r="Y198" s="518"/>
      <c r="Z198" s="518"/>
      <c r="AA198" s="518"/>
      <c r="AB198" s="518"/>
      <c r="AC198" s="518"/>
      <c r="AD198" s="516"/>
      <c r="AE198" s="516"/>
      <c r="AF198" s="516"/>
      <c r="AG198" s="516"/>
      <c r="AH198" s="529">
        <f t="shared" ref="AH198:AH214" si="163">L198+N198+P198+R198+T198+V198+X198+Z198+AB198+AD198+AF198</f>
        <v>0</v>
      </c>
      <c r="AI198" s="503">
        <f t="shared" ref="AI198:AI214" si="164">M198+O198+Q198+S198+U198+W198+Y198+AA198+AC198+AE198+AG198</f>
        <v>0</v>
      </c>
      <c r="AJ198" s="506">
        <f t="shared" si="158"/>
        <v>0</v>
      </c>
      <c r="AK198" s="519">
        <f t="shared" si="159"/>
        <v>0</v>
      </c>
      <c r="AL198" s="503"/>
      <c r="AM198" s="503"/>
      <c r="AN198" s="506"/>
      <c r="AO198" s="519"/>
      <c r="AP198" s="520"/>
      <c r="AQ198" s="504"/>
      <c r="AR198" s="503"/>
      <c r="AU198" s="521"/>
      <c r="AV198" s="504"/>
      <c r="AW198" s="503"/>
      <c r="AX198" s="520" t="str">
        <f>'L. Eliminations-Consolidations'!B289</f>
        <v>L.9</v>
      </c>
      <c r="AY198" s="522">
        <f>'L. Eliminations-Consolidations'!L291</f>
        <v>0</v>
      </c>
      <c r="AZ198" s="523"/>
      <c r="BA198" s="524"/>
      <c r="BB198" s="465">
        <f t="shared" si="160"/>
        <v>0</v>
      </c>
      <c r="BC198" s="465">
        <f t="shared" si="161"/>
        <v>0</v>
      </c>
      <c r="BD198" s="506"/>
      <c r="BE198" s="519"/>
      <c r="BF198" s="504" t="str">
        <f t="shared" si="90"/>
        <v xml:space="preserve"> </v>
      </c>
      <c r="BG198" s="522">
        <f t="shared" si="162"/>
        <v>0</v>
      </c>
      <c r="BH198" s="1190"/>
    </row>
    <row r="199" spans="1:63" ht="14.25" customHeight="1" x14ac:dyDescent="0.2">
      <c r="A199" s="25"/>
      <c r="B199" s="1391"/>
      <c r="C199" s="14" t="s">
        <v>999</v>
      </c>
      <c r="D199" s="525"/>
      <c r="E199" s="526"/>
      <c r="F199" s="516"/>
      <c r="G199" s="516"/>
      <c r="H199" s="566"/>
      <c r="I199" s="566"/>
      <c r="J199" s="566"/>
      <c r="K199" s="526"/>
      <c r="L199" s="516"/>
      <c r="M199" s="516"/>
      <c r="N199" s="516"/>
      <c r="O199" s="516"/>
      <c r="P199" s="518"/>
      <c r="Q199" s="518"/>
      <c r="R199" s="518"/>
      <c r="S199" s="518"/>
      <c r="T199" s="518"/>
      <c r="U199" s="518"/>
      <c r="V199" s="518"/>
      <c r="W199" s="518"/>
      <c r="X199" s="518"/>
      <c r="Y199" s="518"/>
      <c r="Z199" s="518"/>
      <c r="AA199" s="518"/>
      <c r="AB199" s="518"/>
      <c r="AC199" s="518"/>
      <c r="AD199" s="516"/>
      <c r="AE199" s="516"/>
      <c r="AF199" s="516"/>
      <c r="AG199" s="516"/>
      <c r="AH199" s="529">
        <f t="shared" si="163"/>
        <v>0</v>
      </c>
      <c r="AI199" s="503">
        <f t="shared" si="164"/>
        <v>0</v>
      </c>
      <c r="AJ199" s="506">
        <f t="shared" si="158"/>
        <v>0</v>
      </c>
      <c r="AK199" s="519">
        <f t="shared" si="159"/>
        <v>0</v>
      </c>
      <c r="AL199" s="503"/>
      <c r="AM199" s="503"/>
      <c r="AN199" s="506"/>
      <c r="AO199" s="519"/>
      <c r="AP199" s="520"/>
      <c r="AQ199" s="504"/>
      <c r="AR199" s="503"/>
      <c r="AU199" s="521"/>
      <c r="AV199" s="504"/>
      <c r="AW199" s="503"/>
      <c r="AX199" s="520" t="str">
        <f>'L. Eliminations-Consolidations'!B289</f>
        <v>L.9</v>
      </c>
      <c r="AY199" s="522">
        <f>'L. Eliminations-Consolidations'!L292</f>
        <v>0</v>
      </c>
      <c r="AZ199" s="523"/>
      <c r="BA199" s="524"/>
      <c r="BB199" s="465">
        <f t="shared" si="160"/>
        <v>0</v>
      </c>
      <c r="BC199" s="465">
        <f t="shared" si="161"/>
        <v>0</v>
      </c>
      <c r="BD199" s="506"/>
      <c r="BE199" s="519"/>
      <c r="BF199" s="504" t="str">
        <f t="shared" si="90"/>
        <v xml:space="preserve"> </v>
      </c>
      <c r="BG199" s="522">
        <f t="shared" si="162"/>
        <v>0</v>
      </c>
      <c r="BH199" s="1190"/>
    </row>
    <row r="200" spans="1:63" ht="14.25" customHeight="1" x14ac:dyDescent="0.2">
      <c r="A200" s="25"/>
      <c r="B200" s="1391"/>
      <c r="C200" s="14" t="s">
        <v>1000</v>
      </c>
      <c r="D200" s="525"/>
      <c r="E200" s="526"/>
      <c r="F200" s="516"/>
      <c r="G200" s="516"/>
      <c r="H200" s="566"/>
      <c r="I200" s="566"/>
      <c r="J200" s="566"/>
      <c r="K200" s="526"/>
      <c r="L200" s="516"/>
      <c r="M200" s="516"/>
      <c r="N200" s="516"/>
      <c r="O200" s="516"/>
      <c r="P200" s="518"/>
      <c r="Q200" s="518"/>
      <c r="R200" s="518"/>
      <c r="S200" s="518"/>
      <c r="T200" s="518"/>
      <c r="U200" s="518"/>
      <c r="V200" s="518"/>
      <c r="W200" s="518"/>
      <c r="X200" s="518"/>
      <c r="Y200" s="518"/>
      <c r="Z200" s="518"/>
      <c r="AA200" s="518"/>
      <c r="AB200" s="518"/>
      <c r="AC200" s="518"/>
      <c r="AD200" s="516"/>
      <c r="AE200" s="516"/>
      <c r="AF200" s="516"/>
      <c r="AG200" s="516"/>
      <c r="AH200" s="529">
        <f t="shared" si="163"/>
        <v>0</v>
      </c>
      <c r="AI200" s="503">
        <f t="shared" si="164"/>
        <v>0</v>
      </c>
      <c r="AJ200" s="506">
        <f t="shared" si="158"/>
        <v>0</v>
      </c>
      <c r="AK200" s="519">
        <f t="shared" si="159"/>
        <v>0</v>
      </c>
      <c r="AL200" s="503"/>
      <c r="AM200" s="503"/>
      <c r="AN200" s="506"/>
      <c r="AO200" s="519"/>
      <c r="AP200" s="520"/>
      <c r="AQ200" s="504"/>
      <c r="AR200" s="503"/>
      <c r="AU200" s="521"/>
      <c r="AV200" s="504"/>
      <c r="AW200" s="503"/>
      <c r="AX200" s="520" t="str">
        <f>'L. Eliminations-Consolidations'!B289</f>
        <v>L.9</v>
      </c>
      <c r="AY200" s="522">
        <f>'L. Eliminations-Consolidations'!L293</f>
        <v>0</v>
      </c>
      <c r="AZ200" s="523"/>
      <c r="BA200" s="524"/>
      <c r="BB200" s="465">
        <f t="shared" si="160"/>
        <v>0</v>
      </c>
      <c r="BC200" s="465">
        <f t="shared" si="161"/>
        <v>0</v>
      </c>
      <c r="BD200" s="506"/>
      <c r="BE200" s="519"/>
      <c r="BF200" s="504" t="str">
        <f t="shared" si="90"/>
        <v xml:space="preserve"> </v>
      </c>
      <c r="BG200" s="522">
        <f t="shared" si="162"/>
        <v>0</v>
      </c>
      <c r="BH200" s="1190"/>
    </row>
    <row r="201" spans="1:63" ht="14.25" customHeight="1" x14ac:dyDescent="0.2">
      <c r="A201" s="25"/>
      <c r="B201" s="1391"/>
      <c r="C201" s="14" t="s">
        <v>1001</v>
      </c>
      <c r="D201" s="525"/>
      <c r="E201" s="526"/>
      <c r="F201" s="516"/>
      <c r="G201" s="516"/>
      <c r="H201" s="566"/>
      <c r="I201" s="566"/>
      <c r="J201" s="566"/>
      <c r="K201" s="526"/>
      <c r="L201" s="516"/>
      <c r="M201" s="516"/>
      <c r="N201" s="516"/>
      <c r="O201" s="516"/>
      <c r="P201" s="518"/>
      <c r="Q201" s="518"/>
      <c r="R201" s="518"/>
      <c r="S201" s="518"/>
      <c r="T201" s="518"/>
      <c r="U201" s="518"/>
      <c r="V201" s="518"/>
      <c r="W201" s="518"/>
      <c r="X201" s="518"/>
      <c r="Y201" s="518"/>
      <c r="Z201" s="518"/>
      <c r="AA201" s="518"/>
      <c r="AB201" s="518"/>
      <c r="AC201" s="518"/>
      <c r="AD201" s="516"/>
      <c r="AE201" s="516"/>
      <c r="AF201" s="516"/>
      <c r="AG201" s="516"/>
      <c r="AH201" s="529">
        <f t="shared" si="163"/>
        <v>0</v>
      </c>
      <c r="AI201" s="503">
        <f t="shared" si="164"/>
        <v>0</v>
      </c>
      <c r="AJ201" s="506">
        <f t="shared" si="158"/>
        <v>0</v>
      </c>
      <c r="AK201" s="519">
        <f t="shared" si="159"/>
        <v>0</v>
      </c>
      <c r="AL201" s="503"/>
      <c r="AM201" s="503"/>
      <c r="AN201" s="506"/>
      <c r="AO201" s="519"/>
      <c r="AP201" s="520"/>
      <c r="AQ201" s="504"/>
      <c r="AR201" s="503"/>
      <c r="AU201" s="521"/>
      <c r="AV201" s="504"/>
      <c r="AW201" s="503"/>
      <c r="AX201" s="520" t="str">
        <f>'L. Eliminations-Consolidations'!B289</f>
        <v>L.9</v>
      </c>
      <c r="AY201" s="522">
        <f>'L. Eliminations-Consolidations'!L294</f>
        <v>1783</v>
      </c>
      <c r="AZ201" s="523"/>
      <c r="BA201" s="524"/>
      <c r="BB201" s="465">
        <f t="shared" si="160"/>
        <v>0</v>
      </c>
      <c r="BC201" s="465">
        <f t="shared" si="161"/>
        <v>1783</v>
      </c>
      <c r="BD201" s="506"/>
      <c r="BE201" s="519"/>
      <c r="BF201" s="504" t="str">
        <f t="shared" si="90"/>
        <v xml:space="preserve"> </v>
      </c>
      <c r="BG201" s="522">
        <f t="shared" si="162"/>
        <v>1783</v>
      </c>
      <c r="BH201" s="1190"/>
    </row>
    <row r="202" spans="1:63" ht="14.25" customHeight="1" x14ac:dyDescent="0.2">
      <c r="A202" s="25"/>
      <c r="B202" s="1391"/>
      <c r="C202" s="14" t="s">
        <v>559</v>
      </c>
      <c r="D202" s="525"/>
      <c r="E202" s="526"/>
      <c r="F202" s="516"/>
      <c r="G202" s="516"/>
      <c r="H202" s="566"/>
      <c r="I202" s="566"/>
      <c r="J202" s="566"/>
      <c r="K202" s="526"/>
      <c r="L202" s="516"/>
      <c r="M202" s="516"/>
      <c r="N202" s="516"/>
      <c r="O202" s="516"/>
      <c r="P202" s="518"/>
      <c r="Q202" s="518"/>
      <c r="R202" s="518"/>
      <c r="S202" s="518"/>
      <c r="T202" s="518"/>
      <c r="U202" s="518"/>
      <c r="V202" s="518"/>
      <c r="W202" s="518"/>
      <c r="X202" s="518"/>
      <c r="Y202" s="518"/>
      <c r="Z202" s="518"/>
      <c r="AA202" s="518"/>
      <c r="AB202" s="518"/>
      <c r="AC202" s="518"/>
      <c r="AD202" s="516"/>
      <c r="AE202" s="516"/>
      <c r="AF202" s="516"/>
      <c r="AG202" s="516"/>
      <c r="AH202" s="529">
        <f t="shared" si="163"/>
        <v>0</v>
      </c>
      <c r="AI202" s="503">
        <f t="shared" si="164"/>
        <v>0</v>
      </c>
      <c r="AJ202" s="506">
        <f t="shared" si="158"/>
        <v>0</v>
      </c>
      <c r="AK202" s="519">
        <f t="shared" si="159"/>
        <v>0</v>
      </c>
      <c r="AL202" s="503"/>
      <c r="AM202" s="503"/>
      <c r="AN202" s="506"/>
      <c r="AO202" s="519"/>
      <c r="AP202" s="520"/>
      <c r="AQ202" s="504"/>
      <c r="AR202" s="503"/>
      <c r="AU202" s="521"/>
      <c r="AV202" s="504"/>
      <c r="AW202" s="503"/>
      <c r="AX202" s="520" t="str">
        <f>'L. Eliminations-Consolidations'!B289</f>
        <v>L.9</v>
      </c>
      <c r="AY202" s="522">
        <f>'L. Eliminations-Consolidations'!L295</f>
        <v>0</v>
      </c>
      <c r="AZ202" s="523"/>
      <c r="BA202" s="524"/>
      <c r="BB202" s="465">
        <f t="shared" si="160"/>
        <v>0</v>
      </c>
      <c r="BC202" s="465">
        <f t="shared" si="161"/>
        <v>0</v>
      </c>
      <c r="BD202" s="506"/>
      <c r="BE202" s="519"/>
      <c r="BF202" s="504" t="str">
        <f t="shared" si="90"/>
        <v xml:space="preserve"> </v>
      </c>
      <c r="BG202" s="522">
        <f t="shared" si="162"/>
        <v>0</v>
      </c>
      <c r="BH202" s="1190"/>
    </row>
    <row r="203" spans="1:63" s="1289" customFormat="1" ht="14.25" customHeight="1" x14ac:dyDescent="0.2">
      <c r="A203" s="25"/>
      <c r="B203" s="1391"/>
      <c r="C203" s="1290" t="s">
        <v>4185</v>
      </c>
      <c r="D203" s="525"/>
      <c r="E203" s="526"/>
      <c r="F203" s="516"/>
      <c r="G203" s="516"/>
      <c r="H203" s="566"/>
      <c r="I203" s="566"/>
      <c r="J203" s="566"/>
      <c r="K203" s="526"/>
      <c r="L203" s="516"/>
      <c r="M203" s="516"/>
      <c r="N203" s="516"/>
      <c r="O203" s="516"/>
      <c r="P203" s="518"/>
      <c r="Q203" s="518"/>
      <c r="R203" s="518"/>
      <c r="S203" s="518"/>
      <c r="T203" s="518"/>
      <c r="U203" s="518"/>
      <c r="V203" s="518"/>
      <c r="W203" s="518"/>
      <c r="X203" s="518"/>
      <c r="Y203" s="518"/>
      <c r="Z203" s="518"/>
      <c r="AA203" s="518"/>
      <c r="AB203" s="518"/>
      <c r="AC203" s="518"/>
      <c r="AD203" s="516"/>
      <c r="AE203" s="516"/>
      <c r="AF203" s="516"/>
      <c r="AG203" s="516"/>
      <c r="AH203" s="529"/>
      <c r="AI203" s="503"/>
      <c r="AJ203" s="506"/>
      <c r="AK203" s="519"/>
      <c r="AL203" s="503"/>
      <c r="AM203" s="503"/>
      <c r="AN203" s="506"/>
      <c r="AO203" s="519"/>
      <c r="AP203" s="520"/>
      <c r="AQ203" s="504"/>
      <c r="AR203" s="503"/>
      <c r="AS203" s="567"/>
      <c r="AT203" s="568"/>
      <c r="AU203" s="521"/>
      <c r="AV203" s="504"/>
      <c r="AW203" s="503"/>
      <c r="AX203" s="520" t="str">
        <f>'L. Eliminations-Consolidations'!B289</f>
        <v>L.9</v>
      </c>
      <c r="AY203" s="522">
        <f>'L. Eliminations-Consolidations'!L296</f>
        <v>46346</v>
      </c>
      <c r="AZ203" s="523"/>
      <c r="BA203" s="524"/>
      <c r="BB203" s="465">
        <f t="shared" si="160"/>
        <v>0</v>
      </c>
      <c r="BC203" s="465">
        <f t="shared" si="161"/>
        <v>46346</v>
      </c>
      <c r="BD203" s="506"/>
      <c r="BE203" s="519"/>
      <c r="BF203" s="504"/>
      <c r="BG203" s="522">
        <f t="shared" si="162"/>
        <v>46346</v>
      </c>
      <c r="BH203" s="1190"/>
      <c r="BI203" s="1193"/>
      <c r="BJ203" s="1206"/>
    </row>
    <row r="204" spans="1:63" s="1302" customFormat="1" ht="14.25" customHeight="1" x14ac:dyDescent="0.2">
      <c r="A204" s="25"/>
      <c r="B204" s="1391"/>
      <c r="C204" s="862" t="s">
        <v>4201</v>
      </c>
      <c r="D204" s="525"/>
      <c r="E204" s="526"/>
      <c r="F204" s="516"/>
      <c r="G204" s="516"/>
      <c r="H204" s="566"/>
      <c r="I204" s="566"/>
      <c r="J204" s="566"/>
      <c r="K204" s="526"/>
      <c r="L204" s="516"/>
      <c r="M204" s="516"/>
      <c r="N204" s="516"/>
      <c r="O204" s="516"/>
      <c r="P204" s="518"/>
      <c r="Q204" s="518"/>
      <c r="R204" s="518"/>
      <c r="S204" s="518"/>
      <c r="T204" s="518"/>
      <c r="U204" s="518"/>
      <c r="V204" s="518"/>
      <c r="W204" s="518"/>
      <c r="X204" s="518"/>
      <c r="Y204" s="518"/>
      <c r="Z204" s="518"/>
      <c r="AA204" s="518"/>
      <c r="AB204" s="518"/>
      <c r="AC204" s="518"/>
      <c r="AD204" s="516"/>
      <c r="AE204" s="516"/>
      <c r="AF204" s="516"/>
      <c r="AG204" s="516"/>
      <c r="AH204" s="529"/>
      <c r="AI204" s="503"/>
      <c r="AJ204" s="506"/>
      <c r="AK204" s="519"/>
      <c r="AL204" s="503"/>
      <c r="AM204" s="503"/>
      <c r="AN204" s="506"/>
      <c r="AO204" s="519"/>
      <c r="AP204" s="520"/>
      <c r="AQ204" s="504"/>
      <c r="AR204" s="503"/>
      <c r="AS204" s="567"/>
      <c r="AT204" s="568"/>
      <c r="AU204" s="521"/>
      <c r="AV204" s="504"/>
      <c r="AW204" s="503"/>
      <c r="AX204" s="520" t="str">
        <f>'L. Eliminations-Consolidations'!B289</f>
        <v>L.9</v>
      </c>
      <c r="AY204" s="522">
        <f>'L. Eliminations-Consolidations'!L297</f>
        <v>2268038</v>
      </c>
      <c r="AZ204" s="523"/>
      <c r="BA204" s="524"/>
      <c r="BB204" s="465">
        <f t="shared" ref="BB204" si="165">ROUND(AJ204+AL204+AN204+AQ204+AV204+AZ204,0)</f>
        <v>0</v>
      </c>
      <c r="BC204" s="465">
        <f t="shared" ref="BC204" si="166">ROUND(AK204+AM204+AO204+AT204+AY204+BA204,0)</f>
        <v>2268038</v>
      </c>
      <c r="BD204" s="506"/>
      <c r="BE204" s="519"/>
      <c r="BF204" s="504"/>
      <c r="BG204" s="522">
        <f t="shared" ref="BG204" si="167">IF(BB204-BC204&gt;0," ",BC204-BB204)</f>
        <v>2268038</v>
      </c>
      <c r="BH204" s="1190"/>
      <c r="BI204" s="1193"/>
      <c r="BJ204" s="1206"/>
    </row>
    <row r="205" spans="1:63" ht="14.25" customHeight="1" x14ac:dyDescent="0.2">
      <c r="A205" s="25"/>
      <c r="B205" s="1391"/>
      <c r="C205" s="31" t="s">
        <v>217</v>
      </c>
      <c r="D205" s="525"/>
      <c r="E205" s="526"/>
      <c r="F205" s="516"/>
      <c r="G205" s="516"/>
      <c r="H205" s="566"/>
      <c r="I205" s="566"/>
      <c r="J205" s="566"/>
      <c r="K205" s="526"/>
      <c r="L205" s="516"/>
      <c r="M205" s="516"/>
      <c r="N205" s="516"/>
      <c r="O205" s="516"/>
      <c r="P205" s="518"/>
      <c r="Q205" s="518"/>
      <c r="R205" s="518"/>
      <c r="S205" s="518"/>
      <c r="T205" s="518"/>
      <c r="U205" s="518"/>
      <c r="V205" s="518"/>
      <c r="W205" s="518"/>
      <c r="X205" s="518"/>
      <c r="Y205" s="518"/>
      <c r="Z205" s="518"/>
      <c r="AA205" s="518"/>
      <c r="AB205" s="518"/>
      <c r="AC205" s="518"/>
      <c r="AD205" s="516"/>
      <c r="AE205" s="516"/>
      <c r="AF205" s="516"/>
      <c r="AG205" s="516"/>
      <c r="AH205" s="529">
        <f t="shared" si="163"/>
        <v>0</v>
      </c>
      <c r="AI205" s="503">
        <f t="shared" si="164"/>
        <v>0</v>
      </c>
      <c r="AJ205" s="506">
        <f t="shared" si="158"/>
        <v>0</v>
      </c>
      <c r="AK205" s="519">
        <f t="shared" si="159"/>
        <v>0</v>
      </c>
      <c r="AL205" s="503"/>
      <c r="AM205" s="503"/>
      <c r="AN205" s="506"/>
      <c r="AO205" s="519"/>
      <c r="AP205" s="520"/>
      <c r="AQ205" s="504"/>
      <c r="AR205" s="503"/>
      <c r="AU205" s="521"/>
      <c r="AV205" s="504"/>
      <c r="AW205" s="503"/>
      <c r="AX205" s="520" t="str">
        <f>'L. Eliminations-Consolidations'!B289</f>
        <v>L.9</v>
      </c>
      <c r="AY205" s="538">
        <f>'L. Eliminations-Consolidations'!L298</f>
        <v>0</v>
      </c>
      <c r="AZ205" s="523"/>
      <c r="BA205" s="524"/>
      <c r="BB205" s="465">
        <f t="shared" si="160"/>
        <v>0</v>
      </c>
      <c r="BC205" s="465">
        <f t="shared" si="161"/>
        <v>0</v>
      </c>
      <c r="BD205" s="506"/>
      <c r="BE205" s="519"/>
      <c r="BF205" s="504" t="str">
        <f t="shared" si="90"/>
        <v xml:space="preserve"> </v>
      </c>
      <c r="BG205" s="522">
        <f t="shared" si="162"/>
        <v>0</v>
      </c>
      <c r="BH205" s="1190"/>
    </row>
    <row r="206" spans="1:63" s="697" customFormat="1" ht="14.25" customHeight="1" x14ac:dyDescent="0.2">
      <c r="A206" s="1210"/>
      <c r="B206" s="1391"/>
      <c r="C206" s="862" t="s">
        <v>218</v>
      </c>
      <c r="D206" s="1211"/>
      <c r="E206" s="1212"/>
      <c r="F206" s="1213"/>
      <c r="G206" s="1213"/>
      <c r="H206" s="1214"/>
      <c r="I206" s="1214"/>
      <c r="J206" s="1214"/>
      <c r="K206" s="1212"/>
      <c r="L206" s="1213"/>
      <c r="M206" s="1213"/>
      <c r="N206" s="1213"/>
      <c r="O206" s="1213"/>
      <c r="P206" s="1214"/>
      <c r="Q206" s="1214"/>
      <c r="R206" s="1214"/>
      <c r="S206" s="1214"/>
      <c r="T206" s="1214"/>
      <c r="U206" s="1214"/>
      <c r="V206" s="1214"/>
      <c r="W206" s="1214"/>
      <c r="X206" s="1214"/>
      <c r="Y206" s="1214"/>
      <c r="Z206" s="1214"/>
      <c r="AA206" s="1214"/>
      <c r="AB206" s="1214"/>
      <c r="AC206" s="1214"/>
      <c r="AD206" s="1213"/>
      <c r="AE206" s="1213"/>
      <c r="AF206" s="1213"/>
      <c r="AG206" s="1213"/>
      <c r="AH206" s="529">
        <f t="shared" si="163"/>
        <v>0</v>
      </c>
      <c r="AI206" s="503">
        <f t="shared" si="164"/>
        <v>0</v>
      </c>
      <c r="AJ206" s="1216">
        <f t="shared" si="158"/>
        <v>0</v>
      </c>
      <c r="AK206" s="1217">
        <f t="shared" si="159"/>
        <v>0</v>
      </c>
      <c r="AL206" s="1215"/>
      <c r="AM206" s="1215"/>
      <c r="AN206" s="1216"/>
      <c r="AO206" s="1217"/>
      <c r="AP206" s="520"/>
      <c r="AQ206" s="1218"/>
      <c r="AR206" s="1215"/>
      <c r="AS206" s="567"/>
      <c r="AT206" s="1219"/>
      <c r="AU206" s="521"/>
      <c r="AV206" s="1218"/>
      <c r="AW206" s="1215"/>
      <c r="AX206" s="520" t="str">
        <f>'L. Eliminations-Consolidations'!B289</f>
        <v>L.9</v>
      </c>
      <c r="AY206" s="1220">
        <f>'L. Eliminations-Consolidations'!L299</f>
        <v>561237</v>
      </c>
      <c r="AZ206" s="1221"/>
      <c r="BA206" s="1222"/>
      <c r="BB206" s="1223">
        <f t="shared" si="160"/>
        <v>0</v>
      </c>
      <c r="BC206" s="1223">
        <f t="shared" si="161"/>
        <v>561237</v>
      </c>
      <c r="BD206" s="1216"/>
      <c r="BE206" s="1217"/>
      <c r="BF206" s="1218" t="str">
        <f t="shared" si="90"/>
        <v xml:space="preserve"> </v>
      </c>
      <c r="BG206" s="1224">
        <f t="shared" si="162"/>
        <v>561237</v>
      </c>
      <c r="BH206" s="1190"/>
      <c r="BI206" s="1193"/>
      <c r="BJ206" s="1225"/>
    </row>
    <row r="207" spans="1:63" ht="14.25" customHeight="1" x14ac:dyDescent="0.2">
      <c r="A207" s="25"/>
      <c r="B207" s="1391"/>
      <c r="C207" s="31" t="s">
        <v>263</v>
      </c>
      <c r="D207" s="525"/>
      <c r="E207" s="526"/>
      <c r="F207" s="516"/>
      <c r="G207" s="516"/>
      <c r="H207" s="566"/>
      <c r="I207" s="566"/>
      <c r="J207" s="566"/>
      <c r="K207" s="526"/>
      <c r="L207" s="516"/>
      <c r="M207" s="516"/>
      <c r="N207" s="516"/>
      <c r="O207" s="516"/>
      <c r="P207" s="518"/>
      <c r="Q207" s="518"/>
      <c r="R207" s="518"/>
      <c r="S207" s="518"/>
      <c r="T207" s="518"/>
      <c r="U207" s="518"/>
      <c r="V207" s="518"/>
      <c r="W207" s="518"/>
      <c r="X207" s="518"/>
      <c r="Y207" s="518"/>
      <c r="Z207" s="518"/>
      <c r="AA207" s="518"/>
      <c r="AB207" s="518"/>
      <c r="AC207" s="518"/>
      <c r="AD207" s="516"/>
      <c r="AE207" s="516"/>
      <c r="AF207" s="516"/>
      <c r="AG207" s="516"/>
      <c r="AH207" s="529">
        <f t="shared" si="163"/>
        <v>0</v>
      </c>
      <c r="AI207" s="503">
        <f t="shared" si="164"/>
        <v>0</v>
      </c>
      <c r="AJ207" s="506">
        <f t="shared" si="158"/>
        <v>0</v>
      </c>
      <c r="AK207" s="519">
        <f t="shared" si="159"/>
        <v>0</v>
      </c>
      <c r="AL207" s="503"/>
      <c r="AM207" s="503"/>
      <c r="AN207" s="506"/>
      <c r="AO207" s="519"/>
      <c r="AP207" s="520"/>
      <c r="AQ207" s="504"/>
      <c r="AR207" s="503"/>
      <c r="AU207" s="521"/>
      <c r="AV207" s="504"/>
      <c r="AW207" s="503"/>
      <c r="AX207" s="520" t="str">
        <f>'L. Eliminations-Consolidations'!B289</f>
        <v>L.9</v>
      </c>
      <c r="AY207" s="538">
        <f>'L. Eliminations-Consolidations'!L300</f>
        <v>17285</v>
      </c>
      <c r="AZ207" s="523"/>
      <c r="BA207" s="524"/>
      <c r="BB207" s="465">
        <f t="shared" si="160"/>
        <v>0</v>
      </c>
      <c r="BC207" s="465">
        <f t="shared" si="161"/>
        <v>17285</v>
      </c>
      <c r="BD207" s="506"/>
      <c r="BE207" s="519"/>
      <c r="BF207" s="504" t="str">
        <f t="shared" si="90"/>
        <v xml:space="preserve"> </v>
      </c>
      <c r="BG207" s="522">
        <f t="shared" si="162"/>
        <v>17285</v>
      </c>
      <c r="BH207" s="1190"/>
    </row>
    <row r="208" spans="1:63" ht="14.25" customHeight="1" x14ac:dyDescent="0.2">
      <c r="A208" s="25"/>
      <c r="B208" s="1391"/>
      <c r="C208" s="31" t="s">
        <v>1043</v>
      </c>
      <c r="D208" s="525"/>
      <c r="E208" s="526"/>
      <c r="F208" s="516"/>
      <c r="G208" s="516"/>
      <c r="H208" s="566"/>
      <c r="I208" s="566"/>
      <c r="J208" s="566"/>
      <c r="K208" s="526"/>
      <c r="L208" s="516"/>
      <c r="M208" s="516"/>
      <c r="N208" s="516"/>
      <c r="O208" s="516"/>
      <c r="P208" s="518"/>
      <c r="Q208" s="518"/>
      <c r="R208" s="518"/>
      <c r="S208" s="518"/>
      <c r="T208" s="518"/>
      <c r="U208" s="518"/>
      <c r="V208" s="518"/>
      <c r="W208" s="518"/>
      <c r="X208" s="518"/>
      <c r="Y208" s="518"/>
      <c r="Z208" s="518"/>
      <c r="AA208" s="518"/>
      <c r="AB208" s="518"/>
      <c r="AC208" s="518"/>
      <c r="AD208" s="516"/>
      <c r="AE208" s="516"/>
      <c r="AF208" s="516"/>
      <c r="AG208" s="516"/>
      <c r="AH208" s="529">
        <f t="shared" si="163"/>
        <v>0</v>
      </c>
      <c r="AI208" s="503">
        <f t="shared" si="164"/>
        <v>0</v>
      </c>
      <c r="AJ208" s="506">
        <f t="shared" si="158"/>
        <v>0</v>
      </c>
      <c r="AK208" s="519">
        <f t="shared" si="159"/>
        <v>0</v>
      </c>
      <c r="AL208" s="503"/>
      <c r="AM208" s="503"/>
      <c r="AN208" s="506"/>
      <c r="AO208" s="519"/>
      <c r="AP208" s="520"/>
      <c r="AQ208" s="504"/>
      <c r="AR208" s="503"/>
      <c r="AU208" s="521"/>
      <c r="AV208" s="504"/>
      <c r="AW208" s="503"/>
      <c r="AX208" s="520" t="str">
        <f>'L. Eliminations-Consolidations'!B289</f>
        <v>L.9</v>
      </c>
      <c r="AY208" s="538">
        <f>'L. Eliminations-Consolidations'!L301</f>
        <v>4159606</v>
      </c>
      <c r="AZ208" s="523"/>
      <c r="BA208" s="524"/>
      <c r="BB208" s="465">
        <f>ROUND(AJ208+AL208+AN208+AQ208+AV208+AZ208,0)</f>
        <v>0</v>
      </c>
      <c r="BC208" s="465">
        <f>ROUND(AK208+AM208+AO208+AT208+AY208+BA208,0)</f>
        <v>4159606</v>
      </c>
      <c r="BD208" s="506"/>
      <c r="BE208" s="519"/>
      <c r="BF208" s="504"/>
      <c r="BG208" s="538">
        <f t="shared" si="162"/>
        <v>4159606</v>
      </c>
      <c r="BH208" s="1190"/>
    </row>
    <row r="209" spans="1:62" ht="14.25" customHeight="1" x14ac:dyDescent="0.2">
      <c r="A209" s="25"/>
      <c r="B209" s="1391"/>
      <c r="C209" s="1152" t="s">
        <v>4200</v>
      </c>
      <c r="D209" s="531"/>
      <c r="E209" s="532"/>
      <c r="F209" s="528"/>
      <c r="G209" s="528"/>
      <c r="H209" s="1151"/>
      <c r="I209" s="1151"/>
      <c r="J209" s="1151"/>
      <c r="K209" s="532"/>
      <c r="L209" s="528"/>
      <c r="M209" s="528"/>
      <c r="N209" s="528"/>
      <c r="O209" s="528"/>
      <c r="P209" s="527"/>
      <c r="Q209" s="527"/>
      <c r="R209" s="527"/>
      <c r="S209" s="527"/>
      <c r="T209" s="527"/>
      <c r="U209" s="527"/>
      <c r="V209" s="527"/>
      <c r="W209" s="527"/>
      <c r="X209" s="527"/>
      <c r="Y209" s="527"/>
      <c r="Z209" s="527"/>
      <c r="AA209" s="527"/>
      <c r="AB209" s="527"/>
      <c r="AC209" s="527"/>
      <c r="AD209" s="528"/>
      <c r="AE209" s="528"/>
      <c r="AF209" s="528"/>
      <c r="AG209" s="528"/>
      <c r="AH209" s="529">
        <f t="shared" si="163"/>
        <v>0</v>
      </c>
      <c r="AI209" s="503">
        <f t="shared" si="164"/>
        <v>0</v>
      </c>
      <c r="AJ209" s="534">
        <f t="shared" si="158"/>
        <v>0</v>
      </c>
      <c r="AK209" s="535">
        <f t="shared" si="159"/>
        <v>0</v>
      </c>
      <c r="AL209" s="537"/>
      <c r="AM209" s="537"/>
      <c r="AN209" s="534"/>
      <c r="AO209" s="535"/>
      <c r="AP209" s="536"/>
      <c r="AQ209" s="432"/>
      <c r="AR209" s="537"/>
      <c r="AS209" s="579"/>
      <c r="AT209" s="580"/>
      <c r="AU209" s="539"/>
      <c r="AV209" s="432"/>
      <c r="AW209" s="537"/>
      <c r="AX209" s="536" t="str">
        <f>'L. Eliminations-Consolidations'!B289</f>
        <v>L.9</v>
      </c>
      <c r="AY209" s="538">
        <f>'L. Eliminations-Consolidations'!L302</f>
        <v>76023</v>
      </c>
      <c r="AZ209" s="523"/>
      <c r="BA209" s="524"/>
      <c r="BB209" s="465">
        <f t="shared" si="160"/>
        <v>0</v>
      </c>
      <c r="BC209" s="465">
        <f t="shared" si="161"/>
        <v>76023</v>
      </c>
      <c r="BD209" s="534"/>
      <c r="BE209" s="535"/>
      <c r="BF209" s="432" t="str">
        <f t="shared" si="90"/>
        <v xml:space="preserve"> </v>
      </c>
      <c r="BG209" s="538">
        <f>IF(BB209-BC209&gt;0," ",BC209-BB209)</f>
        <v>76023</v>
      </c>
      <c r="BH209" s="1190"/>
    </row>
    <row r="210" spans="1:62" ht="13.5" customHeight="1" x14ac:dyDescent="0.2">
      <c r="A210" s="25"/>
      <c r="B210" s="1391"/>
      <c r="C210" s="902" t="s">
        <v>560</v>
      </c>
      <c r="D210" s="525"/>
      <c r="E210" s="526"/>
      <c r="F210" s="516"/>
      <c r="G210" s="516"/>
      <c r="H210" s="566"/>
      <c r="I210" s="566"/>
      <c r="J210" s="566"/>
      <c r="K210" s="526"/>
      <c r="L210" s="516"/>
      <c r="M210" s="516"/>
      <c r="N210" s="516"/>
      <c r="O210" s="516"/>
      <c r="P210" s="518"/>
      <c r="Q210" s="518"/>
      <c r="R210" s="518"/>
      <c r="S210" s="518"/>
      <c r="T210" s="518"/>
      <c r="U210" s="518"/>
      <c r="V210" s="518"/>
      <c r="W210" s="518"/>
      <c r="X210" s="518"/>
      <c r="Y210" s="518"/>
      <c r="Z210" s="518"/>
      <c r="AA210" s="518"/>
      <c r="AB210" s="518"/>
      <c r="AC210" s="518"/>
      <c r="AD210" s="516"/>
      <c r="AE210" s="516"/>
      <c r="AF210" s="516"/>
      <c r="AG210" s="516"/>
      <c r="AH210" s="529">
        <f t="shared" si="163"/>
        <v>0</v>
      </c>
      <c r="AI210" s="503">
        <f t="shared" si="164"/>
        <v>0</v>
      </c>
      <c r="AJ210" s="506">
        <f t="shared" si="158"/>
        <v>0</v>
      </c>
      <c r="AK210" s="519">
        <f t="shared" si="159"/>
        <v>0</v>
      </c>
      <c r="AL210" s="503"/>
      <c r="AM210" s="503"/>
      <c r="AN210" s="506"/>
      <c r="AO210" s="519"/>
      <c r="AP210" s="520"/>
      <c r="AQ210" s="504"/>
      <c r="AR210" s="503"/>
      <c r="AU210" s="521"/>
      <c r="AV210" s="504"/>
      <c r="AW210" s="503"/>
      <c r="AX210" s="520" t="str">
        <f>'L. Eliminations-Consolidations'!B289</f>
        <v>L.9</v>
      </c>
      <c r="AY210" s="522">
        <f>'L. Eliminations-Consolidations'!L303</f>
        <v>0</v>
      </c>
      <c r="AZ210" s="523"/>
      <c r="BA210" s="524"/>
      <c r="BB210" s="465">
        <f t="shared" si="160"/>
        <v>0</v>
      </c>
      <c r="BC210" s="465">
        <f t="shared" si="161"/>
        <v>0</v>
      </c>
      <c r="BD210" s="506"/>
      <c r="BE210" s="519"/>
      <c r="BF210" s="504" t="str">
        <f t="shared" si="90"/>
        <v xml:space="preserve"> </v>
      </c>
      <c r="BG210" s="522">
        <f t="shared" si="162"/>
        <v>0</v>
      </c>
      <c r="BH210" s="1190"/>
    </row>
    <row r="211" spans="1:62" ht="13.5" customHeight="1" x14ac:dyDescent="0.2">
      <c r="A211" s="25"/>
      <c r="B211" s="1391"/>
      <c r="C211" s="902" t="s">
        <v>561</v>
      </c>
      <c r="D211" s="525"/>
      <c r="E211" s="526"/>
      <c r="F211" s="516"/>
      <c r="G211" s="516"/>
      <c r="H211" s="566"/>
      <c r="I211" s="566"/>
      <c r="J211" s="566"/>
      <c r="K211" s="526"/>
      <c r="L211" s="516"/>
      <c r="M211" s="516"/>
      <c r="N211" s="516"/>
      <c r="O211" s="516"/>
      <c r="P211" s="518"/>
      <c r="Q211" s="518"/>
      <c r="R211" s="518"/>
      <c r="S211" s="518"/>
      <c r="T211" s="518"/>
      <c r="U211" s="518"/>
      <c r="V211" s="518"/>
      <c r="W211" s="518"/>
      <c r="X211" s="518"/>
      <c r="Y211" s="518"/>
      <c r="Z211" s="518"/>
      <c r="AA211" s="518"/>
      <c r="AB211" s="518"/>
      <c r="AC211" s="518"/>
      <c r="AD211" s="516"/>
      <c r="AE211" s="516"/>
      <c r="AF211" s="516"/>
      <c r="AG211" s="516"/>
      <c r="AH211" s="529">
        <f t="shared" si="163"/>
        <v>0</v>
      </c>
      <c r="AI211" s="503">
        <f t="shared" si="164"/>
        <v>0</v>
      </c>
      <c r="AJ211" s="506">
        <f t="shared" si="158"/>
        <v>0</v>
      </c>
      <c r="AK211" s="519">
        <f t="shared" si="159"/>
        <v>0</v>
      </c>
      <c r="AL211" s="503"/>
      <c r="AM211" s="503"/>
      <c r="AN211" s="506"/>
      <c r="AO211" s="519"/>
      <c r="AP211" s="520"/>
      <c r="AQ211" s="504"/>
      <c r="AR211" s="503"/>
      <c r="AU211" s="521"/>
      <c r="AV211" s="504"/>
      <c r="AW211" s="503"/>
      <c r="AX211" s="520" t="str">
        <f>'L. Eliminations-Consolidations'!B289</f>
        <v>L.9</v>
      </c>
      <c r="AY211" s="522">
        <f>'L. Eliminations-Consolidations'!L304</f>
        <v>0</v>
      </c>
      <c r="AZ211" s="523"/>
      <c r="BA211" s="524"/>
      <c r="BB211" s="465">
        <f t="shared" si="160"/>
        <v>0</v>
      </c>
      <c r="BC211" s="465">
        <f t="shared" si="161"/>
        <v>0</v>
      </c>
      <c r="BD211" s="506"/>
      <c r="BE211" s="519"/>
      <c r="BF211" s="504" t="str">
        <f t="shared" si="90"/>
        <v xml:space="preserve"> </v>
      </c>
      <c r="BG211" s="522">
        <f t="shared" si="162"/>
        <v>0</v>
      </c>
      <c r="BH211" s="1190"/>
    </row>
    <row r="212" spans="1:62" x14ac:dyDescent="0.2">
      <c r="A212" s="25"/>
      <c r="B212" s="1391"/>
      <c r="C212" s="756" t="s">
        <v>955</v>
      </c>
      <c r="D212" s="531"/>
      <c r="E212" s="532"/>
      <c r="F212" s="516"/>
      <c r="G212" s="516"/>
      <c r="H212" s="566"/>
      <c r="I212" s="566"/>
      <c r="J212" s="566"/>
      <c r="K212" s="526"/>
      <c r="L212" s="516"/>
      <c r="M212" s="516"/>
      <c r="N212" s="516"/>
      <c r="O212" s="516"/>
      <c r="P212" s="518"/>
      <c r="Q212" s="518"/>
      <c r="R212" s="518"/>
      <c r="S212" s="518"/>
      <c r="T212" s="518"/>
      <c r="U212" s="518"/>
      <c r="V212" s="518"/>
      <c r="W212" s="518"/>
      <c r="X212" s="518"/>
      <c r="Y212" s="518"/>
      <c r="Z212" s="518"/>
      <c r="AA212" s="518"/>
      <c r="AB212" s="518"/>
      <c r="AC212" s="518"/>
      <c r="AD212" s="516"/>
      <c r="AE212" s="516"/>
      <c r="AF212" s="516"/>
      <c r="AG212" s="516"/>
      <c r="AH212" s="529">
        <f t="shared" si="163"/>
        <v>0</v>
      </c>
      <c r="AI212" s="503">
        <f t="shared" si="164"/>
        <v>0</v>
      </c>
      <c r="AJ212" s="506">
        <f t="shared" si="158"/>
        <v>0</v>
      </c>
      <c r="AK212" s="519">
        <f t="shared" si="159"/>
        <v>0</v>
      </c>
      <c r="AL212" s="503"/>
      <c r="AM212" s="503"/>
      <c r="AN212" s="506"/>
      <c r="AO212" s="519"/>
      <c r="AP212" s="520"/>
      <c r="AQ212" s="504"/>
      <c r="AR212" s="503"/>
      <c r="AU212" s="521"/>
      <c r="AV212" s="504"/>
      <c r="AW212" s="503"/>
      <c r="AX212" s="520" t="str">
        <f>'L. Eliminations-Consolidations'!B289</f>
        <v>L.9</v>
      </c>
      <c r="AY212" s="522">
        <f>'L. Eliminations-Consolidations'!L305</f>
        <v>1669081</v>
      </c>
      <c r="AZ212" s="523"/>
      <c r="BA212" s="524"/>
      <c r="BB212" s="465">
        <f t="shared" si="160"/>
        <v>0</v>
      </c>
      <c r="BC212" s="465">
        <f t="shared" si="161"/>
        <v>1669081</v>
      </c>
      <c r="BD212" s="506"/>
      <c r="BE212" s="519"/>
      <c r="BF212" s="504" t="str">
        <f t="shared" si="90"/>
        <v xml:space="preserve"> </v>
      </c>
      <c r="BG212" s="522">
        <f>IF(BB212-BC212&gt;0," ",BC212-BB212)</f>
        <v>1669081</v>
      </c>
      <c r="BH212" s="1190"/>
    </row>
    <row r="213" spans="1:62" x14ac:dyDescent="0.2">
      <c r="A213" s="272"/>
      <c r="B213" s="14"/>
      <c r="C213" s="14"/>
      <c r="D213" s="525"/>
      <c r="E213" s="526"/>
      <c r="F213" s="516"/>
      <c r="G213" s="516"/>
      <c r="H213" s="566"/>
      <c r="I213" s="566"/>
      <c r="J213" s="566"/>
      <c r="K213" s="526"/>
      <c r="L213" s="516"/>
      <c r="M213" s="516"/>
      <c r="N213" s="516"/>
      <c r="O213" s="516"/>
      <c r="P213" s="518"/>
      <c r="Q213" s="518"/>
      <c r="R213" s="518"/>
      <c r="S213" s="518"/>
      <c r="T213" s="518"/>
      <c r="U213" s="518"/>
      <c r="V213" s="518"/>
      <c r="W213" s="518"/>
      <c r="X213" s="518"/>
      <c r="Y213" s="518"/>
      <c r="Z213" s="518"/>
      <c r="AA213" s="518"/>
      <c r="AB213" s="518"/>
      <c r="AC213" s="518"/>
      <c r="AD213" s="516"/>
      <c r="AE213" s="516"/>
      <c r="AF213" s="516"/>
      <c r="AG213" s="516"/>
      <c r="AH213" s="529">
        <f t="shared" si="163"/>
        <v>0</v>
      </c>
      <c r="AI213" s="503">
        <f t="shared" si="164"/>
        <v>0</v>
      </c>
      <c r="AJ213" s="506">
        <f t="shared" si="158"/>
        <v>0</v>
      </c>
      <c r="AK213" s="519">
        <f t="shared" si="159"/>
        <v>0</v>
      </c>
      <c r="AL213" s="503"/>
      <c r="AM213" s="503"/>
      <c r="AN213" s="506"/>
      <c r="AO213" s="519"/>
      <c r="AP213" s="520"/>
      <c r="AQ213" s="504"/>
      <c r="AR213" s="503"/>
      <c r="AU213" s="521"/>
      <c r="AV213" s="504"/>
      <c r="AW213" s="503"/>
      <c r="AX213" s="520"/>
      <c r="AY213" s="522"/>
      <c r="AZ213" s="523"/>
      <c r="BA213" s="524"/>
      <c r="BB213" s="432"/>
      <c r="BC213" s="432"/>
      <c r="BD213" s="506"/>
      <c r="BE213" s="519"/>
      <c r="BF213" s="504" t="str">
        <f t="shared" si="90"/>
        <v xml:space="preserve"> </v>
      </c>
      <c r="BG213" s="522">
        <f t="shared" si="162"/>
        <v>0</v>
      </c>
    </row>
    <row r="214" spans="1:62" ht="18" customHeight="1" x14ac:dyDescent="0.2">
      <c r="A214" s="266" t="s">
        <v>901</v>
      </c>
      <c r="B214" s="23"/>
      <c r="C214" s="23"/>
      <c r="D214" s="525"/>
      <c r="E214" s="526"/>
      <c r="F214" s="516"/>
      <c r="G214" s="516"/>
      <c r="H214" s="516"/>
      <c r="I214" s="516"/>
      <c r="J214" s="516"/>
      <c r="K214" s="517"/>
      <c r="L214" s="516"/>
      <c r="M214" s="516"/>
      <c r="N214" s="516"/>
      <c r="O214" s="516"/>
      <c r="P214" s="518"/>
      <c r="Q214" s="518"/>
      <c r="R214" s="518"/>
      <c r="S214" s="518"/>
      <c r="T214" s="518"/>
      <c r="U214" s="518"/>
      <c r="V214" s="518"/>
      <c r="W214" s="518"/>
      <c r="X214" s="518"/>
      <c r="Y214" s="518"/>
      <c r="Z214" s="518"/>
      <c r="AA214" s="518"/>
      <c r="AB214" s="518"/>
      <c r="AC214" s="518"/>
      <c r="AD214" s="516"/>
      <c r="AE214" s="516"/>
      <c r="AF214" s="516"/>
      <c r="AG214" s="516"/>
      <c r="AH214" s="529">
        <f t="shared" si="163"/>
        <v>0</v>
      </c>
      <c r="AI214" s="503">
        <f t="shared" si="164"/>
        <v>0</v>
      </c>
      <c r="AJ214" s="506">
        <f t="shared" si="158"/>
        <v>0</v>
      </c>
      <c r="AK214" s="519">
        <f t="shared" si="159"/>
        <v>0</v>
      </c>
      <c r="AL214" s="503"/>
      <c r="AM214" s="503"/>
      <c r="AN214" s="506"/>
      <c r="AO214" s="519"/>
      <c r="AP214" s="520"/>
      <c r="AQ214" s="504"/>
      <c r="AR214" s="503"/>
      <c r="AS214" s="520"/>
      <c r="AT214" s="504"/>
      <c r="AU214" s="521"/>
      <c r="AV214" s="504"/>
      <c r="AW214" s="503"/>
      <c r="AX214" s="520"/>
      <c r="AY214" s="522"/>
      <c r="AZ214" s="523"/>
      <c r="BA214" s="524"/>
      <c r="BB214" s="432"/>
      <c r="BC214" s="432"/>
      <c r="BD214" s="1389" t="s">
        <v>1140</v>
      </c>
      <c r="BE214" s="1390"/>
      <c r="BF214" s="569">
        <f>SUM(BF7:BF213)</f>
        <v>78015528</v>
      </c>
      <c r="BG214" s="570">
        <f>SUM(BG7:BG213)</f>
        <v>78015528</v>
      </c>
      <c r="BH214" s="1201"/>
    </row>
    <row r="215" spans="1:62" s="13" customFormat="1" ht="4.5" customHeight="1" x14ac:dyDescent="0.2">
      <c r="A215" s="270"/>
      <c r="B215" s="31"/>
      <c r="C215" s="31"/>
      <c r="D215" s="531"/>
      <c r="E215" s="532"/>
      <c r="F215" s="528"/>
      <c r="G215" s="528"/>
      <c r="H215" s="528"/>
      <c r="I215" s="528"/>
      <c r="J215" s="528"/>
      <c r="K215" s="533"/>
      <c r="L215" s="528"/>
      <c r="M215" s="528"/>
      <c r="N215" s="528"/>
      <c r="O215" s="528"/>
      <c r="P215" s="527"/>
      <c r="Q215" s="527"/>
      <c r="R215" s="527"/>
      <c r="S215" s="527"/>
      <c r="T215" s="527"/>
      <c r="U215" s="527"/>
      <c r="V215" s="527"/>
      <c r="W215" s="527"/>
      <c r="X215" s="527"/>
      <c r="Y215" s="527"/>
      <c r="Z215" s="527"/>
      <c r="AA215" s="527"/>
      <c r="AB215" s="527"/>
      <c r="AC215" s="527"/>
      <c r="AD215" s="528"/>
      <c r="AE215" s="528"/>
      <c r="AF215" s="528"/>
      <c r="AG215" s="528"/>
      <c r="AH215" s="529"/>
      <c r="AI215" s="537"/>
      <c r="AJ215" s="534"/>
      <c r="AK215" s="535"/>
      <c r="AL215" s="537"/>
      <c r="AM215" s="537"/>
      <c r="AN215" s="534"/>
      <c r="AO215" s="535"/>
      <c r="AP215" s="536"/>
      <c r="AQ215" s="432"/>
      <c r="AR215" s="537"/>
      <c r="AS215" s="536"/>
      <c r="AT215" s="432"/>
      <c r="AU215" s="539"/>
      <c r="AV215" s="432"/>
      <c r="AW215" s="537"/>
      <c r="AX215" s="536"/>
      <c r="AY215" s="538"/>
      <c r="AZ215" s="351"/>
      <c r="BA215" s="523"/>
      <c r="BB215" s="571"/>
      <c r="BC215" s="538"/>
      <c r="BD215" s="534"/>
      <c r="BE215" s="572"/>
      <c r="BF215" s="432"/>
      <c r="BG215" s="432"/>
      <c r="BH215" s="1201"/>
      <c r="BI215" s="1194"/>
      <c r="BJ215" s="1206"/>
    </row>
    <row r="216" spans="1:62" x14ac:dyDescent="0.2">
      <c r="A216" s="25"/>
      <c r="B216" s="156"/>
      <c r="C216" s="14" t="s">
        <v>1015</v>
      </c>
      <c r="D216" s="525"/>
      <c r="E216" s="1257">
        <f>55462297-329403</f>
        <v>55132894</v>
      </c>
      <c r="F216" s="516"/>
      <c r="G216" s="516"/>
      <c r="H216" s="516"/>
      <c r="I216" s="516"/>
      <c r="J216" s="516"/>
      <c r="K216" s="517"/>
      <c r="L216" s="516"/>
      <c r="M216" s="516"/>
      <c r="N216" s="516"/>
      <c r="O216" s="516"/>
      <c r="P216" s="518"/>
      <c r="Q216" s="518">
        <v>20861</v>
      </c>
      <c r="R216" s="518"/>
      <c r="S216" s="518"/>
      <c r="T216" s="518"/>
      <c r="U216" s="518"/>
      <c r="V216" s="518"/>
      <c r="W216" s="518"/>
      <c r="X216" s="518"/>
      <c r="Y216" s="518"/>
      <c r="Z216" s="518"/>
      <c r="AA216" s="518"/>
      <c r="AB216" s="518"/>
      <c r="AC216" s="518"/>
      <c r="AD216" s="516"/>
      <c r="AE216" s="516"/>
      <c r="AF216" s="516"/>
      <c r="AG216" s="516"/>
      <c r="AH216" s="529">
        <f t="shared" ref="AH216:AH229" si="168">L216+N216+P216+R216+T216+V216+X216+Z216+AB216+AD216+AF216</f>
        <v>0</v>
      </c>
      <c r="AI216" s="503">
        <f t="shared" ref="AI216:AI229" si="169">M216+O216+Q216+S216+U216+W216+Y216+AA216+AC216+AE216+AG216</f>
        <v>20861</v>
      </c>
      <c r="AJ216" s="506">
        <f t="shared" ref="AJ216:AJ240" si="170">D216+F216+H216+J216+AH216</f>
        <v>0</v>
      </c>
      <c r="AK216" s="519">
        <f t="shared" ref="AK216:AK240" si="171">E216+G216+I216+K216+AI216</f>
        <v>55153755</v>
      </c>
      <c r="AL216" s="503"/>
      <c r="AM216" s="503"/>
      <c r="AN216" s="506"/>
      <c r="AO216" s="519"/>
      <c r="AP216" s="520" t="str">
        <f>'B.  Property Taxes'!A53</f>
        <v>B.1</v>
      </c>
      <c r="AQ216" s="432">
        <f>'B.  Property Taxes'!J53</f>
        <v>2263253</v>
      </c>
      <c r="AR216" s="503"/>
      <c r="AS216" s="520" t="str">
        <f>'B.  Property Taxes'!A57</f>
        <v>B.2</v>
      </c>
      <c r="AT216" s="432">
        <f>'B.  Property Taxes'!L59</f>
        <v>2372924</v>
      </c>
      <c r="AU216" s="521"/>
      <c r="AV216" s="504"/>
      <c r="AW216" s="503"/>
      <c r="AX216" s="520"/>
      <c r="AY216" s="522"/>
      <c r="AZ216" s="523"/>
      <c r="BA216" s="524"/>
      <c r="BB216" s="465">
        <f t="shared" ref="BB216:BB229" si="172">ROUND(AJ216+AL216+AN216+AQ216+AV216+AZ216,0)</f>
        <v>2263253</v>
      </c>
      <c r="BC216" s="465">
        <f t="shared" ref="BC216:BC229" si="173">ROUND(AK216+AM216+AO216+AT216+AY216+BA216,0)</f>
        <v>57526679</v>
      </c>
      <c r="BD216" s="573" t="str">
        <f>IF(BB216-BC216&lt;=0," ",BB216-BC216)</f>
        <v xml:space="preserve"> </v>
      </c>
      <c r="BE216" s="522">
        <f>IF(BB216-BC216&gt;0," ",BC216-BB216)</f>
        <v>55263426</v>
      </c>
      <c r="BF216" s="504"/>
      <c r="BG216" s="522"/>
      <c r="BH216" s="1190"/>
    </row>
    <row r="217" spans="1:62" x14ac:dyDescent="0.2">
      <c r="A217" s="25"/>
      <c r="B217" s="156"/>
      <c r="C217" s="14" t="s">
        <v>221</v>
      </c>
      <c r="D217" s="525"/>
      <c r="E217" s="517">
        <v>12849824</v>
      </c>
      <c r="F217" s="516"/>
      <c r="G217" s="516"/>
      <c r="H217" s="516"/>
      <c r="I217" s="516"/>
      <c r="J217" s="516"/>
      <c r="K217" s="517"/>
      <c r="L217" s="516"/>
      <c r="M217" s="516"/>
      <c r="N217" s="516"/>
      <c r="O217" s="516"/>
      <c r="P217" s="518"/>
      <c r="Q217" s="518"/>
      <c r="R217" s="518"/>
      <c r="S217" s="518"/>
      <c r="T217" s="518"/>
      <c r="U217" s="518"/>
      <c r="V217" s="518"/>
      <c r="W217" s="518"/>
      <c r="X217" s="518"/>
      <c r="Y217" s="518"/>
      <c r="Z217" s="518"/>
      <c r="AA217" s="518">
        <v>376400</v>
      </c>
      <c r="AB217" s="518"/>
      <c r="AC217" s="518"/>
      <c r="AD217" s="516"/>
      <c r="AE217" s="516"/>
      <c r="AF217" s="516"/>
      <c r="AG217" s="516"/>
      <c r="AH217" s="529">
        <f t="shared" si="168"/>
        <v>0</v>
      </c>
      <c r="AI217" s="503">
        <f t="shared" si="169"/>
        <v>376400</v>
      </c>
      <c r="AJ217" s="506">
        <f t="shared" si="170"/>
        <v>0</v>
      </c>
      <c r="AK217" s="519">
        <f t="shared" si="171"/>
        <v>13226224</v>
      </c>
      <c r="AL217" s="503"/>
      <c r="AM217" s="503"/>
      <c r="AN217" s="506"/>
      <c r="AO217" s="519"/>
      <c r="AP217" s="520"/>
      <c r="AQ217" s="504"/>
      <c r="AR217" s="503"/>
      <c r="AS217" s="520"/>
      <c r="AT217" s="504"/>
      <c r="AU217" s="521"/>
      <c r="AV217" s="504"/>
      <c r="AW217" s="503"/>
      <c r="AX217" s="520"/>
      <c r="AY217" s="522"/>
      <c r="AZ217" s="523"/>
      <c r="BA217" s="524"/>
      <c r="BB217" s="465">
        <f t="shared" si="172"/>
        <v>0</v>
      </c>
      <c r="BC217" s="465">
        <f t="shared" si="173"/>
        <v>13226224</v>
      </c>
      <c r="BD217" s="573" t="str">
        <f>IF(BB217-BC217&lt;=0," ",BB217-BC217)</f>
        <v xml:space="preserve"> </v>
      </c>
      <c r="BE217" s="522">
        <f>IF(BB217-BC217&gt;0," ",BC217-BB217)</f>
        <v>13226224</v>
      </c>
      <c r="BF217" s="504"/>
      <c r="BG217" s="522"/>
      <c r="BH217" s="1190"/>
    </row>
    <row r="218" spans="1:62" x14ac:dyDescent="0.2">
      <c r="A218" s="25"/>
      <c r="B218" s="156"/>
      <c r="C218" s="14" t="s">
        <v>1016</v>
      </c>
      <c r="D218" s="525"/>
      <c r="E218" s="517">
        <v>230360</v>
      </c>
      <c r="F218" s="516"/>
      <c r="G218" s="516"/>
      <c r="H218" s="516"/>
      <c r="I218" s="516"/>
      <c r="J218" s="516"/>
      <c r="K218" s="517"/>
      <c r="L218" s="516"/>
      <c r="M218" s="516"/>
      <c r="N218" s="516"/>
      <c r="O218" s="516"/>
      <c r="P218" s="518"/>
      <c r="Q218" s="518"/>
      <c r="R218" s="518"/>
      <c r="S218" s="518"/>
      <c r="T218" s="518"/>
      <c r="U218" s="518"/>
      <c r="V218" s="518"/>
      <c r="W218" s="518"/>
      <c r="X218" s="518"/>
      <c r="Y218" s="518"/>
      <c r="Z218" s="518"/>
      <c r="AA218" s="518"/>
      <c r="AB218" s="518"/>
      <c r="AC218" s="518"/>
      <c r="AD218" s="516"/>
      <c r="AE218" s="516"/>
      <c r="AF218" s="516"/>
      <c r="AG218" s="516"/>
      <c r="AH218" s="529">
        <f t="shared" si="168"/>
        <v>0</v>
      </c>
      <c r="AI218" s="503">
        <f t="shared" si="169"/>
        <v>0</v>
      </c>
      <c r="AJ218" s="506">
        <f t="shared" si="170"/>
        <v>0</v>
      </c>
      <c r="AK218" s="519">
        <f t="shared" si="171"/>
        <v>230360</v>
      </c>
      <c r="AL218" s="503"/>
      <c r="AM218" s="503"/>
      <c r="AN218" s="506">
        <f>'A. Revenue by function'!L101</f>
        <v>0</v>
      </c>
      <c r="AO218" s="519"/>
      <c r="AP218" s="520" t="str">
        <f>'C. Other Revenues'!B207</f>
        <v>C.1</v>
      </c>
      <c r="AQ218" s="504">
        <f>'C. Other Revenues'!K210</f>
        <v>0</v>
      </c>
      <c r="AR218" s="503"/>
      <c r="AS218" s="520" t="str">
        <f>'C. Other Revenues'!B207</f>
        <v>C.1</v>
      </c>
      <c r="AT218" s="504">
        <f>'C. Other Revenues'!M210</f>
        <v>0</v>
      </c>
      <c r="AU218" s="521"/>
      <c r="AV218" s="504"/>
      <c r="AW218" s="503"/>
      <c r="AX218" s="520"/>
      <c r="AY218" s="522"/>
      <c r="AZ218" s="523"/>
      <c r="BA218" s="524"/>
      <c r="BB218" s="465">
        <f t="shared" si="172"/>
        <v>0</v>
      </c>
      <c r="BC218" s="465">
        <f t="shared" si="173"/>
        <v>230360</v>
      </c>
      <c r="BD218" s="573" t="str">
        <f t="shared" ref="BD218:BD280" si="174">IF(BB218-BC218&lt;=0," ",BB218-BC218)</f>
        <v xml:space="preserve"> </v>
      </c>
      <c r="BE218" s="538">
        <f t="shared" ref="BE218:BE277" si="175">IF(BB218-BC218&gt;0," ",BC218-BB218)</f>
        <v>230360</v>
      </c>
      <c r="BF218" s="504"/>
      <c r="BG218" s="522"/>
      <c r="BH218" s="1190"/>
    </row>
    <row r="219" spans="1:62" x14ac:dyDescent="0.2">
      <c r="A219" s="25"/>
      <c r="B219" s="156"/>
      <c r="C219" s="14" t="s">
        <v>222</v>
      </c>
      <c r="D219" s="525"/>
      <c r="E219" s="517">
        <v>145522</v>
      </c>
      <c r="F219" s="516"/>
      <c r="G219" s="516">
        <v>1500000</v>
      </c>
      <c r="H219" s="516"/>
      <c r="I219" s="516"/>
      <c r="J219" s="516"/>
      <c r="K219" s="517"/>
      <c r="L219" s="516"/>
      <c r="M219" s="516"/>
      <c r="N219" s="516"/>
      <c r="O219" s="516"/>
      <c r="P219" s="518"/>
      <c r="Q219" s="518"/>
      <c r="R219" s="518"/>
      <c r="S219" s="518"/>
      <c r="T219" s="518"/>
      <c r="U219" s="518"/>
      <c r="V219" s="518"/>
      <c r="W219" s="518"/>
      <c r="X219" s="518"/>
      <c r="Y219" s="518"/>
      <c r="Z219" s="518"/>
      <c r="AA219" s="518"/>
      <c r="AB219" s="518"/>
      <c r="AC219" s="518"/>
      <c r="AD219" s="516"/>
      <c r="AE219" s="516"/>
      <c r="AF219" s="516"/>
      <c r="AG219" s="516"/>
      <c r="AH219" s="529">
        <f t="shared" si="168"/>
        <v>0</v>
      </c>
      <c r="AI219" s="503">
        <f t="shared" si="169"/>
        <v>0</v>
      </c>
      <c r="AJ219" s="506">
        <f t="shared" si="170"/>
        <v>0</v>
      </c>
      <c r="AK219" s="519">
        <f t="shared" si="171"/>
        <v>1645522</v>
      </c>
      <c r="AL219" s="503"/>
      <c r="AM219" s="503"/>
      <c r="AN219" s="506">
        <f>'A. Revenue by function'!L102</f>
        <v>0</v>
      </c>
      <c r="AO219" s="519"/>
      <c r="AP219" s="520" t="str">
        <f>'C. Other Revenues'!B207</f>
        <v>C.1</v>
      </c>
      <c r="AQ219" s="504">
        <f>'C. Other Revenues'!K211</f>
        <v>0</v>
      </c>
      <c r="AR219" s="503"/>
      <c r="AS219" s="520" t="str">
        <f>'C. Other Revenues'!B207</f>
        <v>C.1</v>
      </c>
      <c r="AT219" s="504">
        <f>'C. Other Revenues'!M211</f>
        <v>0</v>
      </c>
      <c r="AU219" s="521"/>
      <c r="AV219" s="504"/>
      <c r="AW219" s="503"/>
      <c r="AX219" s="520"/>
      <c r="AY219" s="522"/>
      <c r="AZ219" s="523"/>
      <c r="BA219" s="524"/>
      <c r="BB219" s="465">
        <f t="shared" si="172"/>
        <v>0</v>
      </c>
      <c r="BC219" s="465">
        <f t="shared" si="173"/>
        <v>1645522</v>
      </c>
      <c r="BD219" s="573" t="str">
        <f t="shared" si="174"/>
        <v xml:space="preserve"> </v>
      </c>
      <c r="BE219" s="522">
        <f t="shared" si="175"/>
        <v>1645522</v>
      </c>
      <c r="BF219" s="504"/>
      <c r="BG219" s="522"/>
      <c r="BH219" s="1190"/>
    </row>
    <row r="220" spans="1:62" x14ac:dyDescent="0.2">
      <c r="A220" s="25"/>
      <c r="B220" s="156"/>
      <c r="C220" s="14" t="s">
        <v>223</v>
      </c>
      <c r="D220" s="525"/>
      <c r="E220" s="517">
        <v>14057550</v>
      </c>
      <c r="G220" s="516"/>
      <c r="H220" s="516"/>
      <c r="I220" s="516"/>
      <c r="J220" s="516"/>
      <c r="K220" s="517"/>
      <c r="L220" s="516"/>
      <c r="M220" s="516"/>
      <c r="N220" s="516"/>
      <c r="O220" s="516">
        <v>57136</v>
      </c>
      <c r="P220" s="518"/>
      <c r="Q220" s="518"/>
      <c r="R220" s="518"/>
      <c r="S220" s="518">
        <v>566064</v>
      </c>
      <c r="T220" s="518"/>
      <c r="U220" s="518"/>
      <c r="V220" s="518"/>
      <c r="W220" s="518"/>
      <c r="X220" s="518"/>
      <c r="Y220" s="518">
        <v>32832</v>
      </c>
      <c r="Z220" s="518"/>
      <c r="AA220" s="518">
        <v>666829</v>
      </c>
      <c r="AB220" s="518"/>
      <c r="AC220" s="518"/>
      <c r="AD220" s="516"/>
      <c r="AE220" s="516"/>
      <c r="AF220" s="516"/>
      <c r="AG220" s="516"/>
      <c r="AH220" s="529">
        <f t="shared" si="168"/>
        <v>0</v>
      </c>
      <c r="AI220" s="503">
        <f t="shared" si="169"/>
        <v>1322861</v>
      </c>
      <c r="AJ220" s="506">
        <f t="shared" si="170"/>
        <v>0</v>
      </c>
      <c r="AK220" s="519">
        <f t="shared" si="171"/>
        <v>15380411</v>
      </c>
      <c r="AL220" s="503"/>
      <c r="AM220" s="503"/>
      <c r="AN220" s="1294">
        <f>'A. Revenue by function'!L103</f>
        <v>15380411</v>
      </c>
      <c r="AO220" s="519"/>
      <c r="AP220" s="520" t="str">
        <f>'C. Other Revenues'!B207</f>
        <v>C.1</v>
      </c>
      <c r="AQ220" s="504">
        <f>'C. Other Revenues'!K212</f>
        <v>0</v>
      </c>
      <c r="AR220" s="503"/>
      <c r="AS220" s="520" t="str">
        <f>'C. Other Revenues'!B207</f>
        <v>C.1</v>
      </c>
      <c r="AT220" s="504">
        <f>'C. Other Revenues'!M212</f>
        <v>0</v>
      </c>
      <c r="AU220" s="521"/>
      <c r="AV220" s="504"/>
      <c r="AW220" s="503"/>
      <c r="AX220" s="520"/>
      <c r="AY220" s="522"/>
      <c r="AZ220" s="523"/>
      <c r="BA220" s="524"/>
      <c r="BB220" s="465">
        <f t="shared" si="172"/>
        <v>15380411</v>
      </c>
      <c r="BC220" s="465">
        <f t="shared" si="173"/>
        <v>15380411</v>
      </c>
      <c r="BD220" s="573" t="str">
        <f t="shared" si="174"/>
        <v xml:space="preserve"> </v>
      </c>
      <c r="BE220" s="522">
        <f t="shared" si="175"/>
        <v>0</v>
      </c>
      <c r="BF220" s="504"/>
      <c r="BG220" s="522"/>
      <c r="BH220" s="1190"/>
    </row>
    <row r="221" spans="1:62" x14ac:dyDescent="0.2">
      <c r="A221" s="25"/>
      <c r="B221" s="156"/>
      <c r="C221" s="14" t="s">
        <v>1017</v>
      </c>
      <c r="D221" s="525"/>
      <c r="E221" s="517">
        <v>445049</v>
      </c>
      <c r="F221" s="516"/>
      <c r="G221" s="516"/>
      <c r="H221" s="516"/>
      <c r="I221" s="516"/>
      <c r="J221" s="516"/>
      <c r="K221" s="517"/>
      <c r="L221" s="516"/>
      <c r="M221" s="516"/>
      <c r="N221" s="516"/>
      <c r="O221" s="516"/>
      <c r="P221" s="518"/>
      <c r="Q221" s="518"/>
      <c r="R221" s="518"/>
      <c r="S221" s="518"/>
      <c r="T221" s="518"/>
      <c r="U221" s="518">
        <v>12600</v>
      </c>
      <c r="V221" s="518"/>
      <c r="W221" s="518"/>
      <c r="X221" s="518"/>
      <c r="Y221" s="518"/>
      <c r="Z221" s="518"/>
      <c r="AA221" s="518"/>
      <c r="AB221" s="518"/>
      <c r="AC221" s="518"/>
      <c r="AD221" s="516"/>
      <c r="AE221" s="516"/>
      <c r="AF221" s="516"/>
      <c r="AG221" s="516"/>
      <c r="AH221" s="529">
        <f t="shared" si="168"/>
        <v>0</v>
      </c>
      <c r="AI221" s="503">
        <f t="shared" si="169"/>
        <v>12600</v>
      </c>
      <c r="AJ221" s="506">
        <f t="shared" si="170"/>
        <v>0</v>
      </c>
      <c r="AK221" s="519">
        <f t="shared" si="171"/>
        <v>457649</v>
      </c>
      <c r="AL221" s="503"/>
      <c r="AM221" s="503"/>
      <c r="AN221" s="1294">
        <f>'A. Revenue by function'!L104</f>
        <v>457649</v>
      </c>
      <c r="AO221" s="519"/>
      <c r="AP221" s="520" t="str">
        <f>'C. Other Revenues'!B207</f>
        <v>C.1</v>
      </c>
      <c r="AQ221" s="504">
        <f>'C. Other Revenues'!K213</f>
        <v>0</v>
      </c>
      <c r="AR221" s="503"/>
      <c r="AS221" s="520" t="str">
        <f>'C. Other Revenues'!B207</f>
        <v>C.1</v>
      </c>
      <c r="AT221" s="504">
        <f>'C. Other Revenues'!M213</f>
        <v>0</v>
      </c>
      <c r="AU221" s="521"/>
      <c r="AV221" s="504"/>
      <c r="AW221" s="503"/>
      <c r="AX221" s="520"/>
      <c r="AY221" s="522"/>
      <c r="AZ221" s="523"/>
      <c r="BA221" s="524"/>
      <c r="BB221" s="465">
        <f t="shared" si="172"/>
        <v>457649</v>
      </c>
      <c r="BC221" s="465">
        <f t="shared" si="173"/>
        <v>457649</v>
      </c>
      <c r="BD221" s="573" t="str">
        <f t="shared" si="174"/>
        <v xml:space="preserve"> </v>
      </c>
      <c r="BE221" s="522">
        <f t="shared" si="175"/>
        <v>0</v>
      </c>
      <c r="BF221" s="504"/>
      <c r="BG221" s="522"/>
      <c r="BH221" s="1190"/>
    </row>
    <row r="222" spans="1:62" x14ac:dyDescent="0.2">
      <c r="A222" s="25"/>
      <c r="B222" s="156"/>
      <c r="C222" s="14" t="s">
        <v>1014</v>
      </c>
      <c r="D222" s="525"/>
      <c r="E222" s="517">
        <v>1165426</v>
      </c>
      <c r="F222" s="516"/>
      <c r="G222" s="516"/>
      <c r="H222" s="516"/>
      <c r="I222" s="516"/>
      <c r="J222" s="516"/>
      <c r="K222" s="517"/>
      <c r="L222" s="516"/>
      <c r="M222" s="516"/>
      <c r="N222" s="516"/>
      <c r="O222" s="516"/>
      <c r="P222" s="518"/>
      <c r="Q222" s="518"/>
      <c r="R222" s="518"/>
      <c r="S222" s="518"/>
      <c r="T222" s="518"/>
      <c r="U222" s="518"/>
      <c r="V222" s="518"/>
      <c r="W222" s="518">
        <v>481900</v>
      </c>
      <c r="X222" s="518"/>
      <c r="Y222" s="518"/>
      <c r="Z222" s="518"/>
      <c r="AA222" s="518"/>
      <c r="AB222" s="518"/>
      <c r="AC222" s="518"/>
      <c r="AD222" s="516"/>
      <c r="AE222" s="516"/>
      <c r="AF222" s="516"/>
      <c r="AG222" s="516"/>
      <c r="AH222" s="529">
        <f t="shared" si="168"/>
        <v>0</v>
      </c>
      <c r="AI222" s="503">
        <f t="shared" si="169"/>
        <v>481900</v>
      </c>
      <c r="AJ222" s="506">
        <f t="shared" si="170"/>
        <v>0</v>
      </c>
      <c r="AK222" s="519">
        <f t="shared" si="171"/>
        <v>1647326</v>
      </c>
      <c r="AL222" s="503"/>
      <c r="AM222" s="503"/>
      <c r="AN222" s="1294">
        <f>'A. Revenue by function'!L105</f>
        <v>1647326</v>
      </c>
      <c r="AO222" s="519"/>
      <c r="AP222" s="520" t="str">
        <f>'C. Other Revenues'!B207</f>
        <v>C.1</v>
      </c>
      <c r="AQ222" s="504">
        <f>'C. Other Revenues'!K214</f>
        <v>0</v>
      </c>
      <c r="AR222" s="503"/>
      <c r="AS222" s="520" t="str">
        <f>'C. Other Revenues'!B207</f>
        <v>C.1</v>
      </c>
      <c r="AT222" s="504">
        <f>'C. Other Revenues'!M214</f>
        <v>0</v>
      </c>
      <c r="AU222" s="521"/>
      <c r="AV222" s="504"/>
      <c r="AW222" s="503"/>
      <c r="AX222" s="520"/>
      <c r="AY222" s="522"/>
      <c r="AZ222" s="523"/>
      <c r="BA222" s="524"/>
      <c r="BB222" s="465">
        <f t="shared" si="172"/>
        <v>1647326</v>
      </c>
      <c r="BC222" s="465">
        <f t="shared" si="173"/>
        <v>1647326</v>
      </c>
      <c r="BD222" s="573" t="str">
        <f t="shared" si="174"/>
        <v xml:space="preserve"> </v>
      </c>
      <c r="BE222" s="522">
        <f t="shared" si="175"/>
        <v>0</v>
      </c>
      <c r="BF222" s="504"/>
      <c r="BG222" s="522"/>
      <c r="BH222" s="1190"/>
    </row>
    <row r="223" spans="1:62" s="1302" customFormat="1" x14ac:dyDescent="0.2">
      <c r="A223" s="25"/>
      <c r="B223" s="156"/>
      <c r="C223" s="1253" t="s">
        <v>4202</v>
      </c>
      <c r="D223" s="525"/>
      <c r="E223" s="517">
        <v>0</v>
      </c>
      <c r="F223" s="516"/>
      <c r="G223" s="516"/>
      <c r="H223" s="516"/>
      <c r="I223" s="516"/>
      <c r="J223" s="516"/>
      <c r="K223" s="517"/>
      <c r="L223" s="516"/>
      <c r="M223" s="516"/>
      <c r="N223" s="516"/>
      <c r="O223" s="516"/>
      <c r="P223" s="518"/>
      <c r="Q223" s="518"/>
      <c r="R223" s="518"/>
      <c r="S223" s="518"/>
      <c r="T223" s="518"/>
      <c r="U223" s="518"/>
      <c r="V223" s="518"/>
      <c r="W223" s="518">
        <v>0</v>
      </c>
      <c r="X223" s="518"/>
      <c r="Y223" s="518"/>
      <c r="Z223" s="518"/>
      <c r="AA223" s="518"/>
      <c r="AB223" s="518"/>
      <c r="AC223" s="518">
        <v>540000</v>
      </c>
      <c r="AD223" s="516"/>
      <c r="AE223" s="516"/>
      <c r="AF223" s="516"/>
      <c r="AG223" s="516"/>
      <c r="AH223" s="529">
        <f t="shared" ref="AH223" si="176">L223+N223+P223+R223+T223+V223+X223+Z223+AB223+AD223+AF223</f>
        <v>0</v>
      </c>
      <c r="AI223" s="503">
        <f t="shared" ref="AI223" si="177">M223+O223+Q223+S223+U223+W223+Y223+AA223+AC223+AE223+AG223</f>
        <v>540000</v>
      </c>
      <c r="AJ223" s="506">
        <f t="shared" ref="AJ223" si="178">D223+F223+H223+J223+AH223</f>
        <v>0</v>
      </c>
      <c r="AK223" s="519">
        <f t="shared" ref="AK223" si="179">E223+G223+I223+K223+AI223</f>
        <v>540000</v>
      </c>
      <c r="AL223" s="503"/>
      <c r="AM223" s="503"/>
      <c r="AN223" s="1294">
        <f>'A. Revenue by function'!L106</f>
        <v>540000</v>
      </c>
      <c r="AO223" s="519"/>
      <c r="AP223" s="520" t="str">
        <f>'C. Other Revenues'!B207</f>
        <v>C.1</v>
      </c>
      <c r="AQ223" s="504">
        <f>'C. Other Revenues'!K223</f>
        <v>0</v>
      </c>
      <c r="AR223" s="503"/>
      <c r="AS223" s="520" t="str">
        <f>'C. Other Revenues'!B207</f>
        <v>C.1</v>
      </c>
      <c r="AT223" s="504">
        <v>0</v>
      </c>
      <c r="AU223" s="521"/>
      <c r="AV223" s="504"/>
      <c r="AW223" s="503"/>
      <c r="AX223" s="520"/>
      <c r="AY223" s="522"/>
      <c r="AZ223" s="523"/>
      <c r="BA223" s="524"/>
      <c r="BB223" s="465">
        <f t="shared" ref="BB223" si="180">ROUND(AJ223+AL223+AN223+AQ223+AV223+AZ223,0)</f>
        <v>540000</v>
      </c>
      <c r="BC223" s="465">
        <f t="shared" ref="BC223" si="181">ROUND(AK223+AM223+AO223+AT223+AY223+BA223,0)</f>
        <v>540000</v>
      </c>
      <c r="BD223" s="573" t="str">
        <f t="shared" ref="BD223" si="182">IF(BB223-BC223&lt;=0," ",BB223-BC223)</f>
        <v xml:space="preserve"> </v>
      </c>
      <c r="BE223" s="522">
        <f t="shared" ref="BE223" si="183">IF(BB223-BC223&gt;0," ",BC223-BB223)</f>
        <v>0</v>
      </c>
      <c r="BF223" s="504"/>
      <c r="BG223" s="522"/>
      <c r="BH223" s="1190"/>
      <c r="BI223" s="1193"/>
      <c r="BJ223" s="1206"/>
    </row>
    <row r="224" spans="1:62" x14ac:dyDescent="0.2">
      <c r="A224" s="25"/>
      <c r="B224" s="156"/>
      <c r="C224" s="21" t="s">
        <v>1018</v>
      </c>
      <c r="D224" s="525"/>
      <c r="E224" s="517">
        <v>1614828</v>
      </c>
      <c r="F224" s="516"/>
      <c r="G224" s="516"/>
      <c r="H224" s="516"/>
      <c r="I224" s="516"/>
      <c r="J224" s="516"/>
      <c r="K224" s="517"/>
      <c r="L224" s="516"/>
      <c r="M224" s="516"/>
      <c r="N224" s="516"/>
      <c r="O224" s="516"/>
      <c r="P224" s="518"/>
      <c r="Q224" s="518">
        <v>99</v>
      </c>
      <c r="R224" s="518"/>
      <c r="S224" s="518">
        <v>568</v>
      </c>
      <c r="T224" s="518"/>
      <c r="U224" s="518"/>
      <c r="V224" s="518"/>
      <c r="W224" s="518"/>
      <c r="X224" s="518"/>
      <c r="Y224" s="518">
        <v>13600</v>
      </c>
      <c r="Z224" s="518"/>
      <c r="AA224" s="518">
        <f>21550+16700</f>
        <v>38250</v>
      </c>
      <c r="AB224" s="518"/>
      <c r="AC224" s="518"/>
      <c r="AD224" s="516"/>
      <c r="AE224" s="516"/>
      <c r="AF224" s="516"/>
      <c r="AG224" s="516"/>
      <c r="AH224" s="529">
        <f t="shared" si="168"/>
        <v>0</v>
      </c>
      <c r="AI224" s="503">
        <f t="shared" si="169"/>
        <v>52517</v>
      </c>
      <c r="AJ224" s="506">
        <f t="shared" si="170"/>
        <v>0</v>
      </c>
      <c r="AK224" s="519">
        <f t="shared" si="171"/>
        <v>1667345</v>
      </c>
      <c r="AL224" s="503"/>
      <c r="AM224" s="503"/>
      <c r="AN224" s="1294">
        <f>'A. Revenue by function'!L107</f>
        <v>16799</v>
      </c>
      <c r="AO224" s="519"/>
      <c r="AP224" s="520" t="str">
        <f>'C. Other Revenues'!B207</f>
        <v>C.1</v>
      </c>
      <c r="AQ224" s="504">
        <f>'C. Other Revenues'!K216</f>
        <v>0</v>
      </c>
      <c r="AR224" s="503"/>
      <c r="AS224" s="520" t="str">
        <f>'C. Other Revenues'!B207</f>
        <v>C.1</v>
      </c>
      <c r="AT224" s="504">
        <f>'C. Other Revenues'!M216</f>
        <v>0</v>
      </c>
      <c r="AU224" s="521" t="str">
        <f>'L. Eliminations-Consolidations'!A243</f>
        <v>L.7</v>
      </c>
      <c r="AV224" s="504">
        <f>'L. Eliminations-Consolidations'!J253</f>
        <v>0</v>
      </c>
      <c r="AW224" s="503"/>
      <c r="AX224" s="574" t="s">
        <v>637</v>
      </c>
      <c r="AY224" s="432">
        <f>'K.1  Int. Service Fd Allocation'!G202+'K.2  Int. Service Fd Alloca'!G197+'K.3 Int. Service Fd Alloca'!G197</f>
        <v>0</v>
      </c>
      <c r="AZ224" s="555"/>
      <c r="BA224" s="524"/>
      <c r="BB224" s="465">
        <f t="shared" si="172"/>
        <v>16799</v>
      </c>
      <c r="BC224" s="465">
        <f t="shared" si="173"/>
        <v>1667345</v>
      </c>
      <c r="BD224" s="573" t="str">
        <f t="shared" si="174"/>
        <v xml:space="preserve"> </v>
      </c>
      <c r="BE224" s="522">
        <f t="shared" si="175"/>
        <v>1650546</v>
      </c>
      <c r="BF224" s="504">
        <f>BE224-1650546</f>
        <v>0</v>
      </c>
      <c r="BG224" s="522"/>
      <c r="BH224" s="1190"/>
    </row>
    <row r="225" spans="1:60" x14ac:dyDescent="0.2">
      <c r="A225" s="25"/>
      <c r="B225" s="268"/>
      <c r="C225" s="248" t="s">
        <v>801</v>
      </c>
      <c r="D225" s="540"/>
      <c r="E225" s="543">
        <v>632541</v>
      </c>
      <c r="F225" s="542"/>
      <c r="G225" s="542"/>
      <c r="H225" s="542"/>
      <c r="I225" s="542"/>
      <c r="J225" s="542"/>
      <c r="K225" s="543"/>
      <c r="L225" s="542"/>
      <c r="M225" s="542"/>
      <c r="N225" s="542"/>
      <c r="O225" s="542"/>
      <c r="P225" s="544"/>
      <c r="Q225" s="544"/>
      <c r="R225" s="544"/>
      <c r="S225" s="544"/>
      <c r="T225" s="544"/>
      <c r="U225" s="544"/>
      <c r="V225" s="544"/>
      <c r="W225" s="544"/>
      <c r="X225" s="544"/>
      <c r="Y225" s="544">
        <v>70000</v>
      </c>
      <c r="Z225" s="544"/>
      <c r="AA225" s="544"/>
      <c r="AB225" s="544"/>
      <c r="AC225" s="544"/>
      <c r="AD225" s="542"/>
      <c r="AE225" s="542"/>
      <c r="AF225" s="542"/>
      <c r="AG225" s="542"/>
      <c r="AH225" s="545">
        <f t="shared" si="168"/>
        <v>0</v>
      </c>
      <c r="AI225" s="546">
        <f t="shared" si="169"/>
        <v>70000</v>
      </c>
      <c r="AJ225" s="547">
        <f t="shared" si="170"/>
        <v>0</v>
      </c>
      <c r="AK225" s="548">
        <f t="shared" si="171"/>
        <v>702541</v>
      </c>
      <c r="AL225" s="546"/>
      <c r="AM225" s="546"/>
      <c r="AN225" s="1294">
        <f>'A. Revenue by function'!L108</f>
        <v>74190</v>
      </c>
      <c r="AO225" s="548"/>
      <c r="AP225" s="549" t="str">
        <f>'C. Other Revenues'!B207</f>
        <v>C.1</v>
      </c>
      <c r="AQ225" s="550">
        <f>'C. Other Revenues'!K215</f>
        <v>0</v>
      </c>
      <c r="AR225" s="546"/>
      <c r="AS225" s="549" t="str">
        <f>'C. Other Revenues'!B207</f>
        <v>C.1</v>
      </c>
      <c r="AT225" s="550">
        <f>'C. Other Revenues'!M215</f>
        <v>0</v>
      </c>
      <c r="AU225" s="551"/>
      <c r="AV225" s="550"/>
      <c r="AW225" s="546"/>
      <c r="AX225" s="549" t="str">
        <f>'L. Eliminations-Consolidations'!B285</f>
        <v>L.10</v>
      </c>
      <c r="AY225" s="552">
        <f>'L. Eliminations-Consolidations'!L287</f>
        <v>0</v>
      </c>
      <c r="AZ225" s="523"/>
      <c r="BA225" s="524"/>
      <c r="BB225" s="550">
        <f t="shared" si="172"/>
        <v>74190</v>
      </c>
      <c r="BC225" s="550">
        <f t="shared" si="173"/>
        <v>702541</v>
      </c>
      <c r="BD225" s="575" t="str">
        <f>IF((BB225+BB226+BB227+BB228+BB229)-(BC225+BC226+BC227+BC228+BC229)&lt;=0," ",(BB225+BB226+BB227+BB228+BB229)-(BC225+BC226+BC227+BC228+BC229))</f>
        <v xml:space="preserve"> </v>
      </c>
      <c r="BE225" s="552">
        <f>IF((BB225+BB226+BB227+BB228+BB229)-(BC225+BC226+BC227+BC228+BB229)&gt;=0," ",(BC225+BC226+BC227+BC228+BC229)-(BB225+BB226+BB227+BB228+BB229))</f>
        <v>666400</v>
      </c>
      <c r="BF225" s="504"/>
      <c r="BG225" s="522"/>
      <c r="BH225" s="1190"/>
    </row>
    <row r="226" spans="1:60" x14ac:dyDescent="0.2">
      <c r="A226" s="25"/>
      <c r="B226" s="268"/>
      <c r="C226" s="248"/>
      <c r="D226" s="540"/>
      <c r="E226" s="543"/>
      <c r="F226" s="542"/>
      <c r="G226" s="542"/>
      <c r="H226" s="542"/>
      <c r="I226" s="542"/>
      <c r="J226" s="542"/>
      <c r="K226" s="543"/>
      <c r="L226" s="542"/>
      <c r="M226" s="542"/>
      <c r="N226" s="542"/>
      <c r="O226" s="542"/>
      <c r="P226" s="544"/>
      <c r="Q226" s="544"/>
      <c r="R226" s="544"/>
      <c r="S226" s="544"/>
      <c r="T226" s="544"/>
      <c r="U226" s="544"/>
      <c r="V226" s="544"/>
      <c r="W226" s="544"/>
      <c r="X226" s="544"/>
      <c r="Y226" s="544"/>
      <c r="Z226" s="544"/>
      <c r="AA226" s="544"/>
      <c r="AB226" s="544"/>
      <c r="AC226" s="544"/>
      <c r="AD226" s="542"/>
      <c r="AE226" s="542"/>
      <c r="AF226" s="542"/>
      <c r="AG226" s="542"/>
      <c r="AH226" s="545">
        <f t="shared" si="168"/>
        <v>0</v>
      </c>
      <c r="AI226" s="546">
        <f t="shared" si="169"/>
        <v>0</v>
      </c>
      <c r="AJ226" s="547">
        <f t="shared" si="170"/>
        <v>0</v>
      </c>
      <c r="AK226" s="548">
        <f t="shared" si="171"/>
        <v>0</v>
      </c>
      <c r="AL226" s="546"/>
      <c r="AM226" s="546"/>
      <c r="AN226" s="547"/>
      <c r="AO226" s="548"/>
      <c r="AP226" s="549" t="str">
        <f>'F.  Other Cap Asset Entries'!D220</f>
        <v>F.1</v>
      </c>
      <c r="AQ226" s="550">
        <f>'F.  Other Cap Asset Entries'!M229</f>
        <v>0</v>
      </c>
      <c r="AR226" s="546"/>
      <c r="AS226" s="549" t="str">
        <f>'F.  Other Cap Asset Entries'!D220</f>
        <v>F.1</v>
      </c>
      <c r="AT226" s="550">
        <f>'F.  Other Cap Asset Entries'!O241</f>
        <v>0</v>
      </c>
      <c r="AU226" s="551"/>
      <c r="AV226" s="550"/>
      <c r="AW226" s="546"/>
      <c r="AX226" s="549"/>
      <c r="AY226" s="552"/>
      <c r="AZ226" s="523"/>
      <c r="BA226" s="524"/>
      <c r="BB226" s="550">
        <f t="shared" si="172"/>
        <v>0</v>
      </c>
      <c r="BC226" s="550">
        <f t="shared" si="173"/>
        <v>0</v>
      </c>
      <c r="BD226" s="575"/>
      <c r="BE226" s="552"/>
      <c r="BF226" s="504"/>
      <c r="BG226" s="522"/>
    </row>
    <row r="227" spans="1:60" x14ac:dyDescent="0.2">
      <c r="A227" s="25"/>
      <c r="B227" s="268"/>
      <c r="C227" s="248"/>
      <c r="D227" s="540"/>
      <c r="E227" s="543"/>
      <c r="F227" s="542"/>
      <c r="G227" s="542"/>
      <c r="H227" s="542"/>
      <c r="I227" s="542"/>
      <c r="J227" s="542"/>
      <c r="K227" s="543"/>
      <c r="L227" s="542"/>
      <c r="M227" s="542"/>
      <c r="N227" s="542"/>
      <c r="O227" s="542"/>
      <c r="P227" s="544"/>
      <c r="Q227" s="544"/>
      <c r="R227" s="544"/>
      <c r="S227" s="544"/>
      <c r="T227" s="544"/>
      <c r="U227" s="544"/>
      <c r="V227" s="544"/>
      <c r="W227" s="544"/>
      <c r="X227" s="544"/>
      <c r="Y227" s="544"/>
      <c r="Z227" s="544"/>
      <c r="AA227" s="544"/>
      <c r="AB227" s="544"/>
      <c r="AC227" s="544"/>
      <c r="AD227" s="542"/>
      <c r="AE227" s="542"/>
      <c r="AF227" s="542"/>
      <c r="AG227" s="542"/>
      <c r="AH227" s="545">
        <f t="shared" si="168"/>
        <v>0</v>
      </c>
      <c r="AI227" s="546">
        <f t="shared" si="169"/>
        <v>0</v>
      </c>
      <c r="AJ227" s="547">
        <f t="shared" si="170"/>
        <v>0</v>
      </c>
      <c r="AK227" s="548">
        <f t="shared" si="171"/>
        <v>0</v>
      </c>
      <c r="AL227" s="546"/>
      <c r="AM227" s="546"/>
      <c r="AN227" s="547"/>
      <c r="AO227" s="548"/>
      <c r="AP227" s="549" t="str">
        <f>'F.  Other Cap Asset Entries'!D220</f>
        <v>F.1</v>
      </c>
      <c r="AQ227" s="550">
        <f>'F.  Other Cap Asset Entries'!M241</f>
        <v>0</v>
      </c>
      <c r="AR227" s="546"/>
      <c r="AS227" s="549" t="str">
        <f>'F.  Other Cap Asset Entries'!D244</f>
        <v>F.2</v>
      </c>
      <c r="AT227" s="432">
        <f>'F.  Other Cap Asset Entries'!O252</f>
        <v>37500</v>
      </c>
      <c r="AU227" s="551"/>
      <c r="AV227" s="550"/>
      <c r="AW227" s="546"/>
      <c r="AX227" s="549"/>
      <c r="AY227" s="552"/>
      <c r="AZ227" s="523"/>
      <c r="BA227" s="524"/>
      <c r="BB227" s="550">
        <f t="shared" si="172"/>
        <v>0</v>
      </c>
      <c r="BC227" s="550">
        <f t="shared" si="173"/>
        <v>37500</v>
      </c>
      <c r="BD227" s="575"/>
      <c r="BE227" s="552"/>
      <c r="BF227" s="504"/>
      <c r="BG227" s="522"/>
    </row>
    <row r="228" spans="1:60" x14ac:dyDescent="0.2">
      <c r="A228" s="25"/>
      <c r="B228" s="268"/>
      <c r="C228" s="248"/>
      <c r="D228" s="540"/>
      <c r="E228" s="543"/>
      <c r="F228" s="542"/>
      <c r="G228" s="542"/>
      <c r="H228" s="542"/>
      <c r="I228" s="542"/>
      <c r="J228" s="542"/>
      <c r="K228" s="543"/>
      <c r="L228" s="542"/>
      <c r="M228" s="542"/>
      <c r="N228" s="542"/>
      <c r="O228" s="542"/>
      <c r="P228" s="544"/>
      <c r="Q228" s="544"/>
      <c r="R228" s="544"/>
      <c r="S228" s="544"/>
      <c r="T228" s="544"/>
      <c r="U228" s="544"/>
      <c r="V228" s="544"/>
      <c r="W228" s="544"/>
      <c r="X228" s="544"/>
      <c r="Y228" s="544"/>
      <c r="Z228" s="544"/>
      <c r="AA228" s="544"/>
      <c r="AB228" s="544"/>
      <c r="AC228" s="544"/>
      <c r="AD228" s="542"/>
      <c r="AE228" s="542"/>
      <c r="AF228" s="542"/>
      <c r="AG228" s="542"/>
      <c r="AH228" s="545">
        <f t="shared" si="168"/>
        <v>0</v>
      </c>
      <c r="AI228" s="546">
        <f t="shared" si="169"/>
        <v>0</v>
      </c>
      <c r="AJ228" s="547">
        <f t="shared" si="170"/>
        <v>0</v>
      </c>
      <c r="AK228" s="548">
        <f t="shared" si="171"/>
        <v>0</v>
      </c>
      <c r="AL228" s="546"/>
      <c r="AM228" s="546"/>
      <c r="AN228" s="547"/>
      <c r="AO228" s="548"/>
      <c r="AP228" s="564" t="str">
        <f>'I.  Other Asset Entries'!B108</f>
        <v>I.1</v>
      </c>
      <c r="AQ228" s="550">
        <f>'I.  Other Asset Entries'!L109</f>
        <v>0</v>
      </c>
      <c r="AR228" s="546"/>
      <c r="AS228" s="549" t="s">
        <v>624</v>
      </c>
      <c r="AT228" s="550">
        <f>'F.  Other Cap Asset Entries'!O275</f>
        <v>0</v>
      </c>
      <c r="AU228" s="551"/>
      <c r="AV228" s="550"/>
      <c r="AW228" s="546"/>
      <c r="AX228" s="549"/>
      <c r="AY228" s="552"/>
      <c r="AZ228" s="523"/>
      <c r="BA228" s="524"/>
      <c r="BB228" s="550">
        <f t="shared" si="172"/>
        <v>0</v>
      </c>
      <c r="BC228" s="550">
        <f t="shared" si="173"/>
        <v>0</v>
      </c>
      <c r="BD228" s="575"/>
      <c r="BE228" s="552"/>
      <c r="BF228" s="504"/>
      <c r="BG228" s="522"/>
    </row>
    <row r="229" spans="1:60" x14ac:dyDescent="0.2">
      <c r="A229" s="25"/>
      <c r="B229" s="268"/>
      <c r="C229" s="248"/>
      <c r="D229" s="540"/>
      <c r="E229" s="543"/>
      <c r="F229" s="542"/>
      <c r="G229" s="542"/>
      <c r="H229" s="542"/>
      <c r="I229" s="542"/>
      <c r="J229" s="542"/>
      <c r="K229" s="543"/>
      <c r="L229" s="542"/>
      <c r="M229" s="542"/>
      <c r="N229" s="542"/>
      <c r="O229" s="542"/>
      <c r="P229" s="544"/>
      <c r="Q229" s="544"/>
      <c r="R229" s="544"/>
      <c r="S229" s="544"/>
      <c r="T229" s="544"/>
      <c r="U229" s="544"/>
      <c r="V229" s="544"/>
      <c r="W229" s="544"/>
      <c r="X229" s="544"/>
      <c r="Y229" s="544"/>
      <c r="Z229" s="544"/>
      <c r="AA229" s="544"/>
      <c r="AB229" s="544"/>
      <c r="AC229" s="544"/>
      <c r="AD229" s="542"/>
      <c r="AE229" s="542"/>
      <c r="AF229" s="542"/>
      <c r="AG229" s="542"/>
      <c r="AH229" s="545">
        <f t="shared" si="168"/>
        <v>0</v>
      </c>
      <c r="AI229" s="546">
        <f t="shared" si="169"/>
        <v>0</v>
      </c>
      <c r="AJ229" s="547">
        <f t="shared" si="170"/>
        <v>0</v>
      </c>
      <c r="AK229" s="548">
        <f t="shared" si="171"/>
        <v>0</v>
      </c>
      <c r="AL229" s="546"/>
      <c r="AM229" s="546"/>
      <c r="AN229" s="547"/>
      <c r="AO229" s="548"/>
      <c r="AP229" s="564" t="str">
        <f>'I.  Other Asset Entries'!B108</f>
        <v>I.1</v>
      </c>
      <c r="AQ229" s="550">
        <f>'I.  Other Asset Entries'!L122</f>
        <v>0</v>
      </c>
      <c r="AR229" s="546"/>
      <c r="AS229" s="564" t="str">
        <f>'I.  Other Asset Entries'!B108</f>
        <v>I.1</v>
      </c>
      <c r="AT229" s="432">
        <f>'I.  Other Asset Entries'!N122</f>
        <v>549</v>
      </c>
      <c r="AU229" s="551"/>
      <c r="AV229" s="550"/>
      <c r="AW229" s="546"/>
      <c r="AX229" s="549"/>
      <c r="AY229" s="552"/>
      <c r="AZ229" s="523"/>
      <c r="BA229" s="524"/>
      <c r="BB229" s="550">
        <f t="shared" si="172"/>
        <v>0</v>
      </c>
      <c r="BC229" s="550">
        <f t="shared" si="173"/>
        <v>549</v>
      </c>
      <c r="BD229" s="575"/>
      <c r="BE229" s="552"/>
      <c r="BF229" s="504"/>
      <c r="BG229" s="522"/>
    </row>
    <row r="230" spans="1:60" x14ac:dyDescent="0.2">
      <c r="A230" s="25"/>
      <c r="B230" s="14"/>
      <c r="C230" s="335" t="s">
        <v>723</v>
      </c>
      <c r="D230" s="525"/>
      <c r="E230" s="526"/>
      <c r="F230" s="516"/>
      <c r="G230" s="516"/>
      <c r="H230" s="516"/>
      <c r="I230" s="516"/>
      <c r="J230" s="516"/>
      <c r="K230" s="517"/>
      <c r="L230" s="516"/>
      <c r="M230" s="516"/>
      <c r="N230" s="516"/>
      <c r="O230" s="516"/>
      <c r="P230" s="518"/>
      <c r="Q230" s="518"/>
      <c r="R230" s="518"/>
      <c r="S230" s="518"/>
      <c r="T230" s="518"/>
      <c r="U230" s="518"/>
      <c r="V230" s="518"/>
      <c r="W230" s="518"/>
      <c r="X230" s="518"/>
      <c r="Y230" s="518"/>
      <c r="Z230" s="518"/>
      <c r="AA230" s="518"/>
      <c r="AB230" s="518"/>
      <c r="AC230" s="518"/>
      <c r="AD230" s="516"/>
      <c r="AE230" s="516"/>
      <c r="AF230" s="516"/>
      <c r="AG230" s="516"/>
      <c r="AH230" s="529">
        <f t="shared" ref="AH230:AH240" si="184">L230+N230+P230+R230+T230+V230+X230+Z230+AB230+AD230+AF230</f>
        <v>0</v>
      </c>
      <c r="AI230" s="503">
        <f t="shared" ref="AI230:AI240" si="185">M230+O230+Q230+S230+U230+W230+Y230+AA230+AC230+AE230+AG230</f>
        <v>0</v>
      </c>
      <c r="AJ230" s="506">
        <f t="shared" si="170"/>
        <v>0</v>
      </c>
      <c r="AK230" s="519">
        <f t="shared" si="171"/>
        <v>0</v>
      </c>
      <c r="AL230" s="503"/>
      <c r="AM230" s="503"/>
      <c r="AN230" s="506">
        <f>'A. Revenue by function'!L109</f>
        <v>0</v>
      </c>
      <c r="AO230" s="519"/>
      <c r="AU230" s="521"/>
      <c r="AV230" s="504"/>
      <c r="AW230" s="503"/>
      <c r="AX230" s="520"/>
      <c r="AY230" s="522"/>
      <c r="AZ230" s="523"/>
      <c r="BA230" s="524"/>
      <c r="BB230" s="465">
        <f>ROUND(AJ230+AL230+AN230+AQ230+AV230+AZ230,0)</f>
        <v>0</v>
      </c>
      <c r="BC230" s="465">
        <f>ROUND(AK230+AM230+AO230+AT230+AY230+BA230,0)</f>
        <v>0</v>
      </c>
      <c r="BD230" s="573" t="str">
        <f t="shared" si="174"/>
        <v xml:space="preserve"> </v>
      </c>
      <c r="BE230" s="522">
        <f t="shared" si="175"/>
        <v>0</v>
      </c>
      <c r="BF230" s="504"/>
      <c r="BG230" s="522"/>
    </row>
    <row r="231" spans="1:60" ht="12" customHeight="1" x14ac:dyDescent="0.2">
      <c r="A231" s="25"/>
      <c r="B231" s="14"/>
      <c r="C231" s="335" t="s">
        <v>724</v>
      </c>
      <c r="D231" s="525"/>
      <c r="E231" s="526"/>
      <c r="F231" s="516"/>
      <c r="G231" s="516"/>
      <c r="H231" s="516"/>
      <c r="I231" s="516"/>
      <c r="J231" s="516"/>
      <c r="K231" s="517"/>
      <c r="L231" s="516"/>
      <c r="M231" s="516"/>
      <c r="N231" s="516"/>
      <c r="O231" s="516"/>
      <c r="P231" s="518"/>
      <c r="Q231" s="518"/>
      <c r="R231" s="518"/>
      <c r="S231" s="518"/>
      <c r="T231" s="518"/>
      <c r="U231" s="518"/>
      <c r="V231" s="518"/>
      <c r="W231" s="518"/>
      <c r="X231" s="518"/>
      <c r="Y231" s="518"/>
      <c r="Z231" s="518"/>
      <c r="AA231" s="518"/>
      <c r="AB231" s="518"/>
      <c r="AC231" s="518"/>
      <c r="AD231" s="516"/>
      <c r="AE231" s="516"/>
      <c r="AF231" s="516"/>
      <c r="AG231" s="516"/>
      <c r="AH231" s="529">
        <f t="shared" si="184"/>
        <v>0</v>
      </c>
      <c r="AI231" s="503">
        <f t="shared" si="185"/>
        <v>0</v>
      </c>
      <c r="AJ231" s="506">
        <f t="shared" si="170"/>
        <v>0</v>
      </c>
      <c r="AK231" s="519">
        <f t="shared" si="171"/>
        <v>0</v>
      </c>
      <c r="AL231" s="503"/>
      <c r="AM231" s="503"/>
      <c r="AN231" s="506">
        <f>'A. Revenue by function'!L110</f>
        <v>0</v>
      </c>
      <c r="AO231" s="519"/>
      <c r="AP231" s="520"/>
      <c r="AQ231" s="504"/>
      <c r="AR231" s="503"/>
      <c r="AS231" s="520"/>
      <c r="AT231" s="504"/>
      <c r="AU231" s="521"/>
      <c r="AV231" s="504"/>
      <c r="AW231" s="503"/>
      <c r="AX231" s="520"/>
      <c r="AY231" s="522"/>
      <c r="AZ231" s="523"/>
      <c r="BA231" s="524"/>
      <c r="BB231" s="465">
        <f>ROUND(AJ231+AL231+AN231+AQ231+AV231+AZ231,0)</f>
        <v>0</v>
      </c>
      <c r="BC231" s="465">
        <f>ROUND(AK231+AM231+AO231+AT231+AY231+BA231,0)</f>
        <v>0</v>
      </c>
      <c r="BD231" s="573" t="str">
        <f t="shared" si="174"/>
        <v xml:space="preserve"> </v>
      </c>
      <c r="BE231" s="522">
        <f t="shared" si="175"/>
        <v>0</v>
      </c>
      <c r="BF231" s="504"/>
      <c r="BG231" s="522"/>
      <c r="BH231" s="1190"/>
    </row>
    <row r="232" spans="1:60" ht="12.75" customHeight="1" x14ac:dyDescent="0.2">
      <c r="A232" s="25"/>
      <c r="B232" s="14"/>
      <c r="C232" s="14"/>
      <c r="D232" s="525"/>
      <c r="E232" s="526"/>
      <c r="F232" s="516"/>
      <c r="G232" s="516"/>
      <c r="H232" s="516"/>
      <c r="I232" s="516"/>
      <c r="J232" s="516"/>
      <c r="K232" s="517"/>
      <c r="L232" s="516"/>
      <c r="M232" s="516"/>
      <c r="N232" s="516"/>
      <c r="O232" s="516"/>
      <c r="P232" s="518"/>
      <c r="Q232" s="518"/>
      <c r="R232" s="518"/>
      <c r="S232" s="518"/>
      <c r="T232" s="518"/>
      <c r="U232" s="518"/>
      <c r="V232" s="518"/>
      <c r="W232" s="518"/>
      <c r="X232" s="518"/>
      <c r="Y232" s="518"/>
      <c r="Z232" s="518"/>
      <c r="AA232" s="518"/>
      <c r="AB232" s="518"/>
      <c r="AC232" s="518"/>
      <c r="AD232" s="516"/>
      <c r="AE232" s="516"/>
      <c r="AF232" s="516"/>
      <c r="AG232" s="516"/>
      <c r="AH232" s="529">
        <f t="shared" si="184"/>
        <v>0</v>
      </c>
      <c r="AI232" s="503">
        <f t="shared" si="185"/>
        <v>0</v>
      </c>
      <c r="AJ232" s="506">
        <f t="shared" si="170"/>
        <v>0</v>
      </c>
      <c r="AK232" s="519">
        <f t="shared" si="171"/>
        <v>0</v>
      </c>
      <c r="AL232" s="503"/>
      <c r="AM232" s="503"/>
      <c r="AN232" s="506"/>
      <c r="AO232" s="519"/>
      <c r="AP232" s="520"/>
      <c r="AQ232" s="504"/>
      <c r="AR232" s="503"/>
      <c r="AS232" s="520"/>
      <c r="AT232" s="504"/>
      <c r="AU232" s="521"/>
      <c r="AV232" s="504"/>
      <c r="AW232" s="503"/>
      <c r="AX232" s="520"/>
      <c r="AY232" s="522"/>
      <c r="AZ232" s="523"/>
      <c r="BA232" s="524"/>
      <c r="BB232" s="432"/>
      <c r="BC232" s="432"/>
      <c r="BD232" s="573"/>
      <c r="BE232" s="522"/>
      <c r="BF232" s="504"/>
      <c r="BG232" s="522"/>
    </row>
    <row r="233" spans="1:60" x14ac:dyDescent="0.2">
      <c r="A233" s="25"/>
      <c r="B233" s="163" t="s">
        <v>902</v>
      </c>
      <c r="C233" s="14"/>
      <c r="D233" s="525"/>
      <c r="E233" s="526"/>
      <c r="F233" s="516"/>
      <c r="G233" s="516"/>
      <c r="H233" s="516"/>
      <c r="I233" s="516"/>
      <c r="J233" s="516"/>
      <c r="K233" s="517"/>
      <c r="L233" s="516"/>
      <c r="M233" s="516"/>
      <c r="N233" s="516"/>
      <c r="O233" s="516"/>
      <c r="P233" s="518"/>
      <c r="Q233" s="518"/>
      <c r="R233" s="518"/>
      <c r="S233" s="518"/>
      <c r="T233" s="518"/>
      <c r="U233" s="518"/>
      <c r="V233" s="518"/>
      <c r="W233" s="518"/>
      <c r="X233" s="518"/>
      <c r="Y233" s="518"/>
      <c r="Z233" s="518"/>
      <c r="AA233" s="518"/>
      <c r="AB233" s="518"/>
      <c r="AC233" s="518"/>
      <c r="AD233" s="516"/>
      <c r="AE233" s="516"/>
      <c r="AF233" s="516"/>
      <c r="AG233" s="516"/>
      <c r="AH233" s="529">
        <f t="shared" si="184"/>
        <v>0</v>
      </c>
      <c r="AI233" s="503">
        <f t="shared" si="185"/>
        <v>0</v>
      </c>
      <c r="AJ233" s="506">
        <f t="shared" si="170"/>
        <v>0</v>
      </c>
      <c r="AK233" s="519">
        <f t="shared" si="171"/>
        <v>0</v>
      </c>
      <c r="AL233" s="503"/>
      <c r="AM233" s="503"/>
      <c r="AN233" s="506"/>
      <c r="AO233" s="519"/>
      <c r="AP233" s="520"/>
      <c r="AQ233" s="504"/>
      <c r="AR233" s="503"/>
      <c r="AS233" s="520"/>
      <c r="AT233" s="504"/>
      <c r="AU233" s="521"/>
      <c r="AV233" s="504"/>
      <c r="AW233" s="503"/>
      <c r="AX233" s="520"/>
      <c r="AY233" s="522"/>
      <c r="AZ233" s="523"/>
      <c r="BA233" s="524"/>
      <c r="BB233" s="432"/>
      <c r="BC233" s="432"/>
      <c r="BD233" s="573"/>
      <c r="BE233" s="522"/>
      <c r="BF233" s="504"/>
      <c r="BG233" s="522"/>
    </row>
    <row r="234" spans="1:60" x14ac:dyDescent="0.2">
      <c r="A234" s="25"/>
      <c r="B234" s="1403" t="s">
        <v>954</v>
      </c>
      <c r="C234" s="14" t="s">
        <v>903</v>
      </c>
      <c r="D234" s="525"/>
      <c r="E234" s="526"/>
      <c r="F234" s="516"/>
      <c r="G234" s="516"/>
      <c r="H234" s="516"/>
      <c r="I234" s="516"/>
      <c r="J234" s="516"/>
      <c r="K234" s="517"/>
      <c r="L234" s="516"/>
      <c r="M234" s="516"/>
      <c r="N234" s="516"/>
      <c r="O234" s="516"/>
      <c r="P234" s="518"/>
      <c r="Q234" s="518"/>
      <c r="R234" s="518"/>
      <c r="S234" s="518"/>
      <c r="T234" s="518"/>
      <c r="U234" s="518"/>
      <c r="V234" s="518"/>
      <c r="W234" s="518"/>
      <c r="X234" s="518"/>
      <c r="Y234" s="518"/>
      <c r="Z234" s="518"/>
      <c r="AA234" s="518"/>
      <c r="AB234" s="518"/>
      <c r="AC234" s="518"/>
      <c r="AD234" s="516"/>
      <c r="AE234" s="516"/>
      <c r="AF234" s="516"/>
      <c r="AG234" s="516"/>
      <c r="AH234" s="529">
        <f t="shared" si="184"/>
        <v>0</v>
      </c>
      <c r="AI234" s="503">
        <f t="shared" si="185"/>
        <v>0</v>
      </c>
      <c r="AJ234" s="506">
        <f t="shared" si="170"/>
        <v>0</v>
      </c>
      <c r="AK234" s="519">
        <f t="shared" si="171"/>
        <v>0</v>
      </c>
      <c r="AL234" s="503"/>
      <c r="AM234" s="503"/>
      <c r="AN234" s="506"/>
      <c r="AO234" s="1295">
        <f>'A. Revenue by function'!N113</f>
        <v>507312</v>
      </c>
      <c r="AP234" s="520" t="str">
        <f>'C. Other Revenues'!B207</f>
        <v>C.1</v>
      </c>
      <c r="AQ234" s="568">
        <f>'C. Other Revenues'!K218</f>
        <v>0</v>
      </c>
      <c r="AS234" s="520" t="str">
        <f>'C. Other Revenues'!B207</f>
        <v>C.1</v>
      </c>
      <c r="AT234" s="504">
        <f>'C. Other Revenues'!M218</f>
        <v>0</v>
      </c>
      <c r="AU234" s="521" t="str">
        <f>'L. Eliminations-Consolidations'!A219</f>
        <v>L.5</v>
      </c>
      <c r="AV234" s="504">
        <f>'L. Eliminations-Consolidations'!J219</f>
        <v>0</v>
      </c>
      <c r="AW234" s="503"/>
      <c r="AX234" s="574" t="s">
        <v>637</v>
      </c>
      <c r="AY234" s="432">
        <f>'K.1  Int. Service Fd Allocation'!G203+'K.2  Int. Service Fd Alloca'!G198+'K.3 Int. Service Fd Alloca'!G198</f>
        <v>0</v>
      </c>
      <c r="AZ234" s="555"/>
      <c r="BA234" s="524"/>
      <c r="BB234" s="465">
        <f>ROUND(AJ234+AL234+AN234+AQ234+AV234+AZ234,0)</f>
        <v>0</v>
      </c>
      <c r="BC234" s="465">
        <f>ROUND(AK234+AM234+AO234+AT234+AY234+BA234,0)</f>
        <v>507312</v>
      </c>
      <c r="BD234" s="573" t="str">
        <f t="shared" si="174"/>
        <v xml:space="preserve"> </v>
      </c>
      <c r="BE234" s="522">
        <f>IF(BB234-BC234&gt;0," ",BC234-BB234)</f>
        <v>507312</v>
      </c>
      <c r="BF234" s="504"/>
      <c r="BG234" s="522"/>
      <c r="BH234" s="1190"/>
    </row>
    <row r="235" spans="1:60" x14ac:dyDescent="0.2">
      <c r="A235" s="25"/>
      <c r="B235" s="1403"/>
      <c r="C235" s="14" t="s">
        <v>989</v>
      </c>
      <c r="D235" s="525"/>
      <c r="E235" s="526"/>
      <c r="F235" s="516"/>
      <c r="G235" s="516"/>
      <c r="H235" s="516"/>
      <c r="I235" s="516"/>
      <c r="J235" s="516"/>
      <c r="K235" s="517"/>
      <c r="L235" s="516"/>
      <c r="M235" s="516"/>
      <c r="N235" s="516"/>
      <c r="O235" s="516"/>
      <c r="P235" s="518"/>
      <c r="Q235" s="518"/>
      <c r="R235" s="518"/>
      <c r="S235" s="518"/>
      <c r="T235" s="518"/>
      <c r="U235" s="518"/>
      <c r="V235" s="518"/>
      <c r="W235" s="518"/>
      <c r="X235" s="518"/>
      <c r="Y235" s="518"/>
      <c r="Z235" s="518"/>
      <c r="AA235" s="518"/>
      <c r="AB235" s="518"/>
      <c r="AC235" s="518"/>
      <c r="AD235" s="516"/>
      <c r="AE235" s="516"/>
      <c r="AF235" s="516"/>
      <c r="AG235" s="516"/>
      <c r="AH235" s="529">
        <f t="shared" si="184"/>
        <v>0</v>
      </c>
      <c r="AI235" s="503">
        <f t="shared" si="185"/>
        <v>0</v>
      </c>
      <c r="AJ235" s="506">
        <f t="shared" si="170"/>
        <v>0</v>
      </c>
      <c r="AK235" s="519">
        <f t="shared" si="171"/>
        <v>0</v>
      </c>
      <c r="AL235" s="503"/>
      <c r="AM235" s="503"/>
      <c r="AN235" s="506"/>
      <c r="AO235" s="519">
        <f>'A. Revenue by function'!N114</f>
        <v>0</v>
      </c>
      <c r="AP235" s="520" t="str">
        <f>'C. Other Revenues'!B207</f>
        <v>C.1</v>
      </c>
      <c r="AQ235" s="504">
        <f>'C. Other Revenues'!K228</f>
        <v>0</v>
      </c>
      <c r="AR235" s="503"/>
      <c r="AS235" s="520" t="str">
        <f>'C. Other Revenues'!B207</f>
        <v>C.1</v>
      </c>
      <c r="AT235" s="504">
        <f>'C. Other Revenues'!M228</f>
        <v>0</v>
      </c>
      <c r="AU235" s="521"/>
      <c r="AV235" s="504"/>
      <c r="AW235" s="503"/>
      <c r="AX235" s="520" t="str">
        <f>'L. Eliminations-Consolidations'!A243</f>
        <v>L.7</v>
      </c>
      <c r="AY235" s="522">
        <f>'L. Eliminations-Consolidations'!L254</f>
        <v>0</v>
      </c>
      <c r="AZ235" s="523"/>
      <c r="BA235" s="524"/>
      <c r="BB235" s="465">
        <f>ROUND(AJ235+AL235+AN235+AQ235+AV235+AZ235,0)</f>
        <v>0</v>
      </c>
      <c r="BC235" s="465">
        <f>ROUND(AK235+AM235+AO235+AT235+AY235+BA235,0)</f>
        <v>0</v>
      </c>
      <c r="BD235" s="573" t="str">
        <f t="shared" si="174"/>
        <v xml:space="preserve"> </v>
      </c>
      <c r="BE235" s="522">
        <f t="shared" si="175"/>
        <v>0</v>
      </c>
      <c r="BF235" s="504"/>
      <c r="BG235" s="522"/>
    </row>
    <row r="236" spans="1:60" ht="15.75" customHeight="1" x14ac:dyDescent="0.2">
      <c r="A236" s="25"/>
      <c r="B236" s="1403"/>
      <c r="C236" s="14" t="s">
        <v>990</v>
      </c>
      <c r="D236" s="525"/>
      <c r="E236" s="526"/>
      <c r="F236" s="516"/>
      <c r="G236" s="516"/>
      <c r="H236" s="516"/>
      <c r="I236" s="516"/>
      <c r="J236" s="516"/>
      <c r="K236" s="517"/>
      <c r="L236" s="516"/>
      <c r="M236" s="516"/>
      <c r="N236" s="516"/>
      <c r="O236" s="516"/>
      <c r="P236" s="518"/>
      <c r="Q236" s="518"/>
      <c r="R236" s="518"/>
      <c r="S236" s="518"/>
      <c r="T236" s="518"/>
      <c r="U236" s="518"/>
      <c r="V236" s="518"/>
      <c r="W236" s="518"/>
      <c r="X236" s="518"/>
      <c r="Y236" s="518"/>
      <c r="Z236" s="518"/>
      <c r="AA236" s="518"/>
      <c r="AB236" s="518"/>
      <c r="AC236" s="518"/>
      <c r="AD236" s="516"/>
      <c r="AE236" s="516"/>
      <c r="AF236" s="516"/>
      <c r="AG236" s="516"/>
      <c r="AH236" s="529">
        <f t="shared" si="184"/>
        <v>0</v>
      </c>
      <c r="AI236" s="503">
        <f t="shared" si="185"/>
        <v>0</v>
      </c>
      <c r="AJ236" s="506">
        <f t="shared" si="170"/>
        <v>0</v>
      </c>
      <c r="AK236" s="519">
        <f t="shared" si="171"/>
        <v>0</v>
      </c>
      <c r="AL236" s="503"/>
      <c r="AM236" s="503"/>
      <c r="AN236" s="506"/>
      <c r="AO236" s="519">
        <f>'A. Revenue by function'!N115</f>
        <v>0</v>
      </c>
      <c r="AP236" s="520" t="str">
        <f>'C. Other Revenues'!B207</f>
        <v>C.1</v>
      </c>
      <c r="AQ236" s="504">
        <f>'C. Other Revenues'!K238</f>
        <v>0</v>
      </c>
      <c r="AR236" s="503"/>
      <c r="AS236" s="520" t="str">
        <f>'C. Other Revenues'!B207</f>
        <v>C.1</v>
      </c>
      <c r="AT236" s="504">
        <f>'C. Other Revenues'!M238</f>
        <v>0</v>
      </c>
      <c r="AU236" s="521"/>
      <c r="AV236" s="504"/>
      <c r="AW236" s="503"/>
      <c r="AX236" s="520" t="str">
        <f>'L. Eliminations-Consolidations'!A243</f>
        <v>L.7</v>
      </c>
      <c r="AY236" s="522">
        <f>'L. Eliminations-Consolidations'!L263</f>
        <v>0</v>
      </c>
      <c r="AZ236" s="523"/>
      <c r="BA236" s="524"/>
      <c r="BB236" s="465">
        <f>ROUND(AJ236+AL236+AN236+AQ236+AV236+AZ236,0)</f>
        <v>0</v>
      </c>
      <c r="BC236" s="465">
        <f>ROUND(AK236+AM236+AO236+AT236+AY236+BA236,0)</f>
        <v>0</v>
      </c>
      <c r="BD236" s="573" t="str">
        <f t="shared" si="174"/>
        <v xml:space="preserve"> </v>
      </c>
      <c r="BE236" s="522">
        <f t="shared" si="175"/>
        <v>0</v>
      </c>
      <c r="BF236" s="504"/>
      <c r="BG236" s="522"/>
    </row>
    <row r="237" spans="1:60" x14ac:dyDescent="0.2">
      <c r="A237" s="25"/>
      <c r="B237" s="14"/>
      <c r="C237" s="14"/>
      <c r="D237" s="525"/>
      <c r="E237" s="526"/>
      <c r="F237" s="516"/>
      <c r="G237" s="516"/>
      <c r="H237" s="516"/>
      <c r="I237" s="516"/>
      <c r="J237" s="516"/>
      <c r="K237" s="517"/>
      <c r="L237" s="516"/>
      <c r="M237" s="516"/>
      <c r="N237" s="516"/>
      <c r="O237" s="516"/>
      <c r="P237" s="518"/>
      <c r="Q237" s="518"/>
      <c r="R237" s="518"/>
      <c r="S237" s="518"/>
      <c r="T237" s="518"/>
      <c r="U237" s="518"/>
      <c r="V237" s="518"/>
      <c r="W237" s="518"/>
      <c r="X237" s="518"/>
      <c r="Y237" s="518"/>
      <c r="Z237" s="518"/>
      <c r="AA237" s="518"/>
      <c r="AB237" s="518"/>
      <c r="AC237" s="518"/>
      <c r="AD237" s="516"/>
      <c r="AE237" s="516"/>
      <c r="AF237" s="516"/>
      <c r="AG237" s="516"/>
      <c r="AH237" s="529">
        <f t="shared" si="184"/>
        <v>0</v>
      </c>
      <c r="AI237" s="503">
        <f t="shared" si="185"/>
        <v>0</v>
      </c>
      <c r="AJ237" s="506">
        <f t="shared" si="170"/>
        <v>0</v>
      </c>
      <c r="AK237" s="519">
        <f t="shared" si="171"/>
        <v>0</v>
      </c>
      <c r="AL237" s="503"/>
      <c r="AM237" s="503"/>
      <c r="AN237" s="506"/>
      <c r="AO237" s="519"/>
      <c r="AP237" s="520"/>
      <c r="AQ237" s="504"/>
      <c r="AR237" s="503"/>
      <c r="AU237" s="521"/>
      <c r="AV237" s="504"/>
      <c r="AW237" s="503"/>
      <c r="AX237" s="520"/>
      <c r="AY237" s="522"/>
      <c r="AZ237" s="523"/>
      <c r="BA237" s="524"/>
      <c r="BB237" s="432"/>
      <c r="BC237" s="432"/>
      <c r="BD237" s="573" t="str">
        <f t="shared" si="174"/>
        <v xml:space="preserve"> </v>
      </c>
      <c r="BE237" s="522"/>
      <c r="BF237" s="504"/>
      <c r="BG237" s="522"/>
    </row>
    <row r="238" spans="1:60" x14ac:dyDescent="0.2">
      <c r="A238" s="25"/>
      <c r="B238" s="163" t="s">
        <v>991</v>
      </c>
      <c r="C238" s="14"/>
      <c r="D238" s="525"/>
      <c r="E238" s="526"/>
      <c r="F238" s="516"/>
      <c r="G238" s="516"/>
      <c r="H238" s="516"/>
      <c r="I238" s="516"/>
      <c r="J238" s="516"/>
      <c r="K238" s="517"/>
      <c r="L238" s="516"/>
      <c r="M238" s="516"/>
      <c r="N238" s="516"/>
      <c r="O238" s="516"/>
      <c r="P238" s="518"/>
      <c r="Q238" s="518"/>
      <c r="R238" s="518"/>
      <c r="S238" s="518"/>
      <c r="T238" s="518"/>
      <c r="U238" s="518"/>
      <c r="V238" s="518"/>
      <c r="W238" s="518"/>
      <c r="X238" s="518"/>
      <c r="Y238" s="518"/>
      <c r="Z238" s="518"/>
      <c r="AA238" s="518"/>
      <c r="AB238" s="518"/>
      <c r="AC238" s="518"/>
      <c r="AD238" s="516"/>
      <c r="AE238" s="516"/>
      <c r="AF238" s="516"/>
      <c r="AG238" s="516"/>
      <c r="AH238" s="529">
        <f t="shared" si="184"/>
        <v>0</v>
      </c>
      <c r="AI238" s="503">
        <f t="shared" si="185"/>
        <v>0</v>
      </c>
      <c r="AJ238" s="506">
        <f t="shared" si="170"/>
        <v>0</v>
      </c>
      <c r="AK238" s="519">
        <f t="shared" si="171"/>
        <v>0</v>
      </c>
      <c r="AL238" s="503"/>
      <c r="AM238" s="503"/>
      <c r="AN238" s="506"/>
      <c r="AO238" s="519"/>
      <c r="AU238" s="521"/>
      <c r="AV238" s="504"/>
      <c r="AW238" s="503"/>
      <c r="AX238" s="520"/>
      <c r="AY238" s="522"/>
      <c r="AZ238" s="523"/>
      <c r="BA238" s="524"/>
      <c r="BB238" s="432"/>
      <c r="BC238" s="432"/>
      <c r="BD238" s="573" t="str">
        <f t="shared" si="174"/>
        <v xml:space="preserve"> </v>
      </c>
      <c r="BE238" s="522"/>
      <c r="BF238" s="504"/>
      <c r="BG238" s="522"/>
    </row>
    <row r="239" spans="1:60" x14ac:dyDescent="0.2">
      <c r="A239" s="25"/>
      <c r="B239" s="1403" t="s">
        <v>954</v>
      </c>
      <c r="C239" s="14" t="s">
        <v>903</v>
      </c>
      <c r="D239" s="525"/>
      <c r="E239" s="526"/>
      <c r="F239" s="516"/>
      <c r="G239" s="516"/>
      <c r="H239" s="516"/>
      <c r="I239" s="516"/>
      <c r="J239" s="516"/>
      <c r="K239" s="577"/>
      <c r="L239" s="578"/>
      <c r="M239" s="578"/>
      <c r="N239" s="516"/>
      <c r="O239" s="516"/>
      <c r="P239" s="518"/>
      <c r="Q239" s="518"/>
      <c r="R239" s="518"/>
      <c r="S239" s="518"/>
      <c r="T239" s="518"/>
      <c r="U239" s="518"/>
      <c r="V239" s="518"/>
      <c r="W239" s="518"/>
      <c r="X239" s="518"/>
      <c r="Y239" s="518"/>
      <c r="Z239" s="518"/>
      <c r="AA239" s="518"/>
      <c r="AB239" s="518"/>
      <c r="AC239" s="518"/>
      <c r="AD239" s="516"/>
      <c r="AE239" s="516"/>
      <c r="AF239" s="516"/>
      <c r="AG239" s="516"/>
      <c r="AH239" s="529">
        <f t="shared" si="184"/>
        <v>0</v>
      </c>
      <c r="AI239" s="503">
        <f t="shared" si="185"/>
        <v>0</v>
      </c>
      <c r="AJ239" s="506">
        <f t="shared" si="170"/>
        <v>0</v>
      </c>
      <c r="AK239" s="519">
        <f t="shared" si="171"/>
        <v>0</v>
      </c>
      <c r="AL239" s="503"/>
      <c r="AM239" s="503"/>
      <c r="AN239" s="506"/>
      <c r="AO239" s="1295">
        <f>'A. Revenue by function'!N116</f>
        <v>1610564</v>
      </c>
      <c r="AP239" s="520" t="str">
        <f>'C. Other Revenues'!B207</f>
        <v>C.1</v>
      </c>
      <c r="AQ239" s="504">
        <f>'C. Other Revenues'!K219</f>
        <v>0</v>
      </c>
      <c r="AR239" s="503"/>
      <c r="AS239" s="520" t="str">
        <f>'C. Other Revenues'!B207</f>
        <v>C.1</v>
      </c>
      <c r="AT239" s="504">
        <f>'C. Other Revenues'!M219</f>
        <v>0</v>
      </c>
      <c r="AU239" s="521"/>
      <c r="AV239" s="504"/>
      <c r="AW239" s="503"/>
      <c r="AX239" s="520"/>
      <c r="AY239" s="522"/>
      <c r="AZ239" s="523"/>
      <c r="BA239" s="524"/>
      <c r="BB239" s="465">
        <f>ROUND(AJ239+AL239+AN239+AQ239+AV239+AZ239,0)</f>
        <v>0</v>
      </c>
      <c r="BC239" s="465">
        <f>ROUND(AK239+AM239+AO239+AT239+AY239+BA239,0)</f>
        <v>1610564</v>
      </c>
      <c r="BD239" s="573" t="str">
        <f t="shared" si="174"/>
        <v xml:space="preserve"> </v>
      </c>
      <c r="BE239" s="522">
        <f t="shared" si="175"/>
        <v>1610564</v>
      </c>
      <c r="BF239" s="504"/>
      <c r="BG239" s="522"/>
    </row>
    <row r="240" spans="1:60" x14ac:dyDescent="0.2">
      <c r="A240" s="25"/>
      <c r="B240" s="1403"/>
      <c r="C240" s="14" t="s">
        <v>989</v>
      </c>
      <c r="D240" s="525"/>
      <c r="E240" s="526"/>
      <c r="F240" s="516"/>
      <c r="G240" s="516"/>
      <c r="H240" s="516"/>
      <c r="I240" s="516"/>
      <c r="J240" s="516"/>
      <c r="K240" s="577"/>
      <c r="L240" s="578"/>
      <c r="M240" s="578"/>
      <c r="N240" s="516"/>
      <c r="O240" s="516"/>
      <c r="P240" s="518"/>
      <c r="Q240" s="518"/>
      <c r="R240" s="518"/>
      <c r="S240" s="518"/>
      <c r="T240" s="518"/>
      <c r="U240" s="518"/>
      <c r="V240" s="518"/>
      <c r="W240" s="518"/>
      <c r="X240" s="518"/>
      <c r="Y240" s="518"/>
      <c r="Z240" s="518"/>
      <c r="AA240" s="518"/>
      <c r="AB240" s="518"/>
      <c r="AC240" s="518"/>
      <c r="AD240" s="516"/>
      <c r="AE240" s="516"/>
      <c r="AF240" s="516"/>
      <c r="AG240" s="516"/>
      <c r="AH240" s="529">
        <f t="shared" si="184"/>
        <v>0</v>
      </c>
      <c r="AI240" s="503">
        <f t="shared" si="185"/>
        <v>0</v>
      </c>
      <c r="AJ240" s="506">
        <f t="shared" si="170"/>
        <v>0</v>
      </c>
      <c r="AK240" s="519">
        <f t="shared" si="171"/>
        <v>0</v>
      </c>
      <c r="AL240" s="503"/>
      <c r="AM240" s="503"/>
      <c r="AN240" s="506"/>
      <c r="AO240" s="1295">
        <f>'A. Revenue by function'!N117</f>
        <v>166916</v>
      </c>
      <c r="AP240" s="520" t="str">
        <f>'C. Other Revenues'!B207</f>
        <v>C.1</v>
      </c>
      <c r="AQ240" s="504">
        <f>'C. Other Revenues'!K229</f>
        <v>0</v>
      </c>
      <c r="AR240" s="503"/>
      <c r="AS240" s="520" t="str">
        <f>'C. Other Revenues'!B207</f>
        <v>C.1</v>
      </c>
      <c r="AT240" s="504">
        <f>'C. Other Revenues'!M229</f>
        <v>0</v>
      </c>
      <c r="AU240" s="521"/>
      <c r="AV240" s="504"/>
      <c r="AW240" s="503"/>
      <c r="AX240" s="520" t="str">
        <f>'L. Eliminations-Consolidations'!A243</f>
        <v>L.7</v>
      </c>
      <c r="AY240" s="522">
        <f>'L. Eliminations-Consolidations'!L255</f>
        <v>0</v>
      </c>
      <c r="AZ240" s="523"/>
      <c r="BA240" s="524"/>
      <c r="BB240" s="465">
        <f>ROUND(AJ240+AL240+AN240+AQ240+AV240+AZ240,0)</f>
        <v>0</v>
      </c>
      <c r="BC240" s="465">
        <f>ROUND(AK240+AM240+AO240+AT240+AY240+BA240,0)</f>
        <v>166916</v>
      </c>
      <c r="BD240" s="573" t="str">
        <f>IF(BB240+BB241-BC240-BC241&lt;=0," ",BB240+BB241-BC240-BC241)</f>
        <v xml:space="preserve"> </v>
      </c>
      <c r="BE240" s="522">
        <f>IF(BB240+BB241-BC240-BC241&gt;0," ",BC240+BC241-BB240-BB241)</f>
        <v>166916</v>
      </c>
      <c r="BF240" s="504"/>
      <c r="BG240" s="522"/>
    </row>
    <row r="241" spans="1:62" s="693" customFormat="1" x14ac:dyDescent="0.2">
      <c r="A241" s="25"/>
      <c r="B241" s="1403"/>
      <c r="C241" s="14"/>
      <c r="D241" s="525"/>
      <c r="E241" s="526"/>
      <c r="F241" s="516"/>
      <c r="G241" s="516"/>
      <c r="H241" s="516"/>
      <c r="I241" s="516"/>
      <c r="J241" s="516"/>
      <c r="K241" s="577"/>
      <c r="L241" s="578"/>
      <c r="M241" s="578"/>
      <c r="N241" s="516"/>
      <c r="O241" s="516"/>
      <c r="P241" s="518"/>
      <c r="Q241" s="518"/>
      <c r="R241" s="518"/>
      <c r="S241" s="518"/>
      <c r="T241" s="518"/>
      <c r="U241" s="518"/>
      <c r="V241" s="518"/>
      <c r="W241" s="518"/>
      <c r="X241" s="518"/>
      <c r="Y241" s="518"/>
      <c r="Z241" s="518"/>
      <c r="AA241" s="518"/>
      <c r="AB241" s="518"/>
      <c r="AC241" s="518"/>
      <c r="AD241" s="516"/>
      <c r="AE241" s="516"/>
      <c r="AF241" s="516"/>
      <c r="AG241" s="516"/>
      <c r="AH241" s="529"/>
      <c r="AI241" s="503"/>
      <c r="AJ241" s="506"/>
      <c r="AK241" s="519"/>
      <c r="AL241" s="503"/>
      <c r="AM241" s="503"/>
      <c r="AN241" s="506"/>
      <c r="AO241" s="519"/>
      <c r="AP241" s="520" t="s">
        <v>2052</v>
      </c>
      <c r="AQ241" s="504">
        <f>'N.3 GASB 68 FRSWPF'!C28</f>
        <v>0</v>
      </c>
      <c r="AR241" s="503"/>
      <c r="AS241" s="520" t="s">
        <v>2052</v>
      </c>
      <c r="AT241" s="504">
        <f>'N.3 GASB 68 FRSWPF'!D28</f>
        <v>0</v>
      </c>
      <c r="AU241" s="521"/>
      <c r="AV241" s="504"/>
      <c r="AW241" s="503"/>
      <c r="AX241" s="520"/>
      <c r="AY241" s="522"/>
      <c r="AZ241" s="523"/>
      <c r="BA241" s="524"/>
      <c r="BB241" s="465">
        <f>ROUND(AJ241+AL241+AN241+AQ241+AV241+AZ241,0)</f>
        <v>0</v>
      </c>
      <c r="BC241" s="465">
        <f>ROUND(AK241+AM241+AO241+AT241+AY241+BA241,0)</f>
        <v>0</v>
      </c>
      <c r="BD241" s="573"/>
      <c r="BE241" s="522"/>
      <c r="BF241" s="504"/>
      <c r="BG241" s="522"/>
      <c r="BH241" s="1189"/>
      <c r="BI241" s="1193"/>
      <c r="BJ241" s="1206"/>
    </row>
    <row r="242" spans="1:62" ht="15" customHeight="1" x14ac:dyDescent="0.2">
      <c r="A242" s="25"/>
      <c r="B242" s="1403"/>
      <c r="C242" s="14" t="s">
        <v>990</v>
      </c>
      <c r="D242" s="525"/>
      <c r="E242" s="526"/>
      <c r="F242" s="516"/>
      <c r="G242" s="516"/>
      <c r="H242" s="516"/>
      <c r="I242" s="516"/>
      <c r="J242" s="516"/>
      <c r="K242" s="577"/>
      <c r="L242" s="578"/>
      <c r="M242" s="578"/>
      <c r="N242" s="516"/>
      <c r="O242" s="516"/>
      <c r="P242" s="518"/>
      <c r="Q242" s="518"/>
      <c r="R242" s="518"/>
      <c r="S242" s="518"/>
      <c r="T242" s="518"/>
      <c r="U242" s="518"/>
      <c r="V242" s="518"/>
      <c r="W242" s="518"/>
      <c r="X242" s="518"/>
      <c r="Y242" s="518"/>
      <c r="Z242" s="518"/>
      <c r="AA242" s="518"/>
      <c r="AB242" s="518"/>
      <c r="AC242" s="518"/>
      <c r="AD242" s="516"/>
      <c r="AE242" s="516"/>
      <c r="AF242" s="516"/>
      <c r="AG242" s="516"/>
      <c r="AH242" s="529">
        <f t="shared" ref="AH242:AH280" si="186">L242+N242+P242+R242+T242+V242+X242+Z242+AB242+AD242+AF242</f>
        <v>0</v>
      </c>
      <c r="AI242" s="503">
        <f t="shared" ref="AI242:AI280" si="187">M242+O242+Q242+S242+U242+W242+Y242+AA242+AC242+AE242+AG242</f>
        <v>0</v>
      </c>
      <c r="AJ242" s="506">
        <f t="shared" ref="AJ242:AJ285" si="188">D242+F242+H242+J242+AH242</f>
        <v>0</v>
      </c>
      <c r="AK242" s="519">
        <f t="shared" ref="AK242:AK285" si="189">E242+G242+I242+K242+AI242</f>
        <v>0</v>
      </c>
      <c r="AL242" s="503"/>
      <c r="AM242" s="503"/>
      <c r="AN242" s="506"/>
      <c r="AO242" s="519">
        <f>'A. Revenue by function'!N118</f>
        <v>0</v>
      </c>
      <c r="AP242" s="520" t="str">
        <f>'C. Other Revenues'!B207</f>
        <v>C.1</v>
      </c>
      <c r="AQ242" s="504">
        <f>'C. Other Revenues'!K239</f>
        <v>0</v>
      </c>
      <c r="AR242" s="503"/>
      <c r="AS242" s="520" t="str">
        <f>'C. Other Revenues'!B207</f>
        <v>C.1</v>
      </c>
      <c r="AT242" s="504">
        <f>'C. Other Revenues'!M239</f>
        <v>0</v>
      </c>
      <c r="AU242" s="521"/>
      <c r="AV242" s="504"/>
      <c r="AW242" s="503"/>
      <c r="AX242" s="520" t="str">
        <f>'L. Eliminations-Consolidations'!A243</f>
        <v>L.7</v>
      </c>
      <c r="AY242" s="522">
        <f>'L. Eliminations-Consolidations'!L264</f>
        <v>0</v>
      </c>
      <c r="AZ242" s="523"/>
      <c r="BA242" s="524"/>
      <c r="BB242" s="465">
        <f>ROUND(AJ242+AL242+AN242+AQ242+AV242+AZ242,0)</f>
        <v>0</v>
      </c>
      <c r="BC242" s="465">
        <f>ROUND(AK242+AM242+AO242+AT242+AY242+BA242,0)</f>
        <v>0</v>
      </c>
      <c r="BD242" s="573" t="str">
        <f t="shared" si="174"/>
        <v xml:space="preserve"> </v>
      </c>
      <c r="BE242" s="522">
        <f t="shared" si="175"/>
        <v>0</v>
      </c>
      <c r="BF242" s="504"/>
      <c r="BG242" s="522"/>
    </row>
    <row r="243" spans="1:62" x14ac:dyDescent="0.2">
      <c r="A243" s="25"/>
      <c r="B243" s="14"/>
      <c r="C243" s="14"/>
      <c r="D243" s="525"/>
      <c r="E243" s="526"/>
      <c r="F243" s="516"/>
      <c r="G243" s="516"/>
      <c r="H243" s="516"/>
      <c r="I243" s="516"/>
      <c r="J243" s="516"/>
      <c r="K243" s="517"/>
      <c r="L243" s="516"/>
      <c r="M243" s="516"/>
      <c r="N243" s="516"/>
      <c r="O243" s="516"/>
      <c r="P243" s="518"/>
      <c r="Q243" s="518"/>
      <c r="R243" s="518"/>
      <c r="S243" s="518"/>
      <c r="T243" s="518"/>
      <c r="U243" s="518"/>
      <c r="V243" s="518"/>
      <c r="W243" s="518"/>
      <c r="X243" s="518"/>
      <c r="Y243" s="518"/>
      <c r="Z243" s="518"/>
      <c r="AA243" s="518"/>
      <c r="AB243" s="518"/>
      <c r="AC243" s="518"/>
      <c r="AD243" s="516"/>
      <c r="AE243" s="516"/>
      <c r="AF243" s="516"/>
      <c r="AG243" s="516"/>
      <c r="AH243" s="529">
        <f t="shared" si="186"/>
        <v>0</v>
      </c>
      <c r="AI243" s="503">
        <f t="shared" si="187"/>
        <v>0</v>
      </c>
      <c r="AJ243" s="506">
        <f t="shared" si="188"/>
        <v>0</v>
      </c>
      <c r="AK243" s="519">
        <f t="shared" si="189"/>
        <v>0</v>
      </c>
      <c r="AL243" s="503"/>
      <c r="AM243" s="503"/>
      <c r="AN243" s="506"/>
      <c r="AO243" s="519"/>
      <c r="AP243" s="520"/>
      <c r="AQ243" s="504"/>
      <c r="AR243" s="503"/>
      <c r="AU243" s="521"/>
      <c r="AV243" s="504"/>
      <c r="AW243" s="503"/>
      <c r="AX243" s="520"/>
      <c r="AY243" s="522"/>
      <c r="AZ243" s="523"/>
      <c r="BA243" s="524"/>
      <c r="BB243" s="432"/>
      <c r="BC243" s="432"/>
      <c r="BD243" s="573" t="str">
        <f t="shared" si="174"/>
        <v xml:space="preserve"> </v>
      </c>
      <c r="BE243" s="522"/>
      <c r="BF243" s="504"/>
      <c r="BG243" s="522"/>
    </row>
    <row r="244" spans="1:62" x14ac:dyDescent="0.2">
      <c r="A244" s="25"/>
      <c r="B244" s="163" t="s">
        <v>992</v>
      </c>
      <c r="C244" s="14"/>
      <c r="D244" s="525"/>
      <c r="E244" s="526"/>
      <c r="F244" s="516"/>
      <c r="G244" s="516"/>
      <c r="H244" s="516"/>
      <c r="I244" s="516"/>
      <c r="J244" s="516"/>
      <c r="K244" s="517"/>
      <c r="L244" s="516"/>
      <c r="M244" s="516"/>
      <c r="N244" s="516"/>
      <c r="O244" s="516"/>
      <c r="P244" s="518"/>
      <c r="Q244" s="518"/>
      <c r="R244" s="518"/>
      <c r="S244" s="518"/>
      <c r="T244" s="518"/>
      <c r="U244" s="518"/>
      <c r="V244" s="518"/>
      <c r="W244" s="518"/>
      <c r="X244" s="518"/>
      <c r="Y244" s="518"/>
      <c r="Z244" s="518"/>
      <c r="AA244" s="518"/>
      <c r="AB244" s="518"/>
      <c r="AC244" s="518"/>
      <c r="AD244" s="516"/>
      <c r="AE244" s="516"/>
      <c r="AF244" s="516"/>
      <c r="AG244" s="516"/>
      <c r="AH244" s="529">
        <f t="shared" si="186"/>
        <v>0</v>
      </c>
      <c r="AI244" s="503">
        <f t="shared" si="187"/>
        <v>0</v>
      </c>
      <c r="AJ244" s="506">
        <f t="shared" si="188"/>
        <v>0</v>
      </c>
      <c r="AK244" s="519">
        <f t="shared" si="189"/>
        <v>0</v>
      </c>
      <c r="AL244" s="503"/>
      <c r="AM244" s="503"/>
      <c r="AN244" s="506"/>
      <c r="AO244" s="519"/>
      <c r="AP244" s="520"/>
      <c r="AQ244" s="504"/>
      <c r="AR244" s="503"/>
      <c r="AS244" s="520"/>
      <c r="AT244" s="504"/>
      <c r="AU244" s="521"/>
      <c r="AV244" s="504"/>
      <c r="AW244" s="503"/>
      <c r="AX244" s="520"/>
      <c r="AY244" s="522"/>
      <c r="AZ244" s="523"/>
      <c r="BA244" s="524"/>
      <c r="BB244" s="432"/>
      <c r="BC244" s="432"/>
      <c r="BD244" s="573" t="str">
        <f t="shared" si="174"/>
        <v xml:space="preserve"> </v>
      </c>
      <c r="BE244" s="522"/>
      <c r="BF244" s="504"/>
      <c r="BG244" s="522"/>
    </row>
    <row r="245" spans="1:62" x14ac:dyDescent="0.2">
      <c r="A245" s="25"/>
      <c r="B245" s="1403" t="s">
        <v>954</v>
      </c>
      <c r="C245" s="14" t="s">
        <v>903</v>
      </c>
      <c r="D245" s="525"/>
      <c r="E245" s="526"/>
      <c r="F245" s="516"/>
      <c r="G245" s="516"/>
      <c r="H245" s="516"/>
      <c r="I245" s="516"/>
      <c r="J245" s="516"/>
      <c r="K245" s="517"/>
      <c r="L245" s="516"/>
      <c r="M245" s="516"/>
      <c r="N245" s="516"/>
      <c r="O245" s="516"/>
      <c r="P245" s="518"/>
      <c r="Q245" s="518"/>
      <c r="R245" s="518"/>
      <c r="S245" s="518"/>
      <c r="T245" s="518"/>
      <c r="U245" s="518"/>
      <c r="V245" s="518"/>
      <c r="W245" s="518"/>
      <c r="X245" s="518"/>
      <c r="Y245" s="518"/>
      <c r="Z245" s="518"/>
      <c r="AA245" s="518"/>
      <c r="AB245" s="518"/>
      <c r="AC245" s="518"/>
      <c r="AD245" s="516"/>
      <c r="AE245" s="516"/>
      <c r="AF245" s="516"/>
      <c r="AG245" s="516"/>
      <c r="AH245" s="529">
        <f t="shared" si="186"/>
        <v>0</v>
      </c>
      <c r="AI245" s="503">
        <f t="shared" si="187"/>
        <v>0</v>
      </c>
      <c r="AJ245" s="506">
        <f t="shared" si="188"/>
        <v>0</v>
      </c>
      <c r="AK245" s="519">
        <f t="shared" si="189"/>
        <v>0</v>
      </c>
      <c r="AL245" s="503"/>
      <c r="AM245" s="503"/>
      <c r="AN245" s="506"/>
      <c r="AO245" s="519">
        <f>'A. Revenue by function'!N119</f>
        <v>0</v>
      </c>
      <c r="AP245" s="520" t="str">
        <f>'C. Other Revenues'!B207</f>
        <v>C.1</v>
      </c>
      <c r="AQ245" s="504">
        <f>'C. Other Revenues'!K220</f>
        <v>0</v>
      </c>
      <c r="AR245" s="503"/>
      <c r="AS245" s="520" t="str">
        <f>'C. Other Revenues'!B207</f>
        <v>C.1</v>
      </c>
      <c r="AT245" s="504">
        <f>'C. Other Revenues'!M220</f>
        <v>0</v>
      </c>
      <c r="AU245" s="521" t="str">
        <f>'L. Eliminations-Consolidations'!A219</f>
        <v>L.5</v>
      </c>
      <c r="AV245" s="504">
        <f>'L. Eliminations-Consolidations'!J220</f>
        <v>0</v>
      </c>
      <c r="AW245" s="503"/>
      <c r="AX245" s="520"/>
      <c r="AY245" s="522"/>
      <c r="AZ245" s="523"/>
      <c r="BA245" s="524"/>
      <c r="BB245" s="465">
        <f>ROUND(AJ245+AL245+AN245+AQ245+AV245+AZ245,0)</f>
        <v>0</v>
      </c>
      <c r="BC245" s="465">
        <f>ROUND(AK245+AM245+AO245+AT245+AY245+BA245,0)</f>
        <v>0</v>
      </c>
      <c r="BD245" s="573" t="str">
        <f t="shared" si="174"/>
        <v xml:space="preserve"> </v>
      </c>
      <c r="BE245" s="522">
        <f t="shared" si="175"/>
        <v>0</v>
      </c>
      <c r="BF245" s="504"/>
      <c r="BG245" s="522"/>
    </row>
    <row r="246" spans="1:62" x14ac:dyDescent="0.2">
      <c r="A246" s="25"/>
      <c r="B246" s="1403"/>
      <c r="C246" s="14" t="s">
        <v>989</v>
      </c>
      <c r="D246" s="525"/>
      <c r="E246" s="526"/>
      <c r="F246" s="516"/>
      <c r="G246" s="516"/>
      <c r="H246" s="516"/>
      <c r="I246" s="516"/>
      <c r="J246" s="516"/>
      <c r="K246" s="517"/>
      <c r="L246" s="516"/>
      <c r="M246" s="516"/>
      <c r="N246" s="516"/>
      <c r="O246" s="516"/>
      <c r="P246" s="518"/>
      <c r="Q246" s="518"/>
      <c r="R246" s="518"/>
      <c r="S246" s="518"/>
      <c r="T246" s="518"/>
      <c r="U246" s="518"/>
      <c r="V246" s="518"/>
      <c r="W246" s="518"/>
      <c r="X246" s="518"/>
      <c r="Y246" s="518"/>
      <c r="Z246" s="518"/>
      <c r="AA246" s="518"/>
      <c r="AB246" s="518"/>
      <c r="AC246" s="518"/>
      <c r="AD246" s="516"/>
      <c r="AE246" s="516"/>
      <c r="AF246" s="516"/>
      <c r="AG246" s="516"/>
      <c r="AH246" s="529">
        <f t="shared" si="186"/>
        <v>0</v>
      </c>
      <c r="AI246" s="503">
        <f t="shared" si="187"/>
        <v>0</v>
      </c>
      <c r="AJ246" s="506">
        <f t="shared" si="188"/>
        <v>0</v>
      </c>
      <c r="AK246" s="519">
        <f t="shared" si="189"/>
        <v>0</v>
      </c>
      <c r="AL246" s="503"/>
      <c r="AM246" s="503"/>
      <c r="AN246" s="506"/>
      <c r="AO246" s="519">
        <f>'A. Revenue by function'!N120</f>
        <v>0</v>
      </c>
      <c r="AP246" s="520" t="str">
        <f>'C. Other Revenues'!B207</f>
        <v>C.1</v>
      </c>
      <c r="AQ246" s="504">
        <f>'C. Other Revenues'!K230</f>
        <v>0</v>
      </c>
      <c r="AR246" s="503"/>
      <c r="AS246" s="520" t="str">
        <f>'C. Other Revenues'!B207</f>
        <v>C.1</v>
      </c>
      <c r="AT246" s="504">
        <f>'C. Other Revenues'!M230</f>
        <v>0</v>
      </c>
      <c r="AU246" s="521"/>
      <c r="AV246" s="504"/>
      <c r="AW246" s="503"/>
      <c r="AX246" s="520" t="str">
        <f>'L. Eliminations-Consolidations'!A243</f>
        <v>L.7</v>
      </c>
      <c r="AY246" s="522">
        <f>'L. Eliminations-Consolidations'!L256</f>
        <v>0</v>
      </c>
      <c r="AZ246" s="523"/>
      <c r="BA246" s="524"/>
      <c r="BB246" s="465">
        <f>ROUND(AJ246+AL246+AN246+AQ246+AV246+AZ246,0)</f>
        <v>0</v>
      </c>
      <c r="BC246" s="465">
        <f>ROUND(AK246+AM246+AO246+AT246+AY246+BA246,0)</f>
        <v>0</v>
      </c>
      <c r="BD246" s="573" t="str">
        <f t="shared" si="174"/>
        <v xml:space="preserve"> </v>
      </c>
      <c r="BE246" s="522">
        <f t="shared" si="175"/>
        <v>0</v>
      </c>
      <c r="BF246" s="504"/>
      <c r="BG246" s="522"/>
    </row>
    <row r="247" spans="1:62" ht="15" customHeight="1" x14ac:dyDescent="0.2">
      <c r="A247" s="25"/>
      <c r="B247" s="1403"/>
      <c r="C247" s="14" t="s">
        <v>990</v>
      </c>
      <c r="D247" s="525"/>
      <c r="E247" s="526"/>
      <c r="F247" s="516"/>
      <c r="G247" s="516"/>
      <c r="H247" s="516"/>
      <c r="I247" s="516"/>
      <c r="J247" s="516"/>
      <c r="K247" s="517"/>
      <c r="L247" s="516"/>
      <c r="M247" s="516"/>
      <c r="N247" s="516"/>
      <c r="O247" s="516"/>
      <c r="P247" s="518"/>
      <c r="Q247" s="518"/>
      <c r="R247" s="518"/>
      <c r="S247" s="518"/>
      <c r="T247" s="518"/>
      <c r="U247" s="518"/>
      <c r="V247" s="518"/>
      <c r="W247" s="518"/>
      <c r="X247" s="518"/>
      <c r="Y247" s="518"/>
      <c r="Z247" s="518"/>
      <c r="AA247" s="518"/>
      <c r="AB247" s="518"/>
      <c r="AC247" s="518"/>
      <c r="AD247" s="516"/>
      <c r="AE247" s="516"/>
      <c r="AF247" s="516"/>
      <c r="AG247" s="516"/>
      <c r="AH247" s="529">
        <f t="shared" si="186"/>
        <v>0</v>
      </c>
      <c r="AI247" s="503">
        <f t="shared" si="187"/>
        <v>0</v>
      </c>
      <c r="AJ247" s="506">
        <f t="shared" si="188"/>
        <v>0</v>
      </c>
      <c r="AK247" s="519">
        <f t="shared" si="189"/>
        <v>0</v>
      </c>
      <c r="AL247" s="503"/>
      <c r="AM247" s="503"/>
      <c r="AN247" s="506"/>
      <c r="AO247" s="519">
        <f>'A. Revenue by function'!N121</f>
        <v>0</v>
      </c>
      <c r="AP247" s="520" t="str">
        <f>'C. Other Revenues'!B207</f>
        <v>C.1</v>
      </c>
      <c r="AQ247" s="504">
        <f>'C. Other Revenues'!K240</f>
        <v>0</v>
      </c>
      <c r="AR247" s="503"/>
      <c r="AS247" s="520" t="str">
        <f>'C. Other Revenues'!B207</f>
        <v>C.1</v>
      </c>
      <c r="AT247" s="504">
        <f>'C. Other Revenues'!M240</f>
        <v>0</v>
      </c>
      <c r="AU247" s="521"/>
      <c r="AV247" s="504"/>
      <c r="AW247" s="503"/>
      <c r="AX247" s="520" t="str">
        <f>'L. Eliminations-Consolidations'!A243</f>
        <v>L.7</v>
      </c>
      <c r="AY247" s="522">
        <f>'L. Eliminations-Consolidations'!L265</f>
        <v>0</v>
      </c>
      <c r="AZ247" s="523"/>
      <c r="BA247" s="524"/>
      <c r="BB247" s="465">
        <f>ROUND(AJ247+AL247+AN247+AQ247+AV247+AZ247,0)</f>
        <v>0</v>
      </c>
      <c r="BC247" s="465">
        <f>ROUND(AK247+AM247+AO247+AT247+AY247+BA247,0)</f>
        <v>0</v>
      </c>
      <c r="BD247" s="573" t="str">
        <f t="shared" si="174"/>
        <v xml:space="preserve"> </v>
      </c>
      <c r="BE247" s="522">
        <f t="shared" si="175"/>
        <v>0</v>
      </c>
      <c r="BF247" s="504"/>
      <c r="BG247" s="522"/>
    </row>
    <row r="248" spans="1:62" x14ac:dyDescent="0.2">
      <c r="A248" s="25"/>
      <c r="B248" s="14"/>
      <c r="C248" s="14"/>
      <c r="D248" s="525"/>
      <c r="E248" s="526"/>
      <c r="F248" s="516"/>
      <c r="G248" s="516"/>
      <c r="H248" s="516"/>
      <c r="I248" s="516"/>
      <c r="J248" s="516"/>
      <c r="K248" s="517"/>
      <c r="L248" s="516"/>
      <c r="M248" s="516"/>
      <c r="N248" s="516"/>
      <c r="O248" s="516"/>
      <c r="P248" s="518"/>
      <c r="Q248" s="518"/>
      <c r="R248" s="518"/>
      <c r="S248" s="518"/>
      <c r="T248" s="518"/>
      <c r="U248" s="518"/>
      <c r="V248" s="518"/>
      <c r="W248" s="518"/>
      <c r="X248" s="518"/>
      <c r="Y248" s="518"/>
      <c r="Z248" s="518"/>
      <c r="AA248" s="518"/>
      <c r="AB248" s="518"/>
      <c r="AC248" s="518"/>
      <c r="AD248" s="516"/>
      <c r="AE248" s="516"/>
      <c r="AF248" s="516"/>
      <c r="AG248" s="516"/>
      <c r="AH248" s="529">
        <f t="shared" si="186"/>
        <v>0</v>
      </c>
      <c r="AI248" s="503">
        <f t="shared" si="187"/>
        <v>0</v>
      </c>
      <c r="AJ248" s="506">
        <f t="shared" si="188"/>
        <v>0</v>
      </c>
      <c r="AK248" s="519">
        <f t="shared" si="189"/>
        <v>0</v>
      </c>
      <c r="AL248" s="503"/>
      <c r="AM248" s="503"/>
      <c r="AN248" s="506"/>
      <c r="AO248" s="519"/>
      <c r="AP248" s="520"/>
      <c r="AQ248" s="504"/>
      <c r="AR248" s="503"/>
      <c r="AU248" s="521"/>
      <c r="AV248" s="504"/>
      <c r="AW248" s="503"/>
      <c r="AX248" s="520"/>
      <c r="AY248" s="522"/>
      <c r="AZ248" s="523"/>
      <c r="BA248" s="524"/>
      <c r="BB248" s="432"/>
      <c r="BC248" s="432"/>
      <c r="BD248" s="573" t="str">
        <f t="shared" si="174"/>
        <v xml:space="preserve"> </v>
      </c>
      <c r="BE248" s="522"/>
      <c r="BF248" s="504"/>
      <c r="BG248" s="522"/>
    </row>
    <row r="249" spans="1:62" x14ac:dyDescent="0.2">
      <c r="A249" s="25"/>
      <c r="B249" s="163" t="s">
        <v>818</v>
      </c>
      <c r="C249" s="14"/>
      <c r="D249" s="525"/>
      <c r="E249" s="526"/>
      <c r="F249" s="516"/>
      <c r="G249" s="516"/>
      <c r="H249" s="516"/>
      <c r="I249" s="516"/>
      <c r="J249" s="516"/>
      <c r="K249" s="517"/>
      <c r="L249" s="516"/>
      <c r="M249" s="516"/>
      <c r="N249" s="516"/>
      <c r="O249" s="516"/>
      <c r="P249" s="518"/>
      <c r="Q249" s="518"/>
      <c r="R249" s="518"/>
      <c r="S249" s="518"/>
      <c r="T249" s="518"/>
      <c r="U249" s="518"/>
      <c r="V249" s="518"/>
      <c r="W249" s="518"/>
      <c r="X249" s="518"/>
      <c r="Y249" s="518"/>
      <c r="Z249" s="518"/>
      <c r="AA249" s="518"/>
      <c r="AB249" s="518"/>
      <c r="AC249" s="518"/>
      <c r="AD249" s="516"/>
      <c r="AE249" s="516"/>
      <c r="AF249" s="516"/>
      <c r="AG249" s="516"/>
      <c r="AH249" s="529">
        <f t="shared" si="186"/>
        <v>0</v>
      </c>
      <c r="AI249" s="503">
        <f t="shared" si="187"/>
        <v>0</v>
      </c>
      <c r="AJ249" s="506">
        <f t="shared" si="188"/>
        <v>0</v>
      </c>
      <c r="AK249" s="519">
        <f t="shared" si="189"/>
        <v>0</v>
      </c>
      <c r="AL249" s="503"/>
      <c r="AM249" s="503"/>
      <c r="AN249" s="506"/>
      <c r="AO249" s="519"/>
      <c r="AP249" s="520"/>
      <c r="AQ249" s="504"/>
      <c r="AR249" s="503"/>
      <c r="AS249" s="520"/>
      <c r="AT249" s="504"/>
      <c r="AU249" s="521"/>
      <c r="AV249" s="504"/>
      <c r="AW249" s="503"/>
      <c r="AX249" s="520"/>
      <c r="AY249" s="522"/>
      <c r="AZ249" s="523"/>
      <c r="BA249" s="524"/>
      <c r="BB249" s="432"/>
      <c r="BC249" s="432"/>
      <c r="BD249" s="573" t="str">
        <f t="shared" si="174"/>
        <v xml:space="preserve"> </v>
      </c>
      <c r="BE249" s="522"/>
      <c r="BF249" s="504"/>
      <c r="BG249" s="522"/>
    </row>
    <row r="250" spans="1:62" x14ac:dyDescent="0.2">
      <c r="A250" s="25"/>
      <c r="B250" s="1403" t="s">
        <v>954</v>
      </c>
      <c r="C250" s="14" t="s">
        <v>903</v>
      </c>
      <c r="D250" s="525"/>
      <c r="E250" s="526"/>
      <c r="F250" s="516"/>
      <c r="G250" s="516"/>
      <c r="H250" s="516"/>
      <c r="I250" s="516"/>
      <c r="J250" s="516"/>
      <c r="K250" s="517"/>
      <c r="L250" s="516"/>
      <c r="M250" s="516"/>
      <c r="N250" s="516"/>
      <c r="O250" s="516"/>
      <c r="P250" s="518"/>
      <c r="Q250" s="518"/>
      <c r="R250" s="518"/>
      <c r="S250" s="518"/>
      <c r="T250" s="518"/>
      <c r="U250" s="518"/>
      <c r="V250" s="518"/>
      <c r="W250" s="518"/>
      <c r="X250" s="518"/>
      <c r="Y250" s="518"/>
      <c r="Z250" s="518"/>
      <c r="AA250" s="518"/>
      <c r="AB250" s="518"/>
      <c r="AC250" s="518"/>
      <c r="AD250" s="516"/>
      <c r="AE250" s="516"/>
      <c r="AF250" s="516"/>
      <c r="AG250" s="516"/>
      <c r="AH250" s="529">
        <f t="shared" si="186"/>
        <v>0</v>
      </c>
      <c r="AI250" s="503">
        <f t="shared" si="187"/>
        <v>0</v>
      </c>
      <c r="AJ250" s="506">
        <f t="shared" si="188"/>
        <v>0</v>
      </c>
      <c r="AK250" s="519">
        <f t="shared" si="189"/>
        <v>0</v>
      </c>
      <c r="AL250" s="503"/>
      <c r="AM250" s="503"/>
      <c r="AN250" s="506"/>
      <c r="AO250" s="1295">
        <f>'A. Revenue by function'!N122</f>
        <v>1226891</v>
      </c>
      <c r="AP250" s="520" t="str">
        <f>'C. Other Revenues'!B207</f>
        <v>C.1</v>
      </c>
      <c r="AQ250" s="504">
        <f>'C. Other Revenues'!K221</f>
        <v>0</v>
      </c>
      <c r="AR250" s="503"/>
      <c r="AS250" s="520" t="str">
        <f>'C. Other Revenues'!B207</f>
        <v>C.1</v>
      </c>
      <c r="AT250" s="504">
        <f>'C. Other Revenues'!M221</f>
        <v>0</v>
      </c>
      <c r="AU250" s="521"/>
      <c r="AV250" s="504"/>
      <c r="AW250" s="503"/>
      <c r="AX250" s="520"/>
      <c r="AY250" s="522"/>
      <c r="AZ250" s="523"/>
      <c r="BA250" s="524"/>
      <c r="BB250" s="465">
        <f>ROUND(AJ250+AL250+AN250+AQ250+AV250+AZ250,0)</f>
        <v>0</v>
      </c>
      <c r="BC250" s="465">
        <f>ROUND(AK250+AM250+AO250+AT250+AY250+BA250,0)</f>
        <v>1226891</v>
      </c>
      <c r="BD250" s="573" t="str">
        <f t="shared" si="174"/>
        <v xml:space="preserve"> </v>
      </c>
      <c r="BE250" s="522">
        <f t="shared" si="175"/>
        <v>1226891</v>
      </c>
      <c r="BF250" s="504"/>
      <c r="BG250" s="522"/>
    </row>
    <row r="251" spans="1:62" x14ac:dyDescent="0.2">
      <c r="A251" s="25"/>
      <c r="B251" s="1403"/>
      <c r="C251" s="14" t="s">
        <v>989</v>
      </c>
      <c r="D251" s="525"/>
      <c r="E251" s="526"/>
      <c r="F251" s="516"/>
      <c r="G251" s="516"/>
      <c r="H251" s="516"/>
      <c r="I251" s="516"/>
      <c r="J251" s="516"/>
      <c r="K251" s="517"/>
      <c r="L251" s="516"/>
      <c r="M251" s="516"/>
      <c r="N251" s="516"/>
      <c r="O251" s="516"/>
      <c r="P251" s="518"/>
      <c r="Q251" s="518"/>
      <c r="R251" s="518"/>
      <c r="S251" s="518"/>
      <c r="T251" s="518"/>
      <c r="U251" s="518"/>
      <c r="V251" s="518"/>
      <c r="W251" s="518"/>
      <c r="X251" s="518"/>
      <c r="Y251" s="518"/>
      <c r="Z251" s="518"/>
      <c r="AA251" s="518"/>
      <c r="AB251" s="518"/>
      <c r="AC251" s="518"/>
      <c r="AD251" s="516"/>
      <c r="AE251" s="516"/>
      <c r="AF251" s="516"/>
      <c r="AG251" s="516"/>
      <c r="AH251" s="529">
        <f t="shared" si="186"/>
        <v>0</v>
      </c>
      <c r="AI251" s="503">
        <f t="shared" si="187"/>
        <v>0</v>
      </c>
      <c r="AJ251" s="506">
        <f t="shared" si="188"/>
        <v>0</v>
      </c>
      <c r="AK251" s="519">
        <f t="shared" si="189"/>
        <v>0</v>
      </c>
      <c r="AL251" s="503"/>
      <c r="AM251" s="503"/>
      <c r="AN251" s="506"/>
      <c r="AO251" s="519">
        <f>'A. Revenue by function'!N123</f>
        <v>0</v>
      </c>
      <c r="AP251" s="520" t="str">
        <f>'C. Other Revenues'!B207</f>
        <v>C.1</v>
      </c>
      <c r="AQ251" s="504">
        <f>'C. Other Revenues'!K231</f>
        <v>0</v>
      </c>
      <c r="AR251" s="503"/>
      <c r="AS251" s="520" t="str">
        <f>'C. Other Revenues'!B207</f>
        <v>C.1</v>
      </c>
      <c r="AT251" s="504">
        <f>'C. Other Revenues'!M231</f>
        <v>0</v>
      </c>
      <c r="AU251" s="521"/>
      <c r="AV251" s="504"/>
      <c r="AW251" s="503"/>
      <c r="AX251" s="520" t="str">
        <f>'L. Eliminations-Consolidations'!A243</f>
        <v>L.7</v>
      </c>
      <c r="AY251" s="522">
        <f>'L. Eliminations-Consolidations'!L257</f>
        <v>0</v>
      </c>
      <c r="AZ251" s="523"/>
      <c r="BA251" s="524"/>
      <c r="BB251" s="465">
        <f>ROUND(AJ251+AL251+AN251+AQ251+AV251+AZ251,0)</f>
        <v>0</v>
      </c>
      <c r="BC251" s="465">
        <f>ROUND(AK251+AM251+AO251+AT251+AY251+BA251,0)</f>
        <v>0</v>
      </c>
      <c r="BD251" s="573" t="str">
        <f t="shared" si="174"/>
        <v xml:space="preserve"> </v>
      </c>
      <c r="BE251" s="522">
        <f t="shared" si="175"/>
        <v>0</v>
      </c>
      <c r="BF251" s="504"/>
      <c r="BG251" s="522"/>
    </row>
    <row r="252" spans="1:62" ht="15.75" customHeight="1" x14ac:dyDescent="0.2">
      <c r="A252" s="25"/>
      <c r="B252" s="1403"/>
      <c r="C252" s="14" t="s">
        <v>990</v>
      </c>
      <c r="D252" s="525"/>
      <c r="E252" s="526"/>
      <c r="F252" s="516"/>
      <c r="G252" s="516"/>
      <c r="H252" s="516"/>
      <c r="I252" s="516"/>
      <c r="J252" s="516"/>
      <c r="K252" s="517"/>
      <c r="L252" s="516"/>
      <c r="M252" s="516"/>
      <c r="N252" s="516"/>
      <c r="O252" s="516"/>
      <c r="P252" s="518"/>
      <c r="Q252" s="518"/>
      <c r="R252" s="518"/>
      <c r="S252" s="518"/>
      <c r="T252" s="518"/>
      <c r="U252" s="518"/>
      <c r="V252" s="518"/>
      <c r="W252" s="518"/>
      <c r="X252" s="518"/>
      <c r="Y252" s="518"/>
      <c r="Z252" s="518"/>
      <c r="AA252" s="518"/>
      <c r="AB252" s="518"/>
      <c r="AC252" s="518"/>
      <c r="AD252" s="516"/>
      <c r="AE252" s="516"/>
      <c r="AF252" s="516"/>
      <c r="AG252" s="516"/>
      <c r="AH252" s="529">
        <f t="shared" si="186"/>
        <v>0</v>
      </c>
      <c r="AI252" s="503">
        <f t="shared" si="187"/>
        <v>0</v>
      </c>
      <c r="AJ252" s="506">
        <f t="shared" si="188"/>
        <v>0</v>
      </c>
      <c r="AK252" s="519">
        <f t="shared" si="189"/>
        <v>0</v>
      </c>
      <c r="AL252" s="503"/>
      <c r="AM252" s="503"/>
      <c r="AN252" s="506"/>
      <c r="AO252" s="1295">
        <f>'A. Revenue by function'!N124</f>
        <v>4190</v>
      </c>
      <c r="AP252" s="520" t="str">
        <f>'C. Other Revenues'!B207</f>
        <v>C.1</v>
      </c>
      <c r="AQ252" s="1317">
        <f>'C. Other Revenues'!K241</f>
        <v>4190</v>
      </c>
      <c r="AR252" s="503"/>
      <c r="AS252" s="520" t="str">
        <f>'C. Other Revenues'!B207</f>
        <v>C.1</v>
      </c>
      <c r="AT252" s="504">
        <f>'C. Other Revenues'!M241</f>
        <v>0</v>
      </c>
      <c r="AU252" s="521"/>
      <c r="AV252" s="504"/>
      <c r="AW252" s="503"/>
      <c r="AX252" s="520" t="str">
        <f>'L. Eliminations-Consolidations'!A243</f>
        <v>L.7</v>
      </c>
      <c r="AY252" s="522">
        <f>'L. Eliminations-Consolidations'!L266</f>
        <v>0</v>
      </c>
      <c r="AZ252" s="523"/>
      <c r="BA252" s="524"/>
      <c r="BB252" s="465">
        <f>ROUND(AJ252+AL252+AN252+AQ252+AV252+AZ252,0)</f>
        <v>4190</v>
      </c>
      <c r="BC252" s="465">
        <f>ROUND(AK252+AM252+AO252+AT252+AY252+BA252,0)</f>
        <v>4190</v>
      </c>
      <c r="BD252" s="573" t="str">
        <f t="shared" si="174"/>
        <v xml:space="preserve"> </v>
      </c>
      <c r="BE252" s="522">
        <f t="shared" si="175"/>
        <v>0</v>
      </c>
      <c r="BF252" s="504"/>
      <c r="BG252" s="522"/>
    </row>
    <row r="253" spans="1:62" x14ac:dyDescent="0.2">
      <c r="A253" s="25"/>
      <c r="B253" s="14"/>
      <c r="C253" s="14"/>
      <c r="D253" s="525"/>
      <c r="E253" s="526"/>
      <c r="F253" s="516"/>
      <c r="G253" s="516"/>
      <c r="H253" s="516"/>
      <c r="I253" s="516"/>
      <c r="J253" s="516"/>
      <c r="K253" s="517"/>
      <c r="L253" s="516"/>
      <c r="M253" s="516"/>
      <c r="N253" s="516"/>
      <c r="O253" s="516"/>
      <c r="P253" s="518"/>
      <c r="Q253" s="518"/>
      <c r="R253" s="518"/>
      <c r="S253" s="518"/>
      <c r="T253" s="518"/>
      <c r="U253" s="518"/>
      <c r="V253" s="518"/>
      <c r="W253" s="518"/>
      <c r="X253" s="518"/>
      <c r="Y253" s="518"/>
      <c r="Z253" s="518"/>
      <c r="AA253" s="518"/>
      <c r="AB253" s="518"/>
      <c r="AC253" s="518"/>
      <c r="AD253" s="516"/>
      <c r="AE253" s="516"/>
      <c r="AF253" s="516"/>
      <c r="AG253" s="516"/>
      <c r="AH253" s="529">
        <f t="shared" si="186"/>
        <v>0</v>
      </c>
      <c r="AI253" s="503">
        <f t="shared" si="187"/>
        <v>0</v>
      </c>
      <c r="AJ253" s="506">
        <f t="shared" si="188"/>
        <v>0</v>
      </c>
      <c r="AK253" s="519">
        <f t="shared" si="189"/>
        <v>0</v>
      </c>
      <c r="AL253" s="503"/>
      <c r="AM253" s="503"/>
      <c r="AN253" s="506"/>
      <c r="AO253" s="519"/>
      <c r="AP253" s="520"/>
      <c r="AQ253" s="504"/>
      <c r="AR253" s="503"/>
      <c r="AU253" s="521"/>
      <c r="AV253" s="504"/>
      <c r="AW253" s="503"/>
      <c r="AX253" s="520"/>
      <c r="AY253" s="522"/>
      <c r="AZ253" s="523"/>
      <c r="BA253" s="524"/>
      <c r="BB253" s="432"/>
      <c r="BC253" s="432"/>
      <c r="BD253" s="573" t="str">
        <f t="shared" si="174"/>
        <v xml:space="preserve"> </v>
      </c>
      <c r="BE253" s="522"/>
      <c r="BF253" s="504"/>
      <c r="BG253" s="522"/>
    </row>
    <row r="254" spans="1:62" x14ac:dyDescent="0.2">
      <c r="A254" s="25"/>
      <c r="B254" s="163" t="s">
        <v>183</v>
      </c>
      <c r="C254" s="14"/>
      <c r="D254" s="525"/>
      <c r="E254" s="526"/>
      <c r="F254" s="516"/>
      <c r="G254" s="516"/>
      <c r="H254" s="516"/>
      <c r="I254" s="516"/>
      <c r="J254" s="516"/>
      <c r="K254" s="517"/>
      <c r="L254" s="516"/>
      <c r="M254" s="516"/>
      <c r="N254" s="516"/>
      <c r="O254" s="516"/>
      <c r="P254" s="518"/>
      <c r="Q254" s="518"/>
      <c r="R254" s="518"/>
      <c r="S254" s="518"/>
      <c r="T254" s="518"/>
      <c r="U254" s="518"/>
      <c r="V254" s="518"/>
      <c r="W254" s="518"/>
      <c r="X254" s="518"/>
      <c r="Y254" s="518"/>
      <c r="Z254" s="518"/>
      <c r="AA254" s="518"/>
      <c r="AB254" s="518"/>
      <c r="AC254" s="518"/>
      <c r="AD254" s="516"/>
      <c r="AE254" s="516"/>
      <c r="AF254" s="516"/>
      <c r="AG254" s="516"/>
      <c r="AH254" s="529">
        <f t="shared" si="186"/>
        <v>0</v>
      </c>
      <c r="AI254" s="503">
        <f t="shared" si="187"/>
        <v>0</v>
      </c>
      <c r="AJ254" s="506">
        <f t="shared" si="188"/>
        <v>0</v>
      </c>
      <c r="AK254" s="519">
        <f t="shared" si="189"/>
        <v>0</v>
      </c>
      <c r="AL254" s="503"/>
      <c r="AM254" s="503"/>
      <c r="AN254" s="506"/>
      <c r="AO254" s="519"/>
      <c r="AP254" s="520"/>
      <c r="AQ254" s="504"/>
      <c r="AR254" s="503"/>
      <c r="AS254" s="520"/>
      <c r="AT254" s="504"/>
      <c r="AU254" s="521"/>
      <c r="AV254" s="504"/>
      <c r="AW254" s="503"/>
      <c r="AX254" s="520"/>
      <c r="AY254" s="522"/>
      <c r="AZ254" s="523"/>
      <c r="BA254" s="524"/>
      <c r="BB254" s="432"/>
      <c r="BC254" s="432"/>
      <c r="BD254" s="573" t="str">
        <f t="shared" si="174"/>
        <v xml:space="preserve"> </v>
      </c>
      <c r="BE254" s="522"/>
      <c r="BF254" s="504"/>
      <c r="BG254" s="522"/>
    </row>
    <row r="255" spans="1:62" x14ac:dyDescent="0.2">
      <c r="A255" s="25"/>
      <c r="B255" s="1403" t="s">
        <v>954</v>
      </c>
      <c r="C255" s="14" t="s">
        <v>903</v>
      </c>
      <c r="D255" s="525"/>
      <c r="E255" s="526"/>
      <c r="F255" s="516"/>
      <c r="G255" s="516"/>
      <c r="H255" s="516"/>
      <c r="I255" s="516"/>
      <c r="J255" s="516"/>
      <c r="K255" s="517"/>
      <c r="L255" s="516"/>
      <c r="M255" s="516"/>
      <c r="N255" s="516"/>
      <c r="O255" s="516"/>
      <c r="P255" s="518"/>
      <c r="Q255" s="518"/>
      <c r="R255" s="518"/>
      <c r="S255" s="518"/>
      <c r="T255" s="518"/>
      <c r="U255" s="518"/>
      <c r="V255" s="518"/>
      <c r="W255" s="518"/>
      <c r="X255" s="518"/>
      <c r="Y255" s="518"/>
      <c r="Z255" s="518"/>
      <c r="AA255" s="518"/>
      <c r="AB255" s="518"/>
      <c r="AC255" s="518"/>
      <c r="AD255" s="516"/>
      <c r="AE255" s="516"/>
      <c r="AF255" s="516"/>
      <c r="AG255" s="516"/>
      <c r="AH255" s="529">
        <f t="shared" si="186"/>
        <v>0</v>
      </c>
      <c r="AI255" s="503">
        <f t="shared" si="187"/>
        <v>0</v>
      </c>
      <c r="AJ255" s="506">
        <f t="shared" si="188"/>
        <v>0</v>
      </c>
      <c r="AK255" s="519">
        <f t="shared" si="189"/>
        <v>0</v>
      </c>
      <c r="AL255" s="503"/>
      <c r="AM255" s="503"/>
      <c r="AN255" s="506"/>
      <c r="AO255" s="519">
        <f>'A. Revenue by function'!N125</f>
        <v>0</v>
      </c>
      <c r="AP255" s="520" t="str">
        <f>'C. Other Revenues'!B207</f>
        <v>C.1</v>
      </c>
      <c r="AQ255" s="504">
        <f>'C. Other Revenues'!K222</f>
        <v>0</v>
      </c>
      <c r="AR255" s="503"/>
      <c r="AS255" s="520" t="str">
        <f>'C. Other Revenues'!B207</f>
        <v>C.1</v>
      </c>
      <c r="AT255" s="504">
        <f>'C. Other Revenues'!M222</f>
        <v>0</v>
      </c>
      <c r="AU255" s="521"/>
      <c r="AV255" s="504"/>
      <c r="AW255" s="503"/>
      <c r="AX255" s="520"/>
      <c r="AY255" s="522"/>
      <c r="AZ255" s="523"/>
      <c r="BA255" s="524"/>
      <c r="BB255" s="465">
        <f>ROUND(AJ255+AL255+AN255+AQ255+AV255+AZ255,0)</f>
        <v>0</v>
      </c>
      <c r="BC255" s="465">
        <f>ROUND(AK255+AM255+AO255+AT255+AY255+BA255,0)</f>
        <v>0</v>
      </c>
      <c r="BD255" s="573" t="str">
        <f t="shared" si="174"/>
        <v xml:space="preserve"> </v>
      </c>
      <c r="BE255" s="522">
        <f t="shared" si="175"/>
        <v>0</v>
      </c>
      <c r="BF255" s="504"/>
      <c r="BG255" s="522"/>
    </row>
    <row r="256" spans="1:62" x14ac:dyDescent="0.2">
      <c r="A256" s="25"/>
      <c r="B256" s="1403"/>
      <c r="C256" s="14" t="s">
        <v>989</v>
      </c>
      <c r="D256" s="525"/>
      <c r="E256" s="526"/>
      <c r="F256" s="516"/>
      <c r="G256" s="516"/>
      <c r="H256" s="516"/>
      <c r="I256" s="516"/>
      <c r="J256" s="516"/>
      <c r="K256" s="517"/>
      <c r="L256" s="516"/>
      <c r="M256" s="516"/>
      <c r="N256" s="516"/>
      <c r="O256" s="516"/>
      <c r="P256" s="518"/>
      <c r="Q256" s="518"/>
      <c r="R256" s="518"/>
      <c r="S256" s="518"/>
      <c r="T256" s="518"/>
      <c r="U256" s="518"/>
      <c r="V256" s="518"/>
      <c r="W256" s="518"/>
      <c r="X256" s="518"/>
      <c r="Y256" s="518"/>
      <c r="Z256" s="518"/>
      <c r="AA256" s="518"/>
      <c r="AB256" s="518"/>
      <c r="AC256" s="518"/>
      <c r="AD256" s="516"/>
      <c r="AE256" s="516"/>
      <c r="AF256" s="516"/>
      <c r="AG256" s="516"/>
      <c r="AH256" s="529">
        <f t="shared" si="186"/>
        <v>0</v>
      </c>
      <c r="AI256" s="503">
        <f t="shared" si="187"/>
        <v>0</v>
      </c>
      <c r="AJ256" s="506">
        <f t="shared" si="188"/>
        <v>0</v>
      </c>
      <c r="AK256" s="519">
        <f t="shared" si="189"/>
        <v>0</v>
      </c>
      <c r="AL256" s="503"/>
      <c r="AM256" s="503"/>
      <c r="AN256" s="506"/>
      <c r="AO256" s="519">
        <f>'A. Revenue by function'!N126</f>
        <v>0</v>
      </c>
      <c r="AP256" s="520" t="str">
        <f>'C. Other Revenues'!B207</f>
        <v>C.1</v>
      </c>
      <c r="AQ256" s="504">
        <f>'C. Other Revenues'!K232</f>
        <v>0</v>
      </c>
      <c r="AR256" s="503"/>
      <c r="AS256" s="520" t="str">
        <f>'C. Other Revenues'!B207</f>
        <v>C.1</v>
      </c>
      <c r="AT256" s="504">
        <f>'C. Other Revenues'!M232</f>
        <v>0</v>
      </c>
      <c r="AU256" s="521"/>
      <c r="AV256" s="504"/>
      <c r="AW256" s="503"/>
      <c r="AX256" s="520" t="str">
        <f>'L. Eliminations-Consolidations'!A243</f>
        <v>L.7</v>
      </c>
      <c r="AY256" s="522">
        <f>'L. Eliminations-Consolidations'!L258</f>
        <v>0</v>
      </c>
      <c r="AZ256" s="523"/>
      <c r="BA256" s="524"/>
      <c r="BB256" s="465">
        <f>ROUND(AJ256+AL256+AN256+AQ256+AV256+AZ256,0)</f>
        <v>0</v>
      </c>
      <c r="BC256" s="465">
        <f>ROUND(AK256+AM256+AO256+AT256+AY256+BA256,0)</f>
        <v>0</v>
      </c>
      <c r="BD256" s="573" t="str">
        <f t="shared" si="174"/>
        <v xml:space="preserve"> </v>
      </c>
      <c r="BE256" s="522">
        <f t="shared" si="175"/>
        <v>0</v>
      </c>
      <c r="BF256" s="504"/>
      <c r="BG256" s="522"/>
    </row>
    <row r="257" spans="1:60" ht="15.75" customHeight="1" x14ac:dyDescent="0.2">
      <c r="A257" s="25"/>
      <c r="B257" s="1403"/>
      <c r="C257" s="14" t="s">
        <v>990</v>
      </c>
      <c r="D257" s="525"/>
      <c r="E257" s="526"/>
      <c r="F257" s="516"/>
      <c r="G257" s="516"/>
      <c r="H257" s="516"/>
      <c r="I257" s="516"/>
      <c r="J257" s="516"/>
      <c r="K257" s="517"/>
      <c r="L257" s="516"/>
      <c r="M257" s="516"/>
      <c r="N257" s="516"/>
      <c r="O257" s="516"/>
      <c r="P257" s="518"/>
      <c r="Q257" s="518"/>
      <c r="R257" s="518"/>
      <c r="S257" s="518"/>
      <c r="T257" s="518"/>
      <c r="U257" s="518"/>
      <c r="V257" s="518"/>
      <c r="W257" s="518"/>
      <c r="X257" s="518"/>
      <c r="Y257" s="518"/>
      <c r="Z257" s="518"/>
      <c r="AA257" s="518"/>
      <c r="AB257" s="518"/>
      <c r="AC257" s="518"/>
      <c r="AD257" s="516"/>
      <c r="AE257" s="516"/>
      <c r="AF257" s="516"/>
      <c r="AG257" s="516"/>
      <c r="AH257" s="529">
        <f t="shared" si="186"/>
        <v>0</v>
      </c>
      <c r="AI257" s="503">
        <f t="shared" si="187"/>
        <v>0</v>
      </c>
      <c r="AJ257" s="506">
        <f t="shared" si="188"/>
        <v>0</v>
      </c>
      <c r="AK257" s="519">
        <f t="shared" si="189"/>
        <v>0</v>
      </c>
      <c r="AL257" s="503"/>
      <c r="AM257" s="503"/>
      <c r="AN257" s="506"/>
      <c r="AO257" s="519">
        <f>'A. Revenue by function'!N127</f>
        <v>0</v>
      </c>
      <c r="AP257" s="520" t="str">
        <f>'C. Other Revenues'!B207</f>
        <v>C.1</v>
      </c>
      <c r="AQ257" s="504">
        <f>'C. Other Revenues'!K242</f>
        <v>0</v>
      </c>
      <c r="AR257" s="503"/>
      <c r="AS257" s="520" t="str">
        <f>'C. Other Revenues'!B207</f>
        <v>C.1</v>
      </c>
      <c r="AT257" s="504">
        <f>'C. Other Revenues'!M242</f>
        <v>0</v>
      </c>
      <c r="AU257" s="521"/>
      <c r="AV257" s="504"/>
      <c r="AW257" s="503"/>
      <c r="AX257" s="520" t="str">
        <f>'L. Eliminations-Consolidations'!A243</f>
        <v>L.7</v>
      </c>
      <c r="AY257" s="522">
        <f>'L. Eliminations-Consolidations'!L267</f>
        <v>0</v>
      </c>
      <c r="AZ257" s="523"/>
      <c r="BA257" s="524"/>
      <c r="BB257" s="465">
        <f>ROUND(AJ257+AL257+AN257+AQ257+AV257+AZ257,0)</f>
        <v>0</v>
      </c>
      <c r="BC257" s="465">
        <f>ROUND(AK257+AM257+AO257+AT257+AY257+BA257,0)</f>
        <v>0</v>
      </c>
      <c r="BD257" s="573" t="str">
        <f t="shared" si="174"/>
        <v xml:space="preserve"> </v>
      </c>
      <c r="BE257" s="522">
        <f t="shared" si="175"/>
        <v>0</v>
      </c>
      <c r="BF257" s="504"/>
      <c r="BG257" s="522"/>
    </row>
    <row r="258" spans="1:60" x14ac:dyDescent="0.2">
      <c r="A258" s="25"/>
      <c r="B258" s="14"/>
      <c r="C258" s="14"/>
      <c r="D258" s="525"/>
      <c r="E258" s="526"/>
      <c r="F258" s="516"/>
      <c r="G258" s="516"/>
      <c r="H258" s="516"/>
      <c r="I258" s="516"/>
      <c r="J258" s="516"/>
      <c r="K258" s="517"/>
      <c r="L258" s="516"/>
      <c r="M258" s="516"/>
      <c r="N258" s="516"/>
      <c r="O258" s="516"/>
      <c r="P258" s="518"/>
      <c r="Q258" s="518"/>
      <c r="R258" s="518"/>
      <c r="S258" s="518"/>
      <c r="T258" s="518"/>
      <c r="U258" s="518"/>
      <c r="V258" s="518"/>
      <c r="W258" s="518"/>
      <c r="X258" s="518"/>
      <c r="Y258" s="518"/>
      <c r="Z258" s="518"/>
      <c r="AA258" s="518"/>
      <c r="AB258" s="518"/>
      <c r="AC258" s="518"/>
      <c r="AD258" s="516"/>
      <c r="AE258" s="516"/>
      <c r="AF258" s="516"/>
      <c r="AG258" s="516"/>
      <c r="AH258" s="529">
        <f t="shared" si="186"/>
        <v>0</v>
      </c>
      <c r="AI258" s="503">
        <f t="shared" si="187"/>
        <v>0</v>
      </c>
      <c r="AJ258" s="506">
        <f t="shared" si="188"/>
        <v>0</v>
      </c>
      <c r="AK258" s="519">
        <f t="shared" si="189"/>
        <v>0</v>
      </c>
      <c r="AL258" s="503"/>
      <c r="AM258" s="503"/>
      <c r="AN258" s="506"/>
      <c r="AO258" s="519"/>
      <c r="AP258" s="520"/>
      <c r="AQ258" s="504"/>
      <c r="AR258" s="503"/>
      <c r="AU258" s="521"/>
      <c r="AV258" s="504"/>
      <c r="AW258" s="503"/>
      <c r="AX258" s="520"/>
      <c r="AY258" s="522"/>
      <c r="AZ258" s="523"/>
      <c r="BA258" s="524"/>
      <c r="BB258" s="432"/>
      <c r="BC258" s="432"/>
      <c r="BD258" s="573" t="str">
        <f t="shared" si="174"/>
        <v xml:space="preserve"> </v>
      </c>
      <c r="BE258" s="522"/>
      <c r="BF258" s="504"/>
      <c r="BG258" s="522"/>
    </row>
    <row r="259" spans="1:60" x14ac:dyDescent="0.2">
      <c r="A259" s="25"/>
      <c r="B259" s="163" t="s">
        <v>4203</v>
      </c>
      <c r="C259" s="14"/>
      <c r="D259" s="525"/>
      <c r="E259" s="526"/>
      <c r="F259" s="516"/>
      <c r="G259" s="516"/>
      <c r="H259" s="516"/>
      <c r="I259" s="516"/>
      <c r="J259" s="516"/>
      <c r="K259" s="517"/>
      <c r="L259" s="516"/>
      <c r="M259" s="516"/>
      <c r="N259" s="516"/>
      <c r="O259" s="516"/>
      <c r="P259" s="518"/>
      <c r="Q259" s="518"/>
      <c r="R259" s="518"/>
      <c r="S259" s="518"/>
      <c r="T259" s="518"/>
      <c r="U259" s="518"/>
      <c r="V259" s="518"/>
      <c r="W259" s="518"/>
      <c r="X259" s="518"/>
      <c r="Y259" s="518"/>
      <c r="Z259" s="518"/>
      <c r="AA259" s="518"/>
      <c r="AB259" s="518"/>
      <c r="AC259" s="518"/>
      <c r="AD259" s="516"/>
      <c r="AE259" s="516"/>
      <c r="AF259" s="516"/>
      <c r="AG259" s="516"/>
      <c r="AH259" s="529">
        <f t="shared" si="186"/>
        <v>0</v>
      </c>
      <c r="AI259" s="503">
        <f t="shared" si="187"/>
        <v>0</v>
      </c>
      <c r="AJ259" s="506">
        <f t="shared" si="188"/>
        <v>0</v>
      </c>
      <c r="AK259" s="519">
        <f t="shared" si="189"/>
        <v>0</v>
      </c>
      <c r="AL259" s="503"/>
      <c r="AM259" s="503"/>
      <c r="AN259" s="506"/>
      <c r="AO259" s="519"/>
      <c r="AP259" s="520"/>
      <c r="AQ259" s="504"/>
      <c r="AR259" s="503"/>
      <c r="AS259" s="520"/>
      <c r="AT259" s="504"/>
      <c r="AU259" s="521"/>
      <c r="AV259" s="504"/>
      <c r="AW259" s="503"/>
      <c r="AX259" s="520"/>
      <c r="AY259" s="522"/>
      <c r="AZ259" s="523"/>
      <c r="BA259" s="524"/>
      <c r="BB259" s="432"/>
      <c r="BC259" s="432"/>
      <c r="BD259" s="573" t="str">
        <f t="shared" si="174"/>
        <v xml:space="preserve"> </v>
      </c>
      <c r="BE259" s="522"/>
      <c r="BF259" s="504"/>
      <c r="BG259" s="522"/>
    </row>
    <row r="260" spans="1:60" x14ac:dyDescent="0.2">
      <c r="A260" s="25"/>
      <c r="B260" s="1403" t="s">
        <v>954</v>
      </c>
      <c r="C260" s="14" t="s">
        <v>903</v>
      </c>
      <c r="D260" s="525"/>
      <c r="E260" s="526"/>
      <c r="F260" s="516"/>
      <c r="G260" s="516"/>
      <c r="H260" s="516"/>
      <c r="I260" s="516"/>
      <c r="J260" s="516"/>
      <c r="K260" s="517"/>
      <c r="L260" s="516"/>
      <c r="M260" s="516"/>
      <c r="N260" s="516"/>
      <c r="O260" s="516"/>
      <c r="P260" s="518"/>
      <c r="Q260" s="518"/>
      <c r="R260" s="518"/>
      <c r="S260" s="518"/>
      <c r="T260" s="518"/>
      <c r="U260" s="518"/>
      <c r="V260" s="518"/>
      <c r="W260" s="518"/>
      <c r="X260" s="518"/>
      <c r="Y260" s="518"/>
      <c r="Z260" s="518"/>
      <c r="AA260" s="518"/>
      <c r="AB260" s="518"/>
      <c r="AC260" s="518"/>
      <c r="AD260" s="516"/>
      <c r="AE260" s="516"/>
      <c r="AF260" s="516"/>
      <c r="AG260" s="516"/>
      <c r="AH260" s="529">
        <f t="shared" si="186"/>
        <v>0</v>
      </c>
      <c r="AI260" s="503">
        <f t="shared" si="187"/>
        <v>0</v>
      </c>
      <c r="AJ260" s="506">
        <f t="shared" si="188"/>
        <v>0</v>
      </c>
      <c r="AK260" s="519">
        <f t="shared" si="189"/>
        <v>0</v>
      </c>
      <c r="AL260" s="503"/>
      <c r="AM260" s="503"/>
      <c r="AN260" s="506"/>
      <c r="AO260" s="1295">
        <f>'A. Revenue by function'!H72</f>
        <v>540000</v>
      </c>
      <c r="AP260" s="520" t="str">
        <f>'C. Other Revenues'!B207</f>
        <v>C.1</v>
      </c>
      <c r="AQ260" s="504">
        <f>'C. Other Revenues'!K223</f>
        <v>0</v>
      </c>
      <c r="AR260" s="503"/>
      <c r="AS260" s="520" t="str">
        <f>'C. Other Revenues'!B207</f>
        <v>C.1</v>
      </c>
      <c r="AT260" s="1317">
        <f>'C. Other Revenues'!M223</f>
        <v>164961</v>
      </c>
      <c r="AU260" s="521"/>
      <c r="AV260" s="504"/>
      <c r="AW260" s="503"/>
      <c r="AX260" s="520"/>
      <c r="AY260" s="522"/>
      <c r="AZ260" s="523"/>
      <c r="BA260" s="524"/>
      <c r="BB260" s="465">
        <f>ROUND(AJ260+AL260+AN260+AQ260+AV260+AZ260,0)</f>
        <v>0</v>
      </c>
      <c r="BC260" s="465">
        <f>ROUND(AK260+AM260+AO260+AT260+AY260+BA260,0)</f>
        <v>704961</v>
      </c>
      <c r="BD260" s="573" t="str">
        <f t="shared" si="174"/>
        <v xml:space="preserve"> </v>
      </c>
      <c r="BE260" s="522">
        <f t="shared" si="175"/>
        <v>704961</v>
      </c>
      <c r="BF260" s="504"/>
      <c r="BG260" s="522"/>
    </row>
    <row r="261" spans="1:60" x14ac:dyDescent="0.2">
      <c r="A261" s="25"/>
      <c r="B261" s="1403"/>
      <c r="C261" s="14" t="s">
        <v>989</v>
      </c>
      <c r="D261" s="525"/>
      <c r="E261" s="526"/>
      <c r="F261" s="516"/>
      <c r="G261" s="516"/>
      <c r="H261" s="516"/>
      <c r="I261" s="516"/>
      <c r="J261" s="516"/>
      <c r="K261" s="517"/>
      <c r="L261" s="516"/>
      <c r="M261" s="516"/>
      <c r="N261" s="516"/>
      <c r="O261" s="516"/>
      <c r="P261" s="518"/>
      <c r="Q261" s="518"/>
      <c r="R261" s="518"/>
      <c r="S261" s="518"/>
      <c r="T261" s="518"/>
      <c r="U261" s="518"/>
      <c r="V261" s="518"/>
      <c r="W261" s="518"/>
      <c r="X261" s="518"/>
      <c r="Y261" s="518"/>
      <c r="Z261" s="518"/>
      <c r="AA261" s="518"/>
      <c r="AB261" s="518"/>
      <c r="AC261" s="518"/>
      <c r="AD261" s="516"/>
      <c r="AE261" s="516"/>
      <c r="AF261" s="516"/>
      <c r="AG261" s="516"/>
      <c r="AH261" s="529">
        <f t="shared" si="186"/>
        <v>0</v>
      </c>
      <c r="AI261" s="503">
        <f t="shared" si="187"/>
        <v>0</v>
      </c>
      <c r="AJ261" s="506">
        <f t="shared" si="188"/>
        <v>0</v>
      </c>
      <c r="AK261" s="519">
        <f t="shared" si="189"/>
        <v>0</v>
      </c>
      <c r="AL261" s="503"/>
      <c r="AM261" s="503"/>
      <c r="AN261" s="506"/>
      <c r="AO261" s="1295">
        <f>'A. Revenue by function'!H73</f>
        <v>13069051</v>
      </c>
      <c r="AP261" s="520" t="str">
        <f>'C. Other Revenues'!B207</f>
        <v>C.1</v>
      </c>
      <c r="AQ261" s="504">
        <f>'C. Other Revenues'!K233</f>
        <v>0</v>
      </c>
      <c r="AR261" s="503"/>
      <c r="AS261" s="520" t="str">
        <f>'C. Other Revenues'!B207</f>
        <v>C.1</v>
      </c>
      <c r="AT261" s="504">
        <f>'C. Other Revenues'!M233</f>
        <v>0</v>
      </c>
      <c r="AU261" s="521"/>
      <c r="AV261" s="504"/>
      <c r="AW261" s="503"/>
      <c r="AX261" s="520" t="str">
        <f>'L. Eliminations-Consolidations'!A243</f>
        <v>L.7</v>
      </c>
      <c r="AY261" s="522">
        <f>'L. Eliminations-Consolidations'!L259</f>
        <v>0</v>
      </c>
      <c r="AZ261" s="523"/>
      <c r="BA261" s="524"/>
      <c r="BB261" s="465">
        <f>ROUND(AJ261+AL261+AN261+AQ261+AV261+AZ261,0)</f>
        <v>0</v>
      </c>
      <c r="BC261" s="465">
        <f>ROUND(AK261+AM261+AO261+AT261+AY261+BA261,0)</f>
        <v>13069051</v>
      </c>
      <c r="BD261" s="573" t="str">
        <f t="shared" si="174"/>
        <v xml:space="preserve"> </v>
      </c>
      <c r="BE261" s="522">
        <f t="shared" si="175"/>
        <v>13069051</v>
      </c>
      <c r="BF261" s="504"/>
      <c r="BG261" s="522"/>
    </row>
    <row r="262" spans="1:60" ht="15.75" customHeight="1" x14ac:dyDescent="0.2">
      <c r="A262" s="25"/>
      <c r="B262" s="1403"/>
      <c r="C262" s="14" t="s">
        <v>990</v>
      </c>
      <c r="D262" s="525"/>
      <c r="E262" s="526"/>
      <c r="F262" s="516"/>
      <c r="G262" s="516"/>
      <c r="H262" s="516"/>
      <c r="I262" s="516"/>
      <c r="J262" s="516"/>
      <c r="K262" s="517"/>
      <c r="L262" s="516"/>
      <c r="M262" s="516"/>
      <c r="N262" s="516"/>
      <c r="O262" s="516"/>
      <c r="P262" s="518"/>
      <c r="Q262" s="518"/>
      <c r="R262" s="518"/>
      <c r="S262" s="518"/>
      <c r="T262" s="518"/>
      <c r="U262" s="518"/>
      <c r="V262" s="518"/>
      <c r="W262" s="518"/>
      <c r="X262" s="518"/>
      <c r="Y262" s="518"/>
      <c r="Z262" s="518"/>
      <c r="AA262" s="518"/>
      <c r="AB262" s="518"/>
      <c r="AC262" s="518"/>
      <c r="AD262" s="516"/>
      <c r="AE262" s="516"/>
      <c r="AF262" s="516"/>
      <c r="AG262" s="516"/>
      <c r="AH262" s="529">
        <f t="shared" si="186"/>
        <v>0</v>
      </c>
      <c r="AI262" s="503">
        <f t="shared" si="187"/>
        <v>0</v>
      </c>
      <c r="AJ262" s="506">
        <f t="shared" si="188"/>
        <v>0</v>
      </c>
      <c r="AK262" s="519">
        <f t="shared" si="189"/>
        <v>0</v>
      </c>
      <c r="AL262" s="503"/>
      <c r="AM262" s="503"/>
      <c r="AN262" s="506"/>
      <c r="AO262" s="519">
        <f>'A. Revenue by function'!H74</f>
        <v>0</v>
      </c>
      <c r="AP262" s="520" t="str">
        <f>'C. Other Revenues'!B207</f>
        <v>C.1</v>
      </c>
      <c r="AQ262" s="504">
        <f>'C. Other Revenues'!K243</f>
        <v>0</v>
      </c>
      <c r="AR262" s="503"/>
      <c r="AS262" s="520" t="str">
        <f>'C. Other Revenues'!B207</f>
        <v>C.1</v>
      </c>
      <c r="AT262" s="504">
        <f>'C. Other Revenues'!M243</f>
        <v>0</v>
      </c>
      <c r="AU262" s="521"/>
      <c r="AV262" s="504"/>
      <c r="AW262" s="503"/>
      <c r="AX262" s="520" t="str">
        <f>'L. Eliminations-Consolidations'!A243</f>
        <v>L.7</v>
      </c>
      <c r="AY262" s="522">
        <f>'L. Eliminations-Consolidations'!L268</f>
        <v>0</v>
      </c>
      <c r="AZ262" s="523"/>
      <c r="BA262" s="524"/>
      <c r="BB262" s="465">
        <f>ROUND(AJ262+AL262+AN262+AQ262+AV262+AZ262,0)</f>
        <v>0</v>
      </c>
      <c r="BC262" s="465">
        <f>ROUND(AK262+AM262+AO262+AT262+AY262+BA262,0)</f>
        <v>0</v>
      </c>
      <c r="BD262" s="573" t="str">
        <f t="shared" si="174"/>
        <v xml:space="preserve"> </v>
      </c>
      <c r="BE262" s="522">
        <f t="shared" si="175"/>
        <v>0</v>
      </c>
      <c r="BF262" s="504"/>
      <c r="BG262" s="522"/>
    </row>
    <row r="263" spans="1:60" x14ac:dyDescent="0.2">
      <c r="A263" s="25"/>
      <c r="B263" s="14"/>
      <c r="C263" s="14"/>
      <c r="D263" s="525"/>
      <c r="E263" s="526"/>
      <c r="F263" s="516"/>
      <c r="G263" s="516"/>
      <c r="H263" s="516"/>
      <c r="I263" s="516"/>
      <c r="J263" s="516"/>
      <c r="K263" s="517"/>
      <c r="L263" s="516"/>
      <c r="M263" s="516"/>
      <c r="N263" s="516"/>
      <c r="O263" s="516"/>
      <c r="P263" s="518"/>
      <c r="Q263" s="518"/>
      <c r="R263" s="518"/>
      <c r="S263" s="518"/>
      <c r="T263" s="518"/>
      <c r="U263" s="518"/>
      <c r="V263" s="518"/>
      <c r="W263" s="518"/>
      <c r="X263" s="518"/>
      <c r="Y263" s="518"/>
      <c r="Z263" s="518"/>
      <c r="AA263" s="518"/>
      <c r="AB263" s="518"/>
      <c r="AC263" s="518"/>
      <c r="AD263" s="516"/>
      <c r="AE263" s="516"/>
      <c r="AF263" s="516"/>
      <c r="AG263" s="516"/>
      <c r="AH263" s="529">
        <f t="shared" si="186"/>
        <v>0</v>
      </c>
      <c r="AI263" s="503">
        <f t="shared" si="187"/>
        <v>0</v>
      </c>
      <c r="AJ263" s="506">
        <f t="shared" si="188"/>
        <v>0</v>
      </c>
      <c r="AK263" s="519">
        <f t="shared" si="189"/>
        <v>0</v>
      </c>
      <c r="AL263" s="503"/>
      <c r="AM263" s="503"/>
      <c r="AN263" s="506"/>
      <c r="AO263" s="519"/>
      <c r="AP263" s="520"/>
      <c r="AQ263" s="504"/>
      <c r="AR263" s="503"/>
      <c r="AS263" s="520"/>
      <c r="AT263" s="504"/>
      <c r="AU263" s="521"/>
      <c r="AV263" s="504"/>
      <c r="AW263" s="503"/>
      <c r="AX263" s="520"/>
      <c r="AY263" s="522"/>
      <c r="AZ263" s="523"/>
      <c r="BA263" s="524"/>
      <c r="BB263" s="432"/>
      <c r="BC263" s="432"/>
      <c r="BD263" s="573" t="str">
        <f t="shared" si="174"/>
        <v xml:space="preserve"> </v>
      </c>
      <c r="BE263" s="522"/>
      <c r="BF263" s="504"/>
      <c r="BG263" s="522"/>
    </row>
    <row r="264" spans="1:60" x14ac:dyDescent="0.2">
      <c r="A264" s="25"/>
      <c r="B264" s="163" t="s">
        <v>130</v>
      </c>
      <c r="C264" s="14"/>
      <c r="D264" s="525"/>
      <c r="E264" s="526"/>
      <c r="F264" s="516"/>
      <c r="G264" s="516"/>
      <c r="H264" s="516"/>
      <c r="I264" s="516"/>
      <c r="J264" s="516"/>
      <c r="K264" s="517"/>
      <c r="L264" s="516"/>
      <c r="M264" s="516"/>
      <c r="N264" s="516"/>
      <c r="O264" s="516"/>
      <c r="P264" s="518"/>
      <c r="Q264" s="518"/>
      <c r="R264" s="518"/>
      <c r="S264" s="518"/>
      <c r="T264" s="518"/>
      <c r="U264" s="518"/>
      <c r="V264" s="518"/>
      <c r="W264" s="518"/>
      <c r="X264" s="518"/>
      <c r="Y264" s="518"/>
      <c r="Z264" s="518"/>
      <c r="AA264" s="518"/>
      <c r="AB264" s="518"/>
      <c r="AC264" s="518"/>
      <c r="AD264" s="516"/>
      <c r="AE264" s="516"/>
      <c r="AF264" s="516"/>
      <c r="AG264" s="516"/>
      <c r="AH264" s="529">
        <f t="shared" si="186"/>
        <v>0</v>
      </c>
      <c r="AI264" s="503">
        <f t="shared" si="187"/>
        <v>0</v>
      </c>
      <c r="AJ264" s="506">
        <f t="shared" si="188"/>
        <v>0</v>
      </c>
      <c r="AK264" s="519">
        <f t="shared" si="189"/>
        <v>0</v>
      </c>
      <c r="AL264" s="503"/>
      <c r="AM264" s="503"/>
      <c r="AN264" s="506"/>
      <c r="AO264" s="519"/>
      <c r="AP264" s="520"/>
      <c r="AQ264" s="504"/>
      <c r="AR264" s="503"/>
      <c r="AS264" s="520"/>
      <c r="AT264" s="504"/>
      <c r="AU264" s="521"/>
      <c r="AV264" s="504"/>
      <c r="AW264" s="503"/>
      <c r="AX264" s="520"/>
      <c r="AY264" s="522"/>
      <c r="AZ264" s="523"/>
      <c r="BA264" s="524"/>
      <c r="BB264" s="432"/>
      <c r="BC264" s="432"/>
      <c r="BD264" s="573" t="str">
        <f t="shared" si="174"/>
        <v xml:space="preserve"> </v>
      </c>
      <c r="BE264" s="522"/>
      <c r="BF264" s="504"/>
      <c r="BG264" s="522"/>
    </row>
    <row r="265" spans="1:60" x14ac:dyDescent="0.2">
      <c r="A265" s="25"/>
      <c r="B265" s="1403" t="s">
        <v>954</v>
      </c>
      <c r="C265" s="14" t="s">
        <v>903</v>
      </c>
      <c r="D265" s="525"/>
      <c r="E265" s="526"/>
      <c r="F265" s="516"/>
      <c r="G265" s="516"/>
      <c r="H265" s="516"/>
      <c r="I265" s="516"/>
      <c r="J265" s="516"/>
      <c r="K265" s="517"/>
      <c r="L265" s="516"/>
      <c r="M265" s="516"/>
      <c r="N265" s="516"/>
      <c r="O265" s="516"/>
      <c r="P265" s="518"/>
      <c r="Q265" s="518"/>
      <c r="R265" s="518"/>
      <c r="S265" s="518"/>
      <c r="T265" s="518"/>
      <c r="U265" s="518"/>
      <c r="V265" s="518"/>
      <c r="W265" s="518"/>
      <c r="X265" s="518"/>
      <c r="Y265" s="518"/>
      <c r="Z265" s="518"/>
      <c r="AA265" s="518"/>
      <c r="AB265" s="518"/>
      <c r="AC265" s="518"/>
      <c r="AD265" s="516"/>
      <c r="AE265" s="516"/>
      <c r="AF265" s="516"/>
      <c r="AG265" s="516"/>
      <c r="AH265" s="529">
        <f t="shared" si="186"/>
        <v>0</v>
      </c>
      <c r="AI265" s="503">
        <f t="shared" si="187"/>
        <v>0</v>
      </c>
      <c r="AJ265" s="506">
        <f t="shared" si="188"/>
        <v>0</v>
      </c>
      <c r="AK265" s="519">
        <f t="shared" si="189"/>
        <v>0</v>
      </c>
      <c r="AL265" s="503"/>
      <c r="AM265" s="503"/>
      <c r="AN265" s="506"/>
      <c r="AO265" s="1295">
        <f>'A. Revenue by function'!N131</f>
        <v>204991</v>
      </c>
      <c r="AP265" s="520" t="str">
        <f>'C. Other Revenues'!B207</f>
        <v>C.1</v>
      </c>
      <c r="AQ265" s="504">
        <f>'C. Other Revenues'!K224</f>
        <v>0</v>
      </c>
      <c r="AR265" s="503"/>
      <c r="AS265" s="520" t="str">
        <f>'C. Other Revenues'!B207</f>
        <v>C.1</v>
      </c>
      <c r="AT265" s="504">
        <f>'C. Other Revenues'!M224</f>
        <v>0</v>
      </c>
      <c r="AU265" s="521"/>
      <c r="AV265" s="504"/>
      <c r="AW265" s="503"/>
      <c r="AX265" s="520"/>
      <c r="AY265" s="522"/>
      <c r="AZ265" s="523"/>
      <c r="BA265" s="524"/>
      <c r="BB265" s="465">
        <f>ROUND(AJ265+AL265+AN265+AQ265+AV265+AZ265,0)</f>
        <v>0</v>
      </c>
      <c r="BC265" s="465">
        <f>ROUND(AK265+AM265+AO265+AT265+AY265+BA265,0)</f>
        <v>204991</v>
      </c>
      <c r="BD265" s="573" t="str">
        <f t="shared" si="174"/>
        <v xml:space="preserve"> </v>
      </c>
      <c r="BE265" s="522">
        <f t="shared" si="175"/>
        <v>204991</v>
      </c>
      <c r="BF265" s="504"/>
      <c r="BG265" s="522"/>
    </row>
    <row r="266" spans="1:60" x14ac:dyDescent="0.2">
      <c r="A266" s="25"/>
      <c r="B266" s="1403"/>
      <c r="C266" s="14" t="s">
        <v>989</v>
      </c>
      <c r="D266" s="525"/>
      <c r="E266" s="526"/>
      <c r="F266" s="516"/>
      <c r="G266" s="516"/>
      <c r="H266" s="516"/>
      <c r="I266" s="516"/>
      <c r="J266" s="516"/>
      <c r="K266" s="517"/>
      <c r="L266" s="516"/>
      <c r="M266" s="516"/>
      <c r="N266" s="516"/>
      <c r="O266" s="516"/>
      <c r="P266" s="518"/>
      <c r="Q266" s="518"/>
      <c r="R266" s="518"/>
      <c r="S266" s="518"/>
      <c r="T266" s="518"/>
      <c r="U266" s="518"/>
      <c r="V266" s="518"/>
      <c r="W266" s="518"/>
      <c r="X266" s="518"/>
      <c r="Y266" s="518"/>
      <c r="Z266" s="518"/>
      <c r="AA266" s="518"/>
      <c r="AB266" s="518"/>
      <c r="AC266" s="518"/>
      <c r="AD266" s="516"/>
      <c r="AE266" s="516"/>
      <c r="AF266" s="516"/>
      <c r="AG266" s="516"/>
      <c r="AH266" s="529">
        <f t="shared" si="186"/>
        <v>0</v>
      </c>
      <c r="AI266" s="503">
        <f t="shared" si="187"/>
        <v>0</v>
      </c>
      <c r="AJ266" s="506">
        <f t="shared" si="188"/>
        <v>0</v>
      </c>
      <c r="AK266" s="519">
        <f t="shared" si="189"/>
        <v>0</v>
      </c>
      <c r="AL266" s="503"/>
      <c r="AM266" s="503"/>
      <c r="AN266" s="506"/>
      <c r="AO266" s="1295">
        <f>'A. Revenue by function'!N132</f>
        <v>0</v>
      </c>
      <c r="AP266" s="520" t="str">
        <f>'C. Other Revenues'!B207</f>
        <v>C.1</v>
      </c>
      <c r="AQ266" s="504">
        <f>'C. Other Revenues'!K234</f>
        <v>0</v>
      </c>
      <c r="AR266" s="503"/>
      <c r="AS266" s="520" t="str">
        <f>'C. Other Revenues'!B207</f>
        <v>C.1</v>
      </c>
      <c r="AT266" s="504">
        <f>'C. Other Revenues'!M234</f>
        <v>0</v>
      </c>
      <c r="AU266" s="521"/>
      <c r="AV266" s="504"/>
      <c r="AW266" s="503"/>
      <c r="AX266" s="520" t="str">
        <f>'L. Eliminations-Consolidations'!A243</f>
        <v>L.7</v>
      </c>
      <c r="AY266" s="522">
        <f>'L. Eliminations-Consolidations'!L260</f>
        <v>0</v>
      </c>
      <c r="AZ266" s="523"/>
      <c r="BA266" s="524"/>
      <c r="BB266" s="465">
        <f>ROUND(AJ266+AL266+AN266+AQ266+AV266+AZ266,0)</f>
        <v>0</v>
      </c>
      <c r="BC266" s="465">
        <f>ROUND(AK266+AM266+AO266+AT266+AY266+BA266,0)</f>
        <v>0</v>
      </c>
      <c r="BD266" s="573" t="str">
        <f t="shared" si="174"/>
        <v xml:space="preserve"> </v>
      </c>
      <c r="BE266" s="522">
        <f t="shared" si="175"/>
        <v>0</v>
      </c>
      <c r="BF266" s="504"/>
      <c r="BG266" s="522"/>
    </row>
    <row r="267" spans="1:60" ht="15" customHeight="1" x14ac:dyDescent="0.2">
      <c r="A267" s="25"/>
      <c r="B267" s="1403"/>
      <c r="C267" s="14" t="s">
        <v>990</v>
      </c>
      <c r="D267" s="525"/>
      <c r="E267" s="526"/>
      <c r="F267" s="516"/>
      <c r="G267" s="516"/>
      <c r="H267" s="516"/>
      <c r="I267" s="516"/>
      <c r="J267" s="516"/>
      <c r="K267" s="517"/>
      <c r="L267" s="516"/>
      <c r="M267" s="516"/>
      <c r="N267" s="516"/>
      <c r="O267" s="516"/>
      <c r="P267" s="518"/>
      <c r="Q267" s="518"/>
      <c r="R267" s="518"/>
      <c r="S267" s="518"/>
      <c r="T267" s="518"/>
      <c r="U267" s="518"/>
      <c r="V267" s="518"/>
      <c r="W267" s="518"/>
      <c r="X267" s="518"/>
      <c r="Y267" s="518"/>
      <c r="Z267" s="518"/>
      <c r="AA267" s="518"/>
      <c r="AB267" s="518"/>
      <c r="AC267" s="518"/>
      <c r="AD267" s="516"/>
      <c r="AE267" s="516"/>
      <c r="AF267" s="516"/>
      <c r="AG267" s="516"/>
      <c r="AH267" s="529">
        <f t="shared" si="186"/>
        <v>0</v>
      </c>
      <c r="AI267" s="503">
        <f t="shared" si="187"/>
        <v>0</v>
      </c>
      <c r="AJ267" s="506">
        <f t="shared" si="188"/>
        <v>0</v>
      </c>
      <c r="AK267" s="519">
        <f t="shared" si="189"/>
        <v>0</v>
      </c>
      <c r="AL267" s="503"/>
      <c r="AM267" s="503"/>
      <c r="AN267" s="506"/>
      <c r="AO267" s="1295">
        <f>'A. Revenue by function'!N133</f>
        <v>102832</v>
      </c>
      <c r="AP267" s="520" t="str">
        <f>'C. Other Revenues'!B207</f>
        <v>C.1</v>
      </c>
      <c r="AQ267" s="504">
        <f>'C. Other Revenues'!K244</f>
        <v>0</v>
      </c>
      <c r="AR267" s="503"/>
      <c r="AS267" s="520" t="str">
        <f>'C. Other Revenues'!B207</f>
        <v>C.1</v>
      </c>
      <c r="AT267" s="504">
        <f>'C. Other Revenues'!M244</f>
        <v>0</v>
      </c>
      <c r="AU267" s="521"/>
      <c r="AV267" s="504"/>
      <c r="AW267" s="503"/>
      <c r="AX267" s="520" t="str">
        <f>'L. Eliminations-Consolidations'!A243</f>
        <v>L.7</v>
      </c>
      <c r="AY267" s="522">
        <f>'L. Eliminations-Consolidations'!L269</f>
        <v>0</v>
      </c>
      <c r="AZ267" s="523"/>
      <c r="BA267" s="524"/>
      <c r="BB267" s="465">
        <f>ROUND(AJ267+AL267+AN267+AQ267+AV267+AZ267,0)</f>
        <v>0</v>
      </c>
      <c r="BC267" s="465">
        <f>ROUND(AK267+AM267+AO267+AT267+AY267+BA267,0)</f>
        <v>102832</v>
      </c>
      <c r="BD267" s="573" t="str">
        <f t="shared" si="174"/>
        <v xml:space="preserve"> </v>
      </c>
      <c r="BE267" s="522">
        <f t="shared" si="175"/>
        <v>102832</v>
      </c>
      <c r="BF267" s="504"/>
      <c r="BG267" s="522"/>
      <c r="BH267" s="1190"/>
    </row>
    <row r="268" spans="1:60" ht="12.75" customHeight="1" x14ac:dyDescent="0.2">
      <c r="A268" s="25"/>
      <c r="B268" s="265"/>
      <c r="C268" s="14"/>
      <c r="D268" s="525"/>
      <c r="E268" s="526"/>
      <c r="F268" s="516"/>
      <c r="G268" s="516"/>
      <c r="H268" s="516"/>
      <c r="I268" s="516"/>
      <c r="J268" s="516"/>
      <c r="K268" s="517"/>
      <c r="L268" s="516"/>
      <c r="M268" s="516"/>
      <c r="N268" s="516"/>
      <c r="O268" s="516"/>
      <c r="P268" s="518"/>
      <c r="Q268" s="518"/>
      <c r="R268" s="518"/>
      <c r="S268" s="518"/>
      <c r="T268" s="518"/>
      <c r="U268" s="518"/>
      <c r="V268" s="518"/>
      <c r="W268" s="518"/>
      <c r="X268" s="518"/>
      <c r="Y268" s="518"/>
      <c r="Z268" s="518"/>
      <c r="AA268" s="518"/>
      <c r="AB268" s="518"/>
      <c r="AC268" s="518"/>
      <c r="AD268" s="516"/>
      <c r="AE268" s="516"/>
      <c r="AF268" s="516"/>
      <c r="AG268" s="516"/>
      <c r="AH268" s="529">
        <f t="shared" si="186"/>
        <v>0</v>
      </c>
      <c r="AI268" s="503">
        <f t="shared" si="187"/>
        <v>0</v>
      </c>
      <c r="AJ268" s="506">
        <f t="shared" si="188"/>
        <v>0</v>
      </c>
      <c r="AK268" s="519">
        <f t="shared" si="189"/>
        <v>0</v>
      </c>
      <c r="AL268" s="503"/>
      <c r="AM268" s="503"/>
      <c r="AN268" s="506"/>
      <c r="AO268" s="519"/>
      <c r="AP268" s="520"/>
      <c r="AQ268" s="504"/>
      <c r="AR268" s="503"/>
      <c r="AS268" s="520"/>
      <c r="AU268" s="521"/>
      <c r="AV268" s="504"/>
      <c r="AW268" s="503"/>
      <c r="AX268" s="520"/>
      <c r="AY268" s="522"/>
      <c r="AZ268" s="523"/>
      <c r="BA268" s="524"/>
      <c r="BB268" s="432"/>
      <c r="BC268" s="432"/>
      <c r="BD268" s="573" t="str">
        <f t="shared" si="174"/>
        <v xml:space="preserve"> </v>
      </c>
      <c r="BE268" s="522"/>
      <c r="BF268" s="504"/>
      <c r="BG268" s="522"/>
    </row>
    <row r="269" spans="1:60" ht="15" customHeight="1" x14ac:dyDescent="0.2">
      <c r="A269" s="25"/>
      <c r="B269" s="269" t="s">
        <v>172</v>
      </c>
      <c r="C269" s="14"/>
      <c r="D269" s="525"/>
      <c r="E269" s="526"/>
      <c r="F269" s="516"/>
      <c r="G269" s="516"/>
      <c r="H269" s="516"/>
      <c r="I269" s="516"/>
      <c r="J269" s="516"/>
      <c r="K269" s="517"/>
      <c r="L269" s="516"/>
      <c r="M269" s="516"/>
      <c r="N269" s="516"/>
      <c r="O269" s="516"/>
      <c r="P269" s="518"/>
      <c r="Q269" s="518"/>
      <c r="R269" s="518"/>
      <c r="S269" s="518"/>
      <c r="T269" s="518"/>
      <c r="U269" s="518"/>
      <c r="V269" s="518"/>
      <c r="W269" s="518"/>
      <c r="X269" s="518"/>
      <c r="Y269" s="518"/>
      <c r="Z269" s="518"/>
      <c r="AA269" s="518"/>
      <c r="AB269" s="518"/>
      <c r="AC269" s="518"/>
      <c r="AD269" s="516"/>
      <c r="AE269" s="516"/>
      <c r="AF269" s="516"/>
      <c r="AG269" s="516"/>
      <c r="AH269" s="529">
        <f t="shared" si="186"/>
        <v>0</v>
      </c>
      <c r="AI269" s="503">
        <f t="shared" si="187"/>
        <v>0</v>
      </c>
      <c r="AJ269" s="506">
        <f t="shared" si="188"/>
        <v>0</v>
      </c>
      <c r="AK269" s="519">
        <f t="shared" si="189"/>
        <v>0</v>
      </c>
      <c r="AL269" s="503"/>
      <c r="AM269" s="503"/>
      <c r="AN269" s="506"/>
      <c r="AO269" s="519"/>
      <c r="AP269" s="520"/>
      <c r="AQ269" s="504"/>
      <c r="AR269" s="503"/>
      <c r="AS269" s="520"/>
      <c r="AT269" s="504"/>
      <c r="AU269" s="521"/>
      <c r="AV269" s="504"/>
      <c r="AW269" s="503"/>
      <c r="AX269" s="520"/>
      <c r="AY269" s="522"/>
      <c r="AZ269" s="523"/>
      <c r="BA269" s="524"/>
      <c r="BB269" s="432"/>
      <c r="BC269" s="432"/>
      <c r="BD269" s="573" t="str">
        <f t="shared" si="174"/>
        <v xml:space="preserve"> </v>
      </c>
      <c r="BE269" s="522"/>
      <c r="BF269" s="504"/>
      <c r="BG269" s="522"/>
    </row>
    <row r="270" spans="1:60" ht="15" customHeight="1" x14ac:dyDescent="0.2">
      <c r="A270" s="25"/>
      <c r="B270" s="1403" t="s">
        <v>954</v>
      </c>
      <c r="C270" s="14" t="s">
        <v>903</v>
      </c>
      <c r="D270" s="525"/>
      <c r="E270" s="526"/>
      <c r="F270" s="516"/>
      <c r="G270" s="516"/>
      <c r="H270" s="516"/>
      <c r="I270" s="516"/>
      <c r="J270" s="516"/>
      <c r="K270" s="517"/>
      <c r="L270" s="516"/>
      <c r="M270" s="516"/>
      <c r="N270" s="516"/>
      <c r="O270" s="516"/>
      <c r="P270" s="518"/>
      <c r="Q270" s="518"/>
      <c r="R270" s="518"/>
      <c r="S270" s="518"/>
      <c r="T270" s="518"/>
      <c r="U270" s="518"/>
      <c r="V270" s="518"/>
      <c r="W270" s="518"/>
      <c r="X270" s="518"/>
      <c r="Y270" s="518"/>
      <c r="Z270" s="518"/>
      <c r="AA270" s="518"/>
      <c r="AB270" s="518"/>
      <c r="AC270" s="518"/>
      <c r="AD270" s="516"/>
      <c r="AE270" s="516"/>
      <c r="AF270" s="516"/>
      <c r="AG270" s="516"/>
      <c r="AH270" s="529">
        <f t="shared" si="186"/>
        <v>0</v>
      </c>
      <c r="AI270" s="503">
        <f t="shared" si="187"/>
        <v>0</v>
      </c>
      <c r="AJ270" s="506">
        <f t="shared" si="188"/>
        <v>0</v>
      </c>
      <c r="AK270" s="519">
        <f t="shared" si="189"/>
        <v>0</v>
      </c>
      <c r="AL270" s="503"/>
      <c r="AM270" s="503"/>
      <c r="AN270" s="506"/>
      <c r="AO270" s="519">
        <f>'A. Revenue by function'!N134</f>
        <v>0</v>
      </c>
      <c r="AP270" s="520" t="str">
        <f>'C. Other Revenues'!B207</f>
        <v>C.1</v>
      </c>
      <c r="AQ270" s="504">
        <f>'C. Other Revenues'!K225</f>
        <v>0</v>
      </c>
      <c r="AR270" s="503"/>
      <c r="AS270" s="520" t="str">
        <f>'C. Other Revenues'!B207</f>
        <v>C.1</v>
      </c>
      <c r="AT270" s="504">
        <f>'C. Other Revenues'!M225</f>
        <v>0</v>
      </c>
      <c r="AU270" s="521"/>
      <c r="AV270" s="504"/>
      <c r="AW270" s="503"/>
      <c r="AX270" s="520"/>
      <c r="AY270" s="522"/>
      <c r="AZ270" s="523"/>
      <c r="BA270" s="524"/>
      <c r="BB270" s="465">
        <f>ROUND(AJ270+AL270+AN270+AQ270+AV270+AZ270,0)</f>
        <v>0</v>
      </c>
      <c r="BC270" s="465">
        <f>ROUND(AK270+AM270+AO270+AT270+AY270+BA270,0)</f>
        <v>0</v>
      </c>
      <c r="BD270" s="573" t="str">
        <f t="shared" si="174"/>
        <v xml:space="preserve"> </v>
      </c>
      <c r="BE270" s="522">
        <f t="shared" si="175"/>
        <v>0</v>
      </c>
      <c r="BF270" s="504"/>
      <c r="BG270" s="522"/>
    </row>
    <row r="271" spans="1:60" ht="15" customHeight="1" x14ac:dyDescent="0.2">
      <c r="A271" s="25"/>
      <c r="B271" s="1403"/>
      <c r="C271" s="14" t="s">
        <v>989</v>
      </c>
      <c r="D271" s="525"/>
      <c r="E271" s="526"/>
      <c r="F271" s="516"/>
      <c r="G271" s="516"/>
      <c r="H271" s="516"/>
      <c r="I271" s="516"/>
      <c r="J271" s="516"/>
      <c r="K271" s="517"/>
      <c r="L271" s="516"/>
      <c r="M271" s="516"/>
      <c r="N271" s="516"/>
      <c r="O271" s="516"/>
      <c r="P271" s="518"/>
      <c r="Q271" s="518"/>
      <c r="R271" s="518"/>
      <c r="S271" s="518"/>
      <c r="T271" s="518"/>
      <c r="U271" s="518"/>
      <c r="V271" s="518"/>
      <c r="W271" s="518"/>
      <c r="X271" s="518"/>
      <c r="Y271" s="518"/>
      <c r="Z271" s="518"/>
      <c r="AA271" s="518"/>
      <c r="AB271" s="518"/>
      <c r="AC271" s="518"/>
      <c r="AD271" s="516"/>
      <c r="AE271" s="516"/>
      <c r="AF271" s="516"/>
      <c r="AG271" s="516"/>
      <c r="AH271" s="529">
        <f t="shared" si="186"/>
        <v>0</v>
      </c>
      <c r="AI271" s="503">
        <f t="shared" si="187"/>
        <v>0</v>
      </c>
      <c r="AJ271" s="506">
        <f t="shared" si="188"/>
        <v>0</v>
      </c>
      <c r="AK271" s="519">
        <f t="shared" si="189"/>
        <v>0</v>
      </c>
      <c r="AL271" s="503"/>
      <c r="AM271" s="503"/>
      <c r="AN271" s="506"/>
      <c r="AO271" s="519">
        <f>'A. Revenue by function'!N135</f>
        <v>0</v>
      </c>
      <c r="AP271" s="520" t="str">
        <f>'C. Other Revenues'!B207</f>
        <v>C.1</v>
      </c>
      <c r="AQ271" s="504">
        <f>'C. Other Revenues'!K235</f>
        <v>0</v>
      </c>
      <c r="AR271" s="503"/>
      <c r="AS271" s="520" t="str">
        <f>'C. Other Revenues'!B207</f>
        <v>C.1</v>
      </c>
      <c r="AT271" s="504">
        <f>'C. Other Revenues'!M235</f>
        <v>0</v>
      </c>
      <c r="AU271" s="521"/>
      <c r="AV271" s="504"/>
      <c r="AW271" s="503"/>
      <c r="AX271" s="520" t="str">
        <f>'L. Eliminations-Consolidations'!A243</f>
        <v>L.7</v>
      </c>
      <c r="AY271" s="522">
        <f>'L. Eliminations-Consolidations'!L261</f>
        <v>0</v>
      </c>
      <c r="AZ271" s="523"/>
      <c r="BA271" s="524"/>
      <c r="BB271" s="465">
        <f>ROUND(AJ271+AL271+AN271+AQ271+AV271+AZ271,0)</f>
        <v>0</v>
      </c>
      <c r="BC271" s="465">
        <f>ROUND(AK271+AM271+AO271+AT271+AY271+BA271,0)</f>
        <v>0</v>
      </c>
      <c r="BD271" s="573" t="str">
        <f t="shared" si="174"/>
        <v xml:space="preserve"> </v>
      </c>
      <c r="BE271" s="522">
        <f t="shared" si="175"/>
        <v>0</v>
      </c>
      <c r="BF271" s="504"/>
      <c r="BG271" s="522"/>
    </row>
    <row r="272" spans="1:60" ht="15" customHeight="1" x14ac:dyDescent="0.2">
      <c r="A272" s="25"/>
      <c r="B272" s="1403"/>
      <c r="C272" s="14" t="s">
        <v>990</v>
      </c>
      <c r="D272" s="525"/>
      <c r="E272" s="526"/>
      <c r="F272" s="516"/>
      <c r="G272" s="516"/>
      <c r="H272" s="516"/>
      <c r="I272" s="516"/>
      <c r="J272" s="516"/>
      <c r="K272" s="517"/>
      <c r="L272" s="516"/>
      <c r="M272" s="516"/>
      <c r="N272" s="516"/>
      <c r="O272" s="516"/>
      <c r="P272" s="518"/>
      <c r="Q272" s="518"/>
      <c r="R272" s="518"/>
      <c r="S272" s="518"/>
      <c r="T272" s="518"/>
      <c r="U272" s="518"/>
      <c r="V272" s="518"/>
      <c r="W272" s="518"/>
      <c r="X272" s="518"/>
      <c r="Y272" s="518"/>
      <c r="Z272" s="518"/>
      <c r="AA272" s="518"/>
      <c r="AB272" s="518"/>
      <c r="AC272" s="518"/>
      <c r="AD272" s="516"/>
      <c r="AE272" s="516"/>
      <c r="AF272" s="516"/>
      <c r="AG272" s="516"/>
      <c r="AH272" s="529">
        <f t="shared" si="186"/>
        <v>0</v>
      </c>
      <c r="AI272" s="503">
        <f t="shared" si="187"/>
        <v>0</v>
      </c>
      <c r="AJ272" s="506">
        <f t="shared" si="188"/>
        <v>0</v>
      </c>
      <c r="AK272" s="519">
        <f t="shared" si="189"/>
        <v>0</v>
      </c>
      <c r="AL272" s="503"/>
      <c r="AM272" s="503"/>
      <c r="AN272" s="506"/>
      <c r="AO272" s="1295">
        <f>'A. Revenue by function'!N136</f>
        <v>683628</v>
      </c>
      <c r="AP272" s="520" t="str">
        <f>'C. Other Revenues'!B207</f>
        <v>C.1</v>
      </c>
      <c r="AQ272" s="504">
        <f>'C. Other Revenues'!K245</f>
        <v>0</v>
      </c>
      <c r="AR272" s="503"/>
      <c r="AS272" s="520" t="str">
        <f>'C. Other Revenues'!B207</f>
        <v>C.1</v>
      </c>
      <c r="AT272" s="504">
        <f>'C. Other Revenues'!M245</f>
        <v>0</v>
      </c>
      <c r="AU272" s="521"/>
      <c r="AV272" s="504"/>
      <c r="AW272" s="503"/>
      <c r="AX272" s="520" t="str">
        <f>'L. Eliminations-Consolidations'!A243</f>
        <v>L.7</v>
      </c>
      <c r="AY272" s="522">
        <f>'L. Eliminations-Consolidations'!L270</f>
        <v>0</v>
      </c>
      <c r="AZ272" s="523"/>
      <c r="BA272" s="524"/>
      <c r="BB272" s="465">
        <f>ROUND(AJ272+AL272+AN272+AQ272+AV272+AZ272,0)</f>
        <v>0</v>
      </c>
      <c r="BC272" s="465">
        <f>ROUND(AK272+AM272+AO272+AT272+AY272+BA272,0)</f>
        <v>683628</v>
      </c>
      <c r="BD272" s="573" t="str">
        <f t="shared" si="174"/>
        <v xml:space="preserve"> </v>
      </c>
      <c r="BE272" s="522">
        <f t="shared" si="175"/>
        <v>683628</v>
      </c>
      <c r="BF272" s="504"/>
      <c r="BG272" s="522"/>
    </row>
    <row r="273" spans="1:62" ht="12.75" customHeight="1" x14ac:dyDescent="0.2">
      <c r="A273" s="25"/>
      <c r="B273" s="265"/>
      <c r="C273" s="14"/>
      <c r="D273" s="525"/>
      <c r="E273" s="526"/>
      <c r="F273" s="516"/>
      <c r="G273" s="516"/>
      <c r="H273" s="516"/>
      <c r="I273" s="516"/>
      <c r="J273" s="516"/>
      <c r="K273" s="517"/>
      <c r="L273" s="516"/>
      <c r="M273" s="516"/>
      <c r="N273" s="516"/>
      <c r="O273" s="516"/>
      <c r="P273" s="518"/>
      <c r="Q273" s="518"/>
      <c r="R273" s="518"/>
      <c r="S273" s="518"/>
      <c r="T273" s="518"/>
      <c r="U273" s="518"/>
      <c r="V273" s="518"/>
      <c r="W273" s="518"/>
      <c r="X273" s="518"/>
      <c r="Y273" s="518"/>
      <c r="Z273" s="518"/>
      <c r="AA273" s="518"/>
      <c r="AB273" s="518"/>
      <c r="AC273" s="518"/>
      <c r="AD273" s="516"/>
      <c r="AE273" s="516"/>
      <c r="AF273" s="516"/>
      <c r="AG273" s="516"/>
      <c r="AH273" s="529">
        <f t="shared" si="186"/>
        <v>0</v>
      </c>
      <c r="AI273" s="503">
        <f t="shared" si="187"/>
        <v>0</v>
      </c>
      <c r="AJ273" s="506">
        <f t="shared" si="188"/>
        <v>0</v>
      </c>
      <c r="AK273" s="519">
        <f t="shared" si="189"/>
        <v>0</v>
      </c>
      <c r="AL273" s="503"/>
      <c r="AM273" s="503"/>
      <c r="AN273" s="506"/>
      <c r="AO273" s="519"/>
      <c r="AP273" s="520"/>
      <c r="AQ273" s="504"/>
      <c r="AR273" s="503"/>
      <c r="AS273" s="520"/>
      <c r="AU273" s="521"/>
      <c r="AV273" s="504"/>
      <c r="AW273" s="503"/>
      <c r="AX273" s="520"/>
      <c r="AY273" s="522"/>
      <c r="AZ273" s="523"/>
      <c r="BA273" s="524"/>
      <c r="BB273" s="432"/>
      <c r="BC273" s="432"/>
      <c r="BD273" s="573" t="str">
        <f t="shared" si="174"/>
        <v xml:space="preserve"> </v>
      </c>
      <c r="BE273" s="522"/>
      <c r="BF273" s="504"/>
      <c r="BG273" s="522"/>
    </row>
    <row r="274" spans="1:62" ht="15" customHeight="1" x14ac:dyDescent="0.2">
      <c r="A274" s="25"/>
      <c r="B274" s="375" t="s">
        <v>729</v>
      </c>
      <c r="C274" s="14"/>
      <c r="D274" s="525"/>
      <c r="E274" s="526"/>
      <c r="F274" s="516"/>
      <c r="G274" s="516"/>
      <c r="H274" s="516"/>
      <c r="I274" s="516"/>
      <c r="J274" s="516"/>
      <c r="K274" s="517"/>
      <c r="L274" s="516"/>
      <c r="M274" s="516"/>
      <c r="N274" s="516"/>
      <c r="O274" s="516"/>
      <c r="P274" s="518"/>
      <c r="Q274" s="518"/>
      <c r="R274" s="518"/>
      <c r="S274" s="518"/>
      <c r="T274" s="518"/>
      <c r="U274" s="518"/>
      <c r="V274" s="518"/>
      <c r="W274" s="518"/>
      <c r="X274" s="518"/>
      <c r="Y274" s="518"/>
      <c r="Z274" s="518"/>
      <c r="AA274" s="518"/>
      <c r="AB274" s="518"/>
      <c r="AC274" s="518"/>
      <c r="AD274" s="516"/>
      <c r="AE274" s="516"/>
      <c r="AF274" s="516"/>
      <c r="AG274" s="516"/>
      <c r="AH274" s="529">
        <f t="shared" si="186"/>
        <v>0</v>
      </c>
      <c r="AI274" s="503">
        <f t="shared" si="187"/>
        <v>0</v>
      </c>
      <c r="AJ274" s="506">
        <f t="shared" si="188"/>
        <v>0</v>
      </c>
      <c r="AK274" s="519">
        <f t="shared" si="189"/>
        <v>0</v>
      </c>
      <c r="AL274" s="503"/>
      <c r="AM274" s="503"/>
      <c r="AN274" s="506"/>
      <c r="AO274" s="519"/>
      <c r="AP274" s="520"/>
      <c r="AQ274" s="504"/>
      <c r="AR274" s="503"/>
      <c r="AS274" s="520"/>
      <c r="AT274" s="504"/>
      <c r="AU274" s="521"/>
      <c r="AV274" s="504"/>
      <c r="AW274" s="503"/>
      <c r="AX274" s="520"/>
      <c r="AY274" s="522"/>
      <c r="AZ274" s="523"/>
      <c r="BA274" s="524"/>
      <c r="BB274" s="432"/>
      <c r="BC274" s="432"/>
      <c r="BD274" s="573" t="str">
        <f t="shared" si="174"/>
        <v xml:space="preserve"> </v>
      </c>
      <c r="BE274" s="522"/>
      <c r="BF274" s="504"/>
      <c r="BG274" s="522"/>
    </row>
    <row r="275" spans="1:62" ht="14.25" customHeight="1" x14ac:dyDescent="0.2">
      <c r="A275" s="25"/>
      <c r="B275" s="1403" t="s">
        <v>954</v>
      </c>
      <c r="C275" s="14" t="s">
        <v>903</v>
      </c>
      <c r="D275" s="525"/>
      <c r="E275" s="526"/>
      <c r="F275" s="516"/>
      <c r="G275" s="516"/>
      <c r="H275" s="516"/>
      <c r="I275" s="516"/>
      <c r="J275" s="516"/>
      <c r="K275" s="517"/>
      <c r="L275" s="516"/>
      <c r="M275" s="516"/>
      <c r="N275" s="516"/>
      <c r="O275" s="516"/>
      <c r="P275" s="518"/>
      <c r="Q275" s="518"/>
      <c r="R275" s="518"/>
      <c r="S275" s="518"/>
      <c r="T275" s="518"/>
      <c r="U275" s="518"/>
      <c r="V275" s="518"/>
      <c r="W275" s="518"/>
      <c r="X275" s="518"/>
      <c r="Y275" s="518"/>
      <c r="Z275" s="518"/>
      <c r="AA275" s="518"/>
      <c r="AB275" s="518"/>
      <c r="AC275" s="518"/>
      <c r="AD275" s="516"/>
      <c r="AE275" s="516"/>
      <c r="AF275" s="516"/>
      <c r="AG275" s="516"/>
      <c r="AH275" s="529">
        <f t="shared" si="186"/>
        <v>0</v>
      </c>
      <c r="AI275" s="503">
        <f t="shared" si="187"/>
        <v>0</v>
      </c>
      <c r="AJ275" s="506">
        <f t="shared" si="188"/>
        <v>0</v>
      </c>
      <c r="AK275" s="519">
        <f t="shared" si="189"/>
        <v>0</v>
      </c>
      <c r="AL275" s="503"/>
      <c r="AM275" s="503"/>
      <c r="AN275" s="506"/>
      <c r="AO275" s="519">
        <f>'A. Revenue by function'!N137</f>
        <v>0</v>
      </c>
      <c r="AP275" s="520" t="str">
        <f>'C. Other Revenues'!B207</f>
        <v>C.1</v>
      </c>
      <c r="AQ275" s="504">
        <f>'C. Other Revenues'!K226</f>
        <v>0</v>
      </c>
      <c r="AR275" s="503"/>
      <c r="AS275" s="520" t="str">
        <f>'C. Other Revenues'!B207</f>
        <v>C.1</v>
      </c>
      <c r="AT275" s="504">
        <f>'C. Other Revenues'!M226</f>
        <v>0</v>
      </c>
      <c r="AU275" s="521"/>
      <c r="AV275" s="504"/>
      <c r="AW275" s="503"/>
      <c r="AX275" s="520"/>
      <c r="AY275" s="522"/>
      <c r="AZ275" s="523"/>
      <c r="BA275" s="524"/>
      <c r="BB275" s="465">
        <f>ROUND(AJ275+AL275+AN275+AQ275+AV275+AZ275,0)</f>
        <v>0</v>
      </c>
      <c r="BC275" s="465">
        <f>ROUND(AK275+AM275+AO275+AT275+AY275+BA275,0)</f>
        <v>0</v>
      </c>
      <c r="BD275" s="573" t="str">
        <f t="shared" si="174"/>
        <v xml:space="preserve"> </v>
      </c>
      <c r="BE275" s="522">
        <f t="shared" si="175"/>
        <v>0</v>
      </c>
      <c r="BF275" s="504"/>
      <c r="BG275" s="522"/>
    </row>
    <row r="276" spans="1:62" ht="15" customHeight="1" x14ac:dyDescent="0.2">
      <c r="A276" s="25"/>
      <c r="B276" s="1403"/>
      <c r="C276" s="14" t="s">
        <v>989</v>
      </c>
      <c r="D276" s="525"/>
      <c r="E276" s="526"/>
      <c r="F276" s="516"/>
      <c r="G276" s="516"/>
      <c r="H276" s="516"/>
      <c r="I276" s="516"/>
      <c r="J276" s="516"/>
      <c r="K276" s="517"/>
      <c r="L276" s="516"/>
      <c r="M276" s="516"/>
      <c r="N276" s="516"/>
      <c r="O276" s="516"/>
      <c r="P276" s="518"/>
      <c r="Q276" s="518"/>
      <c r="R276" s="518"/>
      <c r="S276" s="518"/>
      <c r="T276" s="518"/>
      <c r="U276" s="518"/>
      <c r="V276" s="518"/>
      <c r="W276" s="518"/>
      <c r="X276" s="518"/>
      <c r="Y276" s="518"/>
      <c r="Z276" s="518"/>
      <c r="AA276" s="518"/>
      <c r="AB276" s="518"/>
      <c r="AC276" s="518"/>
      <c r="AD276" s="516"/>
      <c r="AE276" s="516"/>
      <c r="AF276" s="516"/>
      <c r="AG276" s="516"/>
      <c r="AH276" s="529">
        <f t="shared" si="186"/>
        <v>0</v>
      </c>
      <c r="AI276" s="503">
        <f t="shared" si="187"/>
        <v>0</v>
      </c>
      <c r="AJ276" s="506">
        <f t="shared" si="188"/>
        <v>0</v>
      </c>
      <c r="AK276" s="519">
        <f t="shared" si="189"/>
        <v>0</v>
      </c>
      <c r="AL276" s="503"/>
      <c r="AM276" s="503"/>
      <c r="AN276" s="506"/>
      <c r="AO276" s="519">
        <f>'A. Revenue by function'!N138</f>
        <v>0</v>
      </c>
      <c r="AP276" s="520" t="str">
        <f>'C. Other Revenues'!B207</f>
        <v>C.1</v>
      </c>
      <c r="AQ276" s="504">
        <f>'C. Other Revenues'!K236</f>
        <v>0</v>
      </c>
      <c r="AR276" s="503"/>
      <c r="AS276" s="520" t="str">
        <f>'C. Other Revenues'!B207</f>
        <v>C.1</v>
      </c>
      <c r="AT276" s="504">
        <f>'C. Other Revenues'!M236</f>
        <v>0</v>
      </c>
      <c r="AU276" s="521"/>
      <c r="AV276" s="504"/>
      <c r="AW276" s="503"/>
      <c r="AX276" s="520" t="str">
        <f>'L. Eliminations-Consolidations'!A243</f>
        <v>L.7</v>
      </c>
      <c r="AY276" s="522">
        <f>'L. Eliminations-Consolidations'!L262</f>
        <v>0</v>
      </c>
      <c r="AZ276" s="523"/>
      <c r="BA276" s="524"/>
      <c r="BB276" s="465">
        <f>ROUND(AJ276+AL276+AN276+AQ276+AV276+AZ276,0)</f>
        <v>0</v>
      </c>
      <c r="BC276" s="465">
        <f>ROUND(AK276+AM276+AO276+AT276+AY276+BA276,0)</f>
        <v>0</v>
      </c>
      <c r="BD276" s="573" t="str">
        <f t="shared" si="174"/>
        <v xml:space="preserve"> </v>
      </c>
      <c r="BE276" s="522">
        <f t="shared" si="175"/>
        <v>0</v>
      </c>
      <c r="BF276" s="504"/>
      <c r="BG276" s="522"/>
    </row>
    <row r="277" spans="1:62" ht="15" customHeight="1" x14ac:dyDescent="0.2">
      <c r="A277" s="25"/>
      <c r="B277" s="1403"/>
      <c r="C277" s="14" t="s">
        <v>990</v>
      </c>
      <c r="D277" s="525"/>
      <c r="E277" s="526"/>
      <c r="F277" s="516"/>
      <c r="G277" s="516"/>
      <c r="H277" s="516"/>
      <c r="I277" s="516"/>
      <c r="J277" s="516"/>
      <c r="K277" s="517"/>
      <c r="L277" s="516"/>
      <c r="M277" s="516"/>
      <c r="N277" s="516"/>
      <c r="O277" s="516"/>
      <c r="P277" s="518"/>
      <c r="Q277" s="518"/>
      <c r="R277" s="518"/>
      <c r="S277" s="518"/>
      <c r="T277" s="518"/>
      <c r="U277" s="518"/>
      <c r="V277" s="518"/>
      <c r="W277" s="518"/>
      <c r="X277" s="518"/>
      <c r="Y277" s="518"/>
      <c r="Z277" s="518"/>
      <c r="AA277" s="518"/>
      <c r="AB277" s="518"/>
      <c r="AC277" s="518"/>
      <c r="AD277" s="516"/>
      <c r="AE277" s="516"/>
      <c r="AF277" s="516"/>
      <c r="AG277" s="516"/>
      <c r="AH277" s="529">
        <f t="shared" si="186"/>
        <v>0</v>
      </c>
      <c r="AI277" s="503">
        <f t="shared" si="187"/>
        <v>0</v>
      </c>
      <c r="AJ277" s="506">
        <f t="shared" si="188"/>
        <v>0</v>
      </c>
      <c r="AK277" s="519">
        <f t="shared" si="189"/>
        <v>0</v>
      </c>
      <c r="AL277" s="503"/>
      <c r="AM277" s="503"/>
      <c r="AN277" s="506"/>
      <c r="AO277" s="519">
        <f>'A. Revenue by function'!N139</f>
        <v>0</v>
      </c>
      <c r="AP277" s="520" t="str">
        <f>'C. Other Revenues'!B207</f>
        <v>C.1</v>
      </c>
      <c r="AQ277" s="504">
        <f>'C. Other Revenues'!K246</f>
        <v>0</v>
      </c>
      <c r="AR277" s="503"/>
      <c r="AS277" s="520" t="str">
        <f>'C. Other Revenues'!B207</f>
        <v>C.1</v>
      </c>
      <c r="AT277" s="504">
        <f>'C. Other Revenues'!M246</f>
        <v>0</v>
      </c>
      <c r="AU277" s="521"/>
      <c r="AV277" s="504"/>
      <c r="AW277" s="503"/>
      <c r="AX277" s="520" t="str">
        <f>'L. Eliminations-Consolidations'!A243</f>
        <v>L.7</v>
      </c>
      <c r="AY277" s="522">
        <f>'L. Eliminations-Consolidations'!L271</f>
        <v>0</v>
      </c>
      <c r="AZ277" s="523"/>
      <c r="BA277" s="524"/>
      <c r="BB277" s="465">
        <f>ROUND(AJ277+AL277+AN277+AQ277+AV277+AZ277,0)</f>
        <v>0</v>
      </c>
      <c r="BC277" s="465">
        <f>ROUND(AK277+AM277+AO277+AT277+AY277+BA277,0)</f>
        <v>0</v>
      </c>
      <c r="BD277" s="573" t="str">
        <f t="shared" si="174"/>
        <v xml:space="preserve"> </v>
      </c>
      <c r="BE277" s="522">
        <f t="shared" si="175"/>
        <v>0</v>
      </c>
      <c r="BF277" s="504"/>
      <c r="BG277" s="522"/>
    </row>
    <row r="278" spans="1:62" ht="15" customHeight="1" x14ac:dyDescent="0.2">
      <c r="A278" s="25"/>
      <c r="B278" s="265"/>
      <c r="C278" s="14"/>
      <c r="D278" s="525"/>
      <c r="E278" s="526"/>
      <c r="F278" s="516"/>
      <c r="G278" s="516"/>
      <c r="H278" s="516"/>
      <c r="I278" s="516"/>
      <c r="J278" s="516"/>
      <c r="K278" s="517"/>
      <c r="L278" s="516"/>
      <c r="M278" s="516"/>
      <c r="N278" s="516"/>
      <c r="O278" s="516"/>
      <c r="P278" s="518"/>
      <c r="Q278" s="518"/>
      <c r="R278" s="518"/>
      <c r="S278" s="518"/>
      <c r="T278" s="518"/>
      <c r="U278" s="518"/>
      <c r="V278" s="518"/>
      <c r="W278" s="518"/>
      <c r="X278" s="518"/>
      <c r="Y278" s="518"/>
      <c r="Z278" s="518"/>
      <c r="AA278" s="518"/>
      <c r="AB278" s="518"/>
      <c r="AC278" s="518"/>
      <c r="AD278" s="516"/>
      <c r="AE278" s="516"/>
      <c r="AF278" s="516"/>
      <c r="AG278" s="516"/>
      <c r="AH278" s="529">
        <f t="shared" si="186"/>
        <v>0</v>
      </c>
      <c r="AI278" s="503">
        <f t="shared" si="187"/>
        <v>0</v>
      </c>
      <c r="AJ278" s="506">
        <f t="shared" si="188"/>
        <v>0</v>
      </c>
      <c r="AK278" s="519">
        <f t="shared" si="189"/>
        <v>0</v>
      </c>
      <c r="AL278" s="503"/>
      <c r="AM278" s="503"/>
      <c r="AN278" s="506"/>
      <c r="AO278" s="519"/>
      <c r="AP278" s="520"/>
      <c r="AQ278" s="504"/>
      <c r="AR278" s="503"/>
      <c r="AU278" s="521"/>
      <c r="AV278" s="504"/>
      <c r="AW278" s="503"/>
      <c r="AX278" s="520"/>
      <c r="AY278" s="522"/>
      <c r="AZ278" s="523"/>
      <c r="BA278" s="524"/>
      <c r="BB278" s="432"/>
      <c r="BC278" s="432"/>
      <c r="BD278" s="573" t="str">
        <f t="shared" si="174"/>
        <v xml:space="preserve"> </v>
      </c>
      <c r="BE278" s="522"/>
      <c r="BF278" s="504"/>
      <c r="BG278" s="522"/>
      <c r="BI278" s="1203"/>
    </row>
    <row r="279" spans="1:62" ht="18" customHeight="1" x14ac:dyDescent="0.2">
      <c r="A279" s="1402" t="s">
        <v>725</v>
      </c>
      <c r="B279" s="1400"/>
      <c r="C279" s="1401"/>
      <c r="D279" s="525"/>
      <c r="E279" s="526"/>
      <c r="F279" s="503"/>
      <c r="G279" s="516"/>
      <c r="H279" s="516"/>
      <c r="I279" s="516"/>
      <c r="J279" s="516"/>
      <c r="K279" s="517"/>
      <c r="L279" s="516"/>
      <c r="M279" s="516"/>
      <c r="N279" s="516"/>
      <c r="O279" s="516"/>
      <c r="P279" s="518"/>
      <c r="Q279" s="518"/>
      <c r="R279" s="518"/>
      <c r="S279" s="518"/>
      <c r="T279" s="518"/>
      <c r="U279" s="518"/>
      <c r="V279" s="518"/>
      <c r="W279" s="518"/>
      <c r="X279" s="518"/>
      <c r="Y279" s="518"/>
      <c r="Z279" s="518"/>
      <c r="AA279" s="518"/>
      <c r="AB279" s="518"/>
      <c r="AC279" s="518"/>
      <c r="AD279" s="516"/>
      <c r="AE279" s="516"/>
      <c r="AF279" s="516"/>
      <c r="AG279" s="516"/>
      <c r="AH279" s="529">
        <f t="shared" si="186"/>
        <v>0</v>
      </c>
      <c r="AI279" s="503">
        <f t="shared" si="187"/>
        <v>0</v>
      </c>
      <c r="AJ279" s="506">
        <f t="shared" si="188"/>
        <v>0</v>
      </c>
      <c r="AK279" s="519">
        <f t="shared" si="189"/>
        <v>0</v>
      </c>
      <c r="AL279" s="503"/>
      <c r="AM279" s="503"/>
      <c r="AN279" s="506"/>
      <c r="AO279" s="519"/>
      <c r="AP279" s="520"/>
      <c r="AQ279" s="504">
        <f>AQ281+AQ294+AQ295+AQ307+AQ316+AQ317+AQ336+AQ337+AQ346+AQ347+AQ358</f>
        <v>2916687</v>
      </c>
      <c r="AR279" s="503"/>
      <c r="AS279" s="520"/>
      <c r="AT279" s="504">
        <f>AT281+AT283+AT294+AT295+AT307+AT316+AT317+AT336+AT337+AT346+AT347+AT376+AT377</f>
        <v>3975041</v>
      </c>
      <c r="AU279" s="521"/>
      <c r="AV279" s="504"/>
      <c r="AW279" s="503"/>
      <c r="AX279" s="520"/>
      <c r="AY279" s="522"/>
      <c r="AZ279" s="523"/>
      <c r="BA279" s="524"/>
      <c r="BB279" s="432"/>
      <c r="BC279" s="432"/>
      <c r="BD279" s="573" t="str">
        <f t="shared" si="174"/>
        <v xml:space="preserve"> </v>
      </c>
      <c r="BE279" s="522"/>
      <c r="BF279" s="504"/>
      <c r="BG279" s="522"/>
      <c r="BI279" s="1203"/>
    </row>
    <row r="280" spans="1:62" ht="9" customHeight="1" x14ac:dyDescent="0.2">
      <c r="A280" s="270"/>
      <c r="B280" s="44"/>
      <c r="C280" s="393"/>
      <c r="D280" s="525"/>
      <c r="E280" s="526"/>
      <c r="F280" s="503"/>
      <c r="G280" s="516"/>
      <c r="H280" s="516"/>
      <c r="I280" s="516"/>
      <c r="J280" s="516"/>
      <c r="K280" s="517"/>
      <c r="L280" s="516"/>
      <c r="M280" s="516"/>
      <c r="N280" s="516"/>
      <c r="O280" s="516"/>
      <c r="P280" s="518"/>
      <c r="Q280" s="518"/>
      <c r="R280" s="518"/>
      <c r="S280" s="518"/>
      <c r="T280" s="518"/>
      <c r="U280" s="518"/>
      <c r="V280" s="518"/>
      <c r="W280" s="518"/>
      <c r="X280" s="518"/>
      <c r="Y280" s="518"/>
      <c r="Z280" s="518"/>
      <c r="AA280" s="518"/>
      <c r="AB280" s="518"/>
      <c r="AC280" s="518"/>
      <c r="AD280" s="516"/>
      <c r="AE280" s="516"/>
      <c r="AF280" s="516"/>
      <c r="AG280" s="516"/>
      <c r="AH280" s="529">
        <f t="shared" si="186"/>
        <v>0</v>
      </c>
      <c r="AI280" s="503">
        <f t="shared" si="187"/>
        <v>0</v>
      </c>
      <c r="AJ280" s="506">
        <f t="shared" si="188"/>
        <v>0</v>
      </c>
      <c r="AK280" s="519">
        <f t="shared" si="189"/>
        <v>0</v>
      </c>
      <c r="AL280" s="503"/>
      <c r="AM280" s="503"/>
      <c r="AN280" s="506"/>
      <c r="AO280" s="519"/>
      <c r="AP280" s="520"/>
      <c r="AQ280" s="504"/>
      <c r="AR280" s="503"/>
      <c r="AS280" s="520"/>
      <c r="AT280" s="504"/>
      <c r="AU280" s="521"/>
      <c r="AV280" s="504"/>
      <c r="AW280" s="503"/>
      <c r="AX280" s="520"/>
      <c r="AY280" s="522"/>
      <c r="AZ280" s="523"/>
      <c r="BA280" s="524"/>
      <c r="BB280" s="432"/>
      <c r="BC280" s="432"/>
      <c r="BD280" s="573" t="str">
        <f t="shared" si="174"/>
        <v xml:space="preserve"> </v>
      </c>
      <c r="BE280" s="522"/>
      <c r="BF280" s="504"/>
      <c r="BG280" s="522"/>
      <c r="BI280" s="1203"/>
    </row>
    <row r="281" spans="1:62" x14ac:dyDescent="0.2">
      <c r="A281" s="33"/>
      <c r="B281" s="271" t="s">
        <v>902</v>
      </c>
      <c r="C281" s="248"/>
      <c r="D281" s="540">
        <f>7821696+4000+1221075+48781</f>
        <v>9095552</v>
      </c>
      <c r="E281" s="541"/>
      <c r="F281" s="542"/>
      <c r="G281" s="542"/>
      <c r="H281" s="542"/>
      <c r="I281" s="542"/>
      <c r="J281" s="542"/>
      <c r="K281" s="543"/>
      <c r="L281" s="542"/>
      <c r="M281" s="542"/>
      <c r="N281" s="542"/>
      <c r="O281" s="542"/>
      <c r="P281" s="544"/>
      <c r="Q281" s="544"/>
      <c r="R281" s="544"/>
      <c r="S281" s="544"/>
      <c r="T281" s="544">
        <v>12600</v>
      </c>
      <c r="U281" s="544"/>
      <c r="V281" s="544">
        <v>482577</v>
      </c>
      <c r="W281" s="544"/>
      <c r="X281" s="544"/>
      <c r="Y281" s="544"/>
      <c r="Z281" s="544"/>
      <c r="AA281" s="544"/>
      <c r="AB281" s="544"/>
      <c r="AC281" s="544"/>
      <c r="AD281" s="542"/>
      <c r="AE281" s="542"/>
      <c r="AF281" s="542"/>
      <c r="AG281" s="542"/>
      <c r="AH281" s="545">
        <f t="shared" ref="AH281:AH285" si="190">L281+N281+P281+R281+T281+V281+X281+Z281+AB281+AD281+AF281</f>
        <v>495177</v>
      </c>
      <c r="AI281" s="546">
        <f t="shared" ref="AI281:AI285" si="191">M281+O281+Q281+S281+U281+W281+Y281+AA281+AC281+AE281+AG281</f>
        <v>0</v>
      </c>
      <c r="AJ281" s="547">
        <f t="shared" si="188"/>
        <v>9590729</v>
      </c>
      <c r="AK281" s="548">
        <f t="shared" si="189"/>
        <v>0</v>
      </c>
      <c r="AL281" s="546"/>
      <c r="AM281" s="546"/>
      <c r="AN281" s="547"/>
      <c r="AO281" s="548"/>
      <c r="AP281" s="549" t="str">
        <f>'D. Depreciation'!A55</f>
        <v>D.1</v>
      </c>
      <c r="AQ281" s="432">
        <f>'D. Depreciation'!J55</f>
        <v>292806</v>
      </c>
      <c r="AR281" s="546"/>
      <c r="AS281" s="549" t="str">
        <f>'E. Capital Outlay'!D54</f>
        <v>E.1</v>
      </c>
      <c r="AT281" s="432">
        <f>'E. Capital Outlay'!N65</f>
        <v>-18439</v>
      </c>
      <c r="AU281" s="553" t="s">
        <v>637</v>
      </c>
      <c r="AV281" s="550">
        <f>'K.1  Int. Service Fd Allocation'!E204+'K.2  Int. Service Fd Alloca'!E199+'K.3 Int. Service Fd Alloca'!E199</f>
        <v>0</v>
      </c>
      <c r="AW281" s="546"/>
      <c r="AX281" s="554" t="s">
        <v>637</v>
      </c>
      <c r="AY281" s="550">
        <f>'K.1  Int. Service Fd Allocation'!G209+'K.2  Int. Service Fd Alloca'!G204+'K.3 Int. Service Fd Alloca'!G204</f>
        <v>0</v>
      </c>
      <c r="AZ281" s="555"/>
      <c r="BA281" s="524"/>
      <c r="BB281" s="550">
        <f>ROUND(AJ281+AL281+AN281+AQ281+AV281+AZ281,0)</f>
        <v>9883535</v>
      </c>
      <c r="BC281" s="550">
        <f t="shared" ref="BC281:BC287" si="192">ROUND(AK281+AM281+AO281+AT281+AY281+BA281,0)</f>
        <v>-18439</v>
      </c>
      <c r="BD281" s="1227">
        <f>IF((SUM(BB281:BB292))-(SUM(BC281:BC292))&lt;=0," ",(SUM(BB281:BB292))-(SUM(BC281:BC292)))</f>
        <v>10310003</v>
      </c>
      <c r="BE281" s="552" t="str">
        <f>IF((SUM(BB281:BB292))-(SUM(BC281:BC292))&gt;0," ",-(SUM(BB281:BB292))+(SUM(BC281:BC292)))</f>
        <v xml:space="preserve"> </v>
      </c>
      <c r="BG281" s="522"/>
      <c r="BH281" s="1196"/>
    </row>
    <row r="282" spans="1:62" x14ac:dyDescent="0.2">
      <c r="A282" s="33"/>
      <c r="B282" s="271"/>
      <c r="C282" s="248"/>
      <c r="D282" s="540"/>
      <c r="E282" s="541"/>
      <c r="F282" s="542"/>
      <c r="G282" s="542"/>
      <c r="H282" s="542"/>
      <c r="I282" s="542"/>
      <c r="J282" s="542"/>
      <c r="K282" s="543"/>
      <c r="L282" s="542"/>
      <c r="M282" s="542"/>
      <c r="N282" s="542"/>
      <c r="O282" s="542"/>
      <c r="P282" s="544"/>
      <c r="Q282" s="544"/>
      <c r="R282" s="544"/>
      <c r="S282" s="544"/>
      <c r="T282" s="544"/>
      <c r="U282" s="544"/>
      <c r="V282" s="544"/>
      <c r="W282" s="544"/>
      <c r="X282" s="544"/>
      <c r="Y282" s="544"/>
      <c r="Z282" s="544"/>
      <c r="AA282" s="544"/>
      <c r="AB282" s="544"/>
      <c r="AC282" s="544"/>
      <c r="AD282" s="542"/>
      <c r="AE282" s="542"/>
      <c r="AF282" s="542"/>
      <c r="AG282" s="542"/>
      <c r="AH282" s="545">
        <f t="shared" si="190"/>
        <v>0</v>
      </c>
      <c r="AI282" s="546">
        <f t="shared" si="191"/>
        <v>0</v>
      </c>
      <c r="AJ282" s="547">
        <f t="shared" si="188"/>
        <v>0</v>
      </c>
      <c r="AK282" s="548">
        <f t="shared" si="189"/>
        <v>0</v>
      </c>
      <c r="AL282" s="546"/>
      <c r="AM282" s="546"/>
      <c r="AN282" s="547"/>
      <c r="AO282" s="548"/>
      <c r="AP282" s="549" t="str">
        <f>'F.  Other Cap Asset Entries'!D220</f>
        <v>F.1</v>
      </c>
      <c r="AQ282" s="1318">
        <f>'F.  Other Cap Asset Entries'!M230</f>
        <v>0</v>
      </c>
      <c r="AR282" s="1319"/>
      <c r="AS282" s="1320" t="str">
        <f>'I.  Other Asset Entries'!B108</f>
        <v>I.1</v>
      </c>
      <c r="AT282" s="432">
        <f>'I.  Other Asset Entries'!N113</f>
        <v>50000</v>
      </c>
      <c r="AU282" s="551" t="str">
        <f>'L. Eliminations-Consolidations'!A243</f>
        <v>L.7</v>
      </c>
      <c r="AV282" s="550">
        <f>'L. Eliminations-Consolidations'!J243</f>
        <v>0</v>
      </c>
      <c r="AW282" s="546"/>
      <c r="AX282" s="549" t="str">
        <f>'L. Eliminations-Consolidations'!A219</f>
        <v>L.5</v>
      </c>
      <c r="AY282" s="552">
        <f>'L. Eliminations-Consolidations'!L221</f>
        <v>0</v>
      </c>
      <c r="AZ282" s="523"/>
      <c r="BA282" s="524"/>
      <c r="BB282" s="550">
        <f t="shared" ref="BB282:BB287" si="193">ROUND(AJ282+AL282+AN282+AQ282+AV282+AZ282,0)</f>
        <v>0</v>
      </c>
      <c r="BC282" s="550">
        <f t="shared" si="192"/>
        <v>50000</v>
      </c>
      <c r="BD282" s="575"/>
      <c r="BE282" s="552"/>
      <c r="BF282" s="504"/>
      <c r="BG282" s="522"/>
      <c r="BI282" s="1203"/>
    </row>
    <row r="283" spans="1:62" x14ac:dyDescent="0.2">
      <c r="A283" s="33"/>
      <c r="B283" s="271"/>
      <c r="C283" s="248"/>
      <c r="D283" s="540"/>
      <c r="E283" s="541"/>
      <c r="F283" s="542"/>
      <c r="G283" s="542"/>
      <c r="H283" s="542"/>
      <c r="I283" s="542"/>
      <c r="J283" s="542"/>
      <c r="K283" s="543"/>
      <c r="L283" s="542"/>
      <c r="M283" s="542"/>
      <c r="N283" s="542"/>
      <c r="O283" s="542"/>
      <c r="P283" s="544"/>
      <c r="Q283" s="544"/>
      <c r="R283" s="544"/>
      <c r="S283" s="544"/>
      <c r="T283" s="544"/>
      <c r="U283" s="544"/>
      <c r="V283" s="544"/>
      <c r="W283" s="544"/>
      <c r="X283" s="544"/>
      <c r="Y283" s="544"/>
      <c r="Z283" s="544"/>
      <c r="AA283" s="544"/>
      <c r="AB283" s="544"/>
      <c r="AC283" s="544"/>
      <c r="AD283" s="542"/>
      <c r="AE283" s="542"/>
      <c r="AF283" s="542"/>
      <c r="AG283" s="542"/>
      <c r="AH283" s="545">
        <f t="shared" si="190"/>
        <v>0</v>
      </c>
      <c r="AI283" s="546">
        <f t="shared" si="191"/>
        <v>0</v>
      </c>
      <c r="AJ283" s="547">
        <f t="shared" si="188"/>
        <v>0</v>
      </c>
      <c r="AK283" s="548">
        <f t="shared" si="189"/>
        <v>0</v>
      </c>
      <c r="AL283" s="546"/>
      <c r="AM283" s="546"/>
      <c r="AN283" s="547"/>
      <c r="AO283" s="548"/>
      <c r="AP283" s="549" t="str">
        <f>'H. Debt Issues'!D78</f>
        <v>H.1</v>
      </c>
      <c r="AQ283" s="432">
        <f>'H. Debt Issues'!L86</f>
        <v>65000</v>
      </c>
      <c r="AR283" s="1319"/>
      <c r="AS283" s="1321" t="str">
        <f>'J. Other Liability &amp; Expenses'!D203</f>
        <v>J.1</v>
      </c>
      <c r="AT283" s="432">
        <f>'J. Other Liability &amp; Expenses'!N203</f>
        <v>1204852</v>
      </c>
      <c r="AU283" s="551" t="str">
        <f>'L. Eliminations-Consolidations'!B273</f>
        <v>L.8</v>
      </c>
      <c r="AV283" s="550">
        <f>'L. Eliminations-Consolidations'!J274</f>
        <v>0</v>
      </c>
      <c r="AW283" s="546"/>
      <c r="AX283" s="549" t="str">
        <f>'L. Eliminations-Consolidations'!B273</f>
        <v>L.8</v>
      </c>
      <c r="AY283" s="552">
        <f>'L. Eliminations-Consolidations'!L274</f>
        <v>0</v>
      </c>
      <c r="AZ283" s="523"/>
      <c r="BA283" s="524"/>
      <c r="BB283" s="550">
        <f t="shared" si="193"/>
        <v>65000</v>
      </c>
      <c r="BC283" s="550">
        <f t="shared" si="192"/>
        <v>1204852</v>
      </c>
      <c r="BD283" s="575"/>
      <c r="BE283" s="552"/>
      <c r="BF283" s="504"/>
      <c r="BG283" s="522"/>
      <c r="BI283" s="1203"/>
    </row>
    <row r="284" spans="1:62" x14ac:dyDescent="0.2">
      <c r="A284" s="33"/>
      <c r="B284" s="271"/>
      <c r="C284" s="248"/>
      <c r="D284" s="540"/>
      <c r="E284" s="541"/>
      <c r="F284" s="542"/>
      <c r="G284" s="542"/>
      <c r="H284" s="542"/>
      <c r="I284" s="542"/>
      <c r="J284" s="542"/>
      <c r="K284" s="543"/>
      <c r="L284" s="542"/>
      <c r="M284" s="542"/>
      <c r="N284" s="542"/>
      <c r="O284" s="542"/>
      <c r="P284" s="544"/>
      <c r="Q284" s="544"/>
      <c r="R284" s="544"/>
      <c r="S284" s="544"/>
      <c r="T284" s="544"/>
      <c r="U284" s="544"/>
      <c r="V284" s="544"/>
      <c r="W284" s="544"/>
      <c r="X284" s="544"/>
      <c r="Y284" s="544"/>
      <c r="Z284" s="544"/>
      <c r="AA284" s="544"/>
      <c r="AB284" s="544"/>
      <c r="AC284" s="544"/>
      <c r="AD284" s="542"/>
      <c r="AE284" s="542"/>
      <c r="AF284" s="542"/>
      <c r="AG284" s="542"/>
      <c r="AH284" s="545">
        <f t="shared" si="190"/>
        <v>0</v>
      </c>
      <c r="AI284" s="546">
        <f t="shared" si="191"/>
        <v>0</v>
      </c>
      <c r="AJ284" s="547">
        <f t="shared" si="188"/>
        <v>0</v>
      </c>
      <c r="AK284" s="548">
        <f t="shared" si="189"/>
        <v>0</v>
      </c>
      <c r="AL284" s="546"/>
      <c r="AM284" s="546"/>
      <c r="AN284" s="547"/>
      <c r="AO284" s="548"/>
      <c r="AP284" s="549" t="str">
        <f>'J. Other Liability &amp; Expenses'!D203</f>
        <v>J.1</v>
      </c>
      <c r="AQ284" s="1318">
        <f>'J. Other Liability &amp; Expenses'!L203</f>
        <v>0</v>
      </c>
      <c r="AR284" s="1319"/>
      <c r="AS284" s="1321" t="s">
        <v>2050</v>
      </c>
      <c r="AT284" s="1318">
        <f>'N.1 GASB 68 LGERS'!D97</f>
        <v>0</v>
      </c>
      <c r="AU284" s="551" t="str">
        <f>'L. Eliminations-Consolidations'!B285</f>
        <v>L.10</v>
      </c>
      <c r="AV284" s="550">
        <f>'L. Eliminations-Consolidations'!J285</f>
        <v>0</v>
      </c>
      <c r="AW284" s="546"/>
      <c r="AX284" s="549"/>
      <c r="AY284" s="552"/>
      <c r="AZ284" s="523"/>
      <c r="BA284" s="524"/>
      <c r="BB284" s="550">
        <f t="shared" si="193"/>
        <v>0</v>
      </c>
      <c r="BC284" s="550">
        <f t="shared" si="192"/>
        <v>0</v>
      </c>
      <c r="BD284" s="575"/>
      <c r="BE284" s="552"/>
      <c r="BF284" s="504"/>
      <c r="BG284" s="522"/>
      <c r="BI284" s="1203"/>
    </row>
    <row r="285" spans="1:62" x14ac:dyDescent="0.2">
      <c r="A285" s="33"/>
      <c r="B285" s="271"/>
      <c r="C285" s="248"/>
      <c r="D285" s="540"/>
      <c r="E285" s="541"/>
      <c r="F285" s="542"/>
      <c r="G285" s="542"/>
      <c r="H285" s="542"/>
      <c r="I285" s="542"/>
      <c r="J285" s="542"/>
      <c r="K285" s="543"/>
      <c r="L285" s="542"/>
      <c r="M285" s="542"/>
      <c r="N285" s="542"/>
      <c r="O285" s="542"/>
      <c r="P285" s="544"/>
      <c r="Q285" s="544"/>
      <c r="R285" s="544"/>
      <c r="S285" s="544"/>
      <c r="T285" s="544"/>
      <c r="U285" s="544"/>
      <c r="V285" s="544"/>
      <c r="W285" s="544"/>
      <c r="X285" s="544"/>
      <c r="Y285" s="544"/>
      <c r="Z285" s="544"/>
      <c r="AA285" s="544"/>
      <c r="AB285" s="544"/>
      <c r="AC285" s="544"/>
      <c r="AD285" s="542"/>
      <c r="AE285" s="542"/>
      <c r="AF285" s="542"/>
      <c r="AG285" s="542"/>
      <c r="AH285" s="545">
        <f t="shared" si="190"/>
        <v>0</v>
      </c>
      <c r="AI285" s="546">
        <f t="shared" si="191"/>
        <v>0</v>
      </c>
      <c r="AJ285" s="547">
        <f t="shared" si="188"/>
        <v>0</v>
      </c>
      <c r="AK285" s="548">
        <f t="shared" si="189"/>
        <v>0</v>
      </c>
      <c r="AL285" s="546">
        <f>+(8778)+(190721)</f>
        <v>199499</v>
      </c>
      <c r="AM285" s="546"/>
      <c r="AN285" s="547"/>
      <c r="AO285" s="548"/>
      <c r="AP285" s="549" t="s">
        <v>624</v>
      </c>
      <c r="AQ285" s="1318">
        <f>'F.  Other Cap Asset Entries'!M277</f>
        <v>0</v>
      </c>
      <c r="AR285" s="1319"/>
      <c r="AS285" s="1321" t="s">
        <v>2051</v>
      </c>
      <c r="AT285" s="1318">
        <f>'N.2 GASB 68 ROD'!D69</f>
        <v>0</v>
      </c>
      <c r="AU285" s="551"/>
      <c r="AV285" s="550"/>
      <c r="AW285" s="546"/>
      <c r="AX285" s="549"/>
      <c r="AY285" s="552"/>
      <c r="AZ285" s="523"/>
      <c r="BA285" s="524"/>
      <c r="BB285" s="550">
        <f t="shared" si="193"/>
        <v>199499</v>
      </c>
      <c r="BC285" s="550">
        <f t="shared" si="192"/>
        <v>0</v>
      </c>
      <c r="BD285" s="575"/>
      <c r="BE285" s="552"/>
      <c r="BF285" s="504"/>
      <c r="BG285" s="522"/>
      <c r="BI285" s="1203"/>
    </row>
    <row r="286" spans="1:62" s="693" customFormat="1" x14ac:dyDescent="0.2">
      <c r="A286" s="33"/>
      <c r="B286" s="271"/>
      <c r="C286" s="248"/>
      <c r="D286" s="540"/>
      <c r="E286" s="541"/>
      <c r="F286" s="542"/>
      <c r="G286" s="542"/>
      <c r="H286" s="542"/>
      <c r="I286" s="542"/>
      <c r="J286" s="542"/>
      <c r="K286" s="543"/>
      <c r="L286" s="542"/>
      <c r="M286" s="542"/>
      <c r="N286" s="542"/>
      <c r="O286" s="542"/>
      <c r="P286" s="544"/>
      <c r="Q286" s="544"/>
      <c r="R286" s="544"/>
      <c r="S286" s="544"/>
      <c r="T286" s="544"/>
      <c r="U286" s="544"/>
      <c r="V286" s="544"/>
      <c r="W286" s="544"/>
      <c r="X286" s="544"/>
      <c r="Y286" s="544"/>
      <c r="Z286" s="544"/>
      <c r="AA286" s="544"/>
      <c r="AB286" s="544"/>
      <c r="AC286" s="544"/>
      <c r="AD286" s="542"/>
      <c r="AE286" s="542"/>
      <c r="AF286" s="542"/>
      <c r="AG286" s="542"/>
      <c r="AH286" s="545"/>
      <c r="AI286" s="546"/>
      <c r="AJ286" s="547"/>
      <c r="AK286" s="548"/>
      <c r="AL286" s="546"/>
      <c r="AM286" s="546"/>
      <c r="AN286" s="547"/>
      <c r="AO286" s="548"/>
      <c r="AP286" s="549" t="s">
        <v>2050</v>
      </c>
      <c r="AQ286" s="432">
        <f>'N.1 GASB 68 LGERS'!C97</f>
        <v>1471592</v>
      </c>
      <c r="AR286" s="1319"/>
      <c r="AS286" s="1321"/>
      <c r="AT286" s="1318"/>
      <c r="AU286" s="551"/>
      <c r="AV286" s="550"/>
      <c r="AW286" s="546"/>
      <c r="AX286" s="549"/>
      <c r="AY286" s="552"/>
      <c r="AZ286" s="523"/>
      <c r="BA286" s="524"/>
      <c r="BB286" s="550">
        <f t="shared" si="193"/>
        <v>1471592</v>
      </c>
      <c r="BC286" s="550">
        <f t="shared" si="192"/>
        <v>0</v>
      </c>
      <c r="BD286" s="575"/>
      <c r="BE286" s="552"/>
      <c r="BF286" s="504"/>
      <c r="BG286" s="522"/>
      <c r="BH286" s="1202"/>
      <c r="BI286" s="1203"/>
      <c r="BJ286" s="1206"/>
    </row>
    <row r="287" spans="1:62" s="693" customFormat="1" x14ac:dyDescent="0.2">
      <c r="A287" s="33"/>
      <c r="B287" s="271"/>
      <c r="C287" s="248"/>
      <c r="D287" s="540"/>
      <c r="E287" s="541"/>
      <c r="F287" s="542"/>
      <c r="G287" s="542"/>
      <c r="H287" s="542"/>
      <c r="I287" s="542"/>
      <c r="J287" s="542"/>
      <c r="K287" s="543"/>
      <c r="L287" s="542"/>
      <c r="M287" s="542"/>
      <c r="N287" s="542"/>
      <c r="O287" s="542"/>
      <c r="P287" s="544"/>
      <c r="Q287" s="544"/>
      <c r="R287" s="544"/>
      <c r="S287" s="544"/>
      <c r="T287" s="544"/>
      <c r="U287" s="544"/>
      <c r="V287" s="544"/>
      <c r="W287" s="544"/>
      <c r="X287" s="544"/>
      <c r="Y287" s="544"/>
      <c r="Z287" s="544"/>
      <c r="AA287" s="544"/>
      <c r="AB287" s="544"/>
      <c r="AC287" s="544"/>
      <c r="AD287" s="542"/>
      <c r="AE287" s="542"/>
      <c r="AF287" s="542"/>
      <c r="AG287" s="542"/>
      <c r="AH287" s="545"/>
      <c r="AI287" s="546"/>
      <c r="AJ287" s="547"/>
      <c r="AK287" s="548"/>
      <c r="AL287" s="546"/>
      <c r="AM287" s="546"/>
      <c r="AN287" s="547"/>
      <c r="AO287" s="548"/>
      <c r="AP287" s="549" t="s">
        <v>2051</v>
      </c>
      <c r="AQ287" s="432">
        <f>'N.2 GASB 68 ROD'!C69</f>
        <v>11457</v>
      </c>
      <c r="AR287" s="1319"/>
      <c r="AS287" s="1321"/>
      <c r="AT287" s="1318"/>
      <c r="AU287" s="551"/>
      <c r="AV287" s="550"/>
      <c r="AW287" s="546"/>
      <c r="AX287" s="549"/>
      <c r="AY287" s="552"/>
      <c r="AZ287" s="523">
        <v>0</v>
      </c>
      <c r="BA287" s="524"/>
      <c r="BB287" s="550">
        <f t="shared" si="193"/>
        <v>11457</v>
      </c>
      <c r="BC287" s="550">
        <f t="shared" si="192"/>
        <v>0</v>
      </c>
      <c r="BD287" s="575"/>
      <c r="BE287" s="552"/>
      <c r="BF287" s="504"/>
      <c r="BG287" s="522"/>
      <c r="BH287" s="1189"/>
      <c r="BI287" s="1203"/>
      <c r="BJ287" s="1206"/>
    </row>
    <row r="288" spans="1:62" s="1028" customFormat="1" x14ac:dyDescent="0.2">
      <c r="A288" s="33"/>
      <c r="B288" s="271"/>
      <c r="C288" s="248"/>
      <c r="D288" s="540"/>
      <c r="E288" s="541"/>
      <c r="F288" s="542"/>
      <c r="G288" s="542"/>
      <c r="H288" s="542"/>
      <c r="I288" s="542"/>
      <c r="J288" s="542"/>
      <c r="K288" s="543"/>
      <c r="L288" s="542"/>
      <c r="M288" s="542"/>
      <c r="N288" s="542"/>
      <c r="O288" s="542"/>
      <c r="P288" s="544"/>
      <c r="Q288" s="544"/>
      <c r="R288" s="544"/>
      <c r="S288" s="544"/>
      <c r="T288" s="544"/>
      <c r="U288" s="544"/>
      <c r="V288" s="544"/>
      <c r="W288" s="544"/>
      <c r="X288" s="544"/>
      <c r="Y288" s="544"/>
      <c r="Z288" s="544"/>
      <c r="AA288" s="544"/>
      <c r="AB288" s="544"/>
      <c r="AC288" s="544"/>
      <c r="AD288" s="542"/>
      <c r="AE288" s="542"/>
      <c r="AF288" s="542"/>
      <c r="AG288" s="542"/>
      <c r="AH288" s="545"/>
      <c r="AI288" s="546"/>
      <c r="AJ288" s="547"/>
      <c r="AK288" s="548"/>
      <c r="AL288" s="550"/>
      <c r="AM288" s="550"/>
      <c r="AN288" s="547"/>
      <c r="AO288" s="548"/>
      <c r="AP288" s="549" t="s">
        <v>4022</v>
      </c>
      <c r="AQ288" s="432">
        <f>'P.1 GASB 75 OPEB  - plan 1'!C105+'P.1 GASB 75 OPEB  - plan 1'!C114+'P.1 GASB 75 OPEB  - plan 1'!C123</f>
        <v>63429</v>
      </c>
      <c r="AR288" s="1319"/>
      <c r="AS288" s="1321" t="s">
        <v>4022</v>
      </c>
      <c r="AT288" s="432">
        <f>'P.1 GASB 75 OPEB  - plan 1'!D105+'P.1 GASB 75 OPEB  - plan 1'!D114+'P.1 GASB 75 OPEB  - plan 1'!D123</f>
        <v>40850</v>
      </c>
      <c r="AU288" s="551"/>
      <c r="AV288" s="550"/>
      <c r="AW288" s="546"/>
      <c r="AX288" s="549"/>
      <c r="AY288" s="552"/>
      <c r="AZ288" s="523"/>
      <c r="BA288" s="524"/>
      <c r="BB288" s="550">
        <f>ROUND(AJ288+AL288+AN288+AQ288+AV288+AZ288,0)</f>
        <v>63429</v>
      </c>
      <c r="BC288" s="550">
        <f>ROUND(AK288+AM288+AO288+AT288+AY288+BA288,0)</f>
        <v>40850</v>
      </c>
      <c r="BD288" s="575"/>
      <c r="BE288" s="552"/>
      <c r="BF288" s="504"/>
      <c r="BG288" s="522"/>
      <c r="BH288" s="1189"/>
      <c r="BI288" s="1203"/>
      <c r="BJ288" s="1206"/>
    </row>
    <row r="289" spans="1:62" s="1099" customFormat="1" x14ac:dyDescent="0.2">
      <c r="A289" s="33"/>
      <c r="B289" s="271"/>
      <c r="C289" s="248"/>
      <c r="D289" s="540"/>
      <c r="E289" s="541"/>
      <c r="F289" s="542"/>
      <c r="G289" s="542"/>
      <c r="H289" s="542"/>
      <c r="I289" s="542"/>
      <c r="J289" s="542"/>
      <c r="K289" s="543"/>
      <c r="L289" s="542"/>
      <c r="M289" s="542"/>
      <c r="N289" s="542"/>
      <c r="O289" s="542"/>
      <c r="P289" s="544"/>
      <c r="Q289" s="544"/>
      <c r="R289" s="544"/>
      <c r="S289" s="544"/>
      <c r="T289" s="544"/>
      <c r="U289" s="544"/>
      <c r="V289" s="544"/>
      <c r="W289" s="544"/>
      <c r="X289" s="544"/>
      <c r="Y289" s="544"/>
      <c r="Z289" s="544"/>
      <c r="AA289" s="544"/>
      <c r="AB289" s="544"/>
      <c r="AC289" s="544"/>
      <c r="AD289" s="542"/>
      <c r="AE289" s="542"/>
      <c r="AF289" s="542"/>
      <c r="AG289" s="542"/>
      <c r="AH289" s="545"/>
      <c r="AI289" s="546"/>
      <c r="AJ289" s="547"/>
      <c r="AK289" s="548"/>
      <c r="AL289" s="550"/>
      <c r="AM289" s="550"/>
      <c r="AN289" s="547"/>
      <c r="AO289" s="548"/>
      <c r="AP289" s="549" t="s">
        <v>4023</v>
      </c>
      <c r="AQ289" s="1318">
        <f>'P.2 GASB 75 OPEB - plan 2'!C105+'P.2 GASB 75 OPEB - plan 2'!C114+'P.2 GASB 75 OPEB - plan 2'!C123</f>
        <v>0</v>
      </c>
      <c r="AR289" s="1319"/>
      <c r="AS289" s="1321" t="s">
        <v>4023</v>
      </c>
      <c r="AT289" s="1318">
        <f>'P.2 GASB 75 OPEB - plan 2'!D105+'P.2 GASB 75 OPEB - plan 2'!D114+'P.2 GASB 75 OPEB - plan 2'!D123</f>
        <v>0</v>
      </c>
      <c r="AU289" s="551"/>
      <c r="AV289" s="550"/>
      <c r="AW289" s="546"/>
      <c r="AX289" s="549"/>
      <c r="AY289" s="552"/>
      <c r="AZ289" s="523"/>
      <c r="BA289" s="524"/>
      <c r="BB289" s="550">
        <f t="shared" ref="BB289:BB291" si="194">ROUND(AJ289+AL289+AN289+AQ289+AV289+AZ289,0)</f>
        <v>0</v>
      </c>
      <c r="BC289" s="550">
        <f t="shared" ref="BC289:BC291" si="195">ROUND(AK289+AM289+AO289+AT289+AY289+BA289,0)</f>
        <v>0</v>
      </c>
      <c r="BD289" s="575"/>
      <c r="BE289" s="552"/>
      <c r="BF289" s="504"/>
      <c r="BG289" s="522"/>
      <c r="BH289" s="1189"/>
      <c r="BI289" s="1203"/>
      <c r="BJ289" s="1206"/>
    </row>
    <row r="290" spans="1:62" s="1099" customFormat="1" x14ac:dyDescent="0.2">
      <c r="A290" s="33"/>
      <c r="B290" s="271"/>
      <c r="C290" s="248"/>
      <c r="D290" s="540"/>
      <c r="E290" s="541"/>
      <c r="F290" s="542"/>
      <c r="G290" s="542"/>
      <c r="H290" s="542"/>
      <c r="I290" s="542"/>
      <c r="J290" s="542"/>
      <c r="K290" s="543"/>
      <c r="L290" s="542"/>
      <c r="M290" s="542"/>
      <c r="N290" s="542"/>
      <c r="O290" s="542"/>
      <c r="P290" s="544"/>
      <c r="Q290" s="544"/>
      <c r="R290" s="544"/>
      <c r="S290" s="544"/>
      <c r="T290" s="544"/>
      <c r="U290" s="544"/>
      <c r="V290" s="544"/>
      <c r="W290" s="544"/>
      <c r="X290" s="544"/>
      <c r="Y290" s="544"/>
      <c r="Z290" s="544"/>
      <c r="AA290" s="544"/>
      <c r="AB290" s="544"/>
      <c r="AC290" s="544"/>
      <c r="AD290" s="542"/>
      <c r="AE290" s="542"/>
      <c r="AF290" s="542"/>
      <c r="AG290" s="542"/>
      <c r="AH290" s="545"/>
      <c r="AI290" s="546"/>
      <c r="AJ290" s="547"/>
      <c r="AK290" s="548"/>
      <c r="AL290" s="550"/>
      <c r="AM290" s="550"/>
      <c r="AN290" s="547"/>
      <c r="AO290" s="548"/>
      <c r="AP290" s="549" t="s">
        <v>4024</v>
      </c>
      <c r="AQ290" s="1318">
        <f>'P.3 GASB 75 OPEB - plan 3'!C105+'P.3 GASB 75 OPEB - plan 3'!C114+'P.3 GASB 75 OPEB - plan 3'!C123</f>
        <v>0</v>
      </c>
      <c r="AR290" s="1319"/>
      <c r="AS290" s="1321" t="s">
        <v>4024</v>
      </c>
      <c r="AT290" s="1318">
        <f>'P.3 GASB 75 OPEB - plan 3'!D105+'P.3 GASB 75 OPEB - plan 3'!D114+'P.3 GASB 75 OPEB - plan 3'!D123</f>
        <v>0</v>
      </c>
      <c r="AU290" s="551"/>
      <c r="AV290" s="550"/>
      <c r="AW290" s="546"/>
      <c r="AX290" s="549"/>
      <c r="AY290" s="552"/>
      <c r="AZ290" s="523"/>
      <c r="BA290" s="524"/>
      <c r="BB290" s="550">
        <f t="shared" si="194"/>
        <v>0</v>
      </c>
      <c r="BC290" s="550">
        <f t="shared" si="195"/>
        <v>0</v>
      </c>
      <c r="BD290" s="575"/>
      <c r="BE290" s="552"/>
      <c r="BF290" s="504"/>
      <c r="BG290" s="522"/>
      <c r="BH290" s="1189"/>
      <c r="BI290" s="1203"/>
      <c r="BJ290" s="1206"/>
    </row>
    <row r="291" spans="1:62" s="1263" customFormat="1" x14ac:dyDescent="0.2">
      <c r="A291" s="33"/>
      <c r="B291" s="271"/>
      <c r="C291" s="248"/>
      <c r="D291" s="540"/>
      <c r="E291" s="541"/>
      <c r="F291" s="542"/>
      <c r="G291" s="542"/>
      <c r="H291" s="542"/>
      <c r="I291" s="542"/>
      <c r="J291" s="542"/>
      <c r="K291" s="543"/>
      <c r="L291" s="542"/>
      <c r="M291" s="542"/>
      <c r="N291" s="542"/>
      <c r="O291" s="542"/>
      <c r="P291" s="544"/>
      <c r="Q291" s="544"/>
      <c r="R291" s="544"/>
      <c r="S291" s="544"/>
      <c r="T291" s="544"/>
      <c r="U291" s="544"/>
      <c r="V291" s="544"/>
      <c r="W291" s="544"/>
      <c r="X291" s="544"/>
      <c r="Y291" s="544"/>
      <c r="Z291" s="544"/>
      <c r="AA291" s="544"/>
      <c r="AB291" s="544"/>
      <c r="AC291" s="544"/>
      <c r="AD291" s="542"/>
      <c r="AE291" s="542"/>
      <c r="AF291" s="542"/>
      <c r="AG291" s="542"/>
      <c r="AH291" s="545"/>
      <c r="AI291" s="546"/>
      <c r="AJ291" s="547"/>
      <c r="AK291" s="548"/>
      <c r="AL291" s="550"/>
      <c r="AM291" s="550"/>
      <c r="AN291" s="547"/>
      <c r="AO291" s="548"/>
      <c r="AP291" s="549" t="s">
        <v>4117</v>
      </c>
      <c r="AQ291" s="432">
        <f>'Q. GASB 87 Lease Entries'!M68</f>
        <v>20000</v>
      </c>
      <c r="AR291" s="1319"/>
      <c r="AS291" s="1321" t="s">
        <v>4113</v>
      </c>
      <c r="AT291" s="1323">
        <f>'Q. GASB 87 Lease Entries'!O32</f>
        <v>100000</v>
      </c>
      <c r="AU291" s="551"/>
      <c r="AV291" s="550"/>
      <c r="AW291" s="546"/>
      <c r="AX291" s="549"/>
      <c r="AY291" s="552"/>
      <c r="AZ291" s="523"/>
      <c r="BA291" s="524"/>
      <c r="BB291" s="550">
        <f t="shared" si="194"/>
        <v>20000</v>
      </c>
      <c r="BC291" s="550">
        <f t="shared" si="195"/>
        <v>100000</v>
      </c>
      <c r="BD291" s="575"/>
      <c r="BE291" s="552"/>
      <c r="BF291" s="504"/>
      <c r="BG291" s="522"/>
      <c r="BH291" s="1189"/>
      <c r="BI291" s="1203"/>
      <c r="BJ291" s="1206"/>
    </row>
    <row r="292" spans="1:62" s="1241" customFormat="1" x14ac:dyDescent="0.2">
      <c r="A292" s="33"/>
      <c r="B292" s="271"/>
      <c r="C292" s="248"/>
      <c r="D292" s="540"/>
      <c r="E292" s="541"/>
      <c r="F292" s="542"/>
      <c r="G292" s="542"/>
      <c r="H292" s="542"/>
      <c r="I292" s="542"/>
      <c r="J292" s="542"/>
      <c r="K292" s="543"/>
      <c r="L292" s="542"/>
      <c r="M292" s="542"/>
      <c r="N292" s="542"/>
      <c r="O292" s="542"/>
      <c r="P292" s="544"/>
      <c r="Q292" s="544"/>
      <c r="R292" s="544"/>
      <c r="S292" s="544"/>
      <c r="T292" s="544"/>
      <c r="U292" s="544"/>
      <c r="V292" s="544"/>
      <c r="W292" s="544"/>
      <c r="X292" s="544"/>
      <c r="Y292" s="544"/>
      <c r="Z292" s="544"/>
      <c r="AA292" s="544"/>
      <c r="AB292" s="544"/>
      <c r="AC292" s="544"/>
      <c r="AD292" s="542"/>
      <c r="AE292" s="542"/>
      <c r="AF292" s="542"/>
      <c r="AG292" s="542"/>
      <c r="AH292" s="545"/>
      <c r="AI292" s="546"/>
      <c r="AJ292" s="547"/>
      <c r="AK292" s="548"/>
      <c r="AL292" s="550"/>
      <c r="AM292" s="550"/>
      <c r="AN292" s="547"/>
      <c r="AO292" s="548"/>
      <c r="AP292" s="1284" t="s">
        <v>4131</v>
      </c>
      <c r="AQ292" s="32">
        <f>'R. GASB 96 Subscription Entries'!M68</f>
        <v>21535</v>
      </c>
      <c r="AR292" s="1319"/>
      <c r="AS292" s="1322" t="s">
        <v>4130</v>
      </c>
      <c r="AT292" s="47">
        <f>'R. GASB 96 Subscription Entries'!O32</f>
        <v>48781</v>
      </c>
      <c r="AU292" s="551"/>
      <c r="AV292" s="550"/>
      <c r="AW292" s="546"/>
      <c r="AX292" s="549"/>
      <c r="AY292" s="552"/>
      <c r="AZ292" s="523"/>
      <c r="BA292" s="524"/>
      <c r="BB292" s="550">
        <f t="shared" ref="BB292" si="196">ROUND(AJ292+AL292+AN292+AQ292+AV292+AZ292,0)</f>
        <v>21535</v>
      </c>
      <c r="BC292" s="550">
        <f t="shared" ref="BC292" si="197">ROUND(AK292+AM292+AO292+AT292+AY292+BA292,0)</f>
        <v>48781</v>
      </c>
      <c r="BD292" s="575"/>
      <c r="BE292" s="552"/>
      <c r="BF292" s="504"/>
      <c r="BG292" s="522"/>
      <c r="BH292" s="1189"/>
      <c r="BI292" s="1203"/>
      <c r="BJ292" s="1206"/>
    </row>
    <row r="293" spans="1:62" s="13" customFormat="1" ht="6" customHeight="1" x14ac:dyDescent="0.2">
      <c r="A293" s="33"/>
      <c r="B293" s="31"/>
      <c r="C293" s="44"/>
      <c r="D293" s="531"/>
      <c r="E293" s="532"/>
      <c r="F293" s="528"/>
      <c r="G293" s="528"/>
      <c r="H293" s="528"/>
      <c r="I293" s="528"/>
      <c r="J293" s="528"/>
      <c r="K293" s="533"/>
      <c r="L293" s="528"/>
      <c r="M293" s="528"/>
      <c r="N293" s="528"/>
      <c r="O293" s="528"/>
      <c r="P293" s="527"/>
      <c r="Q293" s="527"/>
      <c r="R293" s="527"/>
      <c r="S293" s="527"/>
      <c r="T293" s="527"/>
      <c r="U293" s="527"/>
      <c r="V293" s="527"/>
      <c r="W293" s="527"/>
      <c r="X293" s="527"/>
      <c r="Y293" s="527"/>
      <c r="Z293" s="527"/>
      <c r="AA293" s="527"/>
      <c r="AB293" s="527"/>
      <c r="AC293" s="527"/>
      <c r="AD293" s="528"/>
      <c r="AE293" s="528"/>
      <c r="AF293" s="528"/>
      <c r="AG293" s="528"/>
      <c r="AH293" s="529"/>
      <c r="AI293" s="537"/>
      <c r="AJ293" s="534"/>
      <c r="AK293" s="535"/>
      <c r="AL293" s="537"/>
      <c r="AM293" s="537"/>
      <c r="AN293" s="534"/>
      <c r="AO293" s="535"/>
      <c r="AP293" s="579"/>
      <c r="AQ293" s="580"/>
      <c r="AR293" s="537"/>
      <c r="AS293" s="536"/>
      <c r="AT293" s="432"/>
      <c r="AU293" s="539"/>
      <c r="AV293" s="432"/>
      <c r="AW293" s="537"/>
      <c r="AX293" s="536"/>
      <c r="AY293" s="538"/>
      <c r="AZ293" s="527"/>
      <c r="BA293" s="562"/>
      <c r="BB293" s="432"/>
      <c r="BC293" s="432"/>
      <c r="BD293" s="571"/>
      <c r="BE293" s="538"/>
      <c r="BF293" s="432"/>
      <c r="BG293" s="538"/>
      <c r="BH293" s="1191"/>
      <c r="BI293" s="1204"/>
      <c r="BJ293" s="1206"/>
    </row>
    <row r="294" spans="1:62" x14ac:dyDescent="0.2">
      <c r="A294" s="33"/>
      <c r="B294" s="271" t="s">
        <v>991</v>
      </c>
      <c r="C294" s="248"/>
      <c r="D294" s="540">
        <v>7179720</v>
      </c>
      <c r="E294" s="541"/>
      <c r="F294" s="542"/>
      <c r="G294" s="542"/>
      <c r="H294" s="542"/>
      <c r="I294" s="542"/>
      <c r="J294" s="542"/>
      <c r="K294" s="543"/>
      <c r="L294" s="542"/>
      <c r="M294" s="542"/>
      <c r="N294" s="542">
        <v>55686</v>
      </c>
      <c r="O294" s="542"/>
      <c r="P294" s="544">
        <v>20800</v>
      </c>
      <c r="Q294" s="544"/>
      <c r="R294" s="544"/>
      <c r="S294" s="544"/>
      <c r="T294" s="544"/>
      <c r="U294" s="544"/>
      <c r="V294" s="544"/>
      <c r="W294" s="544"/>
      <c r="X294" s="544">
        <v>20177</v>
      </c>
      <c r="Y294" s="544"/>
      <c r="Z294" s="544"/>
      <c r="AA294" s="544"/>
      <c r="AB294" s="544"/>
      <c r="AC294" s="544"/>
      <c r="AD294" s="542"/>
      <c r="AE294" s="542"/>
      <c r="AF294" s="542"/>
      <c r="AG294" s="542"/>
      <c r="AH294" s="545">
        <f t="shared" ref="AH294:AH297" si="198">L294+N294+P294+R294+T294+V294+X294+Z294+AB294+AD294+AF294</f>
        <v>96663</v>
      </c>
      <c r="AI294" s="546">
        <f t="shared" ref="AI294:AI297" si="199">M294+O294+Q294+S294+U294+W294+Y294+AA294+AC294+AE294+AG294</f>
        <v>0</v>
      </c>
      <c r="AJ294" s="547">
        <f t="shared" ref="AJ294:AK297" si="200">D294+F294+H294+J294+AH294</f>
        <v>7276383</v>
      </c>
      <c r="AK294" s="548">
        <f t="shared" si="200"/>
        <v>0</v>
      </c>
      <c r="AL294" s="546">
        <f>15933-646</f>
        <v>15287</v>
      </c>
      <c r="AM294" s="546"/>
      <c r="AN294" s="547"/>
      <c r="AO294" s="548"/>
      <c r="AP294" s="549" t="str">
        <f>'D. Depreciation'!A55</f>
        <v>D.1</v>
      </c>
      <c r="AQ294" s="432">
        <f>'D. Depreciation'!J56</f>
        <v>370353</v>
      </c>
      <c r="AR294" s="546"/>
      <c r="AS294" s="549" t="str">
        <f>'E. Capital Outlay'!D54</f>
        <v>E.1</v>
      </c>
      <c r="AT294" s="432">
        <f>'E. Capital Outlay'!N66</f>
        <v>233304</v>
      </c>
      <c r="AU294" s="551" t="str">
        <f>'L. Eliminations-Consolidations'!A243</f>
        <v>L.7</v>
      </c>
      <c r="AV294" s="550">
        <f>'L. Eliminations-Consolidations'!J244</f>
        <v>0</v>
      </c>
      <c r="AW294" s="546"/>
      <c r="AX294" s="554" t="s">
        <v>637</v>
      </c>
      <c r="AY294" s="550">
        <f>'K.1  Int. Service Fd Allocation'!G210+'K.2  Int. Service Fd Alloca'!G205+'K.3 Int. Service Fd Alloca'!G205</f>
        <v>0</v>
      </c>
      <c r="AZ294" s="555"/>
      <c r="BA294" s="524"/>
      <c r="BB294" s="550">
        <f t="shared" ref="BB294:BB304" si="201">ROUND(AJ294+AL294+AN294+AQ294+AV294+AZ294,0)</f>
        <v>7662023</v>
      </c>
      <c r="BC294" s="550">
        <f t="shared" ref="BC294:BC300" si="202">ROUND(AK294+AM294+AO294+AT294+AY294+BA294,0)</f>
        <v>233304</v>
      </c>
      <c r="BD294" s="575">
        <f>IF((SUM(BB294:BB304))-(SUM(BC294:BC304))&lt;=0," ",(SUM(BB294:BB304))-(SUM(BC294:BC304)))+10</f>
        <v>7234587</v>
      </c>
      <c r="BE294" s="552" t="str">
        <f>IF((SUM(BB294:BB304))-(SUM(BC294:BC304))&gt;0," ",-(SUM(BB294:BB304))+(SUM(BC294:BC304)))</f>
        <v xml:space="preserve"> </v>
      </c>
      <c r="BG294" s="522"/>
      <c r="BH294" s="1196"/>
      <c r="BI294" s="1203"/>
    </row>
    <row r="295" spans="1:62" x14ac:dyDescent="0.2">
      <c r="A295" s="33"/>
      <c r="B295" s="271"/>
      <c r="C295" s="248"/>
      <c r="D295" s="540"/>
      <c r="E295" s="541"/>
      <c r="F295" s="542"/>
      <c r="G295" s="542"/>
      <c r="H295" s="542"/>
      <c r="I295" s="542"/>
      <c r="J295" s="542"/>
      <c r="K295" s="543"/>
      <c r="L295" s="542"/>
      <c r="M295" s="542"/>
      <c r="N295" s="542"/>
      <c r="O295" s="542"/>
      <c r="P295" s="544"/>
      <c r="Q295" s="544"/>
      <c r="R295" s="544"/>
      <c r="S295" s="544"/>
      <c r="T295" s="544"/>
      <c r="U295" s="544"/>
      <c r="V295" s="544"/>
      <c r="W295" s="544"/>
      <c r="X295" s="544"/>
      <c r="Y295" s="544"/>
      <c r="Z295" s="544"/>
      <c r="AA295" s="544"/>
      <c r="AB295" s="544"/>
      <c r="AC295" s="544"/>
      <c r="AD295" s="542"/>
      <c r="AE295" s="542"/>
      <c r="AF295" s="542"/>
      <c r="AG295" s="542"/>
      <c r="AH295" s="545">
        <f t="shared" si="198"/>
        <v>0</v>
      </c>
      <c r="AI295" s="546">
        <f t="shared" si="199"/>
        <v>0</v>
      </c>
      <c r="AJ295" s="547">
        <f t="shared" si="200"/>
        <v>0</v>
      </c>
      <c r="AK295" s="548">
        <f t="shared" si="200"/>
        <v>0</v>
      </c>
      <c r="AL295" s="546"/>
      <c r="AM295" s="546"/>
      <c r="AN295" s="547"/>
      <c r="AO295" s="548"/>
      <c r="AP295" s="549" t="str">
        <f>'J. Other Liability &amp; Expenses'!D203</f>
        <v>J.1</v>
      </c>
      <c r="AQ295" s="432">
        <f>'J. Other Liability &amp; Expenses'!L204</f>
        <v>23740</v>
      </c>
      <c r="AR295" s="546"/>
      <c r="AS295" s="564" t="str">
        <f>'I.  Other Asset Entries'!B108</f>
        <v>I.1</v>
      </c>
      <c r="AT295" s="432">
        <f>'I.  Other Asset Entries'!N114</f>
        <v>40000</v>
      </c>
      <c r="AU295" s="551"/>
      <c r="AV295" s="550"/>
      <c r="AW295" s="546"/>
      <c r="AX295" s="549"/>
      <c r="AY295" s="552"/>
      <c r="AZ295" s="523"/>
      <c r="BA295" s="524"/>
      <c r="BB295" s="550">
        <f t="shared" si="201"/>
        <v>23740</v>
      </c>
      <c r="BC295" s="550">
        <f t="shared" si="202"/>
        <v>40000</v>
      </c>
      <c r="BD295" s="575"/>
      <c r="BE295" s="552"/>
      <c r="BF295" s="504"/>
      <c r="BG295" s="522"/>
    </row>
    <row r="296" spans="1:62" x14ac:dyDescent="0.2">
      <c r="A296" s="33"/>
      <c r="B296" s="271"/>
      <c r="C296" s="248"/>
      <c r="D296" s="540"/>
      <c r="E296" s="541"/>
      <c r="F296" s="542"/>
      <c r="G296" s="542"/>
      <c r="H296" s="542"/>
      <c r="I296" s="542"/>
      <c r="J296" s="542"/>
      <c r="K296" s="543"/>
      <c r="L296" s="542"/>
      <c r="M296" s="542"/>
      <c r="N296" s="542"/>
      <c r="O296" s="542"/>
      <c r="P296" s="544"/>
      <c r="Q296" s="544"/>
      <c r="R296" s="544"/>
      <c r="S296" s="544"/>
      <c r="T296" s="544"/>
      <c r="U296" s="544"/>
      <c r="V296" s="544"/>
      <c r="W296" s="544"/>
      <c r="X296" s="544"/>
      <c r="Y296" s="544"/>
      <c r="Z296" s="544"/>
      <c r="AA296" s="544"/>
      <c r="AB296" s="544"/>
      <c r="AC296" s="544"/>
      <c r="AD296" s="542"/>
      <c r="AE296" s="542"/>
      <c r="AF296" s="542"/>
      <c r="AG296" s="542"/>
      <c r="AH296" s="545">
        <f t="shared" si="198"/>
        <v>0</v>
      </c>
      <c r="AI296" s="546">
        <f t="shared" si="199"/>
        <v>0</v>
      </c>
      <c r="AJ296" s="547">
        <f t="shared" si="200"/>
        <v>0</v>
      </c>
      <c r="AK296" s="548">
        <f t="shared" si="200"/>
        <v>0</v>
      </c>
      <c r="AL296" s="546"/>
      <c r="AM296" s="546"/>
      <c r="AN296" s="547"/>
      <c r="AO296" s="548"/>
      <c r="AP296" s="549" t="str">
        <f>'F.  Other Cap Asset Entries'!D256</f>
        <v>F.3</v>
      </c>
      <c r="AQ296" s="550">
        <f>'F.  Other Cap Asset Entries'!M256</f>
        <v>0</v>
      </c>
      <c r="AR296" s="546"/>
      <c r="AS296" s="564" t="str">
        <f>'J. Other Liability &amp; Expenses'!D203</f>
        <v>J.1</v>
      </c>
      <c r="AT296" s="550">
        <f>'J. Other Liability &amp; Expenses'!N204</f>
        <v>0</v>
      </c>
      <c r="AU296" s="551" t="str">
        <f>'L. Eliminations-Consolidations'!B273</f>
        <v>L.8</v>
      </c>
      <c r="AV296" s="550">
        <f>'L. Eliminations-Consolidations'!J275</f>
        <v>0</v>
      </c>
      <c r="AW296" s="546"/>
      <c r="AX296" s="549" t="str">
        <f>'L. Eliminations-Consolidations'!B273</f>
        <v>L.8</v>
      </c>
      <c r="AY296" s="552">
        <f>'L. Eliminations-Consolidations'!L275</f>
        <v>0</v>
      </c>
      <c r="AZ296" s="523"/>
      <c r="BA296" s="524"/>
      <c r="BB296" s="550">
        <f t="shared" si="201"/>
        <v>0</v>
      </c>
      <c r="BC296" s="550">
        <f t="shared" si="202"/>
        <v>0</v>
      </c>
      <c r="BD296" s="575"/>
      <c r="BE296" s="552"/>
      <c r="BF296" s="504"/>
      <c r="BG296" s="522"/>
    </row>
    <row r="297" spans="1:62" x14ac:dyDescent="0.2">
      <c r="A297" s="33"/>
      <c r="B297" s="271"/>
      <c r="C297" s="248"/>
      <c r="D297" s="540"/>
      <c r="E297" s="541"/>
      <c r="F297" s="542"/>
      <c r="G297" s="542"/>
      <c r="H297" s="542"/>
      <c r="I297" s="542"/>
      <c r="J297" s="542"/>
      <c r="K297" s="543"/>
      <c r="L297" s="542"/>
      <c r="M297" s="542"/>
      <c r="N297" s="542"/>
      <c r="O297" s="542"/>
      <c r="P297" s="544"/>
      <c r="Q297" s="544"/>
      <c r="R297" s="544"/>
      <c r="S297" s="544"/>
      <c r="T297" s="544"/>
      <c r="U297" s="544"/>
      <c r="V297" s="544"/>
      <c r="W297" s="544"/>
      <c r="X297" s="544"/>
      <c r="Y297" s="544"/>
      <c r="Z297" s="544"/>
      <c r="AA297" s="544"/>
      <c r="AB297" s="544"/>
      <c r="AC297" s="544"/>
      <c r="AD297" s="542"/>
      <c r="AE297" s="542"/>
      <c r="AF297" s="542"/>
      <c r="AG297" s="542"/>
      <c r="AH297" s="545">
        <f t="shared" si="198"/>
        <v>0</v>
      </c>
      <c r="AI297" s="546">
        <f t="shared" si="199"/>
        <v>0</v>
      </c>
      <c r="AJ297" s="547">
        <f t="shared" si="200"/>
        <v>0</v>
      </c>
      <c r="AK297" s="548">
        <f t="shared" si="200"/>
        <v>0</v>
      </c>
      <c r="AL297" s="546"/>
      <c r="AM297" s="546"/>
      <c r="AN297" s="547"/>
      <c r="AO297" s="548"/>
      <c r="AP297" s="549" t="s">
        <v>624</v>
      </c>
      <c r="AQ297" s="550">
        <f>'F.  Other Cap Asset Entries'!M278</f>
        <v>0</v>
      </c>
      <c r="AR297" s="546"/>
      <c r="AS297" s="564" t="s">
        <v>2050</v>
      </c>
      <c r="AT297" s="550">
        <f>'N.1 GASB 68 LGERS'!D98</f>
        <v>0</v>
      </c>
      <c r="AU297" s="551"/>
      <c r="AV297" s="550"/>
      <c r="AW297" s="546"/>
      <c r="AX297" s="549"/>
      <c r="AY297" s="552"/>
      <c r="AZ297" s="523"/>
      <c r="BA297" s="524"/>
      <c r="BB297" s="550">
        <f t="shared" si="201"/>
        <v>0</v>
      </c>
      <c r="BC297" s="550">
        <f t="shared" si="202"/>
        <v>0</v>
      </c>
      <c r="BD297" s="575"/>
      <c r="BE297" s="552"/>
      <c r="BF297" s="504"/>
      <c r="BG297" s="522"/>
    </row>
    <row r="298" spans="1:62" s="704" customFormat="1" x14ac:dyDescent="0.2">
      <c r="A298" s="33"/>
      <c r="B298" s="271"/>
      <c r="C298" s="248"/>
      <c r="D298" s="540"/>
      <c r="E298" s="541"/>
      <c r="F298" s="542"/>
      <c r="G298" s="542"/>
      <c r="H298" s="542"/>
      <c r="I298" s="542"/>
      <c r="J298" s="542"/>
      <c r="K298" s="543"/>
      <c r="L298" s="542"/>
      <c r="M298" s="542"/>
      <c r="N298" s="542"/>
      <c r="O298" s="542"/>
      <c r="P298" s="544"/>
      <c r="Q298" s="544"/>
      <c r="R298" s="544"/>
      <c r="S298" s="544"/>
      <c r="T298" s="544"/>
      <c r="U298" s="544"/>
      <c r="V298" s="544"/>
      <c r="W298" s="544"/>
      <c r="X298" s="544"/>
      <c r="Y298" s="544"/>
      <c r="Z298" s="544"/>
      <c r="AA298" s="544"/>
      <c r="AB298" s="544"/>
      <c r="AC298" s="544"/>
      <c r="AD298" s="542"/>
      <c r="AE298" s="542"/>
      <c r="AF298" s="542"/>
      <c r="AG298" s="542"/>
      <c r="AH298" s="545"/>
      <c r="AI298" s="546"/>
      <c r="AJ298" s="547"/>
      <c r="AK298" s="548"/>
      <c r="AL298" s="546"/>
      <c r="AM298" s="546"/>
      <c r="AN298" s="547"/>
      <c r="AO298" s="548"/>
      <c r="AP298" s="549" t="s">
        <v>2050</v>
      </c>
      <c r="AQ298" s="550">
        <f>'N.1 GASB 68 LGERS'!C98</f>
        <v>0</v>
      </c>
      <c r="AR298" s="546"/>
      <c r="AS298" s="564" t="s">
        <v>2052</v>
      </c>
      <c r="AT298" s="550">
        <f>'N.3 GASB 68 FRSWPF'!D27</f>
        <v>0</v>
      </c>
      <c r="AU298" s="551"/>
      <c r="AV298" s="550"/>
      <c r="AW298" s="546"/>
      <c r="AX298" s="549"/>
      <c r="AY298" s="552"/>
      <c r="AZ298" s="523"/>
      <c r="BA298" s="524"/>
      <c r="BB298" s="550">
        <f t="shared" si="201"/>
        <v>0</v>
      </c>
      <c r="BC298" s="550">
        <f t="shared" si="202"/>
        <v>0</v>
      </c>
      <c r="BD298" s="575"/>
      <c r="BE298" s="552"/>
      <c r="BF298" s="504"/>
      <c r="BG298" s="522"/>
      <c r="BH298" s="1189"/>
      <c r="BI298" s="1193"/>
      <c r="BJ298" s="1206"/>
    </row>
    <row r="299" spans="1:62" s="704" customFormat="1" x14ac:dyDescent="0.2">
      <c r="A299" s="33"/>
      <c r="B299" s="271"/>
      <c r="C299" s="248"/>
      <c r="D299" s="540"/>
      <c r="E299" s="541"/>
      <c r="F299" s="542"/>
      <c r="G299" s="542"/>
      <c r="H299" s="542"/>
      <c r="I299" s="542"/>
      <c r="J299" s="542"/>
      <c r="K299" s="543"/>
      <c r="L299" s="542"/>
      <c r="M299" s="542"/>
      <c r="N299" s="542"/>
      <c r="O299" s="542"/>
      <c r="P299" s="544"/>
      <c r="Q299" s="544"/>
      <c r="R299" s="544"/>
      <c r="S299" s="544"/>
      <c r="T299" s="544"/>
      <c r="U299" s="544"/>
      <c r="V299" s="544"/>
      <c r="W299" s="544"/>
      <c r="X299" s="544"/>
      <c r="Y299" s="544"/>
      <c r="Z299" s="544"/>
      <c r="AA299" s="544"/>
      <c r="AB299" s="544"/>
      <c r="AC299" s="544"/>
      <c r="AD299" s="542"/>
      <c r="AE299" s="542"/>
      <c r="AF299" s="542"/>
      <c r="AG299" s="542"/>
      <c r="AH299" s="545"/>
      <c r="AI299" s="546"/>
      <c r="AJ299" s="547"/>
      <c r="AK299" s="548"/>
      <c r="AL299" s="546"/>
      <c r="AM299" s="546"/>
      <c r="AN299" s="547"/>
      <c r="AO299" s="548"/>
      <c r="AP299" s="549" t="s">
        <v>2052</v>
      </c>
      <c r="AQ299" s="1318">
        <f>'N.3 GASB 68 FRSWPF'!C27</f>
        <v>0</v>
      </c>
      <c r="AR299" s="1319"/>
      <c r="AS299" s="1320" t="s">
        <v>3617</v>
      </c>
      <c r="AT299" s="432">
        <f>'O. GASB 73 LEO Entries'!D79+'O. GASB 73 LEO Entries'!D80</f>
        <v>17279</v>
      </c>
      <c r="AU299" s="551"/>
      <c r="AV299" s="550"/>
      <c r="AW299" s="546"/>
      <c r="AX299" s="549"/>
      <c r="AY299" s="552"/>
      <c r="AZ299" s="523"/>
      <c r="BA299" s="524"/>
      <c r="BB299" s="550">
        <f t="shared" si="201"/>
        <v>0</v>
      </c>
      <c r="BC299" s="550">
        <f t="shared" si="202"/>
        <v>17279</v>
      </c>
      <c r="BD299" s="575"/>
      <c r="BE299" s="552"/>
      <c r="BF299" s="504"/>
      <c r="BG299" s="522"/>
      <c r="BH299" s="1189"/>
      <c r="BI299" s="1193"/>
      <c r="BJ299" s="1206"/>
    </row>
    <row r="300" spans="1:62" s="845" customFormat="1" x14ac:dyDescent="0.2">
      <c r="A300" s="33"/>
      <c r="B300" s="271"/>
      <c r="C300" s="248"/>
      <c r="D300" s="540"/>
      <c r="E300" s="541"/>
      <c r="F300" s="542"/>
      <c r="G300" s="542"/>
      <c r="H300" s="542"/>
      <c r="I300" s="542"/>
      <c r="J300" s="542"/>
      <c r="K300" s="543"/>
      <c r="L300" s="542"/>
      <c r="M300" s="542"/>
      <c r="N300" s="542"/>
      <c r="O300" s="542"/>
      <c r="P300" s="544"/>
      <c r="Q300" s="544"/>
      <c r="R300" s="544"/>
      <c r="S300" s="544"/>
      <c r="T300" s="544"/>
      <c r="U300" s="544"/>
      <c r="V300" s="544"/>
      <c r="W300" s="544"/>
      <c r="X300" s="544"/>
      <c r="Y300" s="544"/>
      <c r="Z300" s="544"/>
      <c r="AA300" s="544"/>
      <c r="AB300" s="544"/>
      <c r="AC300" s="544"/>
      <c r="AD300" s="542"/>
      <c r="AE300" s="542"/>
      <c r="AF300" s="542"/>
      <c r="AG300" s="542"/>
      <c r="AH300" s="545"/>
      <c r="AI300" s="546"/>
      <c r="AJ300" s="547"/>
      <c r="AK300" s="548"/>
      <c r="AL300" s="546"/>
      <c r="AM300" s="546"/>
      <c r="AN300" s="547"/>
      <c r="AO300" s="548"/>
      <c r="AP300" s="549" t="s">
        <v>3617</v>
      </c>
      <c r="AQ300" s="432">
        <f>'O. GASB 73 LEO Entries'!C72</f>
        <v>16153</v>
      </c>
      <c r="AR300" s="1319"/>
      <c r="AS300" s="1320"/>
      <c r="AT300" s="1318"/>
      <c r="AU300" s="551"/>
      <c r="AV300" s="550"/>
      <c r="AW300" s="546"/>
      <c r="AX300" s="549"/>
      <c r="AY300" s="552"/>
      <c r="AZ300" s="523"/>
      <c r="BA300" s="524"/>
      <c r="BB300" s="550">
        <f t="shared" si="201"/>
        <v>16153</v>
      </c>
      <c r="BC300" s="550">
        <f t="shared" si="202"/>
        <v>0</v>
      </c>
      <c r="BD300" s="575"/>
      <c r="BE300" s="552"/>
      <c r="BF300" s="504"/>
      <c r="BG300" s="522"/>
      <c r="BH300" s="1189"/>
      <c r="BI300" s="1193"/>
      <c r="BJ300" s="1206"/>
    </row>
    <row r="301" spans="1:62" s="1031" customFormat="1" x14ac:dyDescent="0.2">
      <c r="A301" s="33"/>
      <c r="B301" s="271"/>
      <c r="C301" s="248"/>
      <c r="D301" s="540"/>
      <c r="E301" s="541"/>
      <c r="F301" s="542"/>
      <c r="G301" s="542"/>
      <c r="H301" s="542"/>
      <c r="I301" s="542"/>
      <c r="J301" s="542"/>
      <c r="K301" s="543"/>
      <c r="L301" s="542"/>
      <c r="M301" s="542"/>
      <c r="N301" s="542"/>
      <c r="O301" s="542"/>
      <c r="P301" s="544"/>
      <c r="Q301" s="544"/>
      <c r="R301" s="544"/>
      <c r="S301" s="544"/>
      <c r="T301" s="544"/>
      <c r="U301" s="544"/>
      <c r="V301" s="544"/>
      <c r="W301" s="544"/>
      <c r="X301" s="544"/>
      <c r="Y301" s="544"/>
      <c r="Z301" s="544"/>
      <c r="AA301" s="544"/>
      <c r="AB301" s="544"/>
      <c r="AC301" s="544"/>
      <c r="AD301" s="542"/>
      <c r="AE301" s="542"/>
      <c r="AF301" s="542"/>
      <c r="AG301" s="542"/>
      <c r="AH301" s="545"/>
      <c r="AI301" s="546"/>
      <c r="AJ301" s="547"/>
      <c r="AK301" s="548"/>
      <c r="AL301" s="550"/>
      <c r="AM301" s="550"/>
      <c r="AN301" s="547"/>
      <c r="AO301" s="548"/>
      <c r="AP301" s="549" t="s">
        <v>4022</v>
      </c>
      <c r="AQ301" s="1318">
        <f>'P.1 GASB 75 OPEB  - plan 1'!C106+'P.1 GASB 75 OPEB  - plan 1'!C115+'P.1 GASB 75 OPEB  - plan 1'!C124</f>
        <v>0</v>
      </c>
      <c r="AR301" s="1319"/>
      <c r="AS301" s="1321" t="s">
        <v>4022</v>
      </c>
      <c r="AT301" s="1318">
        <f>'P.1 GASB 75 OPEB  - plan 1'!D106+'P.1 GASB 75 OPEB  - plan 1'!D115+'P.1 GASB 75 OPEB  - plan 1'!D124</f>
        <v>0</v>
      </c>
      <c r="AU301" s="551"/>
      <c r="AV301" s="550"/>
      <c r="AW301" s="546"/>
      <c r="AX301" s="549"/>
      <c r="AY301" s="552"/>
      <c r="AZ301" s="523"/>
      <c r="BA301" s="524"/>
      <c r="BB301" s="550">
        <f t="shared" si="201"/>
        <v>0</v>
      </c>
      <c r="BC301" s="550">
        <f>ROUND(AK301+AM301+AO301+AT301+AY301+BA301,0)</f>
        <v>0</v>
      </c>
      <c r="BD301" s="575"/>
      <c r="BE301" s="552"/>
      <c r="BF301" s="504"/>
      <c r="BG301" s="522"/>
      <c r="BH301" s="1189"/>
      <c r="BI301" s="1193"/>
      <c r="BJ301" s="1206"/>
    </row>
    <row r="302" spans="1:62" s="1099" customFormat="1" x14ac:dyDescent="0.2">
      <c r="A302" s="33"/>
      <c r="B302" s="271"/>
      <c r="C302" s="248"/>
      <c r="D302" s="540"/>
      <c r="E302" s="541"/>
      <c r="F302" s="542"/>
      <c r="G302" s="542"/>
      <c r="H302" s="542"/>
      <c r="I302" s="542"/>
      <c r="J302" s="542"/>
      <c r="K302" s="543"/>
      <c r="L302" s="542"/>
      <c r="M302" s="542"/>
      <c r="N302" s="542"/>
      <c r="O302" s="542"/>
      <c r="P302" s="544"/>
      <c r="Q302" s="544"/>
      <c r="R302" s="544"/>
      <c r="S302" s="544"/>
      <c r="T302" s="544"/>
      <c r="U302" s="544"/>
      <c r="V302" s="544"/>
      <c r="W302" s="544"/>
      <c r="X302" s="544"/>
      <c r="Y302" s="544"/>
      <c r="Z302" s="544"/>
      <c r="AA302" s="544"/>
      <c r="AB302" s="544"/>
      <c r="AC302" s="544"/>
      <c r="AD302" s="542"/>
      <c r="AE302" s="542"/>
      <c r="AF302" s="542"/>
      <c r="AG302" s="542"/>
      <c r="AH302" s="545"/>
      <c r="AI302" s="546"/>
      <c r="AJ302" s="547"/>
      <c r="AK302" s="548"/>
      <c r="AL302" s="550"/>
      <c r="AM302" s="550"/>
      <c r="AN302" s="547"/>
      <c r="AO302" s="548"/>
      <c r="AP302" s="549" t="s">
        <v>4023</v>
      </c>
      <c r="AQ302" s="1318">
        <f>'P.2 GASB 75 OPEB - plan 2'!C106+'P.2 GASB 75 OPEB - plan 2'!C115+'P.2 GASB 75 OPEB - plan 2'!C124</f>
        <v>0</v>
      </c>
      <c r="AR302" s="1319"/>
      <c r="AS302" s="1321" t="s">
        <v>4023</v>
      </c>
      <c r="AT302" s="1318">
        <f>'P.2 GASB 75 OPEB - plan 2'!D106+'P.2 GASB 75 OPEB - plan 2'!D115+'P.2 GASB 75 OPEB - plan 2'!D124</f>
        <v>0</v>
      </c>
      <c r="AU302" s="551"/>
      <c r="AV302" s="550"/>
      <c r="AW302" s="546"/>
      <c r="AX302" s="549"/>
      <c r="AY302" s="552"/>
      <c r="AZ302" s="523"/>
      <c r="BA302" s="524"/>
      <c r="BB302" s="550">
        <f>ROUND(AJ302+AL302+AN302+AQ302+AV302+AZ302,0)</f>
        <v>0</v>
      </c>
      <c r="BC302" s="550">
        <f t="shared" ref="BC302" si="203">ROUND(AK302+AM302+AO302+AT302+AY302+BA302,0)</f>
        <v>0</v>
      </c>
      <c r="BD302" s="575"/>
      <c r="BE302" s="552"/>
      <c r="BF302" s="504"/>
      <c r="BG302" s="522"/>
      <c r="BH302" s="1189"/>
      <c r="BI302" s="1193"/>
      <c r="BJ302" s="1206"/>
    </row>
    <row r="303" spans="1:62" s="1099" customFormat="1" x14ac:dyDescent="0.2">
      <c r="A303" s="33"/>
      <c r="B303" s="271"/>
      <c r="C303" s="248"/>
      <c r="D303" s="540"/>
      <c r="E303" s="541"/>
      <c r="F303" s="542"/>
      <c r="G303" s="542"/>
      <c r="H303" s="542"/>
      <c r="I303" s="542"/>
      <c r="J303" s="542"/>
      <c r="K303" s="543"/>
      <c r="L303" s="542"/>
      <c r="M303" s="542"/>
      <c r="N303" s="542"/>
      <c r="O303" s="542"/>
      <c r="P303" s="544"/>
      <c r="Q303" s="544"/>
      <c r="R303" s="544"/>
      <c r="S303" s="544"/>
      <c r="T303" s="544"/>
      <c r="U303" s="544"/>
      <c r="V303" s="544"/>
      <c r="W303" s="544"/>
      <c r="X303" s="544"/>
      <c r="Y303" s="544"/>
      <c r="Z303" s="544"/>
      <c r="AA303" s="544"/>
      <c r="AB303" s="544"/>
      <c r="AC303" s="544"/>
      <c r="AD303" s="542"/>
      <c r="AE303" s="542"/>
      <c r="AF303" s="542"/>
      <c r="AG303" s="542"/>
      <c r="AH303" s="545"/>
      <c r="AI303" s="546"/>
      <c r="AJ303" s="547"/>
      <c r="AK303" s="548"/>
      <c r="AL303" s="550"/>
      <c r="AM303" s="550"/>
      <c r="AN303" s="547"/>
      <c r="AO303" s="548"/>
      <c r="AP303" s="549" t="s">
        <v>4024</v>
      </c>
      <c r="AQ303" s="1318">
        <f>'P.3 GASB 75 OPEB - plan 3'!C106+'P.3 GASB 75 OPEB - plan 3'!C115+'P.3 GASB 75 OPEB - plan 3'!C124</f>
        <v>0</v>
      </c>
      <c r="AR303" s="1319"/>
      <c r="AS303" s="1321" t="s">
        <v>4024</v>
      </c>
      <c r="AT303" s="1318">
        <f>'P.3 GASB 75 OPEB - plan 3'!D106+'P.3 GASB 75 OPEB - plan 3'!D115+'P.3 GASB 75 OPEB - plan 3'!D124</f>
        <v>0</v>
      </c>
      <c r="AU303" s="551"/>
      <c r="AV303" s="550"/>
      <c r="AW303" s="546"/>
      <c r="AX303" s="549"/>
      <c r="AY303" s="552"/>
      <c r="AZ303" s="523"/>
      <c r="BA303" s="524"/>
      <c r="BB303" s="550">
        <f t="shared" si="201"/>
        <v>0</v>
      </c>
      <c r="BC303" s="550">
        <f>ROUND(AK303+AM303+AO303+AT303+AY303+BA303,0)</f>
        <v>0</v>
      </c>
      <c r="BD303" s="575"/>
      <c r="BE303" s="552"/>
      <c r="BF303" s="504"/>
      <c r="BG303" s="522"/>
      <c r="BH303" s="1189"/>
      <c r="BI303" s="1193"/>
      <c r="BJ303" s="1206"/>
    </row>
    <row r="304" spans="1:62" s="1241" customFormat="1" x14ac:dyDescent="0.2">
      <c r="A304" s="33"/>
      <c r="B304" s="271"/>
      <c r="C304" s="248"/>
      <c r="D304" s="540"/>
      <c r="E304" s="541"/>
      <c r="F304" s="542"/>
      <c r="G304" s="542"/>
      <c r="H304" s="542"/>
      <c r="I304" s="542"/>
      <c r="J304" s="542"/>
      <c r="K304" s="543"/>
      <c r="L304" s="542"/>
      <c r="M304" s="542"/>
      <c r="N304" s="542"/>
      <c r="O304" s="542"/>
      <c r="P304" s="544"/>
      <c r="Q304" s="544"/>
      <c r="R304" s="544"/>
      <c r="S304" s="544"/>
      <c r="T304" s="544"/>
      <c r="U304" s="544"/>
      <c r="V304" s="544"/>
      <c r="W304" s="544"/>
      <c r="X304" s="544"/>
      <c r="Y304" s="544"/>
      <c r="Z304" s="544"/>
      <c r="AA304" s="544"/>
      <c r="AB304" s="544"/>
      <c r="AC304" s="544"/>
      <c r="AD304" s="542"/>
      <c r="AE304" s="542"/>
      <c r="AF304" s="542"/>
      <c r="AG304" s="542"/>
      <c r="AH304" s="545"/>
      <c r="AI304" s="546"/>
      <c r="AJ304" s="547"/>
      <c r="AK304" s="548"/>
      <c r="AL304" s="550"/>
      <c r="AM304" s="550"/>
      <c r="AN304" s="547"/>
      <c r="AO304" s="548"/>
      <c r="AP304" s="549" t="s">
        <v>4117</v>
      </c>
      <c r="AQ304" s="432">
        <f>'Q. GASB 87 Lease Entries'!M69</f>
        <v>2999</v>
      </c>
      <c r="AR304" s="1319"/>
      <c r="AS304" s="1321" t="s">
        <v>4113</v>
      </c>
      <c r="AT304" s="432">
        <f>'Q. GASB 87 Lease Entries'!O33</f>
        <v>179755</v>
      </c>
      <c r="AU304" s="551"/>
      <c r="AV304" s="550"/>
      <c r="AW304" s="546"/>
      <c r="AX304" s="549"/>
      <c r="AY304" s="552"/>
      <c r="AZ304" s="523"/>
      <c r="BA304" s="524"/>
      <c r="BB304" s="550">
        <f t="shared" si="201"/>
        <v>2999</v>
      </c>
      <c r="BC304" s="550">
        <f t="shared" ref="BC304" si="204">ROUND(AK304+AM304+AO304+AT304+AY304+BA304,0)</f>
        <v>179755</v>
      </c>
      <c r="BD304" s="575"/>
      <c r="BE304" s="552"/>
      <c r="BF304" s="504"/>
      <c r="BG304" s="522"/>
      <c r="BH304" s="1189"/>
      <c r="BI304" s="1193"/>
      <c r="BJ304" s="1206"/>
    </row>
    <row r="305" spans="1:62" s="13" customFormat="1" ht="6" customHeight="1" x14ac:dyDescent="0.2">
      <c r="A305" s="33"/>
      <c r="B305" s="31"/>
      <c r="C305" s="31"/>
      <c r="D305" s="531"/>
      <c r="E305" s="532"/>
      <c r="F305" s="528"/>
      <c r="G305" s="528"/>
      <c r="H305" s="528"/>
      <c r="I305" s="528"/>
      <c r="J305" s="528"/>
      <c r="K305" s="533"/>
      <c r="L305" s="528"/>
      <c r="M305" s="528"/>
      <c r="N305" s="528"/>
      <c r="O305" s="528"/>
      <c r="P305" s="527"/>
      <c r="Q305" s="527"/>
      <c r="R305" s="527"/>
      <c r="S305" s="527"/>
      <c r="T305" s="527"/>
      <c r="U305" s="527"/>
      <c r="V305" s="527"/>
      <c r="W305" s="527"/>
      <c r="X305" s="527"/>
      <c r="Y305" s="527"/>
      <c r="Z305" s="527"/>
      <c r="AA305" s="527"/>
      <c r="AB305" s="527"/>
      <c r="AC305" s="527"/>
      <c r="AD305" s="528"/>
      <c r="AE305" s="528"/>
      <c r="AF305" s="528"/>
      <c r="AG305" s="528"/>
      <c r="AH305" s="529"/>
      <c r="AI305" s="537"/>
      <c r="AJ305" s="534"/>
      <c r="AK305" s="535"/>
      <c r="AL305" s="537"/>
      <c r="AM305" s="537"/>
      <c r="AN305" s="534"/>
      <c r="AO305" s="535"/>
      <c r="AP305" s="579"/>
      <c r="AQ305" s="580"/>
      <c r="AR305" s="537"/>
      <c r="AS305" s="536"/>
      <c r="AT305" s="432"/>
      <c r="AU305" s="539"/>
      <c r="AV305" s="432"/>
      <c r="AW305" s="537"/>
      <c r="AX305" s="536"/>
      <c r="AY305" s="538"/>
      <c r="AZ305" s="527"/>
      <c r="BA305" s="562"/>
      <c r="BB305" s="432"/>
      <c r="BC305" s="432"/>
      <c r="BD305" s="571"/>
      <c r="BE305" s="538"/>
      <c r="BF305" s="432"/>
      <c r="BG305" s="538"/>
      <c r="BH305" s="1191"/>
      <c r="BI305" s="1194"/>
      <c r="BJ305" s="1206"/>
    </row>
    <row r="306" spans="1:62" x14ac:dyDescent="0.2">
      <c r="A306" s="33"/>
      <c r="B306" s="271" t="s">
        <v>992</v>
      </c>
      <c r="C306" s="248"/>
      <c r="D306" s="540">
        <v>1138578</v>
      </c>
      <c r="E306" s="541"/>
      <c r="F306" s="542"/>
      <c r="G306" s="542"/>
      <c r="H306" s="542"/>
      <c r="I306" s="542"/>
      <c r="J306" s="542"/>
      <c r="K306" s="543"/>
      <c r="L306" s="542"/>
      <c r="M306" s="542"/>
      <c r="N306" s="542"/>
      <c r="O306" s="542"/>
      <c r="P306" s="544"/>
      <c r="Q306" s="544"/>
      <c r="R306" s="544"/>
      <c r="S306" s="544"/>
      <c r="T306" s="544"/>
      <c r="U306" s="544"/>
      <c r="V306" s="544"/>
      <c r="W306" s="544"/>
      <c r="X306" s="544"/>
      <c r="Y306" s="544"/>
      <c r="Z306" s="544"/>
      <c r="AA306" s="544"/>
      <c r="AB306" s="544"/>
      <c r="AC306" s="544"/>
      <c r="AD306" s="542"/>
      <c r="AE306" s="542"/>
      <c r="AF306" s="542"/>
      <c r="AG306" s="542"/>
      <c r="AH306" s="545">
        <f t="shared" ref="AH306:AH309" si="205">L306+N306+P306+R306+T306+V306+X306+Z306+AB306+AD306+AF306</f>
        <v>0</v>
      </c>
      <c r="AI306" s="546">
        <f t="shared" ref="AI306:AI309" si="206">M306+O306+Q306+S306+U306+W306+Y306+AA306+AC306+AE306+AG306</f>
        <v>0</v>
      </c>
      <c r="AJ306" s="547">
        <f t="shared" ref="AJ306:AK309" si="207">D306+F306+H306+J306+AH306</f>
        <v>1138578</v>
      </c>
      <c r="AK306" s="548">
        <f t="shared" si="207"/>
        <v>0</v>
      </c>
      <c r="AL306" s="546"/>
      <c r="AM306" s="546"/>
      <c r="AN306" s="547"/>
      <c r="AO306" s="548"/>
      <c r="AP306" s="549" t="str">
        <f>'D. Depreciation'!A55</f>
        <v>D.1</v>
      </c>
      <c r="AQ306" s="550">
        <f>'D. Depreciation'!J57</f>
        <v>0</v>
      </c>
      <c r="AR306" s="546"/>
      <c r="AS306" s="549" t="str">
        <f>'E. Capital Outlay'!D54</f>
        <v>E.1</v>
      </c>
      <c r="AT306" s="550">
        <f>'E. Capital Outlay'!N67</f>
        <v>0</v>
      </c>
      <c r="AU306" s="551" t="str">
        <f>'L. Eliminations-Consolidations'!A243</f>
        <v>L.7</v>
      </c>
      <c r="AV306" s="550">
        <f>'L. Eliminations-Consolidations'!J245</f>
        <v>0</v>
      </c>
      <c r="AW306" s="546"/>
      <c r="AX306" s="554" t="s">
        <v>637</v>
      </c>
      <c r="AY306" s="550">
        <f>'K.1  Int. Service Fd Allocation'!G211+'K.2  Int. Service Fd Alloca'!G206+'K.3 Int. Service Fd Alloca'!G206</f>
        <v>0</v>
      </c>
      <c r="AZ306" s="555"/>
      <c r="BA306" s="524"/>
      <c r="BB306" s="550">
        <f t="shared" ref="BB306:BB311" si="208">ROUND(AJ306+AL306+AN306+AQ306+AV306+AZ306,0)</f>
        <v>1138578</v>
      </c>
      <c r="BC306" s="550">
        <f t="shared" ref="BC306:BC311" si="209">ROUND(AK306+AM306+AO306+AT306+AY306+BA306,0)</f>
        <v>0</v>
      </c>
      <c r="BD306" s="575">
        <f>IF((SUM(BB306:BB314))-(SUM(BC306:BC314))&lt;=0," ",(SUM(BB306:BB314))-(SUM(BC306:BC314)))</f>
        <v>1134018</v>
      </c>
      <c r="BE306" s="552" t="str">
        <f>IF((SUM(BB306:BB314))-(SUM(BC306:BC314))&gt;0," ",-(SUM(BB306:BB314))+(SUM(BC306:BC314)))</f>
        <v xml:space="preserve"> </v>
      </c>
      <c r="BF306" s="504"/>
      <c r="BG306" s="522"/>
      <c r="BH306" s="1190"/>
    </row>
    <row r="307" spans="1:62" x14ac:dyDescent="0.2">
      <c r="A307" s="33"/>
      <c r="B307" s="271"/>
      <c r="C307" s="248"/>
      <c r="D307" s="540"/>
      <c r="E307" s="541"/>
      <c r="F307" s="542"/>
      <c r="G307" s="542"/>
      <c r="H307" s="542"/>
      <c r="I307" s="542"/>
      <c r="J307" s="542"/>
      <c r="K307" s="543"/>
      <c r="L307" s="542"/>
      <c r="M307" s="542"/>
      <c r="N307" s="542"/>
      <c r="O307" s="542"/>
      <c r="P307" s="544"/>
      <c r="Q307" s="544"/>
      <c r="R307" s="544"/>
      <c r="S307" s="544"/>
      <c r="T307" s="544"/>
      <c r="U307" s="544"/>
      <c r="V307" s="544"/>
      <c r="W307" s="544"/>
      <c r="X307" s="544"/>
      <c r="Y307" s="544"/>
      <c r="Z307" s="544"/>
      <c r="AA307" s="544"/>
      <c r="AB307" s="544"/>
      <c r="AC307" s="544"/>
      <c r="AD307" s="542"/>
      <c r="AE307" s="542"/>
      <c r="AF307" s="542"/>
      <c r="AG307" s="542"/>
      <c r="AH307" s="545">
        <f t="shared" si="205"/>
        <v>0</v>
      </c>
      <c r="AI307" s="546">
        <f t="shared" si="206"/>
        <v>0</v>
      </c>
      <c r="AJ307" s="547">
        <f t="shared" si="207"/>
        <v>0</v>
      </c>
      <c r="AK307" s="548">
        <f t="shared" si="207"/>
        <v>0</v>
      </c>
      <c r="AL307" s="546"/>
      <c r="AM307" s="546"/>
      <c r="AN307" s="547"/>
      <c r="AO307" s="548"/>
      <c r="AP307" s="549" t="str">
        <f>'J. Other Liability &amp; Expenses'!D203</f>
        <v>J.1</v>
      </c>
      <c r="AQ307" s="432">
        <f>'J. Other Liability &amp; Expenses'!L205</f>
        <v>440</v>
      </c>
      <c r="AR307" s="546"/>
      <c r="AS307" s="564" t="str">
        <f>'I.  Other Asset Entries'!B108</f>
        <v>I.1</v>
      </c>
      <c r="AT307" s="432">
        <f>'I.  Other Asset Entries'!N115</f>
        <v>5000</v>
      </c>
      <c r="AU307" s="551"/>
      <c r="AV307" s="550"/>
      <c r="AW307" s="546"/>
      <c r="AX307" s="549" t="str">
        <f>'L. Eliminations-Consolidations'!A219</f>
        <v>L.5</v>
      </c>
      <c r="AY307" s="552">
        <f>'L. Eliminations-Consolidations'!L222</f>
        <v>0</v>
      </c>
      <c r="AZ307" s="523"/>
      <c r="BA307" s="524"/>
      <c r="BB307" s="550">
        <f t="shared" si="208"/>
        <v>440</v>
      </c>
      <c r="BC307" s="550">
        <f t="shared" si="209"/>
        <v>5000</v>
      </c>
      <c r="BD307" s="575"/>
      <c r="BE307" s="552"/>
      <c r="BF307" s="504"/>
      <c r="BG307" s="522"/>
    </row>
    <row r="308" spans="1:62" x14ac:dyDescent="0.2">
      <c r="A308" s="33"/>
      <c r="B308" s="271"/>
      <c r="C308" s="248"/>
      <c r="D308" s="540"/>
      <c r="E308" s="541"/>
      <c r="F308" s="542"/>
      <c r="G308" s="542"/>
      <c r="H308" s="542"/>
      <c r="I308" s="542"/>
      <c r="J308" s="542"/>
      <c r="K308" s="543"/>
      <c r="L308" s="542"/>
      <c r="M308" s="542"/>
      <c r="N308" s="542"/>
      <c r="O308" s="542"/>
      <c r="P308" s="544"/>
      <c r="Q308" s="544"/>
      <c r="R308" s="544"/>
      <c r="S308" s="544"/>
      <c r="T308" s="544"/>
      <c r="U308" s="544"/>
      <c r="V308" s="544"/>
      <c r="W308" s="544"/>
      <c r="X308" s="544"/>
      <c r="Y308" s="544"/>
      <c r="Z308" s="544"/>
      <c r="AA308" s="544"/>
      <c r="AB308" s="544"/>
      <c r="AC308" s="544"/>
      <c r="AD308" s="542"/>
      <c r="AE308" s="542"/>
      <c r="AF308" s="542"/>
      <c r="AG308" s="542"/>
      <c r="AH308" s="545">
        <f t="shared" si="205"/>
        <v>0</v>
      </c>
      <c r="AI308" s="546">
        <f t="shared" si="206"/>
        <v>0</v>
      </c>
      <c r="AJ308" s="547">
        <f t="shared" si="207"/>
        <v>0</v>
      </c>
      <c r="AK308" s="548">
        <f t="shared" si="207"/>
        <v>0</v>
      </c>
      <c r="AL308" s="546"/>
      <c r="AM308" s="546"/>
      <c r="AN308" s="547"/>
      <c r="AO308" s="548"/>
      <c r="AP308" s="549" t="str">
        <f>'F.  Other Cap Asset Entries'!D256</f>
        <v>F.3</v>
      </c>
      <c r="AQ308" s="550">
        <f>'F.  Other Cap Asset Entries'!M257</f>
        <v>0</v>
      </c>
      <c r="AR308" s="546"/>
      <c r="AS308" s="564" t="str">
        <f>'J. Other Liability &amp; Expenses'!D203</f>
        <v>J.1</v>
      </c>
      <c r="AT308" s="550">
        <f>'J. Other Liability &amp; Expenses'!N205</f>
        <v>0</v>
      </c>
      <c r="AU308" s="551" t="str">
        <f>'L. Eliminations-Consolidations'!B273</f>
        <v>L.8</v>
      </c>
      <c r="AV308" s="550">
        <f>'L. Eliminations-Consolidations'!J276</f>
        <v>0</v>
      </c>
      <c r="AW308" s="546"/>
      <c r="AX308" s="549" t="str">
        <f>'L. Eliminations-Consolidations'!B273</f>
        <v>L.8</v>
      </c>
      <c r="AY308" s="552">
        <f>'L. Eliminations-Consolidations'!L276</f>
        <v>0</v>
      </c>
      <c r="AZ308" s="523"/>
      <c r="BA308" s="524"/>
      <c r="BB308" s="550">
        <f t="shared" si="208"/>
        <v>0</v>
      </c>
      <c r="BC308" s="550">
        <f t="shared" si="209"/>
        <v>0</v>
      </c>
      <c r="BD308" s="575"/>
      <c r="BE308" s="552"/>
      <c r="BF308" s="504"/>
      <c r="BG308" s="522"/>
    </row>
    <row r="309" spans="1:62" x14ac:dyDescent="0.2">
      <c r="A309" s="33"/>
      <c r="B309" s="271"/>
      <c r="C309" s="248"/>
      <c r="D309" s="540"/>
      <c r="E309" s="541"/>
      <c r="F309" s="542"/>
      <c r="G309" s="542"/>
      <c r="H309" s="542"/>
      <c r="I309" s="542"/>
      <c r="J309" s="542"/>
      <c r="K309" s="543"/>
      <c r="L309" s="542"/>
      <c r="M309" s="542"/>
      <c r="N309" s="542"/>
      <c r="O309" s="542"/>
      <c r="P309" s="544"/>
      <c r="Q309" s="544"/>
      <c r="R309" s="544"/>
      <c r="S309" s="544"/>
      <c r="T309" s="544"/>
      <c r="U309" s="544"/>
      <c r="V309" s="544"/>
      <c r="W309" s="544"/>
      <c r="X309" s="544"/>
      <c r="Y309" s="544"/>
      <c r="Z309" s="544"/>
      <c r="AA309" s="544"/>
      <c r="AB309" s="544"/>
      <c r="AC309" s="544"/>
      <c r="AD309" s="542"/>
      <c r="AE309" s="542"/>
      <c r="AF309" s="542"/>
      <c r="AG309" s="542"/>
      <c r="AH309" s="545">
        <f t="shared" si="205"/>
        <v>0</v>
      </c>
      <c r="AI309" s="546">
        <f t="shared" si="206"/>
        <v>0</v>
      </c>
      <c r="AJ309" s="547">
        <f t="shared" si="207"/>
        <v>0</v>
      </c>
      <c r="AK309" s="548">
        <f t="shared" si="207"/>
        <v>0</v>
      </c>
      <c r="AL309" s="546"/>
      <c r="AM309" s="546"/>
      <c r="AN309" s="547"/>
      <c r="AO309" s="548"/>
      <c r="AP309" s="549" t="s">
        <v>624</v>
      </c>
      <c r="AQ309" s="550">
        <f>'F.  Other Cap Asset Entries'!M279</f>
        <v>0</v>
      </c>
      <c r="AR309" s="546"/>
      <c r="AS309" s="564" t="s">
        <v>2050</v>
      </c>
      <c r="AT309" s="550">
        <f>'N.1 GASB 68 LGERS'!D99</f>
        <v>0</v>
      </c>
      <c r="AU309" s="551"/>
      <c r="AV309" s="550"/>
      <c r="AW309" s="546"/>
      <c r="AX309" s="549"/>
      <c r="AY309" s="552"/>
      <c r="AZ309" s="523"/>
      <c r="BA309" s="524"/>
      <c r="BB309" s="550">
        <f t="shared" si="208"/>
        <v>0</v>
      </c>
      <c r="BC309" s="550">
        <f t="shared" si="209"/>
        <v>0</v>
      </c>
      <c r="BD309" s="575"/>
      <c r="BE309" s="552"/>
      <c r="BF309" s="504"/>
      <c r="BG309" s="522"/>
    </row>
    <row r="310" spans="1:62" s="704" customFormat="1" x14ac:dyDescent="0.2">
      <c r="A310" s="33"/>
      <c r="B310" s="271"/>
      <c r="C310" s="248"/>
      <c r="D310" s="540"/>
      <c r="E310" s="541"/>
      <c r="F310" s="542"/>
      <c r="G310" s="542"/>
      <c r="H310" s="542"/>
      <c r="I310" s="542"/>
      <c r="J310" s="542"/>
      <c r="K310" s="543"/>
      <c r="L310" s="542"/>
      <c r="M310" s="542"/>
      <c r="N310" s="542"/>
      <c r="O310" s="542"/>
      <c r="P310" s="544"/>
      <c r="Q310" s="544"/>
      <c r="R310" s="544"/>
      <c r="S310" s="544"/>
      <c r="T310" s="544"/>
      <c r="U310" s="544"/>
      <c r="V310" s="544"/>
      <c r="W310" s="544"/>
      <c r="X310" s="544"/>
      <c r="Y310" s="544"/>
      <c r="Z310" s="544"/>
      <c r="AA310" s="544"/>
      <c r="AB310" s="544"/>
      <c r="AC310" s="544"/>
      <c r="AD310" s="542"/>
      <c r="AE310" s="542"/>
      <c r="AF310" s="542"/>
      <c r="AG310" s="542"/>
      <c r="AH310" s="545"/>
      <c r="AI310" s="546"/>
      <c r="AJ310" s="547"/>
      <c r="AK310" s="548"/>
      <c r="AL310" s="546"/>
      <c r="AM310" s="546"/>
      <c r="AN310" s="547"/>
      <c r="AO310" s="548"/>
      <c r="AP310" s="549" t="s">
        <v>2050</v>
      </c>
      <c r="AQ310" s="550">
        <f>'N.1 GASB 68 LGERS'!C99</f>
        <v>0</v>
      </c>
      <c r="AR310" s="546"/>
      <c r="AS310" s="564"/>
      <c r="AT310" s="550"/>
      <c r="AU310" s="551"/>
      <c r="AV310" s="550"/>
      <c r="AW310" s="546"/>
      <c r="AX310" s="549"/>
      <c r="AY310" s="552"/>
      <c r="AZ310" s="523"/>
      <c r="BA310" s="524"/>
      <c r="BB310" s="550">
        <f t="shared" si="208"/>
        <v>0</v>
      </c>
      <c r="BC310" s="550">
        <f t="shared" si="209"/>
        <v>0</v>
      </c>
      <c r="BD310" s="575"/>
      <c r="BE310" s="552"/>
      <c r="BF310" s="504"/>
      <c r="BG310" s="522"/>
      <c r="BH310" s="1189"/>
      <c r="BI310" s="1193"/>
      <c r="BJ310" s="1206"/>
    </row>
    <row r="311" spans="1:62" s="1031" customFormat="1" x14ac:dyDescent="0.2">
      <c r="A311" s="33"/>
      <c r="B311" s="271"/>
      <c r="C311" s="248"/>
      <c r="D311" s="540"/>
      <c r="E311" s="541"/>
      <c r="F311" s="542"/>
      <c r="G311" s="542"/>
      <c r="H311" s="542"/>
      <c r="I311" s="542"/>
      <c r="J311" s="542"/>
      <c r="K311" s="543"/>
      <c r="L311" s="542"/>
      <c r="M311" s="542"/>
      <c r="N311" s="542"/>
      <c r="O311" s="542"/>
      <c r="P311" s="544"/>
      <c r="Q311" s="544"/>
      <c r="R311" s="544"/>
      <c r="S311" s="544"/>
      <c r="T311" s="544"/>
      <c r="U311" s="544"/>
      <c r="V311" s="544"/>
      <c r="W311" s="544"/>
      <c r="X311" s="544"/>
      <c r="Y311" s="544"/>
      <c r="Z311" s="544"/>
      <c r="AA311" s="544"/>
      <c r="AB311" s="544"/>
      <c r="AC311" s="544"/>
      <c r="AD311" s="542"/>
      <c r="AE311" s="542"/>
      <c r="AF311" s="542"/>
      <c r="AG311" s="542"/>
      <c r="AH311" s="545"/>
      <c r="AI311" s="546"/>
      <c r="AJ311" s="547"/>
      <c r="AK311" s="548"/>
      <c r="AL311" s="546"/>
      <c r="AM311" s="546"/>
      <c r="AN311" s="547"/>
      <c r="AO311" s="548"/>
      <c r="AP311" s="549" t="s">
        <v>4022</v>
      </c>
      <c r="AQ311" s="546">
        <f>'P.1 GASB 75 OPEB  - plan 1'!C107+'P.1 GASB 75 OPEB  - plan 1'!C116+'P.1 GASB 75 OPEB  - plan 1'!C125</f>
        <v>0</v>
      </c>
      <c r="AR311" s="546"/>
      <c r="AS311" s="549" t="s">
        <v>4022</v>
      </c>
      <c r="AT311" s="546">
        <f>'P.1 GASB 75 OPEB  - plan 1'!D107+'P.1 GASB 75 OPEB  - plan 1'!D116+'P.1 GASB 75 OPEB  - plan 1'!D125</f>
        <v>0</v>
      </c>
      <c r="AU311" s="551"/>
      <c r="AV311" s="550"/>
      <c r="AW311" s="546"/>
      <c r="AX311" s="549"/>
      <c r="AY311" s="552"/>
      <c r="AZ311" s="523"/>
      <c r="BA311" s="524"/>
      <c r="BB311" s="550">
        <f t="shared" si="208"/>
        <v>0</v>
      </c>
      <c r="BC311" s="550">
        <f t="shared" si="209"/>
        <v>0</v>
      </c>
      <c r="BD311" s="575"/>
      <c r="BE311" s="552"/>
      <c r="BF311" s="504"/>
      <c r="BG311" s="522"/>
      <c r="BH311" s="1189"/>
      <c r="BI311" s="1193"/>
      <c r="BJ311" s="1206"/>
    </row>
    <row r="312" spans="1:62" s="1099" customFormat="1" x14ac:dyDescent="0.2">
      <c r="A312" s="33"/>
      <c r="B312" s="271"/>
      <c r="C312" s="248"/>
      <c r="D312" s="540"/>
      <c r="E312" s="541"/>
      <c r="F312" s="542"/>
      <c r="G312" s="542"/>
      <c r="H312" s="542"/>
      <c r="I312" s="542"/>
      <c r="J312" s="542"/>
      <c r="K312" s="543"/>
      <c r="L312" s="542"/>
      <c r="M312" s="542"/>
      <c r="N312" s="542"/>
      <c r="O312" s="542"/>
      <c r="P312" s="544"/>
      <c r="Q312" s="544"/>
      <c r="R312" s="544"/>
      <c r="S312" s="544"/>
      <c r="T312" s="544"/>
      <c r="U312" s="544"/>
      <c r="V312" s="544"/>
      <c r="W312" s="544"/>
      <c r="X312" s="544"/>
      <c r="Y312" s="544"/>
      <c r="Z312" s="544"/>
      <c r="AA312" s="544"/>
      <c r="AB312" s="544"/>
      <c r="AC312" s="544"/>
      <c r="AD312" s="542"/>
      <c r="AE312" s="542"/>
      <c r="AF312" s="542"/>
      <c r="AG312" s="542"/>
      <c r="AH312" s="545"/>
      <c r="AI312" s="546"/>
      <c r="AJ312" s="547"/>
      <c r="AK312" s="548"/>
      <c r="AL312" s="546"/>
      <c r="AM312" s="546"/>
      <c r="AN312" s="547"/>
      <c r="AO312" s="548"/>
      <c r="AP312" s="549" t="s">
        <v>4023</v>
      </c>
      <c r="AQ312" s="546">
        <f>'P.2 GASB 75 OPEB - plan 2'!C107+'P.2 GASB 75 OPEB - plan 2'!C116+'P.2 GASB 75 OPEB - plan 2'!C125</f>
        <v>0</v>
      </c>
      <c r="AR312" s="546"/>
      <c r="AS312" s="549" t="s">
        <v>4023</v>
      </c>
      <c r="AT312" s="546">
        <f>'P.2 GASB 75 OPEB - plan 2'!D107+'P.2 GASB 75 OPEB - plan 2'!D116+'P.2 GASB 75 OPEB - plan 2'!D125</f>
        <v>0</v>
      </c>
      <c r="AU312" s="551"/>
      <c r="AV312" s="550"/>
      <c r="AW312" s="546"/>
      <c r="AX312" s="549"/>
      <c r="AY312" s="552"/>
      <c r="AZ312" s="523"/>
      <c r="BA312" s="524"/>
      <c r="BB312" s="550">
        <f t="shared" ref="BB312:BB314" si="210">ROUND(AJ312+AL312+AN312+AQ312+AV312+AZ312,0)</f>
        <v>0</v>
      </c>
      <c r="BC312" s="550">
        <f t="shared" ref="BC312:BC314" si="211">ROUND(AK312+AM312+AO312+AT312+AY312+BA312,0)</f>
        <v>0</v>
      </c>
      <c r="BD312" s="575"/>
      <c r="BE312" s="552"/>
      <c r="BF312" s="504"/>
      <c r="BG312" s="522"/>
      <c r="BH312" s="1189"/>
      <c r="BI312" s="1193"/>
      <c r="BJ312" s="1206"/>
    </row>
    <row r="313" spans="1:62" s="1099" customFormat="1" x14ac:dyDescent="0.2">
      <c r="A313" s="33"/>
      <c r="B313" s="271"/>
      <c r="C313" s="248"/>
      <c r="D313" s="540"/>
      <c r="E313" s="541"/>
      <c r="F313" s="542"/>
      <c r="G313" s="542"/>
      <c r="H313" s="542"/>
      <c r="I313" s="542"/>
      <c r="J313" s="542"/>
      <c r="K313" s="543"/>
      <c r="L313" s="542"/>
      <c r="M313" s="542"/>
      <c r="N313" s="542"/>
      <c r="O313" s="542"/>
      <c r="P313" s="544"/>
      <c r="Q313" s="544"/>
      <c r="R313" s="544"/>
      <c r="S313" s="544"/>
      <c r="T313" s="544"/>
      <c r="U313" s="544"/>
      <c r="V313" s="544"/>
      <c r="W313" s="544"/>
      <c r="X313" s="544"/>
      <c r="Y313" s="544"/>
      <c r="Z313" s="544"/>
      <c r="AA313" s="544"/>
      <c r="AB313" s="544"/>
      <c r="AC313" s="544"/>
      <c r="AD313" s="542"/>
      <c r="AE313" s="542"/>
      <c r="AF313" s="542"/>
      <c r="AG313" s="542"/>
      <c r="AH313" s="545"/>
      <c r="AI313" s="546"/>
      <c r="AJ313" s="547"/>
      <c r="AK313" s="548"/>
      <c r="AL313" s="546"/>
      <c r="AM313" s="546"/>
      <c r="AN313" s="547"/>
      <c r="AO313" s="548"/>
      <c r="AP313" s="549" t="s">
        <v>4024</v>
      </c>
      <c r="AQ313" s="546">
        <f>'P.3 GASB 75 OPEB - plan 3'!C107+'P.3 GASB 75 OPEB - plan 3'!C116+'P.3 GASB 75 OPEB - plan 3'!C125</f>
        <v>0</v>
      </c>
      <c r="AR313" s="546"/>
      <c r="AS313" s="549" t="s">
        <v>4024</v>
      </c>
      <c r="AT313" s="546">
        <f>'P.3 GASB 75 OPEB - plan 3'!D107+'P.3 GASB 75 OPEB - plan 3'!D116+'P.3 GASB 75 OPEB - plan 3'!D125</f>
        <v>0</v>
      </c>
      <c r="AU313" s="551"/>
      <c r="AV313" s="550"/>
      <c r="AW313" s="546"/>
      <c r="AX313" s="549"/>
      <c r="AY313" s="552"/>
      <c r="AZ313" s="523"/>
      <c r="BA313" s="524"/>
      <c r="BB313" s="550">
        <f t="shared" si="210"/>
        <v>0</v>
      </c>
      <c r="BC313" s="550">
        <f t="shared" si="211"/>
        <v>0</v>
      </c>
      <c r="BD313" s="575"/>
      <c r="BE313" s="552"/>
      <c r="BF313" s="504"/>
      <c r="BG313" s="522"/>
      <c r="BH313" s="1189"/>
      <c r="BI313" s="1193"/>
      <c r="BJ313" s="1206"/>
    </row>
    <row r="314" spans="1:62" s="1241" customFormat="1" x14ac:dyDescent="0.2">
      <c r="A314" s="33"/>
      <c r="B314" s="271"/>
      <c r="C314" s="248"/>
      <c r="D314" s="540"/>
      <c r="E314" s="541"/>
      <c r="F314" s="542"/>
      <c r="G314" s="542"/>
      <c r="H314" s="542"/>
      <c r="I314" s="542"/>
      <c r="J314" s="542"/>
      <c r="K314" s="543"/>
      <c r="L314" s="542"/>
      <c r="M314" s="542"/>
      <c r="N314" s="542"/>
      <c r="O314" s="542"/>
      <c r="P314" s="544"/>
      <c r="Q314" s="544"/>
      <c r="R314" s="544"/>
      <c r="S314" s="544"/>
      <c r="T314" s="544"/>
      <c r="U314" s="544"/>
      <c r="V314" s="544"/>
      <c r="W314" s="544"/>
      <c r="X314" s="544"/>
      <c r="Y314" s="544"/>
      <c r="Z314" s="544"/>
      <c r="AA314" s="544"/>
      <c r="AB314" s="544"/>
      <c r="AC314" s="544"/>
      <c r="AD314" s="542"/>
      <c r="AE314" s="542"/>
      <c r="AF314" s="542"/>
      <c r="AG314" s="542"/>
      <c r="AH314" s="545"/>
      <c r="AI314" s="546"/>
      <c r="AJ314" s="547"/>
      <c r="AK314" s="548"/>
      <c r="AL314" s="546"/>
      <c r="AM314" s="546"/>
      <c r="AN314" s="547"/>
      <c r="AO314" s="548"/>
      <c r="AP314" s="549" t="s">
        <v>4117</v>
      </c>
      <c r="AQ314" s="550">
        <f>'Q. GASB 87 Lease Entries'!M70</f>
        <v>0</v>
      </c>
      <c r="AR314" s="546"/>
      <c r="AS314" s="549" t="s">
        <v>4113</v>
      </c>
      <c r="AT314" s="546">
        <f>'Q. GASB 87 Lease Entries'!O34</f>
        <v>0</v>
      </c>
      <c r="AU314" s="551"/>
      <c r="AV314" s="550"/>
      <c r="AW314" s="546"/>
      <c r="AX314" s="549"/>
      <c r="AY314" s="552"/>
      <c r="AZ314" s="523"/>
      <c r="BA314" s="524"/>
      <c r="BB314" s="550">
        <f t="shared" si="210"/>
        <v>0</v>
      </c>
      <c r="BC314" s="550">
        <f t="shared" si="211"/>
        <v>0</v>
      </c>
      <c r="BD314" s="575"/>
      <c r="BE314" s="552"/>
      <c r="BF314" s="504"/>
      <c r="BG314" s="522"/>
      <c r="BH314" s="1189"/>
      <c r="BI314" s="1193"/>
      <c r="BJ314" s="1206"/>
    </row>
    <row r="315" spans="1:62" s="13" customFormat="1" ht="6" customHeight="1" x14ac:dyDescent="0.2">
      <c r="A315" s="33"/>
      <c r="B315" s="31"/>
      <c r="C315" s="31"/>
      <c r="D315" s="531"/>
      <c r="E315" s="532"/>
      <c r="F315" s="528"/>
      <c r="G315" s="528"/>
      <c r="H315" s="528"/>
      <c r="I315" s="528"/>
      <c r="J315" s="528"/>
      <c r="K315" s="533"/>
      <c r="L315" s="528"/>
      <c r="M315" s="528"/>
      <c r="N315" s="528"/>
      <c r="O315" s="528"/>
      <c r="P315" s="527"/>
      <c r="Q315" s="527"/>
      <c r="R315" s="527"/>
      <c r="S315" s="527"/>
      <c r="T315" s="527"/>
      <c r="U315" s="527"/>
      <c r="V315" s="527"/>
      <c r="W315" s="527"/>
      <c r="X315" s="527"/>
      <c r="Y315" s="527"/>
      <c r="Z315" s="527"/>
      <c r="AA315" s="527"/>
      <c r="AB315" s="527"/>
      <c r="AC315" s="527"/>
      <c r="AD315" s="528"/>
      <c r="AE315" s="528"/>
      <c r="AF315" s="528"/>
      <c r="AG315" s="528"/>
      <c r="AH315" s="529"/>
      <c r="AI315" s="537"/>
      <c r="AJ315" s="534"/>
      <c r="AK315" s="535"/>
      <c r="AL315" s="537"/>
      <c r="AM315" s="537"/>
      <c r="AN315" s="534"/>
      <c r="AO315" s="535"/>
      <c r="AP315" s="579"/>
      <c r="AQ315" s="580"/>
      <c r="AR315" s="537"/>
      <c r="AS315" s="536"/>
      <c r="AT315" s="432"/>
      <c r="AU315" s="539"/>
      <c r="AV315" s="432"/>
      <c r="AW315" s="537"/>
      <c r="AX315" s="536"/>
      <c r="AY315" s="538"/>
      <c r="AZ315" s="527"/>
      <c r="BA315" s="562"/>
      <c r="BB315" s="432"/>
      <c r="BC315" s="432"/>
      <c r="BD315" s="571"/>
      <c r="BE315" s="538"/>
      <c r="BF315" s="432"/>
      <c r="BG315" s="538"/>
      <c r="BH315" s="1191"/>
      <c r="BI315" s="1194"/>
      <c r="BJ315" s="1206"/>
    </row>
    <row r="316" spans="1:62" x14ac:dyDescent="0.2">
      <c r="A316" s="33"/>
      <c r="B316" s="271" t="s">
        <v>818</v>
      </c>
      <c r="C316" s="248"/>
      <c r="D316" s="540">
        <v>1316929</v>
      </c>
      <c r="E316" s="541"/>
      <c r="F316" s="542"/>
      <c r="G316" s="542"/>
      <c r="H316" s="542"/>
      <c r="I316" s="542"/>
      <c r="J316" s="542"/>
      <c r="K316" s="543"/>
      <c r="L316" s="542"/>
      <c r="M316" s="542"/>
      <c r="N316" s="542"/>
      <c r="O316" s="542"/>
      <c r="P316" s="544"/>
      <c r="Q316" s="544"/>
      <c r="R316" s="544"/>
      <c r="S316" s="544"/>
      <c r="T316" s="544"/>
      <c r="U316" s="544"/>
      <c r="V316" s="544"/>
      <c r="W316" s="544"/>
      <c r="X316" s="544"/>
      <c r="Y316" s="544"/>
      <c r="Z316" s="544"/>
      <c r="AA316" s="544"/>
      <c r="AB316" s="544"/>
      <c r="AC316" s="544"/>
      <c r="AD316" s="542"/>
      <c r="AE316" s="542"/>
      <c r="AF316" s="542"/>
      <c r="AG316" s="542"/>
      <c r="AH316" s="545">
        <f t="shared" ref="AH316:AH319" si="212">L316+N316+P316+R316+T316+V316+X316+Z316+AB316+AD316+AF316</f>
        <v>0</v>
      </c>
      <c r="AI316" s="546">
        <f t="shared" ref="AI316:AI319" si="213">M316+O316+Q316+S316+U316+W316+Y316+AA316+AC316+AE316+AG316</f>
        <v>0</v>
      </c>
      <c r="AJ316" s="547">
        <f t="shared" ref="AJ316:AK319" si="214">D316+F316+H316+J316+AH316</f>
        <v>1316929</v>
      </c>
      <c r="AK316" s="548">
        <f t="shared" si="214"/>
        <v>0</v>
      </c>
      <c r="AL316" s="546"/>
      <c r="AM316" s="546"/>
      <c r="AN316" s="547"/>
      <c r="AO316" s="548"/>
      <c r="AP316" s="549" t="str">
        <f>'D. Depreciation'!A55</f>
        <v>D.1</v>
      </c>
      <c r="AQ316" s="432">
        <f>'D. Depreciation'!J58</f>
        <v>8006</v>
      </c>
      <c r="AR316" s="546"/>
      <c r="AS316" s="549" t="str">
        <f>'E. Capital Outlay'!D54</f>
        <v>E.1</v>
      </c>
      <c r="AT316" s="432">
        <f>'E. Capital Outlay'!N68</f>
        <v>174366</v>
      </c>
      <c r="AU316" s="551" t="str">
        <f>'L. Eliminations-Consolidations'!A243</f>
        <v>L.7</v>
      </c>
      <c r="AV316" s="550">
        <f>'L. Eliminations-Consolidations'!J246</f>
        <v>0</v>
      </c>
      <c r="AW316" s="546"/>
      <c r="AX316" s="554" t="s">
        <v>637</v>
      </c>
      <c r="AY316" s="550">
        <f>'K.1  Int. Service Fd Allocation'!G212+'K.2  Int. Service Fd Alloca'!G207+'K.3 Int. Service Fd Alloca'!G207</f>
        <v>0</v>
      </c>
      <c r="AZ316" s="555"/>
      <c r="BA316" s="524"/>
      <c r="BB316" s="550">
        <f t="shared" ref="BB316:BB321" si="215">ROUND(AJ316+AL316+AN316+AQ316+AV316+AZ316,0)</f>
        <v>1324935</v>
      </c>
      <c r="BC316" s="550">
        <f t="shared" ref="BC316:BC321" si="216">ROUND(AK316+AM316+AO316+AT316+AY316+BA316,0)</f>
        <v>174366</v>
      </c>
      <c r="BD316" s="575">
        <f>IF((SUM(BB316:BB324))-(SUM(BC316:BC324))&lt;=0," ",(SUM(BB316:BB324))-(SUM(BC316:BC324)))</f>
        <v>1135351</v>
      </c>
      <c r="BE316" s="552" t="str">
        <f>IF((SUM(BB316:BB324))-(SUM(BC316:BC324))&gt;0," ",-(SUM(BB316:BB324))+(SUM(BC316:BC324)))</f>
        <v xml:space="preserve"> </v>
      </c>
      <c r="BF316" s="504"/>
      <c r="BG316" s="522"/>
      <c r="BH316" s="1190"/>
    </row>
    <row r="317" spans="1:62" x14ac:dyDescent="0.2">
      <c r="A317" s="33"/>
      <c r="B317" s="271"/>
      <c r="C317" s="248"/>
      <c r="D317" s="540"/>
      <c r="E317" s="541"/>
      <c r="F317" s="542"/>
      <c r="G317" s="542"/>
      <c r="H317" s="542"/>
      <c r="I317" s="542"/>
      <c r="J317" s="542"/>
      <c r="K317" s="543"/>
      <c r="L317" s="542"/>
      <c r="M317" s="542"/>
      <c r="N317" s="542"/>
      <c r="O317" s="542"/>
      <c r="P317" s="544"/>
      <c r="Q317" s="544"/>
      <c r="R317" s="544"/>
      <c r="S317" s="544"/>
      <c r="T317" s="544"/>
      <c r="U317" s="544"/>
      <c r="V317" s="544"/>
      <c r="W317" s="544"/>
      <c r="X317" s="544"/>
      <c r="Y317" s="544"/>
      <c r="Z317" s="544"/>
      <c r="AA317" s="544"/>
      <c r="AB317" s="544"/>
      <c r="AC317" s="544"/>
      <c r="AD317" s="542"/>
      <c r="AE317" s="542"/>
      <c r="AF317" s="542"/>
      <c r="AG317" s="542"/>
      <c r="AH317" s="545">
        <f t="shared" si="212"/>
        <v>0</v>
      </c>
      <c r="AI317" s="546">
        <f t="shared" si="213"/>
        <v>0</v>
      </c>
      <c r="AJ317" s="547">
        <f t="shared" si="214"/>
        <v>0</v>
      </c>
      <c r="AK317" s="548">
        <f t="shared" si="214"/>
        <v>0</v>
      </c>
      <c r="AL317" s="546"/>
      <c r="AM317" s="546"/>
      <c r="AN317" s="547"/>
      <c r="AO317" s="548"/>
      <c r="AP317" s="549" t="str">
        <f>'J. Other Liability &amp; Expenses'!D203</f>
        <v>J.1</v>
      </c>
      <c r="AQ317" s="432">
        <f>'J. Other Liability &amp; Expenses'!L206</f>
        <v>2198</v>
      </c>
      <c r="AR317" s="546"/>
      <c r="AS317" s="564" t="str">
        <f>'I.  Other Asset Entries'!B108</f>
        <v>I.1</v>
      </c>
      <c r="AT317" s="432">
        <f>'I.  Other Asset Entries'!N116</f>
        <v>17416</v>
      </c>
      <c r="AU317" s="551"/>
      <c r="AV317" s="550"/>
      <c r="AW317" s="546"/>
      <c r="AX317" s="549"/>
      <c r="AY317" s="552"/>
      <c r="AZ317" s="523"/>
      <c r="BA317" s="524"/>
      <c r="BB317" s="550">
        <f>ROUND(AJ317+AL317+AN317+AQ317+AV317+AZ317,0)</f>
        <v>2198</v>
      </c>
      <c r="BC317" s="550">
        <f t="shared" si="216"/>
        <v>17416</v>
      </c>
      <c r="BD317" s="575"/>
      <c r="BE317" s="552"/>
      <c r="BF317" s="504"/>
      <c r="BG317" s="522"/>
    </row>
    <row r="318" spans="1:62" x14ac:dyDescent="0.2">
      <c r="A318" s="33"/>
      <c r="B318" s="271"/>
      <c r="C318" s="248"/>
      <c r="D318" s="540"/>
      <c r="E318" s="541"/>
      <c r="F318" s="542"/>
      <c r="G318" s="542"/>
      <c r="H318" s="542"/>
      <c r="I318" s="542"/>
      <c r="J318" s="542"/>
      <c r="K318" s="543"/>
      <c r="L318" s="542"/>
      <c r="M318" s="542"/>
      <c r="N318" s="542"/>
      <c r="O318" s="542"/>
      <c r="P318" s="544"/>
      <c r="Q318" s="544"/>
      <c r="R318" s="544"/>
      <c r="S318" s="544"/>
      <c r="T318" s="544"/>
      <c r="U318" s="544"/>
      <c r="V318" s="544"/>
      <c r="W318" s="544"/>
      <c r="X318" s="544"/>
      <c r="Y318" s="544"/>
      <c r="Z318" s="544"/>
      <c r="AA318" s="544"/>
      <c r="AB318" s="544"/>
      <c r="AC318" s="544"/>
      <c r="AD318" s="542"/>
      <c r="AE318" s="542"/>
      <c r="AF318" s="542"/>
      <c r="AG318" s="542"/>
      <c r="AH318" s="545">
        <f t="shared" si="212"/>
        <v>0</v>
      </c>
      <c r="AI318" s="546">
        <f t="shared" si="213"/>
        <v>0</v>
      </c>
      <c r="AJ318" s="547">
        <f t="shared" si="214"/>
        <v>0</v>
      </c>
      <c r="AK318" s="548">
        <f t="shared" si="214"/>
        <v>0</v>
      </c>
      <c r="AL318" s="546"/>
      <c r="AM318" s="546"/>
      <c r="AN318" s="547"/>
      <c r="AO318" s="548"/>
      <c r="AP318" s="549" t="str">
        <f>'F.  Other Cap Asset Entries'!D256</f>
        <v>F.3</v>
      </c>
      <c r="AQ318" s="550">
        <f>'F.  Other Cap Asset Entries'!M258</f>
        <v>0</v>
      </c>
      <c r="AR318" s="546"/>
      <c r="AS318" s="564" t="str">
        <f>'J. Other Liability &amp; Expenses'!D203</f>
        <v>J.1</v>
      </c>
      <c r="AT318" s="550">
        <f>'J. Other Liability &amp; Expenses'!N206</f>
        <v>0</v>
      </c>
      <c r="AU318" s="551" t="str">
        <f>'L. Eliminations-Consolidations'!B273</f>
        <v>L.8</v>
      </c>
      <c r="AV318" s="550">
        <f>'L. Eliminations-Consolidations'!J277</f>
        <v>0</v>
      </c>
      <c r="AW318" s="546"/>
      <c r="AX318" s="549" t="str">
        <f>'L. Eliminations-Consolidations'!B273</f>
        <v>L.8</v>
      </c>
      <c r="AY318" s="552">
        <f>'L. Eliminations-Consolidations'!L277</f>
        <v>0</v>
      </c>
      <c r="AZ318" s="523"/>
      <c r="BA318" s="524"/>
      <c r="BB318" s="550">
        <f>ROUND(AJ318+AL318+AN318+AQ318+AV318+AZ318,0)</f>
        <v>0</v>
      </c>
      <c r="BC318" s="550">
        <f t="shared" si="216"/>
        <v>0</v>
      </c>
      <c r="BD318" s="575"/>
      <c r="BE318" s="552"/>
      <c r="BF318" s="504"/>
      <c r="BG318" s="522"/>
    </row>
    <row r="319" spans="1:62" x14ac:dyDescent="0.2">
      <c r="A319" s="33"/>
      <c r="B319" s="271"/>
      <c r="C319" s="248"/>
      <c r="D319" s="540"/>
      <c r="E319" s="541"/>
      <c r="F319" s="542"/>
      <c r="G319" s="542"/>
      <c r="H319" s="542"/>
      <c r="I319" s="542"/>
      <c r="J319" s="542"/>
      <c r="K319" s="543"/>
      <c r="L319" s="542"/>
      <c r="M319" s="542"/>
      <c r="N319" s="542"/>
      <c r="O319" s="542"/>
      <c r="P319" s="544"/>
      <c r="Q319" s="544"/>
      <c r="R319" s="544"/>
      <c r="S319" s="544"/>
      <c r="T319" s="544"/>
      <c r="U319" s="544"/>
      <c r="V319" s="544"/>
      <c r="W319" s="544"/>
      <c r="X319" s="544"/>
      <c r="Y319" s="544"/>
      <c r="Z319" s="544"/>
      <c r="AA319" s="544"/>
      <c r="AB319" s="544"/>
      <c r="AC319" s="544"/>
      <c r="AD319" s="542"/>
      <c r="AE319" s="542"/>
      <c r="AF319" s="542"/>
      <c r="AG319" s="542"/>
      <c r="AH319" s="545">
        <f t="shared" si="212"/>
        <v>0</v>
      </c>
      <c r="AI319" s="546">
        <f t="shared" si="213"/>
        <v>0</v>
      </c>
      <c r="AJ319" s="547">
        <f t="shared" si="214"/>
        <v>0</v>
      </c>
      <c r="AK319" s="548">
        <f t="shared" si="214"/>
        <v>0</v>
      </c>
      <c r="AL319" s="546"/>
      <c r="AM319" s="546"/>
      <c r="AN319" s="547"/>
      <c r="AO319" s="548"/>
      <c r="AP319" s="549" t="s">
        <v>624</v>
      </c>
      <c r="AQ319" s="550">
        <f>'F.  Other Cap Asset Entries'!M280</f>
        <v>0</v>
      </c>
      <c r="AR319" s="546"/>
      <c r="AS319" s="564" t="s">
        <v>2050</v>
      </c>
      <c r="AT319" s="550">
        <f>'N.1 GASB 68 LGERS'!D100</f>
        <v>0</v>
      </c>
      <c r="AU319" s="551"/>
      <c r="AV319" s="550"/>
      <c r="AW319" s="546"/>
      <c r="AX319" s="549"/>
      <c r="AY319" s="552"/>
      <c r="AZ319" s="523"/>
      <c r="BA319" s="524"/>
      <c r="BB319" s="550">
        <f t="shared" si="215"/>
        <v>0</v>
      </c>
      <c r="BC319" s="550">
        <f t="shared" si="216"/>
        <v>0</v>
      </c>
      <c r="BD319" s="575"/>
      <c r="BE319" s="552"/>
      <c r="BF319" s="504"/>
      <c r="BG319" s="522"/>
    </row>
    <row r="320" spans="1:62" s="704" customFormat="1" x14ac:dyDescent="0.2">
      <c r="A320" s="33"/>
      <c r="B320" s="271"/>
      <c r="C320" s="248"/>
      <c r="D320" s="540"/>
      <c r="E320" s="541"/>
      <c r="F320" s="542"/>
      <c r="G320" s="542"/>
      <c r="H320" s="542"/>
      <c r="I320" s="542"/>
      <c r="J320" s="542"/>
      <c r="K320" s="543"/>
      <c r="L320" s="542"/>
      <c r="M320" s="542"/>
      <c r="N320" s="542"/>
      <c r="O320" s="542"/>
      <c r="P320" s="544"/>
      <c r="Q320" s="544"/>
      <c r="R320" s="544"/>
      <c r="S320" s="544"/>
      <c r="T320" s="544"/>
      <c r="U320" s="544"/>
      <c r="V320" s="544"/>
      <c r="W320" s="544"/>
      <c r="X320" s="544"/>
      <c r="Y320" s="544"/>
      <c r="Z320" s="544"/>
      <c r="AA320" s="544"/>
      <c r="AB320" s="544"/>
      <c r="AC320" s="544"/>
      <c r="AD320" s="542"/>
      <c r="AE320" s="542"/>
      <c r="AF320" s="542"/>
      <c r="AG320" s="542"/>
      <c r="AH320" s="545"/>
      <c r="AI320" s="546"/>
      <c r="AJ320" s="547"/>
      <c r="AK320" s="548"/>
      <c r="AL320" s="546"/>
      <c r="AM320" s="546"/>
      <c r="AN320" s="547"/>
      <c r="AO320" s="548"/>
      <c r="AP320" s="549" t="s">
        <v>2050</v>
      </c>
      <c r="AQ320" s="550">
        <f>'N.1 GASB 68 LGERS'!C100</f>
        <v>0</v>
      </c>
      <c r="AR320" s="546"/>
      <c r="AS320" s="564"/>
      <c r="AT320" s="550"/>
      <c r="AU320" s="551"/>
      <c r="AV320" s="550"/>
      <c r="AW320" s="546"/>
      <c r="AX320" s="549"/>
      <c r="AY320" s="552"/>
      <c r="AZ320" s="523"/>
      <c r="BA320" s="524"/>
      <c r="BB320" s="550">
        <f t="shared" si="215"/>
        <v>0</v>
      </c>
      <c r="BC320" s="550">
        <f t="shared" si="216"/>
        <v>0</v>
      </c>
      <c r="BD320" s="575"/>
      <c r="BE320" s="552"/>
      <c r="BF320" s="504"/>
      <c r="BG320" s="522"/>
      <c r="BH320" s="1189"/>
      <c r="BI320" s="1193"/>
      <c r="BJ320" s="1206"/>
    </row>
    <row r="321" spans="1:62" s="1043" customFormat="1" x14ac:dyDescent="0.2">
      <c r="A321" s="33"/>
      <c r="B321" s="271"/>
      <c r="C321" s="248"/>
      <c r="D321" s="540"/>
      <c r="E321" s="541"/>
      <c r="F321" s="542"/>
      <c r="G321" s="542"/>
      <c r="H321" s="542"/>
      <c r="I321" s="542"/>
      <c r="J321" s="542"/>
      <c r="K321" s="543"/>
      <c r="L321" s="542"/>
      <c r="M321" s="542"/>
      <c r="N321" s="542"/>
      <c r="O321" s="542"/>
      <c r="P321" s="544"/>
      <c r="Q321" s="544"/>
      <c r="R321" s="544"/>
      <c r="S321" s="544"/>
      <c r="T321" s="544"/>
      <c r="U321" s="544"/>
      <c r="V321" s="544"/>
      <c r="W321" s="544"/>
      <c r="X321" s="544"/>
      <c r="Y321" s="544"/>
      <c r="Z321" s="544"/>
      <c r="AA321" s="544"/>
      <c r="AB321" s="544"/>
      <c r="AC321" s="544"/>
      <c r="AD321" s="542"/>
      <c r="AE321" s="542"/>
      <c r="AF321" s="542"/>
      <c r="AG321" s="542"/>
      <c r="AH321" s="545"/>
      <c r="AI321" s="546"/>
      <c r="AJ321" s="547"/>
      <c r="AK321" s="548"/>
      <c r="AL321" s="550"/>
      <c r="AM321" s="550"/>
      <c r="AN321" s="547"/>
      <c r="AO321" s="548"/>
      <c r="AP321" s="549" t="s">
        <v>4022</v>
      </c>
      <c r="AQ321" s="550">
        <f>'P.1 GASB 75 OPEB  - plan 1'!C108+'P.1 GASB 75 OPEB  - plan 1'!C117+'P.1 GASB 75 OPEB  - plan 1'!C126</f>
        <v>0</v>
      </c>
      <c r="AR321" s="546"/>
      <c r="AS321" s="549" t="s">
        <v>4022</v>
      </c>
      <c r="AT321" s="550">
        <f>'P.1 GASB 75 OPEB  - plan 1'!D108+'P.1 GASB 75 OPEB  - plan 1'!D117+'P.1 GASB 75 OPEB  - plan 1'!D126</f>
        <v>0</v>
      </c>
      <c r="AU321" s="551"/>
      <c r="AV321" s="550"/>
      <c r="AW321" s="546"/>
      <c r="AX321" s="549"/>
      <c r="AY321" s="552"/>
      <c r="AZ321" s="523"/>
      <c r="BA321" s="524"/>
      <c r="BB321" s="550">
        <f t="shared" si="215"/>
        <v>0</v>
      </c>
      <c r="BC321" s="550">
        <f t="shared" si="216"/>
        <v>0</v>
      </c>
      <c r="BD321" s="575"/>
      <c r="BE321" s="552"/>
      <c r="BF321" s="504"/>
      <c r="BG321" s="522"/>
      <c r="BH321" s="1189"/>
      <c r="BI321" s="1193"/>
      <c r="BJ321" s="1206"/>
    </row>
    <row r="322" spans="1:62" s="1099" customFormat="1" x14ac:dyDescent="0.2">
      <c r="A322" s="33"/>
      <c r="B322" s="271"/>
      <c r="C322" s="248"/>
      <c r="D322" s="540"/>
      <c r="E322" s="541"/>
      <c r="F322" s="542"/>
      <c r="G322" s="542"/>
      <c r="H322" s="542"/>
      <c r="I322" s="542"/>
      <c r="J322" s="542"/>
      <c r="K322" s="543"/>
      <c r="L322" s="542"/>
      <c r="M322" s="542"/>
      <c r="N322" s="542"/>
      <c r="O322" s="542"/>
      <c r="P322" s="544"/>
      <c r="Q322" s="544"/>
      <c r="R322" s="544"/>
      <c r="S322" s="544"/>
      <c r="T322" s="544"/>
      <c r="U322" s="544"/>
      <c r="V322" s="544"/>
      <c r="W322" s="544"/>
      <c r="X322" s="544"/>
      <c r="Y322" s="544"/>
      <c r="Z322" s="544"/>
      <c r="AA322" s="544"/>
      <c r="AB322" s="544"/>
      <c r="AC322" s="544"/>
      <c r="AD322" s="542"/>
      <c r="AE322" s="542"/>
      <c r="AF322" s="542"/>
      <c r="AG322" s="542"/>
      <c r="AH322" s="545"/>
      <c r="AI322" s="546"/>
      <c r="AJ322" s="547"/>
      <c r="AK322" s="548"/>
      <c r="AL322" s="550"/>
      <c r="AM322" s="550"/>
      <c r="AN322" s="547"/>
      <c r="AO322" s="548"/>
      <c r="AP322" s="549" t="s">
        <v>4023</v>
      </c>
      <c r="AQ322" s="550">
        <f>'P.2 GASB 75 OPEB - plan 2'!C108+'P.2 GASB 75 OPEB - plan 2'!C117+'P.2 GASB 75 OPEB - plan 2'!C126</f>
        <v>0</v>
      </c>
      <c r="AR322" s="546"/>
      <c r="AS322" s="549" t="s">
        <v>4023</v>
      </c>
      <c r="AT322" s="550">
        <f>'P.2 GASB 75 OPEB - plan 2'!D108+'P.2 GASB 75 OPEB - plan 2'!D117+'P.2 GASB 75 OPEB - plan 2'!D126</f>
        <v>0</v>
      </c>
      <c r="AU322" s="551"/>
      <c r="AV322" s="550"/>
      <c r="AW322" s="546"/>
      <c r="AX322" s="549"/>
      <c r="AY322" s="552"/>
      <c r="AZ322" s="523"/>
      <c r="BA322" s="524"/>
      <c r="BB322" s="550">
        <f t="shared" ref="BB322:BB324" si="217">ROUND(AJ322+AL322+AN322+AQ322+AV322+AZ322,0)</f>
        <v>0</v>
      </c>
      <c r="BC322" s="550">
        <f t="shared" ref="BC322:BC324" si="218">ROUND(AK322+AM322+AO322+AT322+AY322+BA322,0)</f>
        <v>0</v>
      </c>
      <c r="BD322" s="575"/>
      <c r="BE322" s="552"/>
      <c r="BF322" s="504"/>
      <c r="BG322" s="522"/>
      <c r="BH322" s="1189"/>
      <c r="BI322" s="1193"/>
      <c r="BJ322" s="1206"/>
    </row>
    <row r="323" spans="1:62" s="1099" customFormat="1" x14ac:dyDescent="0.2">
      <c r="A323" s="33"/>
      <c r="B323" s="271"/>
      <c r="C323" s="248"/>
      <c r="D323" s="540"/>
      <c r="E323" s="541"/>
      <c r="F323" s="542"/>
      <c r="G323" s="542"/>
      <c r="H323" s="542"/>
      <c r="I323" s="542"/>
      <c r="J323" s="542"/>
      <c r="K323" s="543"/>
      <c r="L323" s="542"/>
      <c r="M323" s="542"/>
      <c r="N323" s="542"/>
      <c r="O323" s="542"/>
      <c r="P323" s="544"/>
      <c r="Q323" s="544"/>
      <c r="R323" s="544"/>
      <c r="S323" s="544"/>
      <c r="T323" s="544"/>
      <c r="U323" s="544"/>
      <c r="V323" s="544"/>
      <c r="W323" s="544"/>
      <c r="X323" s="544"/>
      <c r="Y323" s="544"/>
      <c r="Z323" s="544"/>
      <c r="AA323" s="544"/>
      <c r="AB323" s="544"/>
      <c r="AC323" s="544"/>
      <c r="AD323" s="542"/>
      <c r="AE323" s="542"/>
      <c r="AF323" s="542"/>
      <c r="AG323" s="542"/>
      <c r="AH323" s="545"/>
      <c r="AI323" s="546"/>
      <c r="AJ323" s="547"/>
      <c r="AK323" s="548"/>
      <c r="AL323" s="550"/>
      <c r="AM323" s="550"/>
      <c r="AN323" s="547"/>
      <c r="AO323" s="548"/>
      <c r="AP323" s="549" t="s">
        <v>4024</v>
      </c>
      <c r="AQ323" s="550">
        <f>'P.3 GASB 75 OPEB - plan 3'!C108+'P.3 GASB 75 OPEB - plan 3'!C117+'P.3 GASB 75 OPEB - plan 3'!C126</f>
        <v>0</v>
      </c>
      <c r="AR323" s="546"/>
      <c r="AS323" s="549" t="s">
        <v>4024</v>
      </c>
      <c r="AT323" s="550">
        <f>'P.3 GASB 75 OPEB - plan 3'!D108+'P.3 GASB 75 OPEB - plan 3'!D117+'P.3 GASB 75 OPEB - plan 3'!D126</f>
        <v>0</v>
      </c>
      <c r="AU323" s="551"/>
      <c r="AV323" s="550"/>
      <c r="AW323" s="546"/>
      <c r="AX323" s="549"/>
      <c r="AY323" s="552"/>
      <c r="AZ323" s="523"/>
      <c r="BA323" s="524"/>
      <c r="BB323" s="550">
        <f t="shared" si="217"/>
        <v>0</v>
      </c>
      <c r="BC323" s="550">
        <f t="shared" si="218"/>
        <v>0</v>
      </c>
      <c r="BD323" s="575"/>
      <c r="BE323" s="552"/>
      <c r="BF323" s="504"/>
      <c r="BG323" s="522"/>
      <c r="BH323" s="1189"/>
      <c r="BI323" s="1193"/>
      <c r="BJ323" s="1206"/>
    </row>
    <row r="324" spans="1:62" s="1241" customFormat="1" x14ac:dyDescent="0.2">
      <c r="A324" s="33"/>
      <c r="B324" s="271"/>
      <c r="C324" s="248"/>
      <c r="D324" s="540"/>
      <c r="E324" s="541"/>
      <c r="F324" s="542"/>
      <c r="G324" s="542"/>
      <c r="H324" s="542"/>
      <c r="I324" s="542"/>
      <c r="J324" s="542"/>
      <c r="K324" s="543"/>
      <c r="L324" s="542"/>
      <c r="M324" s="542"/>
      <c r="N324" s="542"/>
      <c r="O324" s="542"/>
      <c r="P324" s="544"/>
      <c r="Q324" s="544"/>
      <c r="R324" s="544"/>
      <c r="S324" s="544"/>
      <c r="T324" s="544"/>
      <c r="U324" s="544"/>
      <c r="V324" s="544"/>
      <c r="W324" s="544"/>
      <c r="X324" s="544"/>
      <c r="Y324" s="544"/>
      <c r="Z324" s="544"/>
      <c r="AA324" s="544"/>
      <c r="AB324" s="544"/>
      <c r="AC324" s="544"/>
      <c r="AD324" s="542"/>
      <c r="AE324" s="542"/>
      <c r="AF324" s="542"/>
      <c r="AG324" s="542"/>
      <c r="AH324" s="545"/>
      <c r="AI324" s="546"/>
      <c r="AJ324" s="547"/>
      <c r="AK324" s="548"/>
      <c r="AL324" s="550"/>
      <c r="AM324" s="550"/>
      <c r="AN324" s="547"/>
      <c r="AO324" s="548"/>
      <c r="AP324" s="549" t="s">
        <v>4117</v>
      </c>
      <c r="AQ324" s="550">
        <f>'Q. GASB 87 Lease Entries'!M71</f>
        <v>0</v>
      </c>
      <c r="AR324" s="546"/>
      <c r="AS324" s="549" t="s">
        <v>4113</v>
      </c>
      <c r="AT324" s="550">
        <f>'Q. GASB 87 Lease Entries'!O35</f>
        <v>0</v>
      </c>
      <c r="AU324" s="551"/>
      <c r="AV324" s="550"/>
      <c r="AW324" s="546"/>
      <c r="AX324" s="549"/>
      <c r="AY324" s="552"/>
      <c r="AZ324" s="523"/>
      <c r="BA324" s="524"/>
      <c r="BB324" s="550">
        <f t="shared" si="217"/>
        <v>0</v>
      </c>
      <c r="BC324" s="550">
        <f t="shared" si="218"/>
        <v>0</v>
      </c>
      <c r="BD324" s="575"/>
      <c r="BE324" s="552"/>
      <c r="BF324" s="504"/>
      <c r="BG324" s="522"/>
      <c r="BH324" s="1189"/>
      <c r="BI324" s="1193"/>
      <c r="BJ324" s="1206"/>
    </row>
    <row r="325" spans="1:62" s="13" customFormat="1" ht="6" customHeight="1" x14ac:dyDescent="0.2">
      <c r="A325" s="33"/>
      <c r="B325" s="31"/>
      <c r="C325" s="31"/>
      <c r="D325" s="531"/>
      <c r="E325" s="532"/>
      <c r="F325" s="528"/>
      <c r="G325" s="528"/>
      <c r="H325" s="528"/>
      <c r="I325" s="528"/>
      <c r="J325" s="528"/>
      <c r="K325" s="533"/>
      <c r="L325" s="528"/>
      <c r="M325" s="528"/>
      <c r="N325" s="528"/>
      <c r="O325" s="528"/>
      <c r="P325" s="527"/>
      <c r="Q325" s="527"/>
      <c r="R325" s="527"/>
      <c r="S325" s="527"/>
      <c r="T325" s="527"/>
      <c r="U325" s="527"/>
      <c r="V325" s="527"/>
      <c r="W325" s="527"/>
      <c r="X325" s="527"/>
      <c r="Y325" s="527"/>
      <c r="Z325" s="527"/>
      <c r="AA325" s="527"/>
      <c r="AB325" s="527"/>
      <c r="AC325" s="527"/>
      <c r="AD325" s="528"/>
      <c r="AE325" s="528"/>
      <c r="AF325" s="528"/>
      <c r="AG325" s="528"/>
      <c r="AH325" s="529"/>
      <c r="AI325" s="537"/>
      <c r="AJ325" s="534"/>
      <c r="AK325" s="535"/>
      <c r="AL325" s="537"/>
      <c r="AM325" s="537"/>
      <c r="AN325" s="534"/>
      <c r="AO325" s="535"/>
      <c r="AP325" s="579"/>
      <c r="AQ325" s="580"/>
      <c r="AR325" s="537"/>
      <c r="AS325" s="536"/>
      <c r="AT325" s="432"/>
      <c r="AU325" s="539"/>
      <c r="AV325" s="432"/>
      <c r="AW325" s="537"/>
      <c r="AX325" s="536"/>
      <c r="AY325" s="538"/>
      <c r="AZ325" s="527"/>
      <c r="BA325" s="562"/>
      <c r="BB325" s="432"/>
      <c r="BC325" s="432"/>
      <c r="BD325" s="571"/>
      <c r="BE325" s="538"/>
      <c r="BF325" s="432"/>
      <c r="BG325" s="538"/>
      <c r="BH325" s="1191"/>
      <c r="BI325" s="1194"/>
      <c r="BJ325" s="1206"/>
    </row>
    <row r="326" spans="1:62" x14ac:dyDescent="0.2">
      <c r="A326" s="33"/>
      <c r="B326" s="271" t="s">
        <v>183</v>
      </c>
      <c r="C326" s="248"/>
      <c r="D326" s="540"/>
      <c r="E326" s="541"/>
      <c r="F326" s="542"/>
      <c r="G326" s="542"/>
      <c r="H326" s="542"/>
      <c r="I326" s="542"/>
      <c r="J326" s="542"/>
      <c r="K326" s="543"/>
      <c r="L326" s="542"/>
      <c r="M326" s="542"/>
      <c r="N326" s="542"/>
      <c r="O326" s="542"/>
      <c r="P326" s="544"/>
      <c r="Q326" s="544"/>
      <c r="R326" s="544"/>
      <c r="S326" s="544"/>
      <c r="T326" s="544"/>
      <c r="U326" s="544"/>
      <c r="V326" s="544"/>
      <c r="W326" s="544"/>
      <c r="X326" s="544"/>
      <c r="Y326" s="544"/>
      <c r="Z326" s="544"/>
      <c r="AA326" s="544"/>
      <c r="AB326" s="544"/>
      <c r="AC326" s="544"/>
      <c r="AD326" s="542"/>
      <c r="AE326" s="542"/>
      <c r="AF326" s="542"/>
      <c r="AG326" s="542"/>
      <c r="AH326" s="545">
        <f t="shared" ref="AH326:AH329" si="219">L326+N326+P326+R326+T326+V326+X326+Z326+AB326+AD326+AF326</f>
        <v>0</v>
      </c>
      <c r="AI326" s="546">
        <f t="shared" ref="AI326:AI329" si="220">M326+O326+Q326+S326+U326+W326+Y326+AA326+AC326+AE326+AG326</f>
        <v>0</v>
      </c>
      <c r="AJ326" s="547">
        <f t="shared" ref="AJ326:AK329" si="221">D326+F326+H326+J326+AH326</f>
        <v>0</v>
      </c>
      <c r="AK326" s="548">
        <f t="shared" si="221"/>
        <v>0</v>
      </c>
      <c r="AL326" s="546"/>
      <c r="AM326" s="546"/>
      <c r="AN326" s="547"/>
      <c r="AO326" s="548"/>
      <c r="AP326" s="549" t="str">
        <f>'D. Depreciation'!A55</f>
        <v>D.1</v>
      </c>
      <c r="AQ326" s="550">
        <f>'D. Depreciation'!J60</f>
        <v>0</v>
      </c>
      <c r="AR326" s="546"/>
      <c r="AS326" s="549" t="str">
        <f>'E. Capital Outlay'!D54</f>
        <v>E.1</v>
      </c>
      <c r="AT326" s="550">
        <f>'E. Capital Outlay'!N69</f>
        <v>0</v>
      </c>
      <c r="AU326" s="551" t="str">
        <f>'L. Eliminations-Consolidations'!A243</f>
        <v>L.7</v>
      </c>
      <c r="AV326" s="550">
        <f>'L. Eliminations-Consolidations'!J247</f>
        <v>0</v>
      </c>
      <c r="AW326" s="546"/>
      <c r="AX326" s="554" t="s">
        <v>637</v>
      </c>
      <c r="AY326" s="550">
        <f>'K.1  Int. Service Fd Allocation'!G213+'K.2  Int. Service Fd Alloca'!G208+'K.3 Int. Service Fd Alloca'!G208</f>
        <v>0</v>
      </c>
      <c r="AZ326" s="555"/>
      <c r="BA326" s="524"/>
      <c r="BB326" s="550">
        <f t="shared" ref="BB326:BB331" si="222">ROUND(AJ326+AL326+AN326+AQ326+AV326+AZ326,0)</f>
        <v>0</v>
      </c>
      <c r="BC326" s="550">
        <f t="shared" ref="BC326:BC331" si="223">ROUND(AK326+AM326+AO326+AT326+AY326+BA326,0)</f>
        <v>0</v>
      </c>
      <c r="BD326" s="575" t="str">
        <f>IF((SUM(BB326:BB334))-(SUM(BC326:BC334))&lt;=0," ",(SUM(BB326:BB334))-(SUM(BC326:BC334)))</f>
        <v xml:space="preserve"> </v>
      </c>
      <c r="BE326" s="552">
        <f>IF((SUM(BB326:BB334))-(SUM(BC326:BC334))&gt;0," ",-(SUM(BB326:BB334))+(SUM(BC326:BC334)))</f>
        <v>0</v>
      </c>
      <c r="BF326" s="504"/>
      <c r="BG326" s="522"/>
    </row>
    <row r="327" spans="1:62" x14ac:dyDescent="0.2">
      <c r="A327" s="33"/>
      <c r="B327" s="271"/>
      <c r="C327" s="248"/>
      <c r="D327" s="540"/>
      <c r="E327" s="541"/>
      <c r="F327" s="542"/>
      <c r="G327" s="542"/>
      <c r="H327" s="542"/>
      <c r="I327" s="542"/>
      <c r="J327" s="542"/>
      <c r="K327" s="543"/>
      <c r="L327" s="542"/>
      <c r="M327" s="542"/>
      <c r="N327" s="542"/>
      <c r="O327" s="542"/>
      <c r="P327" s="544"/>
      <c r="Q327" s="544"/>
      <c r="R327" s="544"/>
      <c r="S327" s="544"/>
      <c r="T327" s="544"/>
      <c r="U327" s="544"/>
      <c r="V327" s="544"/>
      <c r="W327" s="544"/>
      <c r="X327" s="544"/>
      <c r="Y327" s="544"/>
      <c r="Z327" s="544"/>
      <c r="AA327" s="544"/>
      <c r="AB327" s="544"/>
      <c r="AC327" s="544"/>
      <c r="AD327" s="542"/>
      <c r="AE327" s="542"/>
      <c r="AF327" s="542"/>
      <c r="AG327" s="542"/>
      <c r="AH327" s="545">
        <f t="shared" si="219"/>
        <v>0</v>
      </c>
      <c r="AI327" s="546">
        <f t="shared" si="220"/>
        <v>0</v>
      </c>
      <c r="AJ327" s="547">
        <f t="shared" si="221"/>
        <v>0</v>
      </c>
      <c r="AK327" s="548">
        <f t="shared" si="221"/>
        <v>0</v>
      </c>
      <c r="AL327" s="546"/>
      <c r="AM327" s="546"/>
      <c r="AN327" s="547"/>
      <c r="AO327" s="548"/>
      <c r="AP327" s="549" t="str">
        <f>'J. Other Liability &amp; Expenses'!D203</f>
        <v>J.1</v>
      </c>
      <c r="AQ327" s="550">
        <f>'J. Other Liability &amp; Expenses'!L207</f>
        <v>0</v>
      </c>
      <c r="AR327" s="546"/>
      <c r="AS327" s="564" t="str">
        <f>'I.  Other Asset Entries'!B108</f>
        <v>I.1</v>
      </c>
      <c r="AT327" s="550">
        <f>'I.  Other Asset Entries'!N117</f>
        <v>0</v>
      </c>
      <c r="AU327" s="551"/>
      <c r="AV327" s="550"/>
      <c r="AW327" s="546"/>
      <c r="AX327" s="549"/>
      <c r="AY327" s="552"/>
      <c r="AZ327" s="523"/>
      <c r="BA327" s="524"/>
      <c r="BB327" s="550">
        <f t="shared" si="222"/>
        <v>0</v>
      </c>
      <c r="BC327" s="550">
        <f t="shared" si="223"/>
        <v>0</v>
      </c>
      <c r="BD327" s="575"/>
      <c r="BE327" s="552"/>
      <c r="BF327" s="504"/>
      <c r="BG327" s="522"/>
    </row>
    <row r="328" spans="1:62" x14ac:dyDescent="0.2">
      <c r="A328" s="33"/>
      <c r="B328" s="271"/>
      <c r="C328" s="248"/>
      <c r="D328" s="540"/>
      <c r="E328" s="541"/>
      <c r="F328" s="542"/>
      <c r="G328" s="542"/>
      <c r="H328" s="542"/>
      <c r="I328" s="542"/>
      <c r="J328" s="542"/>
      <c r="K328" s="543"/>
      <c r="L328" s="542"/>
      <c r="M328" s="542"/>
      <c r="N328" s="542"/>
      <c r="O328" s="542"/>
      <c r="P328" s="544"/>
      <c r="Q328" s="544"/>
      <c r="R328" s="544"/>
      <c r="S328" s="544"/>
      <c r="T328" s="544"/>
      <c r="U328" s="544"/>
      <c r="V328" s="544"/>
      <c r="W328" s="544"/>
      <c r="X328" s="544"/>
      <c r="Y328" s="544"/>
      <c r="Z328" s="544"/>
      <c r="AA328" s="544"/>
      <c r="AB328" s="544"/>
      <c r="AC328" s="544"/>
      <c r="AD328" s="542"/>
      <c r="AE328" s="542"/>
      <c r="AF328" s="542"/>
      <c r="AG328" s="542"/>
      <c r="AH328" s="545">
        <f t="shared" si="219"/>
        <v>0</v>
      </c>
      <c r="AI328" s="546">
        <f t="shared" si="220"/>
        <v>0</v>
      </c>
      <c r="AJ328" s="547">
        <f t="shared" si="221"/>
        <v>0</v>
      </c>
      <c r="AK328" s="548">
        <f t="shared" si="221"/>
        <v>0</v>
      </c>
      <c r="AL328" s="546"/>
      <c r="AM328" s="546"/>
      <c r="AN328" s="547"/>
      <c r="AO328" s="548"/>
      <c r="AP328" s="549" t="str">
        <f>'F.  Other Cap Asset Entries'!D256</f>
        <v>F.3</v>
      </c>
      <c r="AQ328" s="550">
        <f>'F.  Other Cap Asset Entries'!M259</f>
        <v>0</v>
      </c>
      <c r="AR328" s="546"/>
      <c r="AS328" s="564" t="str">
        <f>'J. Other Liability &amp; Expenses'!D203</f>
        <v>J.1</v>
      </c>
      <c r="AT328" s="550">
        <f>'J. Other Liability &amp; Expenses'!N207</f>
        <v>0</v>
      </c>
      <c r="AU328" s="551" t="str">
        <f>'L. Eliminations-Consolidations'!B273</f>
        <v>L.8</v>
      </c>
      <c r="AV328" s="550">
        <f>'L. Eliminations-Consolidations'!J278</f>
        <v>0</v>
      </c>
      <c r="AW328" s="546"/>
      <c r="AX328" s="549" t="str">
        <f>'L. Eliminations-Consolidations'!B273</f>
        <v>L.8</v>
      </c>
      <c r="AY328" s="552">
        <f>'L. Eliminations-Consolidations'!L278</f>
        <v>0</v>
      </c>
      <c r="AZ328" s="523"/>
      <c r="BA328" s="524"/>
      <c r="BB328" s="550">
        <f t="shared" si="222"/>
        <v>0</v>
      </c>
      <c r="BC328" s="550">
        <f t="shared" si="223"/>
        <v>0</v>
      </c>
      <c r="BD328" s="575"/>
      <c r="BE328" s="552"/>
      <c r="BF328" s="504"/>
      <c r="BG328" s="522"/>
    </row>
    <row r="329" spans="1:62" x14ac:dyDescent="0.2">
      <c r="A329" s="33"/>
      <c r="B329" s="271"/>
      <c r="C329" s="248"/>
      <c r="D329" s="540"/>
      <c r="E329" s="541"/>
      <c r="F329" s="542"/>
      <c r="G329" s="542"/>
      <c r="H329" s="542"/>
      <c r="I329" s="542"/>
      <c r="J329" s="542"/>
      <c r="K329" s="543"/>
      <c r="L329" s="542"/>
      <c r="M329" s="542"/>
      <c r="N329" s="542"/>
      <c r="O329" s="542"/>
      <c r="P329" s="544"/>
      <c r="Q329" s="544"/>
      <c r="R329" s="544"/>
      <c r="S329" s="544"/>
      <c r="T329" s="544"/>
      <c r="U329" s="544"/>
      <c r="V329" s="544"/>
      <c r="W329" s="544"/>
      <c r="X329" s="544"/>
      <c r="Y329" s="544"/>
      <c r="Z329" s="544"/>
      <c r="AA329" s="544"/>
      <c r="AB329" s="544"/>
      <c r="AC329" s="544"/>
      <c r="AD329" s="542"/>
      <c r="AE329" s="542"/>
      <c r="AF329" s="542"/>
      <c r="AG329" s="542"/>
      <c r="AH329" s="545">
        <f t="shared" si="219"/>
        <v>0</v>
      </c>
      <c r="AI329" s="546">
        <f t="shared" si="220"/>
        <v>0</v>
      </c>
      <c r="AJ329" s="547">
        <f t="shared" si="221"/>
        <v>0</v>
      </c>
      <c r="AK329" s="548">
        <f t="shared" si="221"/>
        <v>0</v>
      </c>
      <c r="AL329" s="546"/>
      <c r="AM329" s="546"/>
      <c r="AN329" s="547"/>
      <c r="AO329" s="548"/>
      <c r="AP329" s="549" t="s">
        <v>624</v>
      </c>
      <c r="AQ329" s="550">
        <f>'F.  Other Cap Asset Entries'!M281</f>
        <v>0</v>
      </c>
      <c r="AR329" s="546"/>
      <c r="AS329" s="564" t="s">
        <v>2050</v>
      </c>
      <c r="AT329" s="550">
        <f>'N.1 GASB 68 LGERS'!D101</f>
        <v>0</v>
      </c>
      <c r="AU329" s="551"/>
      <c r="AV329" s="550"/>
      <c r="AW329" s="546"/>
      <c r="AX329" s="549"/>
      <c r="AY329" s="552"/>
      <c r="AZ329" s="523"/>
      <c r="BA329" s="524"/>
      <c r="BB329" s="550">
        <f t="shared" si="222"/>
        <v>0</v>
      </c>
      <c r="BC329" s="550">
        <f t="shared" si="223"/>
        <v>0</v>
      </c>
      <c r="BD329" s="575"/>
      <c r="BE329" s="552"/>
      <c r="BF329" s="504"/>
      <c r="BG329" s="522"/>
    </row>
    <row r="330" spans="1:62" s="704" customFormat="1" x14ac:dyDescent="0.2">
      <c r="A330" s="33"/>
      <c r="B330" s="271"/>
      <c r="C330" s="248"/>
      <c r="D330" s="540"/>
      <c r="E330" s="541"/>
      <c r="F330" s="542"/>
      <c r="G330" s="542"/>
      <c r="H330" s="542"/>
      <c r="I330" s="542"/>
      <c r="J330" s="542"/>
      <c r="K330" s="543"/>
      <c r="L330" s="542"/>
      <c r="M330" s="542"/>
      <c r="N330" s="542"/>
      <c r="O330" s="542"/>
      <c r="P330" s="544"/>
      <c r="Q330" s="544"/>
      <c r="R330" s="544"/>
      <c r="S330" s="544"/>
      <c r="T330" s="544"/>
      <c r="U330" s="544"/>
      <c r="V330" s="544"/>
      <c r="W330" s="544"/>
      <c r="X330" s="544"/>
      <c r="Y330" s="544"/>
      <c r="Z330" s="544"/>
      <c r="AA330" s="544"/>
      <c r="AB330" s="544"/>
      <c r="AC330" s="544"/>
      <c r="AD330" s="542"/>
      <c r="AE330" s="542"/>
      <c r="AF330" s="542"/>
      <c r="AG330" s="542"/>
      <c r="AH330" s="545"/>
      <c r="AI330" s="546"/>
      <c r="AJ330" s="547"/>
      <c r="AK330" s="548"/>
      <c r="AL330" s="546"/>
      <c r="AM330" s="546"/>
      <c r="AN330" s="547"/>
      <c r="AO330" s="548"/>
      <c r="AP330" s="549" t="s">
        <v>2050</v>
      </c>
      <c r="AQ330" s="550">
        <f>'N.1 GASB 68 LGERS'!C101</f>
        <v>0</v>
      </c>
      <c r="AR330" s="546"/>
      <c r="AS330" s="564"/>
      <c r="AT330" s="550"/>
      <c r="AU330" s="551"/>
      <c r="AV330" s="550"/>
      <c r="AW330" s="546"/>
      <c r="AX330" s="549"/>
      <c r="AY330" s="552"/>
      <c r="AZ330" s="523"/>
      <c r="BA330" s="524"/>
      <c r="BB330" s="550">
        <f t="shared" si="222"/>
        <v>0</v>
      </c>
      <c r="BC330" s="550">
        <f t="shared" si="223"/>
        <v>0</v>
      </c>
      <c r="BD330" s="575"/>
      <c r="BE330" s="552"/>
      <c r="BF330" s="504"/>
      <c r="BG330" s="522"/>
      <c r="BH330" s="1189"/>
      <c r="BI330" s="1193"/>
      <c r="BJ330" s="1206"/>
    </row>
    <row r="331" spans="1:62" s="1043" customFormat="1" x14ac:dyDescent="0.2">
      <c r="A331" s="33"/>
      <c r="B331" s="271"/>
      <c r="C331" s="248"/>
      <c r="D331" s="540"/>
      <c r="E331" s="541"/>
      <c r="F331" s="542"/>
      <c r="G331" s="542"/>
      <c r="H331" s="542"/>
      <c r="I331" s="542"/>
      <c r="J331" s="542"/>
      <c r="K331" s="543"/>
      <c r="L331" s="542"/>
      <c r="M331" s="542"/>
      <c r="N331" s="542"/>
      <c r="O331" s="542"/>
      <c r="P331" s="544"/>
      <c r="Q331" s="544"/>
      <c r="R331" s="544"/>
      <c r="S331" s="544"/>
      <c r="T331" s="544"/>
      <c r="U331" s="544"/>
      <c r="V331" s="544"/>
      <c r="W331" s="544"/>
      <c r="X331" s="544"/>
      <c r="Y331" s="544"/>
      <c r="Z331" s="544"/>
      <c r="AA331" s="544"/>
      <c r="AB331" s="544"/>
      <c r="AC331" s="544"/>
      <c r="AD331" s="542"/>
      <c r="AE331" s="542"/>
      <c r="AF331" s="542"/>
      <c r="AG331" s="542"/>
      <c r="AH331" s="545"/>
      <c r="AI331" s="546"/>
      <c r="AJ331" s="547"/>
      <c r="AK331" s="548"/>
      <c r="AL331" s="550"/>
      <c r="AM331" s="550"/>
      <c r="AN331" s="547"/>
      <c r="AO331" s="548"/>
      <c r="AP331" s="549" t="s">
        <v>4022</v>
      </c>
      <c r="AQ331" s="550">
        <f>'P.1 GASB 75 OPEB  - plan 1'!C109+'P.1 GASB 75 OPEB  - plan 1'!C118+'P.1 GASB 75 OPEB  - plan 1'!C127</f>
        <v>0</v>
      </c>
      <c r="AR331" s="546"/>
      <c r="AS331" s="549" t="s">
        <v>4022</v>
      </c>
      <c r="AT331" s="550">
        <f>'P.1 GASB 75 OPEB  - plan 1'!D109+'P.1 GASB 75 OPEB  - plan 1'!D118+'P.1 GASB 75 OPEB  - plan 1'!D127</f>
        <v>0</v>
      </c>
      <c r="AU331" s="551"/>
      <c r="AV331" s="550"/>
      <c r="AW331" s="546"/>
      <c r="AX331" s="549"/>
      <c r="AY331" s="552"/>
      <c r="AZ331" s="523"/>
      <c r="BA331" s="524"/>
      <c r="BB331" s="550">
        <f t="shared" si="222"/>
        <v>0</v>
      </c>
      <c r="BC331" s="550">
        <f t="shared" si="223"/>
        <v>0</v>
      </c>
      <c r="BD331" s="575"/>
      <c r="BE331" s="552"/>
      <c r="BF331" s="504"/>
      <c r="BG331" s="522"/>
      <c r="BH331" s="1189"/>
      <c r="BI331" s="1193"/>
      <c r="BJ331" s="1206"/>
    </row>
    <row r="332" spans="1:62" s="1099" customFormat="1" x14ac:dyDescent="0.2">
      <c r="A332" s="33"/>
      <c r="B332" s="271"/>
      <c r="C332" s="248"/>
      <c r="D332" s="540"/>
      <c r="E332" s="541"/>
      <c r="F332" s="542"/>
      <c r="G332" s="542"/>
      <c r="H332" s="542"/>
      <c r="I332" s="542"/>
      <c r="J332" s="542"/>
      <c r="K332" s="543"/>
      <c r="L332" s="542"/>
      <c r="M332" s="542"/>
      <c r="N332" s="542"/>
      <c r="O332" s="542"/>
      <c r="P332" s="544"/>
      <c r="Q332" s="544"/>
      <c r="R332" s="544"/>
      <c r="S332" s="544"/>
      <c r="T332" s="544"/>
      <c r="U332" s="544"/>
      <c r="V332" s="544"/>
      <c r="W332" s="544"/>
      <c r="X332" s="544"/>
      <c r="Y332" s="544"/>
      <c r="Z332" s="544"/>
      <c r="AA332" s="544"/>
      <c r="AB332" s="544"/>
      <c r="AC332" s="544"/>
      <c r="AD332" s="542"/>
      <c r="AE332" s="542"/>
      <c r="AF332" s="542"/>
      <c r="AG332" s="542"/>
      <c r="AH332" s="545"/>
      <c r="AI332" s="546"/>
      <c r="AJ332" s="547"/>
      <c r="AK332" s="548"/>
      <c r="AL332" s="550"/>
      <c r="AM332" s="550"/>
      <c r="AN332" s="547"/>
      <c r="AO332" s="548"/>
      <c r="AP332" s="549" t="s">
        <v>4023</v>
      </c>
      <c r="AQ332" s="550">
        <f>'P.2 GASB 75 OPEB - plan 2'!C109+'P.2 GASB 75 OPEB - plan 2'!C118+'P.2 GASB 75 OPEB - plan 2'!C127</f>
        <v>0</v>
      </c>
      <c r="AR332" s="546"/>
      <c r="AS332" s="549" t="s">
        <v>4023</v>
      </c>
      <c r="AT332" s="550">
        <f>'P.2 GASB 75 OPEB - plan 2'!D109+'P.2 GASB 75 OPEB - plan 2'!D118+'P.2 GASB 75 OPEB - plan 2'!D127</f>
        <v>0</v>
      </c>
      <c r="AU332" s="551"/>
      <c r="AV332" s="550"/>
      <c r="AW332" s="546"/>
      <c r="AX332" s="549"/>
      <c r="AY332" s="552"/>
      <c r="AZ332" s="523"/>
      <c r="BA332" s="524"/>
      <c r="BB332" s="550">
        <f t="shared" ref="BB332:BB334" si="224">ROUND(AJ332+AL332+AN332+AQ332+AV332+AZ332,0)</f>
        <v>0</v>
      </c>
      <c r="BC332" s="550">
        <f t="shared" ref="BC332:BC334" si="225">ROUND(AK332+AM332+AO332+AT332+AY332+BA332,0)</f>
        <v>0</v>
      </c>
      <c r="BD332" s="575"/>
      <c r="BE332" s="552"/>
      <c r="BF332" s="504"/>
      <c r="BG332" s="522"/>
      <c r="BH332" s="1189"/>
      <c r="BI332" s="1193"/>
      <c r="BJ332" s="1206"/>
    </row>
    <row r="333" spans="1:62" s="1099" customFormat="1" x14ac:dyDescent="0.2">
      <c r="A333" s="33"/>
      <c r="B333" s="271"/>
      <c r="C333" s="248"/>
      <c r="D333" s="540"/>
      <c r="E333" s="541"/>
      <c r="F333" s="542"/>
      <c r="G333" s="542"/>
      <c r="H333" s="542"/>
      <c r="I333" s="542"/>
      <c r="J333" s="542"/>
      <c r="K333" s="543"/>
      <c r="L333" s="542"/>
      <c r="M333" s="542"/>
      <c r="N333" s="542"/>
      <c r="O333" s="542"/>
      <c r="P333" s="544"/>
      <c r="Q333" s="544"/>
      <c r="R333" s="544"/>
      <c r="S333" s="544"/>
      <c r="T333" s="544"/>
      <c r="U333" s="544"/>
      <c r="V333" s="544"/>
      <c r="W333" s="544"/>
      <c r="X333" s="544"/>
      <c r="Y333" s="544"/>
      <c r="Z333" s="544"/>
      <c r="AA333" s="544"/>
      <c r="AB333" s="544"/>
      <c r="AC333" s="544"/>
      <c r="AD333" s="542"/>
      <c r="AE333" s="542"/>
      <c r="AF333" s="542"/>
      <c r="AG333" s="542"/>
      <c r="AH333" s="545"/>
      <c r="AI333" s="546"/>
      <c r="AJ333" s="547"/>
      <c r="AK333" s="548"/>
      <c r="AL333" s="550"/>
      <c r="AM333" s="550"/>
      <c r="AN333" s="547"/>
      <c r="AO333" s="548"/>
      <c r="AP333" s="549" t="s">
        <v>4024</v>
      </c>
      <c r="AQ333" s="550">
        <f>'P.3 GASB 75 OPEB - plan 3'!C109+'P.3 GASB 75 OPEB - plan 3'!C118+'P.3 GASB 75 OPEB - plan 3'!C127</f>
        <v>0</v>
      </c>
      <c r="AR333" s="546"/>
      <c r="AS333" s="549" t="s">
        <v>4024</v>
      </c>
      <c r="AT333" s="550">
        <f>'P.3 GASB 75 OPEB - plan 3'!D109+'P.3 GASB 75 OPEB - plan 3'!D118+'P.3 GASB 75 OPEB - plan 3'!D127</f>
        <v>0</v>
      </c>
      <c r="AU333" s="551"/>
      <c r="AV333" s="550"/>
      <c r="AW333" s="546"/>
      <c r="AX333" s="549"/>
      <c r="AY333" s="552"/>
      <c r="AZ333" s="523"/>
      <c r="BA333" s="524"/>
      <c r="BB333" s="550">
        <f t="shared" si="224"/>
        <v>0</v>
      </c>
      <c r="BC333" s="550">
        <f t="shared" si="225"/>
        <v>0</v>
      </c>
      <c r="BD333" s="575"/>
      <c r="BE333" s="552"/>
      <c r="BF333" s="504"/>
      <c r="BG333" s="522"/>
      <c r="BH333" s="1189"/>
      <c r="BI333" s="1193"/>
      <c r="BJ333" s="1206"/>
    </row>
    <row r="334" spans="1:62" s="1241" customFormat="1" x14ac:dyDescent="0.2">
      <c r="A334" s="33"/>
      <c r="B334" s="271"/>
      <c r="C334" s="248"/>
      <c r="D334" s="540"/>
      <c r="E334" s="541"/>
      <c r="F334" s="542"/>
      <c r="G334" s="542"/>
      <c r="H334" s="542"/>
      <c r="I334" s="542"/>
      <c r="J334" s="542"/>
      <c r="K334" s="543"/>
      <c r="L334" s="542"/>
      <c r="M334" s="542"/>
      <c r="N334" s="542"/>
      <c r="O334" s="542"/>
      <c r="P334" s="544"/>
      <c r="Q334" s="544"/>
      <c r="R334" s="544"/>
      <c r="S334" s="544"/>
      <c r="T334" s="544"/>
      <c r="U334" s="544"/>
      <c r="V334" s="544"/>
      <c r="W334" s="544"/>
      <c r="X334" s="544"/>
      <c r="Y334" s="544"/>
      <c r="Z334" s="544"/>
      <c r="AA334" s="544"/>
      <c r="AB334" s="544"/>
      <c r="AC334" s="544"/>
      <c r="AD334" s="542"/>
      <c r="AE334" s="542"/>
      <c r="AF334" s="542"/>
      <c r="AG334" s="542"/>
      <c r="AH334" s="545"/>
      <c r="AI334" s="546"/>
      <c r="AJ334" s="547"/>
      <c r="AK334" s="548"/>
      <c r="AL334" s="550"/>
      <c r="AM334" s="550"/>
      <c r="AN334" s="547"/>
      <c r="AO334" s="548"/>
      <c r="AP334" s="549" t="s">
        <v>4117</v>
      </c>
      <c r="AQ334" s="550">
        <f>'Q. GASB 87 Lease Entries'!M72</f>
        <v>0</v>
      </c>
      <c r="AR334" s="546"/>
      <c r="AS334" s="549" t="s">
        <v>4113</v>
      </c>
      <c r="AT334" s="550">
        <f>'Q. GASB 87 Lease Entries'!O36</f>
        <v>0</v>
      </c>
      <c r="AU334" s="551"/>
      <c r="AV334" s="550"/>
      <c r="AW334" s="546"/>
      <c r="AX334" s="549"/>
      <c r="AY334" s="552"/>
      <c r="AZ334" s="523"/>
      <c r="BA334" s="524"/>
      <c r="BB334" s="550">
        <f t="shared" si="224"/>
        <v>0</v>
      </c>
      <c r="BC334" s="550">
        <f t="shared" si="225"/>
        <v>0</v>
      </c>
      <c r="BD334" s="575"/>
      <c r="BE334" s="552"/>
      <c r="BF334" s="504"/>
      <c r="BG334" s="522"/>
      <c r="BH334" s="1189"/>
      <c r="BI334" s="1193"/>
      <c r="BJ334" s="1206"/>
    </row>
    <row r="335" spans="1:62" s="13" customFormat="1" ht="6" customHeight="1" x14ac:dyDescent="0.2">
      <c r="A335" s="33"/>
      <c r="B335" s="31"/>
      <c r="C335" s="31"/>
      <c r="D335" s="531"/>
      <c r="E335" s="532"/>
      <c r="F335" s="528"/>
      <c r="G335" s="528"/>
      <c r="H335" s="528"/>
      <c r="I335" s="528"/>
      <c r="J335" s="528"/>
      <c r="K335" s="533"/>
      <c r="L335" s="528"/>
      <c r="M335" s="528"/>
      <c r="N335" s="528"/>
      <c r="O335" s="528"/>
      <c r="P335" s="527"/>
      <c r="Q335" s="527"/>
      <c r="R335" s="527"/>
      <c r="S335" s="527"/>
      <c r="T335" s="527"/>
      <c r="U335" s="527"/>
      <c r="V335" s="527"/>
      <c r="W335" s="527"/>
      <c r="X335" s="527"/>
      <c r="Y335" s="527"/>
      <c r="Z335" s="527"/>
      <c r="AA335" s="527"/>
      <c r="AB335" s="527"/>
      <c r="AC335" s="527"/>
      <c r="AD335" s="528"/>
      <c r="AE335" s="528"/>
      <c r="AF335" s="528"/>
      <c r="AG335" s="528"/>
      <c r="AH335" s="529"/>
      <c r="AI335" s="537"/>
      <c r="AJ335" s="534"/>
      <c r="AK335" s="535"/>
      <c r="AL335" s="537"/>
      <c r="AM335" s="537"/>
      <c r="AN335" s="534"/>
      <c r="AO335" s="535"/>
      <c r="AP335" s="579"/>
      <c r="AQ335" s="580"/>
      <c r="AR335" s="537"/>
      <c r="AS335" s="536"/>
      <c r="AT335" s="432"/>
      <c r="AU335" s="539"/>
      <c r="AV335" s="432"/>
      <c r="AW335" s="537"/>
      <c r="AX335" s="536"/>
      <c r="AY335" s="538"/>
      <c r="AZ335" s="527"/>
      <c r="BA335" s="562"/>
      <c r="BB335" s="432"/>
      <c r="BC335" s="432"/>
      <c r="BD335" s="571"/>
      <c r="BE335" s="538"/>
      <c r="BF335" s="432"/>
      <c r="BG335" s="538"/>
      <c r="BH335" s="1191"/>
      <c r="BI335" s="1194"/>
      <c r="BJ335" s="1206"/>
    </row>
    <row r="336" spans="1:62" x14ac:dyDescent="0.2">
      <c r="A336" s="33"/>
      <c r="B336" s="271" t="s">
        <v>4203</v>
      </c>
      <c r="C336" s="248"/>
      <c r="D336" s="540">
        <v>22419822</v>
      </c>
      <c r="E336" s="541"/>
      <c r="F336" s="542"/>
      <c r="G336" s="542"/>
      <c r="H336" s="542"/>
      <c r="I336" s="542"/>
      <c r="J336" s="542"/>
      <c r="K336" s="543"/>
      <c r="L336" s="542"/>
      <c r="M336" s="542"/>
      <c r="N336" s="542"/>
      <c r="O336" s="542"/>
      <c r="P336" s="544"/>
      <c r="Q336" s="544"/>
      <c r="R336" s="544">
        <v>532637</v>
      </c>
      <c r="S336" s="544"/>
      <c r="T336" s="544"/>
      <c r="U336" s="544"/>
      <c r="V336" s="544"/>
      <c r="W336" s="544"/>
      <c r="X336" s="544"/>
      <c r="Y336" s="544"/>
      <c r="Z336" s="544"/>
      <c r="AA336" s="544"/>
      <c r="AB336" s="544">
        <v>500000</v>
      </c>
      <c r="AC336" s="544"/>
      <c r="AD336" s="542"/>
      <c r="AE336" s="542"/>
      <c r="AF336" s="542"/>
      <c r="AG336" s="542"/>
      <c r="AH336" s="545">
        <f t="shared" ref="AH336:AH339" si="226">L336+N336+P336+R336+T336+V336+X336+Z336+AB336+AD336+AF336</f>
        <v>1032637</v>
      </c>
      <c r="AI336" s="546">
        <f t="shared" ref="AI336:AI339" si="227">M336+O336+Q336+S336+U336+W336+Y336+AA336+AC336+AE336+AG336</f>
        <v>0</v>
      </c>
      <c r="AJ336" s="547">
        <f t="shared" ref="AJ336:AK339" si="228">D336+F336+H336+J336+AH336</f>
        <v>23452459</v>
      </c>
      <c r="AK336" s="548">
        <f t="shared" si="228"/>
        <v>0</v>
      </c>
      <c r="AL336" s="546"/>
      <c r="AM336" s="546"/>
      <c r="AN336" s="547"/>
      <c r="AO336" s="548"/>
      <c r="AP336" s="559" t="str">
        <f>'D. Depreciation'!A55</f>
        <v>D.1</v>
      </c>
      <c r="AQ336" s="580">
        <f>'D. Depreciation'!J59</f>
        <v>405649</v>
      </c>
      <c r="AR336" s="546"/>
      <c r="AS336" s="549" t="str">
        <f>'E. Capital Outlay'!D54</f>
        <v>E.1</v>
      </c>
      <c r="AT336" s="432">
        <f>'E. Capital Outlay'!N70</f>
        <v>461140</v>
      </c>
      <c r="AU336" s="551" t="str">
        <f>'L. Eliminations-Consolidations'!A243</f>
        <v>L.7</v>
      </c>
      <c r="AV336" s="550">
        <f>'L. Eliminations-Consolidations'!J248</f>
        <v>0</v>
      </c>
      <c r="AW336" s="546"/>
      <c r="AX336" s="554" t="s">
        <v>637</v>
      </c>
      <c r="AY336" s="550">
        <f>'K.1  Int. Service Fd Allocation'!G214+'K.2  Int. Service Fd Alloca'!G209+'K.3 Int. Service Fd Alloca'!G209</f>
        <v>0</v>
      </c>
      <c r="AZ336" s="555"/>
      <c r="BA336" s="524"/>
      <c r="BB336" s="550">
        <f t="shared" ref="BB336:BB341" si="229">ROUND(AJ336+AL336+AN336+AQ336+AV336+AZ336,0)</f>
        <v>23858108</v>
      </c>
      <c r="BC336" s="550">
        <f t="shared" ref="BC336:BC341" si="230">ROUND(AK336+AM336+AO336+AT336+AY336+BA336,0)</f>
        <v>461140</v>
      </c>
      <c r="BD336" s="575">
        <f>IF((SUM(BB336:BB344))-(SUM(BC336:BC344))&lt;=0," ",(SUM(BB336:BB344))-(SUM(BC336:BC344)))</f>
        <v>23434413</v>
      </c>
      <c r="BE336" s="552" t="str">
        <f>IF((SUM(BB336:BB344))-(SUM(BC336:BC344))&gt;0," ",-(SUM(BB336:BB344))+(SUM(BC336:BC344)))</f>
        <v xml:space="preserve"> </v>
      </c>
      <c r="BF336" s="504"/>
      <c r="BG336" s="522"/>
      <c r="BH336" s="1190"/>
    </row>
    <row r="337" spans="1:62" x14ac:dyDescent="0.2">
      <c r="A337" s="33"/>
      <c r="B337" s="271"/>
      <c r="C337" s="248"/>
      <c r="D337" s="540"/>
      <c r="E337" s="541"/>
      <c r="F337" s="542"/>
      <c r="G337" s="542"/>
      <c r="H337" s="542"/>
      <c r="I337" s="542"/>
      <c r="J337" s="542"/>
      <c r="K337" s="543"/>
      <c r="L337" s="542"/>
      <c r="M337" s="542"/>
      <c r="N337" s="542"/>
      <c r="O337" s="542"/>
      <c r="P337" s="544"/>
      <c r="Q337" s="544"/>
      <c r="R337" s="544"/>
      <c r="S337" s="544"/>
      <c r="T337" s="544"/>
      <c r="U337" s="544"/>
      <c r="V337" s="544"/>
      <c r="W337" s="544"/>
      <c r="X337" s="544"/>
      <c r="Y337" s="544"/>
      <c r="Z337" s="544"/>
      <c r="AA337" s="544"/>
      <c r="AB337" s="544"/>
      <c r="AC337" s="544"/>
      <c r="AD337" s="542"/>
      <c r="AE337" s="542"/>
      <c r="AF337" s="542"/>
      <c r="AG337" s="542"/>
      <c r="AH337" s="545">
        <f t="shared" si="226"/>
        <v>0</v>
      </c>
      <c r="AI337" s="546">
        <f t="shared" si="227"/>
        <v>0</v>
      </c>
      <c r="AJ337" s="547">
        <f t="shared" si="228"/>
        <v>0</v>
      </c>
      <c r="AK337" s="548">
        <f t="shared" si="228"/>
        <v>0</v>
      </c>
      <c r="AL337" s="546"/>
      <c r="AM337" s="546"/>
      <c r="AN337" s="547"/>
      <c r="AO337" s="548"/>
      <c r="AP337" s="559" t="str">
        <f>'J. Other Liability &amp; Expenses'!D203</f>
        <v>J.1</v>
      </c>
      <c r="AQ337" s="580">
        <f>'J. Other Liability &amp; Expenses'!L208</f>
        <v>40445</v>
      </c>
      <c r="AR337" s="546"/>
      <c r="AS337" s="564" t="str">
        <f>'I.  Other Asset Entries'!B108</f>
        <v>I.1</v>
      </c>
      <c r="AT337" s="432">
        <f>'I.  Other Asset Entries'!N118</f>
        <v>3000</v>
      </c>
      <c r="AU337" s="551"/>
      <c r="AV337" s="550"/>
      <c r="AW337" s="546"/>
      <c r="AX337" s="549"/>
      <c r="AY337" s="552"/>
      <c r="AZ337" s="555"/>
      <c r="BA337" s="524"/>
      <c r="BB337" s="550">
        <f t="shared" si="229"/>
        <v>40445</v>
      </c>
      <c r="BC337" s="550">
        <f t="shared" si="230"/>
        <v>3000</v>
      </c>
      <c r="BD337" s="575"/>
      <c r="BE337" s="552"/>
      <c r="BF337" s="504"/>
      <c r="BG337" s="522"/>
    </row>
    <row r="338" spans="1:62" x14ac:dyDescent="0.2">
      <c r="A338" s="33"/>
      <c r="B338" s="271"/>
      <c r="C338" s="248"/>
      <c r="D338" s="540"/>
      <c r="E338" s="541"/>
      <c r="F338" s="542"/>
      <c r="G338" s="542"/>
      <c r="H338" s="542"/>
      <c r="I338" s="542"/>
      <c r="J338" s="542"/>
      <c r="K338" s="543"/>
      <c r="L338" s="542"/>
      <c r="M338" s="542"/>
      <c r="N338" s="542"/>
      <c r="O338" s="542"/>
      <c r="P338" s="544"/>
      <c r="Q338" s="544"/>
      <c r="R338" s="544"/>
      <c r="S338" s="544"/>
      <c r="T338" s="544"/>
      <c r="U338" s="544"/>
      <c r="V338" s="544"/>
      <c r="W338" s="544"/>
      <c r="X338" s="544"/>
      <c r="Y338" s="544"/>
      <c r="Z338" s="544"/>
      <c r="AA338" s="544"/>
      <c r="AB338" s="544"/>
      <c r="AC338" s="544"/>
      <c r="AD338" s="542"/>
      <c r="AE338" s="542"/>
      <c r="AF338" s="542"/>
      <c r="AG338" s="542"/>
      <c r="AH338" s="545">
        <f t="shared" si="226"/>
        <v>0</v>
      </c>
      <c r="AI338" s="546">
        <f t="shared" si="227"/>
        <v>0</v>
      </c>
      <c r="AJ338" s="547">
        <f t="shared" si="228"/>
        <v>0</v>
      </c>
      <c r="AK338" s="548">
        <f t="shared" si="228"/>
        <v>0</v>
      </c>
      <c r="AL338" s="546"/>
      <c r="AM338" s="546"/>
      <c r="AN338" s="547"/>
      <c r="AO338" s="548"/>
      <c r="AP338" s="559" t="str">
        <f>'F.  Other Cap Asset Entries'!D256</f>
        <v>F.3</v>
      </c>
      <c r="AQ338" s="560">
        <f>'F.  Other Cap Asset Entries'!M260</f>
        <v>0</v>
      </c>
      <c r="AR338" s="546"/>
      <c r="AS338" s="564" t="str">
        <f>'J. Other Liability &amp; Expenses'!D203</f>
        <v>J.1</v>
      </c>
      <c r="AT338" s="550">
        <f>'J. Other Liability &amp; Expenses'!N208</f>
        <v>0</v>
      </c>
      <c r="AU338" s="551" t="str">
        <f>'L. Eliminations-Consolidations'!B273</f>
        <v>L.8</v>
      </c>
      <c r="AV338" s="550">
        <f>'L. Eliminations-Consolidations'!J279</f>
        <v>0</v>
      </c>
      <c r="AW338" s="546"/>
      <c r="AX338" s="549" t="str">
        <f>'L. Eliminations-Consolidations'!B273</f>
        <v>L.8</v>
      </c>
      <c r="AY338" s="552">
        <f>'L. Eliminations-Consolidations'!L279</f>
        <v>0</v>
      </c>
      <c r="AZ338" s="523"/>
      <c r="BA338" s="524"/>
      <c r="BB338" s="550">
        <f t="shared" si="229"/>
        <v>0</v>
      </c>
      <c r="BC338" s="550">
        <f t="shared" si="230"/>
        <v>0</v>
      </c>
      <c r="BD338" s="575"/>
      <c r="BE338" s="552"/>
      <c r="BF338" s="504"/>
      <c r="BG338" s="522"/>
    </row>
    <row r="339" spans="1:62" x14ac:dyDescent="0.2">
      <c r="A339" s="33"/>
      <c r="B339" s="271"/>
      <c r="C339" s="248"/>
      <c r="D339" s="540"/>
      <c r="E339" s="541"/>
      <c r="F339" s="542"/>
      <c r="G339" s="542"/>
      <c r="H339" s="542"/>
      <c r="I339" s="542"/>
      <c r="J339" s="542"/>
      <c r="K339" s="543"/>
      <c r="L339" s="542"/>
      <c r="M339" s="542"/>
      <c r="N339" s="542"/>
      <c r="O339" s="542"/>
      <c r="P339" s="544"/>
      <c r="Q339" s="544"/>
      <c r="R339" s="544"/>
      <c r="S339" s="544"/>
      <c r="T339" s="544"/>
      <c r="U339" s="544"/>
      <c r="V339" s="544"/>
      <c r="W339" s="544"/>
      <c r="X339" s="544"/>
      <c r="Y339" s="544"/>
      <c r="Z339" s="544"/>
      <c r="AA339" s="544"/>
      <c r="AB339" s="544"/>
      <c r="AC339" s="544"/>
      <c r="AD339" s="542"/>
      <c r="AE339" s="542"/>
      <c r="AF339" s="542"/>
      <c r="AG339" s="542"/>
      <c r="AH339" s="545">
        <f t="shared" si="226"/>
        <v>0</v>
      </c>
      <c r="AI339" s="546">
        <f t="shared" si="227"/>
        <v>0</v>
      </c>
      <c r="AJ339" s="547">
        <f t="shared" si="228"/>
        <v>0</v>
      </c>
      <c r="AK339" s="548">
        <f t="shared" si="228"/>
        <v>0</v>
      </c>
      <c r="AL339" s="546"/>
      <c r="AM339" s="546"/>
      <c r="AN339" s="547"/>
      <c r="AO339" s="548"/>
      <c r="AP339" s="559" t="s">
        <v>624</v>
      </c>
      <c r="AQ339" s="560">
        <f>'F.  Other Cap Asset Entries'!M282</f>
        <v>0</v>
      </c>
      <c r="AR339" s="546"/>
      <c r="AS339" s="564" t="s">
        <v>2050</v>
      </c>
      <c r="AT339" s="550">
        <f>'N.1 GASB 68 LGERS'!D102</f>
        <v>0</v>
      </c>
      <c r="AU339" s="551"/>
      <c r="AV339" s="550"/>
      <c r="AW339" s="546"/>
      <c r="AX339" s="549"/>
      <c r="AY339" s="552"/>
      <c r="AZ339" s="523"/>
      <c r="BA339" s="524"/>
      <c r="BB339" s="550">
        <f t="shared" si="229"/>
        <v>0</v>
      </c>
      <c r="BC339" s="550">
        <f t="shared" si="230"/>
        <v>0</v>
      </c>
      <c r="BD339" s="575"/>
      <c r="BE339" s="552"/>
      <c r="BF339" s="504"/>
      <c r="BG339" s="522"/>
    </row>
    <row r="340" spans="1:62" s="704" customFormat="1" x14ac:dyDescent="0.2">
      <c r="A340" s="33"/>
      <c r="B340" s="271"/>
      <c r="C340" s="248"/>
      <c r="D340" s="540"/>
      <c r="E340" s="541"/>
      <c r="F340" s="542"/>
      <c r="G340" s="542"/>
      <c r="H340" s="542"/>
      <c r="I340" s="542"/>
      <c r="J340" s="542"/>
      <c r="K340" s="543"/>
      <c r="L340" s="542"/>
      <c r="M340" s="542"/>
      <c r="N340" s="542"/>
      <c r="O340" s="542"/>
      <c r="P340" s="544"/>
      <c r="Q340" s="544"/>
      <c r="R340" s="544"/>
      <c r="S340" s="544"/>
      <c r="T340" s="544"/>
      <c r="U340" s="544"/>
      <c r="V340" s="544"/>
      <c r="W340" s="544"/>
      <c r="X340" s="544"/>
      <c r="Y340" s="544"/>
      <c r="Z340" s="544"/>
      <c r="AA340" s="544"/>
      <c r="AB340" s="544"/>
      <c r="AC340" s="544"/>
      <c r="AD340" s="542"/>
      <c r="AE340" s="542"/>
      <c r="AF340" s="542"/>
      <c r="AG340" s="542"/>
      <c r="AH340" s="545"/>
      <c r="AI340" s="546"/>
      <c r="AJ340" s="547"/>
      <c r="AK340" s="548"/>
      <c r="AL340" s="546"/>
      <c r="AM340" s="546"/>
      <c r="AN340" s="547"/>
      <c r="AO340" s="548"/>
      <c r="AP340" s="559" t="s">
        <v>2050</v>
      </c>
      <c r="AQ340" s="560">
        <f>'N.1 GASB 68 LGERS'!C102</f>
        <v>0</v>
      </c>
      <c r="AR340" s="546"/>
      <c r="AS340" s="564"/>
      <c r="AT340" s="550"/>
      <c r="AU340" s="551"/>
      <c r="AV340" s="550"/>
      <c r="AW340" s="546"/>
      <c r="AX340" s="549"/>
      <c r="AY340" s="552"/>
      <c r="AZ340" s="523"/>
      <c r="BA340" s="524"/>
      <c r="BB340" s="550">
        <f t="shared" si="229"/>
        <v>0</v>
      </c>
      <c r="BC340" s="550">
        <f t="shared" si="230"/>
        <v>0</v>
      </c>
      <c r="BD340" s="575"/>
      <c r="BE340" s="552"/>
      <c r="BF340" s="504"/>
      <c r="BG340" s="522"/>
      <c r="BH340" s="1189"/>
      <c r="BI340" s="1193"/>
      <c r="BJ340" s="1206"/>
    </row>
    <row r="341" spans="1:62" s="1043" customFormat="1" x14ac:dyDescent="0.2">
      <c r="A341" s="33"/>
      <c r="B341" s="271"/>
      <c r="C341" s="248"/>
      <c r="D341" s="540"/>
      <c r="E341" s="541"/>
      <c r="F341" s="542"/>
      <c r="G341" s="542"/>
      <c r="H341" s="542"/>
      <c r="I341" s="542"/>
      <c r="J341" s="542"/>
      <c r="K341" s="543"/>
      <c r="L341" s="542"/>
      <c r="M341" s="542"/>
      <c r="N341" s="542"/>
      <c r="O341" s="542"/>
      <c r="P341" s="544"/>
      <c r="Q341" s="544"/>
      <c r="R341" s="544"/>
      <c r="S341" s="544"/>
      <c r="T341" s="544"/>
      <c r="U341" s="544"/>
      <c r="V341" s="544"/>
      <c r="W341" s="544"/>
      <c r="X341" s="544"/>
      <c r="Y341" s="544"/>
      <c r="Z341" s="544"/>
      <c r="AA341" s="544"/>
      <c r="AB341" s="544"/>
      <c r="AC341" s="544"/>
      <c r="AD341" s="542"/>
      <c r="AE341" s="542"/>
      <c r="AF341" s="542"/>
      <c r="AG341" s="542"/>
      <c r="AH341" s="545"/>
      <c r="AI341" s="546"/>
      <c r="AJ341" s="547"/>
      <c r="AK341" s="548"/>
      <c r="AL341" s="550"/>
      <c r="AM341" s="550"/>
      <c r="AN341" s="547"/>
      <c r="AO341" s="548"/>
      <c r="AP341" s="549" t="s">
        <v>4022</v>
      </c>
      <c r="AQ341" s="550">
        <f>'P.1 GASB 75 OPEB  - plan 1'!C110+'P.1 GASB 75 OPEB  - plan 1'!C119+'P.1 GASB 75 OPEB  - plan 1'!C128</f>
        <v>0</v>
      </c>
      <c r="AR341" s="546"/>
      <c r="AS341" s="549" t="s">
        <v>4022</v>
      </c>
      <c r="AT341" s="550">
        <f>'P.1 GASB 75 OPEB  - plan 1'!D110+'P.1 GASB 75 OPEB  - plan 1'!D119+'P.1 GASB 75 OPEB  - plan 1'!D128</f>
        <v>0</v>
      </c>
      <c r="AU341" s="551"/>
      <c r="AV341" s="550"/>
      <c r="AW341" s="546"/>
      <c r="AX341" s="549"/>
      <c r="AY341" s="552"/>
      <c r="AZ341" s="523"/>
      <c r="BA341" s="524"/>
      <c r="BB341" s="550">
        <f t="shared" si="229"/>
        <v>0</v>
      </c>
      <c r="BC341" s="550">
        <f t="shared" si="230"/>
        <v>0</v>
      </c>
      <c r="BD341" s="575"/>
      <c r="BE341" s="552"/>
      <c r="BF341" s="504"/>
      <c r="BG341" s="522"/>
      <c r="BH341" s="1189"/>
      <c r="BI341" s="1193"/>
      <c r="BJ341" s="1206"/>
    </row>
    <row r="342" spans="1:62" s="1099" customFormat="1" x14ac:dyDescent="0.2">
      <c r="A342" s="33"/>
      <c r="B342" s="271"/>
      <c r="C342" s="248"/>
      <c r="D342" s="540"/>
      <c r="E342" s="541"/>
      <c r="F342" s="542"/>
      <c r="G342" s="542"/>
      <c r="H342" s="542"/>
      <c r="I342" s="542"/>
      <c r="J342" s="542"/>
      <c r="K342" s="543"/>
      <c r="L342" s="542"/>
      <c r="M342" s="542"/>
      <c r="N342" s="542"/>
      <c r="O342" s="542"/>
      <c r="P342" s="544"/>
      <c r="Q342" s="544"/>
      <c r="R342" s="544"/>
      <c r="S342" s="544"/>
      <c r="T342" s="544"/>
      <c r="U342" s="544"/>
      <c r="V342" s="544"/>
      <c r="W342" s="544"/>
      <c r="X342" s="544"/>
      <c r="Y342" s="544"/>
      <c r="Z342" s="544"/>
      <c r="AA342" s="544"/>
      <c r="AB342" s="544"/>
      <c r="AC342" s="544"/>
      <c r="AD342" s="542"/>
      <c r="AE342" s="542"/>
      <c r="AF342" s="542"/>
      <c r="AG342" s="542"/>
      <c r="AH342" s="545"/>
      <c r="AI342" s="546"/>
      <c r="AJ342" s="547"/>
      <c r="AK342" s="548"/>
      <c r="AL342" s="550"/>
      <c r="AM342" s="550"/>
      <c r="AN342" s="547"/>
      <c r="AO342" s="548"/>
      <c r="AP342" s="549" t="s">
        <v>4023</v>
      </c>
      <c r="AQ342" s="550">
        <f>'P.2 GASB 75 OPEB - plan 2'!C110+'P.2 GASB 75 OPEB - plan 2'!C119+'P.2 GASB 75 OPEB - plan 2'!C128</f>
        <v>0</v>
      </c>
      <c r="AR342" s="546"/>
      <c r="AS342" s="549" t="s">
        <v>4023</v>
      </c>
      <c r="AT342" s="550">
        <f>'P.2 GASB 75 OPEB - plan 2'!D110+'P.2 GASB 75 OPEB - plan 2'!D119+'P.2 GASB 75 OPEB - plan 2'!D128</f>
        <v>0</v>
      </c>
      <c r="AU342" s="551"/>
      <c r="AV342" s="550"/>
      <c r="AW342" s="546"/>
      <c r="AX342" s="549"/>
      <c r="AY342" s="552"/>
      <c r="AZ342" s="523"/>
      <c r="BA342" s="524"/>
      <c r="BB342" s="550">
        <f t="shared" ref="BB342:BB344" si="231">ROUND(AJ342+AL342+AN342+AQ342+AV342+AZ342,0)</f>
        <v>0</v>
      </c>
      <c r="BC342" s="550">
        <f t="shared" ref="BC342:BC344" si="232">ROUND(AK342+AM342+AO342+AT342+AY342+BA342,0)</f>
        <v>0</v>
      </c>
      <c r="BD342" s="575"/>
      <c r="BE342" s="552"/>
      <c r="BF342" s="504"/>
      <c r="BG342" s="522"/>
      <c r="BH342" s="1189"/>
      <c r="BI342" s="1193"/>
      <c r="BJ342" s="1206"/>
    </row>
    <row r="343" spans="1:62" s="1099" customFormat="1" x14ac:dyDescent="0.2">
      <c r="A343" s="33"/>
      <c r="B343" s="271"/>
      <c r="C343" s="248"/>
      <c r="D343" s="540"/>
      <c r="E343" s="541"/>
      <c r="F343" s="542"/>
      <c r="G343" s="542"/>
      <c r="H343" s="542"/>
      <c r="I343" s="542"/>
      <c r="J343" s="542"/>
      <c r="K343" s="543"/>
      <c r="L343" s="542"/>
      <c r="M343" s="542"/>
      <c r="N343" s="542"/>
      <c r="O343" s="542"/>
      <c r="P343" s="544"/>
      <c r="Q343" s="544"/>
      <c r="R343" s="544"/>
      <c r="S343" s="544"/>
      <c r="T343" s="544"/>
      <c r="U343" s="544"/>
      <c r="V343" s="544"/>
      <c r="W343" s="544"/>
      <c r="X343" s="544"/>
      <c r="Y343" s="544"/>
      <c r="Z343" s="544"/>
      <c r="AA343" s="544"/>
      <c r="AB343" s="544"/>
      <c r="AC343" s="544"/>
      <c r="AD343" s="542"/>
      <c r="AE343" s="542"/>
      <c r="AF343" s="542"/>
      <c r="AG343" s="542"/>
      <c r="AH343" s="545"/>
      <c r="AI343" s="546"/>
      <c r="AJ343" s="547"/>
      <c r="AK343" s="548"/>
      <c r="AL343" s="550"/>
      <c r="AM343" s="550"/>
      <c r="AN343" s="547"/>
      <c r="AO343" s="548"/>
      <c r="AP343" s="549" t="s">
        <v>4024</v>
      </c>
      <c r="AQ343" s="550">
        <f>'P.3 GASB 75 OPEB - plan 3'!C110+'P.3 GASB 75 OPEB - plan 3'!C119+'P.3 GASB 75 OPEB - plan 3'!C128</f>
        <v>0</v>
      </c>
      <c r="AR343" s="546"/>
      <c r="AS343" s="549" t="s">
        <v>4024</v>
      </c>
      <c r="AT343" s="550">
        <f>'P.3 GASB 75 OPEB - plan 3'!D110+'P.3 GASB 75 OPEB - plan 3'!D119+'P.3 GASB 75 OPEB - plan 3'!D128</f>
        <v>0</v>
      </c>
      <c r="AU343" s="551"/>
      <c r="AV343" s="550"/>
      <c r="AW343" s="546"/>
      <c r="AX343" s="549"/>
      <c r="AY343" s="552"/>
      <c r="AZ343" s="523"/>
      <c r="BA343" s="524"/>
      <c r="BB343" s="550">
        <f t="shared" si="231"/>
        <v>0</v>
      </c>
      <c r="BC343" s="550">
        <f t="shared" si="232"/>
        <v>0</v>
      </c>
      <c r="BD343" s="575"/>
      <c r="BE343" s="552"/>
      <c r="BF343" s="504"/>
      <c r="BG343" s="522"/>
      <c r="BH343" s="1189"/>
      <c r="BI343" s="1193"/>
      <c r="BJ343" s="1206"/>
    </row>
    <row r="344" spans="1:62" s="1241" customFormat="1" x14ac:dyDescent="0.2">
      <c r="A344" s="33"/>
      <c r="B344" s="271"/>
      <c r="C344" s="248"/>
      <c r="D344" s="540"/>
      <c r="E344" s="541"/>
      <c r="F344" s="542"/>
      <c r="G344" s="542"/>
      <c r="H344" s="542"/>
      <c r="I344" s="542"/>
      <c r="J344" s="542"/>
      <c r="K344" s="543"/>
      <c r="L344" s="542"/>
      <c r="M344" s="542"/>
      <c r="N344" s="542"/>
      <c r="O344" s="542"/>
      <c r="P344" s="544"/>
      <c r="Q344" s="544"/>
      <c r="R344" s="544"/>
      <c r="S344" s="544"/>
      <c r="T344" s="544"/>
      <c r="U344" s="544"/>
      <c r="V344" s="544"/>
      <c r="W344" s="544"/>
      <c r="X344" s="544"/>
      <c r="Y344" s="544"/>
      <c r="Z344" s="544"/>
      <c r="AA344" s="544"/>
      <c r="AB344" s="544"/>
      <c r="AC344" s="544"/>
      <c r="AD344" s="542"/>
      <c r="AE344" s="542"/>
      <c r="AF344" s="542"/>
      <c r="AG344" s="542"/>
      <c r="AH344" s="545"/>
      <c r="AI344" s="546"/>
      <c r="AJ344" s="547"/>
      <c r="AK344" s="548"/>
      <c r="AL344" s="550"/>
      <c r="AM344" s="550"/>
      <c r="AN344" s="547"/>
      <c r="AO344" s="548"/>
      <c r="AP344" s="549" t="s">
        <v>4117</v>
      </c>
      <c r="AQ344" s="550">
        <f>'Q. GASB 87 Lease Entries'!M75</f>
        <v>0</v>
      </c>
      <c r="AR344" s="546"/>
      <c r="AS344" s="549" t="s">
        <v>4113</v>
      </c>
      <c r="AT344" s="550">
        <f>'Q. GASB 87 Lease Entries'!O39</f>
        <v>0</v>
      </c>
      <c r="AU344" s="551"/>
      <c r="AV344" s="550"/>
      <c r="AW344" s="546"/>
      <c r="AX344" s="549"/>
      <c r="AY344" s="552"/>
      <c r="AZ344" s="523"/>
      <c r="BA344" s="524"/>
      <c r="BB344" s="550">
        <f t="shared" si="231"/>
        <v>0</v>
      </c>
      <c r="BC344" s="550">
        <f t="shared" si="232"/>
        <v>0</v>
      </c>
      <c r="BD344" s="575"/>
      <c r="BE344" s="552"/>
      <c r="BF344" s="504"/>
      <c r="BG344" s="522"/>
      <c r="BH344" s="1189"/>
      <c r="BI344" s="1193"/>
      <c r="BJ344" s="1206"/>
    </row>
    <row r="345" spans="1:62" s="13" customFormat="1" ht="6" customHeight="1" x14ac:dyDescent="0.2">
      <c r="A345" s="33"/>
      <c r="B345" s="31"/>
      <c r="C345" s="31"/>
      <c r="D345" s="531"/>
      <c r="E345" s="532"/>
      <c r="F345" s="528"/>
      <c r="G345" s="528"/>
      <c r="H345" s="528"/>
      <c r="I345" s="528"/>
      <c r="J345" s="528"/>
      <c r="K345" s="533"/>
      <c r="L345" s="528"/>
      <c r="M345" s="528"/>
      <c r="N345" s="528"/>
      <c r="O345" s="528"/>
      <c r="P345" s="527"/>
      <c r="Q345" s="527"/>
      <c r="R345" s="527"/>
      <c r="S345" s="527"/>
      <c r="T345" s="527"/>
      <c r="U345" s="527"/>
      <c r="V345" s="527"/>
      <c r="W345" s="527"/>
      <c r="X345" s="527"/>
      <c r="Y345" s="527"/>
      <c r="Z345" s="527"/>
      <c r="AA345" s="527"/>
      <c r="AB345" s="527"/>
      <c r="AC345" s="527"/>
      <c r="AD345" s="528"/>
      <c r="AE345" s="528"/>
      <c r="AF345" s="528"/>
      <c r="AG345" s="528"/>
      <c r="AH345" s="529"/>
      <c r="AI345" s="537"/>
      <c r="AJ345" s="534"/>
      <c r="AK345" s="535"/>
      <c r="AL345" s="537"/>
      <c r="AM345" s="537"/>
      <c r="AN345" s="534"/>
      <c r="AO345" s="535"/>
      <c r="AP345" s="579"/>
      <c r="AQ345" s="580"/>
      <c r="AR345" s="537"/>
      <c r="AS345" s="536"/>
      <c r="AT345" s="432"/>
      <c r="AU345" s="539"/>
      <c r="AV345" s="432"/>
      <c r="AW345" s="537"/>
      <c r="AX345" s="536"/>
      <c r="AY345" s="538"/>
      <c r="AZ345" s="527"/>
      <c r="BA345" s="562"/>
      <c r="BB345" s="432"/>
      <c r="BC345" s="432"/>
      <c r="BD345" s="571"/>
      <c r="BE345" s="538"/>
      <c r="BF345" s="432"/>
      <c r="BG345" s="538"/>
      <c r="BH345" s="1191"/>
      <c r="BI345" s="1194"/>
      <c r="BJ345" s="1206"/>
    </row>
    <row r="346" spans="1:62" x14ac:dyDescent="0.2">
      <c r="A346" s="33"/>
      <c r="B346" s="271" t="s">
        <v>130</v>
      </c>
      <c r="C346" s="248"/>
      <c r="D346" s="540">
        <v>2308240</v>
      </c>
      <c r="E346" s="541"/>
      <c r="F346" s="542"/>
      <c r="G346" s="542"/>
      <c r="H346" s="542"/>
      <c r="I346" s="542"/>
      <c r="J346" s="542"/>
      <c r="K346" s="543"/>
      <c r="L346" s="542"/>
      <c r="M346" s="542"/>
      <c r="N346" s="542"/>
      <c r="O346" s="542"/>
      <c r="P346" s="544"/>
      <c r="Q346" s="544"/>
      <c r="R346" s="544"/>
      <c r="S346" s="544"/>
      <c r="T346" s="544"/>
      <c r="U346" s="544"/>
      <c r="V346" s="544"/>
      <c r="W346" s="544"/>
      <c r="X346" s="544"/>
      <c r="Y346" s="544"/>
      <c r="Z346" s="544"/>
      <c r="AA346" s="544"/>
      <c r="AB346" s="544"/>
      <c r="AC346" s="544"/>
      <c r="AD346" s="542"/>
      <c r="AE346" s="542"/>
      <c r="AF346" s="542"/>
      <c r="AG346" s="542"/>
      <c r="AH346" s="545">
        <f t="shared" ref="AH346:AH349" si="233">L346+N346+P346+R346+T346+V346+X346+Z346+AB346+AD346+AF346</f>
        <v>0</v>
      </c>
      <c r="AI346" s="546">
        <f t="shared" ref="AI346:AI349" si="234">M346+O346+Q346+S346+U346+W346+Y346+AA346+AC346+AE346+AG346</f>
        <v>0</v>
      </c>
      <c r="AJ346" s="547">
        <f t="shared" ref="AJ346:AK349" si="235">D346+F346+H346+J346+AH346</f>
        <v>2308240</v>
      </c>
      <c r="AK346" s="548">
        <f t="shared" si="235"/>
        <v>0</v>
      </c>
      <c r="AL346" s="546"/>
      <c r="AM346" s="546"/>
      <c r="AN346" s="547"/>
      <c r="AO346" s="548"/>
      <c r="AP346" s="549" t="str">
        <f>'D. Depreciation'!A55</f>
        <v>D.1</v>
      </c>
      <c r="AQ346" s="432">
        <f>'D. Depreciation'!J61</f>
        <v>71571</v>
      </c>
      <c r="AR346" s="546"/>
      <c r="AS346" s="549" t="str">
        <f>'E. Capital Outlay'!D54</f>
        <v>E.1</v>
      </c>
      <c r="AT346" s="432">
        <f>'E. Capital Outlay'!N71</f>
        <v>20325</v>
      </c>
      <c r="AU346" s="551" t="str">
        <f>'L. Eliminations-Consolidations'!A243</f>
        <v>L.7</v>
      </c>
      <c r="AV346" s="550">
        <f>'L. Eliminations-Consolidations'!J249</f>
        <v>0</v>
      </c>
      <c r="AW346" s="546"/>
      <c r="AX346" s="554" t="s">
        <v>637</v>
      </c>
      <c r="AY346" s="550">
        <f>'K.1  Int. Service Fd Allocation'!G215+'K.2  Int. Service Fd Alloca'!G210+'K.3 Int. Service Fd Alloca'!G210</f>
        <v>0</v>
      </c>
      <c r="AZ346" s="555"/>
      <c r="BA346" s="524"/>
      <c r="BB346" s="550">
        <f t="shared" ref="BB346:BB351" si="236">ROUND(AJ346+AL346+AN346+AQ346+AV346+AZ346,0)</f>
        <v>2379811</v>
      </c>
      <c r="BC346" s="550">
        <f t="shared" ref="BC346:BC351" si="237">ROUND(AK346+AM346+AO346+AT346+AY346+BA346,0)</f>
        <v>20325</v>
      </c>
      <c r="BD346" s="575">
        <f>IF((SUM(BB346:BB354))-(SUM(BC346:BC354))&lt;=0," ",(SUM(BB346:BB354))-(SUM(BC346:BC354)))</f>
        <v>2352807</v>
      </c>
      <c r="BE346" s="552" t="str">
        <f>IF((SUM(BB346:BB354))-(SUM(BC346:BC354))&gt;0," ",-(SUM(BB346:BB354))+(SUM(BC346:BC354)))</f>
        <v xml:space="preserve"> </v>
      </c>
      <c r="BF346" s="504"/>
      <c r="BG346" s="522"/>
      <c r="BH346" s="1190"/>
    </row>
    <row r="347" spans="1:62" x14ac:dyDescent="0.2">
      <c r="A347" s="33"/>
      <c r="B347" s="271"/>
      <c r="C347" s="248"/>
      <c r="D347" s="540"/>
      <c r="E347" s="541"/>
      <c r="F347" s="542"/>
      <c r="G347" s="542"/>
      <c r="H347" s="542"/>
      <c r="I347" s="542"/>
      <c r="J347" s="542"/>
      <c r="K347" s="543"/>
      <c r="L347" s="542"/>
      <c r="M347" s="542"/>
      <c r="N347" s="542"/>
      <c r="O347" s="542"/>
      <c r="P347" s="544"/>
      <c r="Q347" s="544"/>
      <c r="R347" s="544"/>
      <c r="S347" s="544"/>
      <c r="T347" s="544"/>
      <c r="U347" s="544"/>
      <c r="V347" s="544"/>
      <c r="W347" s="544"/>
      <c r="X347" s="544"/>
      <c r="Y347" s="544"/>
      <c r="Z347" s="544"/>
      <c r="AA347" s="544"/>
      <c r="AB347" s="544"/>
      <c r="AC347" s="544"/>
      <c r="AD347" s="542"/>
      <c r="AE347" s="542"/>
      <c r="AF347" s="542"/>
      <c r="AG347" s="542"/>
      <c r="AH347" s="545">
        <f t="shared" si="233"/>
        <v>0</v>
      </c>
      <c r="AI347" s="546">
        <f t="shared" si="234"/>
        <v>0</v>
      </c>
      <c r="AJ347" s="547">
        <f t="shared" si="235"/>
        <v>0</v>
      </c>
      <c r="AK347" s="548">
        <f t="shared" si="235"/>
        <v>0</v>
      </c>
      <c r="AL347" s="546"/>
      <c r="AM347" s="546"/>
      <c r="AN347" s="547"/>
      <c r="AO347" s="548"/>
      <c r="AP347" s="549" t="str">
        <f>'J. Other Liability &amp; Expenses'!D203</f>
        <v>J.1</v>
      </c>
      <c r="AQ347" s="432">
        <f>'J. Other Liability &amp; Expenses'!L209</f>
        <v>879</v>
      </c>
      <c r="AR347" s="546"/>
      <c r="AS347" s="564" t="str">
        <f>'I.  Other Asset Entries'!B108</f>
        <v>I.1</v>
      </c>
      <c r="AT347" s="432">
        <f>'I.  Other Asset Entries'!N119</f>
        <v>7558</v>
      </c>
      <c r="AU347" s="551"/>
      <c r="AV347" s="550"/>
      <c r="AW347" s="546"/>
      <c r="AX347" s="549"/>
      <c r="AY347" s="552"/>
      <c r="AZ347" s="523"/>
      <c r="BA347" s="524"/>
      <c r="BB347" s="550">
        <f t="shared" si="236"/>
        <v>879</v>
      </c>
      <c r="BC347" s="550">
        <f t="shared" si="237"/>
        <v>7558</v>
      </c>
      <c r="BD347" s="575"/>
      <c r="BE347" s="552"/>
      <c r="BF347" s="504"/>
      <c r="BG347" s="522"/>
    </row>
    <row r="348" spans="1:62" x14ac:dyDescent="0.2">
      <c r="A348" s="33"/>
      <c r="B348" s="271"/>
      <c r="C348" s="248"/>
      <c r="D348" s="540"/>
      <c r="E348" s="541"/>
      <c r="F348" s="542"/>
      <c r="G348" s="542"/>
      <c r="H348" s="542"/>
      <c r="I348" s="542"/>
      <c r="J348" s="542"/>
      <c r="K348" s="543"/>
      <c r="L348" s="542"/>
      <c r="M348" s="542"/>
      <c r="N348" s="542"/>
      <c r="O348" s="542"/>
      <c r="P348" s="544"/>
      <c r="Q348" s="544"/>
      <c r="R348" s="544"/>
      <c r="S348" s="544"/>
      <c r="T348" s="544"/>
      <c r="U348" s="544"/>
      <c r="V348" s="544"/>
      <c r="W348" s="544"/>
      <c r="X348" s="544"/>
      <c r="Y348" s="544"/>
      <c r="Z348" s="544"/>
      <c r="AA348" s="544"/>
      <c r="AB348" s="544"/>
      <c r="AC348" s="544"/>
      <c r="AD348" s="542"/>
      <c r="AE348" s="542"/>
      <c r="AF348" s="542"/>
      <c r="AG348" s="542"/>
      <c r="AH348" s="545">
        <f t="shared" si="233"/>
        <v>0</v>
      </c>
      <c r="AI348" s="546">
        <f t="shared" si="234"/>
        <v>0</v>
      </c>
      <c r="AJ348" s="547">
        <f t="shared" si="235"/>
        <v>0</v>
      </c>
      <c r="AK348" s="548">
        <f t="shared" si="235"/>
        <v>0</v>
      </c>
      <c r="AL348" s="546"/>
      <c r="AM348" s="546"/>
      <c r="AN348" s="547"/>
      <c r="AO348" s="548"/>
      <c r="AP348" s="549" t="str">
        <f>'F.  Other Cap Asset Entries'!D256</f>
        <v>F.3</v>
      </c>
      <c r="AQ348" s="550">
        <f>'F.  Other Cap Asset Entries'!M261</f>
        <v>0</v>
      </c>
      <c r="AR348" s="546"/>
      <c r="AS348" s="564" t="str">
        <f>'J. Other Liability &amp; Expenses'!D203</f>
        <v>J.1</v>
      </c>
      <c r="AT348" s="550">
        <f>'J. Other Liability &amp; Expenses'!N209</f>
        <v>0</v>
      </c>
      <c r="AU348" s="551" t="str">
        <f>'L. Eliminations-Consolidations'!B273</f>
        <v>L.8</v>
      </c>
      <c r="AV348" s="550">
        <f>'L. Eliminations-Consolidations'!J280</f>
        <v>0</v>
      </c>
      <c r="AW348" s="546"/>
      <c r="AX348" s="549" t="str">
        <f>'L. Eliminations-Consolidations'!B273</f>
        <v>L.8</v>
      </c>
      <c r="AY348" s="552">
        <f>'L. Eliminations-Consolidations'!L280</f>
        <v>0</v>
      </c>
      <c r="AZ348" s="523"/>
      <c r="BA348" s="524"/>
      <c r="BB348" s="550">
        <f t="shared" si="236"/>
        <v>0</v>
      </c>
      <c r="BC348" s="550">
        <f t="shared" si="237"/>
        <v>0</v>
      </c>
      <c r="BD348" s="575"/>
      <c r="BE348" s="552"/>
      <c r="BF348" s="504"/>
      <c r="BG348" s="522"/>
    </row>
    <row r="349" spans="1:62" x14ac:dyDescent="0.2">
      <c r="A349" s="33"/>
      <c r="B349" s="271"/>
      <c r="C349" s="248"/>
      <c r="D349" s="540"/>
      <c r="E349" s="541"/>
      <c r="F349" s="542"/>
      <c r="G349" s="542"/>
      <c r="H349" s="542"/>
      <c r="I349" s="542"/>
      <c r="J349" s="542"/>
      <c r="K349" s="543"/>
      <c r="L349" s="542"/>
      <c r="M349" s="542"/>
      <c r="N349" s="542"/>
      <c r="O349" s="542"/>
      <c r="P349" s="544"/>
      <c r="Q349" s="544"/>
      <c r="R349" s="544"/>
      <c r="S349" s="544"/>
      <c r="T349" s="544"/>
      <c r="U349" s="544"/>
      <c r="V349" s="544"/>
      <c r="W349" s="544"/>
      <c r="X349" s="544"/>
      <c r="Y349" s="544"/>
      <c r="Z349" s="544"/>
      <c r="AA349" s="544"/>
      <c r="AB349" s="544"/>
      <c r="AC349" s="544"/>
      <c r="AD349" s="542"/>
      <c r="AE349" s="542"/>
      <c r="AF349" s="542"/>
      <c r="AG349" s="542"/>
      <c r="AH349" s="545">
        <f t="shared" si="233"/>
        <v>0</v>
      </c>
      <c r="AI349" s="546">
        <f t="shared" si="234"/>
        <v>0</v>
      </c>
      <c r="AJ349" s="547">
        <f t="shared" si="235"/>
        <v>0</v>
      </c>
      <c r="AK349" s="548">
        <f t="shared" si="235"/>
        <v>0</v>
      </c>
      <c r="AL349" s="546"/>
      <c r="AM349" s="546"/>
      <c r="AN349" s="547"/>
      <c r="AO349" s="548"/>
      <c r="AP349" s="549" t="s">
        <v>624</v>
      </c>
      <c r="AQ349" s="550">
        <f>'F.  Other Cap Asset Entries'!M283</f>
        <v>0</v>
      </c>
      <c r="AR349" s="546"/>
      <c r="AS349" s="564" t="s">
        <v>2050</v>
      </c>
      <c r="AT349" s="550">
        <f>'N.1 GASB 68 LGERS'!D103</f>
        <v>0</v>
      </c>
      <c r="AU349" s="551"/>
      <c r="AV349" s="550"/>
      <c r="AW349" s="546"/>
      <c r="AX349" s="549"/>
      <c r="AY349" s="552"/>
      <c r="AZ349" s="523"/>
      <c r="BA349" s="524"/>
      <c r="BB349" s="550">
        <f t="shared" si="236"/>
        <v>0</v>
      </c>
      <c r="BC349" s="550">
        <f t="shared" si="237"/>
        <v>0</v>
      </c>
      <c r="BD349" s="575"/>
      <c r="BE349" s="552"/>
      <c r="BF349" s="504"/>
      <c r="BG349" s="522"/>
    </row>
    <row r="350" spans="1:62" s="704" customFormat="1" x14ac:dyDescent="0.2">
      <c r="A350" s="33"/>
      <c r="B350" s="271"/>
      <c r="C350" s="248"/>
      <c r="D350" s="540"/>
      <c r="E350" s="541"/>
      <c r="F350" s="542"/>
      <c r="G350" s="542"/>
      <c r="H350" s="542"/>
      <c r="I350" s="542"/>
      <c r="J350" s="542"/>
      <c r="K350" s="543"/>
      <c r="L350" s="542"/>
      <c r="M350" s="542"/>
      <c r="N350" s="542"/>
      <c r="O350" s="542"/>
      <c r="P350" s="544"/>
      <c r="Q350" s="544"/>
      <c r="R350" s="544"/>
      <c r="S350" s="544"/>
      <c r="T350" s="544"/>
      <c r="U350" s="544"/>
      <c r="V350" s="544"/>
      <c r="W350" s="544"/>
      <c r="X350" s="544"/>
      <c r="Y350" s="544"/>
      <c r="Z350" s="544"/>
      <c r="AA350" s="544"/>
      <c r="AB350" s="544"/>
      <c r="AC350" s="544"/>
      <c r="AD350" s="542"/>
      <c r="AE350" s="542"/>
      <c r="AF350" s="542"/>
      <c r="AG350" s="542"/>
      <c r="AH350" s="545"/>
      <c r="AI350" s="546"/>
      <c r="AJ350" s="547"/>
      <c r="AK350" s="548"/>
      <c r="AL350" s="546"/>
      <c r="AM350" s="546"/>
      <c r="AN350" s="547"/>
      <c r="AO350" s="548"/>
      <c r="AP350" s="549" t="s">
        <v>2050</v>
      </c>
      <c r="AQ350" s="550">
        <f>'N.1 GASB 68 LGERS'!C103</f>
        <v>0</v>
      </c>
      <c r="AR350" s="546"/>
      <c r="AS350" s="564"/>
      <c r="AT350" s="550"/>
      <c r="AU350" s="551"/>
      <c r="AV350" s="550"/>
      <c r="AW350" s="546"/>
      <c r="AX350" s="549"/>
      <c r="AY350" s="552"/>
      <c r="AZ350" s="523"/>
      <c r="BA350" s="524"/>
      <c r="BB350" s="550">
        <f t="shared" si="236"/>
        <v>0</v>
      </c>
      <c r="BC350" s="550">
        <f t="shared" si="237"/>
        <v>0</v>
      </c>
      <c r="BD350" s="575"/>
      <c r="BE350" s="552"/>
      <c r="BF350" s="504"/>
      <c r="BG350" s="522"/>
      <c r="BH350" s="1189"/>
      <c r="BI350" s="1193"/>
      <c r="BJ350" s="1206"/>
    </row>
    <row r="351" spans="1:62" s="1043" customFormat="1" x14ac:dyDescent="0.2">
      <c r="A351" s="33"/>
      <c r="B351" s="271"/>
      <c r="C351" s="248"/>
      <c r="D351" s="540"/>
      <c r="E351" s="541"/>
      <c r="F351" s="542"/>
      <c r="G351" s="542"/>
      <c r="H351" s="542"/>
      <c r="I351" s="542"/>
      <c r="J351" s="542"/>
      <c r="K351" s="543"/>
      <c r="L351" s="542"/>
      <c r="M351" s="542"/>
      <c r="N351" s="542"/>
      <c r="O351" s="542"/>
      <c r="P351" s="544"/>
      <c r="Q351" s="544"/>
      <c r="R351" s="544"/>
      <c r="S351" s="544"/>
      <c r="T351" s="544"/>
      <c r="U351" s="544"/>
      <c r="V351" s="544"/>
      <c r="W351" s="544"/>
      <c r="X351" s="544"/>
      <c r="Y351" s="544"/>
      <c r="Z351" s="544"/>
      <c r="AA351" s="544"/>
      <c r="AB351" s="544"/>
      <c r="AC351" s="544"/>
      <c r="AD351" s="542"/>
      <c r="AE351" s="542"/>
      <c r="AF351" s="542"/>
      <c r="AG351" s="542"/>
      <c r="AH351" s="545"/>
      <c r="AI351" s="546"/>
      <c r="AJ351" s="547"/>
      <c r="AK351" s="548"/>
      <c r="AL351" s="550"/>
      <c r="AM351" s="550"/>
      <c r="AN351" s="547"/>
      <c r="AO351" s="548"/>
      <c r="AP351" s="549" t="s">
        <v>4022</v>
      </c>
      <c r="AQ351" s="550">
        <f>'P.1 GASB 75 OPEB  - plan 1'!C111+'P.1 GASB 75 OPEB  - plan 1'!C120+'P.1 GASB 75 OPEB  - plan 1'!C129</f>
        <v>0</v>
      </c>
      <c r="AR351" s="546"/>
      <c r="AS351" s="549" t="s">
        <v>4022</v>
      </c>
      <c r="AT351" s="550">
        <f>'P.1 GASB 75 OPEB  - plan 1'!D111+'P.1 GASB 75 OPEB  - plan 1'!D120+'P.1 GASB 75 OPEB  - plan 1'!D129</f>
        <v>0</v>
      </c>
      <c r="AU351" s="551"/>
      <c r="AV351" s="550"/>
      <c r="AW351" s="546"/>
      <c r="AX351" s="549"/>
      <c r="AY351" s="552"/>
      <c r="AZ351" s="523"/>
      <c r="BA351" s="524"/>
      <c r="BB351" s="550">
        <f t="shared" si="236"/>
        <v>0</v>
      </c>
      <c r="BC351" s="550">
        <f t="shared" si="237"/>
        <v>0</v>
      </c>
      <c r="BD351" s="575"/>
      <c r="BE351" s="552"/>
      <c r="BF351" s="504"/>
      <c r="BG351" s="522"/>
      <c r="BH351" s="1189"/>
      <c r="BI351" s="1193"/>
      <c r="BJ351" s="1206"/>
    </row>
    <row r="352" spans="1:62" s="1099" customFormat="1" x14ac:dyDescent="0.2">
      <c r="A352" s="33"/>
      <c r="B352" s="271"/>
      <c r="C352" s="248"/>
      <c r="D352" s="540"/>
      <c r="E352" s="541"/>
      <c r="F352" s="542"/>
      <c r="G352" s="542"/>
      <c r="H352" s="542"/>
      <c r="I352" s="542"/>
      <c r="J352" s="542"/>
      <c r="K352" s="543"/>
      <c r="L352" s="542"/>
      <c r="M352" s="542"/>
      <c r="N352" s="542"/>
      <c r="O352" s="542"/>
      <c r="P352" s="544"/>
      <c r="Q352" s="544"/>
      <c r="R352" s="544"/>
      <c r="S352" s="544"/>
      <c r="T352" s="544"/>
      <c r="U352" s="544"/>
      <c r="V352" s="544"/>
      <c r="W352" s="544"/>
      <c r="X352" s="544"/>
      <c r="Y352" s="544"/>
      <c r="Z352" s="544"/>
      <c r="AA352" s="544"/>
      <c r="AB352" s="544"/>
      <c r="AC352" s="544"/>
      <c r="AD352" s="542"/>
      <c r="AE352" s="542"/>
      <c r="AF352" s="542"/>
      <c r="AG352" s="542"/>
      <c r="AH352" s="545"/>
      <c r="AI352" s="546"/>
      <c r="AJ352" s="547"/>
      <c r="AK352" s="548"/>
      <c r="AL352" s="550"/>
      <c r="AM352" s="550"/>
      <c r="AN352" s="547"/>
      <c r="AO352" s="548"/>
      <c r="AP352" s="549" t="s">
        <v>4023</v>
      </c>
      <c r="AQ352" s="550">
        <f>'P.2 GASB 75 OPEB - plan 2'!C111+'P.2 GASB 75 OPEB - plan 2'!C120+'P.2 GASB 75 OPEB - plan 2'!C129</f>
        <v>0</v>
      </c>
      <c r="AR352" s="546"/>
      <c r="AS352" s="549" t="s">
        <v>4023</v>
      </c>
      <c r="AT352" s="550">
        <f>'P.2 GASB 75 OPEB - plan 2'!D111+'P.2 GASB 75 OPEB - plan 2'!D120+'P.2 GASB 75 OPEB - plan 2'!D129</f>
        <v>0</v>
      </c>
      <c r="AU352" s="551"/>
      <c r="AV352" s="550"/>
      <c r="AW352" s="546"/>
      <c r="AX352" s="549"/>
      <c r="AY352" s="552"/>
      <c r="AZ352" s="523"/>
      <c r="BA352" s="524"/>
      <c r="BB352" s="550">
        <f t="shared" ref="BB352:BB354" si="238">ROUND(AJ352+AL352+AN352+AQ352+AV352+AZ352,0)</f>
        <v>0</v>
      </c>
      <c r="BC352" s="550">
        <f t="shared" ref="BC352" si="239">ROUND(AK352+AM352+AO352+AT352+AY352+BA352,0)</f>
        <v>0</v>
      </c>
      <c r="BD352" s="575"/>
      <c r="BE352" s="552"/>
      <c r="BF352" s="504"/>
      <c r="BG352" s="522"/>
      <c r="BH352" s="1189"/>
      <c r="BI352" s="1193"/>
      <c r="BJ352" s="1206"/>
    </row>
    <row r="353" spans="1:62" s="1099" customFormat="1" x14ac:dyDescent="0.2">
      <c r="A353" s="33"/>
      <c r="B353" s="271"/>
      <c r="C353" s="248"/>
      <c r="D353" s="540"/>
      <c r="E353" s="541"/>
      <c r="F353" s="542"/>
      <c r="G353" s="542"/>
      <c r="H353" s="542"/>
      <c r="I353" s="542"/>
      <c r="J353" s="542"/>
      <c r="K353" s="543"/>
      <c r="L353" s="542"/>
      <c r="M353" s="542"/>
      <c r="N353" s="542"/>
      <c r="O353" s="542"/>
      <c r="P353" s="544"/>
      <c r="Q353" s="544"/>
      <c r="R353" s="544"/>
      <c r="S353" s="544"/>
      <c r="T353" s="544"/>
      <c r="U353" s="544"/>
      <c r="V353" s="544"/>
      <c r="W353" s="544"/>
      <c r="X353" s="544"/>
      <c r="Y353" s="544"/>
      <c r="Z353" s="544"/>
      <c r="AA353" s="544"/>
      <c r="AB353" s="544"/>
      <c r="AC353" s="544"/>
      <c r="AD353" s="542"/>
      <c r="AE353" s="542"/>
      <c r="AF353" s="542"/>
      <c r="AG353" s="542"/>
      <c r="AH353" s="545"/>
      <c r="AI353" s="546"/>
      <c r="AJ353" s="547"/>
      <c r="AK353" s="548"/>
      <c r="AL353" s="550"/>
      <c r="AM353" s="550"/>
      <c r="AN353" s="547"/>
      <c r="AO353" s="548"/>
      <c r="AP353" s="549" t="s">
        <v>4024</v>
      </c>
      <c r="AQ353" s="550">
        <f>'P.3 GASB 75 OPEB - plan 3'!C111+'P.3 GASB 75 OPEB - plan 3'!C120+'P.3 GASB 75 OPEB - plan 3'!C129</f>
        <v>0</v>
      </c>
      <c r="AR353" s="546"/>
      <c r="AS353" s="549" t="s">
        <v>4024</v>
      </c>
      <c r="AT353" s="550">
        <f>'P.3 GASB 75 OPEB - plan 3'!D111+'P.3 GASB 75 OPEB - plan 3'!D120+'P.3 GASB 75 OPEB - plan 3'!D129</f>
        <v>0</v>
      </c>
      <c r="AU353" s="551"/>
      <c r="AV353" s="550"/>
      <c r="AW353" s="546"/>
      <c r="AX353" s="549"/>
      <c r="AY353" s="552"/>
      <c r="AZ353" s="523"/>
      <c r="BA353" s="524"/>
      <c r="BB353" s="550">
        <f t="shared" si="238"/>
        <v>0</v>
      </c>
      <c r="BC353" s="550">
        <f>ROUND(AK353+AM353+AO353+AT353+AY353+BA353,0)</f>
        <v>0</v>
      </c>
      <c r="BD353" s="575"/>
      <c r="BE353" s="552"/>
      <c r="BF353" s="504"/>
      <c r="BG353" s="522"/>
      <c r="BH353" s="1189"/>
      <c r="BI353" s="1193"/>
      <c r="BJ353" s="1206"/>
    </row>
    <row r="354" spans="1:62" s="1241" customFormat="1" x14ac:dyDescent="0.2">
      <c r="A354" s="33"/>
      <c r="B354" s="271"/>
      <c r="C354" s="248"/>
      <c r="D354" s="540"/>
      <c r="E354" s="541"/>
      <c r="F354" s="542"/>
      <c r="G354" s="542"/>
      <c r="H354" s="542"/>
      <c r="I354" s="542"/>
      <c r="J354" s="542"/>
      <c r="K354" s="543"/>
      <c r="L354" s="542"/>
      <c r="M354" s="542"/>
      <c r="N354" s="542"/>
      <c r="O354" s="542"/>
      <c r="P354" s="544"/>
      <c r="Q354" s="544"/>
      <c r="R354" s="544"/>
      <c r="S354" s="544"/>
      <c r="T354" s="544"/>
      <c r="U354" s="544"/>
      <c r="V354" s="544"/>
      <c r="W354" s="544"/>
      <c r="X354" s="544"/>
      <c r="Y354" s="544"/>
      <c r="Z354" s="544"/>
      <c r="AA354" s="544"/>
      <c r="AB354" s="544"/>
      <c r="AC354" s="544"/>
      <c r="AD354" s="542"/>
      <c r="AE354" s="542"/>
      <c r="AF354" s="542"/>
      <c r="AG354" s="542"/>
      <c r="AH354" s="545"/>
      <c r="AI354" s="546"/>
      <c r="AJ354" s="547"/>
      <c r="AK354" s="548"/>
      <c r="AL354" s="550"/>
      <c r="AM354" s="550"/>
      <c r="AN354" s="547"/>
      <c r="AO354" s="548"/>
      <c r="AP354" s="549" t="s">
        <v>4117</v>
      </c>
      <c r="AQ354" s="550">
        <f>'Q. GASB 87 Lease Entries'!M73</f>
        <v>0</v>
      </c>
      <c r="AR354" s="546"/>
      <c r="AS354" s="549" t="s">
        <v>4113</v>
      </c>
      <c r="AT354" s="550">
        <f>'Q. GASB 87 Lease Entries'!O37</f>
        <v>0</v>
      </c>
      <c r="AU354" s="551"/>
      <c r="AV354" s="550"/>
      <c r="AW354" s="546"/>
      <c r="AX354" s="549"/>
      <c r="AY354" s="552"/>
      <c r="AZ354" s="523"/>
      <c r="BA354" s="524"/>
      <c r="BB354" s="550">
        <f t="shared" si="238"/>
        <v>0</v>
      </c>
      <c r="BC354" s="550">
        <f t="shared" ref="BC354" si="240">ROUND(AK354+AM354+AO354+AT354+AY354+BA354,0)</f>
        <v>0</v>
      </c>
      <c r="BD354" s="575"/>
      <c r="BE354" s="552"/>
      <c r="BF354" s="504"/>
      <c r="BG354" s="522"/>
      <c r="BH354" s="1189"/>
      <c r="BI354" s="1193"/>
      <c r="BJ354" s="1206"/>
    </row>
    <row r="355" spans="1:62" s="13" customFormat="1" ht="6" customHeight="1" x14ac:dyDescent="0.2">
      <c r="A355" s="33"/>
      <c r="B355" s="31"/>
      <c r="C355" s="31"/>
      <c r="D355" s="531"/>
      <c r="E355" s="532"/>
      <c r="F355" s="528"/>
      <c r="G355" s="528"/>
      <c r="H355" s="528"/>
      <c r="I355" s="528"/>
      <c r="J355" s="528"/>
      <c r="K355" s="533"/>
      <c r="L355" s="528"/>
      <c r="M355" s="528"/>
      <c r="N355" s="528"/>
      <c r="O355" s="528"/>
      <c r="P355" s="527"/>
      <c r="Q355" s="527"/>
      <c r="R355" s="527"/>
      <c r="S355" s="527"/>
      <c r="T355" s="527"/>
      <c r="U355" s="527"/>
      <c r="V355" s="527"/>
      <c r="W355" s="527"/>
      <c r="X355" s="527"/>
      <c r="Y355" s="527"/>
      <c r="Z355" s="527"/>
      <c r="AA355" s="527"/>
      <c r="AB355" s="527"/>
      <c r="AC355" s="527"/>
      <c r="AD355" s="528"/>
      <c r="AE355" s="528"/>
      <c r="AF355" s="528"/>
      <c r="AG355" s="528"/>
      <c r="AH355" s="529"/>
      <c r="AI355" s="537"/>
      <c r="AJ355" s="534"/>
      <c r="AK355" s="535"/>
      <c r="AL355" s="537"/>
      <c r="AM355" s="537"/>
      <c r="AN355" s="534"/>
      <c r="AO355" s="535"/>
      <c r="AP355" s="579"/>
      <c r="AQ355" s="580"/>
      <c r="AR355" s="537"/>
      <c r="AS355" s="536"/>
      <c r="AT355" s="432"/>
      <c r="AU355" s="539"/>
      <c r="AV355" s="432"/>
      <c r="AW355" s="537"/>
      <c r="AX355" s="536"/>
      <c r="AY355" s="538"/>
      <c r="AZ355" s="527"/>
      <c r="BA355" s="562"/>
      <c r="BB355" s="432"/>
      <c r="BC355" s="432"/>
      <c r="BD355" s="571"/>
      <c r="BE355" s="538"/>
      <c r="BF355" s="432"/>
      <c r="BG355" s="538"/>
      <c r="BH355" s="1191"/>
      <c r="BI355" s="1194"/>
      <c r="BJ355" s="1206"/>
    </row>
    <row r="356" spans="1:62" x14ac:dyDescent="0.2">
      <c r="A356" s="33"/>
      <c r="B356" s="271" t="s">
        <v>172</v>
      </c>
      <c r="C356" s="248"/>
      <c r="D356" s="540">
        <v>41418016</v>
      </c>
      <c r="E356" s="541"/>
      <c r="F356" s="542"/>
      <c r="G356" s="542"/>
      <c r="H356" s="542"/>
      <c r="I356" s="542"/>
      <c r="J356" s="542"/>
      <c r="K356" s="543"/>
      <c r="L356" s="542"/>
      <c r="M356" s="542"/>
      <c r="N356" s="542"/>
      <c r="O356" s="542"/>
      <c r="P356" s="544"/>
      <c r="Q356" s="544"/>
      <c r="R356" s="544"/>
      <c r="S356" s="544"/>
      <c r="T356" s="544"/>
      <c r="U356" s="544"/>
      <c r="V356" s="544"/>
      <c r="W356" s="544"/>
      <c r="X356" s="544"/>
      <c r="Y356" s="544"/>
      <c r="Z356" s="544"/>
      <c r="AA356" s="544"/>
      <c r="AB356" s="544"/>
      <c r="AC356" s="544"/>
      <c r="AD356" s="542"/>
      <c r="AE356" s="542"/>
      <c r="AF356" s="542"/>
      <c r="AG356" s="542"/>
      <c r="AH356" s="545">
        <f t="shared" ref="AH356:AH359" si="241">L356+N356+P356+R356+T356+V356+X356+Z356+AB356+AD356+AF356</f>
        <v>0</v>
      </c>
      <c r="AI356" s="546">
        <f t="shared" ref="AI356:AI359" si="242">M356+O356+Q356+S356+U356+W356+Y356+AA356+AC356+AE356+AG356</f>
        <v>0</v>
      </c>
      <c r="AJ356" s="547">
        <f t="shared" ref="AJ356:AK359" si="243">D356+F356+H356+J356+AH356</f>
        <v>41418016</v>
      </c>
      <c r="AK356" s="548">
        <f t="shared" si="243"/>
        <v>0</v>
      </c>
      <c r="AL356" s="546"/>
      <c r="AM356" s="546"/>
      <c r="AN356" s="547"/>
      <c r="AO356" s="548"/>
      <c r="AP356" s="549" t="str">
        <f>'D. Depreciation'!A55</f>
        <v>D.1</v>
      </c>
      <c r="AQ356" s="550">
        <f>'D. Depreciation'!J62</f>
        <v>0</v>
      </c>
      <c r="AR356" s="546"/>
      <c r="AS356" s="549" t="str">
        <f>'E. Capital Outlay'!D54</f>
        <v>E.1</v>
      </c>
      <c r="AT356" s="550">
        <f>'E. Capital Outlay'!N73</f>
        <v>0</v>
      </c>
      <c r="AU356" s="551" t="str">
        <f>'L. Eliminations-Consolidations'!A243</f>
        <v>L.7</v>
      </c>
      <c r="AV356" s="550">
        <f>'L. Eliminations-Consolidations'!J250</f>
        <v>0</v>
      </c>
      <c r="AW356" s="546"/>
      <c r="AX356" s="554" t="s">
        <v>637</v>
      </c>
      <c r="AY356" s="550">
        <f>'K.1  Int. Service Fd Allocation'!G216+'K.2  Int. Service Fd Alloca'!G211+'K.3 Int. Service Fd Alloca'!G211</f>
        <v>0</v>
      </c>
      <c r="AZ356" s="555"/>
      <c r="BA356" s="524"/>
      <c r="BB356" s="550">
        <f t="shared" ref="BB356:BB361" si="244">ROUND(AJ356+AL356+AN356+AQ356+AV356+AZ356,0)</f>
        <v>41418016</v>
      </c>
      <c r="BC356" s="550">
        <f t="shared" ref="BC356:BC361" si="245">ROUND(AK356+AM356+AO356+AT356+AY356+BA356,0)</f>
        <v>0</v>
      </c>
      <c r="BD356" s="575">
        <f>IF((SUM(BB356:BB364))-(SUM(BC356:BC364))&lt;=0," ",(SUM(BB356:BB364))-(SUM(BC356:BC364)))</f>
        <v>43118616</v>
      </c>
      <c r="BE356" s="552" t="str">
        <f>IF((SUM(BB356:BB364))-(SUM(BC356:BC364))&gt;0," ",-(SUM(BB356:BB364))+(SUM(BC356:BC364)))</f>
        <v xml:space="preserve"> </v>
      </c>
      <c r="BF356" s="504"/>
      <c r="BG356" s="522"/>
      <c r="BH356" s="1190"/>
    </row>
    <row r="357" spans="1:62" x14ac:dyDescent="0.2">
      <c r="A357" s="33"/>
      <c r="B357" s="271"/>
      <c r="C357" s="248"/>
      <c r="D357" s="540"/>
      <c r="E357" s="541"/>
      <c r="F357" s="542"/>
      <c r="G357" s="542"/>
      <c r="H357" s="542"/>
      <c r="I357" s="542"/>
      <c r="J357" s="542"/>
      <c r="K357" s="543"/>
      <c r="L357" s="542"/>
      <c r="M357" s="542"/>
      <c r="N357" s="542"/>
      <c r="O357" s="542"/>
      <c r="P357" s="544"/>
      <c r="Q357" s="544"/>
      <c r="R357" s="544"/>
      <c r="S357" s="544"/>
      <c r="T357" s="544"/>
      <c r="U357" s="544"/>
      <c r="V357" s="544"/>
      <c r="W357" s="544"/>
      <c r="X357" s="544"/>
      <c r="Y357" s="544"/>
      <c r="Z357" s="544"/>
      <c r="AA357" s="544"/>
      <c r="AB357" s="544"/>
      <c r="AC357" s="544"/>
      <c r="AD357" s="542"/>
      <c r="AE357" s="542"/>
      <c r="AF357" s="542"/>
      <c r="AG357" s="542"/>
      <c r="AH357" s="545">
        <f t="shared" si="241"/>
        <v>0</v>
      </c>
      <c r="AI357" s="546">
        <f t="shared" si="242"/>
        <v>0</v>
      </c>
      <c r="AJ357" s="547">
        <f t="shared" si="243"/>
        <v>0</v>
      </c>
      <c r="AK357" s="548">
        <f t="shared" si="243"/>
        <v>0</v>
      </c>
      <c r="AL357" s="546"/>
      <c r="AM357" s="546"/>
      <c r="AN357" s="547"/>
      <c r="AO357" s="548"/>
      <c r="AP357" s="549" t="str">
        <f>'J. Other Liability &amp; Expenses'!D203</f>
        <v>J.1</v>
      </c>
      <c r="AQ357" s="550">
        <f>'J. Other Liability &amp; Expenses'!L210</f>
        <v>0</v>
      </c>
      <c r="AR357" s="546"/>
      <c r="AS357" s="564" t="str">
        <f>'I.  Other Asset Entries'!B108</f>
        <v>I.1</v>
      </c>
      <c r="AT357" s="550">
        <f>'I.  Other Asset Entries'!N120</f>
        <v>0</v>
      </c>
      <c r="AU357" s="551"/>
      <c r="AV357" s="550"/>
      <c r="AW357" s="546"/>
      <c r="AX357" s="549"/>
      <c r="AY357" s="552"/>
      <c r="AZ357" s="523"/>
      <c r="BA357" s="524"/>
      <c r="BB357" s="550">
        <f t="shared" si="244"/>
        <v>0</v>
      </c>
      <c r="BC357" s="550">
        <f t="shared" si="245"/>
        <v>0</v>
      </c>
      <c r="BD357" s="575"/>
      <c r="BE357" s="552"/>
      <c r="BF357" s="504"/>
      <c r="BG357" s="522"/>
    </row>
    <row r="358" spans="1:62" x14ac:dyDescent="0.2">
      <c r="A358" s="33"/>
      <c r="B358" s="271"/>
      <c r="C358" s="248"/>
      <c r="D358" s="540"/>
      <c r="E358" s="541"/>
      <c r="F358" s="542"/>
      <c r="G358" s="542"/>
      <c r="H358" s="542"/>
      <c r="I358" s="542"/>
      <c r="J358" s="542"/>
      <c r="K358" s="543"/>
      <c r="L358" s="542"/>
      <c r="M358" s="542"/>
      <c r="N358" s="542"/>
      <c r="O358" s="542"/>
      <c r="P358" s="544"/>
      <c r="Q358" s="544"/>
      <c r="R358" s="544"/>
      <c r="S358" s="544"/>
      <c r="T358" s="544"/>
      <c r="U358" s="544"/>
      <c r="V358" s="544"/>
      <c r="W358" s="544"/>
      <c r="X358" s="544"/>
      <c r="Y358" s="544"/>
      <c r="Z358" s="544"/>
      <c r="AA358" s="544"/>
      <c r="AB358" s="544"/>
      <c r="AC358" s="544"/>
      <c r="AD358" s="542"/>
      <c r="AE358" s="542"/>
      <c r="AF358" s="542"/>
      <c r="AG358" s="542"/>
      <c r="AH358" s="545">
        <f t="shared" si="241"/>
        <v>0</v>
      </c>
      <c r="AI358" s="546">
        <f t="shared" si="242"/>
        <v>0</v>
      </c>
      <c r="AJ358" s="547">
        <f t="shared" si="243"/>
        <v>0</v>
      </c>
      <c r="AK358" s="548">
        <f t="shared" si="243"/>
        <v>0</v>
      </c>
      <c r="AL358" s="546"/>
      <c r="AM358" s="546"/>
      <c r="AN358" s="547"/>
      <c r="AO358" s="548"/>
      <c r="AP358" s="549" t="str">
        <f>'F.  Other Cap Asset Entries'!D256</f>
        <v>F.3</v>
      </c>
      <c r="AQ358" s="432">
        <f>'F.  Other Cap Asset Entries'!M262</f>
        <v>1700600</v>
      </c>
      <c r="AR358" s="546"/>
      <c r="AS358" s="564" t="str">
        <f>'J. Other Liability &amp; Expenses'!D203</f>
        <v>J.1</v>
      </c>
      <c r="AT358" s="550">
        <f>'J. Other Liability &amp; Expenses'!N210</f>
        <v>0</v>
      </c>
      <c r="AU358" s="551" t="str">
        <f>'L. Eliminations-Consolidations'!B273</f>
        <v>L.8</v>
      </c>
      <c r="AV358" s="550">
        <f>'L. Eliminations-Consolidations'!J281</f>
        <v>0</v>
      </c>
      <c r="AW358" s="546"/>
      <c r="AX358" s="549" t="str">
        <f>'L. Eliminations-Consolidations'!B273</f>
        <v>L.8</v>
      </c>
      <c r="AY358" s="552">
        <f>'L. Eliminations-Consolidations'!L281</f>
        <v>0</v>
      </c>
      <c r="AZ358" s="523"/>
      <c r="BA358" s="524"/>
      <c r="BB358" s="550">
        <f t="shared" si="244"/>
        <v>1700600</v>
      </c>
      <c r="BC358" s="550">
        <f t="shared" si="245"/>
        <v>0</v>
      </c>
      <c r="BD358" s="575"/>
      <c r="BE358" s="552"/>
      <c r="BF358" s="504"/>
      <c r="BG358" s="522"/>
    </row>
    <row r="359" spans="1:62" x14ac:dyDescent="0.2">
      <c r="A359" s="33"/>
      <c r="B359" s="271"/>
      <c r="C359" s="248"/>
      <c r="D359" s="540"/>
      <c r="E359" s="541"/>
      <c r="F359" s="542"/>
      <c r="G359" s="542"/>
      <c r="H359" s="542"/>
      <c r="I359" s="542"/>
      <c r="J359" s="542"/>
      <c r="K359" s="543"/>
      <c r="L359" s="542"/>
      <c r="M359" s="542"/>
      <c r="N359" s="542"/>
      <c r="O359" s="542"/>
      <c r="P359" s="544"/>
      <c r="Q359" s="544"/>
      <c r="R359" s="544"/>
      <c r="S359" s="544"/>
      <c r="T359" s="544"/>
      <c r="U359" s="544"/>
      <c r="V359" s="544"/>
      <c r="W359" s="544"/>
      <c r="X359" s="544"/>
      <c r="Y359" s="544"/>
      <c r="Z359" s="544"/>
      <c r="AA359" s="544"/>
      <c r="AB359" s="544"/>
      <c r="AC359" s="544"/>
      <c r="AD359" s="542"/>
      <c r="AE359" s="542"/>
      <c r="AF359" s="542"/>
      <c r="AG359" s="542"/>
      <c r="AH359" s="545">
        <f t="shared" si="241"/>
        <v>0</v>
      </c>
      <c r="AI359" s="546">
        <f t="shared" si="242"/>
        <v>0</v>
      </c>
      <c r="AJ359" s="547">
        <f t="shared" si="243"/>
        <v>0</v>
      </c>
      <c r="AK359" s="548">
        <f t="shared" si="243"/>
        <v>0</v>
      </c>
      <c r="AL359" s="546"/>
      <c r="AM359" s="546"/>
      <c r="AN359" s="547"/>
      <c r="AO359" s="548"/>
      <c r="AP359" s="549" t="s">
        <v>624</v>
      </c>
      <c r="AQ359" s="550">
        <f>'F.  Other Cap Asset Entries'!M284</f>
        <v>0</v>
      </c>
      <c r="AR359" s="546"/>
      <c r="AS359" s="564" t="s">
        <v>2050</v>
      </c>
      <c r="AT359" s="550">
        <f>'N.1 GASB 68 LGERS'!D104</f>
        <v>0</v>
      </c>
      <c r="AU359" s="551"/>
      <c r="AV359" s="550"/>
      <c r="AW359" s="546"/>
      <c r="AX359" s="549"/>
      <c r="AY359" s="552"/>
      <c r="AZ359" s="523"/>
      <c r="BA359" s="524"/>
      <c r="BB359" s="550">
        <f t="shared" si="244"/>
        <v>0</v>
      </c>
      <c r="BC359" s="550">
        <f t="shared" si="245"/>
        <v>0</v>
      </c>
      <c r="BD359" s="575"/>
      <c r="BE359" s="552"/>
      <c r="BF359" s="504"/>
      <c r="BG359" s="522"/>
    </row>
    <row r="360" spans="1:62" s="704" customFormat="1" x14ac:dyDescent="0.2">
      <c r="A360" s="33"/>
      <c r="B360" s="271"/>
      <c r="C360" s="248"/>
      <c r="D360" s="540"/>
      <c r="E360" s="541"/>
      <c r="F360" s="542"/>
      <c r="G360" s="542"/>
      <c r="H360" s="542"/>
      <c r="I360" s="542"/>
      <c r="J360" s="542"/>
      <c r="K360" s="543"/>
      <c r="L360" s="542"/>
      <c r="M360" s="542"/>
      <c r="N360" s="542"/>
      <c r="O360" s="542"/>
      <c r="P360" s="544"/>
      <c r="Q360" s="544"/>
      <c r="R360" s="544"/>
      <c r="S360" s="544"/>
      <c r="T360" s="544"/>
      <c r="U360" s="544"/>
      <c r="V360" s="544"/>
      <c r="W360" s="544"/>
      <c r="X360" s="544"/>
      <c r="Y360" s="544"/>
      <c r="Z360" s="544"/>
      <c r="AA360" s="544"/>
      <c r="AB360" s="544"/>
      <c r="AC360" s="544"/>
      <c r="AD360" s="542"/>
      <c r="AE360" s="542"/>
      <c r="AF360" s="542"/>
      <c r="AG360" s="542"/>
      <c r="AH360" s="545"/>
      <c r="AI360" s="546"/>
      <c r="AJ360" s="547"/>
      <c r="AK360" s="548"/>
      <c r="AL360" s="546"/>
      <c r="AM360" s="546"/>
      <c r="AN360" s="547"/>
      <c r="AO360" s="548"/>
      <c r="AP360" s="549" t="s">
        <v>2050</v>
      </c>
      <c r="AQ360" s="550">
        <f>'N.1 GASB 68 LGERS'!C104</f>
        <v>0</v>
      </c>
      <c r="AR360" s="546"/>
      <c r="AS360" s="564"/>
      <c r="AT360" s="550"/>
      <c r="AU360" s="551"/>
      <c r="AV360" s="550"/>
      <c r="AW360" s="546"/>
      <c r="AX360" s="549"/>
      <c r="AY360" s="552"/>
      <c r="AZ360" s="523"/>
      <c r="BA360" s="524"/>
      <c r="BB360" s="550">
        <f t="shared" si="244"/>
        <v>0</v>
      </c>
      <c r="BC360" s="550">
        <f t="shared" si="245"/>
        <v>0</v>
      </c>
      <c r="BD360" s="575"/>
      <c r="BE360" s="552"/>
      <c r="BF360" s="504"/>
      <c r="BG360" s="522"/>
      <c r="BH360" s="1189"/>
      <c r="BI360" s="1193"/>
      <c r="BJ360" s="1206"/>
    </row>
    <row r="361" spans="1:62" s="1043" customFormat="1" x14ac:dyDescent="0.2">
      <c r="A361" s="33"/>
      <c r="B361" s="271"/>
      <c r="C361" s="248"/>
      <c r="D361" s="540"/>
      <c r="E361" s="541"/>
      <c r="F361" s="542"/>
      <c r="G361" s="542"/>
      <c r="H361" s="542"/>
      <c r="I361" s="542"/>
      <c r="J361" s="542"/>
      <c r="K361" s="543"/>
      <c r="L361" s="542"/>
      <c r="M361" s="542"/>
      <c r="N361" s="542"/>
      <c r="O361" s="542"/>
      <c r="P361" s="544"/>
      <c r="Q361" s="544"/>
      <c r="R361" s="544"/>
      <c r="S361" s="544"/>
      <c r="T361" s="544"/>
      <c r="U361" s="544"/>
      <c r="V361" s="544"/>
      <c r="W361" s="544"/>
      <c r="X361" s="544"/>
      <c r="Y361" s="544"/>
      <c r="Z361" s="544"/>
      <c r="AA361" s="544"/>
      <c r="AB361" s="544"/>
      <c r="AC361" s="544"/>
      <c r="AD361" s="542"/>
      <c r="AE361" s="542"/>
      <c r="AF361" s="542"/>
      <c r="AG361" s="542"/>
      <c r="AH361" s="545"/>
      <c r="AI361" s="546"/>
      <c r="AJ361" s="547"/>
      <c r="AK361" s="548"/>
      <c r="AL361" s="550"/>
      <c r="AM361" s="550"/>
      <c r="AN361" s="547"/>
      <c r="AO361" s="548"/>
      <c r="AP361" s="549" t="s">
        <v>4022</v>
      </c>
      <c r="AQ361" s="550">
        <f>'P.1 GASB 75 OPEB  - plan 1'!C112+'P.1 GASB 75 OPEB  - plan 1'!C121+'P.1 GASB 75 OPEB  - plan 1'!C130</f>
        <v>0</v>
      </c>
      <c r="AR361" s="546"/>
      <c r="AS361" s="549" t="s">
        <v>4022</v>
      </c>
      <c r="AT361" s="550">
        <f>'P.1 GASB 75 OPEB  - plan 1'!D112+'P.1 GASB 75 OPEB  - plan 1'!D121+'P.1 GASB 75 OPEB  - plan 1'!D130</f>
        <v>0</v>
      </c>
      <c r="AU361" s="551"/>
      <c r="AV361" s="550"/>
      <c r="AW361" s="546"/>
      <c r="AX361" s="549"/>
      <c r="AY361" s="552"/>
      <c r="AZ361" s="523"/>
      <c r="BA361" s="524"/>
      <c r="BB361" s="550">
        <f t="shared" si="244"/>
        <v>0</v>
      </c>
      <c r="BC361" s="550">
        <f t="shared" si="245"/>
        <v>0</v>
      </c>
      <c r="BD361" s="575"/>
      <c r="BE361" s="552"/>
      <c r="BF361" s="504"/>
      <c r="BG361" s="522"/>
      <c r="BH361" s="1189"/>
      <c r="BI361" s="1193"/>
      <c r="BJ361" s="1206"/>
    </row>
    <row r="362" spans="1:62" s="1099" customFormat="1" x14ac:dyDescent="0.2">
      <c r="A362" s="33"/>
      <c r="B362" s="271"/>
      <c r="C362" s="248"/>
      <c r="D362" s="540"/>
      <c r="E362" s="541"/>
      <c r="F362" s="542"/>
      <c r="G362" s="542"/>
      <c r="H362" s="542"/>
      <c r="I362" s="542"/>
      <c r="J362" s="542"/>
      <c r="K362" s="543"/>
      <c r="L362" s="542"/>
      <c r="M362" s="542"/>
      <c r="N362" s="542"/>
      <c r="O362" s="542"/>
      <c r="P362" s="544"/>
      <c r="Q362" s="544"/>
      <c r="R362" s="544"/>
      <c r="S362" s="544"/>
      <c r="T362" s="544"/>
      <c r="U362" s="544"/>
      <c r="V362" s="544"/>
      <c r="W362" s="544"/>
      <c r="X362" s="544"/>
      <c r="Y362" s="544"/>
      <c r="Z362" s="544"/>
      <c r="AA362" s="544"/>
      <c r="AB362" s="544"/>
      <c r="AC362" s="544"/>
      <c r="AD362" s="542"/>
      <c r="AE362" s="542"/>
      <c r="AF362" s="542"/>
      <c r="AG362" s="542"/>
      <c r="AH362" s="545"/>
      <c r="AI362" s="546"/>
      <c r="AJ362" s="547"/>
      <c r="AK362" s="548"/>
      <c r="AL362" s="550"/>
      <c r="AM362" s="550"/>
      <c r="AN362" s="547"/>
      <c r="AO362" s="548"/>
      <c r="AP362" s="549" t="s">
        <v>4023</v>
      </c>
      <c r="AQ362" s="550">
        <f>'P.2 GASB 75 OPEB - plan 2'!C112+'P.2 GASB 75 OPEB - plan 2'!C121+'P.2 GASB 75 OPEB - plan 2'!C130</f>
        <v>0</v>
      </c>
      <c r="AR362" s="546"/>
      <c r="AS362" s="549" t="s">
        <v>4023</v>
      </c>
      <c r="AT362" s="550">
        <f>'P.2 GASB 75 OPEB - plan 2'!D112+'P.2 GASB 75 OPEB - plan 2'!D121+'P.2 GASB 75 OPEB - plan 2'!D130</f>
        <v>0</v>
      </c>
      <c r="AU362" s="551"/>
      <c r="AV362" s="550"/>
      <c r="AW362" s="546"/>
      <c r="AX362" s="549"/>
      <c r="AY362" s="552"/>
      <c r="AZ362" s="523"/>
      <c r="BA362" s="524"/>
      <c r="BB362" s="550">
        <f t="shared" ref="BB362:BB364" si="246">ROUND(AJ362+AL362+AN362+AQ362+AV362+AZ362,0)</f>
        <v>0</v>
      </c>
      <c r="BC362" s="550">
        <f t="shared" ref="BC362:BC364" si="247">ROUND(AK362+AM362+AO362+AT362+AY362+BA362,0)</f>
        <v>0</v>
      </c>
      <c r="BD362" s="575"/>
      <c r="BE362" s="552"/>
      <c r="BF362" s="504"/>
      <c r="BG362" s="522"/>
      <c r="BH362" s="1189"/>
      <c r="BI362" s="1193"/>
      <c r="BJ362" s="1206"/>
    </row>
    <row r="363" spans="1:62" s="1099" customFormat="1" x14ac:dyDescent="0.2">
      <c r="A363" s="33"/>
      <c r="B363" s="271"/>
      <c r="C363" s="248"/>
      <c r="D363" s="540"/>
      <c r="E363" s="541"/>
      <c r="F363" s="542"/>
      <c r="G363" s="542"/>
      <c r="H363" s="542"/>
      <c r="I363" s="542"/>
      <c r="J363" s="542"/>
      <c r="K363" s="543"/>
      <c r="L363" s="542"/>
      <c r="M363" s="542"/>
      <c r="N363" s="542"/>
      <c r="O363" s="542"/>
      <c r="P363" s="544"/>
      <c r="Q363" s="544"/>
      <c r="R363" s="544"/>
      <c r="S363" s="544"/>
      <c r="T363" s="544"/>
      <c r="U363" s="544"/>
      <c r="V363" s="544"/>
      <c r="W363" s="544"/>
      <c r="X363" s="544"/>
      <c r="Y363" s="544"/>
      <c r="Z363" s="544"/>
      <c r="AA363" s="544"/>
      <c r="AB363" s="544"/>
      <c r="AC363" s="544"/>
      <c r="AD363" s="542"/>
      <c r="AE363" s="542"/>
      <c r="AF363" s="542"/>
      <c r="AG363" s="542"/>
      <c r="AH363" s="545"/>
      <c r="AI363" s="546"/>
      <c r="AJ363" s="547"/>
      <c r="AK363" s="548"/>
      <c r="AL363" s="550"/>
      <c r="AM363" s="550"/>
      <c r="AN363" s="547"/>
      <c r="AO363" s="548"/>
      <c r="AP363" s="549" t="s">
        <v>4024</v>
      </c>
      <c r="AQ363" s="550">
        <f>'P.3 GASB 75 OPEB - plan 3'!C112+'P.3 GASB 75 OPEB - plan 3'!C121+'P.3 GASB 75 OPEB - plan 3'!C130</f>
        <v>0</v>
      </c>
      <c r="AR363" s="546"/>
      <c r="AS363" s="549" t="s">
        <v>4024</v>
      </c>
      <c r="AT363" s="550">
        <f>'P.3 GASB 75 OPEB - plan 3'!D112+'P.3 GASB 75 OPEB - plan 3'!D121+'P.3 GASB 75 OPEB - plan 3'!D130</f>
        <v>0</v>
      </c>
      <c r="AU363" s="551"/>
      <c r="AV363" s="550"/>
      <c r="AW363" s="546"/>
      <c r="AX363" s="549"/>
      <c r="AY363" s="552"/>
      <c r="AZ363" s="523"/>
      <c r="BA363" s="524"/>
      <c r="BB363" s="550">
        <f t="shared" si="246"/>
        <v>0</v>
      </c>
      <c r="BC363" s="550">
        <f t="shared" si="247"/>
        <v>0</v>
      </c>
      <c r="BD363" s="575"/>
      <c r="BE363" s="552"/>
      <c r="BF363" s="504"/>
      <c r="BG363" s="522"/>
      <c r="BH363" s="1189"/>
      <c r="BI363" s="1193"/>
      <c r="BJ363" s="1206"/>
    </row>
    <row r="364" spans="1:62" s="1241" customFormat="1" x14ac:dyDescent="0.2">
      <c r="A364" s="33"/>
      <c r="B364" s="271"/>
      <c r="C364" s="248"/>
      <c r="D364" s="540"/>
      <c r="E364" s="541"/>
      <c r="F364" s="542"/>
      <c r="G364" s="542"/>
      <c r="H364" s="542"/>
      <c r="I364" s="542"/>
      <c r="J364" s="542"/>
      <c r="K364" s="543"/>
      <c r="L364" s="542"/>
      <c r="M364" s="542"/>
      <c r="N364" s="542"/>
      <c r="O364" s="542"/>
      <c r="P364" s="544"/>
      <c r="Q364" s="544"/>
      <c r="R364" s="544"/>
      <c r="S364" s="544"/>
      <c r="T364" s="544"/>
      <c r="U364" s="544"/>
      <c r="V364" s="544"/>
      <c r="W364" s="544"/>
      <c r="X364" s="544"/>
      <c r="Y364" s="544"/>
      <c r="Z364" s="544"/>
      <c r="AA364" s="544"/>
      <c r="AB364" s="544"/>
      <c r="AC364" s="544"/>
      <c r="AD364" s="542"/>
      <c r="AE364" s="542"/>
      <c r="AF364" s="542"/>
      <c r="AG364" s="542"/>
      <c r="AH364" s="545"/>
      <c r="AI364" s="546"/>
      <c r="AJ364" s="547"/>
      <c r="AK364" s="548"/>
      <c r="AL364" s="550"/>
      <c r="AM364" s="550"/>
      <c r="AN364" s="547"/>
      <c r="AO364" s="548"/>
      <c r="AP364" s="549" t="s">
        <v>4117</v>
      </c>
      <c r="AQ364" s="550">
        <f>'Q. GASB 87 Lease Entries'!M76</f>
        <v>0</v>
      </c>
      <c r="AR364" s="546"/>
      <c r="AS364" s="549" t="s">
        <v>4113</v>
      </c>
      <c r="AT364" s="550">
        <f>'Q. GASB 87 Lease Entries'!O40</f>
        <v>0</v>
      </c>
      <c r="AU364" s="551"/>
      <c r="AV364" s="550"/>
      <c r="AW364" s="546"/>
      <c r="AX364" s="549"/>
      <c r="AY364" s="552"/>
      <c r="AZ364" s="523"/>
      <c r="BA364" s="524"/>
      <c r="BB364" s="550">
        <f t="shared" si="246"/>
        <v>0</v>
      </c>
      <c r="BC364" s="550">
        <f t="shared" si="247"/>
        <v>0</v>
      </c>
      <c r="BD364" s="575"/>
      <c r="BE364" s="552"/>
      <c r="BF364" s="504"/>
      <c r="BG364" s="522"/>
      <c r="BH364" s="1189"/>
      <c r="BI364" s="1193"/>
      <c r="BJ364" s="1206"/>
    </row>
    <row r="365" spans="1:62" s="13" customFormat="1" ht="6" customHeight="1" x14ac:dyDescent="0.2">
      <c r="A365" s="33"/>
      <c r="B365" s="31"/>
      <c r="C365" s="31"/>
      <c r="D365" s="531"/>
      <c r="E365" s="532"/>
      <c r="F365" s="528"/>
      <c r="G365" s="528"/>
      <c r="H365" s="528"/>
      <c r="I365" s="528"/>
      <c r="J365" s="528"/>
      <c r="K365" s="533"/>
      <c r="L365" s="528"/>
      <c r="M365" s="528"/>
      <c r="N365" s="528"/>
      <c r="O365" s="528"/>
      <c r="P365" s="527"/>
      <c r="Q365" s="527"/>
      <c r="R365" s="527"/>
      <c r="S365" s="527"/>
      <c r="T365" s="527"/>
      <c r="U365" s="527"/>
      <c r="V365" s="527"/>
      <c r="W365" s="527"/>
      <c r="X365" s="527"/>
      <c r="Y365" s="527"/>
      <c r="Z365" s="527"/>
      <c r="AA365" s="527"/>
      <c r="AB365" s="527"/>
      <c r="AC365" s="527"/>
      <c r="AD365" s="528"/>
      <c r="AE365" s="528"/>
      <c r="AF365" s="528"/>
      <c r="AG365" s="528"/>
      <c r="AH365" s="529"/>
      <c r="AI365" s="537"/>
      <c r="AJ365" s="534"/>
      <c r="AK365" s="535"/>
      <c r="AL365" s="537"/>
      <c r="AM365" s="537"/>
      <c r="AN365" s="534"/>
      <c r="AO365" s="535"/>
      <c r="AP365" s="579"/>
      <c r="AQ365" s="580"/>
      <c r="AR365" s="537"/>
      <c r="AS365" s="536"/>
      <c r="AT365" s="432"/>
      <c r="AU365" s="539"/>
      <c r="AV365" s="432"/>
      <c r="AW365" s="537"/>
      <c r="AX365" s="536"/>
      <c r="AY365" s="538"/>
      <c r="AZ365" s="527"/>
      <c r="BA365" s="562"/>
      <c r="BB365" s="432"/>
      <c r="BC365" s="432"/>
      <c r="BD365" s="571"/>
      <c r="BE365" s="538"/>
      <c r="BF365" s="432"/>
      <c r="BG365" s="538"/>
      <c r="BH365" s="1191"/>
      <c r="BI365" s="1194"/>
      <c r="BJ365" s="1206"/>
    </row>
    <row r="366" spans="1:62" x14ac:dyDescent="0.2">
      <c r="A366" s="33"/>
      <c r="B366" s="373" t="s">
        <v>729</v>
      </c>
      <c r="C366" s="248"/>
      <c r="D366" s="540"/>
      <c r="E366" s="541"/>
      <c r="F366" s="542"/>
      <c r="G366" s="542"/>
      <c r="H366" s="542"/>
      <c r="I366" s="542"/>
      <c r="J366" s="542"/>
      <c r="K366" s="543"/>
      <c r="L366" s="542"/>
      <c r="M366" s="542"/>
      <c r="N366" s="542"/>
      <c r="O366" s="542"/>
      <c r="P366" s="544"/>
      <c r="Q366" s="544"/>
      <c r="R366" s="544"/>
      <c r="S366" s="544"/>
      <c r="T366" s="544"/>
      <c r="U366" s="544"/>
      <c r="V366" s="544"/>
      <c r="W366" s="544"/>
      <c r="X366" s="544"/>
      <c r="Y366" s="544"/>
      <c r="Z366" s="544"/>
      <c r="AA366" s="544"/>
      <c r="AB366" s="544"/>
      <c r="AC366" s="544"/>
      <c r="AD366" s="542"/>
      <c r="AE366" s="542"/>
      <c r="AF366" s="542"/>
      <c r="AG366" s="542"/>
      <c r="AH366" s="545">
        <f t="shared" ref="AH366:AH369" si="248">L366+N366+P366+R366+T366+V366+X366+Z366+AB366+AD366+AF366</f>
        <v>0</v>
      </c>
      <c r="AI366" s="546">
        <f t="shared" ref="AI366:AI369" si="249">M366+O366+Q366+S366+U366+W366+Y366+AA366+AC366+AE366+AG366</f>
        <v>0</v>
      </c>
      <c r="AJ366" s="547">
        <f t="shared" ref="AJ366:AK369" si="250">D366+F366+H366+J366+AH366</f>
        <v>0</v>
      </c>
      <c r="AK366" s="548">
        <f t="shared" si="250"/>
        <v>0</v>
      </c>
      <c r="AL366" s="546"/>
      <c r="AM366" s="546"/>
      <c r="AN366" s="547"/>
      <c r="AO366" s="548"/>
      <c r="AP366" s="549" t="str">
        <f>'D. Depreciation'!A55</f>
        <v>D.1</v>
      </c>
      <c r="AQ366" s="550">
        <f>'D. Depreciation'!J63</f>
        <v>0</v>
      </c>
      <c r="AR366" s="546"/>
      <c r="AS366" s="549" t="str">
        <f>'E. Capital Outlay'!D54</f>
        <v>E.1</v>
      </c>
      <c r="AT366" s="550">
        <f>'E. Capital Outlay'!N74</f>
        <v>0</v>
      </c>
      <c r="AU366" s="551" t="str">
        <f>'L. Eliminations-Consolidations'!A243</f>
        <v>L.7</v>
      </c>
      <c r="AV366" s="550">
        <f>'L. Eliminations-Consolidations'!J251</f>
        <v>0</v>
      </c>
      <c r="AW366" s="546"/>
      <c r="AX366" s="554" t="s">
        <v>637</v>
      </c>
      <c r="AY366" s="550">
        <f>'K.1  Int. Service Fd Allocation'!G217+'K.2  Int. Service Fd Alloca'!G212+'K.3 Int. Service Fd Alloca'!G212</f>
        <v>0</v>
      </c>
      <c r="AZ366" s="555"/>
      <c r="BA366" s="524"/>
      <c r="BB366" s="550">
        <f t="shared" ref="BB366:BB371" si="251">ROUND(AJ366+AL366+AN366+AQ366+AV366+AZ366,0)</f>
        <v>0</v>
      </c>
      <c r="BC366" s="550">
        <f t="shared" ref="BC366:BC371" si="252">ROUND(AK366+AM366+AO366+AT366+AY366+BA366,0)</f>
        <v>0</v>
      </c>
      <c r="BD366" s="575" t="str">
        <f>IF((SUM(BB366:BB374))-(SUM(BC366:BC374))&lt;=0," ",(SUM(BB366:BB374))-(SUM(BC366:BC374)))</f>
        <v xml:space="preserve"> </v>
      </c>
      <c r="BE366" s="552">
        <f>IF((SUM(BB366:BB374))-(SUM(BC366:BC374))&gt;0," ",-(SUM(BB366:BB374))+(SUM(BC366:BC374)))</f>
        <v>0</v>
      </c>
      <c r="BF366" s="504"/>
      <c r="BG366" s="522"/>
    </row>
    <row r="367" spans="1:62" x14ac:dyDescent="0.2">
      <c r="A367" s="33"/>
      <c r="B367" s="271"/>
      <c r="C367" s="248"/>
      <c r="D367" s="540"/>
      <c r="E367" s="541"/>
      <c r="F367" s="542"/>
      <c r="G367" s="542"/>
      <c r="H367" s="542"/>
      <c r="I367" s="542"/>
      <c r="J367" s="542"/>
      <c r="K367" s="543"/>
      <c r="L367" s="542"/>
      <c r="M367" s="542"/>
      <c r="N367" s="542"/>
      <c r="O367" s="542"/>
      <c r="P367" s="544"/>
      <c r="Q367" s="544"/>
      <c r="R367" s="544"/>
      <c r="S367" s="544"/>
      <c r="T367" s="544"/>
      <c r="U367" s="544"/>
      <c r="V367" s="544"/>
      <c r="W367" s="544"/>
      <c r="X367" s="544"/>
      <c r="Y367" s="544"/>
      <c r="Z367" s="544"/>
      <c r="AA367" s="544"/>
      <c r="AB367" s="544"/>
      <c r="AC367" s="544"/>
      <c r="AD367" s="542"/>
      <c r="AE367" s="542"/>
      <c r="AF367" s="542"/>
      <c r="AG367" s="542"/>
      <c r="AH367" s="545">
        <f t="shared" si="248"/>
        <v>0</v>
      </c>
      <c r="AI367" s="546">
        <f t="shared" si="249"/>
        <v>0</v>
      </c>
      <c r="AJ367" s="547">
        <f t="shared" si="250"/>
        <v>0</v>
      </c>
      <c r="AK367" s="548">
        <f t="shared" si="250"/>
        <v>0</v>
      </c>
      <c r="AL367" s="546"/>
      <c r="AM367" s="546"/>
      <c r="AN367" s="547"/>
      <c r="AO367" s="548"/>
      <c r="AP367" s="549" t="str">
        <f>'J. Other Liability &amp; Expenses'!D203</f>
        <v>J.1</v>
      </c>
      <c r="AQ367" s="550">
        <f>'J. Other Liability &amp; Expenses'!L211</f>
        <v>0</v>
      </c>
      <c r="AR367" s="546"/>
      <c r="AS367" s="564" t="str">
        <f>'I.  Other Asset Entries'!B108</f>
        <v>I.1</v>
      </c>
      <c r="AT367" s="550">
        <f>'I.  Other Asset Entries'!N121</f>
        <v>0</v>
      </c>
      <c r="AU367" s="551"/>
      <c r="AV367" s="550"/>
      <c r="AW367" s="546"/>
      <c r="AX367" s="549"/>
      <c r="AY367" s="552"/>
      <c r="AZ367" s="523"/>
      <c r="BA367" s="524"/>
      <c r="BB367" s="550">
        <f t="shared" si="251"/>
        <v>0</v>
      </c>
      <c r="BC367" s="550">
        <f t="shared" si="252"/>
        <v>0</v>
      </c>
      <c r="BD367" s="575"/>
      <c r="BE367" s="552"/>
      <c r="BF367" s="504"/>
      <c r="BG367" s="522"/>
    </row>
    <row r="368" spans="1:62" x14ac:dyDescent="0.2">
      <c r="A368" s="33"/>
      <c r="B368" s="271"/>
      <c r="C368" s="248"/>
      <c r="D368" s="540"/>
      <c r="E368" s="541"/>
      <c r="F368" s="542"/>
      <c r="G368" s="542"/>
      <c r="H368" s="542"/>
      <c r="I368" s="542"/>
      <c r="J368" s="542"/>
      <c r="K368" s="543"/>
      <c r="L368" s="542"/>
      <c r="M368" s="542"/>
      <c r="N368" s="542"/>
      <c r="O368" s="542"/>
      <c r="P368" s="544"/>
      <c r="Q368" s="544"/>
      <c r="R368" s="544"/>
      <c r="S368" s="544"/>
      <c r="T368" s="544"/>
      <c r="U368" s="544"/>
      <c r="V368" s="544"/>
      <c r="W368" s="544"/>
      <c r="X368" s="544"/>
      <c r="Y368" s="544"/>
      <c r="Z368" s="544"/>
      <c r="AA368" s="544"/>
      <c r="AB368" s="544"/>
      <c r="AC368" s="544"/>
      <c r="AD368" s="542"/>
      <c r="AE368" s="542"/>
      <c r="AF368" s="542"/>
      <c r="AG368" s="542"/>
      <c r="AH368" s="545">
        <f t="shared" si="248"/>
        <v>0</v>
      </c>
      <c r="AI368" s="546">
        <f t="shared" si="249"/>
        <v>0</v>
      </c>
      <c r="AJ368" s="547">
        <f t="shared" si="250"/>
        <v>0</v>
      </c>
      <c r="AK368" s="548">
        <f t="shared" si="250"/>
        <v>0</v>
      </c>
      <c r="AL368" s="546"/>
      <c r="AM368" s="546"/>
      <c r="AN368" s="547"/>
      <c r="AO368" s="548"/>
      <c r="AP368" s="549" t="str">
        <f>'F.  Other Cap Asset Entries'!D256</f>
        <v>F.3</v>
      </c>
      <c r="AQ368" s="550">
        <f>'F.  Other Cap Asset Entries'!M263</f>
        <v>0</v>
      </c>
      <c r="AR368" s="546"/>
      <c r="AS368" s="564" t="str">
        <f>'J. Other Liability &amp; Expenses'!D203</f>
        <v>J.1</v>
      </c>
      <c r="AT368" s="550">
        <f>'J. Other Liability &amp; Expenses'!N211</f>
        <v>0</v>
      </c>
      <c r="AU368" s="551" t="str">
        <f>'L. Eliminations-Consolidations'!B273</f>
        <v>L.8</v>
      </c>
      <c r="AV368" s="550">
        <f>'L. Eliminations-Consolidations'!J282</f>
        <v>0</v>
      </c>
      <c r="AW368" s="546"/>
      <c r="AX368" s="549" t="str">
        <f>'L. Eliminations-Consolidations'!B273</f>
        <v>L.8</v>
      </c>
      <c r="AY368" s="552">
        <f>'L. Eliminations-Consolidations'!L282</f>
        <v>0</v>
      </c>
      <c r="AZ368" s="523"/>
      <c r="BA368" s="524"/>
      <c r="BB368" s="550">
        <f t="shared" si="251"/>
        <v>0</v>
      </c>
      <c r="BC368" s="550">
        <f t="shared" si="252"/>
        <v>0</v>
      </c>
      <c r="BD368" s="575"/>
      <c r="BE368" s="552"/>
      <c r="BF368" s="504"/>
      <c r="BG368" s="522"/>
    </row>
    <row r="369" spans="1:67" x14ac:dyDescent="0.2">
      <c r="A369" s="33"/>
      <c r="B369" s="271"/>
      <c r="C369" s="248"/>
      <c r="D369" s="540"/>
      <c r="E369" s="541"/>
      <c r="F369" s="542"/>
      <c r="G369" s="542"/>
      <c r="H369" s="542"/>
      <c r="I369" s="542"/>
      <c r="J369" s="542"/>
      <c r="K369" s="543"/>
      <c r="L369" s="542"/>
      <c r="M369" s="542"/>
      <c r="N369" s="542"/>
      <c r="O369" s="542"/>
      <c r="P369" s="544"/>
      <c r="Q369" s="544"/>
      <c r="R369" s="544"/>
      <c r="S369" s="544"/>
      <c r="T369" s="544"/>
      <c r="U369" s="544"/>
      <c r="V369" s="544"/>
      <c r="W369" s="544"/>
      <c r="X369" s="544"/>
      <c r="Y369" s="544"/>
      <c r="Z369" s="544"/>
      <c r="AA369" s="544"/>
      <c r="AB369" s="544"/>
      <c r="AC369" s="544"/>
      <c r="AD369" s="542"/>
      <c r="AE369" s="542"/>
      <c r="AF369" s="542"/>
      <c r="AG369" s="542"/>
      <c r="AH369" s="545">
        <f t="shared" si="248"/>
        <v>0</v>
      </c>
      <c r="AI369" s="546">
        <f t="shared" si="249"/>
        <v>0</v>
      </c>
      <c r="AJ369" s="547">
        <f t="shared" si="250"/>
        <v>0</v>
      </c>
      <c r="AK369" s="548">
        <f t="shared" si="250"/>
        <v>0</v>
      </c>
      <c r="AL369" s="546"/>
      <c r="AM369" s="546"/>
      <c r="AN369" s="547"/>
      <c r="AO369" s="548"/>
      <c r="AP369" s="549" t="s">
        <v>624</v>
      </c>
      <c r="AQ369" s="550">
        <f>'F.  Other Cap Asset Entries'!M285</f>
        <v>0</v>
      </c>
      <c r="AR369" s="546"/>
      <c r="AS369" s="564" t="s">
        <v>2050</v>
      </c>
      <c r="AT369" s="550">
        <f>'N.1 GASB 68 LGERS'!D105</f>
        <v>0</v>
      </c>
      <c r="AU369" s="551"/>
      <c r="AV369" s="550"/>
      <c r="AW369" s="546"/>
      <c r="AX369" s="549"/>
      <c r="AY369" s="552"/>
      <c r="AZ369" s="523"/>
      <c r="BA369" s="524"/>
      <c r="BB369" s="550">
        <f t="shared" si="251"/>
        <v>0</v>
      </c>
      <c r="BC369" s="550">
        <f t="shared" si="252"/>
        <v>0</v>
      </c>
      <c r="BD369" s="575"/>
      <c r="BE369" s="552"/>
      <c r="BF369" s="504"/>
      <c r="BG369" s="522"/>
    </row>
    <row r="370" spans="1:67" s="704" customFormat="1" x14ac:dyDescent="0.2">
      <c r="A370" s="33"/>
      <c r="B370" s="271"/>
      <c r="C370" s="248"/>
      <c r="D370" s="540"/>
      <c r="E370" s="541"/>
      <c r="F370" s="542"/>
      <c r="G370" s="542"/>
      <c r="H370" s="542"/>
      <c r="I370" s="542"/>
      <c r="J370" s="542"/>
      <c r="K370" s="543"/>
      <c r="L370" s="542"/>
      <c r="M370" s="542"/>
      <c r="N370" s="542"/>
      <c r="O370" s="542"/>
      <c r="P370" s="544"/>
      <c r="Q370" s="544"/>
      <c r="R370" s="544"/>
      <c r="S370" s="544"/>
      <c r="T370" s="544"/>
      <c r="U370" s="544"/>
      <c r="V370" s="544"/>
      <c r="W370" s="544"/>
      <c r="X370" s="544"/>
      <c r="Y370" s="544"/>
      <c r="Z370" s="544"/>
      <c r="AA370" s="544"/>
      <c r="AB370" s="544"/>
      <c r="AC370" s="544"/>
      <c r="AD370" s="542"/>
      <c r="AE370" s="542"/>
      <c r="AF370" s="542"/>
      <c r="AG370" s="542"/>
      <c r="AH370" s="545"/>
      <c r="AI370" s="546"/>
      <c r="AJ370" s="547"/>
      <c r="AK370" s="548"/>
      <c r="AL370" s="546"/>
      <c r="AM370" s="546"/>
      <c r="AN370" s="547"/>
      <c r="AO370" s="548"/>
      <c r="AP370" s="549" t="s">
        <v>2050</v>
      </c>
      <c r="AQ370" s="550">
        <f>'N.1 GASB 68 LGERS'!C105</f>
        <v>0</v>
      </c>
      <c r="AR370" s="546"/>
      <c r="AS370" s="564"/>
      <c r="AT370" s="550"/>
      <c r="AU370" s="551"/>
      <c r="AV370" s="550"/>
      <c r="AW370" s="546"/>
      <c r="AX370" s="549"/>
      <c r="AY370" s="552"/>
      <c r="AZ370" s="523"/>
      <c r="BA370" s="524"/>
      <c r="BB370" s="550">
        <f t="shared" si="251"/>
        <v>0</v>
      </c>
      <c r="BC370" s="550">
        <f t="shared" si="252"/>
        <v>0</v>
      </c>
      <c r="BD370" s="575"/>
      <c r="BE370" s="552"/>
      <c r="BF370" s="504"/>
      <c r="BG370" s="522"/>
      <c r="BH370" s="1189"/>
      <c r="BI370" s="1193"/>
      <c r="BJ370" s="1206"/>
    </row>
    <row r="371" spans="1:67" s="1043" customFormat="1" x14ac:dyDescent="0.2">
      <c r="A371" s="33"/>
      <c r="B371" s="271"/>
      <c r="C371" s="248"/>
      <c r="D371" s="540"/>
      <c r="E371" s="541"/>
      <c r="F371" s="542"/>
      <c r="G371" s="542"/>
      <c r="H371" s="542"/>
      <c r="I371" s="542"/>
      <c r="J371" s="542"/>
      <c r="K371" s="543"/>
      <c r="L371" s="542"/>
      <c r="M371" s="542"/>
      <c r="N371" s="542"/>
      <c r="O371" s="542"/>
      <c r="P371" s="544"/>
      <c r="Q371" s="544"/>
      <c r="R371" s="544"/>
      <c r="S371" s="544"/>
      <c r="T371" s="544"/>
      <c r="U371" s="544"/>
      <c r="V371" s="544"/>
      <c r="W371" s="544"/>
      <c r="X371" s="544"/>
      <c r="Y371" s="544"/>
      <c r="Z371" s="544"/>
      <c r="AA371" s="544"/>
      <c r="AB371" s="544"/>
      <c r="AC371" s="544"/>
      <c r="AD371" s="542"/>
      <c r="AE371" s="542"/>
      <c r="AF371" s="542"/>
      <c r="AG371" s="542"/>
      <c r="AH371" s="545"/>
      <c r="AI371" s="546"/>
      <c r="AJ371" s="575"/>
      <c r="AK371" s="552"/>
      <c r="AL371" s="575"/>
      <c r="AM371" s="552"/>
      <c r="AN371" s="547"/>
      <c r="AO371" s="548"/>
      <c r="AP371" s="549" t="s">
        <v>4022</v>
      </c>
      <c r="AQ371" s="550">
        <f>'P.1 GASB 75 OPEB  - plan 1'!C113+'P.1 GASB 75 OPEB  - plan 1'!C122+'P.1 GASB 75 OPEB  - plan 1'!C131</f>
        <v>0</v>
      </c>
      <c r="AR371" s="546"/>
      <c r="AS371" s="549" t="s">
        <v>4022</v>
      </c>
      <c r="AT371" s="552">
        <f>'P.1 GASB 75 OPEB  - plan 1'!D113+'P.1 GASB 75 OPEB  - plan 1'!D122+'P.1 GASB 75 OPEB  - plan 1'!D131</f>
        <v>0</v>
      </c>
      <c r="AU371" s="551"/>
      <c r="AV371" s="550"/>
      <c r="AW371" s="546"/>
      <c r="AX371" s="549"/>
      <c r="AY371" s="552"/>
      <c r="AZ371" s="523"/>
      <c r="BA371" s="524"/>
      <c r="BB371" s="550">
        <f t="shared" si="251"/>
        <v>0</v>
      </c>
      <c r="BC371" s="550">
        <f t="shared" si="252"/>
        <v>0</v>
      </c>
      <c r="BD371" s="575"/>
      <c r="BE371" s="552"/>
      <c r="BF371" s="504"/>
      <c r="BG371" s="522"/>
      <c r="BH371" s="1189"/>
      <c r="BI371" s="1193"/>
      <c r="BJ371" s="1206"/>
    </row>
    <row r="372" spans="1:67" s="1099" customFormat="1" x14ac:dyDescent="0.2">
      <c r="A372" s="33"/>
      <c r="B372" s="271"/>
      <c r="C372" s="248"/>
      <c r="D372" s="540"/>
      <c r="E372" s="541"/>
      <c r="F372" s="542"/>
      <c r="G372" s="542"/>
      <c r="H372" s="542"/>
      <c r="I372" s="542"/>
      <c r="J372" s="542"/>
      <c r="K372" s="543"/>
      <c r="L372" s="542"/>
      <c r="M372" s="542"/>
      <c r="N372" s="542"/>
      <c r="O372" s="542"/>
      <c r="P372" s="544"/>
      <c r="Q372" s="544"/>
      <c r="R372" s="544"/>
      <c r="S372" s="544"/>
      <c r="T372" s="544"/>
      <c r="U372" s="544"/>
      <c r="V372" s="544"/>
      <c r="W372" s="544"/>
      <c r="X372" s="544"/>
      <c r="Y372" s="544"/>
      <c r="Z372" s="544"/>
      <c r="AA372" s="544"/>
      <c r="AB372" s="544"/>
      <c r="AC372" s="544"/>
      <c r="AD372" s="542"/>
      <c r="AE372" s="542"/>
      <c r="AF372" s="542"/>
      <c r="AG372" s="542"/>
      <c r="AH372" s="545"/>
      <c r="AI372" s="546"/>
      <c r="AJ372" s="575"/>
      <c r="AK372" s="552"/>
      <c r="AL372" s="575"/>
      <c r="AM372" s="552"/>
      <c r="AN372" s="547"/>
      <c r="AO372" s="548"/>
      <c r="AP372" s="549" t="s">
        <v>4023</v>
      </c>
      <c r="AQ372" s="550">
        <f>'P.2 GASB 75 OPEB - plan 2'!C113+'P.2 GASB 75 OPEB - plan 2'!C122+'P.2 GASB 75 OPEB - plan 2'!C131</f>
        <v>0</v>
      </c>
      <c r="AR372" s="546"/>
      <c r="AS372" s="549" t="s">
        <v>4023</v>
      </c>
      <c r="AT372" s="552">
        <f>'P.2 GASB 75 OPEB - plan 2'!D113+'P.2 GASB 75 OPEB - plan 2'!D122+'P.2 GASB 75 OPEB - plan 2'!D131</f>
        <v>0</v>
      </c>
      <c r="AU372" s="551"/>
      <c r="AV372" s="550"/>
      <c r="AW372" s="546"/>
      <c r="AX372" s="549"/>
      <c r="AY372" s="552"/>
      <c r="AZ372" s="523"/>
      <c r="BA372" s="524"/>
      <c r="BB372" s="550">
        <f t="shared" ref="BB372:BB374" si="253">ROUND(AJ372+AL372+AN372+AQ372+AV372+AZ372,0)</f>
        <v>0</v>
      </c>
      <c r="BC372" s="550">
        <f t="shared" ref="BC372:BC374" si="254">ROUND(AK372+AM372+AO372+AT372+AY372+BA372,0)</f>
        <v>0</v>
      </c>
      <c r="BD372" s="575"/>
      <c r="BE372" s="552"/>
      <c r="BF372" s="504"/>
      <c r="BG372" s="522"/>
      <c r="BH372" s="1189"/>
      <c r="BI372" s="1193"/>
      <c r="BJ372" s="1206"/>
    </row>
    <row r="373" spans="1:67" s="1099" customFormat="1" x14ac:dyDescent="0.2">
      <c r="A373" s="33"/>
      <c r="B373" s="271"/>
      <c r="C373" s="248"/>
      <c r="D373" s="540"/>
      <c r="E373" s="541"/>
      <c r="F373" s="542"/>
      <c r="G373" s="542"/>
      <c r="H373" s="542"/>
      <c r="I373" s="542"/>
      <c r="J373" s="542"/>
      <c r="K373" s="543"/>
      <c r="L373" s="542"/>
      <c r="M373" s="542"/>
      <c r="N373" s="542"/>
      <c r="O373" s="542"/>
      <c r="P373" s="544"/>
      <c r="Q373" s="544"/>
      <c r="R373" s="544"/>
      <c r="S373" s="544"/>
      <c r="T373" s="544"/>
      <c r="U373" s="544"/>
      <c r="V373" s="544"/>
      <c r="W373" s="544"/>
      <c r="X373" s="544"/>
      <c r="Y373" s="544"/>
      <c r="Z373" s="544"/>
      <c r="AA373" s="544"/>
      <c r="AB373" s="544"/>
      <c r="AC373" s="544"/>
      <c r="AD373" s="542"/>
      <c r="AE373" s="542"/>
      <c r="AF373" s="542"/>
      <c r="AG373" s="542"/>
      <c r="AH373" s="545"/>
      <c r="AI373" s="546"/>
      <c r="AJ373" s="575"/>
      <c r="AK373" s="552"/>
      <c r="AL373" s="575"/>
      <c r="AM373" s="552"/>
      <c r="AN373" s="547"/>
      <c r="AO373" s="548"/>
      <c r="AP373" s="549" t="s">
        <v>4024</v>
      </c>
      <c r="AQ373" s="550">
        <f>'P.3 GASB 75 OPEB - plan 3'!C113+'P.3 GASB 75 OPEB - plan 3'!C122+'P.3 GASB 75 OPEB - plan 3'!C131</f>
        <v>0</v>
      </c>
      <c r="AR373" s="546"/>
      <c r="AS373" s="549" t="s">
        <v>4024</v>
      </c>
      <c r="AT373" s="552">
        <f>'P.3 GASB 75 OPEB - plan 3'!D113+'P.3 GASB 75 OPEB - plan 3'!D122+'P.3 GASB 75 OPEB - plan 3'!D131</f>
        <v>0</v>
      </c>
      <c r="AU373" s="551"/>
      <c r="AV373" s="550"/>
      <c r="AW373" s="546"/>
      <c r="AX373" s="549"/>
      <c r="AY373" s="552"/>
      <c r="AZ373" s="523"/>
      <c r="BA373" s="524"/>
      <c r="BB373" s="550">
        <f t="shared" si="253"/>
        <v>0</v>
      </c>
      <c r="BC373" s="550">
        <f t="shared" si="254"/>
        <v>0</v>
      </c>
      <c r="BD373" s="575"/>
      <c r="BE373" s="552"/>
      <c r="BF373" s="504"/>
      <c r="BG373" s="522"/>
      <c r="BH373" s="1189"/>
      <c r="BI373" s="1193"/>
      <c r="BJ373" s="1206"/>
    </row>
    <row r="374" spans="1:67" s="1241" customFormat="1" x14ac:dyDescent="0.2">
      <c r="A374" s="33"/>
      <c r="B374" s="271"/>
      <c r="C374" s="248"/>
      <c r="D374" s="540"/>
      <c r="E374" s="541"/>
      <c r="F374" s="542"/>
      <c r="G374" s="542"/>
      <c r="H374" s="542"/>
      <c r="I374" s="542"/>
      <c r="J374" s="542"/>
      <c r="K374" s="543"/>
      <c r="L374" s="542"/>
      <c r="M374" s="542"/>
      <c r="N374" s="542"/>
      <c r="O374" s="542"/>
      <c r="P374" s="544"/>
      <c r="Q374" s="544"/>
      <c r="R374" s="544"/>
      <c r="S374" s="544"/>
      <c r="T374" s="544"/>
      <c r="U374" s="544"/>
      <c r="V374" s="544"/>
      <c r="W374" s="544"/>
      <c r="X374" s="544"/>
      <c r="Y374" s="544"/>
      <c r="Z374" s="544"/>
      <c r="AA374" s="544"/>
      <c r="AB374" s="544"/>
      <c r="AC374" s="544"/>
      <c r="AD374" s="542"/>
      <c r="AE374" s="542"/>
      <c r="AF374" s="542"/>
      <c r="AG374" s="542"/>
      <c r="AH374" s="545"/>
      <c r="AI374" s="546"/>
      <c r="AJ374" s="575"/>
      <c r="AK374" s="552"/>
      <c r="AL374" s="550"/>
      <c r="AM374" s="550"/>
      <c r="AN374" s="547"/>
      <c r="AO374" s="548"/>
      <c r="AP374" s="549" t="s">
        <v>4117</v>
      </c>
      <c r="AQ374" s="550"/>
      <c r="AR374" s="546"/>
      <c r="AS374" s="549" t="s">
        <v>4113</v>
      </c>
      <c r="AT374" s="550"/>
      <c r="AU374" s="551"/>
      <c r="AV374" s="550"/>
      <c r="AW374" s="546"/>
      <c r="AX374" s="549"/>
      <c r="AY374" s="552"/>
      <c r="AZ374" s="523"/>
      <c r="BA374" s="524"/>
      <c r="BB374" s="550">
        <f t="shared" si="253"/>
        <v>0</v>
      </c>
      <c r="BC374" s="550">
        <f t="shared" si="254"/>
        <v>0</v>
      </c>
      <c r="BD374" s="575"/>
      <c r="BE374" s="552"/>
      <c r="BF374" s="504"/>
      <c r="BG374" s="522"/>
      <c r="BH374" s="1189"/>
      <c r="BI374" s="1193"/>
      <c r="BJ374" s="1206"/>
    </row>
    <row r="375" spans="1:67" s="13" customFormat="1" ht="5.25" customHeight="1" x14ac:dyDescent="0.2">
      <c r="A375" s="33"/>
      <c r="B375" s="31"/>
      <c r="C375" s="31"/>
      <c r="D375" s="531"/>
      <c r="E375" s="532"/>
      <c r="F375" s="528"/>
      <c r="G375" s="528"/>
      <c r="H375" s="528"/>
      <c r="I375" s="528"/>
      <c r="J375" s="528"/>
      <c r="K375" s="533"/>
      <c r="L375" s="528"/>
      <c r="M375" s="528"/>
      <c r="N375" s="528"/>
      <c r="O375" s="528"/>
      <c r="P375" s="527"/>
      <c r="Q375" s="527"/>
      <c r="R375" s="527"/>
      <c r="S375" s="527"/>
      <c r="T375" s="527"/>
      <c r="U375" s="527"/>
      <c r="V375" s="527"/>
      <c r="W375" s="527"/>
      <c r="X375" s="527"/>
      <c r="Y375" s="527"/>
      <c r="Z375" s="527"/>
      <c r="AA375" s="527"/>
      <c r="AB375" s="527"/>
      <c r="AC375" s="527"/>
      <c r="AD375" s="528"/>
      <c r="AE375" s="528"/>
      <c r="AF375" s="528"/>
      <c r="AG375" s="528"/>
      <c r="AH375" s="529"/>
      <c r="AI375" s="537"/>
      <c r="AJ375" s="534"/>
      <c r="AK375" s="535"/>
      <c r="AL375" s="537"/>
      <c r="AM375" s="537"/>
      <c r="AN375" s="534"/>
      <c r="AO375" s="535"/>
      <c r="AP375" s="579"/>
      <c r="AQ375" s="580"/>
      <c r="AR375" s="537"/>
      <c r="AS375" s="536"/>
      <c r="AT375" s="432"/>
      <c r="AU375" s="539"/>
      <c r="AV375" s="432"/>
      <c r="AW375" s="537"/>
      <c r="AX375" s="536"/>
      <c r="AY375" s="538"/>
      <c r="AZ375" s="527"/>
      <c r="BA375" s="562"/>
      <c r="BB375" s="432"/>
      <c r="BC375" s="432"/>
      <c r="BD375" s="571"/>
      <c r="BE375" s="538"/>
      <c r="BF375" s="432"/>
      <c r="BG375" s="538"/>
      <c r="BH375" s="1191"/>
      <c r="BI375" s="1194"/>
      <c r="BJ375" s="1206"/>
    </row>
    <row r="376" spans="1:67" x14ac:dyDescent="0.2">
      <c r="A376" s="25"/>
      <c r="B376" s="271" t="s">
        <v>131</v>
      </c>
      <c r="C376" s="248"/>
      <c r="D376" s="540"/>
      <c r="E376" s="541"/>
      <c r="F376" s="542"/>
      <c r="G376" s="542"/>
      <c r="H376" s="542"/>
      <c r="I376" s="542"/>
      <c r="J376" s="542"/>
      <c r="K376" s="543"/>
      <c r="L376" s="542"/>
      <c r="M376" s="542"/>
      <c r="N376" s="542"/>
      <c r="O376" s="542"/>
      <c r="P376" s="544"/>
      <c r="Q376" s="544"/>
      <c r="R376" s="544"/>
      <c r="S376" s="544"/>
      <c r="T376" s="544"/>
      <c r="U376" s="544"/>
      <c r="V376" s="544"/>
      <c r="W376" s="544"/>
      <c r="X376" s="544">
        <v>125919</v>
      </c>
      <c r="Y376" s="544"/>
      <c r="Z376" s="544">
        <v>1700600</v>
      </c>
      <c r="AA376" s="544"/>
      <c r="AB376" s="544"/>
      <c r="AC376" s="544"/>
      <c r="AD376" s="542"/>
      <c r="AE376" s="542"/>
      <c r="AF376" s="542"/>
      <c r="AG376" s="542"/>
      <c r="AH376" s="545">
        <f t="shared" ref="AH376" si="255">L376+N376+P376+R376+T376+V376+X376+Z376+AB376+AD376+AF376</f>
        <v>1826519</v>
      </c>
      <c r="AI376" s="546">
        <f t="shared" ref="AI376" si="256">M376+O376+Q376+S376+U376+W376+Y376+AA376+AC376+AE376+AG376</f>
        <v>0</v>
      </c>
      <c r="AJ376" s="547">
        <f>D376+F376+H376+J376+AH376</f>
        <v>1826519</v>
      </c>
      <c r="AK376" s="548">
        <f>E376+G376+I376+K376+AI376</f>
        <v>0</v>
      </c>
      <c r="AL376" s="546"/>
      <c r="AM376" s="546"/>
      <c r="AN376" s="547"/>
      <c r="AO376" s="548"/>
      <c r="AP376" s="549"/>
      <c r="AQ376" s="550"/>
      <c r="AR376" s="546"/>
      <c r="AS376" s="549" t="str">
        <f>'E. Capital Outlay'!D54</f>
        <v>E.1</v>
      </c>
      <c r="AT376" s="432">
        <f>'E. Capital Outlay'!N72</f>
        <v>125919</v>
      </c>
      <c r="AU376" s="551"/>
      <c r="AV376" s="550"/>
      <c r="AW376" s="546"/>
      <c r="AX376" s="549"/>
      <c r="AY376" s="552"/>
      <c r="AZ376" s="523"/>
      <c r="BA376" s="524"/>
      <c r="BB376" s="550">
        <f>ROUND(AJ376+AL376+AN376+AQ376+AV376+AZ376,0)</f>
        <v>1826519</v>
      </c>
      <c r="BC376" s="550">
        <f>ROUND(AK376+AM376+AO376+AT376+AY376+BA376,0)</f>
        <v>125919</v>
      </c>
      <c r="BD376" s="575" t="str">
        <f>IF((SUM(BB376:BB377))-(SUM(BC376:BC377))&lt;=0," ",(SUM(BB376:BB377))-(SUM(BC376:BC377)))</f>
        <v xml:space="preserve"> </v>
      </c>
      <c r="BE376" s="552">
        <f>IF((SUM(BB376:BB377))-(SUM(BC376:BC377))&gt;0," ",-(SUM(BB376:BB377))+(SUM(BC376:BC377)))</f>
        <v>0</v>
      </c>
      <c r="BF376" s="504"/>
      <c r="BG376" s="522"/>
    </row>
    <row r="377" spans="1:67" x14ac:dyDescent="0.2">
      <c r="A377" s="25"/>
      <c r="B377" s="271"/>
      <c r="C377" s="248"/>
      <c r="D377" s="540"/>
      <c r="E377" s="541"/>
      <c r="F377" s="542"/>
      <c r="G377" s="542"/>
      <c r="H377" s="542"/>
      <c r="I377" s="542"/>
      <c r="J377" s="542"/>
      <c r="K377" s="543"/>
      <c r="L377" s="542"/>
      <c r="M377" s="542"/>
      <c r="N377" s="542"/>
      <c r="O377" s="542"/>
      <c r="P377" s="544"/>
      <c r="Q377" s="544"/>
      <c r="R377" s="544"/>
      <c r="S377" s="544"/>
      <c r="T377" s="544"/>
      <c r="U377" s="544"/>
      <c r="V377" s="544"/>
      <c r="W377" s="544"/>
      <c r="X377" s="544"/>
      <c r="Y377" s="544"/>
      <c r="Z377" s="544"/>
      <c r="AA377" s="544"/>
      <c r="AB377" s="544"/>
      <c r="AC377" s="544"/>
      <c r="AD377" s="542"/>
      <c r="AE377" s="542"/>
      <c r="AF377" s="542"/>
      <c r="AG377" s="542"/>
      <c r="AH377" s="545"/>
      <c r="AI377" s="546"/>
      <c r="AJ377" s="547"/>
      <c r="AK377" s="548"/>
      <c r="AL377" s="546"/>
      <c r="AM377" s="546"/>
      <c r="AN377" s="547"/>
      <c r="AO377" s="548"/>
      <c r="AP377" s="549"/>
      <c r="AQ377" s="550"/>
      <c r="AR377" s="546"/>
      <c r="AS377" s="549" t="str">
        <f>'F.  Other Cap Asset Entries'!D256</f>
        <v>F.3</v>
      </c>
      <c r="AT377" s="432">
        <f>'F.  Other Cap Asset Entries'!O264</f>
        <v>1700600</v>
      </c>
      <c r="AU377" s="551"/>
      <c r="AV377" s="550"/>
      <c r="AW377" s="546"/>
      <c r="AX377" s="549"/>
      <c r="AY377" s="552"/>
      <c r="AZ377" s="523"/>
      <c r="BA377" s="524"/>
      <c r="BB377" s="550">
        <f>ROUND(AJ377+AL377+AN377+AQ377+AV377+AZ377,0)</f>
        <v>0</v>
      </c>
      <c r="BC377" s="550">
        <f>ROUND(AK377+AM377+AO377+AT377+AY377+BA377,0)</f>
        <v>1700600</v>
      </c>
      <c r="BD377" s="575"/>
      <c r="BE377" s="552"/>
      <c r="BF377" s="504"/>
      <c r="BG377" s="522"/>
    </row>
    <row r="378" spans="1:67" ht="6.75" customHeight="1" x14ac:dyDescent="0.2">
      <c r="A378" s="25"/>
      <c r="B378" s="163"/>
      <c r="C378" s="14"/>
      <c r="D378" s="525"/>
      <c r="E378" s="526"/>
      <c r="F378" s="528"/>
      <c r="G378" s="528"/>
      <c r="H378" s="528"/>
      <c r="I378" s="528"/>
      <c r="J378" s="528"/>
      <c r="K378" s="533"/>
      <c r="L378" s="528"/>
      <c r="M378" s="528"/>
      <c r="N378" s="528"/>
      <c r="O378" s="528"/>
      <c r="P378" s="527"/>
      <c r="Q378" s="527"/>
      <c r="R378" s="527"/>
      <c r="S378" s="527"/>
      <c r="T378" s="527"/>
      <c r="U378" s="527"/>
      <c r="V378" s="527"/>
      <c r="W378" s="527"/>
      <c r="X378" s="527"/>
      <c r="Y378" s="527"/>
      <c r="Z378" s="527"/>
      <c r="AA378" s="527"/>
      <c r="AB378" s="527"/>
      <c r="AC378" s="527"/>
      <c r="AD378" s="528"/>
      <c r="AE378" s="528"/>
      <c r="AF378" s="528"/>
      <c r="AG378" s="528"/>
      <c r="AH378" s="529"/>
      <c r="AI378" s="537"/>
      <c r="AJ378" s="534"/>
      <c r="AK378" s="535"/>
      <c r="AL378" s="537"/>
      <c r="AM378" s="537"/>
      <c r="AN378" s="534"/>
      <c r="AO378" s="535"/>
      <c r="AP378" s="536"/>
      <c r="AQ378" s="432"/>
      <c r="AR378" s="537"/>
      <c r="AS378" s="536"/>
      <c r="AT378" s="432"/>
      <c r="AU378" s="539"/>
      <c r="AV378" s="432"/>
      <c r="AW378" s="537"/>
      <c r="AX378" s="536"/>
      <c r="AY378" s="538"/>
      <c r="AZ378" s="527"/>
      <c r="BA378" s="562"/>
      <c r="BB378" s="432"/>
      <c r="BC378" s="432"/>
      <c r="BD378" s="571"/>
      <c r="BE378" s="538"/>
      <c r="BF378" s="432"/>
      <c r="BG378" s="538"/>
      <c r="BH378" s="1191"/>
      <c r="BI378" s="1194"/>
      <c r="BK378" s="13"/>
      <c r="BL378" s="13"/>
      <c r="BM378" s="13"/>
      <c r="BN378" s="13"/>
      <c r="BO378" s="13"/>
    </row>
    <row r="379" spans="1:67" x14ac:dyDescent="0.2">
      <c r="A379" s="25"/>
      <c r="B379" s="163" t="s">
        <v>184</v>
      </c>
      <c r="C379" s="14"/>
      <c r="D379" s="525"/>
      <c r="E379" s="526"/>
      <c r="F379" s="528"/>
      <c r="G379" s="528"/>
      <c r="H379" s="528"/>
      <c r="I379" s="528"/>
      <c r="J379" s="528"/>
      <c r="K379" s="533"/>
      <c r="L379" s="528"/>
      <c r="M379" s="528"/>
      <c r="N379" s="528"/>
      <c r="O379" s="528"/>
      <c r="P379" s="527"/>
      <c r="Q379" s="527"/>
      <c r="R379" s="527"/>
      <c r="S379" s="527"/>
      <c r="T379" s="527"/>
      <c r="U379" s="527"/>
      <c r="V379" s="527"/>
      <c r="W379" s="527"/>
      <c r="X379" s="527"/>
      <c r="Y379" s="527"/>
      <c r="Z379" s="527"/>
      <c r="AA379" s="527"/>
      <c r="AB379" s="527"/>
      <c r="AC379" s="527"/>
      <c r="AD379" s="528"/>
      <c r="AE379" s="528"/>
      <c r="AF379" s="528"/>
      <c r="AG379" s="528"/>
      <c r="AH379" s="529"/>
      <c r="AI379" s="537"/>
      <c r="AJ379" s="534"/>
      <c r="AK379" s="535"/>
      <c r="AL379" s="537"/>
      <c r="AM379" s="537"/>
      <c r="AN379" s="534"/>
      <c r="AO379" s="535"/>
      <c r="AP379" s="536"/>
      <c r="AQ379" s="432"/>
      <c r="AR379" s="537"/>
      <c r="AS379" s="536"/>
      <c r="AT379" s="432"/>
      <c r="AU379" s="539"/>
      <c r="AV379" s="432"/>
      <c r="AW379" s="537"/>
      <c r="AX379" s="536"/>
      <c r="AY379" s="538"/>
      <c r="AZ379" s="527"/>
      <c r="BA379" s="562"/>
      <c r="BB379" s="432"/>
      <c r="BC379" s="432"/>
      <c r="BD379" s="571"/>
      <c r="BE379" s="538"/>
      <c r="BF379" s="432"/>
      <c r="BG379" s="538"/>
      <c r="BH379" s="1191"/>
      <c r="BI379" s="1194"/>
      <c r="BK379" s="13"/>
      <c r="BL379" s="13"/>
      <c r="BM379" s="13"/>
      <c r="BN379" s="13"/>
      <c r="BO379" s="13"/>
    </row>
    <row r="380" spans="1:67" x14ac:dyDescent="0.2">
      <c r="A380" s="25"/>
      <c r="B380" s="14"/>
      <c r="C380" s="14" t="s">
        <v>185</v>
      </c>
      <c r="D380" s="525">
        <f>629219+21705</f>
        <v>650924</v>
      </c>
      <c r="E380" s="526"/>
      <c r="F380" s="516"/>
      <c r="G380" s="516"/>
      <c r="H380" s="516"/>
      <c r="I380" s="516"/>
      <c r="J380" s="516"/>
      <c r="K380" s="517"/>
      <c r="L380" s="516"/>
      <c r="M380" s="516"/>
      <c r="N380" s="516"/>
      <c r="O380" s="516"/>
      <c r="P380" s="518"/>
      <c r="Q380" s="518"/>
      <c r="R380" s="518"/>
      <c r="S380" s="518"/>
      <c r="T380" s="518"/>
      <c r="U380" s="518"/>
      <c r="V380" s="518"/>
      <c r="W380" s="518"/>
      <c r="X380" s="518"/>
      <c r="Y380" s="518"/>
      <c r="Z380" s="518"/>
      <c r="AA380" s="518"/>
      <c r="AB380" s="518"/>
      <c r="AC380" s="518"/>
      <c r="AD380" s="516"/>
      <c r="AE380" s="516"/>
      <c r="AF380" s="516"/>
      <c r="AG380" s="516"/>
      <c r="AH380" s="529">
        <f t="shared" ref="AH380:AH384" si="257">L380+N380+P380+R380+T380+V380+X380+Z380+AB380+AD380+AF380</f>
        <v>0</v>
      </c>
      <c r="AI380" s="503">
        <f t="shared" ref="AI380:AI384" si="258">M380+O380+Q380+S380+U380+W380+Y380+AA380+AC380+AE380+AG380</f>
        <v>0</v>
      </c>
      <c r="AJ380" s="506">
        <f t="shared" ref="AJ380:AK384" si="259">D380+F380+H380+J380+AH380</f>
        <v>650924</v>
      </c>
      <c r="AK380" s="519">
        <f t="shared" si="259"/>
        <v>0</v>
      </c>
      <c r="AL380" s="503"/>
      <c r="AM380" s="503"/>
      <c r="AN380" s="506"/>
      <c r="AO380" s="519"/>
      <c r="AP380" s="520"/>
      <c r="AQ380" s="432"/>
      <c r="AR380" s="537"/>
      <c r="AS380" s="536" t="str">
        <f>'G. Debt Service'!D47</f>
        <v>G.1</v>
      </c>
      <c r="AT380" s="432">
        <f>'G. Debt Service'!N52</f>
        <v>650924</v>
      </c>
      <c r="AU380" s="521"/>
      <c r="AV380" s="504"/>
      <c r="AW380" s="503"/>
      <c r="AX380" s="520"/>
      <c r="AY380" s="522"/>
      <c r="AZ380" s="523"/>
      <c r="BA380" s="524"/>
      <c r="BB380" s="465">
        <f>ROUND(AJ380+AL380+AN380+AQ380+AV380+AZ380,0)</f>
        <v>650924</v>
      </c>
      <c r="BC380" s="465">
        <f>ROUND(AK380+AM380+AO380+AT380+AY380+BA380,0)</f>
        <v>650924</v>
      </c>
      <c r="BD380" s="573" t="str">
        <f>IF(BB380-BC380&lt;=0," ",BB380-BC380)</f>
        <v xml:space="preserve"> </v>
      </c>
      <c r="BE380" s="522">
        <f t="shared" ref="BE380:BE386" si="260">IF(BB380-BC380&gt;0," ",BC380-BB380)</f>
        <v>0</v>
      </c>
      <c r="BF380" s="504"/>
      <c r="BG380" s="522"/>
    </row>
    <row r="381" spans="1:67" x14ac:dyDescent="0.2">
      <c r="A381" s="25"/>
      <c r="B381" s="14"/>
      <c r="C381" s="14" t="s">
        <v>186</v>
      </c>
      <c r="D381" s="525">
        <f>709264+294</f>
        <v>709558</v>
      </c>
      <c r="E381" s="526"/>
      <c r="F381" s="516"/>
      <c r="G381" s="516"/>
      <c r="H381" s="516"/>
      <c r="I381" s="516"/>
      <c r="J381" s="516"/>
      <c r="K381" s="517"/>
      <c r="L381" s="516"/>
      <c r="M381" s="516"/>
      <c r="N381" s="516"/>
      <c r="O381" s="516"/>
      <c r="P381" s="518"/>
      <c r="Q381" s="518"/>
      <c r="R381" s="518"/>
      <c r="S381" s="518"/>
      <c r="T381" s="518"/>
      <c r="U381" s="518"/>
      <c r="V381" s="518"/>
      <c r="W381" s="518"/>
      <c r="X381" s="518"/>
      <c r="Y381" s="518"/>
      <c r="Z381" s="518"/>
      <c r="AA381" s="518"/>
      <c r="AB381" s="518"/>
      <c r="AC381" s="518"/>
      <c r="AD381" s="516"/>
      <c r="AE381" s="516"/>
      <c r="AF381" s="516"/>
      <c r="AG381" s="516"/>
      <c r="AH381" s="529">
        <f t="shared" si="257"/>
        <v>0</v>
      </c>
      <c r="AI381" s="503">
        <f t="shared" si="258"/>
        <v>0</v>
      </c>
      <c r="AJ381" s="506">
        <f t="shared" si="259"/>
        <v>709558</v>
      </c>
      <c r="AK381" s="519">
        <f t="shared" si="259"/>
        <v>0</v>
      </c>
      <c r="AL381" s="503"/>
      <c r="AM381" s="503"/>
      <c r="AN381" s="506"/>
      <c r="AO381" s="519"/>
      <c r="AP381" s="520" t="str">
        <f>'H. Debt Issues'!D78</f>
        <v>H.1</v>
      </c>
      <c r="AQ381" s="1288">
        <f>'H. Debt Issues'!L90</f>
        <v>22500</v>
      </c>
      <c r="AR381" s="537"/>
      <c r="AS381" s="536" t="str">
        <f>'G. Debt Service'!D57</f>
        <v>G.3</v>
      </c>
      <c r="AT381" s="432">
        <f>'G. Debt Service'!N58</f>
        <v>19163</v>
      </c>
      <c r="AU381" s="581" t="s">
        <v>637</v>
      </c>
      <c r="AV381" s="432">
        <f>'K.1  Int. Service Fd Allocation'!E205+'K.2  Int. Service Fd Alloca'!E200+'K.3 Int. Service Fd Alloca'!E200</f>
        <v>0</v>
      </c>
      <c r="AW381" s="503"/>
      <c r="AX381" s="520" t="str">
        <f>'L. Eliminations-Consolidations'!A243</f>
        <v>L.7</v>
      </c>
      <c r="AY381" s="522">
        <f>'L. Eliminations-Consolidations'!L252</f>
        <v>0</v>
      </c>
      <c r="AZ381" s="523"/>
      <c r="BA381" s="524"/>
      <c r="BB381" s="465">
        <f>ROUND(AJ381+AL381+AN381+AQ381+AV381+AZ381,0)</f>
        <v>732058</v>
      </c>
      <c r="BC381" s="465">
        <f>ROUND(AK381+AM381+AO381+AT381+AY381+BA381,0)</f>
        <v>19163</v>
      </c>
      <c r="BD381" s="573">
        <f>IF(BB381-BC381&lt;=0," ",BB381-BC381)</f>
        <v>712895</v>
      </c>
      <c r="BE381" s="522" t="str">
        <f t="shared" si="260"/>
        <v xml:space="preserve"> </v>
      </c>
      <c r="BF381" s="504"/>
      <c r="BG381" s="522"/>
      <c r="BH381" s="1190"/>
    </row>
    <row r="382" spans="1:67" x14ac:dyDescent="0.2">
      <c r="A382" s="25"/>
      <c r="B382" s="14"/>
      <c r="C382" s="14" t="s">
        <v>937</v>
      </c>
      <c r="D382" s="525">
        <v>65000</v>
      </c>
      <c r="E382" s="526"/>
      <c r="F382" s="516"/>
      <c r="G382" s="516"/>
      <c r="H382" s="516"/>
      <c r="I382" s="516"/>
      <c r="J382" s="516"/>
      <c r="K382" s="517"/>
      <c r="L382" s="516"/>
      <c r="M382" s="516"/>
      <c r="N382" s="516"/>
      <c r="O382" s="516"/>
      <c r="P382" s="518"/>
      <c r="Q382" s="518"/>
      <c r="R382" s="518"/>
      <c r="S382" s="518"/>
      <c r="T382" s="518"/>
      <c r="U382" s="518"/>
      <c r="V382" s="518"/>
      <c r="W382" s="518"/>
      <c r="X382" s="518"/>
      <c r="Y382" s="518"/>
      <c r="Z382" s="518"/>
      <c r="AA382" s="518"/>
      <c r="AB382" s="518"/>
      <c r="AC382" s="518"/>
      <c r="AD382" s="516"/>
      <c r="AE382" s="516"/>
      <c r="AF382" s="516"/>
      <c r="AG382" s="516"/>
      <c r="AH382" s="529">
        <f t="shared" si="257"/>
        <v>0</v>
      </c>
      <c r="AI382" s="503">
        <f t="shared" si="258"/>
        <v>0</v>
      </c>
      <c r="AJ382" s="506">
        <f t="shared" si="259"/>
        <v>65000</v>
      </c>
      <c r="AK382" s="519">
        <f t="shared" si="259"/>
        <v>0</v>
      </c>
      <c r="AL382" s="503"/>
      <c r="AM382" s="503"/>
      <c r="AN382" s="506"/>
      <c r="AO382" s="519"/>
      <c r="AP382" s="520"/>
      <c r="AQ382" s="432"/>
      <c r="AR382" s="537"/>
      <c r="AS382" s="536" t="str">
        <f>'H. Debt Issues'!D78</f>
        <v>H.1</v>
      </c>
      <c r="AT382" s="432">
        <f>'H. Debt Issues'!N87</f>
        <v>65000</v>
      </c>
      <c r="AU382" s="521"/>
      <c r="AV382" s="504"/>
      <c r="AW382" s="503"/>
      <c r="AX382" s="520"/>
      <c r="AY382" s="522"/>
      <c r="AZ382" s="523"/>
      <c r="BA382" s="524"/>
      <c r="BB382" s="465">
        <f>ROUND(AJ382+AL382+AN382+AQ382+AV382+AZ382,0)</f>
        <v>65000</v>
      </c>
      <c r="BC382" s="465">
        <f>ROUND(AK382+AM382+AO382+AT382+AY382+BA382,0)</f>
        <v>65000</v>
      </c>
      <c r="BD382" s="573" t="str">
        <f>IF(BB382-BC382&lt;=0," ",BB382-BC382)</f>
        <v xml:space="preserve"> </v>
      </c>
      <c r="BE382" s="522">
        <f t="shared" si="260"/>
        <v>0</v>
      </c>
      <c r="BF382" s="504"/>
      <c r="BG382" s="522"/>
    </row>
    <row r="383" spans="1:67" x14ac:dyDescent="0.2">
      <c r="A383" s="25"/>
      <c r="B383" s="14"/>
      <c r="C383" s="654" t="s">
        <v>1120</v>
      </c>
      <c r="D383" s="525"/>
      <c r="E383" s="526"/>
      <c r="F383" s="516"/>
      <c r="G383" s="516"/>
      <c r="H383" s="516"/>
      <c r="I383" s="516"/>
      <c r="J383" s="516"/>
      <c r="K383" s="517"/>
      <c r="L383" s="516"/>
      <c r="M383" s="516"/>
      <c r="N383" s="516"/>
      <c r="O383" s="516"/>
      <c r="P383" s="518"/>
      <c r="Q383" s="518"/>
      <c r="R383" s="518"/>
      <c r="S383" s="518"/>
      <c r="T383" s="518"/>
      <c r="U383" s="518"/>
      <c r="V383" s="518"/>
      <c r="W383" s="518"/>
      <c r="X383" s="518"/>
      <c r="Y383" s="518"/>
      <c r="Z383" s="518"/>
      <c r="AA383" s="518"/>
      <c r="AB383" s="518"/>
      <c r="AC383" s="518"/>
      <c r="AD383" s="516"/>
      <c r="AE383" s="516"/>
      <c r="AF383" s="516"/>
      <c r="AG383" s="516"/>
      <c r="AH383" s="529">
        <f t="shared" si="257"/>
        <v>0</v>
      </c>
      <c r="AI383" s="503">
        <f t="shared" si="258"/>
        <v>0</v>
      </c>
      <c r="AJ383" s="506">
        <f t="shared" si="259"/>
        <v>0</v>
      </c>
      <c r="AK383" s="519">
        <f t="shared" si="259"/>
        <v>0</v>
      </c>
      <c r="AL383" s="503"/>
      <c r="AM383" s="503"/>
      <c r="AN383" s="506"/>
      <c r="AO383" s="519"/>
      <c r="AP383" s="520"/>
      <c r="AQ383" s="432"/>
      <c r="AR383" s="537"/>
      <c r="AS383" s="536" t="s">
        <v>470</v>
      </c>
      <c r="AT383" s="432">
        <f>'H. Debt Issues'!N88</f>
        <v>0</v>
      </c>
      <c r="AU383" s="521"/>
      <c r="AV383" s="504"/>
      <c r="AW383" s="503"/>
      <c r="AX383" s="520"/>
      <c r="AY383" s="522"/>
      <c r="AZ383" s="523"/>
      <c r="BA383" s="524"/>
      <c r="BB383" s="465">
        <f>ROUND(AJ383+AL383+AN383+AQ383+AV383+AZ383,0)</f>
        <v>0</v>
      </c>
      <c r="BC383" s="465">
        <f>ROUND(AK383+AM383+AO383+AT383+AY383+BA383,0)</f>
        <v>0</v>
      </c>
      <c r="BD383" s="573" t="str">
        <f>IF(BB383-BC383&lt;=0," ",BB383-BC383)</f>
        <v xml:space="preserve"> </v>
      </c>
      <c r="BE383" s="522">
        <f>IF(BB383-BC383&gt;0," ",BC383-BB383)</f>
        <v>0</v>
      </c>
      <c r="BF383" s="504"/>
      <c r="BG383" s="522"/>
    </row>
    <row r="384" spans="1:67" x14ac:dyDescent="0.2">
      <c r="A384" s="25"/>
      <c r="B384" s="14"/>
      <c r="C384" s="14" t="s">
        <v>938</v>
      </c>
      <c r="D384" s="525">
        <v>15000</v>
      </c>
      <c r="E384" s="526"/>
      <c r="F384" s="516"/>
      <c r="G384" s="516"/>
      <c r="H384" s="516"/>
      <c r="I384" s="516"/>
      <c r="J384" s="516"/>
      <c r="K384" s="517"/>
      <c r="L384" s="516"/>
      <c r="M384" s="516"/>
      <c r="N384" s="516"/>
      <c r="O384" s="516"/>
      <c r="P384" s="518"/>
      <c r="Q384" s="518"/>
      <c r="R384" s="518"/>
      <c r="S384" s="518"/>
      <c r="T384" s="518"/>
      <c r="U384" s="518"/>
      <c r="V384" s="518"/>
      <c r="W384" s="518"/>
      <c r="X384" s="518"/>
      <c r="Y384" s="518"/>
      <c r="Z384" s="518"/>
      <c r="AA384" s="518"/>
      <c r="AB384" s="518"/>
      <c r="AC384" s="518"/>
      <c r="AD384" s="516"/>
      <c r="AE384" s="516"/>
      <c r="AF384" s="516"/>
      <c r="AG384" s="516"/>
      <c r="AH384" s="529">
        <f t="shared" si="257"/>
        <v>0</v>
      </c>
      <c r="AI384" s="503">
        <f t="shared" si="258"/>
        <v>0</v>
      </c>
      <c r="AJ384" s="506">
        <f t="shared" si="259"/>
        <v>15000</v>
      </c>
      <c r="AK384" s="519">
        <f t="shared" si="259"/>
        <v>0</v>
      </c>
      <c r="AL384" s="503"/>
      <c r="AM384" s="503"/>
      <c r="AN384" s="506"/>
      <c r="AO384" s="519"/>
      <c r="AP384" s="520"/>
      <c r="AQ384" s="432"/>
      <c r="AR384" s="537"/>
      <c r="AS384" s="536" t="str">
        <f>'H. Debt Issues'!D78</f>
        <v>H.1</v>
      </c>
      <c r="AT384" s="432">
        <f>'H. Debt Issues'!N89</f>
        <v>15000</v>
      </c>
      <c r="AU384" s="521"/>
      <c r="AV384" s="504"/>
      <c r="AW384" s="503"/>
      <c r="AX384" s="520"/>
      <c r="AY384" s="522"/>
      <c r="AZ384" s="523"/>
      <c r="BA384" s="524"/>
      <c r="BB384" s="465">
        <f>ROUND(AJ384+AL384+AN384+AQ384+AV384+AZ384,0)</f>
        <v>15000</v>
      </c>
      <c r="BC384" s="465">
        <f>ROUND(AK384+AM384+AO384+AT384+AY384+BA384,0)</f>
        <v>15000</v>
      </c>
      <c r="BD384" s="573" t="str">
        <f>IF(BB384-BC384&lt;=0," ",BB384-BC384)</f>
        <v xml:space="preserve"> </v>
      </c>
      <c r="BE384" s="522">
        <f t="shared" si="260"/>
        <v>0</v>
      </c>
      <c r="BF384" s="504"/>
      <c r="BG384" s="522"/>
      <c r="BH384" s="1190"/>
    </row>
    <row r="385" spans="1:64" ht="6.75" customHeight="1" x14ac:dyDescent="0.2">
      <c r="A385" s="25"/>
      <c r="B385" s="14"/>
      <c r="C385" s="14"/>
      <c r="D385" s="525"/>
      <c r="E385" s="526"/>
      <c r="F385" s="516"/>
      <c r="G385" s="516"/>
      <c r="H385" s="516"/>
      <c r="I385" s="516"/>
      <c r="J385" s="516"/>
      <c r="K385" s="517"/>
      <c r="L385" s="516"/>
      <c r="M385" s="516"/>
      <c r="N385" s="516"/>
      <c r="O385" s="516"/>
      <c r="P385" s="518"/>
      <c r="Q385" s="518"/>
      <c r="R385" s="518"/>
      <c r="S385" s="518"/>
      <c r="T385" s="518"/>
      <c r="U385" s="518"/>
      <c r="V385" s="518"/>
      <c r="W385" s="518"/>
      <c r="X385" s="518"/>
      <c r="Y385" s="518"/>
      <c r="Z385" s="518"/>
      <c r="AA385" s="518"/>
      <c r="AB385" s="518"/>
      <c r="AC385" s="518"/>
      <c r="AD385" s="516"/>
      <c r="AE385" s="516"/>
      <c r="AF385" s="516"/>
      <c r="AG385" s="516"/>
      <c r="AH385" s="529"/>
      <c r="AI385" s="537"/>
      <c r="AJ385" s="534"/>
      <c r="AK385" s="535"/>
      <c r="AL385" s="537"/>
      <c r="AM385" s="537"/>
      <c r="AN385" s="534"/>
      <c r="AO385" s="535"/>
      <c r="AP385" s="536"/>
      <c r="AQ385" s="432"/>
      <c r="AR385" s="537"/>
      <c r="AS385" s="536"/>
      <c r="AT385" s="432"/>
      <c r="AU385" s="539"/>
      <c r="AV385" s="432"/>
      <c r="AW385" s="537"/>
      <c r="AX385" s="536"/>
      <c r="AY385" s="538"/>
      <c r="AZ385" s="527"/>
      <c r="BA385" s="562"/>
      <c r="BB385" s="432"/>
      <c r="BC385" s="432"/>
      <c r="BD385" s="571"/>
      <c r="BE385" s="538"/>
      <c r="BF385" s="432"/>
      <c r="BG385" s="538"/>
      <c r="BH385" s="1191"/>
      <c r="BI385" s="1194"/>
      <c r="BK385" s="13"/>
      <c r="BL385" s="13"/>
    </row>
    <row r="386" spans="1:64" x14ac:dyDescent="0.2">
      <c r="A386" s="25"/>
      <c r="B386" s="163" t="s">
        <v>1011</v>
      </c>
      <c r="C386" s="14"/>
      <c r="D386" s="525"/>
      <c r="E386" s="526"/>
      <c r="F386" s="516"/>
      <c r="G386" s="516"/>
      <c r="H386" s="516"/>
      <c r="I386" s="516"/>
      <c r="J386" s="516"/>
      <c r="K386" s="517"/>
      <c r="L386" s="516"/>
      <c r="M386" s="516"/>
      <c r="N386" s="516"/>
      <c r="O386" s="516"/>
      <c r="P386" s="518"/>
      <c r="Q386" s="518"/>
      <c r="R386" s="518"/>
      <c r="S386" s="518"/>
      <c r="T386" s="518"/>
      <c r="U386" s="518"/>
      <c r="V386" s="518"/>
      <c r="W386" s="518"/>
      <c r="X386" s="518"/>
      <c r="Y386" s="518"/>
      <c r="Z386" s="518"/>
      <c r="AA386" s="518"/>
      <c r="AB386" s="518"/>
      <c r="AC386" s="518"/>
      <c r="AD386" s="516"/>
      <c r="AE386" s="516"/>
      <c r="AF386" s="516"/>
      <c r="AG386" s="516"/>
      <c r="AH386" s="529">
        <f t="shared" ref="AH386" si="261">L386+N386+P386+R386+T386+V386+X386+Z386+AB386+AD386+AF386</f>
        <v>0</v>
      </c>
      <c r="AI386" s="503">
        <f t="shared" ref="AI386" si="262">M386+O386+Q386+S386+U386+W386+Y386+AA386+AC386+AE386+AG386</f>
        <v>0</v>
      </c>
      <c r="AJ386" s="506">
        <f>D386+F386+H386+J386+AH386</f>
        <v>0</v>
      </c>
      <c r="AK386" s="519">
        <f>E386+G386+I386+K386+AI386</f>
        <v>0</v>
      </c>
      <c r="AL386" s="503"/>
      <c r="AM386" s="503"/>
      <c r="AN386" s="506"/>
      <c r="AO386" s="519"/>
      <c r="AP386" s="520" t="str">
        <f>'D. Depreciation'!A55</f>
        <v>D.1</v>
      </c>
      <c r="AQ386" s="504">
        <f>'D. Depreciation'!J64</f>
        <v>0</v>
      </c>
      <c r="AR386" s="503"/>
      <c r="AS386" s="520"/>
      <c r="AT386" s="504"/>
      <c r="AU386" s="521"/>
      <c r="AV386" s="504"/>
      <c r="AW386" s="503"/>
      <c r="AX386" s="520"/>
      <c r="AY386" s="522"/>
      <c r="AZ386" s="523"/>
      <c r="BA386" s="524"/>
      <c r="BB386" s="465">
        <f>ROUND(AJ386+AL386+AN386+AQ386+AV386+AZ386,0)</f>
        <v>0</v>
      </c>
      <c r="BC386" s="465">
        <f>ROUND(AK386+AM386+AO386+AT386+AY386+BA386,0)</f>
        <v>0</v>
      </c>
      <c r="BD386" s="573" t="str">
        <f>IF(BB386-BC386&lt;=0," ",BB386-BC386)</f>
        <v xml:space="preserve"> </v>
      </c>
      <c r="BE386" s="522">
        <f t="shared" si="260"/>
        <v>0</v>
      </c>
      <c r="BF386" s="504"/>
      <c r="BG386" s="522"/>
    </row>
    <row r="387" spans="1:64" ht="6" customHeight="1" x14ac:dyDescent="0.2">
      <c r="A387" s="25"/>
      <c r="B387" s="163"/>
      <c r="C387" s="14"/>
      <c r="D387" s="525"/>
      <c r="E387" s="526"/>
      <c r="F387" s="516"/>
      <c r="G387" s="516"/>
      <c r="H387" s="516"/>
      <c r="I387" s="516"/>
      <c r="J387" s="516"/>
      <c r="K387" s="517"/>
      <c r="L387" s="516"/>
      <c r="M387" s="516"/>
      <c r="N387" s="516"/>
      <c r="O387" s="516"/>
      <c r="P387" s="518"/>
      <c r="Q387" s="518"/>
      <c r="R387" s="518"/>
      <c r="S387" s="518"/>
      <c r="T387" s="518"/>
      <c r="U387" s="518"/>
      <c r="V387" s="518"/>
      <c r="W387" s="518"/>
      <c r="X387" s="518"/>
      <c r="Y387" s="518"/>
      <c r="Z387" s="518"/>
      <c r="AA387" s="518"/>
      <c r="AB387" s="518"/>
      <c r="AC387" s="518"/>
      <c r="AD387" s="516"/>
      <c r="AE387" s="516"/>
      <c r="AF387" s="516"/>
      <c r="AG387" s="516"/>
      <c r="AH387" s="529"/>
      <c r="AI387" s="537"/>
      <c r="AJ387" s="534"/>
      <c r="AK387" s="535"/>
      <c r="AL387" s="537"/>
      <c r="AM387" s="537"/>
      <c r="AN387" s="534"/>
      <c r="AO387" s="535"/>
      <c r="AP387" s="579"/>
      <c r="AQ387" s="580"/>
      <c r="AR387" s="537"/>
      <c r="AS387" s="536"/>
      <c r="AT387" s="432"/>
      <c r="AU387" s="539"/>
      <c r="AV387" s="432"/>
      <c r="AW387" s="537"/>
      <c r="AX387" s="536"/>
      <c r="AY387" s="538"/>
      <c r="AZ387" s="527"/>
      <c r="BA387" s="562"/>
      <c r="BB387" s="432"/>
      <c r="BC387" s="432"/>
      <c r="BD387" s="571"/>
      <c r="BE387" s="538"/>
      <c r="BF387" s="432"/>
      <c r="BG387" s="522"/>
    </row>
    <row r="388" spans="1:64" ht="18" customHeight="1" x14ac:dyDescent="0.2">
      <c r="A388" s="1400" t="s">
        <v>726</v>
      </c>
      <c r="B388" s="1400"/>
      <c r="C388" s="1401"/>
      <c r="D388" s="525"/>
      <c r="E388" s="526"/>
      <c r="F388" s="516"/>
      <c r="G388" s="516"/>
      <c r="H388" s="516"/>
      <c r="I388" s="516"/>
      <c r="J388" s="516"/>
      <c r="K388" s="517"/>
      <c r="L388" s="516"/>
      <c r="M388" s="516"/>
      <c r="N388" s="516"/>
      <c r="O388" s="516"/>
      <c r="P388" s="518"/>
      <c r="Q388" s="518"/>
      <c r="R388" s="518"/>
      <c r="S388" s="518"/>
      <c r="T388" s="518"/>
      <c r="U388" s="518"/>
      <c r="V388" s="518"/>
      <c r="W388" s="518"/>
      <c r="X388" s="518"/>
      <c r="Y388" s="518"/>
      <c r="Z388" s="518"/>
      <c r="AA388" s="518"/>
      <c r="AB388" s="518"/>
      <c r="AC388" s="518"/>
      <c r="AD388" s="516"/>
      <c r="AE388" s="516"/>
      <c r="AF388" s="516"/>
      <c r="AG388" s="516"/>
      <c r="AH388" s="529"/>
      <c r="AI388" s="537"/>
      <c r="AJ388" s="534"/>
      <c r="AK388" s="535"/>
      <c r="AL388" s="537"/>
      <c r="AM388" s="537"/>
      <c r="AN388" s="534"/>
      <c r="AO388" s="535"/>
      <c r="AP388" s="536"/>
      <c r="AQ388" s="432"/>
      <c r="AR388" s="537"/>
      <c r="AS388" s="536"/>
      <c r="AT388" s="432"/>
      <c r="AU388" s="539"/>
      <c r="AV388" s="432"/>
      <c r="AW388" s="537"/>
      <c r="AX388" s="536"/>
      <c r="AY388" s="538"/>
      <c r="AZ388" s="527"/>
      <c r="BA388" s="562"/>
      <c r="BB388" s="432"/>
      <c r="BC388" s="432"/>
      <c r="BD388" s="571"/>
      <c r="BE388" s="538"/>
      <c r="BF388" s="432"/>
      <c r="BG388" s="522"/>
    </row>
    <row r="389" spans="1:64" ht="6" customHeight="1" x14ac:dyDescent="0.2">
      <c r="A389" s="25"/>
      <c r="B389" s="163"/>
      <c r="C389" s="14"/>
      <c r="D389" s="525"/>
      <c r="E389" s="526"/>
      <c r="F389" s="516"/>
      <c r="G389" s="516"/>
      <c r="H389" s="516"/>
      <c r="I389" s="516"/>
      <c r="J389" s="516"/>
      <c r="K389" s="517"/>
      <c r="L389" s="516"/>
      <c r="M389" s="516"/>
      <c r="N389" s="516"/>
      <c r="O389" s="516"/>
      <c r="P389" s="518"/>
      <c r="Q389" s="518"/>
      <c r="R389" s="518"/>
      <c r="S389" s="518"/>
      <c r="T389" s="518"/>
      <c r="U389" s="518"/>
      <c r="V389" s="518"/>
      <c r="W389" s="518"/>
      <c r="X389" s="518"/>
      <c r="Y389" s="518"/>
      <c r="Z389" s="518"/>
      <c r="AA389" s="518"/>
      <c r="AB389" s="518"/>
      <c r="AC389" s="518"/>
      <c r="AD389" s="516"/>
      <c r="AE389" s="516"/>
      <c r="AF389" s="516"/>
      <c r="AG389" s="516"/>
      <c r="AH389" s="529"/>
      <c r="AI389" s="537"/>
      <c r="AJ389" s="534"/>
      <c r="AK389" s="535"/>
      <c r="AL389" s="537"/>
      <c r="AM389" s="537"/>
      <c r="AN389" s="534"/>
      <c r="AO389" s="535"/>
      <c r="AP389" s="536"/>
      <c r="AQ389" s="432"/>
      <c r="AR389" s="537"/>
      <c r="AS389" s="536"/>
      <c r="AT389" s="432"/>
      <c r="AU389" s="539"/>
      <c r="AV389" s="432"/>
      <c r="AW389" s="537"/>
      <c r="AX389" s="536"/>
      <c r="AY389" s="538"/>
      <c r="AZ389" s="527"/>
      <c r="BA389" s="562"/>
      <c r="BB389" s="432"/>
      <c r="BC389" s="432"/>
      <c r="BD389" s="571"/>
      <c r="BE389" s="538"/>
      <c r="BF389" s="432"/>
      <c r="BG389" s="522"/>
    </row>
    <row r="390" spans="1:64" x14ac:dyDescent="0.2">
      <c r="A390" s="1108"/>
      <c r="B390" s="1109"/>
      <c r="C390" s="1109" t="s">
        <v>588</v>
      </c>
      <c r="D390" s="1110"/>
      <c r="E390" s="1111">
        <f>619059+1500000</f>
        <v>2119059</v>
      </c>
      <c r="F390" s="1112"/>
      <c r="G390" s="1112"/>
      <c r="H390" s="1112"/>
      <c r="I390" s="1112"/>
      <c r="J390" s="1112"/>
      <c r="K390" s="1113"/>
      <c r="L390" s="1112"/>
      <c r="M390" s="1112"/>
      <c r="N390" s="1112"/>
      <c r="O390" s="1112"/>
      <c r="P390" s="1114"/>
      <c r="Q390" s="1114"/>
      <c r="R390" s="1114"/>
      <c r="S390" s="1114"/>
      <c r="T390" s="1114"/>
      <c r="U390" s="1114"/>
      <c r="V390" s="1114"/>
      <c r="W390" s="1114"/>
      <c r="X390" s="1114"/>
      <c r="Y390" s="1114">
        <v>10000</v>
      </c>
      <c r="Z390" s="1114"/>
      <c r="AA390" s="1114">
        <f>200000+70000</f>
        <v>270000</v>
      </c>
      <c r="AB390" s="1114"/>
      <c r="AC390" s="1114"/>
      <c r="AD390" s="1112"/>
      <c r="AE390" s="1112"/>
      <c r="AF390" s="1112"/>
      <c r="AG390" s="1112"/>
      <c r="AH390" s="545">
        <f t="shared" ref="AH390:AH391" si="263">L390+N390+P390+R390+T390+V390+X390+Z390+AB390+AD390+AF390</f>
        <v>0</v>
      </c>
      <c r="AI390" s="546">
        <f t="shared" ref="AI390:AI391" si="264">M390+O390+Q390+S390+U390+W390+Y390+AA390+AC390+AE390+AG390</f>
        <v>280000</v>
      </c>
      <c r="AJ390" s="1116">
        <f t="shared" ref="AJ390:AJ402" si="265">D390+F390+H390+J390+AH390</f>
        <v>0</v>
      </c>
      <c r="AK390" s="1117">
        <f t="shared" ref="AK390:AK402" si="266">E390+G390+I390+K390+AI390</f>
        <v>2399059</v>
      </c>
      <c r="AL390" s="1115"/>
      <c r="AM390" s="1115"/>
      <c r="AN390" s="1116"/>
      <c r="AO390" s="1117"/>
      <c r="AP390" s="892"/>
      <c r="AQ390" s="1106"/>
      <c r="AR390" s="1115"/>
      <c r="AS390" s="892" t="str">
        <f>'F.  Other Cap Asset Entries'!D244</f>
        <v>F.2</v>
      </c>
      <c r="AT390" s="1106">
        <f>'F.  Other Cap Asset Entries'!O254</f>
        <v>0</v>
      </c>
      <c r="AU390" s="1118" t="str">
        <f>'L. Eliminations-Consolidations'!A200</f>
        <v>L.1</v>
      </c>
      <c r="AV390" s="1106">
        <f>'L. Eliminations-Consolidations'!J200</f>
        <v>899059</v>
      </c>
      <c r="AW390" s="1115"/>
      <c r="AX390" s="1119" t="s">
        <v>637</v>
      </c>
      <c r="AY390" s="1106">
        <f>'K.1  Int. Service Fd Allocation'!G206+'K.2  Int. Service Fd Alloca'!G201+'K.3 Int. Service Fd Alloca'!G201</f>
        <v>0</v>
      </c>
      <c r="AZ390" s="1120"/>
      <c r="BA390" s="1121"/>
      <c r="BB390" s="1106">
        <f t="shared" ref="BB390:BB402" si="267">ROUND(AJ390+AL390+AN390+AQ390+AV390+AZ390,0)</f>
        <v>899059</v>
      </c>
      <c r="BC390" s="1106">
        <f t="shared" ref="BC390:BC402" si="268">ROUND(AK390+AM390+AO390+AT390+AY390+BA390,0)</f>
        <v>2399059</v>
      </c>
      <c r="BD390" s="1122">
        <f>IF((SUM(BB390:BB391))-(SUM(BC390:BC391))&lt;=0," ",(SUM(BB390:BB391))-(SUM(BC390:BC391)))</f>
        <v>100000</v>
      </c>
      <c r="BE390" s="1107" t="str">
        <f>IF((SUM(BB390:BB391))-(SUM(BC390:BC391))&gt;0," ",-(SUM(BB390:BB391))+(SUM(BC390:BC391)))</f>
        <v xml:space="preserve"> </v>
      </c>
      <c r="BF390" s="504"/>
      <c r="BG390" s="522"/>
      <c r="BH390" s="1190"/>
    </row>
    <row r="391" spans="1:64" x14ac:dyDescent="0.2">
      <c r="A391" s="1108"/>
      <c r="B391" s="1109"/>
      <c r="C391" s="1109" t="s">
        <v>407</v>
      </c>
      <c r="D391" s="1123">
        <v>370000</v>
      </c>
      <c r="E391" s="1111"/>
      <c r="F391" s="1112">
        <v>1500000</v>
      </c>
      <c r="G391" s="1112"/>
      <c r="H391" s="1112"/>
      <c r="I391" s="1112"/>
      <c r="J391" s="1112"/>
      <c r="K391" s="1113"/>
      <c r="L391" s="1112"/>
      <c r="M391" s="1112"/>
      <c r="N391" s="1112">
        <v>10000</v>
      </c>
      <c r="O391" s="1112"/>
      <c r="P391" s="1114"/>
      <c r="Q391" s="1114"/>
      <c r="R391" s="1114"/>
      <c r="S391" s="1114"/>
      <c r="T391" s="1114"/>
      <c r="U391" s="1114"/>
      <c r="V391" s="1114"/>
      <c r="W391" s="1114"/>
      <c r="X391" s="1114"/>
      <c r="Y391" s="1114"/>
      <c r="Z391" s="1114">
        <v>619059</v>
      </c>
      <c r="AA391" s="1114"/>
      <c r="AB391" s="1114"/>
      <c r="AC391" s="1114"/>
      <c r="AD391" s="1112"/>
      <c r="AE391" s="1112"/>
      <c r="AF391" s="1112"/>
      <c r="AG391" s="1112"/>
      <c r="AH391" s="545">
        <f t="shared" si="263"/>
        <v>629059</v>
      </c>
      <c r="AI391" s="546">
        <f t="shared" si="264"/>
        <v>0</v>
      </c>
      <c r="AJ391" s="1116">
        <f t="shared" si="265"/>
        <v>2499059</v>
      </c>
      <c r="AK391" s="1117">
        <f t="shared" si="266"/>
        <v>0</v>
      </c>
      <c r="AL391" s="1115"/>
      <c r="AM391" s="1115"/>
      <c r="AN391" s="1116"/>
      <c r="AO391" s="1117"/>
      <c r="AP391" s="892" t="str">
        <f>'F.  Other Cap Asset Entries'!D220</f>
        <v>F.1</v>
      </c>
      <c r="AQ391" s="1106">
        <f>'F.  Other Cap Asset Entries'!M231</f>
        <v>0</v>
      </c>
      <c r="AR391" s="1115"/>
      <c r="AS391" s="892"/>
      <c r="AT391" s="1106"/>
      <c r="AU391" s="1124" t="s">
        <v>637</v>
      </c>
      <c r="AV391" s="1106">
        <f>'K.1  Int. Service Fd Allocation'!E207+'K.2  Int. Service Fd Alloca'!E202+'K.3 Int. Service Fd Alloca'!E202</f>
        <v>0</v>
      </c>
      <c r="AW391" s="1115"/>
      <c r="AX391" s="892" t="str">
        <f>'L. Eliminations-Consolidations'!A200</f>
        <v>L.1</v>
      </c>
      <c r="AY391" s="1107">
        <f>'L. Eliminations-Consolidations'!L201</f>
        <v>899059</v>
      </c>
      <c r="AZ391" s="1114"/>
      <c r="BA391" s="1121"/>
      <c r="BB391" s="1106">
        <f t="shared" si="267"/>
        <v>2499059</v>
      </c>
      <c r="BC391" s="1106">
        <f t="shared" si="268"/>
        <v>899059</v>
      </c>
      <c r="BD391" s="1122"/>
      <c r="BE391" s="1107"/>
      <c r="BF391" s="504"/>
      <c r="BG391" s="522"/>
    </row>
    <row r="392" spans="1:64" x14ac:dyDescent="0.2">
      <c r="A392" s="25"/>
      <c r="B392" s="267"/>
      <c r="C392" s="31" t="s">
        <v>4119</v>
      </c>
      <c r="D392" s="525"/>
      <c r="E392" s="526">
        <v>279755</v>
      </c>
      <c r="F392" s="516"/>
      <c r="G392" s="516"/>
      <c r="H392" s="516"/>
      <c r="I392" s="516"/>
      <c r="J392" s="516"/>
      <c r="K392" s="517"/>
      <c r="L392" s="516"/>
      <c r="M392" s="516"/>
      <c r="N392" s="516"/>
      <c r="O392" s="516"/>
      <c r="P392" s="518"/>
      <c r="Q392" s="518"/>
      <c r="R392" s="518"/>
      <c r="S392" s="518"/>
      <c r="T392" s="518"/>
      <c r="U392" s="518"/>
      <c r="V392" s="518"/>
      <c r="W392" s="518"/>
      <c r="X392" s="518"/>
      <c r="Y392" s="518"/>
      <c r="Z392" s="518"/>
      <c r="AA392" s="518"/>
      <c r="AB392" s="518"/>
      <c r="AC392" s="518"/>
      <c r="AD392" s="516"/>
      <c r="AE392" s="516"/>
      <c r="AF392" s="516"/>
      <c r="AG392" s="516"/>
      <c r="AH392" s="529">
        <f t="shared" ref="AH392:AH402" si="269">L392+N392+P392+R392+T392+V392+X392+Z392+AB392+AD392+AF392</f>
        <v>0</v>
      </c>
      <c r="AI392" s="503">
        <f t="shared" ref="AI392:AI402" si="270">M392+O392+Q392+S392+U392+W392+Y392+AA392+AC392+AE392+AG392</f>
        <v>0</v>
      </c>
      <c r="AJ392" s="506">
        <f t="shared" si="265"/>
        <v>0</v>
      </c>
      <c r="AK392" s="519">
        <f t="shared" si="266"/>
        <v>279755</v>
      </c>
      <c r="AL392" s="503"/>
      <c r="AM392" s="503"/>
      <c r="AN392" s="506"/>
      <c r="AO392" s="519"/>
      <c r="AP392" s="520" t="str">
        <f>'H. Debt Issues'!D78</f>
        <v>H.1</v>
      </c>
      <c r="AQ392" s="1288">
        <f>'H. Debt Issues'!L78</f>
        <v>279755</v>
      </c>
      <c r="AR392" s="537"/>
      <c r="AS392" s="536"/>
      <c r="AT392" s="432"/>
      <c r="AU392" s="521"/>
      <c r="AV392" s="504"/>
      <c r="AW392" s="503"/>
      <c r="AX392" s="520"/>
      <c r="AY392" s="522"/>
      <c r="AZ392" s="523"/>
      <c r="BA392" s="524"/>
      <c r="BB392" s="465">
        <f t="shared" si="267"/>
        <v>279755</v>
      </c>
      <c r="BC392" s="465">
        <f t="shared" si="268"/>
        <v>279755</v>
      </c>
      <c r="BD392" s="573" t="str">
        <f t="shared" ref="BD392:BD402" si="271">IF(BB392-BC392&lt;=0," ",BB392-BC392)</f>
        <v xml:space="preserve"> </v>
      </c>
      <c r="BE392" s="522">
        <f t="shared" ref="BE392:BE406" si="272">IF(BB392-BC392&gt;0," ",BC392-BB392)</f>
        <v>0</v>
      </c>
      <c r="BF392" s="504"/>
      <c r="BG392" s="522"/>
    </row>
    <row r="393" spans="1:64" s="1263" customFormat="1" x14ac:dyDescent="0.2">
      <c r="A393" s="25"/>
      <c r="B393" s="267"/>
      <c r="C393" s="1264" t="s">
        <v>4132</v>
      </c>
      <c r="D393" s="525"/>
      <c r="E393" s="526">
        <v>48781</v>
      </c>
      <c r="F393" s="516"/>
      <c r="G393" s="516"/>
      <c r="H393" s="516"/>
      <c r="I393" s="516"/>
      <c r="J393" s="516"/>
      <c r="K393" s="517"/>
      <c r="L393" s="516"/>
      <c r="M393" s="516"/>
      <c r="N393" s="516"/>
      <c r="O393" s="516"/>
      <c r="P393" s="518"/>
      <c r="Q393" s="518"/>
      <c r="R393" s="518"/>
      <c r="S393" s="518"/>
      <c r="T393" s="518"/>
      <c r="U393" s="518"/>
      <c r="V393" s="518"/>
      <c r="W393" s="518"/>
      <c r="X393" s="518"/>
      <c r="Y393" s="518"/>
      <c r="Z393" s="518"/>
      <c r="AA393" s="518"/>
      <c r="AB393" s="518"/>
      <c r="AC393" s="518"/>
      <c r="AD393" s="516"/>
      <c r="AE393" s="516"/>
      <c r="AF393" s="516"/>
      <c r="AG393" s="516"/>
      <c r="AH393" s="529">
        <f t="shared" ref="AH393" si="273">L393+N393+P393+R393+T393+V393+X393+Z393+AB393+AD393+AF393</f>
        <v>0</v>
      </c>
      <c r="AI393" s="503">
        <f t="shared" ref="AI393" si="274">M393+O393+Q393+S393+U393+W393+Y393+AA393+AC393+AE393+AG393</f>
        <v>0</v>
      </c>
      <c r="AJ393" s="506">
        <f t="shared" ref="AJ393" si="275">D393+F393+H393+J393+AH393</f>
        <v>0</v>
      </c>
      <c r="AK393" s="519">
        <f t="shared" ref="AK393" si="276">E393+G393+I393+K393+AI393</f>
        <v>48781</v>
      </c>
      <c r="AL393" s="503"/>
      <c r="AM393" s="503"/>
      <c r="AN393" s="506"/>
      <c r="AO393" s="519"/>
      <c r="AP393" s="520" t="str">
        <f>'H. Debt Issues'!D78</f>
        <v>H.1</v>
      </c>
      <c r="AQ393" s="1288">
        <f>'H. Debt Issues'!L79</f>
        <v>48781</v>
      </c>
      <c r="AR393" s="537"/>
      <c r="AS393" s="536"/>
      <c r="AT393" s="432"/>
      <c r="AU393" s="521"/>
      <c r="AV393" s="504"/>
      <c r="AW393" s="503"/>
      <c r="AX393" s="520"/>
      <c r="AY393" s="522"/>
      <c r="AZ393" s="523"/>
      <c r="BA393" s="524"/>
      <c r="BB393" s="465">
        <f t="shared" ref="BB393" si="277">ROUND(AJ393+AL393+AN393+AQ393+AV393+AZ393,0)</f>
        <v>48781</v>
      </c>
      <c r="BC393" s="465">
        <f t="shared" ref="BC393" si="278">ROUND(AK393+AM393+AO393+AT393+AY393+BA393,0)</f>
        <v>48781</v>
      </c>
      <c r="BD393" s="573"/>
      <c r="BE393" s="522">
        <f t="shared" si="272"/>
        <v>0</v>
      </c>
      <c r="BF393" s="504"/>
      <c r="BG393" s="522"/>
      <c r="BH393" s="1189"/>
      <c r="BI393" s="1193"/>
      <c r="BJ393" s="1206"/>
    </row>
    <row r="394" spans="1:64" x14ac:dyDescent="0.2">
      <c r="A394" s="25"/>
      <c r="B394" s="14"/>
      <c r="C394" s="403" t="s">
        <v>589</v>
      </c>
      <c r="D394" s="525"/>
      <c r="E394" s="526"/>
      <c r="F394" s="516"/>
      <c r="G394" s="516"/>
      <c r="H394" s="516"/>
      <c r="I394" s="516"/>
      <c r="J394" s="516"/>
      <c r="K394" s="517"/>
      <c r="L394" s="516"/>
      <c r="M394" s="516"/>
      <c r="N394" s="516"/>
      <c r="O394" s="516"/>
      <c r="P394" s="518"/>
      <c r="Q394" s="518"/>
      <c r="R394" s="518"/>
      <c r="S394" s="518"/>
      <c r="T394" s="518"/>
      <c r="U394" s="518"/>
      <c r="V394" s="518"/>
      <c r="W394" s="518"/>
      <c r="X394" s="518"/>
      <c r="Y394" s="518"/>
      <c r="Z394" s="518"/>
      <c r="AA394" s="518">
        <v>1200000</v>
      </c>
      <c r="AB394" s="518"/>
      <c r="AC394" s="518"/>
      <c r="AD394" s="516"/>
      <c r="AE394" s="516"/>
      <c r="AF394" s="516"/>
      <c r="AG394" s="516"/>
      <c r="AH394" s="529">
        <f t="shared" si="269"/>
        <v>0</v>
      </c>
      <c r="AI394" s="503">
        <f t="shared" si="270"/>
        <v>1200000</v>
      </c>
      <c r="AJ394" s="506">
        <f t="shared" si="265"/>
        <v>0</v>
      </c>
      <c r="AK394" s="519">
        <f t="shared" si="266"/>
        <v>1200000</v>
      </c>
      <c r="AL394" s="503"/>
      <c r="AM394" s="503"/>
      <c r="AN394" s="506"/>
      <c r="AO394" s="519"/>
      <c r="AP394" s="520" t="str">
        <f>'H. Debt Issues'!D78</f>
        <v>H.1</v>
      </c>
      <c r="AQ394" s="1288">
        <f>'H. Debt Issues'!L80</f>
        <v>1200000</v>
      </c>
      <c r="AR394" s="537"/>
      <c r="AS394" s="536"/>
      <c r="AT394" s="432"/>
      <c r="AU394" s="521"/>
      <c r="AV394" s="504"/>
      <c r="AW394" s="503"/>
      <c r="AX394" s="520"/>
      <c r="AY394" s="522"/>
      <c r="AZ394" s="523"/>
      <c r="BA394" s="524"/>
      <c r="BB394" s="465">
        <f t="shared" si="267"/>
        <v>1200000</v>
      </c>
      <c r="BC394" s="465">
        <f t="shared" si="268"/>
        <v>1200000</v>
      </c>
      <c r="BD394" s="573" t="str">
        <f t="shared" si="271"/>
        <v xml:space="preserve"> </v>
      </c>
      <c r="BE394" s="522">
        <f>IF(BB394-BC394&gt;0," ",BC394-BB394)</f>
        <v>0</v>
      </c>
      <c r="BF394" s="504"/>
      <c r="BG394" s="522"/>
    </row>
    <row r="395" spans="1:64" x14ac:dyDescent="0.2">
      <c r="A395" s="25"/>
      <c r="B395" s="14"/>
      <c r="C395" s="14" t="s">
        <v>1021</v>
      </c>
      <c r="D395" s="525"/>
      <c r="E395" s="526">
        <v>3365000</v>
      </c>
      <c r="F395" s="516"/>
      <c r="G395" s="516"/>
      <c r="H395" s="516"/>
      <c r="I395" s="516"/>
      <c r="J395" s="516"/>
      <c r="K395" s="517"/>
      <c r="L395" s="516"/>
      <c r="M395" s="516"/>
      <c r="N395" s="516"/>
      <c r="O395" s="516"/>
      <c r="P395" s="518"/>
      <c r="Q395" s="518"/>
      <c r="R395" s="518"/>
      <c r="S395" s="518"/>
      <c r="T395" s="518"/>
      <c r="U395" s="518"/>
      <c r="V395" s="518"/>
      <c r="W395" s="518"/>
      <c r="X395" s="518"/>
      <c r="Y395" s="518"/>
      <c r="Z395" s="518"/>
      <c r="AA395" s="518"/>
      <c r="AB395" s="518"/>
      <c r="AC395" s="518"/>
      <c r="AD395" s="516"/>
      <c r="AE395" s="516"/>
      <c r="AF395" s="516"/>
      <c r="AG395" s="516"/>
      <c r="AH395" s="529">
        <f t="shared" si="269"/>
        <v>0</v>
      </c>
      <c r="AI395" s="503">
        <f t="shared" si="270"/>
        <v>0</v>
      </c>
      <c r="AJ395" s="506">
        <f t="shared" si="265"/>
        <v>0</v>
      </c>
      <c r="AK395" s="519">
        <f t="shared" si="266"/>
        <v>3365000</v>
      </c>
      <c r="AL395" s="503"/>
      <c r="AM395" s="503"/>
      <c r="AN395" s="506"/>
      <c r="AO395" s="519"/>
      <c r="AP395" s="520" t="str">
        <f>'H. Debt Issues'!D78</f>
        <v>H.1</v>
      </c>
      <c r="AQ395" s="432">
        <f>'H. Debt Issues'!L81</f>
        <v>3365000</v>
      </c>
      <c r="AR395" s="537"/>
      <c r="AS395" s="536"/>
      <c r="AT395" s="432"/>
      <c r="AU395" s="521"/>
      <c r="AV395" s="504"/>
      <c r="AW395" s="503"/>
      <c r="AX395" s="520"/>
      <c r="AY395" s="522"/>
      <c r="AZ395" s="523"/>
      <c r="BA395" s="524"/>
      <c r="BB395" s="465">
        <f t="shared" si="267"/>
        <v>3365000</v>
      </c>
      <c r="BC395" s="465">
        <f t="shared" si="268"/>
        <v>3365000</v>
      </c>
      <c r="BD395" s="573" t="str">
        <f t="shared" si="271"/>
        <v xml:space="preserve"> </v>
      </c>
      <c r="BE395" s="522">
        <f t="shared" si="272"/>
        <v>0</v>
      </c>
      <c r="BF395" s="504"/>
      <c r="BG395" s="522"/>
    </row>
    <row r="396" spans="1:64" x14ac:dyDescent="0.2">
      <c r="A396" s="25"/>
      <c r="B396" s="14"/>
      <c r="C396" s="14" t="s">
        <v>1022</v>
      </c>
      <c r="D396" s="525"/>
      <c r="E396" s="526"/>
      <c r="F396" s="516"/>
      <c r="G396" s="516"/>
      <c r="H396" s="516"/>
      <c r="I396" s="516"/>
      <c r="J396" s="516"/>
      <c r="K396" s="517"/>
      <c r="L396" s="516"/>
      <c r="M396" s="516"/>
      <c r="N396" s="516"/>
      <c r="O396" s="516"/>
      <c r="P396" s="518"/>
      <c r="Q396" s="518"/>
      <c r="R396" s="518"/>
      <c r="S396" s="518"/>
      <c r="T396" s="518"/>
      <c r="U396" s="518"/>
      <c r="V396" s="518"/>
      <c r="W396" s="518"/>
      <c r="X396" s="518"/>
      <c r="Y396" s="518"/>
      <c r="Z396" s="518"/>
      <c r="AA396" s="518"/>
      <c r="AB396" s="518"/>
      <c r="AC396" s="518"/>
      <c r="AD396" s="516"/>
      <c r="AE396" s="516"/>
      <c r="AF396" s="516"/>
      <c r="AG396" s="516"/>
      <c r="AH396" s="529">
        <f t="shared" si="269"/>
        <v>0</v>
      </c>
      <c r="AI396" s="503">
        <f t="shared" si="270"/>
        <v>0</v>
      </c>
      <c r="AJ396" s="506">
        <f t="shared" si="265"/>
        <v>0</v>
      </c>
      <c r="AK396" s="519">
        <f t="shared" si="266"/>
        <v>0</v>
      </c>
      <c r="AL396" s="503"/>
      <c r="AM396" s="503"/>
      <c r="AN396" s="506"/>
      <c r="AO396" s="519"/>
      <c r="AP396" s="520" t="str">
        <f>'H. Debt Issues'!D78</f>
        <v>H.1</v>
      </c>
      <c r="AQ396" s="432">
        <f>'H. Debt Issues'!L82</f>
        <v>0</v>
      </c>
      <c r="AR396" s="537"/>
      <c r="AS396" s="536"/>
      <c r="AT396" s="432"/>
      <c r="AU396" s="521"/>
      <c r="AV396" s="504"/>
      <c r="AW396" s="503"/>
      <c r="AX396" s="520"/>
      <c r="AY396" s="522"/>
      <c r="AZ396" s="523"/>
      <c r="BA396" s="524"/>
      <c r="BB396" s="465">
        <f t="shared" si="267"/>
        <v>0</v>
      </c>
      <c r="BC396" s="465">
        <f t="shared" si="268"/>
        <v>0</v>
      </c>
      <c r="BD396" s="573" t="str">
        <f t="shared" si="271"/>
        <v xml:space="preserve"> </v>
      </c>
      <c r="BE396" s="522">
        <f t="shared" si="272"/>
        <v>0</v>
      </c>
      <c r="BF396" s="504"/>
      <c r="BG396" s="522"/>
    </row>
    <row r="397" spans="1:64" x14ac:dyDescent="0.2">
      <c r="A397" s="25"/>
      <c r="B397" s="14"/>
      <c r="C397" s="14" t="s">
        <v>1023</v>
      </c>
      <c r="D397" s="525"/>
      <c r="E397" s="526"/>
      <c r="F397" s="516"/>
      <c r="G397" s="516"/>
      <c r="H397" s="516"/>
      <c r="I397" s="516"/>
      <c r="J397" s="516"/>
      <c r="K397" s="517"/>
      <c r="L397" s="516"/>
      <c r="M397" s="516"/>
      <c r="N397" s="516"/>
      <c r="O397" s="516"/>
      <c r="P397" s="518"/>
      <c r="Q397" s="518"/>
      <c r="R397" s="518"/>
      <c r="S397" s="518"/>
      <c r="T397" s="518"/>
      <c r="U397" s="518"/>
      <c r="V397" s="518"/>
      <c r="W397" s="518"/>
      <c r="X397" s="518"/>
      <c r="Y397" s="518"/>
      <c r="Z397" s="518"/>
      <c r="AA397" s="518"/>
      <c r="AB397" s="518"/>
      <c r="AC397" s="518"/>
      <c r="AD397" s="516"/>
      <c r="AE397" s="516"/>
      <c r="AF397" s="516"/>
      <c r="AG397" s="516"/>
      <c r="AH397" s="529">
        <f t="shared" si="269"/>
        <v>0</v>
      </c>
      <c r="AI397" s="503">
        <f t="shared" si="270"/>
        <v>0</v>
      </c>
      <c r="AJ397" s="506">
        <f t="shared" si="265"/>
        <v>0</v>
      </c>
      <c r="AK397" s="519">
        <f t="shared" si="266"/>
        <v>0</v>
      </c>
      <c r="AL397" s="503"/>
      <c r="AM397" s="503"/>
      <c r="AN397" s="506"/>
      <c r="AO397" s="519"/>
      <c r="AP397" s="520"/>
      <c r="AQ397" s="432"/>
      <c r="AR397" s="537"/>
      <c r="AS397" s="536" t="str">
        <f>'H. Debt Issues'!D78</f>
        <v>H.1</v>
      </c>
      <c r="AT397" s="432">
        <f>'H. Debt Issues'!N91</f>
        <v>0</v>
      </c>
      <c r="AU397" s="521"/>
      <c r="AV397" s="504"/>
      <c r="AW397" s="503"/>
      <c r="AX397" s="520"/>
      <c r="AY397" s="522"/>
      <c r="AZ397" s="523"/>
      <c r="BA397" s="524"/>
      <c r="BB397" s="465">
        <f t="shared" si="267"/>
        <v>0</v>
      </c>
      <c r="BC397" s="465">
        <f t="shared" si="268"/>
        <v>0</v>
      </c>
      <c r="BD397" s="573" t="str">
        <f t="shared" si="271"/>
        <v xml:space="preserve"> </v>
      </c>
      <c r="BE397" s="522">
        <f t="shared" si="272"/>
        <v>0</v>
      </c>
      <c r="BF397" s="504"/>
      <c r="BG397" s="522"/>
    </row>
    <row r="398" spans="1:64" x14ac:dyDescent="0.2">
      <c r="A398" s="25"/>
      <c r="B398" s="14"/>
      <c r="C398" s="14" t="s">
        <v>1024</v>
      </c>
      <c r="D398" s="525">
        <v>3300000</v>
      </c>
      <c r="E398" s="526"/>
      <c r="F398" s="516"/>
      <c r="G398" s="516"/>
      <c r="H398" s="516"/>
      <c r="I398" s="516"/>
      <c r="J398" s="516"/>
      <c r="K398" s="517"/>
      <c r="L398" s="516"/>
      <c r="M398" s="516"/>
      <c r="N398" s="516"/>
      <c r="O398" s="516"/>
      <c r="P398" s="518"/>
      <c r="Q398" s="518"/>
      <c r="R398" s="518"/>
      <c r="S398" s="518"/>
      <c r="T398" s="518"/>
      <c r="U398" s="518"/>
      <c r="V398" s="518"/>
      <c r="W398" s="518"/>
      <c r="X398" s="518"/>
      <c r="Y398" s="518"/>
      <c r="Z398" s="518"/>
      <c r="AA398" s="518"/>
      <c r="AB398" s="518"/>
      <c r="AC398" s="518"/>
      <c r="AD398" s="516"/>
      <c r="AE398" s="516"/>
      <c r="AF398" s="516"/>
      <c r="AG398" s="516"/>
      <c r="AH398" s="529">
        <f t="shared" si="269"/>
        <v>0</v>
      </c>
      <c r="AI398" s="503">
        <f t="shared" si="270"/>
        <v>0</v>
      </c>
      <c r="AJ398" s="506">
        <f t="shared" si="265"/>
        <v>3300000</v>
      </c>
      <c r="AK398" s="519">
        <f t="shared" si="266"/>
        <v>0</v>
      </c>
      <c r="AL398" s="503"/>
      <c r="AM398" s="503"/>
      <c r="AN398" s="506"/>
      <c r="AO398" s="519"/>
      <c r="AP398" s="520"/>
      <c r="AQ398" s="432"/>
      <c r="AR398" s="537"/>
      <c r="AS398" s="536" t="str">
        <f>'H. Debt Issues'!D78</f>
        <v>H.1</v>
      </c>
      <c r="AT398" s="432">
        <f>'H. Debt Issues'!N92</f>
        <v>3300000</v>
      </c>
      <c r="AU398" s="521"/>
      <c r="AV398" s="504"/>
      <c r="AW398" s="503"/>
      <c r="AX398" s="520"/>
      <c r="AY398" s="522"/>
      <c r="AZ398" s="523"/>
      <c r="BA398" s="524"/>
      <c r="BB398" s="465">
        <f t="shared" si="267"/>
        <v>3300000</v>
      </c>
      <c r="BC398" s="465">
        <f t="shared" si="268"/>
        <v>3300000</v>
      </c>
      <c r="BD398" s="573" t="str">
        <f t="shared" si="271"/>
        <v xml:space="preserve"> </v>
      </c>
      <c r="BE398" s="522">
        <f t="shared" si="272"/>
        <v>0</v>
      </c>
      <c r="BF398" s="504"/>
      <c r="BG398" s="522"/>
    </row>
    <row r="399" spans="1:64" x14ac:dyDescent="0.2">
      <c r="A399" s="25"/>
      <c r="B399" s="14"/>
      <c r="C399" s="14" t="s">
        <v>471</v>
      </c>
      <c r="D399" s="525"/>
      <c r="E399" s="526">
        <v>28482</v>
      </c>
      <c r="F399" s="516"/>
      <c r="G399" s="516"/>
      <c r="H399" s="516"/>
      <c r="I399" s="516"/>
      <c r="J399" s="516"/>
      <c r="K399" s="517"/>
      <c r="L399" s="516"/>
      <c r="M399" s="516"/>
      <c r="N399" s="516"/>
      <c r="O399" s="516"/>
      <c r="P399" s="518"/>
      <c r="Q399" s="518"/>
      <c r="R399" s="518"/>
      <c r="S399" s="518"/>
      <c r="T399" s="518"/>
      <c r="U399" s="518"/>
      <c r="V399" s="518"/>
      <c r="W399" s="518"/>
      <c r="X399" s="518"/>
      <c r="Y399" s="518"/>
      <c r="Z399" s="518"/>
      <c r="AA399" s="518"/>
      <c r="AB399" s="518"/>
      <c r="AC399" s="518"/>
      <c r="AD399" s="516"/>
      <c r="AE399" s="516"/>
      <c r="AF399" s="516"/>
      <c r="AG399" s="516"/>
      <c r="AH399" s="529">
        <f t="shared" si="269"/>
        <v>0</v>
      </c>
      <c r="AI399" s="503">
        <f t="shared" si="270"/>
        <v>0</v>
      </c>
      <c r="AJ399" s="506">
        <f t="shared" si="265"/>
        <v>0</v>
      </c>
      <c r="AK399" s="519">
        <f t="shared" si="266"/>
        <v>28482</v>
      </c>
      <c r="AL399" s="503"/>
      <c r="AM399" s="503"/>
      <c r="AN399" s="506"/>
      <c r="AO399" s="519"/>
      <c r="AP399" s="520" t="str">
        <f>'F.  Other Cap Asset Entries'!D220</f>
        <v>F.1</v>
      </c>
      <c r="AQ399" s="432">
        <f>'F.  Other Cap Asset Entries'!M228</f>
        <v>28482</v>
      </c>
      <c r="AR399" s="537"/>
      <c r="AS399" s="536"/>
      <c r="AT399" s="432"/>
      <c r="AU399" s="521"/>
      <c r="AV399" s="504"/>
      <c r="AW399" s="503"/>
      <c r="AX399" s="520"/>
      <c r="AY399" s="522"/>
      <c r="AZ399" s="523"/>
      <c r="BA399" s="524"/>
      <c r="BB399" s="465">
        <f t="shared" si="267"/>
        <v>28482</v>
      </c>
      <c r="BC399" s="465">
        <f t="shared" si="268"/>
        <v>28482</v>
      </c>
      <c r="BD399" s="573" t="str">
        <f t="shared" si="271"/>
        <v xml:space="preserve"> </v>
      </c>
      <c r="BE399" s="522">
        <f t="shared" si="272"/>
        <v>0</v>
      </c>
      <c r="BF399" s="504"/>
      <c r="BG399" s="522"/>
    </row>
    <row r="400" spans="1:64" x14ac:dyDescent="0.2">
      <c r="A400" s="25"/>
      <c r="B400" s="14"/>
      <c r="C400" s="14" t="s">
        <v>625</v>
      </c>
      <c r="D400" s="525"/>
      <c r="E400" s="526"/>
      <c r="F400" s="516"/>
      <c r="G400" s="516"/>
      <c r="H400" s="516"/>
      <c r="I400" s="516"/>
      <c r="J400" s="516"/>
      <c r="K400" s="517"/>
      <c r="L400" s="516"/>
      <c r="M400" s="516"/>
      <c r="N400" s="516"/>
      <c r="O400" s="516"/>
      <c r="P400" s="518"/>
      <c r="Q400" s="518"/>
      <c r="R400" s="518"/>
      <c r="S400" s="518"/>
      <c r="T400" s="518"/>
      <c r="U400" s="518"/>
      <c r="V400" s="518"/>
      <c r="W400" s="518"/>
      <c r="X400" s="518"/>
      <c r="Y400" s="518"/>
      <c r="Z400" s="518"/>
      <c r="AA400" s="518"/>
      <c r="AB400" s="518"/>
      <c r="AC400" s="518"/>
      <c r="AD400" s="516"/>
      <c r="AE400" s="516"/>
      <c r="AF400" s="516"/>
      <c r="AG400" s="516"/>
      <c r="AH400" s="529">
        <f t="shared" si="269"/>
        <v>0</v>
      </c>
      <c r="AI400" s="503">
        <f t="shared" si="270"/>
        <v>0</v>
      </c>
      <c r="AJ400" s="506">
        <f t="shared" si="265"/>
        <v>0</v>
      </c>
      <c r="AK400" s="519">
        <f t="shared" si="266"/>
        <v>0</v>
      </c>
      <c r="AL400" s="503"/>
      <c r="AM400" s="503"/>
      <c r="AN400" s="506"/>
      <c r="AO400" s="519"/>
      <c r="AP400" s="520" t="s">
        <v>624</v>
      </c>
      <c r="AQ400" s="432">
        <f>'F.  Other Cap Asset Entries'!M266</f>
        <v>0</v>
      </c>
      <c r="AR400" s="537"/>
      <c r="AS400" s="536"/>
      <c r="AT400" s="432"/>
      <c r="AU400" s="521"/>
      <c r="AV400" s="504"/>
      <c r="AW400" s="503"/>
      <c r="AX400" s="520"/>
      <c r="AY400" s="522"/>
      <c r="AZ400" s="523"/>
      <c r="BA400" s="524"/>
      <c r="BB400" s="465">
        <f t="shared" si="267"/>
        <v>0</v>
      </c>
      <c r="BC400" s="465">
        <f t="shared" si="268"/>
        <v>0</v>
      </c>
      <c r="BD400" s="573" t="str">
        <f t="shared" si="271"/>
        <v xml:space="preserve"> </v>
      </c>
      <c r="BE400" s="522">
        <f t="shared" si="272"/>
        <v>0</v>
      </c>
      <c r="BF400" s="504"/>
      <c r="BG400" s="522"/>
    </row>
    <row r="401" spans="1:63" x14ac:dyDescent="0.2">
      <c r="A401" s="25"/>
      <c r="B401" s="14"/>
      <c r="C401" s="14" t="s">
        <v>846</v>
      </c>
      <c r="D401" s="525"/>
      <c r="E401" s="526"/>
      <c r="F401" s="516"/>
      <c r="G401" s="516"/>
      <c r="H401" s="516"/>
      <c r="I401" s="516"/>
      <c r="J401" s="516"/>
      <c r="K401" s="517"/>
      <c r="L401" s="516"/>
      <c r="M401" s="516"/>
      <c r="N401" s="516"/>
      <c r="O401" s="516"/>
      <c r="P401" s="518"/>
      <c r="Q401" s="518"/>
      <c r="R401" s="518"/>
      <c r="S401" s="518"/>
      <c r="T401" s="518"/>
      <c r="U401" s="518"/>
      <c r="V401" s="518"/>
      <c r="W401" s="518"/>
      <c r="X401" s="518"/>
      <c r="Y401" s="518"/>
      <c r="Z401" s="518"/>
      <c r="AA401" s="518"/>
      <c r="AB401" s="518"/>
      <c r="AC401" s="518"/>
      <c r="AD401" s="516"/>
      <c r="AE401" s="516"/>
      <c r="AF401" s="516"/>
      <c r="AG401" s="516"/>
      <c r="AH401" s="529">
        <f t="shared" si="269"/>
        <v>0</v>
      </c>
      <c r="AI401" s="503">
        <f t="shared" si="270"/>
        <v>0</v>
      </c>
      <c r="AJ401" s="506">
        <f t="shared" si="265"/>
        <v>0</v>
      </c>
      <c r="AK401" s="519">
        <f t="shared" si="266"/>
        <v>0</v>
      </c>
      <c r="AL401" s="503"/>
      <c r="AM401" s="503"/>
      <c r="AN401" s="506"/>
      <c r="AO401" s="519"/>
      <c r="AP401" s="558" t="str">
        <f>'I.  Other Asset Entries'!B108</f>
        <v>I.1</v>
      </c>
      <c r="AQ401" s="504">
        <f>'I.  Other Asset Entries'!L110</f>
        <v>0</v>
      </c>
      <c r="AR401" s="503"/>
      <c r="AS401" s="520"/>
      <c r="AT401" s="504"/>
      <c r="AU401" s="521"/>
      <c r="AV401" s="504"/>
      <c r="AW401" s="503"/>
      <c r="AX401" s="520"/>
      <c r="AY401" s="522"/>
      <c r="AZ401" s="523"/>
      <c r="BA401" s="524"/>
      <c r="BB401" s="465">
        <f t="shared" si="267"/>
        <v>0</v>
      </c>
      <c r="BC401" s="465">
        <f t="shared" si="268"/>
        <v>0</v>
      </c>
      <c r="BD401" s="573" t="str">
        <f t="shared" si="271"/>
        <v xml:space="preserve"> </v>
      </c>
      <c r="BE401" s="522">
        <f t="shared" si="272"/>
        <v>0</v>
      </c>
      <c r="BF401" s="504"/>
      <c r="BG401" s="522"/>
    </row>
    <row r="402" spans="1:63" x14ac:dyDescent="0.2">
      <c r="A402" s="25"/>
      <c r="B402" s="14"/>
      <c r="C402" s="14" t="s">
        <v>847</v>
      </c>
      <c r="D402" s="525"/>
      <c r="E402" s="526">
        <v>122974</v>
      </c>
      <c r="F402" s="516"/>
      <c r="G402" s="516"/>
      <c r="H402" s="516"/>
      <c r="I402" s="516"/>
      <c r="J402" s="516"/>
      <c r="K402" s="517"/>
      <c r="L402" s="516"/>
      <c r="M402" s="516"/>
      <c r="N402" s="516"/>
      <c r="O402" s="516"/>
      <c r="P402" s="518"/>
      <c r="Q402" s="518"/>
      <c r="R402" s="518"/>
      <c r="S402" s="518"/>
      <c r="T402" s="518"/>
      <c r="U402" s="518"/>
      <c r="V402" s="518"/>
      <c r="W402" s="518"/>
      <c r="X402" s="518"/>
      <c r="Y402" s="518"/>
      <c r="Z402" s="518"/>
      <c r="AA402" s="518"/>
      <c r="AB402" s="518"/>
      <c r="AC402" s="518"/>
      <c r="AD402" s="516"/>
      <c r="AE402" s="516"/>
      <c r="AF402" s="516"/>
      <c r="AG402" s="516"/>
      <c r="AH402" s="529">
        <f t="shared" si="269"/>
        <v>0</v>
      </c>
      <c r="AI402" s="503">
        <f t="shared" si="270"/>
        <v>0</v>
      </c>
      <c r="AJ402" s="506">
        <f t="shared" si="265"/>
        <v>0</v>
      </c>
      <c r="AK402" s="519">
        <f t="shared" si="266"/>
        <v>122974</v>
      </c>
      <c r="AL402" s="503"/>
      <c r="AM402" s="503"/>
      <c r="AN402" s="506"/>
      <c r="AO402" s="519"/>
      <c r="AP402" s="558" t="str">
        <f>'I.  Other Asset Entries'!B108</f>
        <v>I.1</v>
      </c>
      <c r="AQ402" s="1288">
        <f>'I.  Other Asset Entries'!L111</f>
        <v>122974</v>
      </c>
      <c r="AR402" s="503"/>
      <c r="AS402" s="520"/>
      <c r="AT402" s="504"/>
      <c r="AU402" s="521"/>
      <c r="AV402" s="504"/>
      <c r="AW402" s="503"/>
      <c r="AX402" s="520"/>
      <c r="AY402" s="522"/>
      <c r="AZ402" s="523"/>
      <c r="BA402" s="524"/>
      <c r="BB402" s="465">
        <f t="shared" si="267"/>
        <v>122974</v>
      </c>
      <c r="BC402" s="465">
        <f t="shared" si="268"/>
        <v>122974</v>
      </c>
      <c r="BD402" s="573" t="str">
        <f t="shared" si="271"/>
        <v xml:space="preserve"> </v>
      </c>
      <c r="BE402" s="522">
        <f t="shared" si="272"/>
        <v>0</v>
      </c>
      <c r="BF402" s="504"/>
      <c r="BG402" s="522"/>
    </row>
    <row r="403" spans="1:63" ht="6" customHeight="1" x14ac:dyDescent="0.2">
      <c r="A403" s="25"/>
      <c r="B403" s="14"/>
      <c r="C403" s="14"/>
      <c r="D403" s="531"/>
      <c r="E403" s="532"/>
      <c r="F403" s="528"/>
      <c r="G403" s="528"/>
      <c r="H403" s="528"/>
      <c r="I403" s="528"/>
      <c r="J403" s="528"/>
      <c r="K403" s="533"/>
      <c r="L403" s="528"/>
      <c r="M403" s="528"/>
      <c r="N403" s="528"/>
      <c r="O403" s="528"/>
      <c r="P403" s="527"/>
      <c r="Q403" s="527"/>
      <c r="R403" s="527"/>
      <c r="S403" s="527"/>
      <c r="T403" s="527"/>
      <c r="U403" s="527"/>
      <c r="V403" s="527"/>
      <c r="W403" s="527"/>
      <c r="X403" s="527"/>
      <c r="Y403" s="527"/>
      <c r="Z403" s="527"/>
      <c r="AA403" s="527"/>
      <c r="AB403" s="527"/>
      <c r="AC403" s="527"/>
      <c r="AD403" s="528"/>
      <c r="AE403" s="528"/>
      <c r="AF403" s="528"/>
      <c r="AG403" s="528"/>
      <c r="AH403" s="529"/>
      <c r="AI403" s="537"/>
      <c r="AJ403" s="534"/>
      <c r="AK403" s="535"/>
      <c r="AL403" s="537"/>
      <c r="AM403" s="537"/>
      <c r="AN403" s="534"/>
      <c r="AO403" s="535"/>
      <c r="AP403" s="536"/>
      <c r="AQ403" s="432"/>
      <c r="AR403" s="537"/>
      <c r="AS403" s="536"/>
      <c r="AT403" s="432"/>
      <c r="AU403" s="539"/>
      <c r="AV403" s="432"/>
      <c r="AW403" s="537"/>
      <c r="AX403" s="536"/>
      <c r="AY403" s="538"/>
      <c r="AZ403" s="527"/>
      <c r="BA403" s="562"/>
      <c r="BB403" s="432"/>
      <c r="BC403" s="432"/>
      <c r="BD403" s="571"/>
      <c r="BE403" s="538"/>
      <c r="BF403" s="432"/>
      <c r="BG403" s="538"/>
      <c r="BH403" s="1191"/>
    </row>
    <row r="404" spans="1:63" ht="18.75" customHeight="1" x14ac:dyDescent="0.2">
      <c r="A404" s="266" t="s">
        <v>798</v>
      </c>
      <c r="B404" s="23"/>
      <c r="C404" s="394"/>
      <c r="D404" s="531"/>
      <c r="E404" s="532"/>
      <c r="F404" s="528"/>
      <c r="G404" s="528"/>
      <c r="H404" s="528"/>
      <c r="I404" s="528"/>
      <c r="J404" s="528"/>
      <c r="K404" s="533"/>
      <c r="L404" s="528"/>
      <c r="M404" s="528"/>
      <c r="N404" s="528"/>
      <c r="O404" s="528"/>
      <c r="P404" s="527"/>
      <c r="Q404" s="527"/>
      <c r="R404" s="527"/>
      <c r="S404" s="527"/>
      <c r="T404" s="527"/>
      <c r="U404" s="527"/>
      <c r="V404" s="527"/>
      <c r="W404" s="527"/>
      <c r="X404" s="527"/>
      <c r="Y404" s="527"/>
      <c r="Z404" s="527"/>
      <c r="AA404" s="527"/>
      <c r="AB404" s="527"/>
      <c r="AC404" s="527"/>
      <c r="AD404" s="528"/>
      <c r="AE404" s="528"/>
      <c r="AF404" s="528"/>
      <c r="AG404" s="528"/>
      <c r="AH404" s="529"/>
      <c r="AI404" s="537"/>
      <c r="AJ404" s="534"/>
      <c r="AK404" s="535"/>
      <c r="AL404" s="537"/>
      <c r="AM404" s="537"/>
      <c r="AN404" s="534"/>
      <c r="AO404" s="535"/>
      <c r="AP404" s="536"/>
      <c r="AQ404" s="432"/>
      <c r="AR404" s="537"/>
      <c r="AS404" s="536"/>
      <c r="AT404" s="432"/>
      <c r="AU404" s="539"/>
      <c r="AV404" s="432"/>
      <c r="AW404" s="537"/>
      <c r="AX404" s="536"/>
      <c r="AY404" s="538"/>
      <c r="AZ404" s="527"/>
      <c r="BA404" s="562"/>
      <c r="BB404" s="432"/>
      <c r="BC404" s="432"/>
      <c r="BD404" s="571"/>
      <c r="BE404" s="538"/>
      <c r="BF404" s="432"/>
      <c r="BG404" s="538"/>
      <c r="BH404" s="1191"/>
    </row>
    <row r="405" spans="1:63" ht="5.25" customHeight="1" x14ac:dyDescent="0.2">
      <c r="A405" s="25"/>
      <c r="B405" s="14"/>
      <c r="C405" s="14"/>
      <c r="D405" s="531"/>
      <c r="E405" s="532"/>
      <c r="F405" s="528"/>
      <c r="G405" s="528"/>
      <c r="H405" s="528"/>
      <c r="I405" s="528"/>
      <c r="J405" s="528"/>
      <c r="K405" s="533"/>
      <c r="L405" s="528"/>
      <c r="M405" s="528"/>
      <c r="N405" s="528"/>
      <c r="O405" s="528"/>
      <c r="P405" s="527"/>
      <c r="Q405" s="527"/>
      <c r="R405" s="527"/>
      <c r="S405" s="527"/>
      <c r="T405" s="527"/>
      <c r="U405" s="527"/>
      <c r="V405" s="527"/>
      <c r="W405" s="527"/>
      <c r="X405" s="527"/>
      <c r="Y405" s="527"/>
      <c r="Z405" s="527"/>
      <c r="AA405" s="527"/>
      <c r="AB405" s="527"/>
      <c r="AC405" s="527"/>
      <c r="AD405" s="528"/>
      <c r="AE405" s="528"/>
      <c r="AF405" s="528"/>
      <c r="AG405" s="528"/>
      <c r="AH405" s="529"/>
      <c r="AI405" s="537"/>
      <c r="AJ405" s="534"/>
      <c r="AK405" s="535"/>
      <c r="AL405" s="537"/>
      <c r="AM405" s="537"/>
      <c r="AN405" s="534"/>
      <c r="AO405" s="535"/>
      <c r="AP405" s="536"/>
      <c r="AQ405" s="432"/>
      <c r="AR405" s="537"/>
      <c r="AS405" s="536"/>
      <c r="AT405" s="432"/>
      <c r="AU405" s="539"/>
      <c r="AV405" s="432"/>
      <c r="AW405" s="537"/>
      <c r="AX405" s="536"/>
      <c r="AY405" s="538"/>
      <c r="AZ405" s="527"/>
      <c r="BA405" s="562"/>
      <c r="BB405" s="432"/>
      <c r="BC405" s="432"/>
      <c r="BD405" s="571"/>
      <c r="BE405" s="538"/>
      <c r="BF405" s="432"/>
      <c r="BG405" s="538"/>
      <c r="BH405" s="1191"/>
      <c r="BI405" s="1194"/>
      <c r="BK405" s="896"/>
    </row>
    <row r="406" spans="1:63" x14ac:dyDescent="0.2">
      <c r="A406" s="25"/>
      <c r="B406" s="267"/>
      <c r="C406" s="14" t="s">
        <v>201</v>
      </c>
      <c r="D406" s="525"/>
      <c r="E406" s="526"/>
      <c r="F406" s="516"/>
      <c r="G406" s="516"/>
      <c r="H406" s="516"/>
      <c r="I406" s="516"/>
      <c r="J406" s="516"/>
      <c r="K406" s="517"/>
      <c r="L406" s="516"/>
      <c r="M406" s="516"/>
      <c r="N406" s="516"/>
      <c r="O406" s="516"/>
      <c r="P406" s="518"/>
      <c r="Q406" s="518"/>
      <c r="R406" s="518"/>
      <c r="S406" s="518"/>
      <c r="T406" s="518"/>
      <c r="U406" s="518"/>
      <c r="V406" s="518"/>
      <c r="W406" s="518"/>
      <c r="X406" s="518"/>
      <c r="Y406" s="518"/>
      <c r="Z406" s="518"/>
      <c r="AA406" s="518"/>
      <c r="AB406" s="518"/>
      <c r="AC406" s="518"/>
      <c r="AD406" s="516"/>
      <c r="AE406" s="516"/>
      <c r="AF406" s="516"/>
      <c r="AG406" s="516"/>
      <c r="AH406" s="529">
        <f t="shared" ref="AH406:AH408" si="279">L406+N406+P406+R406+T406+V406+X406+Z406+AB406+AD406+AF406</f>
        <v>0</v>
      </c>
      <c r="AI406" s="503">
        <f t="shared" ref="AI406:AI408" si="280">M406+O406+Q406+S406+U406+W406+Y406+AA406+AC406+AE406+AG406</f>
        <v>0</v>
      </c>
      <c r="AJ406" s="506">
        <f t="shared" ref="AJ406:AK408" si="281">D406+F406+H406+J406+AH406</f>
        <v>0</v>
      </c>
      <c r="AK406" s="519">
        <f t="shared" si="281"/>
        <v>0</v>
      </c>
      <c r="AL406" s="503"/>
      <c r="AM406" s="503"/>
      <c r="AN406" s="506"/>
      <c r="AO406" s="519"/>
      <c r="AP406" s="520" t="str">
        <f>'J. Other Liability &amp; Expenses'!D203</f>
        <v>J.1</v>
      </c>
      <c r="AQ406" s="504">
        <f>'J. Other Liability &amp; Expenses'!L212</f>
        <v>0</v>
      </c>
      <c r="AR406" s="503"/>
      <c r="AS406" s="520" t="str">
        <f>'J. Other Liability &amp; Expenses'!D203</f>
        <v>J.1</v>
      </c>
      <c r="AT406" s="504">
        <f>'J. Other Liability &amp; Expenses'!N212</f>
        <v>0</v>
      </c>
      <c r="AU406" s="521" t="str">
        <f>'L. Eliminations-Consolidations'!B285</f>
        <v>L.10</v>
      </c>
      <c r="AV406" s="504">
        <f>'L. Eliminations-Consolidations'!J286</f>
        <v>0</v>
      </c>
      <c r="AW406" s="503"/>
      <c r="AX406" s="520"/>
      <c r="AY406" s="522"/>
      <c r="AZ406" s="523"/>
      <c r="BA406" s="524"/>
      <c r="BB406" s="465">
        <f>ROUND(AJ406+AL406+AN406+AQ406+AV406+AZ406,0)</f>
        <v>0</v>
      </c>
      <c r="BC406" s="465">
        <f>ROUND(AK406+AM406+AO406+AT406+AY406+BA406,0)</f>
        <v>0</v>
      </c>
      <c r="BD406" s="573" t="str">
        <f>IF(BB406-BC406&lt;=0," ",BB406-BC406)</f>
        <v xml:space="preserve"> </v>
      </c>
      <c r="BE406" s="522">
        <f t="shared" si="272"/>
        <v>0</v>
      </c>
      <c r="BF406" s="504"/>
      <c r="BG406" s="522"/>
      <c r="BH406" s="1191"/>
      <c r="BI406" s="1194"/>
      <c r="BK406" s="896"/>
    </row>
    <row r="407" spans="1:63" x14ac:dyDescent="0.2">
      <c r="A407" s="25"/>
      <c r="B407" s="267"/>
      <c r="C407" s="248" t="s">
        <v>799</v>
      </c>
      <c r="D407" s="540"/>
      <c r="E407" s="541"/>
      <c r="F407" s="542"/>
      <c r="G407" s="542"/>
      <c r="H407" s="542"/>
      <c r="I407" s="542"/>
      <c r="J407" s="542"/>
      <c r="K407" s="543"/>
      <c r="L407" s="542"/>
      <c r="M407" s="542"/>
      <c r="N407" s="542"/>
      <c r="O407" s="542"/>
      <c r="P407" s="544"/>
      <c r="Q407" s="544"/>
      <c r="R407" s="544"/>
      <c r="S407" s="544"/>
      <c r="T407" s="544"/>
      <c r="U407" s="544"/>
      <c r="V407" s="544"/>
      <c r="W407" s="544"/>
      <c r="X407" s="544"/>
      <c r="Y407" s="544"/>
      <c r="Z407" s="544"/>
      <c r="AA407" s="544"/>
      <c r="AB407" s="544"/>
      <c r="AC407" s="544"/>
      <c r="AD407" s="542"/>
      <c r="AE407" s="542"/>
      <c r="AF407" s="542"/>
      <c r="AG407" s="542"/>
      <c r="AH407" s="545">
        <f t="shared" si="279"/>
        <v>0</v>
      </c>
      <c r="AI407" s="546">
        <f t="shared" si="280"/>
        <v>0</v>
      </c>
      <c r="AJ407" s="547">
        <f t="shared" si="281"/>
        <v>0</v>
      </c>
      <c r="AK407" s="548">
        <f t="shared" si="281"/>
        <v>0</v>
      </c>
      <c r="AL407" s="546"/>
      <c r="AM407" s="546"/>
      <c r="AN407" s="547">
        <f>'A. Revenue by function'!L112</f>
        <v>0</v>
      </c>
      <c r="AO407" s="548"/>
      <c r="AP407" s="549" t="str">
        <f>'J. Other Liability &amp; Expenses'!D203</f>
        <v>J.1</v>
      </c>
      <c r="AQ407" s="550">
        <f>'J. Other Liability &amp; Expenses'!L213</f>
        <v>0</v>
      </c>
      <c r="AR407" s="546"/>
      <c r="AS407" s="549" t="str">
        <f>'J. Other Liability &amp; Expenses'!D203</f>
        <v>J.1</v>
      </c>
      <c r="AT407" s="550">
        <f>'J. Other Liability &amp; Expenses'!N213</f>
        <v>0</v>
      </c>
      <c r="AU407" s="551"/>
      <c r="AV407" s="550"/>
      <c r="AW407" s="546"/>
      <c r="AX407" s="549"/>
      <c r="AY407" s="552"/>
      <c r="AZ407" s="523"/>
      <c r="BA407" s="524"/>
      <c r="BB407" s="550">
        <f>ROUND(AJ407+AL407+AN407+AQ407+AV407+AZ407,0)</f>
        <v>0</v>
      </c>
      <c r="BC407" s="550">
        <f>ROUND(AK407+AM407+AO407+AT407+AY407+BA407,0)</f>
        <v>0</v>
      </c>
      <c r="BD407" s="575" t="str">
        <f>IF(BB407+BB408-(BC407+BC408)&lt;=0," ",BB407+BB408-(BC407+BC408))</f>
        <v xml:space="preserve"> </v>
      </c>
      <c r="BE407" s="552">
        <f>IF(BB407+BB408-(BC407+BC408)&gt;0," ",BC407+BC408-(BB407+BB408))</f>
        <v>0</v>
      </c>
      <c r="BF407" s="504"/>
      <c r="BG407" s="522"/>
      <c r="BH407" s="1191"/>
      <c r="BI407" s="1194"/>
      <c r="BK407" s="896"/>
    </row>
    <row r="408" spans="1:63" x14ac:dyDescent="0.2">
      <c r="A408" s="25"/>
      <c r="B408" s="267"/>
      <c r="C408" s="248"/>
      <c r="D408" s="540"/>
      <c r="E408" s="541"/>
      <c r="F408" s="542"/>
      <c r="G408" s="542"/>
      <c r="H408" s="542"/>
      <c r="I408" s="542"/>
      <c r="J408" s="542"/>
      <c r="K408" s="543"/>
      <c r="L408" s="542"/>
      <c r="M408" s="542"/>
      <c r="N408" s="542"/>
      <c r="O408" s="542"/>
      <c r="P408" s="544"/>
      <c r="Q408" s="544"/>
      <c r="R408" s="544"/>
      <c r="S408" s="544"/>
      <c r="T408" s="544"/>
      <c r="U408" s="544"/>
      <c r="V408" s="544"/>
      <c r="W408" s="544"/>
      <c r="X408" s="544"/>
      <c r="Y408" s="544"/>
      <c r="Z408" s="544"/>
      <c r="AA408" s="544"/>
      <c r="AB408" s="544"/>
      <c r="AC408" s="544"/>
      <c r="AD408" s="542"/>
      <c r="AE408" s="542"/>
      <c r="AF408" s="542"/>
      <c r="AG408" s="542"/>
      <c r="AH408" s="545">
        <f t="shared" si="279"/>
        <v>0</v>
      </c>
      <c r="AI408" s="546">
        <f t="shared" si="280"/>
        <v>0</v>
      </c>
      <c r="AJ408" s="547">
        <f t="shared" si="281"/>
        <v>0</v>
      </c>
      <c r="AK408" s="548">
        <f t="shared" si="281"/>
        <v>0</v>
      </c>
      <c r="AL408" s="546"/>
      <c r="AM408" s="546"/>
      <c r="AN408" s="547"/>
      <c r="AO408" s="548"/>
      <c r="AP408" s="549" t="s">
        <v>624</v>
      </c>
      <c r="AQ408" s="550">
        <f>'F.  Other Cap Asset Entries'!M276</f>
        <v>0</v>
      </c>
      <c r="AR408" s="546"/>
      <c r="AS408" s="549"/>
      <c r="AT408" s="550"/>
      <c r="AU408" s="551"/>
      <c r="AV408" s="550"/>
      <c r="AW408" s="546"/>
      <c r="AX408" s="549"/>
      <c r="AY408" s="552"/>
      <c r="AZ408" s="523"/>
      <c r="BA408" s="524"/>
      <c r="BB408" s="550">
        <f>ROUND(AJ408+AL408+AN408+AQ408+AV408+AZ408,0)</f>
        <v>0</v>
      </c>
      <c r="BC408" s="550">
        <f>ROUND(AK408+AM408+AO408+AT408+AY408+BA408,0)</f>
        <v>0</v>
      </c>
      <c r="BD408" s="575"/>
      <c r="BE408" s="552"/>
      <c r="BF408" s="504"/>
      <c r="BG408" s="522"/>
      <c r="BH408" s="1191"/>
      <c r="BI408" s="1194"/>
      <c r="BK408" s="896"/>
    </row>
    <row r="409" spans="1:63" s="449" customFormat="1" ht="5.25" customHeight="1" x14ac:dyDescent="0.2">
      <c r="A409" s="446"/>
      <c r="B409" s="447"/>
      <c r="C409" s="448"/>
      <c r="D409" s="582"/>
      <c r="E409" s="583"/>
      <c r="F409" s="584"/>
      <c r="G409" s="584"/>
      <c r="H409" s="584"/>
      <c r="I409" s="584"/>
      <c r="J409" s="584"/>
      <c r="K409" s="585"/>
      <c r="L409" s="584"/>
      <c r="M409" s="584"/>
      <c r="N409" s="584"/>
      <c r="O409" s="584"/>
      <c r="P409" s="586"/>
      <c r="Q409" s="586"/>
      <c r="R409" s="586"/>
      <c r="S409" s="586"/>
      <c r="T409" s="586"/>
      <c r="U409" s="586"/>
      <c r="V409" s="586"/>
      <c r="W409" s="586"/>
      <c r="X409" s="586"/>
      <c r="Y409" s="586"/>
      <c r="Z409" s="586"/>
      <c r="AA409" s="586"/>
      <c r="AB409" s="586"/>
      <c r="AC409" s="586"/>
      <c r="AD409" s="584"/>
      <c r="AE409" s="584"/>
      <c r="AF409" s="584"/>
      <c r="AG409" s="584"/>
      <c r="AH409" s="587"/>
      <c r="AI409" s="584"/>
      <c r="AJ409" s="588"/>
      <c r="AK409" s="585"/>
      <c r="AL409" s="584"/>
      <c r="AM409" s="584"/>
      <c r="AN409" s="588"/>
      <c r="AO409" s="585"/>
      <c r="AP409" s="589"/>
      <c r="AQ409" s="586"/>
      <c r="AR409" s="584"/>
      <c r="AS409" s="589"/>
      <c r="AT409" s="586"/>
      <c r="AU409" s="590"/>
      <c r="AV409" s="586"/>
      <c r="AW409" s="584"/>
      <c r="AX409" s="589"/>
      <c r="AY409" s="591"/>
      <c r="AZ409" s="527"/>
      <c r="BA409" s="562"/>
      <c r="BB409" s="586"/>
      <c r="BC409" s="586"/>
      <c r="BD409" s="592"/>
      <c r="BE409" s="591"/>
      <c r="BF409" s="586"/>
      <c r="BG409" s="591"/>
      <c r="BH409" s="1197"/>
      <c r="BI409" s="1205"/>
      <c r="BJ409" s="1206"/>
    </row>
    <row r="410" spans="1:63" x14ac:dyDescent="0.2">
      <c r="A410" s="25"/>
      <c r="B410" s="267"/>
      <c r="C410" s="248" t="s">
        <v>198</v>
      </c>
      <c r="D410" s="540"/>
      <c r="E410" s="541"/>
      <c r="F410" s="542"/>
      <c r="G410" s="542"/>
      <c r="H410" s="542"/>
      <c r="I410" s="542"/>
      <c r="J410" s="542"/>
      <c r="K410" s="543"/>
      <c r="L410" s="542"/>
      <c r="M410" s="542"/>
      <c r="N410" s="542"/>
      <c r="O410" s="542"/>
      <c r="P410" s="544"/>
      <c r="Q410" s="544"/>
      <c r="R410" s="544"/>
      <c r="S410" s="544"/>
      <c r="T410" s="544"/>
      <c r="U410" s="544"/>
      <c r="V410" s="544"/>
      <c r="W410" s="544"/>
      <c r="X410" s="544"/>
      <c r="Y410" s="544"/>
      <c r="Z410" s="544"/>
      <c r="AA410" s="544"/>
      <c r="AB410" s="544"/>
      <c r="AC410" s="544"/>
      <c r="AD410" s="542"/>
      <c r="AE410" s="542"/>
      <c r="AF410" s="542"/>
      <c r="AG410" s="542"/>
      <c r="AH410" s="545">
        <f t="shared" ref="AH410:AH411" si="282">L410+N410+P410+R410+T410+V410+X410+Z410+AB410+AD410+AF410</f>
        <v>0</v>
      </c>
      <c r="AI410" s="546">
        <f t="shared" ref="AI410:AI411" si="283">M410+O410+Q410+S410+U410+W410+Y410+AA410+AC410+AE410+AG410</f>
        <v>0</v>
      </c>
      <c r="AJ410" s="547">
        <f t="shared" ref="AJ410:AK412" si="284">D410+F410+H410+J410+AH410</f>
        <v>0</v>
      </c>
      <c r="AK410" s="548">
        <f t="shared" si="284"/>
        <v>0</v>
      </c>
      <c r="AL410" s="546"/>
      <c r="AM410" s="546"/>
      <c r="AN410" s="547">
        <f>'A. Revenue by function'!L111</f>
        <v>0</v>
      </c>
      <c r="AO410" s="548">
        <f>'A. Revenue by function'!N140</f>
        <v>0</v>
      </c>
      <c r="AP410" s="549" t="str">
        <f>'F.  Other Cap Asset Entries'!D220</f>
        <v>F.1</v>
      </c>
      <c r="AQ410" s="550">
        <f>'F.  Other Cap Asset Entries'!M242</f>
        <v>0</v>
      </c>
      <c r="AR410" s="546"/>
      <c r="AS410" s="549" t="str">
        <f>'F.  Other Cap Asset Entries'!D220</f>
        <v>F.1</v>
      </c>
      <c r="AT410" s="432">
        <f>'F.  Other Cap Asset Entries'!O242</f>
        <v>27482</v>
      </c>
      <c r="AU410" s="551"/>
      <c r="AV410" s="550"/>
      <c r="AW410" s="546"/>
      <c r="AX410" s="549"/>
      <c r="AY410" s="552"/>
      <c r="AZ410" s="523"/>
      <c r="BA410" s="524"/>
      <c r="BB410" s="550">
        <f>ROUND(AJ410+AL410+AN410+AQ410+AV410+AZ410,0)</f>
        <v>0</v>
      </c>
      <c r="BC410" s="550">
        <f>ROUND(AK410+AM410+AO410+AT410+AY410+BA410,0)</f>
        <v>27482</v>
      </c>
      <c r="BD410" s="575" t="str">
        <f>IF(BB410+BB411-(BC410+BC411)&lt;=0," ",BB410+BB411-(BC410+BC411))</f>
        <v xml:space="preserve"> </v>
      </c>
      <c r="BE410" s="552">
        <f>IF(BB410+BB411-(BC410+BC411)&gt;0," ",BC410+BC411-(BB410+BB411))</f>
        <v>27482</v>
      </c>
      <c r="BF410" s="504"/>
      <c r="BG410" s="522"/>
      <c r="BH410" s="1192"/>
      <c r="BI410" s="1194"/>
      <c r="BK410" s="896"/>
    </row>
    <row r="411" spans="1:63" x14ac:dyDescent="0.2">
      <c r="A411" s="25"/>
      <c r="B411" s="267"/>
      <c r="C411" s="248"/>
      <c r="D411" s="540"/>
      <c r="E411" s="541"/>
      <c r="F411" s="542"/>
      <c r="G411" s="542"/>
      <c r="H411" s="542"/>
      <c r="I411" s="542"/>
      <c r="J411" s="542"/>
      <c r="K411" s="543"/>
      <c r="L411" s="542"/>
      <c r="M411" s="542"/>
      <c r="N411" s="542"/>
      <c r="O411" s="542"/>
      <c r="P411" s="544"/>
      <c r="Q411" s="544"/>
      <c r="R411" s="544"/>
      <c r="S411" s="544"/>
      <c r="T411" s="544"/>
      <c r="U411" s="544"/>
      <c r="V411" s="544"/>
      <c r="W411" s="544"/>
      <c r="X411" s="544"/>
      <c r="Y411" s="544"/>
      <c r="Z411" s="544"/>
      <c r="AA411" s="544"/>
      <c r="AB411" s="544"/>
      <c r="AC411" s="544"/>
      <c r="AD411" s="542"/>
      <c r="AE411" s="542"/>
      <c r="AF411" s="542"/>
      <c r="AG411" s="542"/>
      <c r="AH411" s="545">
        <f t="shared" si="282"/>
        <v>0</v>
      </c>
      <c r="AI411" s="546">
        <f t="shared" si="283"/>
        <v>0</v>
      </c>
      <c r="AJ411" s="547">
        <f t="shared" si="284"/>
        <v>0</v>
      </c>
      <c r="AK411" s="548">
        <f t="shared" si="284"/>
        <v>0</v>
      </c>
      <c r="AL411" s="546"/>
      <c r="AM411" s="546"/>
      <c r="AN411" s="547"/>
      <c r="AO411" s="548"/>
      <c r="AP411" s="549"/>
      <c r="AQ411" s="550"/>
      <c r="AR411" s="546"/>
      <c r="AS411" s="549" t="str">
        <f>'F.  Other Cap Asset Entries'!D244</f>
        <v>F.2</v>
      </c>
      <c r="AT411" s="550">
        <f>'F.  Other Cap Asset Entries'!O253</f>
        <v>0</v>
      </c>
      <c r="AU411" s="551"/>
      <c r="AV411" s="550"/>
      <c r="AW411" s="546"/>
      <c r="AX411" s="549"/>
      <c r="AY411" s="552"/>
      <c r="AZ411" s="523"/>
      <c r="BA411" s="524"/>
      <c r="BB411" s="550">
        <f>ROUND(AJ411+AL411+AN411+AQ411+AV411+AZ411,0)</f>
        <v>0</v>
      </c>
      <c r="BC411" s="550">
        <f>ROUND(AK411+AM411+AO411+AT411+AY411+BA411,0)</f>
        <v>0</v>
      </c>
      <c r="BD411" s="575"/>
      <c r="BE411" s="552"/>
      <c r="BF411" s="504"/>
      <c r="BG411" s="522"/>
      <c r="BH411" s="1191"/>
      <c r="BI411" s="1194"/>
      <c r="BK411" s="896"/>
    </row>
    <row r="412" spans="1:63" x14ac:dyDescent="0.2">
      <c r="A412" s="25"/>
      <c r="B412" s="267"/>
      <c r="C412" s="14" t="s">
        <v>800</v>
      </c>
      <c r="D412" s="525"/>
      <c r="E412" s="526"/>
      <c r="F412" s="516"/>
      <c r="G412" s="516"/>
      <c r="H412" s="516"/>
      <c r="I412" s="516"/>
      <c r="J412" s="516"/>
      <c r="K412" s="517"/>
      <c r="L412" s="516"/>
      <c r="M412" s="516"/>
      <c r="N412" s="516"/>
      <c r="O412" s="516"/>
      <c r="P412" s="518"/>
      <c r="Q412" s="518"/>
      <c r="R412" s="518"/>
      <c r="S412" s="518"/>
      <c r="T412" s="518"/>
      <c r="U412" s="518"/>
      <c r="V412" s="518"/>
      <c r="W412" s="518"/>
      <c r="X412" s="518"/>
      <c r="Y412" s="518"/>
      <c r="Z412" s="518"/>
      <c r="AA412" s="518"/>
      <c r="AB412" s="518"/>
      <c r="AC412" s="518"/>
      <c r="AD412" s="516"/>
      <c r="AE412" s="516"/>
      <c r="AF412" s="516"/>
      <c r="AG412" s="516"/>
      <c r="AH412" s="529">
        <f t="shared" ref="AH412" si="285">L412+N412+P412+R412+T412+V412+X412+Z412+AB412+AD412+AF412</f>
        <v>0</v>
      </c>
      <c r="AI412" s="503">
        <f t="shared" ref="AI412" si="286">M412+O412+Q412+S412+U412+W412+Y412+AA412+AC412+AE412+AG412</f>
        <v>0</v>
      </c>
      <c r="AJ412" s="506">
        <f t="shared" si="284"/>
        <v>0</v>
      </c>
      <c r="AK412" s="519">
        <f t="shared" si="284"/>
        <v>0</v>
      </c>
      <c r="AL412" s="503"/>
      <c r="AM412" s="503"/>
      <c r="AN412" s="534"/>
      <c r="AO412" s="519">
        <f>'A. Revenue by function'!N141</f>
        <v>0</v>
      </c>
      <c r="AR412" s="503"/>
      <c r="AS412" s="520" t="s">
        <v>624</v>
      </c>
      <c r="AT412" s="504">
        <f>'F.  Other Cap Asset Entries'!O276</f>
        <v>0</v>
      </c>
      <c r="AU412" s="521"/>
      <c r="AV412" s="504"/>
      <c r="AW412" s="503"/>
      <c r="AX412" s="520"/>
      <c r="AY412" s="522"/>
      <c r="AZ412" s="523"/>
      <c r="BA412" s="524"/>
      <c r="BB412" s="465">
        <f>ROUND(AJ412+AL412+AN412+AQ412+AV412+AZ412,0)</f>
        <v>0</v>
      </c>
      <c r="BC412" s="465">
        <f>ROUND(AK412+AM412+AO412+AT412+AY412+BA412,0)</f>
        <v>0</v>
      </c>
      <c r="BD412" s="573" t="str">
        <f>IF(BB412-BC412&lt;=0," ",BB412-BC412)</f>
        <v xml:space="preserve"> </v>
      </c>
      <c r="BE412" s="522">
        <f>IF(BB412-BC412&gt;0," ",BC412-BB412)</f>
        <v>0</v>
      </c>
      <c r="BF412" s="504"/>
      <c r="BG412" s="522"/>
    </row>
    <row r="413" spans="1:63" ht="6.75" customHeight="1" x14ac:dyDescent="0.2">
      <c r="A413" s="25"/>
      <c r="B413" s="267"/>
      <c r="C413" s="14"/>
      <c r="D413" s="525"/>
      <c r="E413" s="526"/>
      <c r="F413" s="516"/>
      <c r="G413" s="516"/>
      <c r="H413" s="516"/>
      <c r="I413" s="516"/>
      <c r="J413" s="516"/>
      <c r="K413" s="517"/>
      <c r="L413" s="516"/>
      <c r="M413" s="516"/>
      <c r="N413" s="516"/>
      <c r="O413" s="528"/>
      <c r="P413" s="527"/>
      <c r="Q413" s="527"/>
      <c r="R413" s="527"/>
      <c r="S413" s="527"/>
      <c r="T413" s="527"/>
      <c r="U413" s="527"/>
      <c r="V413" s="527"/>
      <c r="W413" s="527"/>
      <c r="X413" s="527"/>
      <c r="Y413" s="527"/>
      <c r="Z413" s="527"/>
      <c r="AA413" s="527"/>
      <c r="AB413" s="527"/>
      <c r="AC413" s="527"/>
      <c r="AD413" s="528"/>
      <c r="AE413" s="528"/>
      <c r="AF413" s="528"/>
      <c r="AG413" s="528"/>
      <c r="AH413" s="529"/>
      <c r="AI413" s="537"/>
      <c r="AJ413" s="534"/>
      <c r="AK413" s="535"/>
      <c r="AL413" s="537"/>
      <c r="AM413" s="537"/>
      <c r="AN413" s="534"/>
      <c r="AO413" s="535"/>
      <c r="AP413" s="536"/>
      <c r="AQ413" s="432"/>
      <c r="AR413" s="537"/>
      <c r="AS413" s="536"/>
      <c r="AT413" s="432"/>
      <c r="AU413" s="539"/>
      <c r="AV413" s="432"/>
      <c r="AW413" s="537"/>
      <c r="AX413" s="536"/>
      <c r="AY413" s="538"/>
      <c r="AZ413" s="527"/>
      <c r="BA413" s="562"/>
      <c r="BB413" s="432"/>
      <c r="BC413" s="432"/>
      <c r="BD413" s="534"/>
      <c r="BE413" s="535"/>
      <c r="BF413" s="432"/>
      <c r="BG413" s="538"/>
    </row>
    <row r="414" spans="1:63" ht="4.5" customHeight="1" thickBot="1" x14ac:dyDescent="0.25">
      <c r="A414" s="25"/>
      <c r="B414" s="267"/>
      <c r="C414" s="14"/>
      <c r="D414" s="525"/>
      <c r="E414" s="526"/>
      <c r="F414" s="516"/>
      <c r="G414" s="516"/>
      <c r="H414" s="516"/>
      <c r="I414" s="516"/>
      <c r="J414" s="516"/>
      <c r="K414" s="517"/>
      <c r="L414" s="516"/>
      <c r="M414" s="516"/>
      <c r="N414" s="516"/>
      <c r="O414" s="528"/>
      <c r="P414" s="527"/>
      <c r="Q414" s="527"/>
      <c r="R414" s="527"/>
      <c r="S414" s="527"/>
      <c r="T414" s="527"/>
      <c r="U414" s="527"/>
      <c r="V414" s="527"/>
      <c r="W414" s="527"/>
      <c r="X414" s="527"/>
      <c r="Y414" s="527"/>
      <c r="Z414" s="527"/>
      <c r="AA414" s="527"/>
      <c r="AB414" s="527"/>
      <c r="AC414" s="527"/>
      <c r="AD414" s="528"/>
      <c r="AE414" s="528"/>
      <c r="AF414" s="528"/>
      <c r="AG414" s="528"/>
      <c r="AH414" s="529"/>
      <c r="AI414" s="537"/>
      <c r="AJ414" s="534"/>
      <c r="AK414" s="535"/>
      <c r="AL414" s="537"/>
      <c r="AM414" s="537"/>
      <c r="AN414" s="534"/>
      <c r="AO414" s="535"/>
      <c r="AP414" s="536"/>
      <c r="AQ414" s="432"/>
      <c r="AR414" s="537"/>
      <c r="AS414" s="536"/>
      <c r="AT414" s="432"/>
      <c r="AU414" s="539"/>
      <c r="AV414" s="432"/>
      <c r="AW414" s="537"/>
      <c r="AX414" s="536"/>
      <c r="AY414" s="538"/>
      <c r="AZ414" s="527"/>
      <c r="BA414" s="562"/>
      <c r="BB414" s="432"/>
      <c r="BC414" s="432"/>
      <c r="BD414" s="534"/>
      <c r="BE414" s="535"/>
      <c r="BF414" s="432"/>
      <c r="BG414" s="538"/>
    </row>
    <row r="415" spans="1:63" ht="13.5" thickBot="1" x14ac:dyDescent="0.25">
      <c r="A415" s="25"/>
      <c r="B415" s="14"/>
      <c r="C415" s="14" t="s">
        <v>782</v>
      </c>
      <c r="D415" s="593">
        <f>SUM(D8:D414)</f>
        <v>112776341</v>
      </c>
      <c r="E415" s="594">
        <f>SUM(E8:E414)</f>
        <v>112776341</v>
      </c>
      <c r="F415" s="595">
        <f t="shared" ref="F415:AG415" si="287">SUM(F6:F414)</f>
        <v>3760000</v>
      </c>
      <c r="G415" s="595">
        <f t="shared" si="287"/>
        <v>3760000</v>
      </c>
      <c r="H415" s="595">
        <f t="shared" si="287"/>
        <v>0</v>
      </c>
      <c r="I415" s="595">
        <f t="shared" si="287"/>
        <v>0</v>
      </c>
      <c r="J415" s="595">
        <f t="shared" si="287"/>
        <v>0</v>
      </c>
      <c r="K415" s="1125">
        <f t="shared" si="287"/>
        <v>0</v>
      </c>
      <c r="L415" s="595">
        <f t="shared" si="287"/>
        <v>0</v>
      </c>
      <c r="M415" s="595">
        <f t="shared" si="287"/>
        <v>0</v>
      </c>
      <c r="N415" s="595">
        <f t="shared" si="287"/>
        <v>72614</v>
      </c>
      <c r="O415" s="595">
        <f t="shared" si="287"/>
        <v>72614</v>
      </c>
      <c r="P415" s="595">
        <f t="shared" si="287"/>
        <v>23928</v>
      </c>
      <c r="Q415" s="595">
        <f t="shared" si="287"/>
        <v>23928</v>
      </c>
      <c r="R415" s="595">
        <f t="shared" si="287"/>
        <v>586115</v>
      </c>
      <c r="S415" s="595">
        <f t="shared" si="287"/>
        <v>586115</v>
      </c>
      <c r="T415" s="595">
        <f t="shared" si="287"/>
        <v>15324</v>
      </c>
      <c r="U415" s="595">
        <f t="shared" si="287"/>
        <v>15324</v>
      </c>
      <c r="V415" s="595">
        <f t="shared" si="287"/>
        <v>557443</v>
      </c>
      <c r="W415" s="595">
        <f t="shared" si="287"/>
        <v>557443</v>
      </c>
      <c r="X415" s="595">
        <f t="shared" si="287"/>
        <v>157433</v>
      </c>
      <c r="Y415" s="595">
        <f t="shared" si="287"/>
        <v>157433</v>
      </c>
      <c r="Z415" s="595">
        <f t="shared" si="287"/>
        <v>2979009</v>
      </c>
      <c r="AA415" s="595">
        <f t="shared" si="287"/>
        <v>2979009</v>
      </c>
      <c r="AB415" s="595">
        <f t="shared" si="287"/>
        <v>2983376</v>
      </c>
      <c r="AC415" s="595">
        <f t="shared" si="287"/>
        <v>2983376</v>
      </c>
      <c r="AD415" s="595">
        <f t="shared" si="287"/>
        <v>0</v>
      </c>
      <c r="AE415" s="595">
        <f t="shared" si="287"/>
        <v>0</v>
      </c>
      <c r="AF415" s="595">
        <f t="shared" si="287"/>
        <v>0</v>
      </c>
      <c r="AG415" s="595">
        <f t="shared" si="287"/>
        <v>0</v>
      </c>
      <c r="AH415" s="596">
        <f>SUM(AH6:AH413)</f>
        <v>7375242</v>
      </c>
      <c r="AI415" s="596">
        <f>SUM(AI6:AI413)</f>
        <v>7375242</v>
      </c>
      <c r="AJ415" s="1126">
        <f t="shared" ref="AJ415:BD415" si="288">SUM(AJ6:AJ414)</f>
        <v>123911583</v>
      </c>
      <c r="AK415" s="1129">
        <f t="shared" si="288"/>
        <v>123911583</v>
      </c>
      <c r="AL415" s="1127">
        <f t="shared" si="288"/>
        <v>41201213</v>
      </c>
      <c r="AM415" s="1129">
        <f t="shared" si="288"/>
        <v>41201213</v>
      </c>
      <c r="AN415" s="1127">
        <f t="shared" si="288"/>
        <v>18116375</v>
      </c>
      <c r="AO415" s="1129">
        <f t="shared" si="288"/>
        <v>18116375</v>
      </c>
      <c r="AP415" s="1127">
        <f t="shared" si="288"/>
        <v>0</v>
      </c>
      <c r="AQ415" s="1127">
        <f t="shared" si="288"/>
        <v>30334103</v>
      </c>
      <c r="AR415" s="1127">
        <f t="shared" si="288"/>
        <v>0</v>
      </c>
      <c r="AS415" s="1127">
        <f t="shared" si="288"/>
        <v>0</v>
      </c>
      <c r="AT415" s="1129">
        <f t="shared" si="288"/>
        <v>31392457</v>
      </c>
      <c r="AU415" s="1127">
        <f t="shared" si="288"/>
        <v>0</v>
      </c>
      <c r="AV415" s="1127">
        <f t="shared" si="288"/>
        <v>21519804</v>
      </c>
      <c r="AW415" s="1127">
        <f t="shared" si="288"/>
        <v>0</v>
      </c>
      <c r="AX415" s="1127">
        <f t="shared" si="288"/>
        <v>0</v>
      </c>
      <c r="AY415" s="1129">
        <f t="shared" si="288"/>
        <v>21519804</v>
      </c>
      <c r="AZ415" s="1127">
        <f t="shared" si="288"/>
        <v>0</v>
      </c>
      <c r="BA415" s="1129">
        <f t="shared" si="288"/>
        <v>0</v>
      </c>
      <c r="BB415" s="1127">
        <f t="shared" si="288"/>
        <v>232166391</v>
      </c>
      <c r="BC415" s="1128">
        <f t="shared" si="288"/>
        <v>232166391</v>
      </c>
      <c r="BD415" s="599">
        <f t="shared" si="288"/>
        <v>89532690</v>
      </c>
      <c r="BE415" s="600">
        <f t="shared" ref="BE415" si="289">SUM(BE6:BE414)</f>
        <v>90987106</v>
      </c>
      <c r="BF415" s="600">
        <f>BF214</f>
        <v>78015528</v>
      </c>
      <c r="BG415" s="600">
        <f>BG214</f>
        <v>78015528</v>
      </c>
      <c r="BH415" s="1191"/>
    </row>
    <row r="416" spans="1:63" ht="13.5" thickTop="1" x14ac:dyDescent="0.2">
      <c r="A416" s="25"/>
      <c r="B416" s="14"/>
      <c r="C416" s="14"/>
      <c r="D416" s="601"/>
      <c r="E416" s="602"/>
      <c r="F416" s="603"/>
      <c r="G416" s="603"/>
      <c r="H416" s="503"/>
      <c r="I416" s="503"/>
      <c r="J416" s="503"/>
      <c r="K416" s="519"/>
      <c r="L416" s="503"/>
      <c r="M416" s="503"/>
      <c r="N416" s="503"/>
      <c r="O416" s="503"/>
      <c r="P416" s="504"/>
      <c r="Q416" s="504"/>
      <c r="R416" s="504"/>
      <c r="S416" s="504"/>
      <c r="T416" s="504"/>
      <c r="U416" s="504"/>
      <c r="V416" s="504"/>
      <c r="W416" s="504"/>
      <c r="X416" s="504"/>
      <c r="Y416" s="504"/>
      <c r="Z416" s="504"/>
      <c r="AA416" s="504"/>
      <c r="AB416" s="504"/>
      <c r="AC416" s="504"/>
      <c r="AD416" s="503"/>
      <c r="AE416" s="503"/>
      <c r="AF416" s="503"/>
      <c r="AG416" s="503"/>
      <c r="AH416" s="505"/>
      <c r="AI416" s="503">
        <f>L416+N416+P416+AH416</f>
        <v>0</v>
      </c>
      <c r="AJ416" s="506"/>
      <c r="AK416" s="519">
        <f>D416+H416+K416+AI416</f>
        <v>0</v>
      </c>
      <c r="AL416" s="503"/>
      <c r="AM416" s="503"/>
      <c r="AN416" s="506"/>
      <c r="AO416" s="519"/>
      <c r="AP416" s="520"/>
      <c r="AQ416" s="504"/>
      <c r="AR416" s="503"/>
      <c r="AS416" s="520"/>
      <c r="AT416" s="504"/>
      <c r="AU416" s="521"/>
      <c r="AV416" s="503"/>
      <c r="AW416" s="503"/>
      <c r="AX416" s="520"/>
      <c r="AY416" s="519"/>
      <c r="AZ416" s="537"/>
      <c r="BA416" s="535"/>
      <c r="BB416" s="432"/>
      <c r="BC416" s="432"/>
      <c r="BD416" s="604"/>
      <c r="BE416" s="605"/>
      <c r="BF416" s="522"/>
    </row>
    <row r="417" spans="1:60" x14ac:dyDescent="0.2">
      <c r="A417" s="270" t="s">
        <v>1139</v>
      </c>
      <c r="B417" s="31"/>
      <c r="C417" s="31"/>
      <c r="D417" s="601"/>
      <c r="E417" s="602"/>
      <c r="F417" s="603"/>
      <c r="G417" s="603"/>
      <c r="H417" s="503"/>
      <c r="I417" s="503"/>
      <c r="J417" s="503"/>
      <c r="K417" s="519"/>
      <c r="L417" s="503"/>
      <c r="M417" s="503"/>
      <c r="N417" s="503"/>
      <c r="O417" s="503"/>
      <c r="P417" s="504"/>
      <c r="Q417" s="504"/>
      <c r="R417" s="504"/>
      <c r="S417" s="504"/>
      <c r="T417" s="504"/>
      <c r="U417" s="504"/>
      <c r="V417" s="504"/>
      <c r="W417" s="504"/>
      <c r="X417" s="504"/>
      <c r="Y417" s="504"/>
      <c r="Z417" s="504"/>
      <c r="AA417" s="504"/>
      <c r="AB417" s="504"/>
      <c r="AC417" s="504"/>
      <c r="AD417" s="503"/>
      <c r="AE417" s="503"/>
      <c r="AF417" s="503"/>
      <c r="AG417" s="503"/>
      <c r="AH417" s="505"/>
      <c r="AI417" s="503"/>
      <c r="AJ417" s="506"/>
      <c r="AK417" s="519"/>
      <c r="AL417" s="503"/>
      <c r="AM417" s="503"/>
      <c r="AN417" s="506"/>
      <c r="AO417" s="519"/>
      <c r="AP417" s="520"/>
      <c r="AQ417" s="504">
        <f>AQ415-AT415</f>
        <v>-1058354</v>
      </c>
      <c r="AR417" s="503"/>
      <c r="AS417" s="520"/>
      <c r="AT417" s="504"/>
      <c r="AU417" s="521"/>
      <c r="AV417" s="503"/>
      <c r="AW417" s="503"/>
      <c r="AX417" s="520"/>
      <c r="AY417" s="519"/>
      <c r="AZ417" s="537"/>
      <c r="BA417" s="535"/>
      <c r="BB417" s="432"/>
      <c r="BC417" s="432"/>
      <c r="BD417" s="604">
        <f>IF(BE415-BD415&lt;0,0,(BE415-BD415))</f>
        <v>1454416</v>
      </c>
      <c r="BE417" s="605">
        <f>IF(BE415-BD415&gt;0,0,(BE415-BD415)*-1)</f>
        <v>0</v>
      </c>
      <c r="BF417" s="504"/>
      <c r="BG417" s="522"/>
      <c r="BH417" s="1190"/>
    </row>
    <row r="418" spans="1:60" ht="3.75" customHeight="1" x14ac:dyDescent="0.2">
      <c r="A418" s="25"/>
      <c r="B418" s="14"/>
      <c r="C418" s="14"/>
      <c r="D418" s="601"/>
      <c r="E418" s="602"/>
      <c r="F418" s="603"/>
      <c r="G418" s="603"/>
      <c r="H418" s="503"/>
      <c r="I418" s="503"/>
      <c r="J418" s="503"/>
      <c r="K418" s="519"/>
      <c r="L418" s="503"/>
      <c r="M418" s="503"/>
      <c r="N418" s="503"/>
      <c r="O418" s="503"/>
      <c r="P418" s="504"/>
      <c r="Q418" s="504"/>
      <c r="R418" s="504"/>
      <c r="S418" s="504"/>
      <c r="T418" s="504"/>
      <c r="U418" s="504"/>
      <c r="V418" s="504"/>
      <c r="W418" s="504"/>
      <c r="X418" s="504"/>
      <c r="Y418" s="504"/>
      <c r="Z418" s="504"/>
      <c r="AA418" s="504"/>
      <c r="AB418" s="504"/>
      <c r="AC418" s="504"/>
      <c r="AD418" s="503"/>
      <c r="AE418" s="503"/>
      <c r="AF418" s="503"/>
      <c r="AG418" s="503"/>
      <c r="AH418" s="505"/>
      <c r="AI418" s="503"/>
      <c r="AJ418" s="506"/>
      <c r="AK418" s="519"/>
      <c r="AL418" s="503"/>
      <c r="AM418" s="503"/>
      <c r="AN418" s="506"/>
      <c r="AO418" s="519"/>
      <c r="AP418" s="520"/>
      <c r="AQ418" s="504"/>
      <c r="AR418" s="503"/>
      <c r="AS418" s="520"/>
      <c r="AT418" s="504"/>
      <c r="AU418" s="521"/>
      <c r="AV418" s="503"/>
      <c r="AW418" s="503"/>
      <c r="AX418" s="520"/>
      <c r="AY418" s="519"/>
      <c r="AZ418" s="537"/>
      <c r="BA418" s="535"/>
      <c r="BB418" s="432"/>
      <c r="BC418" s="432"/>
      <c r="BD418" s="604"/>
      <c r="BE418" s="605"/>
      <c r="BF418" s="504"/>
      <c r="BG418" s="522"/>
    </row>
    <row r="419" spans="1:60" ht="13.5" thickBot="1" x14ac:dyDescent="0.25">
      <c r="A419" s="25"/>
      <c r="B419" s="14"/>
      <c r="C419" s="14"/>
      <c r="D419" s="601"/>
      <c r="E419" s="602"/>
      <c r="F419" s="603"/>
      <c r="G419" s="603"/>
      <c r="H419" s="503"/>
      <c r="I419" s="503"/>
      <c r="J419" s="503"/>
      <c r="K419" s="519"/>
      <c r="L419" s="503"/>
      <c r="M419" s="503"/>
      <c r="N419" s="503"/>
      <c r="O419" s="503"/>
      <c r="P419" s="504"/>
      <c r="Q419" s="504"/>
      <c r="R419" s="504"/>
      <c r="S419" s="504"/>
      <c r="T419" s="504"/>
      <c r="U419" s="504"/>
      <c r="V419" s="504"/>
      <c r="W419" s="504"/>
      <c r="X419" s="504"/>
      <c r="Y419" s="504"/>
      <c r="Z419" s="504"/>
      <c r="AA419" s="504"/>
      <c r="AB419" s="504"/>
      <c r="AC419" s="504"/>
      <c r="AD419" s="503"/>
      <c r="AE419" s="503"/>
      <c r="AF419" s="503"/>
      <c r="AG419" s="503"/>
      <c r="AH419" s="505"/>
      <c r="AI419" s="503"/>
      <c r="AJ419" s="506"/>
      <c r="AK419" s="519"/>
      <c r="AL419" s="503"/>
      <c r="AM419" s="503">
        <f>AL415-AM415</f>
        <v>0</v>
      </c>
      <c r="AN419" s="506">
        <f>AN415-AO415</f>
        <v>0</v>
      </c>
      <c r="AO419" s="519"/>
      <c r="AP419" s="520"/>
      <c r="AQ419" s="504"/>
      <c r="AR419" s="503"/>
      <c r="AS419" s="520"/>
      <c r="AT419" s="504"/>
      <c r="AU419" s="521"/>
      <c r="AV419" s="503"/>
      <c r="AW419" s="503"/>
      <c r="AX419" s="520"/>
      <c r="AY419" s="519"/>
      <c r="AZ419" s="537"/>
      <c r="BA419" s="535"/>
      <c r="BB419" s="432"/>
      <c r="BC419" s="432"/>
      <c r="BD419" s="597">
        <f>BD415+BD417</f>
        <v>90987106</v>
      </c>
      <c r="BE419" s="598">
        <f>BE415+BE417</f>
        <v>90987106</v>
      </c>
      <c r="BF419" s="504"/>
      <c r="BG419" s="522"/>
    </row>
    <row r="420" spans="1:60" ht="14.25" thickTop="1" thickBot="1" x14ac:dyDescent="0.25">
      <c r="A420" s="253"/>
      <c r="B420" s="16"/>
      <c r="C420" s="27"/>
      <c r="D420" s="606">
        <f>E415-D415</f>
        <v>0</v>
      </c>
      <c r="E420" s="607"/>
      <c r="F420" s="608"/>
      <c r="G420" s="608"/>
      <c r="H420" s="608"/>
      <c r="I420" s="608"/>
      <c r="J420" s="608"/>
      <c r="K420" s="607"/>
      <c r="L420" s="608"/>
      <c r="M420" s="608"/>
      <c r="N420" s="608"/>
      <c r="O420" s="608"/>
      <c r="P420" s="609"/>
      <c r="Q420" s="609"/>
      <c r="R420" s="609"/>
      <c r="S420" s="609"/>
      <c r="T420" s="609"/>
      <c r="U420" s="609"/>
      <c r="V420" s="609"/>
      <c r="W420" s="609"/>
      <c r="X420" s="609"/>
      <c r="Y420" s="609"/>
      <c r="Z420" s="609"/>
      <c r="AA420" s="609"/>
      <c r="AB420" s="609"/>
      <c r="AC420" s="609"/>
      <c r="AD420" s="610"/>
      <c r="AE420" s="610"/>
      <c r="AF420" s="610"/>
      <c r="AG420" s="610"/>
      <c r="AH420" s="611"/>
      <c r="AI420" s="610">
        <f>L420+N420+P420+AH420</f>
        <v>0</v>
      </c>
      <c r="AJ420" s="612"/>
      <c r="AK420" s="613">
        <f>D420+H420+K420+AI420</f>
        <v>0</v>
      </c>
      <c r="AL420" s="610"/>
      <c r="AM420" s="610"/>
      <c r="AN420" s="612"/>
      <c r="AO420" s="613"/>
      <c r="AP420" s="614"/>
      <c r="AQ420" s="609"/>
      <c r="AR420" s="610"/>
      <c r="AS420" s="614"/>
      <c r="AT420" s="609"/>
      <c r="AU420" s="615"/>
      <c r="AV420" s="610"/>
      <c r="AW420" s="610"/>
      <c r="AX420" s="614"/>
      <c r="AY420" s="613"/>
      <c r="AZ420" s="616"/>
      <c r="BA420" s="617"/>
      <c r="BB420" s="618"/>
      <c r="BC420" s="618"/>
      <c r="BD420" s="612"/>
      <c r="BE420" s="613"/>
      <c r="BF420" s="609"/>
      <c r="BG420" s="619"/>
    </row>
    <row r="421" spans="1:60" x14ac:dyDescent="0.2">
      <c r="L421" s="503"/>
      <c r="M421" s="503"/>
      <c r="AI421" s="576">
        <f>L421+N421+P421+AH421</f>
        <v>0</v>
      </c>
      <c r="AJ421" s="503"/>
      <c r="AK421" s="503">
        <f>D421+H421+K421+AI421</f>
        <v>0</v>
      </c>
      <c r="AL421" s="503"/>
      <c r="AM421" s="503"/>
      <c r="AN421" s="503"/>
      <c r="AO421" s="503"/>
      <c r="AP421" s="520"/>
      <c r="AQ421" s="504"/>
      <c r="AR421" s="503"/>
      <c r="AS421" s="520"/>
      <c r="AT421" s="504"/>
      <c r="AU421" s="520"/>
      <c r="AV421" s="503"/>
      <c r="AW421" s="503"/>
      <c r="AX421" s="520"/>
      <c r="AY421" s="503"/>
      <c r="AZ421" s="503"/>
      <c r="BA421" s="503"/>
      <c r="BB421" s="432"/>
      <c r="BC421" s="432"/>
      <c r="BD421" s="503"/>
      <c r="BE421" s="503"/>
      <c r="BF421" s="504"/>
      <c r="BG421" s="504"/>
    </row>
    <row r="422" spans="1:60" x14ac:dyDescent="0.2">
      <c r="H422" s="620"/>
      <c r="I422" s="620"/>
      <c r="J422" s="620"/>
      <c r="K422" s="620"/>
      <c r="L422" s="603"/>
      <c r="M422" s="603"/>
      <c r="N422" s="620"/>
      <c r="O422" s="620"/>
      <c r="AI422" s="576">
        <f>L422+N422+P422+AH422</f>
        <v>0</v>
      </c>
      <c r="AJ422" s="503"/>
      <c r="AK422" s="503">
        <f>D422+H422+K422+AI422</f>
        <v>0</v>
      </c>
      <c r="AL422" s="503"/>
      <c r="AM422" s="503"/>
      <c r="AN422" s="503"/>
      <c r="AO422" s="503"/>
      <c r="AP422" s="520"/>
      <c r="AQ422" s="621"/>
      <c r="AR422" s="622"/>
      <c r="AS422" s="623"/>
      <c r="AT422" s="624"/>
      <c r="AU422" s="520"/>
      <c r="AV422" s="503"/>
      <c r="AW422" s="503"/>
      <c r="AX422" s="520"/>
      <c r="AY422" s="503"/>
      <c r="AZ422" s="503"/>
      <c r="BA422" s="503"/>
      <c r="BB422" s="625"/>
      <c r="BC422" s="576"/>
      <c r="BD422" s="537"/>
      <c r="BE422" s="537"/>
      <c r="BF422" s="626"/>
      <c r="BG422" s="626"/>
      <c r="BH422" s="1190"/>
    </row>
    <row r="423" spans="1:60" x14ac:dyDescent="0.2">
      <c r="AL423" s="503"/>
      <c r="AM423" s="503"/>
      <c r="BE423" s="1187"/>
      <c r="BF423" s="1188"/>
      <c r="BG423" s="627"/>
    </row>
    <row r="427" spans="1:60" x14ac:dyDescent="0.2">
      <c r="A427" s="119"/>
      <c r="B427" s="119"/>
      <c r="C427" s="119"/>
      <c r="D427" s="628"/>
      <c r="E427" s="628"/>
      <c r="F427" s="628"/>
      <c r="G427" s="628"/>
      <c r="H427" s="629"/>
      <c r="I427" s="629"/>
      <c r="J427" s="629"/>
      <c r="K427" s="629"/>
      <c r="L427" s="629"/>
      <c r="M427" s="629"/>
      <c r="N427" s="629"/>
      <c r="O427" s="629"/>
      <c r="P427" s="628"/>
      <c r="Q427" s="628"/>
      <c r="R427" s="628"/>
      <c r="S427" s="628"/>
      <c r="T427" s="628"/>
      <c r="U427" s="628"/>
      <c r="V427" s="628"/>
      <c r="W427" s="628"/>
      <c r="X427" s="628"/>
      <c r="Y427" s="628"/>
      <c r="Z427" s="628"/>
      <c r="AA427" s="628"/>
      <c r="AB427" s="628"/>
      <c r="AC427" s="628"/>
      <c r="AD427" s="629"/>
      <c r="AE427" s="629"/>
      <c r="AF427" s="629"/>
      <c r="AG427" s="629"/>
      <c r="AH427" s="629"/>
      <c r="AI427" s="629"/>
      <c r="AJ427" s="629"/>
      <c r="AK427" s="629"/>
      <c r="AL427" s="629"/>
      <c r="AM427" s="629"/>
      <c r="AN427" s="629"/>
      <c r="AO427" s="629"/>
      <c r="AP427" s="630"/>
    </row>
    <row r="428" spans="1:60" x14ac:dyDescent="0.2">
      <c r="A428" s="119"/>
      <c r="B428" s="119"/>
      <c r="C428" s="119"/>
      <c r="D428" s="628"/>
      <c r="E428" s="628"/>
      <c r="F428" s="628"/>
      <c r="G428" s="628"/>
      <c r="H428" s="629"/>
      <c r="I428" s="629"/>
      <c r="J428" s="629"/>
      <c r="K428" s="629"/>
      <c r="L428" s="629"/>
      <c r="M428" s="629"/>
      <c r="N428" s="629"/>
      <c r="O428" s="629"/>
      <c r="P428" s="628"/>
      <c r="Q428" s="628"/>
      <c r="R428" s="628"/>
      <c r="S428" s="628"/>
      <c r="T428" s="628"/>
      <c r="U428" s="628"/>
      <c r="V428" s="628"/>
      <c r="W428" s="628"/>
      <c r="X428" s="628"/>
      <c r="Y428" s="628"/>
      <c r="Z428" s="628"/>
      <c r="AA428" s="628"/>
      <c r="AB428" s="628"/>
      <c r="AC428" s="628"/>
      <c r="AD428" s="629"/>
      <c r="AE428" s="629"/>
      <c r="AF428" s="629"/>
      <c r="AG428" s="629"/>
      <c r="AH428" s="629"/>
      <c r="AI428" s="629"/>
      <c r="AJ428" s="629"/>
      <c r="AK428" s="629"/>
      <c r="AL428" s="629"/>
      <c r="AM428" s="629"/>
      <c r="AN428" s="629"/>
      <c r="AO428" s="629"/>
      <c r="AP428" s="630"/>
    </row>
    <row r="431" spans="1:60" x14ac:dyDescent="0.2">
      <c r="A431" s="4" t="s">
        <v>577</v>
      </c>
    </row>
    <row r="432" spans="1:60" ht="2.25" customHeight="1" x14ac:dyDescent="0.2">
      <c r="A432" s="4"/>
    </row>
    <row r="433" spans="1:59" x14ac:dyDescent="0.2">
      <c r="A433" s="4">
        <v>1</v>
      </c>
      <c r="B433" t="s">
        <v>444</v>
      </c>
    </row>
    <row r="434" spans="1:59" ht="2.25" customHeight="1" x14ac:dyDescent="0.2">
      <c r="A434" s="4"/>
    </row>
    <row r="435" spans="1:59" x14ac:dyDescent="0.2">
      <c r="A435" s="4">
        <v>2</v>
      </c>
      <c r="B435" t="s">
        <v>82</v>
      </c>
    </row>
    <row r="436" spans="1:59" ht="2.25" customHeight="1" x14ac:dyDescent="0.2">
      <c r="A436" s="4"/>
    </row>
    <row r="437" spans="1:59" x14ac:dyDescent="0.2">
      <c r="A437" s="4">
        <v>3</v>
      </c>
      <c r="B437" t="s">
        <v>487</v>
      </c>
    </row>
    <row r="438" spans="1:59" x14ac:dyDescent="0.2">
      <c r="A438" s="4"/>
      <c r="B438" t="s">
        <v>488</v>
      </c>
    </row>
    <row r="439" spans="1:59" ht="2.25" customHeight="1" x14ac:dyDescent="0.2">
      <c r="A439" s="4">
        <v>4</v>
      </c>
    </row>
    <row r="440" spans="1:59" ht="12.75" customHeight="1" x14ac:dyDescent="0.2">
      <c r="A440" s="4">
        <v>4</v>
      </c>
      <c r="B440" s="1324" t="s">
        <v>803</v>
      </c>
      <c r="C440" s="1324"/>
      <c r="D440" s="1324"/>
      <c r="E440" s="1324"/>
      <c r="F440" s="1324"/>
      <c r="G440" s="1324"/>
      <c r="H440" s="1324"/>
      <c r="I440" s="1324"/>
      <c r="J440" s="1324"/>
      <c r="K440" s="1324"/>
      <c r="L440" s="1324"/>
      <c r="M440" s="1324"/>
      <c r="N440" s="1324"/>
      <c r="O440" s="1324"/>
      <c r="P440" s="1324"/>
      <c r="Q440" s="1324"/>
      <c r="R440" s="1324"/>
      <c r="S440" s="1324"/>
      <c r="T440" s="1324"/>
      <c r="U440" s="1324"/>
      <c r="V440" s="1324"/>
      <c r="W440" s="1324"/>
      <c r="X440" s="1324"/>
      <c r="Y440" s="1324"/>
      <c r="Z440" s="1324"/>
      <c r="AA440" s="1324"/>
      <c r="AB440" s="1324"/>
      <c r="AC440" s="1324"/>
      <c r="AD440" s="1324"/>
      <c r="AE440" s="1324"/>
      <c r="AF440" s="1324"/>
      <c r="AG440" s="1324"/>
      <c r="AH440" s="1324"/>
      <c r="AI440" s="1324"/>
      <c r="AJ440" s="1324"/>
      <c r="AK440" s="1324"/>
      <c r="AL440" s="1324"/>
      <c r="AM440" s="1324"/>
      <c r="AN440" s="1324"/>
      <c r="AO440" s="1324"/>
      <c r="AP440" s="1324"/>
      <c r="AQ440" s="1324"/>
      <c r="AR440" s="1324"/>
      <c r="AS440" s="1324"/>
      <c r="AT440" s="631"/>
      <c r="AU440" s="632"/>
      <c r="AV440" s="632"/>
      <c r="AW440" s="632"/>
      <c r="AX440" s="632"/>
      <c r="AY440" s="632"/>
      <c r="AZ440" s="632"/>
      <c r="BA440" s="632"/>
      <c r="BB440" s="631"/>
      <c r="BC440" s="631"/>
      <c r="BD440" s="632"/>
      <c r="BE440" s="632"/>
      <c r="BF440" s="631"/>
      <c r="BG440" s="631"/>
    </row>
    <row r="441" spans="1:59" ht="12.75" customHeight="1" x14ac:dyDescent="0.2">
      <c r="A441" s="4">
        <v>5</v>
      </c>
      <c r="B441" s="35" t="s">
        <v>489</v>
      </c>
      <c r="C441" s="34"/>
      <c r="D441" s="632"/>
      <c r="E441" s="632"/>
      <c r="F441" s="632"/>
      <c r="G441" s="632"/>
      <c r="H441" s="632"/>
      <c r="I441" s="632"/>
      <c r="J441" s="632"/>
      <c r="K441" s="632"/>
      <c r="L441" s="632"/>
      <c r="M441" s="632"/>
      <c r="N441" s="632"/>
      <c r="O441" s="632"/>
      <c r="P441" s="632"/>
      <c r="Q441" s="632"/>
      <c r="R441" s="632"/>
      <c r="S441" s="632"/>
      <c r="T441" s="632"/>
      <c r="U441" s="632"/>
      <c r="V441" s="632"/>
      <c r="W441" s="632"/>
      <c r="X441" s="632"/>
      <c r="Y441" s="632"/>
      <c r="Z441" s="632"/>
      <c r="AA441" s="632"/>
      <c r="AB441" s="632"/>
      <c r="AC441" s="632"/>
      <c r="AD441" s="632"/>
      <c r="AE441" s="632"/>
      <c r="AF441" s="632"/>
      <c r="AG441" s="632"/>
      <c r="AH441" s="632"/>
      <c r="AI441" s="632"/>
      <c r="AJ441" s="632"/>
      <c r="AK441" s="632"/>
      <c r="AL441" s="632"/>
      <c r="AM441" s="632"/>
      <c r="AN441" s="632"/>
      <c r="AO441" s="632"/>
      <c r="AP441" s="632"/>
      <c r="AQ441" s="632"/>
      <c r="AR441" s="632"/>
      <c r="AS441" s="632"/>
      <c r="AT441" s="631"/>
      <c r="AU441" s="632"/>
      <c r="AV441" s="632"/>
      <c r="AW441" s="632"/>
      <c r="AX441" s="632"/>
      <c r="AY441" s="632"/>
      <c r="AZ441" s="632"/>
      <c r="BA441" s="632"/>
      <c r="BB441" s="631"/>
      <c r="BC441" s="631"/>
      <c r="BD441" s="632"/>
      <c r="BE441" s="632"/>
      <c r="BF441" s="631"/>
      <c r="BG441" s="631"/>
    </row>
    <row r="442" spans="1:59" ht="2.25" customHeight="1" x14ac:dyDescent="0.2">
      <c r="A442" s="4"/>
      <c r="B442" s="34"/>
      <c r="C442" s="34"/>
      <c r="D442" s="632"/>
      <c r="E442" s="632"/>
      <c r="F442" s="632"/>
      <c r="G442" s="632"/>
      <c r="H442" s="632"/>
      <c r="I442" s="632"/>
      <c r="J442" s="632"/>
      <c r="K442" s="632"/>
      <c r="L442" s="632"/>
      <c r="M442" s="632"/>
      <c r="N442" s="632"/>
      <c r="O442" s="632"/>
      <c r="P442" s="632"/>
      <c r="Q442" s="632"/>
      <c r="R442" s="632"/>
      <c r="S442" s="632"/>
      <c r="T442" s="632"/>
      <c r="U442" s="632"/>
      <c r="V442" s="632"/>
      <c r="W442" s="632"/>
      <c r="X442" s="632"/>
      <c r="Y442" s="632"/>
      <c r="Z442" s="632"/>
      <c r="AA442" s="632"/>
      <c r="AB442" s="632"/>
      <c r="AC442" s="632"/>
      <c r="AD442" s="632"/>
      <c r="AE442" s="632"/>
      <c r="AF442" s="632"/>
      <c r="AG442" s="632"/>
      <c r="AH442" s="632"/>
      <c r="AI442" s="632"/>
      <c r="AJ442" s="632"/>
      <c r="AK442" s="632"/>
      <c r="AL442" s="632"/>
      <c r="AM442" s="632"/>
      <c r="AN442" s="632"/>
      <c r="AO442" s="632"/>
      <c r="AP442" s="632"/>
      <c r="AQ442" s="632"/>
      <c r="AR442" s="632"/>
      <c r="AS442" s="632"/>
      <c r="AT442" s="631"/>
      <c r="AU442" s="632"/>
      <c r="AV442" s="632"/>
      <c r="AW442" s="632"/>
      <c r="AX442" s="632"/>
      <c r="AY442" s="632"/>
      <c r="AZ442" s="632"/>
      <c r="BA442" s="632"/>
      <c r="BB442" s="631"/>
      <c r="BC442" s="631"/>
      <c r="BD442" s="632"/>
      <c r="BE442" s="632"/>
      <c r="BF442" s="631"/>
      <c r="BG442" s="631"/>
    </row>
    <row r="443" spans="1:59" ht="14.25" customHeight="1" x14ac:dyDescent="0.2">
      <c r="A443" s="4">
        <v>5</v>
      </c>
      <c r="B443" t="s">
        <v>402</v>
      </c>
    </row>
    <row r="444" spans="1:59" ht="2.25" customHeight="1" x14ac:dyDescent="0.2">
      <c r="A444" s="4"/>
    </row>
    <row r="445" spans="1:59" x14ac:dyDescent="0.2">
      <c r="A445" s="4">
        <v>6</v>
      </c>
      <c r="B445" t="s">
        <v>247</v>
      </c>
    </row>
    <row r="451" spans="48:55" x14ac:dyDescent="0.2">
      <c r="AV451" s="633"/>
      <c r="AW451" s="633"/>
      <c r="AX451" s="634"/>
      <c r="AY451" s="633"/>
      <c r="AZ451" s="633"/>
      <c r="BA451" s="633"/>
      <c r="BB451" s="635"/>
      <c r="BC451" s="635"/>
    </row>
  </sheetData>
  <customSheetViews>
    <customSheetView guid="{C1197650-3ED8-49E4-8E4C-0D1D4B503FC0}" fitToPage="1" hiddenRows="1">
      <pane xSplit="3" ySplit="7" topLeftCell="AO83" activePane="bottomRight" state="frozen"/>
      <selection pane="bottomRight" activeCell="AQ138" sqref="AQ138"/>
      <rowBreaks count="4" manualBreakCount="4">
        <brk id="72" max="52" man="1"/>
        <brk id="202" max="16383" man="1"/>
        <brk id="266" max="16383" man="1"/>
        <brk id="374" max="16383" man="1"/>
      </rowBreaks>
      <colBreaks count="1" manualBreakCount="1">
        <brk id="59" max="1048575" man="1"/>
      </colBreaks>
      <pageMargins left="0.26" right="0.22" top="0.91" bottom="0.65" header="0.42" footer="0.5"/>
      <pageSetup paperSize="5" scale="17" fitToHeight="5" orientation="portrait" r:id="rId1"/>
      <headerFooter alignWithMargins="0">
        <oddHeader>&amp;L&amp;D&amp;C&amp;"Arial,Bold"&amp;14Carolina County
&amp;"Arial,Regular"GASB 34 Conversion Worksheet&amp;"Arial,Bold"
&amp;11to prepare the Government-wide Statements - (including  adjustments and consolidations)&amp;R&amp;P</oddHeader>
        <oddFooter>&amp;L&amp;F</oddFooter>
      </headerFooter>
    </customSheetView>
    <customSheetView guid="{D2B860EA-92EC-4999-9A59-C624E1F8C7FB}" fitToPage="1" hiddenRows="1">
      <pane xSplit="3" ySplit="7" topLeftCell="AW110" activePane="bottomRight" state="frozen"/>
      <selection pane="bottomRight" activeCell="BF119" sqref="BF119"/>
      <rowBreaks count="4" manualBreakCount="4">
        <brk id="72" max="52" man="1"/>
        <brk id="202" max="16383" man="1"/>
        <brk id="266" max="16383" man="1"/>
        <brk id="374" max="16383" man="1"/>
      </rowBreaks>
      <colBreaks count="1" manualBreakCount="1">
        <brk id="59" max="1048575" man="1"/>
      </colBreaks>
      <pageMargins left="0.26" right="0.22" top="0.91" bottom="0.65" header="0.42" footer="0.5"/>
      <pageSetup paperSize="5" scale="17" fitToHeight="5" orientation="portrait" r:id="rId2"/>
      <headerFooter alignWithMargins="0">
        <oddHeader>&amp;L&amp;D&amp;C&amp;"Arial,Bold"&amp;14Carolina County
&amp;"Arial,Regular"GASB 34 Conversion Worksheet&amp;"Arial,Bold"
&amp;11to prepare the Government-wide Statements - (including  adjustments and consolidations)&amp;R&amp;P</oddHeader>
        <oddFooter>&amp;L&amp;F</oddFooter>
      </headerFooter>
    </customSheetView>
  </customSheetViews>
  <mergeCells count="59">
    <mergeCell ref="D1:K1"/>
    <mergeCell ref="A388:C388"/>
    <mergeCell ref="A279:C279"/>
    <mergeCell ref="B270:B272"/>
    <mergeCell ref="B275:B277"/>
    <mergeCell ref="D3:K3"/>
    <mergeCell ref="B260:B262"/>
    <mergeCell ref="B265:B267"/>
    <mergeCell ref="B234:B236"/>
    <mergeCell ref="B245:B247"/>
    <mergeCell ref="B250:B252"/>
    <mergeCell ref="B255:B257"/>
    <mergeCell ref="B239:B242"/>
    <mergeCell ref="BE1:BF1"/>
    <mergeCell ref="BB1:BC1"/>
    <mergeCell ref="AN2:AO2"/>
    <mergeCell ref="BF3:BG3"/>
    <mergeCell ref="BF4:BG4"/>
    <mergeCell ref="BD3:BE3"/>
    <mergeCell ref="BD4:BE4"/>
    <mergeCell ref="BB4:BC4"/>
    <mergeCell ref="BD214:BE214"/>
    <mergeCell ref="Z4:AA4"/>
    <mergeCell ref="AB4:AC4"/>
    <mergeCell ref="AD4:AE4"/>
    <mergeCell ref="B197:B212"/>
    <mergeCell ref="F4:G4"/>
    <mergeCell ref="L4:M4"/>
    <mergeCell ref="N4:O4"/>
    <mergeCell ref="B440:AS440"/>
    <mergeCell ref="AU1:AY1"/>
    <mergeCell ref="AU2:AY2"/>
    <mergeCell ref="AJ4:AK4"/>
    <mergeCell ref="AL3:AM3"/>
    <mergeCell ref="AL4:AM4"/>
    <mergeCell ref="AH4:AI4"/>
    <mergeCell ref="AP1:AT1"/>
    <mergeCell ref="AP2:AT2"/>
    <mergeCell ref="AJ3:AK3"/>
    <mergeCell ref="AP4:AT4"/>
    <mergeCell ref="AU3:AY3"/>
    <mergeCell ref="AU4:AY4"/>
    <mergeCell ref="D4:E4"/>
    <mergeCell ref="H4:I4"/>
    <mergeCell ref="J4:K4"/>
    <mergeCell ref="AL1:AM2"/>
    <mergeCell ref="L3:Y3"/>
    <mergeCell ref="AN3:AO3"/>
    <mergeCell ref="AN4:AO4"/>
    <mergeCell ref="X4:Y4"/>
    <mergeCell ref="L1:P1"/>
    <mergeCell ref="AJ1:AK2"/>
    <mergeCell ref="AH1:AI1"/>
    <mergeCell ref="AH2:AI2"/>
    <mergeCell ref="P4:Q4"/>
    <mergeCell ref="AF4:AG4"/>
    <mergeCell ref="R4:S4"/>
    <mergeCell ref="T4:U4"/>
    <mergeCell ref="V4:W4"/>
  </mergeCells>
  <phoneticPr fontId="14" type="noConversion"/>
  <pageMargins left="0.26" right="0.22" top="0.91" bottom="0.65" header="0.42" footer="0.5"/>
  <pageSetup paperSize="5" scale="17" fitToHeight="5" orientation="portrait" r:id="rId3"/>
  <headerFooter alignWithMargins="0">
    <oddHeader>&amp;L&amp;D&amp;C&amp;"Arial,Bold"&amp;14Carolina County
&amp;"Arial,Regular"GASB 34 Conversion Worksheet&amp;"Arial,Bold"
&amp;11to prepare the Government-wide Statements - (including  adjustments and consolidations)&amp;R&amp;P</oddHeader>
    <oddFooter>&amp;L&amp;F</oddFooter>
  </headerFooter>
  <rowBreaks count="4" manualBreakCount="4">
    <brk id="78" max="52" man="1"/>
    <brk id="213" max="16383" man="1"/>
    <brk id="278" max="16383" man="1"/>
    <brk id="387" max="16383" man="1"/>
  </rowBreaks>
  <colBreaks count="1" manualBreakCount="1">
    <brk id="59" max="1048575" man="1"/>
  </colBreaks>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U1811"/>
  <sheetViews>
    <sheetView workbookViewId="0"/>
  </sheetViews>
  <sheetFormatPr defaultColWidth="9.140625" defaultRowHeight="15" x14ac:dyDescent="0.25"/>
  <cols>
    <col min="1" max="1" width="10.5703125" style="958" customWidth="1"/>
    <col min="2" max="2" width="43.7109375" style="958" customWidth="1"/>
    <col min="3" max="4" width="13.85546875" style="958" customWidth="1"/>
    <col min="5" max="5" width="13.85546875" style="984" customWidth="1"/>
    <col min="6" max="6" width="18.28515625" style="958" customWidth="1"/>
    <col min="7" max="7" width="3.85546875" style="958" customWidth="1"/>
    <col min="8" max="8" width="18.28515625" style="958" customWidth="1"/>
    <col min="9" max="9" width="20" style="959" customWidth="1"/>
    <col min="10" max="10" width="14.42578125" style="958" customWidth="1"/>
    <col min="11" max="11" width="19.42578125" style="958" customWidth="1"/>
    <col min="12" max="12" width="20" style="959" customWidth="1"/>
    <col min="13" max="13" width="3.85546875" style="958" customWidth="1"/>
    <col min="14" max="14" width="18.28515625" style="958" customWidth="1"/>
    <col min="15" max="15" width="11.85546875" style="958" customWidth="1"/>
    <col min="16" max="16" width="19.42578125" style="958" customWidth="1"/>
    <col min="17" max="17" width="20" style="959" customWidth="1"/>
    <col min="18" max="18" width="3.85546875" style="958" customWidth="1"/>
    <col min="19" max="19" width="13.85546875" style="958" customWidth="1"/>
    <col min="20" max="20" width="22.42578125" style="958" customWidth="1"/>
    <col min="21" max="21" width="14.85546875" style="958" bestFit="1" customWidth="1"/>
    <col min="22" max="16384" width="9.140625" style="958"/>
  </cols>
  <sheetData>
    <row r="1" spans="1:21" x14ac:dyDescent="0.25">
      <c r="A1" s="958" t="s">
        <v>3660</v>
      </c>
      <c r="I1" s="958"/>
    </row>
    <row r="2" spans="1:21" x14ac:dyDescent="0.25">
      <c r="A2" s="958" t="s">
        <v>3661</v>
      </c>
      <c r="I2" s="958"/>
    </row>
    <row r="3" spans="1:21" x14ac:dyDescent="0.25">
      <c r="I3" s="958"/>
    </row>
    <row r="4" spans="1:21" x14ac:dyDescent="0.25">
      <c r="H4" s="960" t="s">
        <v>1147</v>
      </c>
      <c r="I4" s="960"/>
      <c r="J4" s="960"/>
      <c r="K4" s="960"/>
      <c r="L4" s="961"/>
      <c r="N4" s="960" t="s">
        <v>1148</v>
      </c>
      <c r="O4" s="960"/>
      <c r="P4" s="960"/>
      <c r="Q4" s="961"/>
      <c r="S4" s="960" t="s">
        <v>1149</v>
      </c>
      <c r="T4" s="960"/>
      <c r="U4" s="960"/>
    </row>
    <row r="5" spans="1:21" ht="120" x14ac:dyDescent="0.25">
      <c r="A5" s="962" t="s">
        <v>1150</v>
      </c>
      <c r="B5" s="962" t="s">
        <v>1151</v>
      </c>
      <c r="C5" s="962" t="s">
        <v>2090</v>
      </c>
      <c r="D5" s="962" t="s">
        <v>2091</v>
      </c>
      <c r="E5" s="985" t="s">
        <v>3954</v>
      </c>
      <c r="F5" s="962" t="s">
        <v>2031</v>
      </c>
      <c r="G5" s="962"/>
      <c r="H5" s="962" t="s">
        <v>1153</v>
      </c>
      <c r="I5" s="963" t="s">
        <v>1154</v>
      </c>
      <c r="J5" s="962" t="s">
        <v>1155</v>
      </c>
      <c r="K5" s="962" t="s">
        <v>1156</v>
      </c>
      <c r="L5" s="963" t="s">
        <v>3662</v>
      </c>
      <c r="M5" s="962"/>
      <c r="N5" s="962" t="s">
        <v>1153</v>
      </c>
      <c r="O5" s="962" t="s">
        <v>1155</v>
      </c>
      <c r="P5" s="962" t="s">
        <v>1156</v>
      </c>
      <c r="Q5" s="963" t="s">
        <v>3663</v>
      </c>
      <c r="R5" s="962"/>
      <c r="S5" s="962" t="s">
        <v>1157</v>
      </c>
      <c r="T5" s="962" t="s">
        <v>1158</v>
      </c>
      <c r="U5" s="962" t="s">
        <v>1159</v>
      </c>
    </row>
    <row r="6" spans="1:21" x14ac:dyDescent="0.25">
      <c r="A6" s="964" t="s">
        <v>825</v>
      </c>
      <c r="B6" s="965" t="s">
        <v>2089</v>
      </c>
      <c r="C6" s="962"/>
      <c r="D6" s="962"/>
      <c r="E6" s="985">
        <v>0</v>
      </c>
      <c r="F6" s="962"/>
      <c r="G6" s="962"/>
      <c r="H6" s="962"/>
      <c r="I6" s="963"/>
      <c r="J6" s="962"/>
      <c r="K6" s="962"/>
      <c r="L6" s="963"/>
      <c r="M6" s="962"/>
      <c r="N6" s="962"/>
      <c r="O6" s="962"/>
      <c r="P6" s="962"/>
      <c r="Q6" s="963"/>
      <c r="R6" s="962"/>
      <c r="S6" s="962"/>
      <c r="T6" s="962"/>
      <c r="U6" s="962"/>
    </row>
    <row r="7" spans="1:21" x14ac:dyDescent="0.25">
      <c r="A7" s="966">
        <v>70505</v>
      </c>
      <c r="B7" s="967" t="s">
        <v>2630</v>
      </c>
      <c r="C7" s="968">
        <v>4.147E-4</v>
      </c>
      <c r="D7" s="968">
        <v>4.6880000000000001E-4</v>
      </c>
      <c r="E7" s="985">
        <v>195765</v>
      </c>
      <c r="F7" s="969">
        <v>633547</v>
      </c>
      <c r="G7" s="969"/>
      <c r="H7" s="970">
        <v>36498</v>
      </c>
      <c r="I7" s="971">
        <v>153826</v>
      </c>
      <c r="J7" s="970">
        <v>90479</v>
      </c>
      <c r="K7" s="969">
        <v>0</v>
      </c>
      <c r="L7" s="971">
        <f t="shared" ref="L7:L70" si="0">H7+I7+J7+K7</f>
        <v>280803</v>
      </c>
      <c r="M7" s="969"/>
      <c r="N7" s="970">
        <v>17934</v>
      </c>
      <c r="O7" s="970">
        <v>0</v>
      </c>
      <c r="P7" s="969">
        <v>53472</v>
      </c>
      <c r="Q7" s="971">
        <f t="shared" ref="Q7:Q70" si="1">N7+O7+P7</f>
        <v>71406</v>
      </c>
      <c r="R7" s="969"/>
      <c r="S7" s="970">
        <v>213506</v>
      </c>
      <c r="T7" s="972">
        <v>-18259</v>
      </c>
      <c r="U7" s="972">
        <v>195247</v>
      </c>
    </row>
    <row r="8" spans="1:21" x14ac:dyDescent="0.25">
      <c r="A8" s="966">
        <v>72265</v>
      </c>
      <c r="B8" s="967" t="s">
        <v>2632</v>
      </c>
      <c r="C8" s="968">
        <v>1.4009999999999999E-4</v>
      </c>
      <c r="D8" s="968">
        <v>1.327E-4</v>
      </c>
      <c r="E8" s="985">
        <v>61817</v>
      </c>
      <c r="F8" s="969">
        <v>214034</v>
      </c>
      <c r="G8" s="969"/>
      <c r="H8" s="970">
        <v>12330</v>
      </c>
      <c r="I8" s="971">
        <v>51967</v>
      </c>
      <c r="J8" s="970">
        <v>30567</v>
      </c>
      <c r="K8" s="969">
        <v>6550</v>
      </c>
      <c r="L8" s="971">
        <f t="shared" si="0"/>
        <v>101414</v>
      </c>
      <c r="M8" s="969"/>
      <c r="N8" s="970">
        <v>6059</v>
      </c>
      <c r="O8" s="970">
        <v>0</v>
      </c>
      <c r="P8" s="969">
        <v>3729</v>
      </c>
      <c r="Q8" s="971">
        <f t="shared" si="1"/>
        <v>9788</v>
      </c>
      <c r="R8" s="969"/>
      <c r="S8" s="970">
        <v>72130</v>
      </c>
      <c r="T8" s="972">
        <v>3031</v>
      </c>
      <c r="U8" s="972">
        <v>75161</v>
      </c>
    </row>
    <row r="9" spans="1:21" x14ac:dyDescent="0.25">
      <c r="A9" s="966">
        <v>72593</v>
      </c>
      <c r="B9" s="967" t="s">
        <v>3664</v>
      </c>
      <c r="C9" s="968">
        <v>5.9000000000000003E-6</v>
      </c>
      <c r="D9" s="968">
        <v>0</v>
      </c>
      <c r="E9" s="985">
        <v>1531</v>
      </c>
      <c r="F9" s="969">
        <v>9014</v>
      </c>
      <c r="G9" s="969"/>
      <c r="H9" s="970">
        <v>519</v>
      </c>
      <c r="I9" s="971">
        <v>2188</v>
      </c>
      <c r="J9" s="970">
        <v>1287</v>
      </c>
      <c r="K9" s="969">
        <v>3014</v>
      </c>
      <c r="L9" s="971">
        <f t="shared" si="0"/>
        <v>7008</v>
      </c>
      <c r="M9" s="969"/>
      <c r="N9" s="970">
        <v>255</v>
      </c>
      <c r="O9" s="970">
        <v>0</v>
      </c>
      <c r="P9" s="969">
        <v>0</v>
      </c>
      <c r="Q9" s="971">
        <f t="shared" si="1"/>
        <v>255</v>
      </c>
      <c r="R9" s="969"/>
      <c r="S9" s="970">
        <v>3038</v>
      </c>
      <c r="T9" s="972">
        <v>753</v>
      </c>
      <c r="U9" s="972">
        <v>3791</v>
      </c>
    </row>
    <row r="10" spans="1:21" x14ac:dyDescent="0.25">
      <c r="A10" s="966">
        <v>72657</v>
      </c>
      <c r="B10" s="967" t="s">
        <v>2633</v>
      </c>
      <c r="C10" s="968">
        <v>3.9900000000000001E-5</v>
      </c>
      <c r="D10" s="968">
        <v>4.2799999999999997E-5</v>
      </c>
      <c r="E10" s="985">
        <v>16620</v>
      </c>
      <c r="F10" s="969">
        <v>60956</v>
      </c>
      <c r="G10" s="969"/>
      <c r="H10" s="970">
        <v>3512</v>
      </c>
      <c r="I10" s="971">
        <v>14801</v>
      </c>
      <c r="J10" s="970">
        <v>8705</v>
      </c>
      <c r="K10" s="969">
        <v>3272</v>
      </c>
      <c r="L10" s="971">
        <f t="shared" si="0"/>
        <v>30290</v>
      </c>
      <c r="M10" s="969"/>
      <c r="N10" s="970">
        <v>1725</v>
      </c>
      <c r="O10" s="970">
        <v>0</v>
      </c>
      <c r="P10" s="969">
        <v>6366</v>
      </c>
      <c r="Q10" s="971">
        <f t="shared" si="1"/>
        <v>8091</v>
      </c>
      <c r="R10" s="969"/>
      <c r="S10" s="970">
        <v>20542</v>
      </c>
      <c r="T10" s="972">
        <v>900</v>
      </c>
      <c r="U10" s="972">
        <v>21442</v>
      </c>
    </row>
    <row r="11" spans="1:21" x14ac:dyDescent="0.25">
      <c r="A11" s="966">
        <v>90001</v>
      </c>
      <c r="B11" s="967" t="s">
        <v>2634</v>
      </c>
      <c r="C11" s="968">
        <v>8.6030000000000004E-4</v>
      </c>
      <c r="D11" s="968">
        <v>8.6910000000000004E-4</v>
      </c>
      <c r="E11" s="985">
        <v>386652</v>
      </c>
      <c r="F11" s="969">
        <v>1314300</v>
      </c>
      <c r="G11" s="969"/>
      <c r="H11" s="970">
        <v>75716</v>
      </c>
      <c r="I11" s="971">
        <v>319114</v>
      </c>
      <c r="J11" s="970">
        <v>187700</v>
      </c>
      <c r="K11" s="969">
        <v>11972</v>
      </c>
      <c r="L11" s="971">
        <f t="shared" si="0"/>
        <v>594502</v>
      </c>
      <c r="M11" s="969"/>
      <c r="N11" s="970">
        <v>37204</v>
      </c>
      <c r="O11" s="970">
        <v>0</v>
      </c>
      <c r="P11" s="969">
        <v>15474</v>
      </c>
      <c r="Q11" s="971">
        <f t="shared" si="1"/>
        <v>52678</v>
      </c>
      <c r="R11" s="969"/>
      <c r="S11" s="970">
        <v>442920</v>
      </c>
      <c r="T11" s="972">
        <v>891</v>
      </c>
      <c r="U11" s="972">
        <f>443812-1</f>
        <v>443811</v>
      </c>
    </row>
    <row r="12" spans="1:21" x14ac:dyDescent="0.25">
      <c r="A12" s="966">
        <v>90002</v>
      </c>
      <c r="B12" s="967" t="s">
        <v>2635</v>
      </c>
      <c r="C12" s="968">
        <v>1.06E-5</v>
      </c>
      <c r="D12" s="968">
        <v>1.15E-5</v>
      </c>
      <c r="E12" s="985">
        <v>6253</v>
      </c>
      <c r="F12" s="969">
        <v>16194</v>
      </c>
      <c r="G12" s="969"/>
      <c r="H12" s="970">
        <v>933</v>
      </c>
      <c r="I12" s="971">
        <v>3932</v>
      </c>
      <c r="J12" s="970">
        <v>2313</v>
      </c>
      <c r="K12" s="969">
        <v>1497</v>
      </c>
      <c r="L12" s="971">
        <f t="shared" si="0"/>
        <v>8675</v>
      </c>
      <c r="M12" s="969"/>
      <c r="N12" s="970">
        <v>458</v>
      </c>
      <c r="O12" s="970">
        <v>0</v>
      </c>
      <c r="P12" s="969">
        <v>0</v>
      </c>
      <c r="Q12" s="971">
        <f t="shared" si="1"/>
        <v>458</v>
      </c>
      <c r="R12" s="969"/>
      <c r="S12" s="970">
        <v>5457</v>
      </c>
      <c r="T12" s="972">
        <v>563</v>
      </c>
      <c r="U12" s="972">
        <v>6020</v>
      </c>
    </row>
    <row r="13" spans="1:21" x14ac:dyDescent="0.25">
      <c r="A13" s="966">
        <v>90011</v>
      </c>
      <c r="B13" s="967" t="s">
        <v>2636</v>
      </c>
      <c r="C13" s="968">
        <v>1.974E-4</v>
      </c>
      <c r="D13" s="968">
        <v>2.0819999999999999E-4</v>
      </c>
      <c r="E13" s="985">
        <v>84205</v>
      </c>
      <c r="F13" s="969">
        <v>301573</v>
      </c>
      <c r="G13" s="969"/>
      <c r="H13" s="970">
        <v>17373</v>
      </c>
      <c r="I13" s="971">
        <v>73222</v>
      </c>
      <c r="J13" s="970">
        <v>43069</v>
      </c>
      <c r="K13" s="969">
        <v>2300</v>
      </c>
      <c r="L13" s="971">
        <f t="shared" si="0"/>
        <v>135964</v>
      </c>
      <c r="M13" s="969"/>
      <c r="N13" s="970">
        <v>8537</v>
      </c>
      <c r="O13" s="970">
        <v>0</v>
      </c>
      <c r="P13" s="969">
        <v>30094</v>
      </c>
      <c r="Q13" s="971">
        <f t="shared" si="1"/>
        <v>38631</v>
      </c>
      <c r="R13" s="969"/>
      <c r="S13" s="970">
        <v>101630</v>
      </c>
      <c r="T13" s="972">
        <v>-7615</v>
      </c>
      <c r="U13" s="972">
        <v>94015</v>
      </c>
    </row>
    <row r="14" spans="1:21" x14ac:dyDescent="0.25">
      <c r="A14" s="966">
        <v>90092</v>
      </c>
      <c r="B14" s="967" t="s">
        <v>2637</v>
      </c>
      <c r="C14" s="968">
        <v>3.5349999999999997E-4</v>
      </c>
      <c r="D14" s="968">
        <v>3.946E-4</v>
      </c>
      <c r="E14" s="985">
        <v>186641</v>
      </c>
      <c r="F14" s="969">
        <v>540050</v>
      </c>
      <c r="G14" s="969"/>
      <c r="H14" s="970">
        <v>31112</v>
      </c>
      <c r="I14" s="971">
        <v>131125</v>
      </c>
      <c r="J14" s="970">
        <v>77127</v>
      </c>
      <c r="K14" s="969">
        <v>0</v>
      </c>
      <c r="L14" s="971">
        <f t="shared" si="0"/>
        <v>239364</v>
      </c>
      <c r="M14" s="969"/>
      <c r="N14" s="970">
        <v>15287</v>
      </c>
      <c r="O14" s="970">
        <v>0</v>
      </c>
      <c r="P14" s="969">
        <v>83168</v>
      </c>
      <c r="Q14" s="971">
        <f t="shared" si="1"/>
        <v>98455</v>
      </c>
      <c r="R14" s="969"/>
      <c r="S14" s="970">
        <v>181997</v>
      </c>
      <c r="T14" s="972">
        <v>-42793</v>
      </c>
      <c r="U14" s="972">
        <f>139205-1</f>
        <v>139204</v>
      </c>
    </row>
    <row r="15" spans="1:21" x14ac:dyDescent="0.25">
      <c r="A15" s="966">
        <v>90096</v>
      </c>
      <c r="B15" s="967" t="s">
        <v>2638</v>
      </c>
      <c r="C15" s="968">
        <v>9.7559999999999997E-4</v>
      </c>
      <c r="D15" s="968">
        <v>1.3860999999999999E-3</v>
      </c>
      <c r="E15" s="985">
        <v>535127</v>
      </c>
      <c r="F15" s="969">
        <v>1490447</v>
      </c>
      <c r="G15" s="969"/>
      <c r="H15" s="970">
        <v>85864</v>
      </c>
      <c r="I15" s="971">
        <v>361882</v>
      </c>
      <c r="J15" s="970">
        <v>212856</v>
      </c>
      <c r="K15" s="969">
        <v>43597</v>
      </c>
      <c r="L15" s="971">
        <f t="shared" si="0"/>
        <v>704199</v>
      </c>
      <c r="M15" s="969"/>
      <c r="N15" s="970">
        <v>42190</v>
      </c>
      <c r="O15" s="970">
        <v>0</v>
      </c>
      <c r="P15" s="969">
        <v>238564</v>
      </c>
      <c r="Q15" s="971">
        <f t="shared" si="1"/>
        <v>280754</v>
      </c>
      <c r="R15" s="969"/>
      <c r="S15" s="970">
        <v>502282</v>
      </c>
      <c r="T15" s="972">
        <v>-27538</v>
      </c>
      <c r="U15" s="972">
        <v>474744</v>
      </c>
    </row>
    <row r="16" spans="1:21" x14ac:dyDescent="0.25">
      <c r="A16" s="966">
        <v>90098</v>
      </c>
      <c r="B16" s="967" t="s">
        <v>2639</v>
      </c>
      <c r="C16" s="968">
        <v>2.9599999999999998E-4</v>
      </c>
      <c r="D16" s="968">
        <v>2.9280000000000002E-4</v>
      </c>
      <c r="E16" s="985">
        <v>140184</v>
      </c>
      <c r="F16" s="969">
        <v>452206</v>
      </c>
      <c r="G16" s="969"/>
      <c r="H16" s="970">
        <v>26051</v>
      </c>
      <c r="I16" s="971">
        <v>109796</v>
      </c>
      <c r="J16" s="970">
        <v>64581</v>
      </c>
      <c r="K16" s="969">
        <v>5581</v>
      </c>
      <c r="L16" s="971">
        <f t="shared" si="0"/>
        <v>206009</v>
      </c>
      <c r="M16" s="969"/>
      <c r="N16" s="970">
        <v>12801</v>
      </c>
      <c r="O16" s="970">
        <v>0</v>
      </c>
      <c r="P16" s="969">
        <v>110893</v>
      </c>
      <c r="Q16" s="971">
        <f t="shared" si="1"/>
        <v>123694</v>
      </c>
      <c r="R16" s="969"/>
      <c r="S16" s="970">
        <v>152394</v>
      </c>
      <c r="T16" s="972">
        <v>-51374</v>
      </c>
      <c r="U16" s="972">
        <v>101020</v>
      </c>
    </row>
    <row r="17" spans="1:21" x14ac:dyDescent="0.25">
      <c r="A17" s="966">
        <v>90099</v>
      </c>
      <c r="B17" s="967" t="s">
        <v>2640</v>
      </c>
      <c r="C17" s="968">
        <v>6.6330000000000002E-4</v>
      </c>
      <c r="D17" s="968">
        <v>4.9330000000000001E-4</v>
      </c>
      <c r="E17" s="985">
        <v>271208</v>
      </c>
      <c r="F17" s="969">
        <v>1013339</v>
      </c>
      <c r="G17" s="969"/>
      <c r="H17" s="970">
        <v>58378</v>
      </c>
      <c r="I17" s="971">
        <v>246040</v>
      </c>
      <c r="J17" s="970">
        <v>144719</v>
      </c>
      <c r="K17" s="969">
        <v>89744</v>
      </c>
      <c r="L17" s="971">
        <f t="shared" si="0"/>
        <v>538881</v>
      </c>
      <c r="M17" s="969"/>
      <c r="N17" s="970">
        <v>28684</v>
      </c>
      <c r="O17" s="970">
        <v>0</v>
      </c>
      <c r="P17" s="969">
        <v>44006</v>
      </c>
      <c r="Q17" s="971">
        <f t="shared" si="1"/>
        <v>72690</v>
      </c>
      <c r="R17" s="969"/>
      <c r="S17" s="970">
        <v>341496</v>
      </c>
      <c r="T17" s="972">
        <v>7780</v>
      </c>
      <c r="U17" s="972">
        <v>349276</v>
      </c>
    </row>
    <row r="18" spans="1:21" x14ac:dyDescent="0.25">
      <c r="A18" s="966">
        <v>90101</v>
      </c>
      <c r="B18" s="967" t="s">
        <v>2641</v>
      </c>
      <c r="C18" s="968">
        <v>6.6312000000000003E-3</v>
      </c>
      <c r="D18" s="968">
        <v>6.3996000000000001E-3</v>
      </c>
      <c r="E18" s="985">
        <v>2960721</v>
      </c>
      <c r="F18" s="969">
        <v>10130637</v>
      </c>
      <c r="G18" s="969"/>
      <c r="H18" s="970">
        <v>583619</v>
      </c>
      <c r="I18" s="971">
        <v>2459731</v>
      </c>
      <c r="J18" s="970">
        <v>1446795</v>
      </c>
      <c r="K18" s="969">
        <v>245836</v>
      </c>
      <c r="L18" s="971">
        <f t="shared" si="0"/>
        <v>4735981</v>
      </c>
      <c r="M18" s="969"/>
      <c r="N18" s="970">
        <v>286766</v>
      </c>
      <c r="O18" s="970">
        <v>0</v>
      </c>
      <c r="P18" s="969">
        <v>25616</v>
      </c>
      <c r="Q18" s="971">
        <f t="shared" si="1"/>
        <v>312382</v>
      </c>
      <c r="R18" s="969"/>
      <c r="S18" s="970">
        <v>3414034</v>
      </c>
      <c r="T18" s="972">
        <v>67895</v>
      </c>
      <c r="U18" s="972">
        <f>3481928+1</f>
        <v>3481929</v>
      </c>
    </row>
    <row r="19" spans="1:21" x14ac:dyDescent="0.25">
      <c r="A19" s="966">
        <v>90111</v>
      </c>
      <c r="B19" s="967" t="s">
        <v>2642</v>
      </c>
      <c r="C19" s="968">
        <v>4.9740000000000001E-3</v>
      </c>
      <c r="D19" s="968">
        <v>4.8874000000000001E-3</v>
      </c>
      <c r="E19" s="985">
        <v>2229766</v>
      </c>
      <c r="F19" s="969">
        <v>7598894</v>
      </c>
      <c r="G19" s="969"/>
      <c r="H19" s="970">
        <v>437767</v>
      </c>
      <c r="I19" s="971">
        <v>1845021</v>
      </c>
      <c r="J19" s="970">
        <v>1085227</v>
      </c>
      <c r="K19" s="969">
        <v>15088</v>
      </c>
      <c r="L19" s="971">
        <f t="shared" si="0"/>
        <v>3383103</v>
      </c>
      <c r="M19" s="969"/>
      <c r="N19" s="970">
        <v>215101</v>
      </c>
      <c r="O19" s="970">
        <v>0</v>
      </c>
      <c r="P19" s="969">
        <v>106602</v>
      </c>
      <c r="Q19" s="971">
        <f t="shared" si="1"/>
        <v>321703</v>
      </c>
      <c r="R19" s="969"/>
      <c r="S19" s="970">
        <v>2560834</v>
      </c>
      <c r="T19" s="972">
        <v>-53609</v>
      </c>
      <c r="U19" s="972">
        <v>2507225</v>
      </c>
    </row>
    <row r="20" spans="1:21" x14ac:dyDescent="0.25">
      <c r="A20" s="966">
        <v>90114</v>
      </c>
      <c r="B20" s="967" t="s">
        <v>2643</v>
      </c>
      <c r="C20" s="968">
        <v>1.0919E-3</v>
      </c>
      <c r="D20" s="968">
        <v>1.0681E-3</v>
      </c>
      <c r="E20" s="985">
        <v>1108464</v>
      </c>
      <c r="F20" s="969">
        <v>1668121</v>
      </c>
      <c r="G20" s="969"/>
      <c r="H20" s="970">
        <v>96099</v>
      </c>
      <c r="I20" s="971">
        <v>405022</v>
      </c>
      <c r="J20" s="970">
        <v>238231</v>
      </c>
      <c r="K20" s="969">
        <v>1077044</v>
      </c>
      <c r="L20" s="971">
        <f t="shared" si="0"/>
        <v>1816396</v>
      </c>
      <c r="M20" s="969"/>
      <c r="N20" s="970">
        <v>47219</v>
      </c>
      <c r="O20" s="970">
        <v>0</v>
      </c>
      <c r="P20" s="969">
        <v>0</v>
      </c>
      <c r="Q20" s="971">
        <f t="shared" si="1"/>
        <v>47219</v>
      </c>
      <c r="R20" s="969"/>
      <c r="S20" s="970">
        <v>562158</v>
      </c>
      <c r="T20" s="972">
        <v>371192</v>
      </c>
      <c r="U20" s="972">
        <v>933350</v>
      </c>
    </row>
    <row r="21" spans="1:21" x14ac:dyDescent="0.25">
      <c r="A21" s="966">
        <v>90117</v>
      </c>
      <c r="B21" s="967" t="s">
        <v>2644</v>
      </c>
      <c r="C21" s="968">
        <v>1.407E-4</v>
      </c>
      <c r="D21" s="968">
        <v>1.35E-4</v>
      </c>
      <c r="E21" s="985">
        <v>80147</v>
      </c>
      <c r="F21" s="969">
        <v>214951</v>
      </c>
      <c r="G21" s="969"/>
      <c r="H21" s="970">
        <v>12383</v>
      </c>
      <c r="I21" s="971">
        <v>52190</v>
      </c>
      <c r="J21" s="970">
        <v>30698</v>
      </c>
      <c r="K21" s="969">
        <v>44526</v>
      </c>
      <c r="L21" s="971">
        <f t="shared" si="0"/>
        <v>139797</v>
      </c>
      <c r="M21" s="969"/>
      <c r="N21" s="970">
        <v>6085</v>
      </c>
      <c r="O21" s="970">
        <v>0</v>
      </c>
      <c r="P21" s="969">
        <v>0</v>
      </c>
      <c r="Q21" s="971">
        <f t="shared" si="1"/>
        <v>6085</v>
      </c>
      <c r="R21" s="969"/>
      <c r="S21" s="970">
        <v>72439</v>
      </c>
      <c r="T21" s="972">
        <v>18359</v>
      </c>
      <c r="U21" s="972">
        <f>90797+1</f>
        <v>90798</v>
      </c>
    </row>
    <row r="22" spans="1:21" x14ac:dyDescent="0.25">
      <c r="A22" s="966">
        <v>90121</v>
      </c>
      <c r="B22" s="967" t="s">
        <v>2645</v>
      </c>
      <c r="C22" s="968">
        <v>1.0991E-3</v>
      </c>
      <c r="D22" s="968">
        <v>1.0789E-3</v>
      </c>
      <c r="E22" s="985">
        <v>452142</v>
      </c>
      <c r="F22" s="969">
        <v>1679120</v>
      </c>
      <c r="G22" s="969"/>
      <c r="H22" s="970">
        <v>96733</v>
      </c>
      <c r="I22" s="971">
        <v>407692</v>
      </c>
      <c r="J22" s="970">
        <v>239802</v>
      </c>
      <c r="K22" s="969">
        <v>3244</v>
      </c>
      <c r="L22" s="971">
        <f t="shared" si="0"/>
        <v>747471</v>
      </c>
      <c r="M22" s="969"/>
      <c r="N22" s="970">
        <v>47531</v>
      </c>
      <c r="O22" s="970">
        <v>0</v>
      </c>
      <c r="P22" s="969">
        <v>81552</v>
      </c>
      <c r="Q22" s="971">
        <f t="shared" si="1"/>
        <v>129083</v>
      </c>
      <c r="R22" s="969"/>
      <c r="S22" s="970">
        <v>565865</v>
      </c>
      <c r="T22" s="972">
        <v>-25049</v>
      </c>
      <c r="U22" s="972">
        <v>540816</v>
      </c>
    </row>
    <row r="23" spans="1:21" x14ac:dyDescent="0.25">
      <c r="A23" s="966">
        <v>90131</v>
      </c>
      <c r="B23" s="967" t="s">
        <v>2646</v>
      </c>
      <c r="C23" s="968">
        <v>4.7639999999999998E-4</v>
      </c>
      <c r="D23" s="968">
        <v>5.0440000000000001E-4</v>
      </c>
      <c r="E23" s="985">
        <v>207243</v>
      </c>
      <c r="F23" s="969">
        <v>727807</v>
      </c>
      <c r="G23" s="969"/>
      <c r="H23" s="970">
        <v>41928</v>
      </c>
      <c r="I23" s="971">
        <v>176712</v>
      </c>
      <c r="J23" s="970">
        <v>103941</v>
      </c>
      <c r="K23" s="969">
        <v>0</v>
      </c>
      <c r="L23" s="971">
        <f t="shared" si="0"/>
        <v>322581</v>
      </c>
      <c r="M23" s="969"/>
      <c r="N23" s="970">
        <v>20602</v>
      </c>
      <c r="O23" s="970">
        <v>0</v>
      </c>
      <c r="P23" s="969">
        <v>42066</v>
      </c>
      <c r="Q23" s="971">
        <f t="shared" si="1"/>
        <v>62668</v>
      </c>
      <c r="R23" s="969"/>
      <c r="S23" s="970">
        <v>245272</v>
      </c>
      <c r="T23" s="972">
        <v>-15937</v>
      </c>
      <c r="U23" s="972">
        <v>229335</v>
      </c>
    </row>
    <row r="24" spans="1:21" x14ac:dyDescent="0.25">
      <c r="A24" s="966">
        <v>90141</v>
      </c>
      <c r="B24" s="967" t="s">
        <v>2647</v>
      </c>
      <c r="C24" s="968">
        <v>1.4779999999999999E-4</v>
      </c>
      <c r="D24" s="968">
        <v>1.306E-4</v>
      </c>
      <c r="E24" s="985">
        <v>62655</v>
      </c>
      <c r="F24" s="969">
        <v>225797</v>
      </c>
      <c r="G24" s="969"/>
      <c r="H24" s="970">
        <v>13008</v>
      </c>
      <c r="I24" s="971">
        <v>54824</v>
      </c>
      <c r="J24" s="970">
        <v>32247</v>
      </c>
      <c r="K24" s="969">
        <v>8660</v>
      </c>
      <c r="L24" s="971">
        <f t="shared" si="0"/>
        <v>108739</v>
      </c>
      <c r="M24" s="969"/>
      <c r="N24" s="970">
        <v>6392</v>
      </c>
      <c r="O24" s="970">
        <v>0</v>
      </c>
      <c r="P24" s="969">
        <v>10174</v>
      </c>
      <c r="Q24" s="971">
        <f t="shared" si="1"/>
        <v>16566</v>
      </c>
      <c r="R24" s="969"/>
      <c r="S24" s="970">
        <v>76094</v>
      </c>
      <c r="T24" s="972">
        <v>-857</v>
      </c>
      <c r="U24" s="972">
        <v>75237</v>
      </c>
    </row>
    <row r="25" spans="1:21" x14ac:dyDescent="0.25">
      <c r="A25" s="966">
        <v>90151</v>
      </c>
      <c r="B25" s="967" t="s">
        <v>2648</v>
      </c>
      <c r="C25" s="968">
        <v>9.9000000000000001E-6</v>
      </c>
      <c r="D25" s="968">
        <v>1.0000000000000001E-5</v>
      </c>
      <c r="E25" s="985">
        <v>3085</v>
      </c>
      <c r="F25" s="969">
        <v>15124</v>
      </c>
      <c r="G25" s="969"/>
      <c r="H25" s="970">
        <v>871</v>
      </c>
      <c r="I25" s="971">
        <v>3672</v>
      </c>
      <c r="J25" s="970">
        <v>2160</v>
      </c>
      <c r="K25" s="969">
        <v>0</v>
      </c>
      <c r="L25" s="971">
        <f t="shared" si="0"/>
        <v>6703</v>
      </c>
      <c r="M25" s="969"/>
      <c r="N25" s="970">
        <v>428</v>
      </c>
      <c r="O25" s="970">
        <v>0</v>
      </c>
      <c r="P25" s="969">
        <v>2719</v>
      </c>
      <c r="Q25" s="971">
        <f t="shared" si="1"/>
        <v>3147</v>
      </c>
      <c r="R25" s="969"/>
      <c r="S25" s="970">
        <v>5097</v>
      </c>
      <c r="T25" s="972">
        <v>-1090</v>
      </c>
      <c r="U25" s="972">
        <v>4007</v>
      </c>
    </row>
    <row r="26" spans="1:21" x14ac:dyDescent="0.25">
      <c r="A26" s="966">
        <v>90161</v>
      </c>
      <c r="B26" s="967" t="s">
        <v>2649</v>
      </c>
      <c r="C26" s="968">
        <v>3.4199999999999998E-5</v>
      </c>
      <c r="D26" s="968">
        <v>3.4799999999999999E-5</v>
      </c>
      <c r="E26" s="985">
        <v>15627</v>
      </c>
      <c r="F26" s="969">
        <v>52248</v>
      </c>
      <c r="G26" s="969"/>
      <c r="H26" s="970">
        <v>3010</v>
      </c>
      <c r="I26" s="971">
        <v>12686</v>
      </c>
      <c r="J26" s="970">
        <v>7462</v>
      </c>
      <c r="K26" s="969">
        <v>4022</v>
      </c>
      <c r="L26" s="971">
        <f t="shared" si="0"/>
        <v>27180</v>
      </c>
      <c r="M26" s="969"/>
      <c r="N26" s="970">
        <v>1479</v>
      </c>
      <c r="O26" s="970">
        <v>0</v>
      </c>
      <c r="P26" s="969">
        <v>462</v>
      </c>
      <c r="Q26" s="971">
        <f t="shared" si="1"/>
        <v>1941</v>
      </c>
      <c r="R26" s="969"/>
      <c r="S26" s="970">
        <v>17608</v>
      </c>
      <c r="T26" s="972">
        <v>1591</v>
      </c>
      <c r="U26" s="972">
        <v>19199</v>
      </c>
    </row>
    <row r="27" spans="1:21" x14ac:dyDescent="0.25">
      <c r="A27" s="966">
        <v>90201</v>
      </c>
      <c r="B27" s="967" t="s">
        <v>2650</v>
      </c>
      <c r="C27" s="968">
        <v>1.2126999999999999E-3</v>
      </c>
      <c r="D27" s="968">
        <v>1.2419E-3</v>
      </c>
      <c r="E27" s="985">
        <v>536124</v>
      </c>
      <c r="F27" s="969">
        <v>1852670</v>
      </c>
      <c r="G27" s="969"/>
      <c r="H27" s="970">
        <v>106731</v>
      </c>
      <c r="I27" s="971">
        <v>449830</v>
      </c>
      <c r="J27" s="970">
        <v>264587</v>
      </c>
      <c r="K27" s="969">
        <v>36621</v>
      </c>
      <c r="L27" s="971">
        <f t="shared" si="0"/>
        <v>857769</v>
      </c>
      <c r="M27" s="969"/>
      <c r="N27" s="970">
        <v>52443</v>
      </c>
      <c r="O27" s="970">
        <v>0</v>
      </c>
      <c r="P27" s="969">
        <v>36396</v>
      </c>
      <c r="Q27" s="971">
        <f t="shared" si="1"/>
        <v>88839</v>
      </c>
      <c r="R27" s="969"/>
      <c r="S27" s="970">
        <v>624351</v>
      </c>
      <c r="T27" s="972">
        <v>24941</v>
      </c>
      <c r="U27" s="972">
        <v>649292</v>
      </c>
    </row>
    <row r="28" spans="1:21" x14ac:dyDescent="0.25">
      <c r="A28" s="966">
        <v>90203</v>
      </c>
      <c r="B28" s="967" t="s">
        <v>2651</v>
      </c>
      <c r="C28" s="968">
        <v>1.994E-4</v>
      </c>
      <c r="D28" s="968">
        <v>2.3680000000000001E-4</v>
      </c>
      <c r="E28" s="985">
        <v>91056</v>
      </c>
      <c r="F28" s="969">
        <v>304628</v>
      </c>
      <c r="G28" s="969"/>
      <c r="H28" s="970">
        <v>17549</v>
      </c>
      <c r="I28" s="971">
        <v>73964</v>
      </c>
      <c r="J28" s="970">
        <v>43505</v>
      </c>
      <c r="K28" s="969">
        <v>2154</v>
      </c>
      <c r="L28" s="971">
        <f t="shared" si="0"/>
        <v>137172</v>
      </c>
      <c r="M28" s="969"/>
      <c r="N28" s="970">
        <v>8623</v>
      </c>
      <c r="O28" s="970">
        <v>0</v>
      </c>
      <c r="P28" s="969">
        <v>49077</v>
      </c>
      <c r="Q28" s="971">
        <f t="shared" si="1"/>
        <v>57700</v>
      </c>
      <c r="R28" s="969"/>
      <c r="S28" s="970">
        <v>102660</v>
      </c>
      <c r="T28" s="972">
        <v>-18026</v>
      </c>
      <c r="U28" s="972">
        <v>84634</v>
      </c>
    </row>
    <row r="29" spans="1:21" x14ac:dyDescent="0.25">
      <c r="A29" s="966">
        <v>90205</v>
      </c>
      <c r="B29" s="967" t="s">
        <v>2652</v>
      </c>
      <c r="C29" s="968">
        <v>3.0000000000000001E-5</v>
      </c>
      <c r="D29" s="968">
        <v>3.3599999999999997E-5</v>
      </c>
      <c r="E29" s="985">
        <v>14233</v>
      </c>
      <c r="F29" s="969">
        <v>45832</v>
      </c>
      <c r="G29" s="969"/>
      <c r="H29" s="970">
        <v>2640</v>
      </c>
      <c r="I29" s="971">
        <v>11128</v>
      </c>
      <c r="J29" s="970">
        <v>6545</v>
      </c>
      <c r="K29" s="969">
        <v>769</v>
      </c>
      <c r="L29" s="971">
        <f t="shared" si="0"/>
        <v>21082</v>
      </c>
      <c r="M29" s="969"/>
      <c r="N29" s="970">
        <v>1297</v>
      </c>
      <c r="O29" s="970">
        <v>0</v>
      </c>
      <c r="P29" s="969">
        <v>2625</v>
      </c>
      <c r="Q29" s="971">
        <f t="shared" si="1"/>
        <v>3922</v>
      </c>
      <c r="R29" s="969"/>
      <c r="S29" s="970">
        <v>15445</v>
      </c>
      <c r="T29" s="972">
        <v>-105</v>
      </c>
      <c r="U29" s="972">
        <v>15340</v>
      </c>
    </row>
    <row r="30" spans="1:21" x14ac:dyDescent="0.25">
      <c r="A30" s="966">
        <v>90206</v>
      </c>
      <c r="B30" s="967" t="s">
        <v>2653</v>
      </c>
      <c r="C30" s="968">
        <v>4.2069999999999998E-4</v>
      </c>
      <c r="D30" s="968">
        <v>4.347E-4</v>
      </c>
      <c r="E30" s="985">
        <v>184249</v>
      </c>
      <c r="F30" s="969">
        <v>642713</v>
      </c>
      <c r="G30" s="969"/>
      <c r="H30" s="970">
        <v>37026</v>
      </c>
      <c r="I30" s="971">
        <v>156051</v>
      </c>
      <c r="J30" s="970">
        <v>91788</v>
      </c>
      <c r="K30" s="969">
        <v>8978</v>
      </c>
      <c r="L30" s="971">
        <f t="shared" si="0"/>
        <v>293843</v>
      </c>
      <c r="M30" s="969"/>
      <c r="N30" s="970">
        <v>18193</v>
      </c>
      <c r="O30" s="970">
        <v>0</v>
      </c>
      <c r="P30" s="969">
        <v>25382</v>
      </c>
      <c r="Q30" s="971">
        <f t="shared" si="1"/>
        <v>43575</v>
      </c>
      <c r="R30" s="969"/>
      <c r="S30" s="970">
        <v>216595</v>
      </c>
      <c r="T30" s="972">
        <v>1315</v>
      </c>
      <c r="U30" s="972">
        <v>217910</v>
      </c>
    </row>
    <row r="31" spans="1:21" x14ac:dyDescent="0.25">
      <c r="A31" s="966">
        <v>90211</v>
      </c>
      <c r="B31" s="967" t="s">
        <v>2654</v>
      </c>
      <c r="C31" s="968">
        <v>1.4799999999999999E-4</v>
      </c>
      <c r="D31" s="968">
        <v>1.5689999999999999E-4</v>
      </c>
      <c r="E31" s="985">
        <v>71260</v>
      </c>
      <c r="F31" s="969">
        <v>226103</v>
      </c>
      <c r="G31" s="969"/>
      <c r="H31" s="970">
        <v>13026</v>
      </c>
      <c r="I31" s="971">
        <v>54898</v>
      </c>
      <c r="J31" s="970">
        <v>32291</v>
      </c>
      <c r="K31" s="969">
        <v>0</v>
      </c>
      <c r="L31" s="971">
        <f t="shared" si="0"/>
        <v>100215</v>
      </c>
      <c r="M31" s="969"/>
      <c r="N31" s="970">
        <v>6400</v>
      </c>
      <c r="O31" s="970">
        <v>0</v>
      </c>
      <c r="P31" s="969">
        <v>15344</v>
      </c>
      <c r="Q31" s="971">
        <f t="shared" si="1"/>
        <v>21744</v>
      </c>
      <c r="R31" s="969"/>
      <c r="S31" s="970">
        <v>76197</v>
      </c>
      <c r="T31" s="972">
        <v>-6134</v>
      </c>
      <c r="U31" s="972">
        <v>70063</v>
      </c>
    </row>
    <row r="32" spans="1:21" x14ac:dyDescent="0.25">
      <c r="A32" s="966">
        <v>90301</v>
      </c>
      <c r="B32" s="967" t="s">
        <v>2655</v>
      </c>
      <c r="C32" s="968">
        <v>6.7040000000000003E-4</v>
      </c>
      <c r="D32" s="968">
        <v>6.4000000000000005E-4</v>
      </c>
      <c r="E32" s="985">
        <v>280575</v>
      </c>
      <c r="F32" s="969">
        <v>1024185</v>
      </c>
      <c r="G32" s="969"/>
      <c r="H32" s="970">
        <v>59003</v>
      </c>
      <c r="I32" s="971">
        <v>248673</v>
      </c>
      <c r="J32" s="970">
        <v>146268</v>
      </c>
      <c r="K32" s="969">
        <v>4314</v>
      </c>
      <c r="L32" s="971">
        <f t="shared" si="0"/>
        <v>458258</v>
      </c>
      <c r="M32" s="969"/>
      <c r="N32" s="970">
        <v>28991</v>
      </c>
      <c r="O32" s="970">
        <v>0</v>
      </c>
      <c r="P32" s="969">
        <v>13341</v>
      </c>
      <c r="Q32" s="971">
        <f t="shared" si="1"/>
        <v>42332</v>
      </c>
      <c r="R32" s="969"/>
      <c r="S32" s="970">
        <v>345151</v>
      </c>
      <c r="T32" s="972">
        <v>-5567</v>
      </c>
      <c r="U32" s="972">
        <v>339584</v>
      </c>
    </row>
    <row r="33" spans="1:21" x14ac:dyDescent="0.25">
      <c r="A33" s="966">
        <v>90305</v>
      </c>
      <c r="B33" s="967" t="s">
        <v>2656</v>
      </c>
      <c r="C33" s="968">
        <v>1.617E-4</v>
      </c>
      <c r="D33" s="968">
        <v>1.7009999999999999E-4</v>
      </c>
      <c r="E33" s="985">
        <v>85892</v>
      </c>
      <c r="F33" s="969">
        <v>247033</v>
      </c>
      <c r="G33" s="969"/>
      <c r="H33" s="970">
        <v>14231</v>
      </c>
      <c r="I33" s="971">
        <v>59980</v>
      </c>
      <c r="J33" s="970">
        <v>35280</v>
      </c>
      <c r="K33" s="969">
        <v>20715</v>
      </c>
      <c r="L33" s="971">
        <f t="shared" si="0"/>
        <v>130206</v>
      </c>
      <c r="M33" s="969"/>
      <c r="N33" s="970">
        <v>6993</v>
      </c>
      <c r="O33" s="970">
        <v>0</v>
      </c>
      <c r="P33" s="969">
        <v>0</v>
      </c>
      <c r="Q33" s="971">
        <f t="shared" si="1"/>
        <v>6993</v>
      </c>
      <c r="R33" s="969"/>
      <c r="S33" s="970">
        <v>83250</v>
      </c>
      <c r="T33" s="972">
        <v>10025</v>
      </c>
      <c r="U33" s="972">
        <v>93275</v>
      </c>
    </row>
    <row r="34" spans="1:21" x14ac:dyDescent="0.25">
      <c r="A34" s="966">
        <v>90307</v>
      </c>
      <c r="B34" s="967" t="s">
        <v>2657</v>
      </c>
      <c r="C34" s="968">
        <v>7.7999999999999999E-6</v>
      </c>
      <c r="D34" s="968">
        <v>7.7000000000000008E-6</v>
      </c>
      <c r="E34" s="985">
        <v>4130</v>
      </c>
      <c r="F34" s="969">
        <v>11916</v>
      </c>
      <c r="G34" s="969"/>
      <c r="H34" s="970">
        <v>686</v>
      </c>
      <c r="I34" s="971">
        <v>2893</v>
      </c>
      <c r="J34" s="970">
        <v>1702</v>
      </c>
      <c r="K34" s="969">
        <v>647</v>
      </c>
      <c r="L34" s="971">
        <f t="shared" si="0"/>
        <v>5928</v>
      </c>
      <c r="M34" s="969"/>
      <c r="N34" s="970">
        <v>337</v>
      </c>
      <c r="O34" s="970">
        <v>0</v>
      </c>
      <c r="P34" s="969">
        <v>40</v>
      </c>
      <c r="Q34" s="971">
        <f t="shared" si="1"/>
        <v>377</v>
      </c>
      <c r="R34" s="969"/>
      <c r="S34" s="970">
        <v>4016</v>
      </c>
      <c r="T34" s="972">
        <v>160</v>
      </c>
      <c r="U34" s="972">
        <v>4176</v>
      </c>
    </row>
    <row r="35" spans="1:21" x14ac:dyDescent="0.25">
      <c r="A35" s="966">
        <v>90401</v>
      </c>
      <c r="B35" s="967" t="s">
        <v>2658</v>
      </c>
      <c r="C35" s="968">
        <v>1.3270999999999999E-3</v>
      </c>
      <c r="D35" s="968">
        <v>1.3626999999999999E-3</v>
      </c>
      <c r="E35" s="985">
        <v>624955</v>
      </c>
      <c r="F35" s="969">
        <v>2027441</v>
      </c>
      <c r="G35" s="969"/>
      <c r="H35" s="970">
        <v>116799</v>
      </c>
      <c r="I35" s="971">
        <v>492266</v>
      </c>
      <c r="J35" s="970">
        <v>289547</v>
      </c>
      <c r="K35" s="969">
        <v>44019</v>
      </c>
      <c r="L35" s="971">
        <f t="shared" si="0"/>
        <v>942631</v>
      </c>
      <c r="M35" s="969"/>
      <c r="N35" s="970">
        <v>57390</v>
      </c>
      <c r="O35" s="970">
        <v>0</v>
      </c>
      <c r="P35" s="969">
        <v>11305</v>
      </c>
      <c r="Q35" s="971">
        <f t="shared" si="1"/>
        <v>68695</v>
      </c>
      <c r="R35" s="969"/>
      <c r="S35" s="970">
        <v>683249</v>
      </c>
      <c r="T35" s="972">
        <v>23981</v>
      </c>
      <c r="U35" s="972">
        <v>707230</v>
      </c>
    </row>
    <row r="36" spans="1:21" x14ac:dyDescent="0.25">
      <c r="A36" s="966">
        <v>90411</v>
      </c>
      <c r="B36" s="967" t="s">
        <v>2659</v>
      </c>
      <c r="C36" s="968">
        <v>3.5100000000000002E-4</v>
      </c>
      <c r="D36" s="968">
        <v>3.5490000000000001E-4</v>
      </c>
      <c r="E36" s="985">
        <v>152317</v>
      </c>
      <c r="F36" s="969">
        <v>536231</v>
      </c>
      <c r="G36" s="969"/>
      <c r="H36" s="970">
        <v>30892</v>
      </c>
      <c r="I36" s="971">
        <v>130197</v>
      </c>
      <c r="J36" s="970">
        <v>76581</v>
      </c>
      <c r="K36" s="969">
        <v>0</v>
      </c>
      <c r="L36" s="971">
        <f t="shared" si="0"/>
        <v>237670</v>
      </c>
      <c r="M36" s="969"/>
      <c r="N36" s="970">
        <v>15179</v>
      </c>
      <c r="O36" s="970">
        <v>0</v>
      </c>
      <c r="P36" s="969">
        <v>41985</v>
      </c>
      <c r="Q36" s="971">
        <f t="shared" si="1"/>
        <v>57164</v>
      </c>
      <c r="R36" s="969"/>
      <c r="S36" s="970">
        <v>180710</v>
      </c>
      <c r="T36" s="972">
        <v>-15971</v>
      </c>
      <c r="U36" s="972">
        <v>164739</v>
      </c>
    </row>
    <row r="37" spans="1:21" x14ac:dyDescent="0.25">
      <c r="A37" s="966">
        <v>90413</v>
      </c>
      <c r="B37" s="967" t="s">
        <v>2660</v>
      </c>
      <c r="C37" s="968">
        <v>3.4600000000000001E-5</v>
      </c>
      <c r="D37" s="968">
        <v>3.7299999999999999E-5</v>
      </c>
      <c r="E37" s="985">
        <v>17002</v>
      </c>
      <c r="F37" s="969">
        <v>52859</v>
      </c>
      <c r="G37" s="969"/>
      <c r="H37" s="970">
        <v>3045</v>
      </c>
      <c r="I37" s="971">
        <v>12834</v>
      </c>
      <c r="J37" s="970">
        <v>7549</v>
      </c>
      <c r="K37" s="969">
        <v>5923</v>
      </c>
      <c r="L37" s="971">
        <f t="shared" si="0"/>
        <v>29351</v>
      </c>
      <c r="M37" s="969"/>
      <c r="N37" s="970">
        <v>1496</v>
      </c>
      <c r="O37" s="970">
        <v>0</v>
      </c>
      <c r="P37" s="969">
        <v>916</v>
      </c>
      <c r="Q37" s="971">
        <f t="shared" si="1"/>
        <v>2412</v>
      </c>
      <c r="R37" s="969"/>
      <c r="S37" s="970">
        <v>17814</v>
      </c>
      <c r="T37" s="972">
        <v>3416</v>
      </c>
      <c r="U37" s="972">
        <v>21230</v>
      </c>
    </row>
    <row r="38" spans="1:21" x14ac:dyDescent="0.25">
      <c r="A38" s="966">
        <v>90417</v>
      </c>
      <c r="B38" s="967" t="s">
        <v>2661</v>
      </c>
      <c r="C38" s="968">
        <v>1.17E-5</v>
      </c>
      <c r="D38" s="968">
        <v>1.2099999999999999E-5</v>
      </c>
      <c r="E38" s="985">
        <v>8372</v>
      </c>
      <c r="F38" s="969">
        <v>17874</v>
      </c>
      <c r="G38" s="969"/>
      <c r="H38" s="970">
        <v>1030</v>
      </c>
      <c r="I38" s="971">
        <v>4340</v>
      </c>
      <c r="J38" s="970">
        <v>2553</v>
      </c>
      <c r="K38" s="969">
        <v>3477</v>
      </c>
      <c r="L38" s="971">
        <f t="shared" si="0"/>
        <v>11400</v>
      </c>
      <c r="M38" s="969"/>
      <c r="N38" s="970">
        <v>506</v>
      </c>
      <c r="O38" s="970">
        <v>0</v>
      </c>
      <c r="P38" s="969">
        <v>0</v>
      </c>
      <c r="Q38" s="971">
        <f t="shared" si="1"/>
        <v>506</v>
      </c>
      <c r="R38" s="969"/>
      <c r="S38" s="970">
        <v>6024</v>
      </c>
      <c r="T38" s="972">
        <v>1221</v>
      </c>
      <c r="U38" s="972">
        <f>7244+1</f>
        <v>7245</v>
      </c>
    </row>
    <row r="39" spans="1:21" x14ac:dyDescent="0.25">
      <c r="A39" s="966">
        <v>90421</v>
      </c>
      <c r="B39" s="967" t="s">
        <v>2662</v>
      </c>
      <c r="C39" s="968">
        <v>2.19E-5</v>
      </c>
      <c r="D39" s="968">
        <v>2.3600000000000001E-5</v>
      </c>
      <c r="E39" s="985">
        <v>8534</v>
      </c>
      <c r="F39" s="969">
        <v>33457</v>
      </c>
      <c r="G39" s="969"/>
      <c r="H39" s="970">
        <v>1927</v>
      </c>
      <c r="I39" s="971">
        <v>8123</v>
      </c>
      <c r="J39" s="970">
        <v>4778</v>
      </c>
      <c r="K39" s="969">
        <v>0</v>
      </c>
      <c r="L39" s="971">
        <f t="shared" si="0"/>
        <v>14828</v>
      </c>
      <c r="M39" s="969"/>
      <c r="N39" s="970">
        <v>947</v>
      </c>
      <c r="O39" s="970">
        <v>0</v>
      </c>
      <c r="P39" s="969">
        <v>4721</v>
      </c>
      <c r="Q39" s="971">
        <f t="shared" si="1"/>
        <v>5668</v>
      </c>
      <c r="R39" s="969"/>
      <c r="S39" s="970">
        <v>11275</v>
      </c>
      <c r="T39" s="972">
        <v>-1814</v>
      </c>
      <c r="U39" s="972">
        <v>9461</v>
      </c>
    </row>
    <row r="40" spans="1:21" x14ac:dyDescent="0.25">
      <c r="A40" s="966">
        <v>90431</v>
      </c>
      <c r="B40" s="967" t="s">
        <v>2663</v>
      </c>
      <c r="C40" s="968">
        <v>4.8300000000000002E-5</v>
      </c>
      <c r="D40" s="968">
        <v>4.2799999999999997E-5</v>
      </c>
      <c r="E40" s="985">
        <v>21844</v>
      </c>
      <c r="F40" s="969">
        <v>73789</v>
      </c>
      <c r="G40" s="969"/>
      <c r="H40" s="970">
        <v>4251</v>
      </c>
      <c r="I40" s="971">
        <v>17916</v>
      </c>
      <c r="J40" s="970">
        <v>10538</v>
      </c>
      <c r="K40" s="969">
        <v>8663</v>
      </c>
      <c r="L40" s="971">
        <f t="shared" si="0"/>
        <v>41368</v>
      </c>
      <c r="M40" s="969"/>
      <c r="N40" s="970">
        <v>2089</v>
      </c>
      <c r="O40" s="970">
        <v>0</v>
      </c>
      <c r="P40" s="969">
        <v>1273</v>
      </c>
      <c r="Q40" s="971">
        <f t="shared" si="1"/>
        <v>3362</v>
      </c>
      <c r="R40" s="969"/>
      <c r="S40" s="970">
        <v>24867</v>
      </c>
      <c r="T40" s="972">
        <v>3649</v>
      </c>
      <c r="U40" s="972">
        <v>28516</v>
      </c>
    </row>
    <row r="41" spans="1:21" x14ac:dyDescent="0.25">
      <c r="A41" s="966">
        <v>90441</v>
      </c>
      <c r="B41" s="967" t="s">
        <v>2664</v>
      </c>
      <c r="C41" s="968">
        <v>8.3999999999999992E-6</v>
      </c>
      <c r="D41" s="968">
        <v>9.3999999999999998E-6</v>
      </c>
      <c r="E41" s="985">
        <v>4910</v>
      </c>
      <c r="F41" s="969">
        <v>12833</v>
      </c>
      <c r="G41" s="969"/>
      <c r="H41" s="970">
        <v>739</v>
      </c>
      <c r="I41" s="971">
        <v>3115</v>
      </c>
      <c r="J41" s="970">
        <v>1833</v>
      </c>
      <c r="K41" s="969">
        <v>890</v>
      </c>
      <c r="L41" s="971">
        <f t="shared" si="0"/>
        <v>6577</v>
      </c>
      <c r="M41" s="969"/>
      <c r="N41" s="970">
        <v>363</v>
      </c>
      <c r="O41" s="970">
        <v>0</v>
      </c>
      <c r="P41" s="969">
        <v>129</v>
      </c>
      <c r="Q41" s="971">
        <f t="shared" si="1"/>
        <v>492</v>
      </c>
      <c r="R41" s="969"/>
      <c r="S41" s="970">
        <v>4325</v>
      </c>
      <c r="T41" s="972">
        <v>621</v>
      </c>
      <c r="U41" s="972">
        <v>4946</v>
      </c>
    </row>
    <row r="42" spans="1:21" x14ac:dyDescent="0.25">
      <c r="A42" s="966">
        <v>90451</v>
      </c>
      <c r="B42" s="967" t="s">
        <v>2665</v>
      </c>
      <c r="C42" s="968">
        <v>1.6699999999999999E-5</v>
      </c>
      <c r="D42" s="968">
        <v>1.7900000000000001E-5</v>
      </c>
      <c r="E42" s="985">
        <v>7776</v>
      </c>
      <c r="F42" s="969">
        <v>25513</v>
      </c>
      <c r="G42" s="969"/>
      <c r="H42" s="970">
        <v>1470</v>
      </c>
      <c r="I42" s="971">
        <v>6194</v>
      </c>
      <c r="J42" s="970">
        <v>3644</v>
      </c>
      <c r="K42" s="969">
        <v>2202</v>
      </c>
      <c r="L42" s="971">
        <f t="shared" si="0"/>
        <v>13510</v>
      </c>
      <c r="M42" s="969"/>
      <c r="N42" s="970">
        <v>722</v>
      </c>
      <c r="O42" s="970">
        <v>0</v>
      </c>
      <c r="P42" s="969">
        <v>903</v>
      </c>
      <c r="Q42" s="971">
        <f t="shared" si="1"/>
        <v>1625</v>
      </c>
      <c r="R42" s="969"/>
      <c r="S42" s="970">
        <v>8598</v>
      </c>
      <c r="T42" s="972">
        <v>635</v>
      </c>
      <c r="U42" s="972">
        <f>9232+1</f>
        <v>9233</v>
      </c>
    </row>
    <row r="43" spans="1:21" x14ac:dyDescent="0.25">
      <c r="A43" s="966">
        <v>90461</v>
      </c>
      <c r="B43" s="967" t="s">
        <v>2666</v>
      </c>
      <c r="C43" s="968">
        <v>7.4000000000000003E-6</v>
      </c>
      <c r="D43" s="968">
        <v>1.7200000000000001E-5</v>
      </c>
      <c r="E43" s="985">
        <v>3691</v>
      </c>
      <c r="F43" s="969">
        <v>11305</v>
      </c>
      <c r="G43" s="969"/>
      <c r="H43" s="970">
        <v>651</v>
      </c>
      <c r="I43" s="971">
        <v>2745</v>
      </c>
      <c r="J43" s="970">
        <v>1615</v>
      </c>
      <c r="K43" s="969">
        <v>3066</v>
      </c>
      <c r="L43" s="971">
        <f t="shared" si="0"/>
        <v>8077</v>
      </c>
      <c r="M43" s="969"/>
      <c r="N43" s="970">
        <v>320</v>
      </c>
      <c r="O43" s="970">
        <v>0</v>
      </c>
      <c r="P43" s="969">
        <v>7660</v>
      </c>
      <c r="Q43" s="971">
        <f t="shared" si="1"/>
        <v>7980</v>
      </c>
      <c r="R43" s="969"/>
      <c r="S43" s="970">
        <v>3810</v>
      </c>
      <c r="T43" s="972">
        <v>-1001</v>
      </c>
      <c r="U43" s="972">
        <f>2808+1</f>
        <v>2809</v>
      </c>
    </row>
    <row r="44" spans="1:21" x14ac:dyDescent="0.25">
      <c r="A44" s="966">
        <v>90501</v>
      </c>
      <c r="B44" s="967" t="s">
        <v>2667</v>
      </c>
      <c r="C44" s="968">
        <v>1.4176E-3</v>
      </c>
      <c r="D44" s="968">
        <v>1.4001E-3</v>
      </c>
      <c r="E44" s="985">
        <v>670210</v>
      </c>
      <c r="F44" s="969">
        <v>2165700</v>
      </c>
      <c r="G44" s="969"/>
      <c r="H44" s="970">
        <v>124764</v>
      </c>
      <c r="I44" s="971">
        <v>525835</v>
      </c>
      <c r="J44" s="970">
        <v>309292</v>
      </c>
      <c r="K44" s="969">
        <v>53925</v>
      </c>
      <c r="L44" s="971">
        <f t="shared" si="0"/>
        <v>1013816</v>
      </c>
      <c r="M44" s="969"/>
      <c r="N44" s="970">
        <v>61304</v>
      </c>
      <c r="O44" s="970">
        <v>0</v>
      </c>
      <c r="P44" s="969">
        <v>0</v>
      </c>
      <c r="Q44" s="971">
        <f t="shared" si="1"/>
        <v>61304</v>
      </c>
      <c r="R44" s="969"/>
      <c r="S44" s="970">
        <v>729843</v>
      </c>
      <c r="T44" s="972">
        <v>27148</v>
      </c>
      <c r="U44" s="972">
        <v>756991</v>
      </c>
    </row>
    <row r="45" spans="1:21" x14ac:dyDescent="0.25">
      <c r="A45" s="966">
        <v>90507</v>
      </c>
      <c r="B45" s="967" t="s">
        <v>1196</v>
      </c>
      <c r="C45" s="968">
        <v>6.6000000000000003E-6</v>
      </c>
      <c r="D45" s="968">
        <v>7.3000000000000004E-6</v>
      </c>
      <c r="E45" s="985">
        <v>10408</v>
      </c>
      <c r="F45" s="969">
        <v>10083</v>
      </c>
      <c r="G45" s="969"/>
      <c r="H45" s="970">
        <v>581</v>
      </c>
      <c r="I45" s="971">
        <v>2448</v>
      </c>
      <c r="J45" s="970">
        <v>1440</v>
      </c>
      <c r="K45" s="969">
        <v>11545</v>
      </c>
      <c r="L45" s="971">
        <f t="shared" si="0"/>
        <v>16014</v>
      </c>
      <c r="M45" s="969"/>
      <c r="N45" s="970">
        <v>285</v>
      </c>
      <c r="O45" s="970">
        <v>0</v>
      </c>
      <c r="P45" s="969">
        <v>0</v>
      </c>
      <c r="Q45" s="971">
        <f t="shared" si="1"/>
        <v>285</v>
      </c>
      <c r="R45" s="969"/>
      <c r="S45" s="970">
        <v>3398</v>
      </c>
      <c r="T45" s="972">
        <v>4117</v>
      </c>
      <c r="U45" s="972">
        <v>7515</v>
      </c>
    </row>
    <row r="46" spans="1:21" x14ac:dyDescent="0.25">
      <c r="A46" s="966">
        <v>90511</v>
      </c>
      <c r="B46" s="967" t="s">
        <v>2668</v>
      </c>
      <c r="C46" s="968">
        <v>8.7000000000000001E-5</v>
      </c>
      <c r="D46" s="968">
        <v>9.5500000000000004E-5</v>
      </c>
      <c r="E46" s="985">
        <v>52403</v>
      </c>
      <c r="F46" s="969">
        <v>132912</v>
      </c>
      <c r="G46" s="969"/>
      <c r="H46" s="970">
        <v>7657</v>
      </c>
      <c r="I46" s="971">
        <v>32271</v>
      </c>
      <c r="J46" s="970">
        <v>18982</v>
      </c>
      <c r="K46" s="969">
        <v>14433</v>
      </c>
      <c r="L46" s="971">
        <f t="shared" si="0"/>
        <v>73343</v>
      </c>
      <c r="M46" s="969"/>
      <c r="N46" s="970">
        <v>3762</v>
      </c>
      <c r="O46" s="970">
        <v>0</v>
      </c>
      <c r="P46" s="969">
        <v>0</v>
      </c>
      <c r="Q46" s="971">
        <f t="shared" si="1"/>
        <v>3762</v>
      </c>
      <c r="R46" s="969"/>
      <c r="S46" s="970">
        <v>44791</v>
      </c>
      <c r="T46" s="972">
        <v>6485</v>
      </c>
      <c r="U46" s="972">
        <f>51277-1</f>
        <v>51276</v>
      </c>
    </row>
    <row r="47" spans="1:21" x14ac:dyDescent="0.25">
      <c r="A47" s="966">
        <v>90521</v>
      </c>
      <c r="B47" s="967" t="s">
        <v>2669</v>
      </c>
      <c r="C47" s="968">
        <v>1.3880000000000001E-4</v>
      </c>
      <c r="D47" s="968">
        <v>1.395E-4</v>
      </c>
      <c r="E47" s="985">
        <v>56198</v>
      </c>
      <c r="F47" s="969">
        <v>212048</v>
      </c>
      <c r="G47" s="969"/>
      <c r="H47" s="970">
        <v>12216</v>
      </c>
      <c r="I47" s="971">
        <v>51485</v>
      </c>
      <c r="J47" s="970">
        <v>30283</v>
      </c>
      <c r="K47" s="969">
        <v>0</v>
      </c>
      <c r="L47" s="971">
        <f t="shared" si="0"/>
        <v>93984</v>
      </c>
      <c r="M47" s="969"/>
      <c r="N47" s="970">
        <v>6002</v>
      </c>
      <c r="O47" s="970">
        <v>0</v>
      </c>
      <c r="P47" s="969">
        <v>18446</v>
      </c>
      <c r="Q47" s="971">
        <f t="shared" si="1"/>
        <v>24448</v>
      </c>
      <c r="R47" s="969"/>
      <c r="S47" s="970">
        <v>71460</v>
      </c>
      <c r="T47" s="972">
        <v>-7131</v>
      </c>
      <c r="U47" s="972">
        <v>64329</v>
      </c>
    </row>
    <row r="48" spans="1:21" x14ac:dyDescent="0.25">
      <c r="A48" s="966">
        <v>90601</v>
      </c>
      <c r="B48" s="967" t="s">
        <v>2670</v>
      </c>
      <c r="C48" s="968">
        <v>1.1888000000000001E-3</v>
      </c>
      <c r="D48" s="968">
        <v>1.1785999999999999E-3</v>
      </c>
      <c r="E48" s="985">
        <v>540985</v>
      </c>
      <c r="F48" s="969">
        <v>1816157</v>
      </c>
      <c r="G48" s="969"/>
      <c r="H48" s="970">
        <v>104627</v>
      </c>
      <c r="I48" s="971">
        <v>440965</v>
      </c>
      <c r="J48" s="970">
        <v>259372</v>
      </c>
      <c r="K48" s="969">
        <v>20795</v>
      </c>
      <c r="L48" s="971">
        <f t="shared" si="0"/>
        <v>825759</v>
      </c>
      <c r="M48" s="969"/>
      <c r="N48" s="970">
        <v>51410</v>
      </c>
      <c r="O48" s="970">
        <v>0</v>
      </c>
      <c r="P48" s="969">
        <v>19784</v>
      </c>
      <c r="Q48" s="971">
        <f t="shared" si="1"/>
        <v>71194</v>
      </c>
      <c r="R48" s="969"/>
      <c r="S48" s="970">
        <v>612047</v>
      </c>
      <c r="T48" s="972">
        <v>8359</v>
      </c>
      <c r="U48" s="972">
        <v>620406</v>
      </c>
    </row>
    <row r="49" spans="1:21" x14ac:dyDescent="0.25">
      <c r="A49" s="966">
        <v>90602</v>
      </c>
      <c r="B49" s="967" t="s">
        <v>2102</v>
      </c>
      <c r="C49" s="968">
        <v>6.3899999999999995E-5</v>
      </c>
      <c r="D49" s="968">
        <v>6.3299999999999994E-5</v>
      </c>
      <c r="E49" s="985">
        <v>34828</v>
      </c>
      <c r="F49" s="969">
        <v>97621</v>
      </c>
      <c r="G49" s="969"/>
      <c r="H49" s="970">
        <v>5624</v>
      </c>
      <c r="I49" s="971">
        <v>23703</v>
      </c>
      <c r="J49" s="970">
        <v>13942</v>
      </c>
      <c r="K49" s="969">
        <v>38810</v>
      </c>
      <c r="L49" s="971">
        <f t="shared" si="0"/>
        <v>82079</v>
      </c>
      <c r="M49" s="969"/>
      <c r="N49" s="970">
        <v>2763</v>
      </c>
      <c r="O49" s="970">
        <v>0</v>
      </c>
      <c r="P49" s="969">
        <v>0</v>
      </c>
      <c r="Q49" s="971">
        <f t="shared" si="1"/>
        <v>2763</v>
      </c>
      <c r="R49" s="969"/>
      <c r="S49" s="970">
        <v>32899</v>
      </c>
      <c r="T49" s="972">
        <v>14161</v>
      </c>
      <c r="U49" s="972">
        <f>47059+1</f>
        <v>47060</v>
      </c>
    </row>
    <row r="50" spans="1:21" x14ac:dyDescent="0.25">
      <c r="A50" s="966">
        <v>90605</v>
      </c>
      <c r="B50" s="967" t="s">
        <v>2671</v>
      </c>
      <c r="C50" s="968">
        <v>4.1999999999999998E-5</v>
      </c>
      <c r="D50" s="968">
        <v>3.8399999999999998E-5</v>
      </c>
      <c r="E50" s="985">
        <v>25461</v>
      </c>
      <c r="F50" s="969">
        <v>64164</v>
      </c>
      <c r="G50" s="969"/>
      <c r="H50" s="970">
        <v>3696</v>
      </c>
      <c r="I50" s="971">
        <v>15579</v>
      </c>
      <c r="J50" s="970">
        <v>9164</v>
      </c>
      <c r="K50" s="969">
        <v>15425</v>
      </c>
      <c r="L50" s="971">
        <f t="shared" si="0"/>
        <v>43864</v>
      </c>
      <c r="M50" s="969"/>
      <c r="N50" s="970">
        <v>1816</v>
      </c>
      <c r="O50" s="970">
        <v>0</v>
      </c>
      <c r="P50" s="969">
        <v>0</v>
      </c>
      <c r="Q50" s="971">
        <f t="shared" si="1"/>
        <v>1816</v>
      </c>
      <c r="R50" s="969"/>
      <c r="S50" s="970">
        <v>21623</v>
      </c>
      <c r="T50" s="972">
        <v>5623</v>
      </c>
      <c r="U50" s="972">
        <f>27247-1</f>
        <v>27246</v>
      </c>
    </row>
    <row r="51" spans="1:21" x14ac:dyDescent="0.25">
      <c r="A51" s="966">
        <v>90611</v>
      </c>
      <c r="B51" s="967" t="s">
        <v>2672</v>
      </c>
      <c r="C51" s="968">
        <v>1.4880000000000001E-4</v>
      </c>
      <c r="D51" s="968">
        <v>1.5669999999999999E-4</v>
      </c>
      <c r="E51" s="985">
        <v>64371</v>
      </c>
      <c r="F51" s="969">
        <v>227325</v>
      </c>
      <c r="G51" s="969"/>
      <c r="H51" s="970">
        <v>13096</v>
      </c>
      <c r="I51" s="971">
        <v>55195</v>
      </c>
      <c r="J51" s="970">
        <v>32465</v>
      </c>
      <c r="K51" s="969">
        <v>2524</v>
      </c>
      <c r="L51" s="971">
        <f t="shared" si="0"/>
        <v>103280</v>
      </c>
      <c r="M51" s="969"/>
      <c r="N51" s="970">
        <v>6435</v>
      </c>
      <c r="O51" s="970">
        <v>0</v>
      </c>
      <c r="P51" s="969">
        <v>18006</v>
      </c>
      <c r="Q51" s="971">
        <f t="shared" si="1"/>
        <v>24441</v>
      </c>
      <c r="R51" s="969"/>
      <c r="S51" s="970">
        <v>76609</v>
      </c>
      <c r="T51" s="972">
        <v>-3082</v>
      </c>
      <c r="U51" s="972">
        <v>73527</v>
      </c>
    </row>
    <row r="52" spans="1:21" x14ac:dyDescent="0.25">
      <c r="A52" s="966">
        <v>90617</v>
      </c>
      <c r="B52" s="967" t="s">
        <v>2673</v>
      </c>
      <c r="C52" s="968">
        <v>2.5999999999999998E-5</v>
      </c>
      <c r="D52" s="968">
        <v>2.6800000000000001E-5</v>
      </c>
      <c r="E52" s="985">
        <v>15821</v>
      </c>
      <c r="F52" s="969">
        <v>39721</v>
      </c>
      <c r="G52" s="969"/>
      <c r="H52" s="970">
        <v>2288</v>
      </c>
      <c r="I52" s="971">
        <v>9644</v>
      </c>
      <c r="J52" s="970">
        <v>5673</v>
      </c>
      <c r="K52" s="969">
        <v>7632</v>
      </c>
      <c r="L52" s="971">
        <f t="shared" si="0"/>
        <v>25237</v>
      </c>
      <c r="M52" s="969"/>
      <c r="N52" s="970">
        <v>1124</v>
      </c>
      <c r="O52" s="970">
        <v>0</v>
      </c>
      <c r="P52" s="969">
        <v>0</v>
      </c>
      <c r="Q52" s="971">
        <f t="shared" si="1"/>
        <v>1124</v>
      </c>
      <c r="R52" s="969"/>
      <c r="S52" s="970">
        <v>13386</v>
      </c>
      <c r="T52" s="972">
        <v>4087</v>
      </c>
      <c r="U52" s="972">
        <v>17473</v>
      </c>
    </row>
    <row r="53" spans="1:21" x14ac:dyDescent="0.25">
      <c r="A53" s="966">
        <v>90621</v>
      </c>
      <c r="B53" s="967" t="s">
        <v>2674</v>
      </c>
      <c r="C53" s="968">
        <v>6.3999999999999997E-5</v>
      </c>
      <c r="D53" s="968">
        <v>8.2100000000000003E-5</v>
      </c>
      <c r="E53" s="985">
        <v>27532</v>
      </c>
      <c r="F53" s="969">
        <v>97774</v>
      </c>
      <c r="G53" s="969"/>
      <c r="H53" s="970">
        <v>5633</v>
      </c>
      <c r="I53" s="971">
        <v>23740</v>
      </c>
      <c r="J53" s="970">
        <v>13964</v>
      </c>
      <c r="K53" s="969">
        <v>588</v>
      </c>
      <c r="L53" s="971">
        <f t="shared" si="0"/>
        <v>43925</v>
      </c>
      <c r="M53" s="969"/>
      <c r="N53" s="970">
        <v>2768</v>
      </c>
      <c r="O53" s="970">
        <v>0</v>
      </c>
      <c r="P53" s="969">
        <v>19000</v>
      </c>
      <c r="Q53" s="971">
        <f t="shared" si="1"/>
        <v>21768</v>
      </c>
      <c r="R53" s="969"/>
      <c r="S53" s="970">
        <v>32950</v>
      </c>
      <c r="T53" s="972">
        <v>-5337</v>
      </c>
      <c r="U53" s="972">
        <v>27613</v>
      </c>
    </row>
    <row r="54" spans="1:21" x14ac:dyDescent="0.25">
      <c r="A54" s="966">
        <v>90631</v>
      </c>
      <c r="B54" s="967" t="s">
        <v>2675</v>
      </c>
      <c r="C54" s="968">
        <v>3.9560000000000002E-4</v>
      </c>
      <c r="D54" s="968">
        <v>3.8000000000000002E-4</v>
      </c>
      <c r="E54" s="985">
        <v>175402</v>
      </c>
      <c r="F54" s="969">
        <v>604367</v>
      </c>
      <c r="G54" s="969"/>
      <c r="H54" s="970">
        <v>34817</v>
      </c>
      <c r="I54" s="971">
        <v>146742</v>
      </c>
      <c r="J54" s="970">
        <v>86312</v>
      </c>
      <c r="K54" s="969">
        <v>17764</v>
      </c>
      <c r="L54" s="971">
        <f t="shared" si="0"/>
        <v>285635</v>
      </c>
      <c r="M54" s="969"/>
      <c r="N54" s="970">
        <v>17108</v>
      </c>
      <c r="O54" s="970">
        <v>0</v>
      </c>
      <c r="P54" s="969">
        <v>8233</v>
      </c>
      <c r="Q54" s="971">
        <f t="shared" si="1"/>
        <v>25341</v>
      </c>
      <c r="R54" s="969"/>
      <c r="S54" s="970">
        <v>203672</v>
      </c>
      <c r="T54" s="972">
        <v>-484</v>
      </c>
      <c r="U54" s="972">
        <f>203189-1</f>
        <v>203188</v>
      </c>
    </row>
    <row r="55" spans="1:21" x14ac:dyDescent="0.25">
      <c r="A55" s="966">
        <v>90641</v>
      </c>
      <c r="B55" s="967" t="s">
        <v>2676</v>
      </c>
      <c r="C55" s="968">
        <v>1.38E-5</v>
      </c>
      <c r="D55" s="968">
        <v>1.4399999999999999E-5</v>
      </c>
      <c r="E55" s="985">
        <v>6944</v>
      </c>
      <c r="F55" s="969">
        <v>21083</v>
      </c>
      <c r="G55" s="969"/>
      <c r="H55" s="970">
        <v>1215</v>
      </c>
      <c r="I55" s="971">
        <v>5118</v>
      </c>
      <c r="J55" s="970">
        <v>3011</v>
      </c>
      <c r="K55" s="969">
        <v>304</v>
      </c>
      <c r="L55" s="971">
        <f t="shared" si="0"/>
        <v>9648</v>
      </c>
      <c r="M55" s="969"/>
      <c r="N55" s="970">
        <v>597</v>
      </c>
      <c r="O55" s="970">
        <v>0</v>
      </c>
      <c r="P55" s="969">
        <v>517</v>
      </c>
      <c r="Q55" s="971">
        <f t="shared" si="1"/>
        <v>1114</v>
      </c>
      <c r="R55" s="969"/>
      <c r="S55" s="970">
        <v>7105</v>
      </c>
      <c r="T55" s="972">
        <v>-123</v>
      </c>
      <c r="U55" s="972">
        <v>6982</v>
      </c>
    </row>
    <row r="56" spans="1:21" x14ac:dyDescent="0.25">
      <c r="A56" s="966">
        <v>90651</v>
      </c>
      <c r="B56" s="967" t="s">
        <v>2677</v>
      </c>
      <c r="C56" s="968">
        <v>1E-4</v>
      </c>
      <c r="D56" s="968">
        <v>1.108E-4</v>
      </c>
      <c r="E56" s="985">
        <v>98054</v>
      </c>
      <c r="F56" s="969">
        <v>152772</v>
      </c>
      <c r="G56" s="969"/>
      <c r="H56" s="970">
        <v>8801</v>
      </c>
      <c r="I56" s="971">
        <v>37093</v>
      </c>
      <c r="J56" s="970">
        <v>21818</v>
      </c>
      <c r="K56" s="969">
        <v>85885</v>
      </c>
      <c r="L56" s="971">
        <f t="shared" si="0"/>
        <v>153597</v>
      </c>
      <c r="M56" s="969"/>
      <c r="N56" s="970">
        <v>4325</v>
      </c>
      <c r="O56" s="970">
        <v>0</v>
      </c>
      <c r="P56" s="969">
        <v>4659</v>
      </c>
      <c r="Q56" s="971">
        <f t="shared" si="1"/>
        <v>8984</v>
      </c>
      <c r="R56" s="969"/>
      <c r="S56" s="970">
        <v>51484</v>
      </c>
      <c r="T56" s="972">
        <v>25671</v>
      </c>
      <c r="U56" s="972">
        <f>77156-1</f>
        <v>77155</v>
      </c>
    </row>
    <row r="57" spans="1:21" x14ac:dyDescent="0.25">
      <c r="A57" s="966">
        <v>90701</v>
      </c>
      <c r="B57" s="967" t="s">
        <v>3665</v>
      </c>
      <c r="C57" s="968">
        <v>2.6581E-3</v>
      </c>
      <c r="D57" s="968">
        <v>2.3587E-3</v>
      </c>
      <c r="E57" s="985">
        <v>1110621</v>
      </c>
      <c r="F57" s="969">
        <v>4060841</v>
      </c>
      <c r="G57" s="969"/>
      <c r="H57" s="970">
        <v>233942</v>
      </c>
      <c r="I57" s="971">
        <v>985977</v>
      </c>
      <c r="J57" s="970">
        <v>579944</v>
      </c>
      <c r="K57" s="969">
        <v>130818</v>
      </c>
      <c r="L57" s="971">
        <f t="shared" si="0"/>
        <v>1930681</v>
      </c>
      <c r="M57" s="969"/>
      <c r="N57" s="970">
        <v>114950</v>
      </c>
      <c r="O57" s="970">
        <v>0</v>
      </c>
      <c r="P57" s="969">
        <v>31847</v>
      </c>
      <c r="Q57" s="971">
        <f t="shared" si="1"/>
        <v>146797</v>
      </c>
      <c r="R57" s="969"/>
      <c r="S57" s="970">
        <v>1368507</v>
      </c>
      <c r="T57" s="972">
        <v>33872</v>
      </c>
      <c r="U57" s="972">
        <v>1402379</v>
      </c>
    </row>
    <row r="58" spans="1:21" x14ac:dyDescent="0.25">
      <c r="A58" s="966">
        <v>90704</v>
      </c>
      <c r="B58" s="967" t="s">
        <v>2679</v>
      </c>
      <c r="C58" s="968">
        <v>3.3300000000000003E-5</v>
      </c>
      <c r="D58" s="968">
        <v>3.4900000000000001E-5</v>
      </c>
      <c r="E58" s="985">
        <v>23859</v>
      </c>
      <c r="F58" s="969">
        <v>50873</v>
      </c>
      <c r="G58" s="969"/>
      <c r="H58" s="970">
        <v>2931</v>
      </c>
      <c r="I58" s="971">
        <v>12352</v>
      </c>
      <c r="J58" s="970">
        <v>7265</v>
      </c>
      <c r="K58" s="969">
        <v>14629</v>
      </c>
      <c r="L58" s="971">
        <f t="shared" si="0"/>
        <v>37177</v>
      </c>
      <c r="M58" s="969"/>
      <c r="N58" s="970">
        <v>1440</v>
      </c>
      <c r="O58" s="970">
        <v>0</v>
      </c>
      <c r="P58" s="969">
        <v>0</v>
      </c>
      <c r="Q58" s="971">
        <f t="shared" si="1"/>
        <v>1440</v>
      </c>
      <c r="R58" s="969"/>
      <c r="S58" s="970">
        <v>17144</v>
      </c>
      <c r="T58" s="972">
        <v>5643</v>
      </c>
      <c r="U58" s="972">
        <f>22788-1</f>
        <v>22787</v>
      </c>
    </row>
    <row r="59" spans="1:21" x14ac:dyDescent="0.25">
      <c r="A59" s="966">
        <v>90705</v>
      </c>
      <c r="B59" s="967" t="s">
        <v>2680</v>
      </c>
      <c r="C59" s="968">
        <v>5.3000000000000001E-5</v>
      </c>
      <c r="D59" s="968">
        <v>3.3899999999999997E-5</v>
      </c>
      <c r="E59" s="985">
        <v>23100</v>
      </c>
      <c r="F59" s="969">
        <v>80969</v>
      </c>
      <c r="G59" s="969"/>
      <c r="H59" s="970">
        <v>4665</v>
      </c>
      <c r="I59" s="971">
        <v>19659</v>
      </c>
      <c r="J59" s="970">
        <v>11564</v>
      </c>
      <c r="K59" s="969">
        <v>18366</v>
      </c>
      <c r="L59" s="971">
        <f t="shared" si="0"/>
        <v>54254</v>
      </c>
      <c r="M59" s="969"/>
      <c r="N59" s="970">
        <v>2292</v>
      </c>
      <c r="O59" s="970">
        <v>0</v>
      </c>
      <c r="P59" s="969">
        <v>0</v>
      </c>
      <c r="Q59" s="971">
        <f t="shared" si="1"/>
        <v>2292</v>
      </c>
      <c r="R59" s="969"/>
      <c r="S59" s="970">
        <v>27287</v>
      </c>
      <c r="T59" s="972">
        <v>6194</v>
      </c>
      <c r="U59" s="972">
        <v>33481</v>
      </c>
    </row>
    <row r="60" spans="1:21" x14ac:dyDescent="0.25">
      <c r="A60" s="966">
        <v>90709</v>
      </c>
      <c r="B60" s="967" t="s">
        <v>2681</v>
      </c>
      <c r="C60" s="968">
        <v>1.2650000000000001E-4</v>
      </c>
      <c r="D60" s="968">
        <v>1.4569999999999999E-4</v>
      </c>
      <c r="E60" s="985">
        <v>61710</v>
      </c>
      <c r="F60" s="969">
        <v>193257</v>
      </c>
      <c r="G60" s="969"/>
      <c r="H60" s="970">
        <v>11133</v>
      </c>
      <c r="I60" s="971">
        <v>46924</v>
      </c>
      <c r="J60" s="970">
        <v>27600</v>
      </c>
      <c r="K60" s="969">
        <v>5085</v>
      </c>
      <c r="L60" s="971">
        <f t="shared" si="0"/>
        <v>90742</v>
      </c>
      <c r="M60" s="969"/>
      <c r="N60" s="970">
        <v>5470</v>
      </c>
      <c r="O60" s="970">
        <v>0</v>
      </c>
      <c r="P60" s="969">
        <v>42511</v>
      </c>
      <c r="Q60" s="971">
        <f t="shared" si="1"/>
        <v>47981</v>
      </c>
      <c r="R60" s="969"/>
      <c r="S60" s="970">
        <v>65128</v>
      </c>
      <c r="T60" s="972">
        <v>-9374</v>
      </c>
      <c r="U60" s="972">
        <v>55754</v>
      </c>
    </row>
    <row r="61" spans="1:21" x14ac:dyDescent="0.25">
      <c r="A61" s="966">
        <v>90711</v>
      </c>
      <c r="B61" s="967" t="s">
        <v>2682</v>
      </c>
      <c r="C61" s="968">
        <v>1.6877000000000001E-3</v>
      </c>
      <c r="D61" s="968">
        <v>1.7302000000000001E-3</v>
      </c>
      <c r="E61" s="985">
        <v>774256</v>
      </c>
      <c r="F61" s="969">
        <v>2578338</v>
      </c>
      <c r="G61" s="969"/>
      <c r="H61" s="970">
        <v>148536</v>
      </c>
      <c r="I61" s="971">
        <v>626023</v>
      </c>
      <c r="J61" s="970">
        <v>368222</v>
      </c>
      <c r="K61" s="969">
        <v>0</v>
      </c>
      <c r="L61" s="971">
        <f t="shared" si="0"/>
        <v>1142781</v>
      </c>
      <c r="M61" s="969"/>
      <c r="N61" s="970">
        <v>72985</v>
      </c>
      <c r="O61" s="970">
        <v>0</v>
      </c>
      <c r="P61" s="969">
        <v>160849</v>
      </c>
      <c r="Q61" s="971">
        <f t="shared" si="1"/>
        <v>233834</v>
      </c>
      <c r="R61" s="969"/>
      <c r="S61" s="970">
        <v>868902</v>
      </c>
      <c r="T61" s="972">
        <v>-68798</v>
      </c>
      <c r="U61" s="972">
        <v>800104</v>
      </c>
    </row>
    <row r="62" spans="1:21" x14ac:dyDescent="0.25">
      <c r="A62" s="966">
        <v>90721</v>
      </c>
      <c r="B62" s="967" t="s">
        <v>2683</v>
      </c>
      <c r="C62" s="968">
        <v>2.8600000000000001E-5</v>
      </c>
      <c r="D62" s="968">
        <v>3.7299999999999999E-5</v>
      </c>
      <c r="E62" s="985">
        <v>15289</v>
      </c>
      <c r="F62" s="969">
        <v>43693</v>
      </c>
      <c r="G62" s="969"/>
      <c r="H62" s="970">
        <v>2517</v>
      </c>
      <c r="I62" s="971">
        <v>10608</v>
      </c>
      <c r="J62" s="970">
        <v>6240</v>
      </c>
      <c r="K62" s="969">
        <v>2956</v>
      </c>
      <c r="L62" s="971">
        <f t="shared" si="0"/>
        <v>22321</v>
      </c>
      <c r="M62" s="969"/>
      <c r="N62" s="970">
        <v>1237</v>
      </c>
      <c r="O62" s="970">
        <v>0</v>
      </c>
      <c r="P62" s="969">
        <v>4943</v>
      </c>
      <c r="Q62" s="971">
        <f t="shared" si="1"/>
        <v>6180</v>
      </c>
      <c r="R62" s="969"/>
      <c r="S62" s="970">
        <v>14725</v>
      </c>
      <c r="T62" s="972">
        <v>1072</v>
      </c>
      <c r="U62" s="972">
        <f>15796+1</f>
        <v>15797</v>
      </c>
    </row>
    <row r="63" spans="1:21" x14ac:dyDescent="0.25">
      <c r="A63" s="966">
        <v>90731</v>
      </c>
      <c r="B63" s="967" t="s">
        <v>2684</v>
      </c>
      <c r="C63" s="968">
        <v>1.741E-4</v>
      </c>
      <c r="D63" s="968">
        <v>1.917E-4</v>
      </c>
      <c r="E63" s="985">
        <v>79540</v>
      </c>
      <c r="F63" s="969">
        <v>265977</v>
      </c>
      <c r="G63" s="969"/>
      <c r="H63" s="970">
        <v>15323</v>
      </c>
      <c r="I63" s="971">
        <v>64580</v>
      </c>
      <c r="J63" s="970">
        <v>37985</v>
      </c>
      <c r="K63" s="969">
        <v>0</v>
      </c>
      <c r="L63" s="971">
        <f t="shared" si="0"/>
        <v>117888</v>
      </c>
      <c r="M63" s="969"/>
      <c r="N63" s="970">
        <v>7529</v>
      </c>
      <c r="O63" s="970">
        <v>0</v>
      </c>
      <c r="P63" s="969">
        <v>18148</v>
      </c>
      <c r="Q63" s="971">
        <f t="shared" si="1"/>
        <v>25677</v>
      </c>
      <c r="R63" s="969"/>
      <c r="S63" s="970">
        <v>89634</v>
      </c>
      <c r="T63" s="972">
        <v>-7025</v>
      </c>
      <c r="U63" s="972">
        <v>82609</v>
      </c>
    </row>
    <row r="64" spans="1:21" x14ac:dyDescent="0.25">
      <c r="A64" s="966">
        <v>90741</v>
      </c>
      <c r="B64" s="967" t="s">
        <v>2685</v>
      </c>
      <c r="C64" s="968">
        <v>9.0999999999999993E-6</v>
      </c>
      <c r="D64" s="968">
        <v>1.2099999999999999E-5</v>
      </c>
      <c r="E64" s="985">
        <v>6433</v>
      </c>
      <c r="F64" s="969">
        <v>13902</v>
      </c>
      <c r="G64" s="969"/>
      <c r="H64" s="970">
        <v>801</v>
      </c>
      <c r="I64" s="971">
        <v>3375</v>
      </c>
      <c r="J64" s="970">
        <v>1985</v>
      </c>
      <c r="K64" s="969">
        <v>2169</v>
      </c>
      <c r="L64" s="971">
        <f t="shared" si="0"/>
        <v>8330</v>
      </c>
      <c r="M64" s="969"/>
      <c r="N64" s="970">
        <v>394</v>
      </c>
      <c r="O64" s="970">
        <v>0</v>
      </c>
      <c r="P64" s="969">
        <v>952</v>
      </c>
      <c r="Q64" s="971">
        <f t="shared" si="1"/>
        <v>1346</v>
      </c>
      <c r="R64" s="969"/>
      <c r="S64" s="970">
        <v>4685</v>
      </c>
      <c r="T64" s="972">
        <v>235</v>
      </c>
      <c r="U64" s="972">
        <v>4920</v>
      </c>
    </row>
    <row r="65" spans="1:21" x14ac:dyDescent="0.25">
      <c r="A65" s="966">
        <v>90751</v>
      </c>
      <c r="B65" s="967" t="s">
        <v>2686</v>
      </c>
      <c r="C65" s="968">
        <v>6.8700000000000003E-5</v>
      </c>
      <c r="D65" s="968">
        <v>6.5599999999999995E-5</v>
      </c>
      <c r="E65" s="985">
        <v>27591</v>
      </c>
      <c r="F65" s="969">
        <v>104955</v>
      </c>
      <c r="G65" s="969"/>
      <c r="H65" s="970">
        <v>6046</v>
      </c>
      <c r="I65" s="971">
        <v>25483</v>
      </c>
      <c r="J65" s="970">
        <v>14989</v>
      </c>
      <c r="K65" s="969">
        <v>4940</v>
      </c>
      <c r="L65" s="971">
        <f t="shared" si="0"/>
        <v>51458</v>
      </c>
      <c r="M65" s="969"/>
      <c r="N65" s="970">
        <v>2971</v>
      </c>
      <c r="O65" s="970">
        <v>0</v>
      </c>
      <c r="P65" s="969">
        <v>1080</v>
      </c>
      <c r="Q65" s="971">
        <f t="shared" si="1"/>
        <v>4051</v>
      </c>
      <c r="R65" s="969"/>
      <c r="S65" s="970">
        <v>35370</v>
      </c>
      <c r="T65" s="972">
        <v>3400</v>
      </c>
      <c r="U65" s="972">
        <v>38770</v>
      </c>
    </row>
    <row r="66" spans="1:21" x14ac:dyDescent="0.25">
      <c r="A66" s="966">
        <v>90801</v>
      </c>
      <c r="B66" s="967" t="s">
        <v>2687</v>
      </c>
      <c r="C66" s="968">
        <v>1.3064000000000001E-3</v>
      </c>
      <c r="D66" s="968">
        <v>1.1404E-3</v>
      </c>
      <c r="E66" s="985">
        <v>521156</v>
      </c>
      <c r="F66" s="969">
        <v>1995817</v>
      </c>
      <c r="G66" s="969"/>
      <c r="H66" s="970">
        <v>114978</v>
      </c>
      <c r="I66" s="971">
        <v>484586</v>
      </c>
      <c r="J66" s="970">
        <v>285030</v>
      </c>
      <c r="K66" s="969">
        <v>151641</v>
      </c>
      <c r="L66" s="971">
        <f t="shared" si="0"/>
        <v>1036235</v>
      </c>
      <c r="M66" s="969"/>
      <c r="N66" s="970">
        <v>56495</v>
      </c>
      <c r="O66" s="970">
        <v>0</v>
      </c>
      <c r="P66" s="969">
        <v>0</v>
      </c>
      <c r="Q66" s="971">
        <f t="shared" si="1"/>
        <v>56495</v>
      </c>
      <c r="R66" s="969"/>
      <c r="S66" s="970">
        <v>672592</v>
      </c>
      <c r="T66" s="972">
        <v>65370</v>
      </c>
      <c r="U66" s="972">
        <v>737962</v>
      </c>
    </row>
    <row r="67" spans="1:21" x14ac:dyDescent="0.25">
      <c r="A67" s="966">
        <v>90804</v>
      </c>
      <c r="B67" s="967" t="s">
        <v>2688</v>
      </c>
      <c r="C67" s="968">
        <v>6.1999999999999999E-6</v>
      </c>
      <c r="D67" s="968">
        <v>6.0000000000000002E-6</v>
      </c>
      <c r="E67" s="985">
        <v>2751</v>
      </c>
      <c r="F67" s="969">
        <v>9472</v>
      </c>
      <c r="G67" s="969"/>
      <c r="H67" s="970">
        <v>546</v>
      </c>
      <c r="I67" s="971">
        <v>2300</v>
      </c>
      <c r="J67" s="970">
        <v>1353</v>
      </c>
      <c r="K67" s="969">
        <v>1462</v>
      </c>
      <c r="L67" s="971">
        <f t="shared" si="0"/>
        <v>5661</v>
      </c>
      <c r="M67" s="969"/>
      <c r="N67" s="970">
        <v>268</v>
      </c>
      <c r="O67" s="970">
        <v>0</v>
      </c>
      <c r="P67" s="969">
        <v>0</v>
      </c>
      <c r="Q67" s="971">
        <f t="shared" si="1"/>
        <v>268</v>
      </c>
      <c r="R67" s="969"/>
      <c r="S67" s="970">
        <v>3192</v>
      </c>
      <c r="T67" s="972">
        <v>893</v>
      </c>
      <c r="U67" s="972">
        <v>4085</v>
      </c>
    </row>
    <row r="68" spans="1:21" x14ac:dyDescent="0.25">
      <c r="A68" s="966">
        <v>90805</v>
      </c>
      <c r="B68" s="967" t="s">
        <v>2689</v>
      </c>
      <c r="C68" s="968">
        <v>5.1900000000000001E-5</v>
      </c>
      <c r="D68" s="968">
        <v>5.5099999999999998E-5</v>
      </c>
      <c r="E68" s="985">
        <v>35600</v>
      </c>
      <c r="F68" s="969">
        <v>79289</v>
      </c>
      <c r="G68" s="969"/>
      <c r="H68" s="970">
        <v>4568</v>
      </c>
      <c r="I68" s="971">
        <v>19252</v>
      </c>
      <c r="J68" s="970">
        <v>11324</v>
      </c>
      <c r="K68" s="969">
        <v>22022</v>
      </c>
      <c r="L68" s="971">
        <f t="shared" si="0"/>
        <v>57166</v>
      </c>
      <c r="M68" s="969"/>
      <c r="N68" s="970">
        <v>2244</v>
      </c>
      <c r="O68" s="970">
        <v>0</v>
      </c>
      <c r="P68" s="969">
        <v>0</v>
      </c>
      <c r="Q68" s="971">
        <f t="shared" si="1"/>
        <v>2244</v>
      </c>
      <c r="R68" s="969"/>
      <c r="S68" s="970">
        <v>26720</v>
      </c>
      <c r="T68" s="972">
        <v>9443</v>
      </c>
      <c r="U68" s="972">
        <v>36163</v>
      </c>
    </row>
    <row r="69" spans="1:21" x14ac:dyDescent="0.25">
      <c r="A69" s="966">
        <v>90808</v>
      </c>
      <c r="B69" s="967" t="s">
        <v>2690</v>
      </c>
      <c r="C69" s="968">
        <v>1.131E-4</v>
      </c>
      <c r="D69" s="968">
        <v>1.109E-4</v>
      </c>
      <c r="E69" s="985">
        <v>56029</v>
      </c>
      <c r="F69" s="969">
        <v>172785</v>
      </c>
      <c r="G69" s="969"/>
      <c r="H69" s="970">
        <v>9954</v>
      </c>
      <c r="I69" s="971">
        <v>41952</v>
      </c>
      <c r="J69" s="970">
        <v>24676</v>
      </c>
      <c r="K69" s="969">
        <v>5678</v>
      </c>
      <c r="L69" s="971">
        <f t="shared" si="0"/>
        <v>82260</v>
      </c>
      <c r="M69" s="969"/>
      <c r="N69" s="970">
        <v>4891</v>
      </c>
      <c r="O69" s="970">
        <v>0</v>
      </c>
      <c r="P69" s="969">
        <v>2008</v>
      </c>
      <c r="Q69" s="971">
        <f t="shared" si="1"/>
        <v>6899</v>
      </c>
      <c r="R69" s="969"/>
      <c r="S69" s="970">
        <v>58229</v>
      </c>
      <c r="T69" s="972">
        <v>731</v>
      </c>
      <c r="U69" s="972">
        <f>58959+1</f>
        <v>58960</v>
      </c>
    </row>
    <row r="70" spans="1:21" x14ac:dyDescent="0.25">
      <c r="A70" s="966">
        <v>90811</v>
      </c>
      <c r="B70" s="967" t="s">
        <v>2691</v>
      </c>
      <c r="C70" s="968">
        <v>3.3599999999999997E-5</v>
      </c>
      <c r="D70" s="968">
        <v>4.0000000000000003E-5</v>
      </c>
      <c r="E70" s="985">
        <v>11655</v>
      </c>
      <c r="F70" s="969">
        <v>51331</v>
      </c>
      <c r="G70" s="969"/>
      <c r="H70" s="970">
        <v>2957</v>
      </c>
      <c r="I70" s="971">
        <v>12463</v>
      </c>
      <c r="J70" s="970">
        <v>7331</v>
      </c>
      <c r="K70" s="969">
        <v>471</v>
      </c>
      <c r="L70" s="971">
        <f t="shared" si="0"/>
        <v>23222</v>
      </c>
      <c r="M70" s="969"/>
      <c r="N70" s="970">
        <v>1453</v>
      </c>
      <c r="O70" s="970">
        <v>0</v>
      </c>
      <c r="P70" s="969">
        <v>8846</v>
      </c>
      <c r="Q70" s="971">
        <f t="shared" si="1"/>
        <v>10299</v>
      </c>
      <c r="R70" s="969"/>
      <c r="S70" s="970">
        <v>17299</v>
      </c>
      <c r="T70" s="972">
        <v>-1986</v>
      </c>
      <c r="U70" s="972">
        <v>15313</v>
      </c>
    </row>
    <row r="71" spans="1:21" x14ac:dyDescent="0.25">
      <c r="A71" s="966">
        <v>90812</v>
      </c>
      <c r="B71" s="967" t="s">
        <v>2692</v>
      </c>
      <c r="C71" s="968">
        <v>2.2900000000000001E-4</v>
      </c>
      <c r="D71" s="968">
        <v>2.13E-4</v>
      </c>
      <c r="E71" s="985">
        <v>105040</v>
      </c>
      <c r="F71" s="969">
        <v>349849</v>
      </c>
      <c r="G71" s="969"/>
      <c r="H71" s="970">
        <v>20155</v>
      </c>
      <c r="I71" s="971">
        <v>84944</v>
      </c>
      <c r="J71" s="970">
        <v>49963</v>
      </c>
      <c r="K71" s="969">
        <v>15087</v>
      </c>
      <c r="L71" s="971">
        <f t="shared" ref="L71:L134" si="2">H71+I71+J71+K71</f>
        <v>170149</v>
      </c>
      <c r="M71" s="969"/>
      <c r="N71" s="970">
        <v>9903</v>
      </c>
      <c r="O71" s="970">
        <v>0</v>
      </c>
      <c r="P71" s="969">
        <v>10549</v>
      </c>
      <c r="Q71" s="971">
        <f t="shared" ref="Q71:Q134" si="3">N71+O71+P71</f>
        <v>20452</v>
      </c>
      <c r="R71" s="969"/>
      <c r="S71" s="970">
        <v>117899</v>
      </c>
      <c r="T71" s="972">
        <v>3117</v>
      </c>
      <c r="U71" s="972">
        <v>121016</v>
      </c>
    </row>
    <row r="72" spans="1:21" x14ac:dyDescent="0.25">
      <c r="A72" s="966">
        <v>90813</v>
      </c>
      <c r="B72" s="967" t="s">
        <v>2693</v>
      </c>
      <c r="C72" s="968">
        <v>5.3000000000000001E-6</v>
      </c>
      <c r="D72" s="968">
        <v>5.4999999999999999E-6</v>
      </c>
      <c r="E72" s="985">
        <v>2061</v>
      </c>
      <c r="F72" s="969">
        <v>8097</v>
      </c>
      <c r="G72" s="969"/>
      <c r="H72" s="970">
        <v>466</v>
      </c>
      <c r="I72" s="971">
        <v>1966</v>
      </c>
      <c r="J72" s="970">
        <v>1156</v>
      </c>
      <c r="K72" s="969">
        <v>0</v>
      </c>
      <c r="L72" s="971">
        <f t="shared" si="2"/>
        <v>3588</v>
      </c>
      <c r="M72" s="969"/>
      <c r="N72" s="970">
        <v>229</v>
      </c>
      <c r="O72" s="970">
        <v>0</v>
      </c>
      <c r="P72" s="969">
        <v>1124</v>
      </c>
      <c r="Q72" s="971">
        <f t="shared" si="3"/>
        <v>1353</v>
      </c>
      <c r="R72" s="969"/>
      <c r="S72" s="970">
        <v>2729</v>
      </c>
      <c r="T72" s="972">
        <v>-505</v>
      </c>
      <c r="U72" s="972">
        <f>2223+1</f>
        <v>2224</v>
      </c>
    </row>
    <row r="73" spans="1:21" x14ac:dyDescent="0.25">
      <c r="A73" s="966">
        <v>90861</v>
      </c>
      <c r="B73" s="967" t="s">
        <v>2694</v>
      </c>
      <c r="C73" s="968">
        <v>4.1999999999999996E-6</v>
      </c>
      <c r="D73" s="968">
        <v>4.7999999999999998E-6</v>
      </c>
      <c r="E73" s="985">
        <v>3703</v>
      </c>
      <c r="F73" s="969">
        <v>6416</v>
      </c>
      <c r="G73" s="969"/>
      <c r="H73" s="970">
        <v>370</v>
      </c>
      <c r="I73" s="971">
        <v>1558</v>
      </c>
      <c r="J73" s="970">
        <v>916</v>
      </c>
      <c r="K73" s="969">
        <v>3211</v>
      </c>
      <c r="L73" s="971">
        <f t="shared" si="2"/>
        <v>6055</v>
      </c>
      <c r="M73" s="969"/>
      <c r="N73" s="970">
        <v>182</v>
      </c>
      <c r="O73" s="970">
        <v>0</v>
      </c>
      <c r="P73" s="969">
        <v>1117</v>
      </c>
      <c r="Q73" s="971">
        <f t="shared" si="3"/>
        <v>1299</v>
      </c>
      <c r="R73" s="969"/>
      <c r="S73" s="970">
        <v>2162</v>
      </c>
      <c r="T73" s="972">
        <v>191</v>
      </c>
      <c r="U73" s="972">
        <v>2353</v>
      </c>
    </row>
    <row r="74" spans="1:21" x14ac:dyDescent="0.25">
      <c r="A74" s="966">
        <v>90901</v>
      </c>
      <c r="B74" s="967" t="s">
        <v>2695</v>
      </c>
      <c r="C74" s="968">
        <v>2.1814999999999998E-3</v>
      </c>
      <c r="D74" s="968">
        <v>2.1302999999999999E-3</v>
      </c>
      <c r="E74" s="985">
        <v>980897</v>
      </c>
      <c r="F74" s="969">
        <v>3332728</v>
      </c>
      <c r="G74" s="969"/>
      <c r="H74" s="970">
        <v>191996</v>
      </c>
      <c r="I74" s="971">
        <v>809191</v>
      </c>
      <c r="J74" s="970">
        <v>475960</v>
      </c>
      <c r="K74" s="969">
        <v>22389</v>
      </c>
      <c r="L74" s="971">
        <f t="shared" si="2"/>
        <v>1499536</v>
      </c>
      <c r="M74" s="969"/>
      <c r="N74" s="970">
        <v>94339</v>
      </c>
      <c r="O74" s="970">
        <v>0</v>
      </c>
      <c r="P74" s="969">
        <v>38005</v>
      </c>
      <c r="Q74" s="971">
        <f t="shared" si="3"/>
        <v>132344</v>
      </c>
      <c r="R74" s="969"/>
      <c r="S74" s="970">
        <v>1123132</v>
      </c>
      <c r="T74" s="972">
        <v>-5969</v>
      </c>
      <c r="U74" s="972">
        <v>1117163</v>
      </c>
    </row>
    <row r="75" spans="1:21" x14ac:dyDescent="0.25">
      <c r="A75" s="966">
        <v>90911</v>
      </c>
      <c r="B75" s="967" t="s">
        <v>2696</v>
      </c>
      <c r="C75" s="968">
        <v>3.9780000000000002E-4</v>
      </c>
      <c r="D75" s="968">
        <v>3.6010000000000003E-4</v>
      </c>
      <c r="E75" s="985">
        <v>159535</v>
      </c>
      <c r="F75" s="969">
        <v>607728</v>
      </c>
      <c r="G75" s="969"/>
      <c r="H75" s="970">
        <v>35011</v>
      </c>
      <c r="I75" s="971">
        <v>147557</v>
      </c>
      <c r="J75" s="970">
        <v>86792</v>
      </c>
      <c r="K75" s="969">
        <v>6806</v>
      </c>
      <c r="L75" s="971">
        <f t="shared" si="2"/>
        <v>276166</v>
      </c>
      <c r="M75" s="969"/>
      <c r="N75" s="970">
        <v>17203</v>
      </c>
      <c r="O75" s="970">
        <v>0</v>
      </c>
      <c r="P75" s="969">
        <v>31482</v>
      </c>
      <c r="Q75" s="971">
        <f t="shared" si="3"/>
        <v>48685</v>
      </c>
      <c r="R75" s="969"/>
      <c r="S75" s="970">
        <v>204805</v>
      </c>
      <c r="T75" s="972">
        <v>-18326</v>
      </c>
      <c r="U75" s="972">
        <v>186479</v>
      </c>
    </row>
    <row r="76" spans="1:21" x14ac:dyDescent="0.25">
      <c r="A76" s="966">
        <v>90917</v>
      </c>
      <c r="B76" s="967" t="s">
        <v>2697</v>
      </c>
      <c r="C76" s="968">
        <v>1.4399999999999999E-5</v>
      </c>
      <c r="D76" s="968">
        <v>1.42E-5</v>
      </c>
      <c r="E76" s="985">
        <v>5784</v>
      </c>
      <c r="F76" s="969">
        <v>21999</v>
      </c>
      <c r="G76" s="969"/>
      <c r="H76" s="970">
        <v>1267</v>
      </c>
      <c r="I76" s="971">
        <v>5342</v>
      </c>
      <c r="J76" s="970">
        <v>3142</v>
      </c>
      <c r="K76" s="969">
        <v>1461</v>
      </c>
      <c r="L76" s="971">
        <f t="shared" si="2"/>
        <v>11212</v>
      </c>
      <c r="M76" s="969"/>
      <c r="N76" s="970">
        <v>623</v>
      </c>
      <c r="O76" s="970">
        <v>0</v>
      </c>
      <c r="P76" s="969">
        <v>966</v>
      </c>
      <c r="Q76" s="971">
        <f t="shared" si="3"/>
        <v>1589</v>
      </c>
      <c r="R76" s="969"/>
      <c r="S76" s="970">
        <v>7414</v>
      </c>
      <c r="T76" s="972">
        <v>-22</v>
      </c>
      <c r="U76" s="972">
        <v>7392</v>
      </c>
    </row>
    <row r="77" spans="1:21" x14ac:dyDescent="0.25">
      <c r="A77" s="966">
        <v>90918</v>
      </c>
      <c r="B77" s="967" t="s">
        <v>2698</v>
      </c>
      <c r="C77" s="968">
        <v>1.19E-5</v>
      </c>
      <c r="D77" s="968">
        <v>1.24E-5</v>
      </c>
      <c r="E77" s="985">
        <v>4773</v>
      </c>
      <c r="F77" s="969">
        <v>18180</v>
      </c>
      <c r="G77" s="969"/>
      <c r="H77" s="970">
        <v>1047</v>
      </c>
      <c r="I77" s="971">
        <v>4414</v>
      </c>
      <c r="J77" s="970">
        <v>2596</v>
      </c>
      <c r="K77" s="969">
        <v>0</v>
      </c>
      <c r="L77" s="971">
        <f t="shared" si="2"/>
        <v>8057</v>
      </c>
      <c r="M77" s="969"/>
      <c r="N77" s="970">
        <v>515</v>
      </c>
      <c r="O77" s="970">
        <v>0</v>
      </c>
      <c r="P77" s="969">
        <v>2553</v>
      </c>
      <c r="Q77" s="971">
        <f t="shared" si="3"/>
        <v>3068</v>
      </c>
      <c r="R77" s="969"/>
      <c r="S77" s="970">
        <v>6127</v>
      </c>
      <c r="T77" s="972">
        <v>-1087</v>
      </c>
      <c r="U77" s="972">
        <f>5039+1</f>
        <v>5040</v>
      </c>
    </row>
    <row r="78" spans="1:21" x14ac:dyDescent="0.25">
      <c r="A78" s="966">
        <v>90921</v>
      </c>
      <c r="B78" s="967" t="s">
        <v>2699</v>
      </c>
      <c r="C78" s="968">
        <v>1.2970000000000001E-4</v>
      </c>
      <c r="D78" s="968">
        <v>8.7399999999999997E-5</v>
      </c>
      <c r="E78" s="985">
        <v>59486</v>
      </c>
      <c r="F78" s="969">
        <v>198146</v>
      </c>
      <c r="G78" s="969"/>
      <c r="H78" s="970">
        <v>11415</v>
      </c>
      <c r="I78" s="971">
        <v>48110</v>
      </c>
      <c r="J78" s="970">
        <v>28298</v>
      </c>
      <c r="K78" s="969">
        <v>31212</v>
      </c>
      <c r="L78" s="971">
        <f t="shared" si="2"/>
        <v>119035</v>
      </c>
      <c r="M78" s="969"/>
      <c r="N78" s="970">
        <v>5609</v>
      </c>
      <c r="O78" s="970">
        <v>0</v>
      </c>
      <c r="P78" s="969">
        <v>7007</v>
      </c>
      <c r="Q78" s="971">
        <f t="shared" si="3"/>
        <v>12616</v>
      </c>
      <c r="R78" s="969"/>
      <c r="S78" s="970">
        <v>66775</v>
      </c>
      <c r="T78" s="972">
        <v>5102</v>
      </c>
      <c r="U78" s="972">
        <v>71877</v>
      </c>
    </row>
    <row r="79" spans="1:21" x14ac:dyDescent="0.25">
      <c r="A79" s="966">
        <v>90931</v>
      </c>
      <c r="B79" s="967" t="s">
        <v>2700</v>
      </c>
      <c r="C79" s="968">
        <v>4.07E-5</v>
      </c>
      <c r="D79" s="968">
        <v>5.1900000000000001E-5</v>
      </c>
      <c r="E79" s="985">
        <v>16168</v>
      </c>
      <c r="F79" s="969">
        <v>62178</v>
      </c>
      <c r="G79" s="969"/>
      <c r="H79" s="970">
        <v>3582</v>
      </c>
      <c r="I79" s="971">
        <v>15097</v>
      </c>
      <c r="J79" s="970">
        <v>8880</v>
      </c>
      <c r="K79" s="969">
        <v>3743</v>
      </c>
      <c r="L79" s="971">
        <f t="shared" si="2"/>
        <v>31302</v>
      </c>
      <c r="M79" s="969"/>
      <c r="N79" s="970">
        <v>1760</v>
      </c>
      <c r="O79" s="970">
        <v>0</v>
      </c>
      <c r="P79" s="969">
        <v>14137</v>
      </c>
      <c r="Q79" s="971">
        <f t="shared" si="3"/>
        <v>15897</v>
      </c>
      <c r="R79" s="969"/>
      <c r="S79" s="970">
        <v>20954</v>
      </c>
      <c r="T79" s="972">
        <v>-1298</v>
      </c>
      <c r="U79" s="972">
        <v>19656</v>
      </c>
    </row>
    <row r="80" spans="1:21" x14ac:dyDescent="0.25">
      <c r="A80" s="966">
        <v>90941</v>
      </c>
      <c r="B80" s="967" t="s">
        <v>2701</v>
      </c>
      <c r="C80" s="968">
        <v>7.0300000000000001E-5</v>
      </c>
      <c r="D80" s="968">
        <v>9.0799999999999998E-5</v>
      </c>
      <c r="E80" s="985">
        <v>35455</v>
      </c>
      <c r="F80" s="969">
        <v>107399</v>
      </c>
      <c r="G80" s="969"/>
      <c r="H80" s="970">
        <v>6187</v>
      </c>
      <c r="I80" s="971">
        <v>26076</v>
      </c>
      <c r="J80" s="970">
        <v>15338</v>
      </c>
      <c r="K80" s="969">
        <v>1686</v>
      </c>
      <c r="L80" s="971">
        <f t="shared" si="2"/>
        <v>49287</v>
      </c>
      <c r="M80" s="969"/>
      <c r="N80" s="970">
        <v>3040</v>
      </c>
      <c r="O80" s="970">
        <v>0</v>
      </c>
      <c r="P80" s="969">
        <v>16031</v>
      </c>
      <c r="Q80" s="971">
        <f t="shared" si="3"/>
        <v>19071</v>
      </c>
      <c r="R80" s="969"/>
      <c r="S80" s="970">
        <v>36194</v>
      </c>
      <c r="T80" s="972">
        <v>-4988</v>
      </c>
      <c r="U80" s="972">
        <f>31205+1</f>
        <v>31206</v>
      </c>
    </row>
    <row r="81" spans="1:21" x14ac:dyDescent="0.25">
      <c r="A81" s="966">
        <v>91001</v>
      </c>
      <c r="B81" s="967" t="s">
        <v>2702</v>
      </c>
      <c r="C81" s="968">
        <v>6.6703999999999999E-3</v>
      </c>
      <c r="D81" s="968">
        <v>6.6189999999999999E-3</v>
      </c>
      <c r="E81" s="985">
        <v>2867178</v>
      </c>
      <c r="F81" s="969">
        <v>10190523</v>
      </c>
      <c r="G81" s="969"/>
      <c r="H81" s="970">
        <v>587069</v>
      </c>
      <c r="I81" s="971">
        <v>2474271</v>
      </c>
      <c r="J81" s="970">
        <v>1455348</v>
      </c>
      <c r="K81" s="969">
        <v>35831</v>
      </c>
      <c r="L81" s="971">
        <f t="shared" si="2"/>
        <v>4552519</v>
      </c>
      <c r="M81" s="969"/>
      <c r="N81" s="970">
        <v>288461</v>
      </c>
      <c r="O81" s="970">
        <v>0</v>
      </c>
      <c r="P81" s="969">
        <v>269013</v>
      </c>
      <c r="Q81" s="971">
        <f t="shared" si="3"/>
        <v>557474</v>
      </c>
      <c r="R81" s="969"/>
      <c r="S81" s="970">
        <v>3434215</v>
      </c>
      <c r="T81" s="972">
        <v>-50061</v>
      </c>
      <c r="U81" s="972">
        <v>3384154</v>
      </c>
    </row>
    <row r="82" spans="1:21" x14ac:dyDescent="0.25">
      <c r="A82" s="966">
        <v>91002</v>
      </c>
      <c r="B82" s="967" t="s">
        <v>2703</v>
      </c>
      <c r="C82" s="968">
        <v>6.8860000000000004E-4</v>
      </c>
      <c r="D82" s="968">
        <v>5.6360000000000004E-4</v>
      </c>
      <c r="E82" s="985">
        <v>257315</v>
      </c>
      <c r="F82" s="969">
        <v>1051990</v>
      </c>
      <c r="G82" s="969"/>
      <c r="H82" s="970">
        <v>60604</v>
      </c>
      <c r="I82" s="971">
        <v>255424</v>
      </c>
      <c r="J82" s="970">
        <v>150239</v>
      </c>
      <c r="K82" s="969">
        <v>39390</v>
      </c>
      <c r="L82" s="971">
        <f t="shared" si="2"/>
        <v>505657</v>
      </c>
      <c r="M82" s="969"/>
      <c r="N82" s="970">
        <v>29779</v>
      </c>
      <c r="O82" s="970">
        <v>0</v>
      </c>
      <c r="P82" s="969">
        <v>48600</v>
      </c>
      <c r="Q82" s="971">
        <f t="shared" si="3"/>
        <v>78379</v>
      </c>
      <c r="R82" s="969"/>
      <c r="S82" s="970">
        <v>354522</v>
      </c>
      <c r="T82" s="972">
        <v>-8849</v>
      </c>
      <c r="U82" s="972">
        <v>345673</v>
      </c>
    </row>
    <row r="83" spans="1:21" x14ac:dyDescent="0.25">
      <c r="A83" s="966">
        <v>91003</v>
      </c>
      <c r="B83" s="967" t="s">
        <v>2704</v>
      </c>
      <c r="C83" s="968">
        <v>5.7260000000000004E-4</v>
      </c>
      <c r="D83" s="968">
        <v>5.6550000000000003E-4</v>
      </c>
      <c r="E83" s="985">
        <v>268789</v>
      </c>
      <c r="F83" s="969">
        <v>874774</v>
      </c>
      <c r="G83" s="969"/>
      <c r="H83" s="970">
        <v>50395</v>
      </c>
      <c r="I83" s="971">
        <v>212396</v>
      </c>
      <c r="J83" s="970">
        <v>124930</v>
      </c>
      <c r="K83" s="969">
        <v>27734</v>
      </c>
      <c r="L83" s="971">
        <f t="shared" si="2"/>
        <v>415455</v>
      </c>
      <c r="M83" s="969"/>
      <c r="N83" s="970">
        <v>24762</v>
      </c>
      <c r="O83" s="970">
        <v>0</v>
      </c>
      <c r="P83" s="969">
        <v>28524</v>
      </c>
      <c r="Q83" s="971">
        <f t="shared" si="3"/>
        <v>53286</v>
      </c>
      <c r="R83" s="969"/>
      <c r="S83" s="970">
        <v>294800</v>
      </c>
      <c r="T83" s="972">
        <v>7266</v>
      </c>
      <c r="U83" s="972">
        <v>302066</v>
      </c>
    </row>
    <row r="84" spans="1:21" x14ac:dyDescent="0.25">
      <c r="A84" s="966">
        <v>91004</v>
      </c>
      <c r="B84" s="967" t="s">
        <v>2705</v>
      </c>
      <c r="C84" s="968">
        <v>2.58E-5</v>
      </c>
      <c r="D84" s="968">
        <v>1.7499999999999998E-5</v>
      </c>
      <c r="E84" s="985">
        <v>13568</v>
      </c>
      <c r="F84" s="969">
        <v>39415</v>
      </c>
      <c r="G84" s="969"/>
      <c r="H84" s="970">
        <v>2271</v>
      </c>
      <c r="I84" s="971">
        <v>9571</v>
      </c>
      <c r="J84" s="970">
        <v>5629</v>
      </c>
      <c r="K84" s="969">
        <v>12153</v>
      </c>
      <c r="L84" s="971">
        <f t="shared" si="2"/>
        <v>29624</v>
      </c>
      <c r="M84" s="969"/>
      <c r="N84" s="970">
        <v>1116</v>
      </c>
      <c r="O84" s="970">
        <v>0</v>
      </c>
      <c r="P84" s="969">
        <v>108</v>
      </c>
      <c r="Q84" s="971">
        <f t="shared" si="3"/>
        <v>1224</v>
      </c>
      <c r="R84" s="969"/>
      <c r="S84" s="970">
        <v>13283</v>
      </c>
      <c r="T84" s="972">
        <v>4277</v>
      </c>
      <c r="U84" s="972">
        <v>17560</v>
      </c>
    </row>
    <row r="85" spans="1:21" x14ac:dyDescent="0.25">
      <c r="A85" s="966">
        <v>91006</v>
      </c>
      <c r="B85" s="967" t="s">
        <v>2706</v>
      </c>
      <c r="C85" s="968">
        <v>1.0317E-3</v>
      </c>
      <c r="D85" s="968">
        <v>1.0096E-3</v>
      </c>
      <c r="E85" s="985">
        <v>446629</v>
      </c>
      <c r="F85" s="969">
        <v>1576152</v>
      </c>
      <c r="G85" s="969"/>
      <c r="H85" s="970">
        <v>90801</v>
      </c>
      <c r="I85" s="971">
        <v>382692</v>
      </c>
      <c r="J85" s="970">
        <v>225096</v>
      </c>
      <c r="K85" s="969">
        <v>18199</v>
      </c>
      <c r="L85" s="971">
        <f t="shared" si="2"/>
        <v>716788</v>
      </c>
      <c r="M85" s="969"/>
      <c r="N85" s="970">
        <v>44616</v>
      </c>
      <c r="O85" s="970">
        <v>0</v>
      </c>
      <c r="P85" s="969">
        <v>22958</v>
      </c>
      <c r="Q85" s="971">
        <f t="shared" si="3"/>
        <v>67574</v>
      </c>
      <c r="R85" s="969"/>
      <c r="S85" s="970">
        <v>531165</v>
      </c>
      <c r="T85" s="972">
        <v>3230</v>
      </c>
      <c r="U85" s="972">
        <v>534395</v>
      </c>
    </row>
    <row r="86" spans="1:21" x14ac:dyDescent="0.25">
      <c r="A86" s="966">
        <v>91007</v>
      </c>
      <c r="B86" s="967" t="s">
        <v>2707</v>
      </c>
      <c r="C86" s="968">
        <v>9.5000000000000005E-6</v>
      </c>
      <c r="D86" s="968">
        <v>1.2500000000000001E-5</v>
      </c>
      <c r="E86" s="985">
        <v>9502</v>
      </c>
      <c r="F86" s="969">
        <v>14513</v>
      </c>
      <c r="G86" s="969"/>
      <c r="H86" s="970">
        <v>836</v>
      </c>
      <c r="I86" s="971">
        <v>3524</v>
      </c>
      <c r="J86" s="970">
        <v>2073</v>
      </c>
      <c r="K86" s="969">
        <v>7476</v>
      </c>
      <c r="L86" s="971">
        <f t="shared" si="2"/>
        <v>13909</v>
      </c>
      <c r="M86" s="969"/>
      <c r="N86" s="970">
        <v>411</v>
      </c>
      <c r="O86" s="970">
        <v>0</v>
      </c>
      <c r="P86" s="969">
        <v>507</v>
      </c>
      <c r="Q86" s="971">
        <f t="shared" si="3"/>
        <v>918</v>
      </c>
      <c r="R86" s="969"/>
      <c r="S86" s="970">
        <v>4891</v>
      </c>
      <c r="T86" s="972">
        <v>2150</v>
      </c>
      <c r="U86" s="972">
        <v>7041</v>
      </c>
    </row>
    <row r="87" spans="1:21" x14ac:dyDescent="0.25">
      <c r="A87" s="966">
        <v>91008</v>
      </c>
      <c r="B87" s="967" t="s">
        <v>2708</v>
      </c>
      <c r="C87" s="968">
        <v>1.236E-4</v>
      </c>
      <c r="D87" s="968">
        <v>1.273E-4</v>
      </c>
      <c r="E87" s="985">
        <v>68974</v>
      </c>
      <c r="F87" s="969">
        <v>188827</v>
      </c>
      <c r="G87" s="969"/>
      <c r="H87" s="970">
        <v>10878</v>
      </c>
      <c r="I87" s="971">
        <v>45847</v>
      </c>
      <c r="J87" s="970">
        <v>26967</v>
      </c>
      <c r="K87" s="969">
        <v>37042</v>
      </c>
      <c r="L87" s="971">
        <f t="shared" si="2"/>
        <v>120734</v>
      </c>
      <c r="M87" s="969"/>
      <c r="N87" s="970">
        <v>5345</v>
      </c>
      <c r="O87" s="970">
        <v>0</v>
      </c>
      <c r="P87" s="969">
        <v>0</v>
      </c>
      <c r="Q87" s="971">
        <f t="shared" si="3"/>
        <v>5345</v>
      </c>
      <c r="R87" s="969"/>
      <c r="S87" s="970">
        <v>63635</v>
      </c>
      <c r="T87" s="972">
        <v>17548</v>
      </c>
      <c r="U87" s="972">
        <v>81183</v>
      </c>
    </row>
    <row r="88" spans="1:21" x14ac:dyDescent="0.25">
      <c r="A88" s="966">
        <v>91009</v>
      </c>
      <c r="B88" s="967" t="s">
        <v>2709</v>
      </c>
      <c r="C88" s="968">
        <v>1.7499999999999998E-5</v>
      </c>
      <c r="D88" s="968">
        <v>1.8700000000000001E-5</v>
      </c>
      <c r="E88" s="985">
        <v>11392</v>
      </c>
      <c r="F88" s="969">
        <v>26735</v>
      </c>
      <c r="G88" s="969"/>
      <c r="H88" s="970">
        <v>1540</v>
      </c>
      <c r="I88" s="971">
        <v>6491</v>
      </c>
      <c r="J88" s="970">
        <v>3818</v>
      </c>
      <c r="K88" s="969">
        <v>4951</v>
      </c>
      <c r="L88" s="971">
        <f t="shared" si="2"/>
        <v>16800</v>
      </c>
      <c r="M88" s="969"/>
      <c r="N88" s="970">
        <v>757</v>
      </c>
      <c r="O88" s="970">
        <v>0</v>
      </c>
      <c r="P88" s="969">
        <v>2458</v>
      </c>
      <c r="Q88" s="971">
        <f t="shared" si="3"/>
        <v>3215</v>
      </c>
      <c r="R88" s="969"/>
      <c r="S88" s="970">
        <v>9010</v>
      </c>
      <c r="T88" s="972">
        <v>187</v>
      </c>
      <c r="U88" s="972">
        <v>9197</v>
      </c>
    </row>
    <row r="89" spans="1:21" x14ac:dyDescent="0.25">
      <c r="A89" s="966">
        <v>91010</v>
      </c>
      <c r="B89" s="967" t="s">
        <v>2710</v>
      </c>
      <c r="C89" s="968">
        <v>7.0099999999999996E-5</v>
      </c>
      <c r="D89" s="968">
        <v>6.8399999999999996E-5</v>
      </c>
      <c r="E89" s="985">
        <v>32517</v>
      </c>
      <c r="F89" s="969">
        <v>107093</v>
      </c>
      <c r="G89" s="969"/>
      <c r="H89" s="970">
        <v>6170</v>
      </c>
      <c r="I89" s="971">
        <v>26003</v>
      </c>
      <c r="J89" s="970">
        <v>15294</v>
      </c>
      <c r="K89" s="969">
        <v>7603</v>
      </c>
      <c r="L89" s="971">
        <f t="shared" si="2"/>
        <v>55070</v>
      </c>
      <c r="M89" s="969"/>
      <c r="N89" s="970">
        <v>3031</v>
      </c>
      <c r="O89" s="970">
        <v>0</v>
      </c>
      <c r="P89" s="969">
        <v>296</v>
      </c>
      <c r="Q89" s="971">
        <f t="shared" si="3"/>
        <v>3327</v>
      </c>
      <c r="R89" s="969"/>
      <c r="S89" s="970">
        <v>36091</v>
      </c>
      <c r="T89" s="972">
        <v>4736</v>
      </c>
      <c r="U89" s="972">
        <v>40827</v>
      </c>
    </row>
    <row r="90" spans="1:21" x14ac:dyDescent="0.25">
      <c r="A90" s="966">
        <v>91011</v>
      </c>
      <c r="B90" s="967" t="s">
        <v>2711</v>
      </c>
      <c r="C90" s="968">
        <v>3.5760000000000002E-4</v>
      </c>
      <c r="D90" s="968">
        <v>3.1789999999999998E-4</v>
      </c>
      <c r="E90" s="985">
        <v>159847</v>
      </c>
      <c r="F90" s="969">
        <v>546314</v>
      </c>
      <c r="G90" s="969"/>
      <c r="H90" s="970">
        <v>31473</v>
      </c>
      <c r="I90" s="971">
        <v>132645</v>
      </c>
      <c r="J90" s="970">
        <v>78021</v>
      </c>
      <c r="K90" s="969">
        <v>43643</v>
      </c>
      <c r="L90" s="971">
        <f t="shared" si="2"/>
        <v>285782</v>
      </c>
      <c r="M90" s="969"/>
      <c r="N90" s="970">
        <v>15464</v>
      </c>
      <c r="O90" s="970">
        <v>0</v>
      </c>
      <c r="P90" s="969">
        <v>0</v>
      </c>
      <c r="Q90" s="971">
        <f t="shared" si="3"/>
        <v>15464</v>
      </c>
      <c r="R90" s="969"/>
      <c r="S90" s="970">
        <v>184108</v>
      </c>
      <c r="T90" s="972">
        <v>16126</v>
      </c>
      <c r="U90" s="972">
        <v>200234</v>
      </c>
    </row>
    <row r="91" spans="1:21" x14ac:dyDescent="0.25">
      <c r="A91" s="966">
        <v>91012</v>
      </c>
      <c r="B91" s="967" t="s">
        <v>2712</v>
      </c>
      <c r="C91" s="968">
        <v>1.9300000000000002E-5</v>
      </c>
      <c r="D91" s="968">
        <v>1.49E-5</v>
      </c>
      <c r="E91" s="985">
        <v>8623</v>
      </c>
      <c r="F91" s="969">
        <v>29485</v>
      </c>
      <c r="G91" s="969"/>
      <c r="H91" s="970">
        <v>1699</v>
      </c>
      <c r="I91" s="971">
        <v>7159</v>
      </c>
      <c r="J91" s="970">
        <v>4211</v>
      </c>
      <c r="K91" s="969">
        <v>5400</v>
      </c>
      <c r="L91" s="971">
        <f t="shared" si="2"/>
        <v>18469</v>
      </c>
      <c r="M91" s="969"/>
      <c r="N91" s="970">
        <v>835</v>
      </c>
      <c r="O91" s="970">
        <v>0</v>
      </c>
      <c r="P91" s="969">
        <v>2458</v>
      </c>
      <c r="Q91" s="971">
        <f t="shared" si="3"/>
        <v>3293</v>
      </c>
      <c r="R91" s="969"/>
      <c r="S91" s="970">
        <v>9936</v>
      </c>
      <c r="T91" s="972">
        <v>-662</v>
      </c>
      <c r="U91" s="972">
        <f>9275-1</f>
        <v>9274</v>
      </c>
    </row>
    <row r="92" spans="1:21" x14ac:dyDescent="0.25">
      <c r="A92" s="966">
        <v>91013</v>
      </c>
      <c r="B92" s="967" t="s">
        <v>2713</v>
      </c>
      <c r="C92" s="968">
        <v>2.34E-5</v>
      </c>
      <c r="D92" s="968">
        <v>2.1800000000000001E-5</v>
      </c>
      <c r="E92" s="985">
        <v>29322</v>
      </c>
      <c r="F92" s="969">
        <v>35749</v>
      </c>
      <c r="G92" s="969"/>
      <c r="H92" s="970">
        <v>2059</v>
      </c>
      <c r="I92" s="971">
        <v>8680</v>
      </c>
      <c r="J92" s="970">
        <v>5105</v>
      </c>
      <c r="K92" s="969">
        <v>31764</v>
      </c>
      <c r="L92" s="971">
        <f t="shared" si="2"/>
        <v>47608</v>
      </c>
      <c r="M92" s="969"/>
      <c r="N92" s="970">
        <v>1012</v>
      </c>
      <c r="O92" s="970">
        <v>0</v>
      </c>
      <c r="P92" s="969">
        <v>0</v>
      </c>
      <c r="Q92" s="971">
        <f t="shared" si="3"/>
        <v>1012</v>
      </c>
      <c r="R92" s="969"/>
      <c r="S92" s="970">
        <v>12047</v>
      </c>
      <c r="T92" s="972">
        <v>9518</v>
      </c>
      <c r="U92" s="972">
        <v>21565</v>
      </c>
    </row>
    <row r="93" spans="1:21" x14ac:dyDescent="0.25">
      <c r="A93" s="966">
        <v>91014</v>
      </c>
      <c r="B93" s="967" t="s">
        <v>2714</v>
      </c>
      <c r="C93" s="968">
        <v>2.22E-4</v>
      </c>
      <c r="D93" s="968">
        <v>2.1499999999999999E-4</v>
      </c>
      <c r="E93" s="985">
        <v>97692</v>
      </c>
      <c r="F93" s="969">
        <v>339155</v>
      </c>
      <c r="G93" s="969"/>
      <c r="H93" s="970">
        <v>19538</v>
      </c>
      <c r="I93" s="971">
        <v>82347</v>
      </c>
      <c r="J93" s="970">
        <v>48436</v>
      </c>
      <c r="K93" s="969">
        <v>1313</v>
      </c>
      <c r="L93" s="971">
        <f t="shared" si="2"/>
        <v>151634</v>
      </c>
      <c r="M93" s="969"/>
      <c r="N93" s="970">
        <v>9600</v>
      </c>
      <c r="O93" s="970">
        <v>0</v>
      </c>
      <c r="P93" s="969">
        <v>11287</v>
      </c>
      <c r="Q93" s="971">
        <f t="shared" si="3"/>
        <v>20887</v>
      </c>
      <c r="R93" s="969"/>
      <c r="S93" s="970">
        <v>114295</v>
      </c>
      <c r="T93" s="972">
        <v>-6129</v>
      </c>
      <c r="U93" s="972">
        <f>108167-1</f>
        <v>108166</v>
      </c>
    </row>
    <row r="94" spans="1:21" x14ac:dyDescent="0.25">
      <c r="A94" s="966">
        <v>91017</v>
      </c>
      <c r="B94" s="967" t="s">
        <v>2715</v>
      </c>
      <c r="C94" s="968">
        <v>2.4300000000000001E-5</v>
      </c>
      <c r="D94" s="968">
        <v>2.3E-5</v>
      </c>
      <c r="E94" s="985">
        <v>12462</v>
      </c>
      <c r="F94" s="969">
        <v>37124</v>
      </c>
      <c r="G94" s="969"/>
      <c r="H94" s="970">
        <v>2139</v>
      </c>
      <c r="I94" s="971">
        <v>9014</v>
      </c>
      <c r="J94" s="970">
        <v>5302</v>
      </c>
      <c r="K94" s="969">
        <v>10242</v>
      </c>
      <c r="L94" s="971">
        <f t="shared" si="2"/>
        <v>26697</v>
      </c>
      <c r="M94" s="969"/>
      <c r="N94" s="970">
        <v>1051</v>
      </c>
      <c r="O94" s="970">
        <v>0</v>
      </c>
      <c r="P94" s="969">
        <v>0</v>
      </c>
      <c r="Q94" s="971">
        <f t="shared" si="3"/>
        <v>1051</v>
      </c>
      <c r="R94" s="969"/>
      <c r="S94" s="970">
        <v>12511</v>
      </c>
      <c r="T94" s="972">
        <v>4025</v>
      </c>
      <c r="U94" s="972">
        <v>16536</v>
      </c>
    </row>
    <row r="95" spans="1:21" x14ac:dyDescent="0.25">
      <c r="A95" s="966">
        <v>91020</v>
      </c>
      <c r="B95" s="967" t="s">
        <v>2716</v>
      </c>
      <c r="C95" s="968">
        <v>2.27E-5</v>
      </c>
      <c r="D95" s="968">
        <v>1.9899999999999999E-5</v>
      </c>
      <c r="E95" s="985">
        <v>10949</v>
      </c>
      <c r="F95" s="969">
        <v>34679</v>
      </c>
      <c r="G95" s="969"/>
      <c r="H95" s="970">
        <v>1998</v>
      </c>
      <c r="I95" s="971">
        <v>8420</v>
      </c>
      <c r="J95" s="970">
        <v>4953</v>
      </c>
      <c r="K95" s="969">
        <v>4064</v>
      </c>
      <c r="L95" s="971">
        <f t="shared" si="2"/>
        <v>19435</v>
      </c>
      <c r="M95" s="969"/>
      <c r="N95" s="970">
        <v>982</v>
      </c>
      <c r="O95" s="970">
        <v>0</v>
      </c>
      <c r="P95" s="969">
        <v>376</v>
      </c>
      <c r="Q95" s="971">
        <f t="shared" si="3"/>
        <v>1358</v>
      </c>
      <c r="R95" s="969"/>
      <c r="S95" s="970">
        <v>11687</v>
      </c>
      <c r="T95" s="972">
        <v>1259</v>
      </c>
      <c r="U95" s="972">
        <v>12946</v>
      </c>
    </row>
    <row r="96" spans="1:21" x14ac:dyDescent="0.25">
      <c r="A96" s="966">
        <v>91021</v>
      </c>
      <c r="B96" s="967" t="s">
        <v>2717</v>
      </c>
      <c r="C96" s="968">
        <v>8.6450000000000003E-4</v>
      </c>
      <c r="D96" s="968">
        <v>8.6989999999999995E-4</v>
      </c>
      <c r="E96" s="985">
        <v>387782</v>
      </c>
      <c r="F96" s="969">
        <v>1320717</v>
      </c>
      <c r="G96" s="969"/>
      <c r="H96" s="970">
        <v>76086</v>
      </c>
      <c r="I96" s="971">
        <v>320672</v>
      </c>
      <c r="J96" s="970">
        <v>188617</v>
      </c>
      <c r="K96" s="969">
        <v>0</v>
      </c>
      <c r="L96" s="971">
        <f t="shared" si="2"/>
        <v>585375</v>
      </c>
      <c r="M96" s="969"/>
      <c r="N96" s="970">
        <v>37385</v>
      </c>
      <c r="O96" s="970">
        <v>0</v>
      </c>
      <c r="P96" s="969">
        <v>82677</v>
      </c>
      <c r="Q96" s="971">
        <f t="shared" si="3"/>
        <v>120062</v>
      </c>
      <c r="R96" s="969"/>
      <c r="S96" s="970">
        <v>445083</v>
      </c>
      <c r="T96" s="972">
        <v>-48679</v>
      </c>
      <c r="U96" s="972">
        <v>396404</v>
      </c>
    </row>
    <row r="97" spans="1:21" x14ac:dyDescent="0.25">
      <c r="A97" s="966">
        <v>91024</v>
      </c>
      <c r="B97" s="967" t="s">
        <v>2718</v>
      </c>
      <c r="C97" s="968">
        <v>7.2999999999999999E-5</v>
      </c>
      <c r="D97" s="968">
        <v>6.6299999999999999E-5</v>
      </c>
      <c r="E97" s="985">
        <v>34458</v>
      </c>
      <c r="F97" s="969">
        <v>111524</v>
      </c>
      <c r="G97" s="969"/>
      <c r="H97" s="970">
        <v>6425</v>
      </c>
      <c r="I97" s="971">
        <v>27078</v>
      </c>
      <c r="J97" s="970">
        <v>15927</v>
      </c>
      <c r="K97" s="969">
        <v>24081</v>
      </c>
      <c r="L97" s="971">
        <f t="shared" si="2"/>
        <v>73511</v>
      </c>
      <c r="M97" s="969"/>
      <c r="N97" s="970">
        <v>3157</v>
      </c>
      <c r="O97" s="970">
        <v>0</v>
      </c>
      <c r="P97" s="969">
        <v>0</v>
      </c>
      <c r="Q97" s="971">
        <f t="shared" si="3"/>
        <v>3157</v>
      </c>
      <c r="R97" s="969"/>
      <c r="S97" s="970">
        <v>37584</v>
      </c>
      <c r="T97" s="972">
        <v>10843</v>
      </c>
      <c r="U97" s="972">
        <f>48426+1</f>
        <v>48427</v>
      </c>
    </row>
    <row r="98" spans="1:21" x14ac:dyDescent="0.25">
      <c r="A98" s="966">
        <v>91026</v>
      </c>
      <c r="B98" s="967" t="s">
        <v>1245</v>
      </c>
      <c r="C98" s="968">
        <v>4.18E-5</v>
      </c>
      <c r="D98" s="968">
        <v>6.0900000000000003E-5</v>
      </c>
      <c r="E98" s="985">
        <v>40781</v>
      </c>
      <c r="F98" s="969">
        <v>63859</v>
      </c>
      <c r="G98" s="969"/>
      <c r="H98" s="970">
        <v>3679</v>
      </c>
      <c r="I98" s="971">
        <v>15505</v>
      </c>
      <c r="J98" s="970">
        <v>9120</v>
      </c>
      <c r="K98" s="969">
        <v>34468</v>
      </c>
      <c r="L98" s="971">
        <f t="shared" si="2"/>
        <v>62772</v>
      </c>
      <c r="M98" s="969"/>
      <c r="N98" s="970">
        <v>1808</v>
      </c>
      <c r="O98" s="970">
        <v>0</v>
      </c>
      <c r="P98" s="969">
        <v>3103</v>
      </c>
      <c r="Q98" s="971">
        <f t="shared" si="3"/>
        <v>4911</v>
      </c>
      <c r="R98" s="969"/>
      <c r="S98" s="970">
        <v>21520</v>
      </c>
      <c r="T98" s="972">
        <v>11546</v>
      </c>
      <c r="U98" s="972">
        <v>33066</v>
      </c>
    </row>
    <row r="99" spans="1:21" x14ac:dyDescent="0.25">
      <c r="A99" s="966">
        <v>91027</v>
      </c>
      <c r="B99" s="967" t="s">
        <v>2719</v>
      </c>
      <c r="C99" s="968">
        <v>1.4E-5</v>
      </c>
      <c r="D99" s="968">
        <v>1.6099999999999998E-5</v>
      </c>
      <c r="E99" s="985">
        <v>15968</v>
      </c>
      <c r="F99" s="969">
        <v>21388</v>
      </c>
      <c r="G99" s="969"/>
      <c r="H99" s="970">
        <v>1232</v>
      </c>
      <c r="I99" s="971">
        <v>5193</v>
      </c>
      <c r="J99" s="970">
        <v>3055</v>
      </c>
      <c r="K99" s="969">
        <v>16343</v>
      </c>
      <c r="L99" s="971">
        <f t="shared" si="2"/>
        <v>25823</v>
      </c>
      <c r="M99" s="969"/>
      <c r="N99" s="970">
        <v>605</v>
      </c>
      <c r="O99" s="970">
        <v>0</v>
      </c>
      <c r="P99" s="969">
        <v>0</v>
      </c>
      <c r="Q99" s="971">
        <f t="shared" si="3"/>
        <v>605</v>
      </c>
      <c r="R99" s="969"/>
      <c r="S99" s="970">
        <v>7208</v>
      </c>
      <c r="T99" s="972">
        <v>6601</v>
      </c>
      <c r="U99" s="972">
        <f>13808+1</f>
        <v>13809</v>
      </c>
    </row>
    <row r="100" spans="1:21" x14ac:dyDescent="0.25">
      <c r="A100" s="966">
        <v>91032</v>
      </c>
      <c r="B100" s="967" t="s">
        <v>2720</v>
      </c>
      <c r="C100" s="968">
        <v>1.8E-5</v>
      </c>
      <c r="D100" s="968">
        <v>1.8600000000000001E-5</v>
      </c>
      <c r="E100" s="985">
        <v>16168</v>
      </c>
      <c r="F100" s="969">
        <v>27499</v>
      </c>
      <c r="G100" s="969"/>
      <c r="H100" s="970">
        <v>1584</v>
      </c>
      <c r="I100" s="971">
        <v>6677</v>
      </c>
      <c r="J100" s="970">
        <v>3927</v>
      </c>
      <c r="K100" s="969">
        <v>14996</v>
      </c>
      <c r="L100" s="971">
        <f t="shared" si="2"/>
        <v>27184</v>
      </c>
      <c r="M100" s="969"/>
      <c r="N100" s="970">
        <v>778</v>
      </c>
      <c r="O100" s="970">
        <v>0</v>
      </c>
      <c r="P100" s="969">
        <v>0</v>
      </c>
      <c r="Q100" s="971">
        <f t="shared" si="3"/>
        <v>778</v>
      </c>
      <c r="R100" s="969"/>
      <c r="S100" s="970">
        <v>9267</v>
      </c>
      <c r="T100" s="972">
        <v>6458</v>
      </c>
      <c r="U100" s="972">
        <v>15725</v>
      </c>
    </row>
    <row r="101" spans="1:21" x14ac:dyDescent="0.25">
      <c r="A101" s="966">
        <v>91041</v>
      </c>
      <c r="B101" s="967" t="s">
        <v>2721</v>
      </c>
      <c r="C101" s="968">
        <v>4.0400000000000001E-4</v>
      </c>
      <c r="D101" s="968">
        <v>4.3609999999999998E-4</v>
      </c>
      <c r="E101" s="985">
        <v>157511</v>
      </c>
      <c r="F101" s="969">
        <v>617200</v>
      </c>
      <c r="G101" s="969"/>
      <c r="H101" s="970">
        <v>35556</v>
      </c>
      <c r="I101" s="971">
        <v>149857</v>
      </c>
      <c r="J101" s="970">
        <v>88145</v>
      </c>
      <c r="K101" s="969">
        <v>0</v>
      </c>
      <c r="L101" s="971">
        <f t="shared" si="2"/>
        <v>273558</v>
      </c>
      <c r="M101" s="969"/>
      <c r="N101" s="970">
        <v>17471</v>
      </c>
      <c r="O101" s="970">
        <v>0</v>
      </c>
      <c r="P101" s="969">
        <v>109443</v>
      </c>
      <c r="Q101" s="971">
        <f t="shared" si="3"/>
        <v>126914</v>
      </c>
      <c r="R101" s="969"/>
      <c r="S101" s="970">
        <v>207997</v>
      </c>
      <c r="T101" s="972">
        <v>-39088</v>
      </c>
      <c r="U101" s="972">
        <v>168909</v>
      </c>
    </row>
    <row r="102" spans="1:21" x14ac:dyDescent="0.25">
      <c r="A102" s="966">
        <v>91042</v>
      </c>
      <c r="B102" s="967" t="s">
        <v>2722</v>
      </c>
      <c r="C102" s="968">
        <v>2.3360000000000001E-4</v>
      </c>
      <c r="D102" s="968">
        <v>2.062E-4</v>
      </c>
      <c r="E102" s="985">
        <v>99551</v>
      </c>
      <c r="F102" s="969">
        <v>356876</v>
      </c>
      <c r="G102" s="969"/>
      <c r="H102" s="970">
        <v>20559</v>
      </c>
      <c r="I102" s="971">
        <v>86650</v>
      </c>
      <c r="J102" s="970">
        <v>50967</v>
      </c>
      <c r="K102" s="969">
        <v>12354</v>
      </c>
      <c r="L102" s="971">
        <f t="shared" si="2"/>
        <v>170530</v>
      </c>
      <c r="M102" s="969"/>
      <c r="N102" s="970">
        <v>10102</v>
      </c>
      <c r="O102" s="970">
        <v>0</v>
      </c>
      <c r="P102" s="969">
        <v>6985</v>
      </c>
      <c r="Q102" s="971">
        <f t="shared" si="3"/>
        <v>17087</v>
      </c>
      <c r="R102" s="969"/>
      <c r="S102" s="970">
        <v>120268</v>
      </c>
      <c r="T102" s="972">
        <v>717</v>
      </c>
      <c r="U102" s="972">
        <f>120984+1</f>
        <v>120985</v>
      </c>
    </row>
    <row r="103" spans="1:21" x14ac:dyDescent="0.25">
      <c r="A103" s="966">
        <v>91047</v>
      </c>
      <c r="B103" s="967" t="s">
        <v>2723</v>
      </c>
      <c r="C103" s="968">
        <v>1.31E-5</v>
      </c>
      <c r="D103" s="968">
        <v>1.3200000000000001E-5</v>
      </c>
      <c r="E103" s="985">
        <v>16396</v>
      </c>
      <c r="F103" s="969">
        <v>20013</v>
      </c>
      <c r="G103" s="969"/>
      <c r="H103" s="970">
        <v>1153</v>
      </c>
      <c r="I103" s="971">
        <v>4859</v>
      </c>
      <c r="J103" s="970">
        <v>2858</v>
      </c>
      <c r="K103" s="969">
        <v>20507</v>
      </c>
      <c r="L103" s="971">
        <f t="shared" si="2"/>
        <v>29377</v>
      </c>
      <c r="M103" s="969"/>
      <c r="N103" s="970">
        <v>567</v>
      </c>
      <c r="O103" s="970">
        <v>0</v>
      </c>
      <c r="P103" s="969">
        <v>0</v>
      </c>
      <c r="Q103" s="971">
        <f t="shared" si="3"/>
        <v>567</v>
      </c>
      <c r="R103" s="969"/>
      <c r="S103" s="970">
        <v>6744</v>
      </c>
      <c r="T103" s="972">
        <v>7559</v>
      </c>
      <c r="U103" s="972">
        <v>14303</v>
      </c>
    </row>
    <row r="104" spans="1:21" x14ac:dyDescent="0.25">
      <c r="A104" s="966">
        <v>91051</v>
      </c>
      <c r="B104" s="967" t="s">
        <v>2724</v>
      </c>
      <c r="C104" s="968">
        <v>6.6400000000000001E-5</v>
      </c>
      <c r="D104" s="968">
        <v>7.6600000000000005E-5</v>
      </c>
      <c r="E104" s="985">
        <v>30964</v>
      </c>
      <c r="F104" s="969">
        <v>101441</v>
      </c>
      <c r="G104" s="969"/>
      <c r="H104" s="970">
        <v>5844</v>
      </c>
      <c r="I104" s="971">
        <v>24630</v>
      </c>
      <c r="J104" s="970">
        <v>14487</v>
      </c>
      <c r="K104" s="969">
        <v>1619</v>
      </c>
      <c r="L104" s="971">
        <f t="shared" si="2"/>
        <v>46580</v>
      </c>
      <c r="M104" s="969"/>
      <c r="N104" s="970">
        <v>2871</v>
      </c>
      <c r="O104" s="970">
        <v>0</v>
      </c>
      <c r="P104" s="969">
        <v>8430</v>
      </c>
      <c r="Q104" s="971">
        <f t="shared" si="3"/>
        <v>11301</v>
      </c>
      <c r="R104" s="969"/>
      <c r="S104" s="970">
        <v>34186</v>
      </c>
      <c r="T104" s="972">
        <v>-1576</v>
      </c>
      <c r="U104" s="972">
        <f>32609+1</f>
        <v>32610</v>
      </c>
    </row>
    <row r="105" spans="1:21" x14ac:dyDescent="0.25">
      <c r="A105" s="966">
        <v>91057</v>
      </c>
      <c r="B105" s="967" t="s">
        <v>2725</v>
      </c>
      <c r="C105" s="968">
        <v>1.4399999999999999E-5</v>
      </c>
      <c r="D105" s="968">
        <v>1.5E-5</v>
      </c>
      <c r="E105" s="985">
        <v>9616</v>
      </c>
      <c r="F105" s="969">
        <v>21999</v>
      </c>
      <c r="G105" s="969"/>
      <c r="H105" s="970">
        <v>1267</v>
      </c>
      <c r="I105" s="971">
        <v>5342</v>
      </c>
      <c r="J105" s="970">
        <v>3142</v>
      </c>
      <c r="K105" s="969">
        <v>5805</v>
      </c>
      <c r="L105" s="971">
        <f t="shared" si="2"/>
        <v>15556</v>
      </c>
      <c r="M105" s="969"/>
      <c r="N105" s="970">
        <v>623</v>
      </c>
      <c r="O105" s="970">
        <v>0</v>
      </c>
      <c r="P105" s="969">
        <v>0</v>
      </c>
      <c r="Q105" s="971">
        <f t="shared" si="3"/>
        <v>623</v>
      </c>
      <c r="R105" s="969"/>
      <c r="S105" s="970">
        <v>7414</v>
      </c>
      <c r="T105" s="972">
        <v>2191</v>
      </c>
      <c r="U105" s="972">
        <v>9605</v>
      </c>
    </row>
    <row r="106" spans="1:21" x14ac:dyDescent="0.25">
      <c r="A106" s="966">
        <v>91061</v>
      </c>
      <c r="B106" s="967" t="s">
        <v>2726</v>
      </c>
      <c r="C106" s="968">
        <v>4.104E-4</v>
      </c>
      <c r="D106" s="968">
        <v>3.7730000000000001E-4</v>
      </c>
      <c r="E106" s="985">
        <v>172504</v>
      </c>
      <c r="F106" s="969">
        <v>626978</v>
      </c>
      <c r="G106" s="969"/>
      <c r="H106" s="970">
        <v>36120</v>
      </c>
      <c r="I106" s="971">
        <v>152231</v>
      </c>
      <c r="J106" s="970">
        <v>89541</v>
      </c>
      <c r="K106" s="969">
        <v>19267</v>
      </c>
      <c r="L106" s="971">
        <f t="shared" si="2"/>
        <v>297159</v>
      </c>
      <c r="M106" s="969"/>
      <c r="N106" s="970">
        <v>17748</v>
      </c>
      <c r="O106" s="970">
        <v>0</v>
      </c>
      <c r="P106" s="969">
        <v>27800</v>
      </c>
      <c r="Q106" s="971">
        <f t="shared" si="3"/>
        <v>45548</v>
      </c>
      <c r="R106" s="969"/>
      <c r="S106" s="970">
        <v>211292</v>
      </c>
      <c r="T106" s="972">
        <v>-13384</v>
      </c>
      <c r="U106" s="972">
        <v>197908</v>
      </c>
    </row>
    <row r="107" spans="1:21" x14ac:dyDescent="0.25">
      <c r="A107" s="966">
        <v>91067</v>
      </c>
      <c r="B107" s="967" t="s">
        <v>2727</v>
      </c>
      <c r="C107" s="968">
        <v>1.5699999999999999E-5</v>
      </c>
      <c r="D107" s="968">
        <v>1.8499999999999999E-5</v>
      </c>
      <c r="E107" s="985">
        <v>9046</v>
      </c>
      <c r="F107" s="969">
        <v>23985</v>
      </c>
      <c r="G107" s="969"/>
      <c r="H107" s="970">
        <v>1382</v>
      </c>
      <c r="I107" s="971">
        <v>5824</v>
      </c>
      <c r="J107" s="970">
        <v>3425</v>
      </c>
      <c r="K107" s="969">
        <v>2413</v>
      </c>
      <c r="L107" s="971">
        <f t="shared" si="2"/>
        <v>13044</v>
      </c>
      <c r="M107" s="969"/>
      <c r="N107" s="970">
        <v>679</v>
      </c>
      <c r="O107" s="970">
        <v>0</v>
      </c>
      <c r="P107" s="969">
        <v>406</v>
      </c>
      <c r="Q107" s="971">
        <f t="shared" si="3"/>
        <v>1085</v>
      </c>
      <c r="R107" s="969"/>
      <c r="S107" s="970">
        <v>8083</v>
      </c>
      <c r="T107" s="972">
        <v>1156</v>
      </c>
      <c r="U107" s="972">
        <v>9239</v>
      </c>
    </row>
    <row r="108" spans="1:21" x14ac:dyDescent="0.25">
      <c r="A108" s="966">
        <v>91071</v>
      </c>
      <c r="B108" s="967" t="s">
        <v>2728</v>
      </c>
      <c r="C108" s="968">
        <v>2.2770000000000001E-4</v>
      </c>
      <c r="D108" s="968">
        <v>2.4379999999999999E-4</v>
      </c>
      <c r="E108" s="985">
        <v>93245</v>
      </c>
      <c r="F108" s="969">
        <v>347863</v>
      </c>
      <c r="G108" s="969"/>
      <c r="H108" s="970">
        <v>20040</v>
      </c>
      <c r="I108" s="971">
        <v>84462</v>
      </c>
      <c r="J108" s="970">
        <v>49680</v>
      </c>
      <c r="K108" s="969">
        <v>8372</v>
      </c>
      <c r="L108" s="971">
        <f t="shared" si="2"/>
        <v>162554</v>
      </c>
      <c r="M108" s="969"/>
      <c r="N108" s="970">
        <v>9847</v>
      </c>
      <c r="O108" s="970">
        <v>0</v>
      </c>
      <c r="P108" s="969">
        <v>22478</v>
      </c>
      <c r="Q108" s="971">
        <f t="shared" si="3"/>
        <v>32325</v>
      </c>
      <c r="R108" s="969"/>
      <c r="S108" s="970">
        <v>117230</v>
      </c>
      <c r="T108" s="972">
        <v>2353</v>
      </c>
      <c r="U108" s="972">
        <v>119583</v>
      </c>
    </row>
    <row r="109" spans="1:21" x14ac:dyDescent="0.25">
      <c r="A109" s="966">
        <v>91077</v>
      </c>
      <c r="B109" s="967" t="s">
        <v>2729</v>
      </c>
      <c r="C109" s="968">
        <v>3.5999999999999998E-6</v>
      </c>
      <c r="D109" s="968">
        <v>3.9999999999999998E-6</v>
      </c>
      <c r="E109" s="985">
        <v>3277</v>
      </c>
      <c r="F109" s="969">
        <v>5500</v>
      </c>
      <c r="G109" s="969"/>
      <c r="H109" s="970">
        <v>317</v>
      </c>
      <c r="I109" s="971">
        <v>1336</v>
      </c>
      <c r="J109" s="970">
        <v>785</v>
      </c>
      <c r="K109" s="969">
        <v>1826</v>
      </c>
      <c r="L109" s="971">
        <f t="shared" si="2"/>
        <v>4264</v>
      </c>
      <c r="M109" s="969"/>
      <c r="N109" s="970">
        <v>156</v>
      </c>
      <c r="O109" s="970">
        <v>0</v>
      </c>
      <c r="P109" s="969">
        <v>51</v>
      </c>
      <c r="Q109" s="971">
        <f t="shared" si="3"/>
        <v>207</v>
      </c>
      <c r="R109" s="969"/>
      <c r="S109" s="970">
        <v>1853</v>
      </c>
      <c r="T109" s="972">
        <v>551</v>
      </c>
      <c r="U109" s="972">
        <f>2405-1</f>
        <v>2404</v>
      </c>
    </row>
    <row r="110" spans="1:21" x14ac:dyDescent="0.25">
      <c r="A110" s="966">
        <v>91081</v>
      </c>
      <c r="B110" s="967" t="s">
        <v>2730</v>
      </c>
      <c r="C110" s="968">
        <v>3.6240000000000003E-4</v>
      </c>
      <c r="D110" s="968">
        <v>3.6499999999999998E-4</v>
      </c>
      <c r="E110" s="985">
        <v>169112</v>
      </c>
      <c r="F110" s="969">
        <v>553647</v>
      </c>
      <c r="G110" s="969"/>
      <c r="H110" s="970">
        <v>31895</v>
      </c>
      <c r="I110" s="971">
        <v>134426</v>
      </c>
      <c r="J110" s="970">
        <v>79068</v>
      </c>
      <c r="K110" s="969">
        <v>1618</v>
      </c>
      <c r="L110" s="971">
        <f t="shared" si="2"/>
        <v>247007</v>
      </c>
      <c r="M110" s="969"/>
      <c r="N110" s="970">
        <v>15672</v>
      </c>
      <c r="O110" s="970">
        <v>0</v>
      </c>
      <c r="P110" s="969">
        <v>13549</v>
      </c>
      <c r="Q110" s="971">
        <f t="shared" si="3"/>
        <v>29221</v>
      </c>
      <c r="R110" s="969"/>
      <c r="S110" s="970">
        <v>186579</v>
      </c>
      <c r="T110" s="972">
        <v>-13101</v>
      </c>
      <c r="U110" s="972">
        <v>173478</v>
      </c>
    </row>
    <row r="111" spans="1:21" x14ac:dyDescent="0.25">
      <c r="A111" s="966">
        <v>91091</v>
      </c>
      <c r="B111" s="967" t="s">
        <v>2731</v>
      </c>
      <c r="C111" s="968">
        <v>5.3790000000000001E-4</v>
      </c>
      <c r="D111" s="968">
        <v>5.6380000000000004E-4</v>
      </c>
      <c r="E111" s="985">
        <v>225749</v>
      </c>
      <c r="F111" s="969">
        <v>821762</v>
      </c>
      <c r="G111" s="969"/>
      <c r="H111" s="970">
        <v>47341</v>
      </c>
      <c r="I111" s="971">
        <v>199525</v>
      </c>
      <c r="J111" s="970">
        <v>117359</v>
      </c>
      <c r="K111" s="969">
        <v>0</v>
      </c>
      <c r="L111" s="971">
        <f t="shared" si="2"/>
        <v>364225</v>
      </c>
      <c r="M111" s="969"/>
      <c r="N111" s="970">
        <v>23261</v>
      </c>
      <c r="O111" s="970">
        <v>0</v>
      </c>
      <c r="P111" s="969">
        <v>66212</v>
      </c>
      <c r="Q111" s="971">
        <f t="shared" si="3"/>
        <v>89473</v>
      </c>
      <c r="R111" s="969"/>
      <c r="S111" s="970">
        <v>276935</v>
      </c>
      <c r="T111" s="972">
        <v>-30835</v>
      </c>
      <c r="U111" s="972">
        <f>246099+1</f>
        <v>246100</v>
      </c>
    </row>
    <row r="112" spans="1:21" x14ac:dyDescent="0.25">
      <c r="A112" s="966">
        <v>91101</v>
      </c>
      <c r="B112" s="967" t="s">
        <v>2732</v>
      </c>
      <c r="C112" s="968">
        <v>1.35581E-2</v>
      </c>
      <c r="D112" s="968">
        <v>1.36685E-2</v>
      </c>
      <c r="E112" s="985">
        <v>5894551</v>
      </c>
      <c r="F112" s="969">
        <v>20713021</v>
      </c>
      <c r="G112" s="969"/>
      <c r="H112" s="970">
        <v>1193262</v>
      </c>
      <c r="I112" s="971">
        <v>5029146</v>
      </c>
      <c r="J112" s="970">
        <v>2958106</v>
      </c>
      <c r="K112" s="969">
        <v>471609</v>
      </c>
      <c r="L112" s="971">
        <f t="shared" si="2"/>
        <v>9652123</v>
      </c>
      <c r="M112" s="969"/>
      <c r="N112" s="970">
        <v>586320</v>
      </c>
      <c r="O112" s="970">
        <v>0</v>
      </c>
      <c r="P112" s="969">
        <v>587664</v>
      </c>
      <c r="Q112" s="971">
        <f t="shared" si="3"/>
        <v>1173984</v>
      </c>
      <c r="R112" s="969"/>
      <c r="S112" s="970">
        <v>6980306</v>
      </c>
      <c r="T112" s="972">
        <v>147859</v>
      </c>
      <c r="U112" s="972">
        <v>7128165</v>
      </c>
    </row>
    <row r="113" spans="1:21" x14ac:dyDescent="0.25">
      <c r="A113" s="966">
        <v>91102</v>
      </c>
      <c r="B113" s="967" t="s">
        <v>2733</v>
      </c>
      <c r="C113" s="968">
        <v>3.2919999999999998E-4</v>
      </c>
      <c r="D113" s="968">
        <v>3.034E-4</v>
      </c>
      <c r="E113" s="985">
        <v>156560</v>
      </c>
      <c r="F113" s="969">
        <v>502926</v>
      </c>
      <c r="G113" s="969"/>
      <c r="H113" s="970">
        <v>28973</v>
      </c>
      <c r="I113" s="971">
        <v>122111</v>
      </c>
      <c r="J113" s="970">
        <v>71825</v>
      </c>
      <c r="K113" s="969">
        <v>35240</v>
      </c>
      <c r="L113" s="971">
        <f t="shared" si="2"/>
        <v>258149</v>
      </c>
      <c r="M113" s="969"/>
      <c r="N113" s="970">
        <v>14236</v>
      </c>
      <c r="O113" s="970">
        <v>0</v>
      </c>
      <c r="P113" s="969">
        <v>33978</v>
      </c>
      <c r="Q113" s="971">
        <f t="shared" si="3"/>
        <v>48214</v>
      </c>
      <c r="R113" s="969"/>
      <c r="S113" s="970">
        <v>169487</v>
      </c>
      <c r="T113" s="972">
        <v>-8323</v>
      </c>
      <c r="U113" s="972">
        <f>161163+1</f>
        <v>161164</v>
      </c>
    </row>
    <row r="114" spans="1:21" x14ac:dyDescent="0.25">
      <c r="A114" s="966">
        <v>91104</v>
      </c>
      <c r="B114" s="967" t="s">
        <v>2734</v>
      </c>
      <c r="C114" s="968">
        <v>7.9000000000000006E-6</v>
      </c>
      <c r="D114" s="968">
        <v>8.1999999999999994E-6</v>
      </c>
      <c r="E114" s="985">
        <v>5628</v>
      </c>
      <c r="F114" s="969">
        <v>12069</v>
      </c>
      <c r="G114" s="969"/>
      <c r="H114" s="970">
        <v>695</v>
      </c>
      <c r="I114" s="971">
        <v>2930</v>
      </c>
      <c r="J114" s="970">
        <v>1724</v>
      </c>
      <c r="K114" s="969">
        <v>2115</v>
      </c>
      <c r="L114" s="971">
        <f t="shared" si="2"/>
        <v>7464</v>
      </c>
      <c r="M114" s="969"/>
      <c r="N114" s="970">
        <v>342</v>
      </c>
      <c r="O114" s="970">
        <v>0</v>
      </c>
      <c r="P114" s="969">
        <v>39</v>
      </c>
      <c r="Q114" s="971">
        <f t="shared" si="3"/>
        <v>381</v>
      </c>
      <c r="R114" s="969"/>
      <c r="S114" s="970">
        <v>4067</v>
      </c>
      <c r="T114" s="972">
        <v>589</v>
      </c>
      <c r="U114" s="972">
        <v>4656</v>
      </c>
    </row>
    <row r="115" spans="1:21" x14ac:dyDescent="0.25">
      <c r="A115" s="966">
        <v>91107</v>
      </c>
      <c r="B115" s="967" t="s">
        <v>3666</v>
      </c>
      <c r="C115" s="968">
        <v>7.08E-5</v>
      </c>
      <c r="D115" s="968">
        <v>6.7899999999999997E-5</v>
      </c>
      <c r="E115" s="985">
        <v>36616</v>
      </c>
      <c r="F115" s="969">
        <v>108163</v>
      </c>
      <c r="G115" s="969"/>
      <c r="H115" s="970">
        <v>6231</v>
      </c>
      <c r="I115" s="971">
        <v>26263</v>
      </c>
      <c r="J115" s="970">
        <v>15447</v>
      </c>
      <c r="K115" s="969">
        <v>13143</v>
      </c>
      <c r="L115" s="971">
        <f t="shared" si="2"/>
        <v>61084</v>
      </c>
      <c r="M115" s="969"/>
      <c r="N115" s="970">
        <v>3062</v>
      </c>
      <c r="O115" s="970">
        <v>0</v>
      </c>
      <c r="P115" s="969">
        <v>0</v>
      </c>
      <c r="Q115" s="971">
        <f t="shared" si="3"/>
        <v>3062</v>
      </c>
      <c r="R115" s="969"/>
      <c r="S115" s="970">
        <v>36451</v>
      </c>
      <c r="T115" s="972">
        <v>5162</v>
      </c>
      <c r="U115" s="972">
        <v>41613</v>
      </c>
    </row>
    <row r="116" spans="1:21" x14ac:dyDescent="0.25">
      <c r="A116" s="966">
        <v>91108</v>
      </c>
      <c r="B116" s="967" t="s">
        <v>2736</v>
      </c>
      <c r="C116" s="968">
        <v>1.2413999999999999E-3</v>
      </c>
      <c r="D116" s="968">
        <v>1.2622E-3</v>
      </c>
      <c r="E116" s="985">
        <v>613476</v>
      </c>
      <c r="F116" s="969">
        <v>1896515</v>
      </c>
      <c r="G116" s="969"/>
      <c r="H116" s="970">
        <v>109257</v>
      </c>
      <c r="I116" s="971">
        <v>460476</v>
      </c>
      <c r="J116" s="970">
        <v>270849</v>
      </c>
      <c r="K116" s="969">
        <v>74887</v>
      </c>
      <c r="L116" s="971">
        <f t="shared" si="2"/>
        <v>915469</v>
      </c>
      <c r="M116" s="969"/>
      <c r="N116" s="970">
        <v>53684</v>
      </c>
      <c r="O116" s="970">
        <v>0</v>
      </c>
      <c r="P116" s="969">
        <v>0</v>
      </c>
      <c r="Q116" s="971">
        <f t="shared" si="3"/>
        <v>53684</v>
      </c>
      <c r="R116" s="969"/>
      <c r="S116" s="970">
        <v>639127</v>
      </c>
      <c r="T116" s="972">
        <v>34876</v>
      </c>
      <c r="U116" s="972">
        <v>674003</v>
      </c>
    </row>
    <row r="117" spans="1:21" x14ac:dyDescent="0.25">
      <c r="A117" s="966">
        <v>91109</v>
      </c>
      <c r="B117" s="967" t="s">
        <v>2737</v>
      </c>
      <c r="C117" s="968">
        <v>9.9599999999999995E-5</v>
      </c>
      <c r="D117" s="968">
        <v>9.2100000000000003E-5</v>
      </c>
      <c r="E117" s="985">
        <v>45066</v>
      </c>
      <c r="F117" s="969">
        <v>152161</v>
      </c>
      <c r="G117" s="969"/>
      <c r="H117" s="970">
        <v>8766</v>
      </c>
      <c r="I117" s="971">
        <v>36945</v>
      </c>
      <c r="J117" s="970">
        <v>21731</v>
      </c>
      <c r="K117" s="969">
        <v>5921</v>
      </c>
      <c r="L117" s="971">
        <f t="shared" si="2"/>
        <v>73363</v>
      </c>
      <c r="M117" s="969"/>
      <c r="N117" s="970">
        <v>4307</v>
      </c>
      <c r="O117" s="970">
        <v>0</v>
      </c>
      <c r="P117" s="969">
        <v>920</v>
      </c>
      <c r="Q117" s="971">
        <f t="shared" si="3"/>
        <v>5227</v>
      </c>
      <c r="R117" s="969"/>
      <c r="S117" s="970">
        <v>51278</v>
      </c>
      <c r="T117" s="972">
        <v>1215</v>
      </c>
      <c r="U117" s="972">
        <v>52493</v>
      </c>
    </row>
    <row r="118" spans="1:21" x14ac:dyDescent="0.25">
      <c r="A118" s="966">
        <v>91111</v>
      </c>
      <c r="B118" s="967" t="s">
        <v>2738</v>
      </c>
      <c r="C118" s="968">
        <v>2.2719999999999999E-4</v>
      </c>
      <c r="D118" s="968">
        <v>2.2359999999999999E-4</v>
      </c>
      <c r="E118" s="985">
        <v>110903</v>
      </c>
      <c r="F118" s="969">
        <v>347099</v>
      </c>
      <c r="G118" s="969"/>
      <c r="H118" s="970">
        <v>19996</v>
      </c>
      <c r="I118" s="971">
        <v>84276</v>
      </c>
      <c r="J118" s="970">
        <v>49570</v>
      </c>
      <c r="K118" s="969">
        <v>25492</v>
      </c>
      <c r="L118" s="971">
        <f t="shared" si="2"/>
        <v>179334</v>
      </c>
      <c r="M118" s="969"/>
      <c r="N118" s="970">
        <v>9825</v>
      </c>
      <c r="O118" s="970">
        <v>0</v>
      </c>
      <c r="P118" s="969">
        <v>0</v>
      </c>
      <c r="Q118" s="971">
        <f t="shared" si="3"/>
        <v>9825</v>
      </c>
      <c r="R118" s="969"/>
      <c r="S118" s="970">
        <v>116973</v>
      </c>
      <c r="T118" s="972">
        <v>10793</v>
      </c>
      <c r="U118" s="972">
        <v>127766</v>
      </c>
    </row>
    <row r="119" spans="1:21" x14ac:dyDescent="0.25">
      <c r="A119" s="966">
        <v>91119</v>
      </c>
      <c r="B119" s="967" t="s">
        <v>1265</v>
      </c>
      <c r="C119" s="968">
        <v>0</v>
      </c>
      <c r="D119" s="968">
        <v>0</v>
      </c>
      <c r="E119" s="985" t="e">
        <v>#N/A</v>
      </c>
      <c r="F119" s="969">
        <v>0</v>
      </c>
      <c r="G119" s="969"/>
      <c r="H119" s="970">
        <v>0</v>
      </c>
      <c r="I119" s="971">
        <v>0</v>
      </c>
      <c r="J119" s="970">
        <v>0</v>
      </c>
      <c r="K119" s="969">
        <v>0</v>
      </c>
      <c r="L119" s="971">
        <f t="shared" si="2"/>
        <v>0</v>
      </c>
      <c r="M119" s="969"/>
      <c r="N119" s="970">
        <v>0</v>
      </c>
      <c r="O119" s="970">
        <v>0</v>
      </c>
      <c r="P119" s="969">
        <v>321091</v>
      </c>
      <c r="Q119" s="971">
        <f t="shared" si="3"/>
        <v>321091</v>
      </c>
      <c r="R119" s="969"/>
      <c r="S119" s="970">
        <v>0</v>
      </c>
      <c r="T119" s="972">
        <v>-324334</v>
      </c>
      <c r="U119" s="972">
        <v>-324334</v>
      </c>
    </row>
    <row r="120" spans="1:21" x14ac:dyDescent="0.25">
      <c r="A120" s="966">
        <v>91120</v>
      </c>
      <c r="B120" s="967" t="s">
        <v>2739</v>
      </c>
      <c r="C120" s="968">
        <v>1.3019999999999999E-4</v>
      </c>
      <c r="D120" s="968">
        <v>1.184E-4</v>
      </c>
      <c r="E120" s="985">
        <v>45449</v>
      </c>
      <c r="F120" s="969">
        <v>198910</v>
      </c>
      <c r="G120" s="969"/>
      <c r="H120" s="970">
        <v>11459</v>
      </c>
      <c r="I120" s="971">
        <v>48295</v>
      </c>
      <c r="J120" s="970">
        <v>28407</v>
      </c>
      <c r="K120" s="969">
        <v>0</v>
      </c>
      <c r="L120" s="971">
        <f t="shared" si="2"/>
        <v>88161</v>
      </c>
      <c r="M120" s="969"/>
      <c r="N120" s="970">
        <v>5630</v>
      </c>
      <c r="O120" s="970">
        <v>0</v>
      </c>
      <c r="P120" s="969">
        <v>21939</v>
      </c>
      <c r="Q120" s="971">
        <f t="shared" si="3"/>
        <v>27569</v>
      </c>
      <c r="R120" s="969"/>
      <c r="S120" s="970">
        <v>67033</v>
      </c>
      <c r="T120" s="972">
        <v>-12131</v>
      </c>
      <c r="U120" s="972">
        <v>54902</v>
      </c>
    </row>
    <row r="121" spans="1:21" x14ac:dyDescent="0.25">
      <c r="A121" s="966">
        <v>91121</v>
      </c>
      <c r="B121" s="967" t="s">
        <v>2740</v>
      </c>
      <c r="C121" s="968">
        <v>9.9927999999999996E-3</v>
      </c>
      <c r="D121" s="968">
        <v>9.7842999999999992E-3</v>
      </c>
      <c r="E121" s="985">
        <v>4272051</v>
      </c>
      <c r="F121" s="969">
        <v>15266230</v>
      </c>
      <c r="G121" s="969"/>
      <c r="H121" s="970">
        <v>879476</v>
      </c>
      <c r="I121" s="971">
        <v>3706660</v>
      </c>
      <c r="J121" s="970">
        <v>2180229</v>
      </c>
      <c r="K121" s="969">
        <v>0</v>
      </c>
      <c r="L121" s="971">
        <f t="shared" si="2"/>
        <v>6766365</v>
      </c>
      <c r="M121" s="969"/>
      <c r="N121" s="970">
        <v>432139</v>
      </c>
      <c r="O121" s="970">
        <v>0</v>
      </c>
      <c r="P121" s="969">
        <v>650994</v>
      </c>
      <c r="Q121" s="971">
        <f t="shared" si="3"/>
        <v>1083133</v>
      </c>
      <c r="R121" s="969"/>
      <c r="S121" s="970">
        <v>5144733</v>
      </c>
      <c r="T121" s="972">
        <v>-324255</v>
      </c>
      <c r="U121" s="972">
        <f>4820479-1</f>
        <v>4820478</v>
      </c>
    </row>
    <row r="122" spans="1:21" x14ac:dyDescent="0.25">
      <c r="A122" s="966">
        <v>91127</v>
      </c>
      <c r="B122" s="967" t="s">
        <v>2741</v>
      </c>
      <c r="C122" s="968">
        <v>2.6879999999999997E-4</v>
      </c>
      <c r="D122" s="968">
        <v>2.8229999999999998E-4</v>
      </c>
      <c r="E122" s="985">
        <v>146935</v>
      </c>
      <c r="F122" s="969">
        <v>410652</v>
      </c>
      <c r="G122" s="969"/>
      <c r="H122" s="970">
        <v>23657</v>
      </c>
      <c r="I122" s="971">
        <v>99706</v>
      </c>
      <c r="J122" s="970">
        <v>58647</v>
      </c>
      <c r="K122" s="969">
        <v>46863</v>
      </c>
      <c r="L122" s="971">
        <f t="shared" si="2"/>
        <v>228873</v>
      </c>
      <c r="M122" s="969"/>
      <c r="N122" s="970">
        <v>11624</v>
      </c>
      <c r="O122" s="970">
        <v>0</v>
      </c>
      <c r="P122" s="969">
        <v>0</v>
      </c>
      <c r="Q122" s="971">
        <f t="shared" si="3"/>
        <v>11624</v>
      </c>
      <c r="R122" s="969"/>
      <c r="S122" s="970">
        <v>138390</v>
      </c>
      <c r="T122" s="972">
        <v>25061</v>
      </c>
      <c r="U122" s="972">
        <v>163451</v>
      </c>
    </row>
    <row r="123" spans="1:21" x14ac:dyDescent="0.25">
      <c r="A123" s="966">
        <v>91128</v>
      </c>
      <c r="B123" s="967" t="s">
        <v>2742</v>
      </c>
      <c r="C123" s="968">
        <v>5.2380000000000005E-4</v>
      </c>
      <c r="D123" s="968">
        <v>5.0929999999999997E-4</v>
      </c>
      <c r="E123" s="985">
        <v>238305</v>
      </c>
      <c r="F123" s="969">
        <v>800221</v>
      </c>
      <c r="G123" s="969"/>
      <c r="H123" s="970">
        <v>46100</v>
      </c>
      <c r="I123" s="971">
        <v>194295</v>
      </c>
      <c r="J123" s="970">
        <v>114283</v>
      </c>
      <c r="K123" s="969">
        <v>15169</v>
      </c>
      <c r="L123" s="971">
        <f t="shared" si="2"/>
        <v>369847</v>
      </c>
      <c r="M123" s="969"/>
      <c r="N123" s="970">
        <v>22652</v>
      </c>
      <c r="O123" s="970">
        <v>0</v>
      </c>
      <c r="P123" s="969">
        <v>6263</v>
      </c>
      <c r="Q123" s="971">
        <f t="shared" si="3"/>
        <v>28915</v>
      </c>
      <c r="R123" s="969"/>
      <c r="S123" s="970">
        <v>269675</v>
      </c>
      <c r="T123" s="972">
        <v>-679</v>
      </c>
      <c r="U123" s="972">
        <v>268996</v>
      </c>
    </row>
    <row r="124" spans="1:21" x14ac:dyDescent="0.25">
      <c r="A124" s="966">
        <v>91138</v>
      </c>
      <c r="B124" s="967" t="s">
        <v>2743</v>
      </c>
      <c r="C124" s="968">
        <v>6.2629999999999999E-4</v>
      </c>
      <c r="D124" s="968">
        <v>6.2350000000000003E-4</v>
      </c>
      <c r="E124" s="985">
        <v>220646</v>
      </c>
      <c r="F124" s="969">
        <v>956813</v>
      </c>
      <c r="G124" s="969"/>
      <c r="H124" s="970">
        <v>55121</v>
      </c>
      <c r="I124" s="971">
        <v>232316</v>
      </c>
      <c r="J124" s="970">
        <v>136646</v>
      </c>
      <c r="K124" s="969">
        <v>0</v>
      </c>
      <c r="L124" s="971">
        <f t="shared" si="2"/>
        <v>424083</v>
      </c>
      <c r="M124" s="969"/>
      <c r="N124" s="970">
        <v>27084</v>
      </c>
      <c r="O124" s="970">
        <v>0</v>
      </c>
      <c r="P124" s="969">
        <v>127984</v>
      </c>
      <c r="Q124" s="971">
        <f t="shared" si="3"/>
        <v>155068</v>
      </c>
      <c r="R124" s="969"/>
      <c r="S124" s="970">
        <v>322447</v>
      </c>
      <c r="T124" s="972">
        <v>-48531</v>
      </c>
      <c r="U124" s="972">
        <v>273916</v>
      </c>
    </row>
    <row r="125" spans="1:21" x14ac:dyDescent="0.25">
      <c r="A125" s="966">
        <v>91141</v>
      </c>
      <c r="B125" s="967" t="s">
        <v>2744</v>
      </c>
      <c r="C125" s="968">
        <v>5.7569999999999995E-4</v>
      </c>
      <c r="D125" s="968">
        <v>5.5679999999999998E-4</v>
      </c>
      <c r="E125" s="985">
        <v>236315</v>
      </c>
      <c r="F125" s="969">
        <v>879510</v>
      </c>
      <c r="G125" s="969"/>
      <c r="H125" s="970">
        <v>50668</v>
      </c>
      <c r="I125" s="971">
        <v>213546</v>
      </c>
      <c r="J125" s="970">
        <v>125606</v>
      </c>
      <c r="K125" s="969">
        <v>0</v>
      </c>
      <c r="L125" s="971">
        <f t="shared" si="2"/>
        <v>389820</v>
      </c>
      <c r="M125" s="969"/>
      <c r="N125" s="970">
        <v>24896</v>
      </c>
      <c r="O125" s="970">
        <v>0</v>
      </c>
      <c r="P125" s="969">
        <v>80393</v>
      </c>
      <c r="Q125" s="971">
        <f t="shared" si="3"/>
        <v>105289</v>
      </c>
      <c r="R125" s="969"/>
      <c r="S125" s="970">
        <v>296396</v>
      </c>
      <c r="T125" s="972">
        <v>-38126</v>
      </c>
      <c r="U125" s="972">
        <v>258270</v>
      </c>
    </row>
    <row r="126" spans="1:21" x14ac:dyDescent="0.25">
      <c r="A126" s="966">
        <v>91147</v>
      </c>
      <c r="B126" s="967" t="s">
        <v>2745</v>
      </c>
      <c r="C126" s="968">
        <v>2.6699999999999998E-5</v>
      </c>
      <c r="D126" s="968">
        <v>2.4199999999999999E-5</v>
      </c>
      <c r="E126" s="985">
        <v>12125</v>
      </c>
      <c r="F126" s="969">
        <v>40790</v>
      </c>
      <c r="G126" s="969"/>
      <c r="H126" s="970">
        <v>2350</v>
      </c>
      <c r="I126" s="971">
        <v>9904</v>
      </c>
      <c r="J126" s="970">
        <v>5825</v>
      </c>
      <c r="K126" s="969">
        <v>8489</v>
      </c>
      <c r="L126" s="971">
        <f t="shared" si="2"/>
        <v>26568</v>
      </c>
      <c r="M126" s="969"/>
      <c r="N126" s="970">
        <v>1155</v>
      </c>
      <c r="O126" s="970">
        <v>0</v>
      </c>
      <c r="P126" s="969">
        <v>0</v>
      </c>
      <c r="Q126" s="971">
        <f t="shared" si="3"/>
        <v>1155</v>
      </c>
      <c r="R126" s="969"/>
      <c r="S126" s="970">
        <v>13746</v>
      </c>
      <c r="T126" s="972">
        <v>4333</v>
      </c>
      <c r="U126" s="972">
        <f>18080-1</f>
        <v>18079</v>
      </c>
    </row>
    <row r="127" spans="1:21" x14ac:dyDescent="0.25">
      <c r="A127" s="966">
        <v>91151</v>
      </c>
      <c r="B127" s="967" t="s">
        <v>2746</v>
      </c>
      <c r="C127" s="968">
        <v>6.3409999999999996E-4</v>
      </c>
      <c r="D127" s="968">
        <v>6.1180000000000002E-4</v>
      </c>
      <c r="E127" s="985">
        <v>254760</v>
      </c>
      <c r="F127" s="969">
        <v>968729</v>
      </c>
      <c r="G127" s="969"/>
      <c r="H127" s="970">
        <v>55808</v>
      </c>
      <c r="I127" s="971">
        <v>235208</v>
      </c>
      <c r="J127" s="970">
        <v>138348</v>
      </c>
      <c r="K127" s="969">
        <v>6907</v>
      </c>
      <c r="L127" s="971">
        <f t="shared" si="2"/>
        <v>436271</v>
      </c>
      <c r="M127" s="969"/>
      <c r="N127" s="970">
        <v>27422</v>
      </c>
      <c r="O127" s="970">
        <v>0</v>
      </c>
      <c r="P127" s="969">
        <v>49311</v>
      </c>
      <c r="Q127" s="971">
        <f t="shared" si="3"/>
        <v>76733</v>
      </c>
      <c r="R127" s="969"/>
      <c r="S127" s="970">
        <v>326463</v>
      </c>
      <c r="T127" s="972">
        <v>-15290</v>
      </c>
      <c r="U127" s="972">
        <f>311172+1</f>
        <v>311173</v>
      </c>
    </row>
    <row r="128" spans="1:21" x14ac:dyDescent="0.25">
      <c r="A128" s="966">
        <v>91154</v>
      </c>
      <c r="B128" s="967" t="s">
        <v>2747</v>
      </c>
      <c r="C128" s="968">
        <v>2.6299999999999999E-5</v>
      </c>
      <c r="D128" s="968">
        <v>1.9599999999999999E-5</v>
      </c>
      <c r="E128" s="985">
        <v>10902</v>
      </c>
      <c r="F128" s="969">
        <v>40179</v>
      </c>
      <c r="G128" s="969"/>
      <c r="H128" s="970">
        <v>2315</v>
      </c>
      <c r="I128" s="971">
        <v>9756</v>
      </c>
      <c r="J128" s="970">
        <v>5738</v>
      </c>
      <c r="K128" s="969">
        <v>7326</v>
      </c>
      <c r="L128" s="971">
        <f t="shared" si="2"/>
        <v>25135</v>
      </c>
      <c r="M128" s="969"/>
      <c r="N128" s="970">
        <v>1137</v>
      </c>
      <c r="O128" s="970">
        <v>0</v>
      </c>
      <c r="P128" s="969">
        <v>0</v>
      </c>
      <c r="Q128" s="971">
        <f t="shared" si="3"/>
        <v>1137</v>
      </c>
      <c r="R128" s="969"/>
      <c r="S128" s="970">
        <v>13540</v>
      </c>
      <c r="T128" s="972">
        <v>2962</v>
      </c>
      <c r="U128" s="972">
        <f>16503-1</f>
        <v>16502</v>
      </c>
    </row>
    <row r="129" spans="1:21" x14ac:dyDescent="0.25">
      <c r="A129" s="966">
        <v>91161</v>
      </c>
      <c r="B129" s="967" t="s">
        <v>2748</v>
      </c>
      <c r="C129" s="968">
        <v>9.2600000000000001E-5</v>
      </c>
      <c r="D129" s="968">
        <v>9.4599999999999996E-5</v>
      </c>
      <c r="E129" s="985">
        <v>44457</v>
      </c>
      <c r="F129" s="969">
        <v>141467</v>
      </c>
      <c r="G129" s="969"/>
      <c r="H129" s="970">
        <v>8150</v>
      </c>
      <c r="I129" s="971">
        <v>34348</v>
      </c>
      <c r="J129" s="970">
        <v>20203</v>
      </c>
      <c r="K129" s="969">
        <v>5327</v>
      </c>
      <c r="L129" s="971">
        <f t="shared" si="2"/>
        <v>68028</v>
      </c>
      <c r="M129" s="969"/>
      <c r="N129" s="970">
        <v>4004</v>
      </c>
      <c r="O129" s="970">
        <v>0</v>
      </c>
      <c r="P129" s="969">
        <v>3079</v>
      </c>
      <c r="Q129" s="971">
        <f t="shared" si="3"/>
        <v>7083</v>
      </c>
      <c r="R129" s="969"/>
      <c r="S129" s="970">
        <v>47675</v>
      </c>
      <c r="T129" s="972">
        <v>935</v>
      </c>
      <c r="U129" s="972">
        <v>48610</v>
      </c>
    </row>
    <row r="130" spans="1:21" x14ac:dyDescent="0.25">
      <c r="A130" s="966">
        <v>91171</v>
      </c>
      <c r="B130" s="967" t="s">
        <v>2749</v>
      </c>
      <c r="C130" s="968">
        <v>1.95E-4</v>
      </c>
      <c r="D130" s="968">
        <v>2.5589999999999999E-4</v>
      </c>
      <c r="E130" s="985">
        <v>93651</v>
      </c>
      <c r="F130" s="969">
        <v>297906</v>
      </c>
      <c r="G130" s="969"/>
      <c r="H130" s="970">
        <v>17162</v>
      </c>
      <c r="I130" s="971">
        <v>72331</v>
      </c>
      <c r="J130" s="970">
        <v>42545</v>
      </c>
      <c r="K130" s="969">
        <v>0</v>
      </c>
      <c r="L130" s="971">
        <f t="shared" si="2"/>
        <v>132038</v>
      </c>
      <c r="M130" s="969"/>
      <c r="N130" s="970">
        <v>8433</v>
      </c>
      <c r="O130" s="970">
        <v>0</v>
      </c>
      <c r="P130" s="969">
        <v>58020</v>
      </c>
      <c r="Q130" s="971">
        <f t="shared" si="3"/>
        <v>66453</v>
      </c>
      <c r="R130" s="969"/>
      <c r="S130" s="970">
        <v>100395</v>
      </c>
      <c r="T130" s="972">
        <v>-21400</v>
      </c>
      <c r="U130" s="972">
        <f>78994+1</f>
        <v>78995</v>
      </c>
    </row>
    <row r="131" spans="1:21" x14ac:dyDescent="0.25">
      <c r="A131" s="966">
        <v>91201</v>
      </c>
      <c r="B131" s="967" t="s">
        <v>2750</v>
      </c>
      <c r="C131" s="968">
        <v>2.2878E-3</v>
      </c>
      <c r="D131" s="968">
        <v>2.3127999999999998E-3</v>
      </c>
      <c r="E131" s="985">
        <v>970291</v>
      </c>
      <c r="F131" s="969">
        <v>3495125</v>
      </c>
      <c r="G131" s="969"/>
      <c r="H131" s="970">
        <v>201352</v>
      </c>
      <c r="I131" s="971">
        <v>848620</v>
      </c>
      <c r="J131" s="970">
        <v>499152</v>
      </c>
      <c r="K131" s="969">
        <v>40348</v>
      </c>
      <c r="L131" s="971">
        <f t="shared" si="2"/>
        <v>1589472</v>
      </c>
      <c r="M131" s="969"/>
      <c r="N131" s="970">
        <v>98936</v>
      </c>
      <c r="O131" s="970">
        <v>0</v>
      </c>
      <c r="P131" s="969">
        <v>96428</v>
      </c>
      <c r="Q131" s="971">
        <f t="shared" si="3"/>
        <v>195364</v>
      </c>
      <c r="R131" s="969"/>
      <c r="S131" s="970">
        <v>1177860</v>
      </c>
      <c r="T131" s="972">
        <v>-568</v>
      </c>
      <c r="U131" s="972">
        <v>1177292</v>
      </c>
    </row>
    <row r="132" spans="1:21" x14ac:dyDescent="0.25">
      <c r="A132" s="966">
        <v>91202</v>
      </c>
      <c r="B132" s="967" t="s">
        <v>2751</v>
      </c>
      <c r="C132" s="968">
        <v>1.9330000000000001E-4</v>
      </c>
      <c r="D132" s="968">
        <v>1.897E-4</v>
      </c>
      <c r="E132" s="985">
        <v>96479</v>
      </c>
      <c r="F132" s="969">
        <v>295309</v>
      </c>
      <c r="G132" s="969"/>
      <c r="H132" s="970">
        <v>17013</v>
      </c>
      <c r="I132" s="971">
        <v>71701</v>
      </c>
      <c r="J132" s="970">
        <v>42174</v>
      </c>
      <c r="K132" s="969">
        <v>27893</v>
      </c>
      <c r="L132" s="971">
        <f t="shared" si="2"/>
        <v>158781</v>
      </c>
      <c r="M132" s="969"/>
      <c r="N132" s="970">
        <v>8359</v>
      </c>
      <c r="O132" s="970">
        <v>0</v>
      </c>
      <c r="P132" s="969">
        <v>0</v>
      </c>
      <c r="Q132" s="971">
        <f t="shared" si="3"/>
        <v>8359</v>
      </c>
      <c r="R132" s="969"/>
      <c r="S132" s="970">
        <v>99519</v>
      </c>
      <c r="T132" s="972">
        <v>12367</v>
      </c>
      <c r="U132" s="972">
        <v>111886</v>
      </c>
    </row>
    <row r="133" spans="1:21" x14ac:dyDescent="0.25">
      <c r="A133" s="966">
        <v>91203</v>
      </c>
      <c r="B133" s="967" t="s">
        <v>2752</v>
      </c>
      <c r="C133" s="968">
        <v>2.1939999999999999E-4</v>
      </c>
      <c r="D133" s="968">
        <v>2.4479999999999999E-4</v>
      </c>
      <c r="E133" s="985">
        <v>127249</v>
      </c>
      <c r="F133" s="969">
        <v>335182</v>
      </c>
      <c r="G133" s="969"/>
      <c r="H133" s="970">
        <v>19310</v>
      </c>
      <c r="I133" s="971">
        <v>81383</v>
      </c>
      <c r="J133" s="970">
        <v>47869</v>
      </c>
      <c r="K133" s="969">
        <v>25236</v>
      </c>
      <c r="L133" s="971">
        <f t="shared" si="2"/>
        <v>173798</v>
      </c>
      <c r="M133" s="969"/>
      <c r="N133" s="970">
        <v>9488</v>
      </c>
      <c r="O133" s="970">
        <v>0</v>
      </c>
      <c r="P133" s="969">
        <v>0</v>
      </c>
      <c r="Q133" s="971">
        <f t="shared" si="3"/>
        <v>9488</v>
      </c>
      <c r="R133" s="969"/>
      <c r="S133" s="970">
        <v>112957</v>
      </c>
      <c r="T133" s="972">
        <v>12508</v>
      </c>
      <c r="U133" s="972">
        <f>125464+1</f>
        <v>125465</v>
      </c>
    </row>
    <row r="134" spans="1:21" x14ac:dyDescent="0.25">
      <c r="A134" s="966">
        <v>91206</v>
      </c>
      <c r="B134" s="967" t="s">
        <v>2753</v>
      </c>
      <c r="C134" s="968">
        <v>8.6450000000000003E-4</v>
      </c>
      <c r="D134" s="968">
        <v>8.2129999999999996E-4</v>
      </c>
      <c r="E134" s="985">
        <v>388200</v>
      </c>
      <c r="F134" s="969">
        <v>1320717</v>
      </c>
      <c r="G134" s="969"/>
      <c r="H134" s="970">
        <v>76086</v>
      </c>
      <c r="I134" s="971">
        <v>320672</v>
      </c>
      <c r="J134" s="970">
        <v>188617</v>
      </c>
      <c r="K134" s="969">
        <v>32943</v>
      </c>
      <c r="L134" s="971">
        <f t="shared" si="2"/>
        <v>618318</v>
      </c>
      <c r="M134" s="969"/>
      <c r="N134" s="970">
        <v>37385</v>
      </c>
      <c r="O134" s="970">
        <v>0</v>
      </c>
      <c r="P134" s="969">
        <v>1131</v>
      </c>
      <c r="Q134" s="971">
        <f t="shared" si="3"/>
        <v>38516</v>
      </c>
      <c r="R134" s="969"/>
      <c r="S134" s="970">
        <v>445083</v>
      </c>
      <c r="T134" s="972">
        <v>15708</v>
      </c>
      <c r="U134" s="972">
        <v>460791</v>
      </c>
    </row>
    <row r="135" spans="1:21" x14ac:dyDescent="0.25">
      <c r="A135" s="966">
        <v>91208</v>
      </c>
      <c r="B135" s="967" t="s">
        <v>2754</v>
      </c>
      <c r="C135" s="968">
        <v>1.42E-5</v>
      </c>
      <c r="D135" s="968">
        <v>1.3699999999999999E-5</v>
      </c>
      <c r="E135" s="985">
        <v>6398</v>
      </c>
      <c r="F135" s="969">
        <v>21694</v>
      </c>
      <c r="G135" s="969"/>
      <c r="H135" s="970">
        <v>1250</v>
      </c>
      <c r="I135" s="971">
        <v>5267</v>
      </c>
      <c r="J135" s="970">
        <v>3098</v>
      </c>
      <c r="K135" s="969">
        <v>3961</v>
      </c>
      <c r="L135" s="971">
        <f t="shared" ref="L135:L198" si="4">H135+I135+J135+K135</f>
        <v>13576</v>
      </c>
      <c r="M135" s="969"/>
      <c r="N135" s="970">
        <v>614</v>
      </c>
      <c r="O135" s="970">
        <v>0</v>
      </c>
      <c r="P135" s="969">
        <v>0</v>
      </c>
      <c r="Q135" s="971">
        <f t="shared" ref="Q135:Q198" si="5">N135+O135+P135</f>
        <v>614</v>
      </c>
      <c r="R135" s="969"/>
      <c r="S135" s="970">
        <v>7311</v>
      </c>
      <c r="T135" s="972">
        <v>3460</v>
      </c>
      <c r="U135" s="972">
        <v>10771</v>
      </c>
    </row>
    <row r="136" spans="1:21" x14ac:dyDescent="0.25">
      <c r="A136" s="966">
        <v>91211</v>
      </c>
      <c r="B136" s="967" t="s">
        <v>2755</v>
      </c>
      <c r="C136" s="968">
        <v>4.5530000000000001E-4</v>
      </c>
      <c r="D136" s="968">
        <v>4.6789999999999999E-4</v>
      </c>
      <c r="E136" s="985">
        <v>223513</v>
      </c>
      <c r="F136" s="969">
        <v>695572</v>
      </c>
      <c r="G136" s="969"/>
      <c r="H136" s="970">
        <v>40071</v>
      </c>
      <c r="I136" s="971">
        <v>168886</v>
      </c>
      <c r="J136" s="970">
        <v>99337</v>
      </c>
      <c r="K136" s="969">
        <v>6745</v>
      </c>
      <c r="L136" s="971">
        <f t="shared" si="4"/>
        <v>315039</v>
      </c>
      <c r="M136" s="969"/>
      <c r="N136" s="970">
        <v>19689</v>
      </c>
      <c r="O136" s="970">
        <v>0</v>
      </c>
      <c r="P136" s="969">
        <v>3315</v>
      </c>
      <c r="Q136" s="971">
        <f t="shared" si="5"/>
        <v>23004</v>
      </c>
      <c r="R136" s="969"/>
      <c r="S136" s="970">
        <v>234408</v>
      </c>
      <c r="T136" s="972">
        <v>1355</v>
      </c>
      <c r="U136" s="972">
        <v>235763</v>
      </c>
    </row>
    <row r="137" spans="1:21" x14ac:dyDescent="0.25">
      <c r="A137" s="966">
        <v>91213</v>
      </c>
      <c r="B137" s="967" t="s">
        <v>2756</v>
      </c>
      <c r="C137" s="968">
        <v>3.2499999999999997E-5</v>
      </c>
      <c r="D137" s="968">
        <v>3.57E-5</v>
      </c>
      <c r="E137" s="985">
        <v>12090</v>
      </c>
      <c r="F137" s="969">
        <v>49651</v>
      </c>
      <c r="G137" s="969"/>
      <c r="H137" s="970">
        <v>2860</v>
      </c>
      <c r="I137" s="971">
        <v>12056</v>
      </c>
      <c r="J137" s="970">
        <v>7091</v>
      </c>
      <c r="K137" s="969">
        <v>0</v>
      </c>
      <c r="L137" s="971">
        <f t="shared" si="4"/>
        <v>22007</v>
      </c>
      <c r="M137" s="969"/>
      <c r="N137" s="970">
        <v>1405</v>
      </c>
      <c r="O137" s="970">
        <v>0</v>
      </c>
      <c r="P137" s="969">
        <v>7680</v>
      </c>
      <c r="Q137" s="971">
        <f t="shared" si="5"/>
        <v>9085</v>
      </c>
      <c r="R137" s="969"/>
      <c r="S137" s="970">
        <v>16732</v>
      </c>
      <c r="T137" s="972">
        <v>-2660</v>
      </c>
      <c r="U137" s="972">
        <v>14072</v>
      </c>
    </row>
    <row r="138" spans="1:21" x14ac:dyDescent="0.25">
      <c r="A138" s="966">
        <v>91214</v>
      </c>
      <c r="B138" s="967" t="s">
        <v>2757</v>
      </c>
      <c r="C138" s="968">
        <v>2.9300000000000001E-5</v>
      </c>
      <c r="D138" s="968">
        <v>2.8200000000000001E-5</v>
      </c>
      <c r="E138" s="985">
        <v>9669</v>
      </c>
      <c r="F138" s="969">
        <v>44762</v>
      </c>
      <c r="G138" s="969"/>
      <c r="H138" s="970">
        <v>2579</v>
      </c>
      <c r="I138" s="971">
        <v>10868</v>
      </c>
      <c r="J138" s="970">
        <v>6393</v>
      </c>
      <c r="K138" s="969">
        <v>1300</v>
      </c>
      <c r="L138" s="971">
        <f t="shared" si="4"/>
        <v>21140</v>
      </c>
      <c r="M138" s="969"/>
      <c r="N138" s="970">
        <v>1267</v>
      </c>
      <c r="O138" s="970">
        <v>0</v>
      </c>
      <c r="P138" s="969">
        <v>3669</v>
      </c>
      <c r="Q138" s="971">
        <f t="shared" si="5"/>
        <v>4936</v>
      </c>
      <c r="R138" s="969"/>
      <c r="S138" s="970">
        <v>15085</v>
      </c>
      <c r="T138" s="972">
        <v>-283</v>
      </c>
      <c r="U138" s="972">
        <v>14802</v>
      </c>
    </row>
    <row r="139" spans="1:21" x14ac:dyDescent="0.25">
      <c r="A139" s="966">
        <v>91217</v>
      </c>
      <c r="B139" s="967" t="s">
        <v>2758</v>
      </c>
      <c r="C139" s="968">
        <v>2.8799999999999999E-5</v>
      </c>
      <c r="D139" s="968">
        <v>2.6699999999999998E-5</v>
      </c>
      <c r="E139" s="985">
        <v>14934</v>
      </c>
      <c r="F139" s="969">
        <v>43998</v>
      </c>
      <c r="G139" s="969"/>
      <c r="H139" s="970">
        <v>2535</v>
      </c>
      <c r="I139" s="971">
        <v>10683</v>
      </c>
      <c r="J139" s="970">
        <v>6284</v>
      </c>
      <c r="K139" s="969">
        <v>10784</v>
      </c>
      <c r="L139" s="971">
        <f t="shared" si="4"/>
        <v>30286</v>
      </c>
      <c r="M139" s="969"/>
      <c r="N139" s="970">
        <v>1245</v>
      </c>
      <c r="O139" s="970">
        <v>0</v>
      </c>
      <c r="P139" s="969">
        <v>0</v>
      </c>
      <c r="Q139" s="971">
        <f t="shared" si="5"/>
        <v>1245</v>
      </c>
      <c r="R139" s="969"/>
      <c r="S139" s="970">
        <v>14828</v>
      </c>
      <c r="T139" s="972">
        <v>4311</v>
      </c>
      <c r="U139" s="972">
        <v>19139</v>
      </c>
    </row>
    <row r="140" spans="1:21" x14ac:dyDescent="0.25">
      <c r="A140" s="966">
        <v>91221</v>
      </c>
      <c r="B140" s="967" t="s">
        <v>2759</v>
      </c>
      <c r="C140" s="968">
        <v>1.3359999999999999E-4</v>
      </c>
      <c r="D140" s="968">
        <v>1.294E-4</v>
      </c>
      <c r="E140" s="985">
        <v>59449</v>
      </c>
      <c r="F140" s="969">
        <v>204104</v>
      </c>
      <c r="G140" s="969"/>
      <c r="H140" s="970">
        <v>11758</v>
      </c>
      <c r="I140" s="971">
        <v>49557</v>
      </c>
      <c r="J140" s="970">
        <v>29149</v>
      </c>
      <c r="K140" s="969">
        <v>5038</v>
      </c>
      <c r="L140" s="971">
        <f t="shared" si="4"/>
        <v>95502</v>
      </c>
      <c r="M140" s="969"/>
      <c r="N140" s="970">
        <v>5778</v>
      </c>
      <c r="O140" s="970">
        <v>0</v>
      </c>
      <c r="P140" s="969">
        <v>7113</v>
      </c>
      <c r="Q140" s="971">
        <f t="shared" si="5"/>
        <v>12891</v>
      </c>
      <c r="R140" s="969"/>
      <c r="S140" s="970">
        <v>68783</v>
      </c>
      <c r="T140" s="972">
        <v>1397</v>
      </c>
      <c r="U140" s="972">
        <v>70180</v>
      </c>
    </row>
    <row r="141" spans="1:21" x14ac:dyDescent="0.25">
      <c r="A141" s="966">
        <v>91231</v>
      </c>
      <c r="B141" s="967" t="s">
        <v>2760</v>
      </c>
      <c r="C141" s="968">
        <v>1.8856000000000001E-3</v>
      </c>
      <c r="D141" s="968">
        <v>1.9957E-3</v>
      </c>
      <c r="E141" s="985">
        <v>867955</v>
      </c>
      <c r="F141" s="969">
        <v>2880674</v>
      </c>
      <c r="G141" s="969"/>
      <c r="H141" s="970">
        <v>165954</v>
      </c>
      <c r="I141" s="971">
        <v>699431</v>
      </c>
      <c r="J141" s="970">
        <v>411400</v>
      </c>
      <c r="K141" s="969">
        <v>10587</v>
      </c>
      <c r="L141" s="971">
        <f t="shared" si="4"/>
        <v>1287372</v>
      </c>
      <c r="M141" s="969"/>
      <c r="N141" s="970">
        <v>81543</v>
      </c>
      <c r="O141" s="970">
        <v>0</v>
      </c>
      <c r="P141" s="969">
        <v>132995</v>
      </c>
      <c r="Q141" s="971">
        <f t="shared" si="5"/>
        <v>214538</v>
      </c>
      <c r="R141" s="969"/>
      <c r="S141" s="970">
        <v>970790</v>
      </c>
      <c r="T141" s="972">
        <v>-32073</v>
      </c>
      <c r="U141" s="972">
        <v>938717</v>
      </c>
    </row>
    <row r="142" spans="1:21" x14ac:dyDescent="0.25">
      <c r="A142" s="966">
        <v>91233</v>
      </c>
      <c r="B142" s="967" t="s">
        <v>2761</v>
      </c>
      <c r="C142" s="968">
        <v>5.8100000000000003E-5</v>
      </c>
      <c r="D142" s="968">
        <v>4.5599999999999997E-5</v>
      </c>
      <c r="E142" s="985">
        <v>21828</v>
      </c>
      <c r="F142" s="969">
        <v>88761</v>
      </c>
      <c r="G142" s="969"/>
      <c r="H142" s="970">
        <v>5113</v>
      </c>
      <c r="I142" s="971">
        <v>21551</v>
      </c>
      <c r="J142" s="970">
        <v>12676</v>
      </c>
      <c r="K142" s="969">
        <v>9544</v>
      </c>
      <c r="L142" s="971">
        <f t="shared" si="4"/>
        <v>48884</v>
      </c>
      <c r="M142" s="969"/>
      <c r="N142" s="970">
        <v>2513</v>
      </c>
      <c r="O142" s="970">
        <v>0</v>
      </c>
      <c r="P142" s="969">
        <v>117</v>
      </c>
      <c r="Q142" s="971">
        <f t="shared" si="5"/>
        <v>2630</v>
      </c>
      <c r="R142" s="969"/>
      <c r="S142" s="970">
        <v>29912</v>
      </c>
      <c r="T142" s="972">
        <v>4289</v>
      </c>
      <c r="U142" s="972">
        <f>34202-1</f>
        <v>34201</v>
      </c>
    </row>
    <row r="143" spans="1:21" x14ac:dyDescent="0.25">
      <c r="A143" s="966">
        <v>91241</v>
      </c>
      <c r="B143" s="967" t="s">
        <v>2762</v>
      </c>
      <c r="C143" s="968">
        <v>3.5500000000000002E-5</v>
      </c>
      <c r="D143" s="968">
        <v>3.68E-5</v>
      </c>
      <c r="E143" s="985">
        <v>17216</v>
      </c>
      <c r="F143" s="969">
        <v>54234</v>
      </c>
      <c r="G143" s="969"/>
      <c r="H143" s="970">
        <v>3124</v>
      </c>
      <c r="I143" s="971">
        <v>13168</v>
      </c>
      <c r="J143" s="970">
        <v>7745</v>
      </c>
      <c r="K143" s="969">
        <v>0</v>
      </c>
      <c r="L143" s="971">
        <f t="shared" si="4"/>
        <v>24037</v>
      </c>
      <c r="M143" s="969"/>
      <c r="N143" s="970">
        <v>1535</v>
      </c>
      <c r="O143" s="970">
        <v>0</v>
      </c>
      <c r="P143" s="969">
        <v>4391</v>
      </c>
      <c r="Q143" s="971">
        <f t="shared" si="5"/>
        <v>5926</v>
      </c>
      <c r="R143" s="969"/>
      <c r="S143" s="970">
        <v>18277</v>
      </c>
      <c r="T143" s="972">
        <v>-2564</v>
      </c>
      <c r="U143" s="972">
        <v>15713</v>
      </c>
    </row>
    <row r="144" spans="1:21" x14ac:dyDescent="0.25">
      <c r="A144" s="966">
        <v>91251</v>
      </c>
      <c r="B144" s="967" t="s">
        <v>2763</v>
      </c>
      <c r="C144" s="968">
        <v>1.9899999999999999E-5</v>
      </c>
      <c r="D144" s="968">
        <v>2.65E-5</v>
      </c>
      <c r="E144" s="985">
        <v>11339</v>
      </c>
      <c r="F144" s="969">
        <v>30402</v>
      </c>
      <c r="G144" s="969"/>
      <c r="H144" s="970">
        <v>1751</v>
      </c>
      <c r="I144" s="971">
        <v>7381</v>
      </c>
      <c r="J144" s="970">
        <v>4342</v>
      </c>
      <c r="K144" s="969">
        <v>2341</v>
      </c>
      <c r="L144" s="971">
        <f t="shared" si="4"/>
        <v>15815</v>
      </c>
      <c r="M144" s="969"/>
      <c r="N144" s="970">
        <v>861</v>
      </c>
      <c r="O144" s="970">
        <v>0</v>
      </c>
      <c r="P144" s="969">
        <v>3540</v>
      </c>
      <c r="Q144" s="971">
        <f t="shared" si="5"/>
        <v>4401</v>
      </c>
      <c r="R144" s="969"/>
      <c r="S144" s="970">
        <v>10245</v>
      </c>
      <c r="T144" s="972">
        <v>1340</v>
      </c>
      <c r="U144" s="972">
        <f>11586-1</f>
        <v>11585</v>
      </c>
    </row>
    <row r="145" spans="1:21" x14ac:dyDescent="0.25">
      <c r="A145" s="966">
        <v>91261</v>
      </c>
      <c r="B145" s="967" t="s">
        <v>2764</v>
      </c>
      <c r="C145" s="968">
        <v>1.03E-5</v>
      </c>
      <c r="D145" s="968">
        <v>9.5000000000000005E-6</v>
      </c>
      <c r="E145" s="985">
        <v>4666</v>
      </c>
      <c r="F145" s="969">
        <v>15736</v>
      </c>
      <c r="G145" s="969"/>
      <c r="H145" s="970">
        <v>907</v>
      </c>
      <c r="I145" s="971">
        <v>3821</v>
      </c>
      <c r="J145" s="970">
        <v>2247</v>
      </c>
      <c r="K145" s="969">
        <v>1784</v>
      </c>
      <c r="L145" s="971">
        <f t="shared" si="4"/>
        <v>8759</v>
      </c>
      <c r="M145" s="969"/>
      <c r="N145" s="970">
        <v>445</v>
      </c>
      <c r="O145" s="970">
        <v>0</v>
      </c>
      <c r="P145" s="969">
        <v>0</v>
      </c>
      <c r="Q145" s="971">
        <f t="shared" si="5"/>
        <v>445</v>
      </c>
      <c r="R145" s="969"/>
      <c r="S145" s="970">
        <v>5303</v>
      </c>
      <c r="T145" s="972">
        <v>850</v>
      </c>
      <c r="U145" s="972">
        <v>6153</v>
      </c>
    </row>
    <row r="146" spans="1:21" x14ac:dyDescent="0.25">
      <c r="A146" s="966">
        <v>91301</v>
      </c>
      <c r="B146" s="967" t="s">
        <v>2765</v>
      </c>
      <c r="C146" s="968">
        <v>7.6985999999999999E-3</v>
      </c>
      <c r="D146" s="968">
        <v>7.7765000000000004E-3</v>
      </c>
      <c r="E146" s="985">
        <v>3428603</v>
      </c>
      <c r="F146" s="969">
        <v>11761328</v>
      </c>
      <c r="G146" s="969"/>
      <c r="H146" s="970">
        <v>677561</v>
      </c>
      <c r="I146" s="971">
        <v>2855665</v>
      </c>
      <c r="J146" s="970">
        <v>1679681</v>
      </c>
      <c r="K146" s="969">
        <v>19915</v>
      </c>
      <c r="L146" s="971">
        <f t="shared" si="4"/>
        <v>5232822</v>
      </c>
      <c r="M146" s="969"/>
      <c r="N146" s="970">
        <v>332926</v>
      </c>
      <c r="O146" s="970">
        <v>0</v>
      </c>
      <c r="P146" s="969">
        <v>249856</v>
      </c>
      <c r="Q146" s="971">
        <f t="shared" si="5"/>
        <v>582782</v>
      </c>
      <c r="R146" s="969"/>
      <c r="S146" s="970">
        <v>3963578</v>
      </c>
      <c r="T146" s="972">
        <v>-98741</v>
      </c>
      <c r="U146" s="972">
        <v>3864837</v>
      </c>
    </row>
    <row r="147" spans="1:21" x14ac:dyDescent="0.25">
      <c r="A147" s="973">
        <v>91302</v>
      </c>
      <c r="B147" s="967" t="s">
        <v>3667</v>
      </c>
      <c r="C147" s="968">
        <v>6.0300000000000002E-4</v>
      </c>
      <c r="D147" s="968">
        <v>5.9190000000000002E-4</v>
      </c>
      <c r="E147" s="985">
        <v>259187</v>
      </c>
      <c r="F147" s="969">
        <v>921217</v>
      </c>
      <c r="G147" s="969"/>
      <c r="H147" s="970">
        <v>53071</v>
      </c>
      <c r="I147" s="971">
        <v>223673</v>
      </c>
      <c r="J147" s="970">
        <v>131563</v>
      </c>
      <c r="K147" s="969">
        <v>32897</v>
      </c>
      <c r="L147" s="971">
        <f t="shared" si="4"/>
        <v>441204</v>
      </c>
      <c r="M147" s="969"/>
      <c r="N147" s="970">
        <v>26077</v>
      </c>
      <c r="O147" s="970">
        <v>0</v>
      </c>
      <c r="P147" s="969">
        <v>6670</v>
      </c>
      <c r="Q147" s="971">
        <f t="shared" si="5"/>
        <v>32747</v>
      </c>
      <c r="R147" s="969"/>
      <c r="S147" s="970">
        <v>310451</v>
      </c>
      <c r="T147" s="972">
        <v>18435</v>
      </c>
      <c r="U147" s="972">
        <v>328886</v>
      </c>
    </row>
    <row r="148" spans="1:21" x14ac:dyDescent="0.25">
      <c r="A148" s="973">
        <v>91306</v>
      </c>
      <c r="B148" s="967" t="s">
        <v>2767</v>
      </c>
      <c r="C148" s="968">
        <v>1.6412E-3</v>
      </c>
      <c r="D148" s="968">
        <v>1.6676E-3</v>
      </c>
      <c r="E148" s="985">
        <v>766698</v>
      </c>
      <c r="F148" s="969">
        <v>2507299</v>
      </c>
      <c r="G148" s="969"/>
      <c r="H148" s="970">
        <v>144444</v>
      </c>
      <c r="I148" s="971">
        <v>608776</v>
      </c>
      <c r="J148" s="970">
        <v>358077</v>
      </c>
      <c r="K148" s="969">
        <v>113707</v>
      </c>
      <c r="L148" s="971">
        <f t="shared" si="4"/>
        <v>1225004</v>
      </c>
      <c r="M148" s="969"/>
      <c r="N148" s="970">
        <v>70974</v>
      </c>
      <c r="O148" s="970">
        <v>0</v>
      </c>
      <c r="P148" s="969">
        <v>7101</v>
      </c>
      <c r="Q148" s="971">
        <f t="shared" si="5"/>
        <v>78075</v>
      </c>
      <c r="R148" s="969"/>
      <c r="S148" s="970">
        <v>844962</v>
      </c>
      <c r="T148" s="972">
        <v>59215</v>
      </c>
      <c r="U148" s="972">
        <v>904177</v>
      </c>
    </row>
    <row r="149" spans="1:21" x14ac:dyDescent="0.25">
      <c r="A149" s="973">
        <v>91308</v>
      </c>
      <c r="B149" s="967" t="s">
        <v>2768</v>
      </c>
      <c r="C149" s="968">
        <v>1.8009999999999999E-4</v>
      </c>
      <c r="D149" s="968">
        <v>2.05E-4</v>
      </c>
      <c r="E149" s="985">
        <v>80232</v>
      </c>
      <c r="F149" s="969">
        <v>275143</v>
      </c>
      <c r="G149" s="969"/>
      <c r="H149" s="970">
        <v>15851</v>
      </c>
      <c r="I149" s="971">
        <v>66805</v>
      </c>
      <c r="J149" s="970">
        <v>39294</v>
      </c>
      <c r="K149" s="969">
        <v>2442</v>
      </c>
      <c r="L149" s="971">
        <f t="shared" si="4"/>
        <v>124392</v>
      </c>
      <c r="M149" s="969"/>
      <c r="N149" s="970">
        <v>7788</v>
      </c>
      <c r="O149" s="970">
        <v>0</v>
      </c>
      <c r="P149" s="969">
        <v>21144</v>
      </c>
      <c r="Q149" s="971">
        <f t="shared" si="5"/>
        <v>28932</v>
      </c>
      <c r="R149" s="969"/>
      <c r="S149" s="970">
        <v>92723</v>
      </c>
      <c r="T149" s="972">
        <v>-3684</v>
      </c>
      <c r="U149" s="972">
        <f>89040-1</f>
        <v>89039</v>
      </c>
    </row>
    <row r="150" spans="1:21" x14ac:dyDescent="0.25">
      <c r="A150" s="966">
        <v>91311</v>
      </c>
      <c r="B150" s="967" t="s">
        <v>2769</v>
      </c>
      <c r="C150" s="968">
        <v>7.6685E-3</v>
      </c>
      <c r="D150" s="968">
        <v>7.6649999999999999E-3</v>
      </c>
      <c r="E150" s="985">
        <v>3305761</v>
      </c>
      <c r="F150" s="969">
        <v>11715344</v>
      </c>
      <c r="G150" s="969"/>
      <c r="H150" s="970">
        <v>674912</v>
      </c>
      <c r="I150" s="971">
        <v>2844500</v>
      </c>
      <c r="J150" s="970">
        <v>1673113</v>
      </c>
      <c r="K150" s="969">
        <v>78345</v>
      </c>
      <c r="L150" s="971">
        <f t="shared" si="4"/>
        <v>5270870</v>
      </c>
      <c r="M150" s="969"/>
      <c r="N150" s="970">
        <v>331624</v>
      </c>
      <c r="O150" s="970">
        <v>0</v>
      </c>
      <c r="P150" s="969">
        <v>516736</v>
      </c>
      <c r="Q150" s="971">
        <f t="shared" si="5"/>
        <v>848360</v>
      </c>
      <c r="R150" s="969"/>
      <c r="S150" s="970">
        <v>3948081</v>
      </c>
      <c r="T150" s="972">
        <v>-187514</v>
      </c>
      <c r="U150" s="972">
        <v>3760567</v>
      </c>
    </row>
    <row r="151" spans="1:21" x14ac:dyDescent="0.25">
      <c r="A151" s="966">
        <v>91317</v>
      </c>
      <c r="B151" s="967" t="s">
        <v>2770</v>
      </c>
      <c r="C151" s="968">
        <v>1.016E-4</v>
      </c>
      <c r="D151" s="968">
        <v>9.0500000000000004E-5</v>
      </c>
      <c r="E151" s="985">
        <v>50865</v>
      </c>
      <c r="F151" s="969">
        <v>155217</v>
      </c>
      <c r="G151" s="969"/>
      <c r="H151" s="970">
        <v>8942</v>
      </c>
      <c r="I151" s="971">
        <v>37687</v>
      </c>
      <c r="J151" s="970">
        <v>22167</v>
      </c>
      <c r="K151" s="969">
        <v>13159</v>
      </c>
      <c r="L151" s="971">
        <f t="shared" si="4"/>
        <v>81955</v>
      </c>
      <c r="M151" s="969"/>
      <c r="N151" s="970">
        <v>4394</v>
      </c>
      <c r="O151" s="970">
        <v>0</v>
      </c>
      <c r="P151" s="969">
        <v>1760</v>
      </c>
      <c r="Q151" s="971">
        <f t="shared" si="5"/>
        <v>6154</v>
      </c>
      <c r="R151" s="969"/>
      <c r="S151" s="970">
        <v>52308</v>
      </c>
      <c r="T151" s="972">
        <v>2823</v>
      </c>
      <c r="U151" s="972">
        <f>55132-1</f>
        <v>55131</v>
      </c>
    </row>
    <row r="152" spans="1:21" x14ac:dyDescent="0.25">
      <c r="A152" s="966">
        <v>91321</v>
      </c>
      <c r="B152" s="967" t="s">
        <v>2771</v>
      </c>
      <c r="C152" s="968">
        <v>4.2799999999999997E-5</v>
      </c>
      <c r="D152" s="968">
        <v>4.1999999999999998E-5</v>
      </c>
      <c r="E152" s="985">
        <v>37213</v>
      </c>
      <c r="F152" s="969">
        <v>65387</v>
      </c>
      <c r="G152" s="969"/>
      <c r="H152" s="970">
        <v>3767</v>
      </c>
      <c r="I152" s="971">
        <v>15876</v>
      </c>
      <c r="J152" s="970">
        <v>9338</v>
      </c>
      <c r="K152" s="969">
        <v>18992</v>
      </c>
      <c r="L152" s="971">
        <f t="shared" si="4"/>
        <v>47973</v>
      </c>
      <c r="M152" s="969"/>
      <c r="N152" s="970">
        <v>1851</v>
      </c>
      <c r="O152" s="970">
        <v>0</v>
      </c>
      <c r="P152" s="969">
        <v>3760</v>
      </c>
      <c r="Q152" s="971">
        <f t="shared" si="5"/>
        <v>5611</v>
      </c>
      <c r="R152" s="969"/>
      <c r="S152" s="970">
        <v>22035</v>
      </c>
      <c r="T152" s="972">
        <v>3437</v>
      </c>
      <c r="U152" s="972">
        <v>25472</v>
      </c>
    </row>
    <row r="153" spans="1:21" x14ac:dyDescent="0.25">
      <c r="A153" s="966">
        <v>91327</v>
      </c>
      <c r="B153" s="967" t="s">
        <v>2772</v>
      </c>
      <c r="C153" s="968">
        <v>8.1999999999999994E-6</v>
      </c>
      <c r="D153" s="968">
        <v>1.03E-5</v>
      </c>
      <c r="E153" s="985">
        <v>4495</v>
      </c>
      <c r="F153" s="969">
        <v>12527</v>
      </c>
      <c r="G153" s="969"/>
      <c r="H153" s="970">
        <v>722</v>
      </c>
      <c r="I153" s="971">
        <v>3042</v>
      </c>
      <c r="J153" s="970">
        <v>1789</v>
      </c>
      <c r="K153" s="969">
        <v>36</v>
      </c>
      <c r="L153" s="971">
        <f t="shared" si="4"/>
        <v>5589</v>
      </c>
      <c r="M153" s="969"/>
      <c r="N153" s="970">
        <v>355</v>
      </c>
      <c r="O153" s="970">
        <v>0</v>
      </c>
      <c r="P153" s="969">
        <v>1563</v>
      </c>
      <c r="Q153" s="971">
        <f t="shared" si="5"/>
        <v>1918</v>
      </c>
      <c r="R153" s="969"/>
      <c r="S153" s="970">
        <v>4222</v>
      </c>
      <c r="T153" s="972">
        <v>-481</v>
      </c>
      <c r="U153" s="972">
        <v>3741</v>
      </c>
    </row>
    <row r="154" spans="1:21" x14ac:dyDescent="0.25">
      <c r="A154" s="966">
        <v>91331</v>
      </c>
      <c r="B154" s="967" t="s">
        <v>2773</v>
      </c>
      <c r="C154" s="968">
        <v>3.0033E-3</v>
      </c>
      <c r="D154" s="968">
        <v>2.8509999999999998E-3</v>
      </c>
      <c r="E154" s="985">
        <v>1190887</v>
      </c>
      <c r="F154" s="969">
        <v>4588210</v>
      </c>
      <c r="G154" s="969"/>
      <c r="H154" s="970">
        <v>264323</v>
      </c>
      <c r="I154" s="971">
        <v>1114023</v>
      </c>
      <c r="J154" s="970">
        <v>655260</v>
      </c>
      <c r="K154" s="969">
        <v>0</v>
      </c>
      <c r="L154" s="971">
        <f t="shared" si="4"/>
        <v>2033606</v>
      </c>
      <c r="M154" s="969"/>
      <c r="N154" s="970">
        <v>129878</v>
      </c>
      <c r="O154" s="970">
        <v>0</v>
      </c>
      <c r="P154" s="969">
        <v>342951</v>
      </c>
      <c r="Q154" s="971">
        <f t="shared" si="5"/>
        <v>472829</v>
      </c>
      <c r="R154" s="969"/>
      <c r="S154" s="970">
        <v>1546231</v>
      </c>
      <c r="T154" s="972">
        <v>-176510</v>
      </c>
      <c r="U154" s="972">
        <v>1369721</v>
      </c>
    </row>
    <row r="155" spans="1:21" x14ac:dyDescent="0.25">
      <c r="A155" s="966">
        <v>91341</v>
      </c>
      <c r="B155" s="967" t="s">
        <v>2774</v>
      </c>
      <c r="C155" s="968">
        <v>2.51E-5</v>
      </c>
      <c r="D155" s="968">
        <v>1.4399999999999999E-5</v>
      </c>
      <c r="E155" s="985">
        <v>9161</v>
      </c>
      <c r="F155" s="969">
        <v>38346</v>
      </c>
      <c r="G155" s="969"/>
      <c r="H155" s="970">
        <v>2209</v>
      </c>
      <c r="I155" s="971">
        <v>9311</v>
      </c>
      <c r="J155" s="970">
        <v>5476</v>
      </c>
      <c r="K155" s="969">
        <v>5566</v>
      </c>
      <c r="L155" s="971">
        <f t="shared" si="4"/>
        <v>22562</v>
      </c>
      <c r="M155" s="969"/>
      <c r="N155" s="970">
        <v>1085</v>
      </c>
      <c r="O155" s="970">
        <v>0</v>
      </c>
      <c r="P155" s="969">
        <v>1759</v>
      </c>
      <c r="Q155" s="971">
        <f t="shared" si="5"/>
        <v>2844</v>
      </c>
      <c r="R155" s="969"/>
      <c r="S155" s="970">
        <v>12923</v>
      </c>
      <c r="T155" s="972">
        <v>939</v>
      </c>
      <c r="U155" s="972">
        <f>13861+1</f>
        <v>13862</v>
      </c>
    </row>
    <row r="156" spans="1:21" x14ac:dyDescent="0.25">
      <c r="A156" s="966">
        <v>91401</v>
      </c>
      <c r="B156" s="967" t="s">
        <v>2775</v>
      </c>
      <c r="C156" s="968">
        <v>3.5885000000000001E-3</v>
      </c>
      <c r="D156" s="968">
        <v>3.6841E-3</v>
      </c>
      <c r="E156" s="985">
        <v>1559430</v>
      </c>
      <c r="F156" s="969">
        <v>5482234</v>
      </c>
      <c r="G156" s="969"/>
      <c r="H156" s="970">
        <v>315827</v>
      </c>
      <c r="I156" s="971">
        <v>1331093</v>
      </c>
      <c r="J156" s="970">
        <v>782939</v>
      </c>
      <c r="K156" s="969">
        <v>17446</v>
      </c>
      <c r="L156" s="971">
        <f t="shared" si="4"/>
        <v>2447305</v>
      </c>
      <c r="M156" s="969"/>
      <c r="N156" s="970">
        <v>155185</v>
      </c>
      <c r="O156" s="970">
        <v>0</v>
      </c>
      <c r="P156" s="969">
        <v>142927</v>
      </c>
      <c r="Q156" s="971">
        <f t="shared" si="5"/>
        <v>298112</v>
      </c>
      <c r="R156" s="969"/>
      <c r="S156" s="970">
        <v>1847518</v>
      </c>
      <c r="T156" s="972">
        <v>-23160</v>
      </c>
      <c r="U156" s="972">
        <v>1824358</v>
      </c>
    </row>
    <row r="157" spans="1:21" x14ac:dyDescent="0.25">
      <c r="A157" s="966">
        <v>91411</v>
      </c>
      <c r="B157" s="967" t="s">
        <v>2776</v>
      </c>
      <c r="C157" s="968">
        <v>3.7829999999999998E-4</v>
      </c>
      <c r="D157" s="968">
        <v>3.5379999999999998E-4</v>
      </c>
      <c r="E157" s="985">
        <v>168365</v>
      </c>
      <c r="F157" s="969">
        <v>577938</v>
      </c>
      <c r="G157" s="969"/>
      <c r="H157" s="970">
        <v>33295</v>
      </c>
      <c r="I157" s="971">
        <v>140324</v>
      </c>
      <c r="J157" s="970">
        <v>82537</v>
      </c>
      <c r="K157" s="969">
        <v>28581</v>
      </c>
      <c r="L157" s="971">
        <f t="shared" si="4"/>
        <v>284737</v>
      </c>
      <c r="M157" s="969"/>
      <c r="N157" s="970">
        <v>16360</v>
      </c>
      <c r="O157" s="970">
        <v>0</v>
      </c>
      <c r="P157" s="969">
        <v>1394</v>
      </c>
      <c r="Q157" s="971">
        <f t="shared" si="5"/>
        <v>17754</v>
      </c>
      <c r="R157" s="969"/>
      <c r="S157" s="970">
        <v>194765</v>
      </c>
      <c r="T157" s="972">
        <v>7766</v>
      </c>
      <c r="U157" s="972">
        <v>202531</v>
      </c>
    </row>
    <row r="158" spans="1:21" x14ac:dyDescent="0.25">
      <c r="A158" s="966">
        <v>91417</v>
      </c>
      <c r="B158" s="967" t="s">
        <v>2777</v>
      </c>
      <c r="C158" s="968">
        <v>9.3000000000000007E-6</v>
      </c>
      <c r="D158" s="968">
        <v>9.9000000000000001E-6</v>
      </c>
      <c r="E158" s="985">
        <v>5289</v>
      </c>
      <c r="F158" s="969">
        <v>14208</v>
      </c>
      <c r="G158" s="969"/>
      <c r="H158" s="970">
        <v>819</v>
      </c>
      <c r="I158" s="971">
        <v>3450</v>
      </c>
      <c r="J158" s="970">
        <v>2029</v>
      </c>
      <c r="K158" s="969">
        <v>2388</v>
      </c>
      <c r="L158" s="971">
        <f t="shared" si="4"/>
        <v>8686</v>
      </c>
      <c r="M158" s="969"/>
      <c r="N158" s="970">
        <v>402</v>
      </c>
      <c r="O158" s="970">
        <v>0</v>
      </c>
      <c r="P158" s="969">
        <v>0</v>
      </c>
      <c r="Q158" s="971">
        <f t="shared" si="5"/>
        <v>402</v>
      </c>
      <c r="R158" s="969"/>
      <c r="S158" s="970">
        <v>4788</v>
      </c>
      <c r="T158" s="972">
        <v>1814</v>
      </c>
      <c r="U158" s="972">
        <v>6602</v>
      </c>
    </row>
    <row r="159" spans="1:21" x14ac:dyDescent="0.25">
      <c r="A159" s="966">
        <v>91421</v>
      </c>
      <c r="B159" s="967" t="s">
        <v>2778</v>
      </c>
      <c r="C159" s="968">
        <v>6.9499999999999995E-5</v>
      </c>
      <c r="D159" s="968">
        <v>7.0400000000000004E-5</v>
      </c>
      <c r="E159" s="985">
        <v>36488</v>
      </c>
      <c r="F159" s="969">
        <v>106177</v>
      </c>
      <c r="G159" s="969"/>
      <c r="H159" s="970">
        <v>6117</v>
      </c>
      <c r="I159" s="971">
        <v>25779</v>
      </c>
      <c r="J159" s="970">
        <v>15164</v>
      </c>
      <c r="K159" s="969">
        <v>4339</v>
      </c>
      <c r="L159" s="971">
        <f t="shared" si="4"/>
        <v>51399</v>
      </c>
      <c r="M159" s="969"/>
      <c r="N159" s="970">
        <v>3006</v>
      </c>
      <c r="O159" s="970">
        <v>0</v>
      </c>
      <c r="P159" s="969">
        <v>3143</v>
      </c>
      <c r="Q159" s="971">
        <f t="shared" si="5"/>
        <v>6149</v>
      </c>
      <c r="R159" s="969"/>
      <c r="S159" s="970">
        <v>35782</v>
      </c>
      <c r="T159" s="972">
        <v>365</v>
      </c>
      <c r="U159" s="972">
        <v>36147</v>
      </c>
    </row>
    <row r="160" spans="1:21" x14ac:dyDescent="0.25">
      <c r="A160" s="966">
        <v>91423</v>
      </c>
      <c r="B160" s="967" t="s">
        <v>2779</v>
      </c>
      <c r="C160" s="968">
        <v>5.38E-5</v>
      </c>
      <c r="D160" s="968">
        <v>3.8699999999999999E-5</v>
      </c>
      <c r="E160" s="985">
        <v>20620</v>
      </c>
      <c r="F160" s="969">
        <v>82191</v>
      </c>
      <c r="G160" s="969"/>
      <c r="H160" s="970">
        <v>4735</v>
      </c>
      <c r="I160" s="971">
        <v>19956</v>
      </c>
      <c r="J160" s="970">
        <v>11738</v>
      </c>
      <c r="K160" s="969">
        <v>13454</v>
      </c>
      <c r="L160" s="971">
        <f t="shared" si="4"/>
        <v>49883</v>
      </c>
      <c r="M160" s="969"/>
      <c r="N160" s="970">
        <v>2327</v>
      </c>
      <c r="O160" s="970">
        <v>0</v>
      </c>
      <c r="P160" s="969">
        <v>2026</v>
      </c>
      <c r="Q160" s="971">
        <f t="shared" si="5"/>
        <v>4353</v>
      </c>
      <c r="R160" s="969"/>
      <c r="S160" s="970">
        <v>27699</v>
      </c>
      <c r="T160" s="972">
        <v>3208</v>
      </c>
      <c r="U160" s="972">
        <f>30906+1</f>
        <v>30907</v>
      </c>
    </row>
    <row r="161" spans="1:21" x14ac:dyDescent="0.25">
      <c r="A161" s="966">
        <v>91431</v>
      </c>
      <c r="B161" s="967" t="s">
        <v>2780</v>
      </c>
      <c r="C161" s="968">
        <v>1.562E-4</v>
      </c>
      <c r="D161" s="968">
        <v>1.417E-4</v>
      </c>
      <c r="E161" s="985">
        <v>80270</v>
      </c>
      <c r="F161" s="969">
        <v>238630</v>
      </c>
      <c r="G161" s="969"/>
      <c r="H161" s="970">
        <v>13747</v>
      </c>
      <c r="I161" s="971">
        <v>57939</v>
      </c>
      <c r="J161" s="970">
        <v>34080</v>
      </c>
      <c r="K161" s="969">
        <v>17694</v>
      </c>
      <c r="L161" s="971">
        <f t="shared" si="4"/>
        <v>123460</v>
      </c>
      <c r="M161" s="969"/>
      <c r="N161" s="970">
        <v>6755</v>
      </c>
      <c r="O161" s="970">
        <v>0</v>
      </c>
      <c r="P161" s="969">
        <v>1767</v>
      </c>
      <c r="Q161" s="971">
        <f t="shared" si="5"/>
        <v>8522</v>
      </c>
      <c r="R161" s="969"/>
      <c r="S161" s="970">
        <v>80419</v>
      </c>
      <c r="T161" s="972">
        <v>4026</v>
      </c>
      <c r="U161" s="972">
        <v>84445</v>
      </c>
    </row>
    <row r="162" spans="1:21" x14ac:dyDescent="0.25">
      <c r="A162" s="966">
        <v>91441</v>
      </c>
      <c r="B162" s="967" t="s">
        <v>2781</v>
      </c>
      <c r="C162" s="968">
        <v>9.5140000000000003E-4</v>
      </c>
      <c r="D162" s="968">
        <v>7.3800000000000005E-4</v>
      </c>
      <c r="E162" s="985">
        <v>316618</v>
      </c>
      <c r="F162" s="969">
        <v>1453476</v>
      </c>
      <c r="G162" s="969"/>
      <c r="H162" s="970">
        <v>83734</v>
      </c>
      <c r="I162" s="971">
        <v>352905</v>
      </c>
      <c r="J162" s="970">
        <v>207576</v>
      </c>
      <c r="K162" s="969">
        <v>46954</v>
      </c>
      <c r="L162" s="971">
        <f t="shared" si="4"/>
        <v>691169</v>
      </c>
      <c r="M162" s="969"/>
      <c r="N162" s="970">
        <v>41143</v>
      </c>
      <c r="O162" s="970">
        <v>0</v>
      </c>
      <c r="P162" s="969">
        <v>103301</v>
      </c>
      <c r="Q162" s="971">
        <f t="shared" si="5"/>
        <v>144444</v>
      </c>
      <c r="R162" s="969"/>
      <c r="S162" s="970">
        <v>489823</v>
      </c>
      <c r="T162" s="972">
        <v>-39929</v>
      </c>
      <c r="U162" s="972">
        <v>449894</v>
      </c>
    </row>
    <row r="163" spans="1:21" x14ac:dyDescent="0.25">
      <c r="A163" s="966">
        <v>91451</v>
      </c>
      <c r="B163" s="967" t="s">
        <v>2782</v>
      </c>
      <c r="C163" s="968">
        <v>1.4760000000000001E-3</v>
      </c>
      <c r="D163" s="968">
        <v>1.5629000000000001E-3</v>
      </c>
      <c r="E163" s="985">
        <v>670223</v>
      </c>
      <c r="F163" s="969">
        <v>2254919</v>
      </c>
      <c r="G163" s="969"/>
      <c r="H163" s="970">
        <v>129904</v>
      </c>
      <c r="I163" s="971">
        <v>547497</v>
      </c>
      <c r="J163" s="970">
        <v>322034</v>
      </c>
      <c r="K163" s="969">
        <v>0</v>
      </c>
      <c r="L163" s="971">
        <f t="shared" si="4"/>
        <v>999435</v>
      </c>
      <c r="M163" s="969"/>
      <c r="N163" s="970">
        <v>63830</v>
      </c>
      <c r="O163" s="970">
        <v>0</v>
      </c>
      <c r="P163" s="969">
        <v>199933</v>
      </c>
      <c r="Q163" s="971">
        <f t="shared" si="5"/>
        <v>263763</v>
      </c>
      <c r="R163" s="969"/>
      <c r="S163" s="970">
        <v>759910</v>
      </c>
      <c r="T163" s="972">
        <v>-85072</v>
      </c>
      <c r="U163" s="972">
        <v>674838</v>
      </c>
    </row>
    <row r="164" spans="1:21" x14ac:dyDescent="0.25">
      <c r="A164" s="966">
        <v>91457</v>
      </c>
      <c r="B164" s="967" t="s">
        <v>2783</v>
      </c>
      <c r="C164" s="968">
        <v>2.23E-5</v>
      </c>
      <c r="D164" s="968">
        <v>2.58E-5</v>
      </c>
      <c r="E164" s="985">
        <v>30670</v>
      </c>
      <c r="F164" s="969">
        <v>34068</v>
      </c>
      <c r="G164" s="969"/>
      <c r="H164" s="970">
        <v>1963</v>
      </c>
      <c r="I164" s="971">
        <v>8272</v>
      </c>
      <c r="J164" s="970">
        <v>4865</v>
      </c>
      <c r="K164" s="969">
        <v>30858</v>
      </c>
      <c r="L164" s="971">
        <f t="shared" si="4"/>
        <v>45958</v>
      </c>
      <c r="M164" s="969"/>
      <c r="N164" s="970">
        <v>964</v>
      </c>
      <c r="O164" s="970">
        <v>0</v>
      </c>
      <c r="P164" s="969">
        <v>0</v>
      </c>
      <c r="Q164" s="971">
        <f t="shared" si="5"/>
        <v>964</v>
      </c>
      <c r="R164" s="969"/>
      <c r="S164" s="970">
        <v>11481</v>
      </c>
      <c r="T164" s="972">
        <v>10929</v>
      </c>
      <c r="U164" s="972">
        <v>22410</v>
      </c>
    </row>
    <row r="165" spans="1:21" x14ac:dyDescent="0.25">
      <c r="A165" s="966">
        <v>91461</v>
      </c>
      <c r="B165" s="967" t="s">
        <v>2784</v>
      </c>
      <c r="C165" s="968">
        <v>9.3999999999999998E-6</v>
      </c>
      <c r="D165" s="968">
        <v>8.6999999999999997E-6</v>
      </c>
      <c r="E165" s="985">
        <v>2932</v>
      </c>
      <c r="F165" s="969">
        <v>14361</v>
      </c>
      <c r="G165" s="969"/>
      <c r="H165" s="970">
        <v>827</v>
      </c>
      <c r="I165" s="971">
        <v>3487</v>
      </c>
      <c r="J165" s="970">
        <v>2051</v>
      </c>
      <c r="K165" s="969">
        <v>2052</v>
      </c>
      <c r="L165" s="971">
        <f t="shared" si="4"/>
        <v>8417</v>
      </c>
      <c r="M165" s="969"/>
      <c r="N165" s="970">
        <v>407</v>
      </c>
      <c r="O165" s="970">
        <v>0</v>
      </c>
      <c r="P165" s="969">
        <v>637</v>
      </c>
      <c r="Q165" s="971">
        <f t="shared" si="5"/>
        <v>1044</v>
      </c>
      <c r="R165" s="969"/>
      <c r="S165" s="970">
        <v>4840</v>
      </c>
      <c r="T165" s="972">
        <v>945</v>
      </c>
      <c r="U165" s="972">
        <f>5784+1</f>
        <v>5785</v>
      </c>
    </row>
    <row r="166" spans="1:21" x14ac:dyDescent="0.25">
      <c r="A166" s="966">
        <v>91501</v>
      </c>
      <c r="B166" s="967" t="s">
        <v>2785</v>
      </c>
      <c r="C166" s="968">
        <v>4.9700000000000005E-4</v>
      </c>
      <c r="D166" s="968">
        <v>5.1099999999999995E-4</v>
      </c>
      <c r="E166" s="985">
        <v>231246</v>
      </c>
      <c r="F166" s="969">
        <v>759278</v>
      </c>
      <c r="G166" s="969"/>
      <c r="H166" s="970">
        <v>43741</v>
      </c>
      <c r="I166" s="971">
        <v>184353</v>
      </c>
      <c r="J166" s="970">
        <v>108435</v>
      </c>
      <c r="K166" s="969">
        <v>24430</v>
      </c>
      <c r="L166" s="971">
        <f t="shared" si="4"/>
        <v>360959</v>
      </c>
      <c r="M166" s="969"/>
      <c r="N166" s="970">
        <v>21493</v>
      </c>
      <c r="O166" s="970">
        <v>0</v>
      </c>
      <c r="P166" s="969">
        <v>6922</v>
      </c>
      <c r="Q166" s="971">
        <f t="shared" si="5"/>
        <v>28415</v>
      </c>
      <c r="R166" s="969"/>
      <c r="S166" s="970">
        <v>255877</v>
      </c>
      <c r="T166" s="972">
        <v>15592</v>
      </c>
      <c r="U166" s="972">
        <v>271469</v>
      </c>
    </row>
    <row r="167" spans="1:21" x14ac:dyDescent="0.25">
      <c r="A167" s="966">
        <v>91504</v>
      </c>
      <c r="B167" s="967" t="s">
        <v>2786</v>
      </c>
      <c r="C167" s="968">
        <v>9.7000000000000003E-6</v>
      </c>
      <c r="D167" s="968">
        <v>1.0200000000000001E-5</v>
      </c>
      <c r="E167" s="985">
        <v>6531</v>
      </c>
      <c r="F167" s="969">
        <v>14819</v>
      </c>
      <c r="G167" s="969"/>
      <c r="H167" s="970">
        <v>854</v>
      </c>
      <c r="I167" s="971">
        <v>3599</v>
      </c>
      <c r="J167" s="970">
        <v>2116</v>
      </c>
      <c r="K167" s="969">
        <v>5620</v>
      </c>
      <c r="L167" s="971">
        <f t="shared" si="4"/>
        <v>12189</v>
      </c>
      <c r="M167" s="969"/>
      <c r="N167" s="970">
        <v>419</v>
      </c>
      <c r="O167" s="970">
        <v>0</v>
      </c>
      <c r="P167" s="969">
        <v>0</v>
      </c>
      <c r="Q167" s="971">
        <f t="shared" si="5"/>
        <v>419</v>
      </c>
      <c r="R167" s="969"/>
      <c r="S167" s="970">
        <v>4994</v>
      </c>
      <c r="T167" s="972">
        <v>2602</v>
      </c>
      <c r="U167" s="972">
        <v>7596</v>
      </c>
    </row>
    <row r="168" spans="1:21" x14ac:dyDescent="0.25">
      <c r="A168" s="966">
        <v>91601</v>
      </c>
      <c r="B168" s="967" t="s">
        <v>2787</v>
      </c>
      <c r="C168" s="968">
        <v>2.8040000000000001E-3</v>
      </c>
      <c r="D168" s="968">
        <v>2.9077999999999999E-3</v>
      </c>
      <c r="E168" s="985">
        <v>1323806</v>
      </c>
      <c r="F168" s="969">
        <v>4283735</v>
      </c>
      <c r="G168" s="969"/>
      <c r="H168" s="970">
        <v>246783</v>
      </c>
      <c r="I168" s="971">
        <v>1040096</v>
      </c>
      <c r="J168" s="970">
        <v>611777</v>
      </c>
      <c r="K168" s="969">
        <v>168530</v>
      </c>
      <c r="L168" s="971">
        <f t="shared" si="4"/>
        <v>2067186</v>
      </c>
      <c r="M168" s="969"/>
      <c r="N168" s="970">
        <v>121259</v>
      </c>
      <c r="O168" s="970">
        <v>0</v>
      </c>
      <c r="P168" s="969">
        <v>40367</v>
      </c>
      <c r="Q168" s="971">
        <f t="shared" si="5"/>
        <v>161626</v>
      </c>
      <c r="R168" s="969"/>
      <c r="S168" s="970">
        <v>1443623</v>
      </c>
      <c r="T168" s="972">
        <v>76132</v>
      </c>
      <c r="U168" s="972">
        <v>1519755</v>
      </c>
    </row>
    <row r="169" spans="1:21" x14ac:dyDescent="0.25">
      <c r="A169" s="966">
        <v>91604</v>
      </c>
      <c r="B169" s="967" t="s">
        <v>2788</v>
      </c>
      <c r="C169" s="968">
        <v>8.8499999999999996E-5</v>
      </c>
      <c r="D169" s="968">
        <v>8.6799999999999996E-5</v>
      </c>
      <c r="E169" s="985">
        <v>50507</v>
      </c>
      <c r="F169" s="969">
        <v>135203</v>
      </c>
      <c r="G169" s="969"/>
      <c r="H169" s="970">
        <v>7789</v>
      </c>
      <c r="I169" s="971">
        <v>32827</v>
      </c>
      <c r="J169" s="970">
        <v>19309</v>
      </c>
      <c r="K169" s="969">
        <v>20977</v>
      </c>
      <c r="L169" s="971">
        <f t="shared" si="4"/>
        <v>80902</v>
      </c>
      <c r="M169" s="969"/>
      <c r="N169" s="970">
        <v>3827</v>
      </c>
      <c r="O169" s="970">
        <v>0</v>
      </c>
      <c r="P169" s="969">
        <v>0</v>
      </c>
      <c r="Q169" s="971">
        <f t="shared" si="5"/>
        <v>3827</v>
      </c>
      <c r="R169" s="969"/>
      <c r="S169" s="970">
        <v>45564</v>
      </c>
      <c r="T169" s="972">
        <v>7680</v>
      </c>
      <c r="U169" s="972">
        <v>53244</v>
      </c>
    </row>
    <row r="170" spans="1:21" x14ac:dyDescent="0.25">
      <c r="A170" s="966">
        <v>91608</v>
      </c>
      <c r="B170" s="967" t="s">
        <v>2789</v>
      </c>
      <c r="C170" s="968">
        <v>1.5349999999999999E-4</v>
      </c>
      <c r="D170" s="968">
        <v>1.208E-4</v>
      </c>
      <c r="E170" s="985">
        <v>45013</v>
      </c>
      <c r="F170" s="969">
        <v>234505</v>
      </c>
      <c r="G170" s="969"/>
      <c r="H170" s="970">
        <v>13510</v>
      </c>
      <c r="I170" s="971">
        <v>56938</v>
      </c>
      <c r="J170" s="970">
        <v>33491</v>
      </c>
      <c r="K170" s="969">
        <v>2430</v>
      </c>
      <c r="L170" s="971">
        <f t="shared" si="4"/>
        <v>106369</v>
      </c>
      <c r="M170" s="969"/>
      <c r="N170" s="970">
        <v>6638</v>
      </c>
      <c r="O170" s="970">
        <v>0</v>
      </c>
      <c r="P170" s="969">
        <v>28763</v>
      </c>
      <c r="Q170" s="971">
        <f t="shared" si="5"/>
        <v>35401</v>
      </c>
      <c r="R170" s="969"/>
      <c r="S170" s="970">
        <v>79029</v>
      </c>
      <c r="T170" s="972">
        <v>-12888</v>
      </c>
      <c r="U170" s="972">
        <f>66140+1</f>
        <v>66141</v>
      </c>
    </row>
    <row r="171" spans="1:21" x14ac:dyDescent="0.25">
      <c r="A171" s="966">
        <v>91611</v>
      </c>
      <c r="B171" s="967" t="s">
        <v>2790</v>
      </c>
      <c r="C171" s="968">
        <v>1.4708E-3</v>
      </c>
      <c r="D171" s="968">
        <v>1.4345E-3</v>
      </c>
      <c r="E171" s="985">
        <v>598449</v>
      </c>
      <c r="F171" s="969">
        <v>2246975</v>
      </c>
      <c r="G171" s="969"/>
      <c r="H171" s="970">
        <v>129447</v>
      </c>
      <c r="I171" s="971">
        <v>545569</v>
      </c>
      <c r="J171" s="970">
        <v>320899</v>
      </c>
      <c r="K171" s="969">
        <v>19333</v>
      </c>
      <c r="L171" s="971">
        <f t="shared" si="4"/>
        <v>1015248</v>
      </c>
      <c r="M171" s="969"/>
      <c r="N171" s="970">
        <v>63605</v>
      </c>
      <c r="O171" s="970">
        <v>0</v>
      </c>
      <c r="P171" s="969">
        <v>53335</v>
      </c>
      <c r="Q171" s="971">
        <f t="shared" si="5"/>
        <v>116940</v>
      </c>
      <c r="R171" s="969"/>
      <c r="S171" s="970">
        <v>757233</v>
      </c>
      <c r="T171" s="972">
        <v>2483</v>
      </c>
      <c r="U171" s="972">
        <f>759715+1</f>
        <v>759716</v>
      </c>
    </row>
    <row r="172" spans="1:21" x14ac:dyDescent="0.25">
      <c r="A172" s="966">
        <v>91621</v>
      </c>
      <c r="B172" s="967" t="s">
        <v>2791</v>
      </c>
      <c r="C172" s="968">
        <v>2.7050000000000002E-4</v>
      </c>
      <c r="D172" s="968">
        <v>2.5240000000000001E-4</v>
      </c>
      <c r="E172" s="985">
        <v>108514</v>
      </c>
      <c r="F172" s="969">
        <v>413249</v>
      </c>
      <c r="G172" s="969"/>
      <c r="H172" s="970">
        <v>23807</v>
      </c>
      <c r="I172" s="971">
        <v>100337</v>
      </c>
      <c r="J172" s="970">
        <v>59018</v>
      </c>
      <c r="K172" s="969">
        <v>13260</v>
      </c>
      <c r="L172" s="971">
        <f t="shared" si="4"/>
        <v>196422</v>
      </c>
      <c r="M172" s="969"/>
      <c r="N172" s="970">
        <v>11698</v>
      </c>
      <c r="O172" s="970">
        <v>0</v>
      </c>
      <c r="P172" s="969">
        <v>14620</v>
      </c>
      <c r="Q172" s="971">
        <f t="shared" si="5"/>
        <v>26318</v>
      </c>
      <c r="R172" s="969"/>
      <c r="S172" s="970">
        <v>139265</v>
      </c>
      <c r="T172" s="972">
        <v>-4185</v>
      </c>
      <c r="U172" s="972">
        <v>135080</v>
      </c>
    </row>
    <row r="173" spans="1:21" x14ac:dyDescent="0.25">
      <c r="A173" s="966">
        <v>91631</v>
      </c>
      <c r="B173" s="967" t="s">
        <v>2792</v>
      </c>
      <c r="C173" s="968">
        <v>5.2249999999999996E-4</v>
      </c>
      <c r="D173" s="968">
        <v>5.3870000000000003E-4</v>
      </c>
      <c r="E173" s="985">
        <v>219722</v>
      </c>
      <c r="F173" s="969">
        <v>798235</v>
      </c>
      <c r="G173" s="969"/>
      <c r="H173" s="970">
        <v>45986</v>
      </c>
      <c r="I173" s="971">
        <v>193812</v>
      </c>
      <c r="J173" s="970">
        <v>113999</v>
      </c>
      <c r="K173" s="969">
        <v>0</v>
      </c>
      <c r="L173" s="971">
        <f t="shared" si="4"/>
        <v>353797</v>
      </c>
      <c r="M173" s="969"/>
      <c r="N173" s="970">
        <v>22596</v>
      </c>
      <c r="O173" s="970">
        <v>0</v>
      </c>
      <c r="P173" s="969">
        <v>52272</v>
      </c>
      <c r="Q173" s="971">
        <f t="shared" si="5"/>
        <v>74868</v>
      </c>
      <c r="R173" s="969"/>
      <c r="S173" s="970">
        <v>269006</v>
      </c>
      <c r="T173" s="972">
        <v>-16747</v>
      </c>
      <c r="U173" s="972">
        <v>252259</v>
      </c>
    </row>
    <row r="174" spans="1:21" x14ac:dyDescent="0.25">
      <c r="A174" s="966">
        <v>91633</v>
      </c>
      <c r="B174" s="967" t="s">
        <v>2793</v>
      </c>
      <c r="C174" s="968">
        <v>2.51E-5</v>
      </c>
      <c r="D174" s="968">
        <v>2.3799999999999999E-5</v>
      </c>
      <c r="E174" s="985">
        <v>11022</v>
      </c>
      <c r="F174" s="969">
        <v>38346</v>
      </c>
      <c r="G174" s="969"/>
      <c r="H174" s="970">
        <v>2209</v>
      </c>
      <c r="I174" s="971">
        <v>9311</v>
      </c>
      <c r="J174" s="970">
        <v>5476</v>
      </c>
      <c r="K174" s="969">
        <v>1513</v>
      </c>
      <c r="L174" s="971">
        <f t="shared" si="4"/>
        <v>18509</v>
      </c>
      <c r="M174" s="969"/>
      <c r="N174" s="970">
        <v>1085</v>
      </c>
      <c r="O174" s="970">
        <v>0</v>
      </c>
      <c r="P174" s="969">
        <v>3215</v>
      </c>
      <c r="Q174" s="971">
        <f t="shared" si="5"/>
        <v>4300</v>
      </c>
      <c r="R174" s="969"/>
      <c r="S174" s="970">
        <v>12923</v>
      </c>
      <c r="T174" s="972">
        <v>-1367</v>
      </c>
      <c r="U174" s="972">
        <f>11555+1</f>
        <v>11556</v>
      </c>
    </row>
    <row r="175" spans="1:21" x14ac:dyDescent="0.25">
      <c r="A175" s="966">
        <v>91641</v>
      </c>
      <c r="B175" s="967" t="s">
        <v>2794</v>
      </c>
      <c r="C175" s="968">
        <v>3.1139999999999998E-4</v>
      </c>
      <c r="D175" s="968">
        <v>2.742E-4</v>
      </c>
      <c r="E175" s="985">
        <v>104379</v>
      </c>
      <c r="F175" s="969">
        <v>475733</v>
      </c>
      <c r="G175" s="969"/>
      <c r="H175" s="970">
        <v>27407</v>
      </c>
      <c r="I175" s="971">
        <v>115509</v>
      </c>
      <c r="J175" s="970">
        <v>67941</v>
      </c>
      <c r="K175" s="969">
        <v>0</v>
      </c>
      <c r="L175" s="971">
        <f t="shared" si="4"/>
        <v>210857</v>
      </c>
      <c r="M175" s="969"/>
      <c r="N175" s="970">
        <v>13466</v>
      </c>
      <c r="O175" s="970">
        <v>0</v>
      </c>
      <c r="P175" s="969">
        <v>55139</v>
      </c>
      <c r="Q175" s="971">
        <f t="shared" si="5"/>
        <v>68605</v>
      </c>
      <c r="R175" s="969"/>
      <c r="S175" s="970">
        <v>160322</v>
      </c>
      <c r="T175" s="972">
        <v>-25877</v>
      </c>
      <c r="U175" s="972">
        <v>134445</v>
      </c>
    </row>
    <row r="176" spans="1:21" x14ac:dyDescent="0.25">
      <c r="A176" s="966">
        <v>91651</v>
      </c>
      <c r="B176" s="967" t="s">
        <v>2795</v>
      </c>
      <c r="C176" s="968">
        <v>4.4440000000000001E-4</v>
      </c>
      <c r="D176" s="968">
        <v>4.6099999999999998E-4</v>
      </c>
      <c r="E176" s="985">
        <v>205102</v>
      </c>
      <c r="F176" s="969">
        <v>678920</v>
      </c>
      <c r="G176" s="969"/>
      <c r="H176" s="970">
        <v>39112</v>
      </c>
      <c r="I176" s="971">
        <v>164843</v>
      </c>
      <c r="J176" s="970">
        <v>96959</v>
      </c>
      <c r="K176" s="969">
        <v>0</v>
      </c>
      <c r="L176" s="971">
        <f t="shared" si="4"/>
        <v>300914</v>
      </c>
      <c r="M176" s="969"/>
      <c r="N176" s="970">
        <v>19218</v>
      </c>
      <c r="O176" s="970">
        <v>0</v>
      </c>
      <c r="P176" s="969">
        <v>30696</v>
      </c>
      <c r="Q176" s="971">
        <f t="shared" si="5"/>
        <v>49914</v>
      </c>
      <c r="R176" s="969"/>
      <c r="S176" s="970">
        <v>228797</v>
      </c>
      <c r="T176" s="972">
        <v>-12407</v>
      </c>
      <c r="U176" s="972">
        <v>216390</v>
      </c>
    </row>
    <row r="177" spans="1:21" x14ac:dyDescent="0.25">
      <c r="A177" s="966">
        <v>91661</v>
      </c>
      <c r="B177" s="967" t="s">
        <v>2796</v>
      </c>
      <c r="C177" s="968">
        <v>1.673E-4</v>
      </c>
      <c r="D177" s="968">
        <v>1.6750000000000001E-4</v>
      </c>
      <c r="E177" s="985">
        <v>56241</v>
      </c>
      <c r="F177" s="969">
        <v>255588</v>
      </c>
      <c r="G177" s="969"/>
      <c r="H177" s="970">
        <v>14724</v>
      </c>
      <c r="I177" s="971">
        <v>62057</v>
      </c>
      <c r="J177" s="970">
        <v>36502</v>
      </c>
      <c r="K177" s="969">
        <v>0</v>
      </c>
      <c r="L177" s="971">
        <f t="shared" si="4"/>
        <v>113283</v>
      </c>
      <c r="M177" s="969"/>
      <c r="N177" s="970">
        <v>7235</v>
      </c>
      <c r="O177" s="970">
        <v>0</v>
      </c>
      <c r="P177" s="969">
        <v>45519</v>
      </c>
      <c r="Q177" s="971">
        <f t="shared" si="5"/>
        <v>52754</v>
      </c>
      <c r="R177" s="969"/>
      <c r="S177" s="970">
        <v>86133</v>
      </c>
      <c r="T177" s="972">
        <v>-16188</v>
      </c>
      <c r="U177" s="972">
        <v>69945</v>
      </c>
    </row>
    <row r="178" spans="1:21" x14ac:dyDescent="0.25">
      <c r="A178" s="966">
        <v>91671</v>
      </c>
      <c r="B178" s="967" t="s">
        <v>2797</v>
      </c>
      <c r="C178" s="968">
        <v>9.6700000000000006E-5</v>
      </c>
      <c r="D178" s="968">
        <v>9.7600000000000001E-5</v>
      </c>
      <c r="E178" s="985">
        <v>43651</v>
      </c>
      <c r="F178" s="969">
        <v>147731</v>
      </c>
      <c r="G178" s="969"/>
      <c r="H178" s="970">
        <v>8511</v>
      </c>
      <c r="I178" s="971">
        <v>35869</v>
      </c>
      <c r="J178" s="970">
        <v>21098</v>
      </c>
      <c r="K178" s="969">
        <v>11497</v>
      </c>
      <c r="L178" s="971">
        <f t="shared" si="4"/>
        <v>76975</v>
      </c>
      <c r="M178" s="969"/>
      <c r="N178" s="970">
        <v>4182</v>
      </c>
      <c r="O178" s="970">
        <v>0</v>
      </c>
      <c r="P178" s="969">
        <v>1197</v>
      </c>
      <c r="Q178" s="971">
        <f t="shared" si="5"/>
        <v>5379</v>
      </c>
      <c r="R178" s="969"/>
      <c r="S178" s="970">
        <v>49785</v>
      </c>
      <c r="T178" s="972">
        <v>5725</v>
      </c>
      <c r="U178" s="972">
        <v>55510</v>
      </c>
    </row>
    <row r="179" spans="1:21" x14ac:dyDescent="0.25">
      <c r="A179" s="966">
        <v>91681</v>
      </c>
      <c r="B179" s="967" t="s">
        <v>2798</v>
      </c>
      <c r="C179" s="968">
        <v>4.728E-4</v>
      </c>
      <c r="D179" s="968">
        <v>4.7130000000000002E-4</v>
      </c>
      <c r="E179" s="985">
        <v>387832</v>
      </c>
      <c r="F179" s="969">
        <v>722307</v>
      </c>
      <c r="G179" s="969"/>
      <c r="H179" s="970">
        <v>41612</v>
      </c>
      <c r="I179" s="971">
        <v>175378</v>
      </c>
      <c r="J179" s="970">
        <v>103156</v>
      </c>
      <c r="K179" s="969">
        <v>274278</v>
      </c>
      <c r="L179" s="971">
        <f t="shared" si="4"/>
        <v>594424</v>
      </c>
      <c r="M179" s="969"/>
      <c r="N179" s="970">
        <v>20446</v>
      </c>
      <c r="O179" s="970">
        <v>0</v>
      </c>
      <c r="P179" s="969">
        <v>4516</v>
      </c>
      <c r="Q179" s="971">
        <f t="shared" si="5"/>
        <v>24962</v>
      </c>
      <c r="R179" s="969"/>
      <c r="S179" s="970">
        <v>243418</v>
      </c>
      <c r="T179" s="972">
        <v>89641</v>
      </c>
      <c r="U179" s="972">
        <v>333059</v>
      </c>
    </row>
    <row r="180" spans="1:21" x14ac:dyDescent="0.25">
      <c r="A180" s="966">
        <v>91691</v>
      </c>
      <c r="B180" s="967" t="s">
        <v>2799</v>
      </c>
      <c r="C180" s="968">
        <v>2.3200000000000001E-5</v>
      </c>
      <c r="D180" s="968">
        <v>2.4199999999999999E-5</v>
      </c>
      <c r="E180" s="985">
        <v>10219</v>
      </c>
      <c r="F180" s="969">
        <v>35443</v>
      </c>
      <c r="G180" s="969"/>
      <c r="H180" s="970">
        <v>2042</v>
      </c>
      <c r="I180" s="971">
        <v>8605</v>
      </c>
      <c r="J180" s="970">
        <v>5062</v>
      </c>
      <c r="K180" s="969">
        <v>1782</v>
      </c>
      <c r="L180" s="971">
        <f t="shared" si="4"/>
        <v>17491</v>
      </c>
      <c r="M180" s="969"/>
      <c r="N180" s="970">
        <v>1003</v>
      </c>
      <c r="O180" s="970">
        <v>0</v>
      </c>
      <c r="P180" s="969">
        <v>1533</v>
      </c>
      <c r="Q180" s="971">
        <f t="shared" si="5"/>
        <v>2536</v>
      </c>
      <c r="R180" s="969"/>
      <c r="S180" s="970">
        <v>11944</v>
      </c>
      <c r="T180" s="972">
        <v>129</v>
      </c>
      <c r="U180" s="972">
        <f>12074-1</f>
        <v>12073</v>
      </c>
    </row>
    <row r="181" spans="1:21" x14ac:dyDescent="0.25">
      <c r="A181" s="966">
        <v>91701</v>
      </c>
      <c r="B181" s="967" t="s">
        <v>2800</v>
      </c>
      <c r="C181" s="968">
        <v>1.2451999999999999E-3</v>
      </c>
      <c r="D181" s="968">
        <v>1.0897000000000001E-3</v>
      </c>
      <c r="E181" s="985">
        <v>542906</v>
      </c>
      <c r="F181" s="969">
        <v>1902321</v>
      </c>
      <c r="G181" s="969"/>
      <c r="H181" s="970">
        <v>109591</v>
      </c>
      <c r="I181" s="971">
        <v>461886</v>
      </c>
      <c r="J181" s="970">
        <v>271678</v>
      </c>
      <c r="K181" s="969">
        <v>95964</v>
      </c>
      <c r="L181" s="971">
        <f t="shared" si="4"/>
        <v>939119</v>
      </c>
      <c r="M181" s="969"/>
      <c r="N181" s="970">
        <v>53849</v>
      </c>
      <c r="O181" s="970">
        <v>0</v>
      </c>
      <c r="P181" s="969">
        <v>6949</v>
      </c>
      <c r="Q181" s="971">
        <f t="shared" si="5"/>
        <v>60798</v>
      </c>
      <c r="R181" s="969"/>
      <c r="S181" s="970">
        <v>641084</v>
      </c>
      <c r="T181" s="972">
        <v>18725</v>
      </c>
      <c r="U181" s="972">
        <v>659809</v>
      </c>
    </row>
    <row r="182" spans="1:21" x14ac:dyDescent="0.25">
      <c r="A182" s="966">
        <v>91704</v>
      </c>
      <c r="B182" s="967" t="s">
        <v>2801</v>
      </c>
      <c r="C182" s="968">
        <v>1.73E-5</v>
      </c>
      <c r="D182" s="968">
        <v>1.6699999999999999E-5</v>
      </c>
      <c r="E182" s="985">
        <v>7506</v>
      </c>
      <c r="F182" s="969">
        <v>26430</v>
      </c>
      <c r="G182" s="969"/>
      <c r="H182" s="970">
        <v>1523</v>
      </c>
      <c r="I182" s="971">
        <v>6417</v>
      </c>
      <c r="J182" s="970">
        <v>3775</v>
      </c>
      <c r="K182" s="969">
        <v>1084</v>
      </c>
      <c r="L182" s="971">
        <f t="shared" si="4"/>
        <v>12799</v>
      </c>
      <c r="M182" s="969"/>
      <c r="N182" s="970">
        <v>748</v>
      </c>
      <c r="O182" s="970">
        <v>0</v>
      </c>
      <c r="P182" s="969">
        <v>0</v>
      </c>
      <c r="Q182" s="971">
        <f t="shared" si="5"/>
        <v>748</v>
      </c>
      <c r="R182" s="969"/>
      <c r="S182" s="970">
        <v>8907</v>
      </c>
      <c r="T182" s="972">
        <v>641</v>
      </c>
      <c r="U182" s="972">
        <v>9548</v>
      </c>
    </row>
    <row r="183" spans="1:21" x14ac:dyDescent="0.25">
      <c r="A183" s="966">
        <v>91706</v>
      </c>
      <c r="B183" s="967" t="s">
        <v>2802</v>
      </c>
      <c r="C183" s="968">
        <v>2.4340000000000001E-4</v>
      </c>
      <c r="D183" s="968">
        <v>2.4279999999999999E-4</v>
      </c>
      <c r="E183" s="985">
        <v>121963</v>
      </c>
      <c r="F183" s="969">
        <v>371848</v>
      </c>
      <c r="G183" s="969"/>
      <c r="H183" s="970">
        <v>21422</v>
      </c>
      <c r="I183" s="971">
        <v>90285</v>
      </c>
      <c r="J183" s="970">
        <v>53105</v>
      </c>
      <c r="K183" s="969">
        <v>9101</v>
      </c>
      <c r="L183" s="971">
        <f t="shared" si="4"/>
        <v>173913</v>
      </c>
      <c r="M183" s="969"/>
      <c r="N183" s="970">
        <v>10526</v>
      </c>
      <c r="O183" s="970">
        <v>0</v>
      </c>
      <c r="P183" s="969">
        <v>8271</v>
      </c>
      <c r="Q183" s="971">
        <f t="shared" si="5"/>
        <v>18797</v>
      </c>
      <c r="R183" s="969"/>
      <c r="S183" s="970">
        <v>125313</v>
      </c>
      <c r="T183" s="972">
        <v>-4120</v>
      </c>
      <c r="U183" s="972">
        <v>121193</v>
      </c>
    </row>
    <row r="184" spans="1:21" x14ac:dyDescent="0.25">
      <c r="A184" s="966">
        <v>91719</v>
      </c>
      <c r="B184" s="967" t="s">
        <v>2803</v>
      </c>
      <c r="C184" s="968">
        <v>4.9700000000000002E-5</v>
      </c>
      <c r="D184" s="968">
        <v>4.9299999999999999E-5</v>
      </c>
      <c r="E184" s="985">
        <v>19656</v>
      </c>
      <c r="F184" s="969">
        <v>75928</v>
      </c>
      <c r="G184" s="969"/>
      <c r="H184" s="970">
        <v>4374</v>
      </c>
      <c r="I184" s="971">
        <v>18435</v>
      </c>
      <c r="J184" s="970">
        <v>10844</v>
      </c>
      <c r="K184" s="969">
        <v>4395</v>
      </c>
      <c r="L184" s="971">
        <f t="shared" si="4"/>
        <v>38048</v>
      </c>
      <c r="M184" s="969"/>
      <c r="N184" s="970">
        <v>2149</v>
      </c>
      <c r="O184" s="970">
        <v>0</v>
      </c>
      <c r="P184" s="969">
        <v>4419</v>
      </c>
      <c r="Q184" s="971">
        <f t="shared" si="5"/>
        <v>6568</v>
      </c>
      <c r="R184" s="969"/>
      <c r="S184" s="970">
        <v>25588</v>
      </c>
      <c r="T184" s="972">
        <v>37</v>
      </c>
      <c r="U184" s="972">
        <v>25625</v>
      </c>
    </row>
    <row r="185" spans="1:21" x14ac:dyDescent="0.25">
      <c r="A185" s="966">
        <v>91801</v>
      </c>
      <c r="B185" s="967" t="s">
        <v>2804</v>
      </c>
      <c r="C185" s="968">
        <v>8.0961000000000002E-3</v>
      </c>
      <c r="D185" s="968">
        <v>8.3853999999999995E-3</v>
      </c>
      <c r="E185" s="985">
        <v>3752769</v>
      </c>
      <c r="F185" s="969">
        <v>12368598</v>
      </c>
      <c r="G185" s="969"/>
      <c r="H185" s="970">
        <v>712546</v>
      </c>
      <c r="I185" s="971">
        <v>3003111</v>
      </c>
      <c r="J185" s="970">
        <v>1766407</v>
      </c>
      <c r="K185" s="969">
        <v>0</v>
      </c>
      <c r="L185" s="971">
        <f t="shared" si="4"/>
        <v>5482064</v>
      </c>
      <c r="M185" s="969"/>
      <c r="N185" s="970">
        <v>350116</v>
      </c>
      <c r="O185" s="970">
        <v>0</v>
      </c>
      <c r="P185" s="969">
        <v>242225</v>
      </c>
      <c r="Q185" s="971">
        <f t="shared" si="5"/>
        <v>592341</v>
      </c>
      <c r="R185" s="969"/>
      <c r="S185" s="970">
        <v>4168229</v>
      </c>
      <c r="T185" s="972">
        <v>-87031</v>
      </c>
      <c r="U185" s="972">
        <f>4081197+1</f>
        <v>4081198</v>
      </c>
    </row>
    <row r="186" spans="1:21" x14ac:dyDescent="0.25">
      <c r="A186" s="966">
        <v>91804</v>
      </c>
      <c r="B186" s="967" t="s">
        <v>2805</v>
      </c>
      <c r="C186" s="968">
        <v>1.3439999999999999E-4</v>
      </c>
      <c r="D186" s="968">
        <v>1.462E-4</v>
      </c>
      <c r="E186" s="985">
        <v>95886</v>
      </c>
      <c r="F186" s="969">
        <v>205326</v>
      </c>
      <c r="G186" s="969"/>
      <c r="H186" s="970">
        <v>11829</v>
      </c>
      <c r="I186" s="971">
        <v>49854</v>
      </c>
      <c r="J186" s="970">
        <v>29323</v>
      </c>
      <c r="K186" s="969">
        <v>55699</v>
      </c>
      <c r="L186" s="971">
        <f t="shared" si="4"/>
        <v>146705</v>
      </c>
      <c r="M186" s="969"/>
      <c r="N186" s="970">
        <v>5812</v>
      </c>
      <c r="O186" s="970">
        <v>0</v>
      </c>
      <c r="P186" s="969">
        <v>0</v>
      </c>
      <c r="Q186" s="971">
        <f t="shared" si="5"/>
        <v>5812</v>
      </c>
      <c r="R186" s="969"/>
      <c r="S186" s="970">
        <v>69195</v>
      </c>
      <c r="T186" s="972">
        <v>23621</v>
      </c>
      <c r="U186" s="972">
        <v>92816</v>
      </c>
    </row>
    <row r="187" spans="1:21" x14ac:dyDescent="0.25">
      <c r="A187" s="966">
        <v>91811</v>
      </c>
      <c r="B187" s="967" t="s">
        <v>2806</v>
      </c>
      <c r="C187" s="968">
        <v>4.5555999999999999E-3</v>
      </c>
      <c r="D187" s="968">
        <v>4.6454000000000001E-3</v>
      </c>
      <c r="E187" s="985">
        <v>1964158</v>
      </c>
      <c r="F187" s="969">
        <v>6959695</v>
      </c>
      <c r="G187" s="969"/>
      <c r="H187" s="970">
        <v>400943</v>
      </c>
      <c r="I187" s="971">
        <v>1689822</v>
      </c>
      <c r="J187" s="970">
        <v>993941</v>
      </c>
      <c r="K187" s="969">
        <v>0</v>
      </c>
      <c r="L187" s="971">
        <f t="shared" si="4"/>
        <v>3084706</v>
      </c>
      <c r="M187" s="969"/>
      <c r="N187" s="970">
        <v>197007</v>
      </c>
      <c r="O187" s="970">
        <v>0</v>
      </c>
      <c r="P187" s="969">
        <v>519421</v>
      </c>
      <c r="Q187" s="971">
        <f t="shared" si="5"/>
        <v>716428</v>
      </c>
      <c r="R187" s="969"/>
      <c r="S187" s="970">
        <v>2345423</v>
      </c>
      <c r="T187" s="972">
        <v>-197590</v>
      </c>
      <c r="U187" s="972">
        <v>2147833</v>
      </c>
    </row>
    <row r="188" spans="1:21" x14ac:dyDescent="0.25">
      <c r="A188" s="966">
        <v>91812</v>
      </c>
      <c r="B188" s="967" t="s">
        <v>2807</v>
      </c>
      <c r="C188" s="968">
        <v>5.0800000000000002E-5</v>
      </c>
      <c r="D188" s="968">
        <v>5.8199999999999998E-5</v>
      </c>
      <c r="E188" s="985">
        <v>26136</v>
      </c>
      <c r="F188" s="969">
        <v>77608</v>
      </c>
      <c r="G188" s="969"/>
      <c r="H188" s="970">
        <v>4471</v>
      </c>
      <c r="I188" s="971">
        <v>18843</v>
      </c>
      <c r="J188" s="970">
        <v>11084</v>
      </c>
      <c r="K188" s="969">
        <v>11326</v>
      </c>
      <c r="L188" s="971">
        <f t="shared" si="4"/>
        <v>45724</v>
      </c>
      <c r="M188" s="969"/>
      <c r="N188" s="970">
        <v>2197</v>
      </c>
      <c r="O188" s="970">
        <v>0</v>
      </c>
      <c r="P188" s="969">
        <v>2710</v>
      </c>
      <c r="Q188" s="971">
        <f t="shared" si="5"/>
        <v>4907</v>
      </c>
      <c r="R188" s="969"/>
      <c r="S188" s="970">
        <v>26154</v>
      </c>
      <c r="T188" s="972">
        <v>4584</v>
      </c>
      <c r="U188" s="972">
        <v>30738</v>
      </c>
    </row>
    <row r="189" spans="1:21" x14ac:dyDescent="0.25">
      <c r="A189" s="966">
        <v>91813</v>
      </c>
      <c r="B189" s="967" t="s">
        <v>2808</v>
      </c>
      <c r="C189" s="968">
        <v>8.6100000000000006E-5</v>
      </c>
      <c r="D189" s="968">
        <v>1.083E-4</v>
      </c>
      <c r="E189" s="985">
        <v>44452</v>
      </c>
      <c r="F189" s="969">
        <v>131537</v>
      </c>
      <c r="G189" s="969"/>
      <c r="H189" s="970">
        <v>7578</v>
      </c>
      <c r="I189" s="971">
        <v>31938</v>
      </c>
      <c r="J189" s="970">
        <v>18785</v>
      </c>
      <c r="K189" s="969">
        <v>10986</v>
      </c>
      <c r="L189" s="971">
        <f t="shared" si="4"/>
        <v>69287</v>
      </c>
      <c r="M189" s="969"/>
      <c r="N189" s="970">
        <v>3723</v>
      </c>
      <c r="O189" s="970">
        <v>0</v>
      </c>
      <c r="P189" s="969">
        <v>13565</v>
      </c>
      <c r="Q189" s="971">
        <f t="shared" si="5"/>
        <v>17288</v>
      </c>
      <c r="R189" s="969"/>
      <c r="S189" s="970">
        <v>44328</v>
      </c>
      <c r="T189" s="972">
        <v>-155</v>
      </c>
      <c r="U189" s="972">
        <v>44173</v>
      </c>
    </row>
    <row r="190" spans="1:21" x14ac:dyDescent="0.25">
      <c r="A190" s="966">
        <v>91818</v>
      </c>
      <c r="B190" s="967" t="s">
        <v>2809</v>
      </c>
      <c r="C190" s="968">
        <v>4.0079999999999998E-4</v>
      </c>
      <c r="D190" s="968">
        <v>3.8559999999999999E-4</v>
      </c>
      <c r="E190" s="985">
        <v>453409</v>
      </c>
      <c r="F190" s="969">
        <v>612311</v>
      </c>
      <c r="G190" s="969"/>
      <c r="H190" s="970">
        <v>35275</v>
      </c>
      <c r="I190" s="971">
        <v>148670</v>
      </c>
      <c r="J190" s="970">
        <v>87447</v>
      </c>
      <c r="K190" s="969">
        <v>469231</v>
      </c>
      <c r="L190" s="971">
        <f t="shared" si="4"/>
        <v>740623</v>
      </c>
      <c r="M190" s="969"/>
      <c r="N190" s="970">
        <v>17333</v>
      </c>
      <c r="O190" s="970">
        <v>0</v>
      </c>
      <c r="P190" s="969">
        <v>5024</v>
      </c>
      <c r="Q190" s="971">
        <f t="shared" si="5"/>
        <v>22357</v>
      </c>
      <c r="R190" s="969"/>
      <c r="S190" s="970">
        <v>206349</v>
      </c>
      <c r="T190" s="972">
        <v>155106</v>
      </c>
      <c r="U190" s="972">
        <f>361456-1</f>
        <v>361455</v>
      </c>
    </row>
    <row r="191" spans="1:21" x14ac:dyDescent="0.25">
      <c r="A191" s="966">
        <v>91819</v>
      </c>
      <c r="B191" s="967" t="s">
        <v>2810</v>
      </c>
      <c r="C191" s="968">
        <v>2.8489999999999999E-4</v>
      </c>
      <c r="D191" s="968">
        <v>2.8200000000000002E-4</v>
      </c>
      <c r="E191" s="985">
        <v>138657</v>
      </c>
      <c r="F191" s="969">
        <v>435248</v>
      </c>
      <c r="G191" s="969"/>
      <c r="H191" s="970">
        <v>25074</v>
      </c>
      <c r="I191" s="971">
        <v>105678</v>
      </c>
      <c r="J191" s="970">
        <v>62159</v>
      </c>
      <c r="K191" s="969">
        <v>15073</v>
      </c>
      <c r="L191" s="971">
        <f t="shared" si="4"/>
        <v>207984</v>
      </c>
      <c r="M191" s="969"/>
      <c r="N191" s="970">
        <v>12321</v>
      </c>
      <c r="O191" s="970">
        <v>0</v>
      </c>
      <c r="P191" s="969">
        <v>8276</v>
      </c>
      <c r="Q191" s="971">
        <f t="shared" si="5"/>
        <v>20597</v>
      </c>
      <c r="R191" s="969"/>
      <c r="S191" s="970">
        <v>146679</v>
      </c>
      <c r="T191" s="972">
        <v>5278</v>
      </c>
      <c r="U191" s="972">
        <v>151957</v>
      </c>
    </row>
    <row r="192" spans="1:21" x14ac:dyDescent="0.25">
      <c r="A192" s="966">
        <v>91821</v>
      </c>
      <c r="B192" s="967" t="s">
        <v>2811</v>
      </c>
      <c r="C192" s="968">
        <v>1.7330000000000001E-4</v>
      </c>
      <c r="D192" s="968">
        <v>1.63E-4</v>
      </c>
      <c r="E192" s="985">
        <v>71126</v>
      </c>
      <c r="F192" s="969">
        <v>264754</v>
      </c>
      <c r="G192" s="969"/>
      <c r="H192" s="970">
        <v>15252</v>
      </c>
      <c r="I192" s="971">
        <v>64283</v>
      </c>
      <c r="J192" s="970">
        <v>37811</v>
      </c>
      <c r="K192" s="969">
        <v>2434</v>
      </c>
      <c r="L192" s="971">
        <f t="shared" si="4"/>
        <v>119780</v>
      </c>
      <c r="M192" s="969"/>
      <c r="N192" s="970">
        <v>7494</v>
      </c>
      <c r="O192" s="970">
        <v>0</v>
      </c>
      <c r="P192" s="969">
        <v>1112</v>
      </c>
      <c r="Q192" s="971">
        <f t="shared" si="5"/>
        <v>8606</v>
      </c>
      <c r="R192" s="969"/>
      <c r="S192" s="970">
        <v>89222</v>
      </c>
      <c r="T192" s="972">
        <v>1572</v>
      </c>
      <c r="U192" s="972">
        <f>90795-1</f>
        <v>90794</v>
      </c>
    </row>
    <row r="193" spans="1:21" x14ac:dyDescent="0.25">
      <c r="A193" s="966">
        <v>91831</v>
      </c>
      <c r="B193" s="967" t="s">
        <v>2812</v>
      </c>
      <c r="C193" s="968">
        <v>3.366E-4</v>
      </c>
      <c r="D193" s="968">
        <v>3.414E-4</v>
      </c>
      <c r="E193" s="985">
        <v>150178</v>
      </c>
      <c r="F193" s="969">
        <v>514232</v>
      </c>
      <c r="G193" s="969"/>
      <c r="H193" s="970">
        <v>29625</v>
      </c>
      <c r="I193" s="971">
        <v>124856</v>
      </c>
      <c r="J193" s="970">
        <v>73439</v>
      </c>
      <c r="K193" s="969">
        <v>7847</v>
      </c>
      <c r="L193" s="971">
        <f t="shared" si="4"/>
        <v>235767</v>
      </c>
      <c r="M193" s="969"/>
      <c r="N193" s="970">
        <v>14556</v>
      </c>
      <c r="O193" s="970">
        <v>0</v>
      </c>
      <c r="P193" s="969">
        <v>13475</v>
      </c>
      <c r="Q193" s="971">
        <f t="shared" si="5"/>
        <v>28031</v>
      </c>
      <c r="R193" s="969"/>
      <c r="S193" s="970">
        <v>173296</v>
      </c>
      <c r="T193" s="972">
        <v>520</v>
      </c>
      <c r="U193" s="972">
        <v>173816</v>
      </c>
    </row>
    <row r="194" spans="1:21" x14ac:dyDescent="0.25">
      <c r="A194" s="966">
        <v>91841</v>
      </c>
      <c r="B194" s="967" t="s">
        <v>2813</v>
      </c>
      <c r="C194" s="968">
        <v>2.5339999999999998E-4</v>
      </c>
      <c r="D194" s="968">
        <v>2.63E-4</v>
      </c>
      <c r="E194" s="985">
        <v>126479</v>
      </c>
      <c r="F194" s="969">
        <v>387125</v>
      </c>
      <c r="G194" s="969"/>
      <c r="H194" s="970">
        <v>22302</v>
      </c>
      <c r="I194" s="971">
        <v>93994</v>
      </c>
      <c r="J194" s="970">
        <v>55287</v>
      </c>
      <c r="K194" s="969">
        <v>1681</v>
      </c>
      <c r="L194" s="971">
        <f t="shared" si="4"/>
        <v>173264</v>
      </c>
      <c r="M194" s="969"/>
      <c r="N194" s="970">
        <v>10958</v>
      </c>
      <c r="O194" s="970">
        <v>0</v>
      </c>
      <c r="P194" s="969">
        <v>14711</v>
      </c>
      <c r="Q194" s="971">
        <f t="shared" si="5"/>
        <v>25669</v>
      </c>
      <c r="R194" s="969"/>
      <c r="S194" s="970">
        <v>130461</v>
      </c>
      <c r="T194" s="972">
        <v>-9727</v>
      </c>
      <c r="U194" s="972">
        <v>120734</v>
      </c>
    </row>
    <row r="195" spans="1:21" x14ac:dyDescent="0.25">
      <c r="A195" s="966">
        <v>91851</v>
      </c>
      <c r="B195" s="967" t="s">
        <v>2814</v>
      </c>
      <c r="C195" s="968">
        <v>7.4910000000000005E-4</v>
      </c>
      <c r="D195" s="968">
        <v>7.2059999999999995E-4</v>
      </c>
      <c r="E195" s="985">
        <v>326836</v>
      </c>
      <c r="F195" s="969">
        <v>1144417</v>
      </c>
      <c r="G195" s="969"/>
      <c r="H195" s="970">
        <v>65929</v>
      </c>
      <c r="I195" s="971">
        <v>277866</v>
      </c>
      <c r="J195" s="970">
        <v>163439</v>
      </c>
      <c r="K195" s="969">
        <v>9030</v>
      </c>
      <c r="L195" s="971">
        <f t="shared" si="4"/>
        <v>516264</v>
      </c>
      <c r="M195" s="969"/>
      <c r="N195" s="970">
        <v>32395</v>
      </c>
      <c r="O195" s="970">
        <v>0</v>
      </c>
      <c r="P195" s="969">
        <v>44287</v>
      </c>
      <c r="Q195" s="971">
        <f t="shared" si="5"/>
        <v>76682</v>
      </c>
      <c r="R195" s="969"/>
      <c r="S195" s="970">
        <v>385670</v>
      </c>
      <c r="T195" s="972">
        <v>-13424</v>
      </c>
      <c r="U195" s="972">
        <v>372246</v>
      </c>
    </row>
    <row r="196" spans="1:21" x14ac:dyDescent="0.25">
      <c r="A196" s="966">
        <v>91861</v>
      </c>
      <c r="B196" s="967" t="s">
        <v>2815</v>
      </c>
      <c r="C196" s="968">
        <v>1.9700000000000001E-5</v>
      </c>
      <c r="D196" s="968">
        <v>1.9899999999999999E-5</v>
      </c>
      <c r="E196" s="985">
        <v>8023</v>
      </c>
      <c r="F196" s="969">
        <v>30096</v>
      </c>
      <c r="G196" s="969"/>
      <c r="H196" s="970">
        <v>1734</v>
      </c>
      <c r="I196" s="971">
        <v>7308</v>
      </c>
      <c r="J196" s="970">
        <v>4298</v>
      </c>
      <c r="K196" s="969">
        <v>2050</v>
      </c>
      <c r="L196" s="971">
        <f t="shared" si="4"/>
        <v>15390</v>
      </c>
      <c r="M196" s="969"/>
      <c r="N196" s="970">
        <v>852</v>
      </c>
      <c r="O196" s="970">
        <v>0</v>
      </c>
      <c r="P196" s="969">
        <v>1061</v>
      </c>
      <c r="Q196" s="971">
        <f t="shared" si="5"/>
        <v>1913</v>
      </c>
      <c r="R196" s="969"/>
      <c r="S196" s="970">
        <v>10142</v>
      </c>
      <c r="T196" s="972">
        <v>692</v>
      </c>
      <c r="U196" s="972">
        <f>10835-1</f>
        <v>10834</v>
      </c>
    </row>
    <row r="197" spans="1:21" x14ac:dyDescent="0.25">
      <c r="A197" s="966">
        <v>91871</v>
      </c>
      <c r="B197" s="967" t="s">
        <v>2816</v>
      </c>
      <c r="C197" s="968">
        <v>1.3319E-3</v>
      </c>
      <c r="D197" s="968">
        <v>1.2712000000000001E-3</v>
      </c>
      <c r="E197" s="985">
        <v>588755</v>
      </c>
      <c r="F197" s="969">
        <v>2034774</v>
      </c>
      <c r="G197" s="969"/>
      <c r="H197" s="970">
        <v>117222</v>
      </c>
      <c r="I197" s="971">
        <v>494045</v>
      </c>
      <c r="J197" s="970">
        <v>290594</v>
      </c>
      <c r="K197" s="969">
        <v>22538</v>
      </c>
      <c r="L197" s="971">
        <f t="shared" si="4"/>
        <v>924399</v>
      </c>
      <c r="M197" s="969"/>
      <c r="N197" s="970">
        <v>57598</v>
      </c>
      <c r="O197" s="970">
        <v>0</v>
      </c>
      <c r="P197" s="969">
        <v>73797</v>
      </c>
      <c r="Q197" s="971">
        <f t="shared" si="5"/>
        <v>131395</v>
      </c>
      <c r="R197" s="969"/>
      <c r="S197" s="970">
        <v>685721</v>
      </c>
      <c r="T197" s="972">
        <v>-28802</v>
      </c>
      <c r="U197" s="972">
        <v>656919</v>
      </c>
    </row>
    <row r="198" spans="1:21" x14ac:dyDescent="0.25">
      <c r="A198" s="966">
        <v>91881</v>
      </c>
      <c r="B198" s="967" t="s">
        <v>2817</v>
      </c>
      <c r="C198" s="968">
        <v>9.3000000000000007E-6</v>
      </c>
      <c r="D198" s="968">
        <v>1.01E-5</v>
      </c>
      <c r="E198" s="985">
        <v>6384</v>
      </c>
      <c r="F198" s="969">
        <v>14208</v>
      </c>
      <c r="G198" s="969"/>
      <c r="H198" s="970">
        <v>819</v>
      </c>
      <c r="I198" s="971">
        <v>3450</v>
      </c>
      <c r="J198" s="970">
        <v>2029</v>
      </c>
      <c r="K198" s="969">
        <v>1155</v>
      </c>
      <c r="L198" s="971">
        <f t="shared" si="4"/>
        <v>7453</v>
      </c>
      <c r="M198" s="969"/>
      <c r="N198" s="970">
        <v>402</v>
      </c>
      <c r="O198" s="970">
        <v>0</v>
      </c>
      <c r="P198" s="969">
        <v>8809</v>
      </c>
      <c r="Q198" s="971">
        <f t="shared" si="5"/>
        <v>9211</v>
      </c>
      <c r="R198" s="969"/>
      <c r="S198" s="970">
        <v>4788</v>
      </c>
      <c r="T198" s="972">
        <v>-5615</v>
      </c>
      <c r="U198" s="972">
        <v>-827</v>
      </c>
    </row>
    <row r="199" spans="1:21" x14ac:dyDescent="0.25">
      <c r="A199" s="966">
        <v>91901</v>
      </c>
      <c r="B199" s="967" t="s">
        <v>2818</v>
      </c>
      <c r="C199" s="968">
        <v>3.6706999999999998E-3</v>
      </c>
      <c r="D199" s="968">
        <v>3.6564000000000002E-3</v>
      </c>
      <c r="E199" s="985">
        <v>1652493</v>
      </c>
      <c r="F199" s="969">
        <v>5607813</v>
      </c>
      <c r="G199" s="969"/>
      <c r="H199" s="970">
        <v>323062</v>
      </c>
      <c r="I199" s="971">
        <v>1361584</v>
      </c>
      <c r="J199" s="970">
        <v>800873</v>
      </c>
      <c r="K199" s="969">
        <v>89719</v>
      </c>
      <c r="L199" s="971">
        <f t="shared" ref="L199:L262" si="6">H199+I199+J199+K199</f>
        <v>2575238</v>
      </c>
      <c r="M199" s="969"/>
      <c r="N199" s="970">
        <v>158739</v>
      </c>
      <c r="O199" s="970">
        <v>0</v>
      </c>
      <c r="P199" s="969">
        <v>16546</v>
      </c>
      <c r="Q199" s="971">
        <f t="shared" ref="Q199:Q262" si="7">N199+O199+P199</f>
        <v>175285</v>
      </c>
      <c r="R199" s="969"/>
      <c r="S199" s="970">
        <v>1889838</v>
      </c>
      <c r="T199" s="972">
        <v>53714</v>
      </c>
      <c r="U199" s="972">
        <v>1943552</v>
      </c>
    </row>
    <row r="200" spans="1:21" x14ac:dyDescent="0.25">
      <c r="A200" s="966">
        <v>91903</v>
      </c>
      <c r="B200" s="967" t="s">
        <v>2819</v>
      </c>
      <c r="C200" s="968">
        <v>8.6999999999999997E-6</v>
      </c>
      <c r="D200" s="968">
        <v>8.3999999999999992E-6</v>
      </c>
      <c r="E200" s="985">
        <v>5739</v>
      </c>
      <c r="F200" s="969">
        <v>13291</v>
      </c>
      <c r="G200" s="969"/>
      <c r="H200" s="970">
        <v>766</v>
      </c>
      <c r="I200" s="971">
        <v>3227</v>
      </c>
      <c r="J200" s="970">
        <v>1898</v>
      </c>
      <c r="K200" s="969">
        <v>2037</v>
      </c>
      <c r="L200" s="971">
        <f t="shared" si="6"/>
        <v>7928</v>
      </c>
      <c r="M200" s="969"/>
      <c r="N200" s="970">
        <v>376</v>
      </c>
      <c r="O200" s="970">
        <v>0</v>
      </c>
      <c r="P200" s="969">
        <v>3011</v>
      </c>
      <c r="Q200" s="971">
        <f t="shared" si="7"/>
        <v>3387</v>
      </c>
      <c r="R200" s="969"/>
      <c r="S200" s="970">
        <v>4479</v>
      </c>
      <c r="T200" s="972">
        <v>-2426</v>
      </c>
      <c r="U200" s="972">
        <v>2053</v>
      </c>
    </row>
    <row r="201" spans="1:21" x14ac:dyDescent="0.25">
      <c r="A201" s="966">
        <v>91904</v>
      </c>
      <c r="B201" s="967" t="s">
        <v>2820</v>
      </c>
      <c r="C201" s="968">
        <v>3.3399999999999999E-5</v>
      </c>
      <c r="D201" s="968">
        <v>2.3300000000000001E-5</v>
      </c>
      <c r="E201" s="985">
        <v>13231</v>
      </c>
      <c r="F201" s="969">
        <v>51026</v>
      </c>
      <c r="G201" s="969"/>
      <c r="H201" s="970">
        <v>2940</v>
      </c>
      <c r="I201" s="971">
        <v>12389</v>
      </c>
      <c r="J201" s="970">
        <v>7287</v>
      </c>
      <c r="K201" s="969">
        <v>11190</v>
      </c>
      <c r="L201" s="971">
        <f t="shared" si="6"/>
        <v>33806</v>
      </c>
      <c r="M201" s="969"/>
      <c r="N201" s="970">
        <v>1444</v>
      </c>
      <c r="O201" s="970">
        <v>0</v>
      </c>
      <c r="P201" s="969">
        <v>0</v>
      </c>
      <c r="Q201" s="971">
        <f t="shared" si="7"/>
        <v>1444</v>
      </c>
      <c r="R201" s="969"/>
      <c r="S201" s="970">
        <v>17196</v>
      </c>
      <c r="T201" s="972">
        <v>4334</v>
      </c>
      <c r="U201" s="972">
        <v>21530</v>
      </c>
    </row>
    <row r="202" spans="1:21" x14ac:dyDescent="0.25">
      <c r="A202" s="966">
        <v>91908</v>
      </c>
      <c r="B202" s="967" t="s">
        <v>2821</v>
      </c>
      <c r="C202" s="968">
        <v>1.6900000000000001E-5</v>
      </c>
      <c r="D202" s="968">
        <v>1.3699999999999999E-5</v>
      </c>
      <c r="E202" s="985">
        <v>5211</v>
      </c>
      <c r="F202" s="969">
        <v>25819</v>
      </c>
      <c r="G202" s="969"/>
      <c r="H202" s="970">
        <v>1487</v>
      </c>
      <c r="I202" s="971">
        <v>6269</v>
      </c>
      <c r="J202" s="970">
        <v>3687</v>
      </c>
      <c r="K202" s="969">
        <v>935</v>
      </c>
      <c r="L202" s="971">
        <f t="shared" si="6"/>
        <v>12378</v>
      </c>
      <c r="M202" s="969"/>
      <c r="N202" s="970">
        <v>731</v>
      </c>
      <c r="O202" s="970">
        <v>0</v>
      </c>
      <c r="P202" s="969">
        <v>2553</v>
      </c>
      <c r="Q202" s="971">
        <f t="shared" si="7"/>
        <v>3284</v>
      </c>
      <c r="R202" s="969"/>
      <c r="S202" s="970">
        <v>8701</v>
      </c>
      <c r="T202" s="972">
        <v>-56</v>
      </c>
      <c r="U202" s="972">
        <v>8645</v>
      </c>
    </row>
    <row r="203" spans="1:21" x14ac:dyDescent="0.25">
      <c r="A203" s="966">
        <v>91911</v>
      </c>
      <c r="B203" s="967" t="s">
        <v>2822</v>
      </c>
      <c r="C203" s="968">
        <v>4.5580000000000002E-4</v>
      </c>
      <c r="D203" s="968">
        <v>4.639E-4</v>
      </c>
      <c r="E203" s="985">
        <v>224257</v>
      </c>
      <c r="F203" s="969">
        <v>696336</v>
      </c>
      <c r="G203" s="969"/>
      <c r="H203" s="970">
        <v>40115</v>
      </c>
      <c r="I203" s="971">
        <v>169071</v>
      </c>
      <c r="J203" s="970">
        <v>99446</v>
      </c>
      <c r="K203" s="969">
        <v>13510</v>
      </c>
      <c r="L203" s="971">
        <f t="shared" si="6"/>
        <v>322142</v>
      </c>
      <c r="M203" s="969"/>
      <c r="N203" s="970">
        <v>19711</v>
      </c>
      <c r="O203" s="970">
        <v>0</v>
      </c>
      <c r="P203" s="969">
        <v>5011</v>
      </c>
      <c r="Q203" s="971">
        <f t="shared" si="7"/>
        <v>24722</v>
      </c>
      <c r="R203" s="969"/>
      <c r="S203" s="970">
        <v>234666</v>
      </c>
      <c r="T203" s="972">
        <v>598</v>
      </c>
      <c r="U203" s="972">
        <v>235264</v>
      </c>
    </row>
    <row r="204" spans="1:21" x14ac:dyDescent="0.25">
      <c r="A204" s="966">
        <v>91917</v>
      </c>
      <c r="B204" s="967" t="s">
        <v>2823</v>
      </c>
      <c r="C204" s="968">
        <v>1.22E-5</v>
      </c>
      <c r="D204" s="968">
        <v>1.36E-5</v>
      </c>
      <c r="E204" s="985">
        <v>6387</v>
      </c>
      <c r="F204" s="969">
        <v>18638</v>
      </c>
      <c r="G204" s="969"/>
      <c r="H204" s="970">
        <v>1074</v>
      </c>
      <c r="I204" s="971">
        <v>4526</v>
      </c>
      <c r="J204" s="970">
        <v>2662</v>
      </c>
      <c r="K204" s="969">
        <v>527</v>
      </c>
      <c r="L204" s="971">
        <f t="shared" si="6"/>
        <v>8789</v>
      </c>
      <c r="M204" s="969"/>
      <c r="N204" s="970">
        <v>528</v>
      </c>
      <c r="O204" s="970">
        <v>0</v>
      </c>
      <c r="P204" s="969">
        <v>310</v>
      </c>
      <c r="Q204" s="971">
        <f t="shared" si="7"/>
        <v>838</v>
      </c>
      <c r="R204" s="969"/>
      <c r="S204" s="970">
        <v>6281</v>
      </c>
      <c r="T204" s="972">
        <v>126</v>
      </c>
      <c r="U204" s="972">
        <v>6407</v>
      </c>
    </row>
    <row r="205" spans="1:21" x14ac:dyDescent="0.25">
      <c r="A205" s="966">
        <v>91921</v>
      </c>
      <c r="B205" s="967" t="s">
        <v>2824</v>
      </c>
      <c r="C205" s="968">
        <v>3.769E-4</v>
      </c>
      <c r="D205" s="968">
        <v>3.6600000000000001E-4</v>
      </c>
      <c r="E205" s="985">
        <v>160505</v>
      </c>
      <c r="F205" s="969">
        <v>575799</v>
      </c>
      <c r="G205" s="969"/>
      <c r="H205" s="970">
        <v>33171</v>
      </c>
      <c r="I205" s="971">
        <v>139804</v>
      </c>
      <c r="J205" s="970">
        <v>82232</v>
      </c>
      <c r="K205" s="969">
        <v>0</v>
      </c>
      <c r="L205" s="971">
        <f t="shared" si="6"/>
        <v>255207</v>
      </c>
      <c r="M205" s="969"/>
      <c r="N205" s="970">
        <v>16299</v>
      </c>
      <c r="O205" s="970">
        <v>0</v>
      </c>
      <c r="P205" s="969">
        <v>10651</v>
      </c>
      <c r="Q205" s="971">
        <f t="shared" si="7"/>
        <v>26950</v>
      </c>
      <c r="R205" s="969"/>
      <c r="S205" s="970">
        <v>194045</v>
      </c>
      <c r="T205" s="972">
        <v>-5316</v>
      </c>
      <c r="U205" s="972">
        <v>188729</v>
      </c>
    </row>
    <row r="206" spans="1:21" x14ac:dyDescent="0.25">
      <c r="A206" s="966">
        <v>92001</v>
      </c>
      <c r="B206" s="967" t="s">
        <v>2825</v>
      </c>
      <c r="C206" s="968">
        <v>1.8143E-3</v>
      </c>
      <c r="D206" s="968">
        <v>1.9604000000000002E-3</v>
      </c>
      <c r="E206" s="985">
        <v>790603</v>
      </c>
      <c r="F206" s="969">
        <v>2771748</v>
      </c>
      <c r="G206" s="969"/>
      <c r="H206" s="970">
        <v>159678</v>
      </c>
      <c r="I206" s="971">
        <v>672984</v>
      </c>
      <c r="J206" s="970">
        <v>395844</v>
      </c>
      <c r="K206" s="969">
        <v>48219</v>
      </c>
      <c r="L206" s="971">
        <f t="shared" si="6"/>
        <v>1276725</v>
      </c>
      <c r="M206" s="969"/>
      <c r="N206" s="970">
        <v>78459</v>
      </c>
      <c r="O206" s="970">
        <v>0</v>
      </c>
      <c r="P206" s="969">
        <v>157894</v>
      </c>
      <c r="Q206" s="971">
        <f t="shared" si="7"/>
        <v>236353</v>
      </c>
      <c r="R206" s="969"/>
      <c r="S206" s="970">
        <v>934081</v>
      </c>
      <c r="T206" s="972">
        <v>-42009</v>
      </c>
      <c r="U206" s="972">
        <f>892073-1</f>
        <v>892072</v>
      </c>
    </row>
    <row r="207" spans="1:21" x14ac:dyDescent="0.25">
      <c r="A207" s="966">
        <v>92005</v>
      </c>
      <c r="B207" s="967" t="s">
        <v>2826</v>
      </c>
      <c r="C207" s="968">
        <v>4.1399999999999997E-5</v>
      </c>
      <c r="D207" s="968">
        <v>4.6499999999999999E-5</v>
      </c>
      <c r="E207" s="985">
        <v>20947</v>
      </c>
      <c r="F207" s="969">
        <v>63248</v>
      </c>
      <c r="G207" s="969"/>
      <c r="H207" s="970">
        <v>3644</v>
      </c>
      <c r="I207" s="971">
        <v>15356</v>
      </c>
      <c r="J207" s="970">
        <v>9033</v>
      </c>
      <c r="K207" s="969">
        <v>1741</v>
      </c>
      <c r="L207" s="971">
        <f t="shared" si="6"/>
        <v>29774</v>
      </c>
      <c r="M207" s="969"/>
      <c r="N207" s="970">
        <v>1790</v>
      </c>
      <c r="O207" s="970">
        <v>0</v>
      </c>
      <c r="P207" s="969">
        <v>2252</v>
      </c>
      <c r="Q207" s="971">
        <f t="shared" si="7"/>
        <v>4042</v>
      </c>
      <c r="R207" s="969"/>
      <c r="S207" s="970">
        <v>21315</v>
      </c>
      <c r="T207" s="972">
        <v>208</v>
      </c>
      <c r="U207" s="972">
        <f>21522+1</f>
        <v>21523</v>
      </c>
    </row>
    <row r="208" spans="1:21" x14ac:dyDescent="0.25">
      <c r="A208" s="966">
        <v>92011</v>
      </c>
      <c r="B208" s="967" t="s">
        <v>2827</v>
      </c>
      <c r="C208" s="968">
        <v>2.0049999999999999E-4</v>
      </c>
      <c r="D208" s="968">
        <v>1.8660000000000001E-4</v>
      </c>
      <c r="E208" s="985">
        <v>90383</v>
      </c>
      <c r="F208" s="969">
        <v>306308</v>
      </c>
      <c r="G208" s="969"/>
      <c r="H208" s="970">
        <v>17646</v>
      </c>
      <c r="I208" s="971">
        <v>74372</v>
      </c>
      <c r="J208" s="970">
        <v>43745</v>
      </c>
      <c r="K208" s="969">
        <v>17614</v>
      </c>
      <c r="L208" s="971">
        <f t="shared" si="6"/>
        <v>153377</v>
      </c>
      <c r="M208" s="969"/>
      <c r="N208" s="970">
        <v>8671</v>
      </c>
      <c r="O208" s="970">
        <v>0</v>
      </c>
      <c r="P208" s="969">
        <v>0</v>
      </c>
      <c r="Q208" s="971">
        <f t="shared" si="7"/>
        <v>8671</v>
      </c>
      <c r="R208" s="969"/>
      <c r="S208" s="970">
        <v>103226</v>
      </c>
      <c r="T208" s="972">
        <v>9780</v>
      </c>
      <c r="U208" s="972">
        <v>113006</v>
      </c>
    </row>
    <row r="209" spans="1:21" x14ac:dyDescent="0.25">
      <c r="A209" s="966">
        <v>92017</v>
      </c>
      <c r="B209" s="967" t="s">
        <v>2828</v>
      </c>
      <c r="C209" s="968">
        <v>3.4199999999999998E-5</v>
      </c>
      <c r="D209" s="968">
        <v>3.5099999999999999E-5</v>
      </c>
      <c r="E209" s="985">
        <v>16941</v>
      </c>
      <c r="F209" s="969">
        <v>52248</v>
      </c>
      <c r="G209" s="969"/>
      <c r="H209" s="970">
        <v>3010</v>
      </c>
      <c r="I209" s="971">
        <v>12686</v>
      </c>
      <c r="J209" s="970">
        <v>7462</v>
      </c>
      <c r="K209" s="969">
        <v>639</v>
      </c>
      <c r="L209" s="971">
        <f t="shared" si="6"/>
        <v>23797</v>
      </c>
      <c r="M209" s="969"/>
      <c r="N209" s="970">
        <v>1479</v>
      </c>
      <c r="O209" s="970">
        <v>0</v>
      </c>
      <c r="P209" s="969">
        <v>1257</v>
      </c>
      <c r="Q209" s="971">
        <f t="shared" si="7"/>
        <v>2736</v>
      </c>
      <c r="R209" s="969"/>
      <c r="S209" s="970">
        <v>17608</v>
      </c>
      <c r="T209" s="972">
        <v>-668</v>
      </c>
      <c r="U209" s="972">
        <f>16939+1</f>
        <v>16940</v>
      </c>
    </row>
    <row r="210" spans="1:21" x14ac:dyDescent="0.25">
      <c r="A210" s="966">
        <v>92021</v>
      </c>
      <c r="B210" s="967" t="s">
        <v>2829</v>
      </c>
      <c r="C210" s="968">
        <v>1.5779999999999999E-4</v>
      </c>
      <c r="D210" s="968">
        <v>1.4249999999999999E-4</v>
      </c>
      <c r="E210" s="985">
        <v>72635</v>
      </c>
      <c r="F210" s="969">
        <v>241075</v>
      </c>
      <c r="G210" s="969"/>
      <c r="H210" s="970">
        <v>13888</v>
      </c>
      <c r="I210" s="971">
        <v>58533</v>
      </c>
      <c r="J210" s="970">
        <v>34429</v>
      </c>
      <c r="K210" s="969">
        <v>30504</v>
      </c>
      <c r="L210" s="971">
        <f t="shared" si="6"/>
        <v>137354</v>
      </c>
      <c r="M210" s="969"/>
      <c r="N210" s="970">
        <v>6824</v>
      </c>
      <c r="O210" s="970">
        <v>0</v>
      </c>
      <c r="P210" s="969">
        <v>11142</v>
      </c>
      <c r="Q210" s="971">
        <f t="shared" si="7"/>
        <v>17966</v>
      </c>
      <c r="R210" s="969"/>
      <c r="S210" s="970">
        <v>81242</v>
      </c>
      <c r="T210" s="972">
        <v>1771</v>
      </c>
      <c r="U210" s="972">
        <f>83014-1</f>
        <v>83013</v>
      </c>
    </row>
    <row r="211" spans="1:21" x14ac:dyDescent="0.25">
      <c r="A211" s="966">
        <v>92101</v>
      </c>
      <c r="B211" s="967" t="s">
        <v>2830</v>
      </c>
      <c r="C211" s="968">
        <v>8.5209999999999995E-4</v>
      </c>
      <c r="D211" s="968">
        <v>8.6870000000000003E-4</v>
      </c>
      <c r="E211" s="985">
        <v>368519</v>
      </c>
      <c r="F211" s="969">
        <v>1301773</v>
      </c>
      <c r="G211" s="969"/>
      <c r="H211" s="970">
        <v>74994</v>
      </c>
      <c r="I211" s="971">
        <v>316072</v>
      </c>
      <c r="J211" s="970">
        <v>185911</v>
      </c>
      <c r="K211" s="969">
        <v>9505</v>
      </c>
      <c r="L211" s="971">
        <f t="shared" si="6"/>
        <v>586482</v>
      </c>
      <c r="M211" s="969"/>
      <c r="N211" s="970">
        <v>36849</v>
      </c>
      <c r="O211" s="970">
        <v>0</v>
      </c>
      <c r="P211" s="969">
        <v>63189</v>
      </c>
      <c r="Q211" s="971">
        <f t="shared" si="7"/>
        <v>100038</v>
      </c>
      <c r="R211" s="969"/>
      <c r="S211" s="970">
        <v>438699</v>
      </c>
      <c r="T211" s="972">
        <v>-10164</v>
      </c>
      <c r="U211" s="972">
        <v>428535</v>
      </c>
    </row>
    <row r="212" spans="1:21" x14ac:dyDescent="0.25">
      <c r="A212" s="966">
        <v>92104</v>
      </c>
      <c r="B212" s="967" t="s">
        <v>2831</v>
      </c>
      <c r="C212" s="968">
        <v>8.6000000000000007E-6</v>
      </c>
      <c r="D212" s="968">
        <v>8.8000000000000004E-6</v>
      </c>
      <c r="E212" s="985">
        <v>5180</v>
      </c>
      <c r="F212" s="969">
        <v>13138</v>
      </c>
      <c r="G212" s="969"/>
      <c r="H212" s="970">
        <v>757</v>
      </c>
      <c r="I212" s="971">
        <v>3190</v>
      </c>
      <c r="J212" s="970">
        <v>1876</v>
      </c>
      <c r="K212" s="969">
        <v>3377</v>
      </c>
      <c r="L212" s="971">
        <f t="shared" si="6"/>
        <v>9200</v>
      </c>
      <c r="M212" s="969"/>
      <c r="N212" s="970">
        <v>372</v>
      </c>
      <c r="O212" s="970">
        <v>0</v>
      </c>
      <c r="P212" s="969">
        <v>0</v>
      </c>
      <c r="Q212" s="971">
        <f t="shared" si="7"/>
        <v>372</v>
      </c>
      <c r="R212" s="969"/>
      <c r="S212" s="970">
        <v>4428</v>
      </c>
      <c r="T212" s="972">
        <v>1850</v>
      </c>
      <c r="U212" s="972">
        <f>6277+1</f>
        <v>6278</v>
      </c>
    </row>
    <row r="213" spans="1:21" x14ac:dyDescent="0.25">
      <c r="A213" s="966">
        <v>92109</v>
      </c>
      <c r="B213" s="967" t="s">
        <v>2832</v>
      </c>
      <c r="C213" s="968">
        <v>1.8809999999999999E-4</v>
      </c>
      <c r="D213" s="968">
        <v>1.7909999999999999E-4</v>
      </c>
      <c r="E213" s="985">
        <v>79223</v>
      </c>
      <c r="F213" s="969">
        <v>287365</v>
      </c>
      <c r="G213" s="969"/>
      <c r="H213" s="970">
        <v>16555</v>
      </c>
      <c r="I213" s="971">
        <v>69773</v>
      </c>
      <c r="J213" s="970">
        <v>41040</v>
      </c>
      <c r="K213" s="969">
        <v>2067</v>
      </c>
      <c r="L213" s="971">
        <f t="shared" si="6"/>
        <v>129435</v>
      </c>
      <c r="M213" s="969"/>
      <c r="N213" s="970">
        <v>8134</v>
      </c>
      <c r="O213" s="970">
        <v>0</v>
      </c>
      <c r="P213" s="969">
        <v>12612</v>
      </c>
      <c r="Q213" s="971">
        <f t="shared" si="7"/>
        <v>20746</v>
      </c>
      <c r="R213" s="969"/>
      <c r="S213" s="970">
        <v>96842</v>
      </c>
      <c r="T213" s="972">
        <v>-5396</v>
      </c>
      <c r="U213" s="972">
        <v>91446</v>
      </c>
    </row>
    <row r="214" spans="1:21" x14ac:dyDescent="0.25">
      <c r="A214" s="966">
        <v>92111</v>
      </c>
      <c r="B214" s="967" t="s">
        <v>2833</v>
      </c>
      <c r="C214" s="968">
        <v>5.0460000000000001E-4</v>
      </c>
      <c r="D214" s="968">
        <v>5.0009999999999996E-4</v>
      </c>
      <c r="E214" s="985">
        <v>231049</v>
      </c>
      <c r="F214" s="969">
        <v>770889</v>
      </c>
      <c r="G214" s="969"/>
      <c r="H214" s="970">
        <v>44410</v>
      </c>
      <c r="I214" s="971">
        <v>187173</v>
      </c>
      <c r="J214" s="970">
        <v>110094</v>
      </c>
      <c r="K214" s="969">
        <v>10602</v>
      </c>
      <c r="L214" s="971">
        <f t="shared" si="6"/>
        <v>352279</v>
      </c>
      <c r="M214" s="969"/>
      <c r="N214" s="970">
        <v>21821</v>
      </c>
      <c r="O214" s="970">
        <v>0</v>
      </c>
      <c r="P214" s="969">
        <v>13269</v>
      </c>
      <c r="Q214" s="971">
        <f t="shared" si="7"/>
        <v>35090</v>
      </c>
      <c r="R214" s="969"/>
      <c r="S214" s="970">
        <v>259790</v>
      </c>
      <c r="T214" s="972">
        <v>2449</v>
      </c>
      <c r="U214" s="972">
        <v>262239</v>
      </c>
    </row>
    <row r="215" spans="1:21" x14ac:dyDescent="0.25">
      <c r="A215" s="966">
        <v>92113</v>
      </c>
      <c r="B215" s="967" t="s">
        <v>2834</v>
      </c>
      <c r="C215" s="968">
        <v>1.4399999999999999E-5</v>
      </c>
      <c r="D215" s="968">
        <v>2.2099999999999998E-5</v>
      </c>
      <c r="E215" s="985">
        <v>10341</v>
      </c>
      <c r="F215" s="969">
        <v>21999</v>
      </c>
      <c r="G215" s="969"/>
      <c r="H215" s="970">
        <v>1267</v>
      </c>
      <c r="I215" s="971">
        <v>5342</v>
      </c>
      <c r="J215" s="970">
        <v>3142</v>
      </c>
      <c r="K215" s="969">
        <v>17604</v>
      </c>
      <c r="L215" s="971">
        <f t="shared" si="6"/>
        <v>27355</v>
      </c>
      <c r="M215" s="969"/>
      <c r="N215" s="970">
        <v>623</v>
      </c>
      <c r="O215" s="970">
        <v>0</v>
      </c>
      <c r="P215" s="969">
        <v>2179</v>
      </c>
      <c r="Q215" s="971">
        <f t="shared" si="7"/>
        <v>2802</v>
      </c>
      <c r="R215" s="969"/>
      <c r="S215" s="970">
        <v>7414</v>
      </c>
      <c r="T215" s="972">
        <v>7173</v>
      </c>
      <c r="U215" s="972">
        <v>14587</v>
      </c>
    </row>
    <row r="216" spans="1:21" x14ac:dyDescent="0.25">
      <c r="A216" s="966">
        <v>92201</v>
      </c>
      <c r="B216" s="967" t="s">
        <v>2835</v>
      </c>
      <c r="C216" s="968">
        <v>9.3389999999999999E-4</v>
      </c>
      <c r="D216" s="968">
        <v>1.0267E-3</v>
      </c>
      <c r="E216" s="985">
        <v>452318</v>
      </c>
      <c r="F216" s="969">
        <v>1426741</v>
      </c>
      <c r="G216" s="969"/>
      <c r="H216" s="970">
        <v>82193</v>
      </c>
      <c r="I216" s="971">
        <v>346414</v>
      </c>
      <c r="J216" s="970">
        <v>203758</v>
      </c>
      <c r="K216" s="969">
        <v>36804</v>
      </c>
      <c r="L216" s="971">
        <f t="shared" si="6"/>
        <v>669169</v>
      </c>
      <c r="M216" s="969"/>
      <c r="N216" s="970">
        <v>40387</v>
      </c>
      <c r="O216" s="970">
        <v>0</v>
      </c>
      <c r="P216" s="969">
        <v>43356</v>
      </c>
      <c r="Q216" s="971">
        <f t="shared" si="7"/>
        <v>83743</v>
      </c>
      <c r="R216" s="969"/>
      <c r="S216" s="970">
        <v>480813</v>
      </c>
      <c r="T216" s="972">
        <v>13056</v>
      </c>
      <c r="U216" s="972">
        <v>493869</v>
      </c>
    </row>
    <row r="217" spans="1:21" x14ac:dyDescent="0.25">
      <c r="A217" s="966">
        <v>92301</v>
      </c>
      <c r="B217" s="967" t="s">
        <v>2836</v>
      </c>
      <c r="C217" s="968">
        <v>5.2129999999999998E-3</v>
      </c>
      <c r="D217" s="968">
        <v>5.2411000000000003E-3</v>
      </c>
      <c r="E217" s="985">
        <v>2376668</v>
      </c>
      <c r="F217" s="969">
        <v>7964020</v>
      </c>
      <c r="G217" s="969"/>
      <c r="H217" s="970">
        <v>458801</v>
      </c>
      <c r="I217" s="971">
        <v>1933674</v>
      </c>
      <c r="J217" s="970">
        <v>1137372</v>
      </c>
      <c r="K217" s="969">
        <v>53669</v>
      </c>
      <c r="L217" s="971">
        <f t="shared" si="6"/>
        <v>3583516</v>
      </c>
      <c r="M217" s="969"/>
      <c r="N217" s="970">
        <v>225436</v>
      </c>
      <c r="O217" s="970">
        <v>0</v>
      </c>
      <c r="P217" s="969">
        <v>40357</v>
      </c>
      <c r="Q217" s="971">
        <f t="shared" si="7"/>
        <v>265793</v>
      </c>
      <c r="R217" s="969"/>
      <c r="S217" s="970">
        <v>2683882</v>
      </c>
      <c r="T217" s="972">
        <v>7360</v>
      </c>
      <c r="U217" s="972">
        <v>2691242</v>
      </c>
    </row>
    <row r="218" spans="1:21" x14ac:dyDescent="0.25">
      <c r="A218" s="966">
        <v>92302</v>
      </c>
      <c r="B218" s="967" t="s">
        <v>3668</v>
      </c>
      <c r="C218" s="968">
        <v>2.9740000000000002E-4</v>
      </c>
      <c r="D218" s="968">
        <v>3.168E-4</v>
      </c>
      <c r="E218" s="985">
        <v>124071</v>
      </c>
      <c r="F218" s="969">
        <v>454345</v>
      </c>
      <c r="G218" s="969"/>
      <c r="H218" s="970">
        <v>26174</v>
      </c>
      <c r="I218" s="971">
        <v>110316</v>
      </c>
      <c r="J218" s="970">
        <v>64887</v>
      </c>
      <c r="K218" s="969">
        <v>0</v>
      </c>
      <c r="L218" s="971">
        <f t="shared" si="6"/>
        <v>201377</v>
      </c>
      <c r="M218" s="969"/>
      <c r="N218" s="970">
        <v>12861</v>
      </c>
      <c r="O218" s="970">
        <v>0</v>
      </c>
      <c r="P218" s="969">
        <v>28639</v>
      </c>
      <c r="Q218" s="971">
        <f t="shared" si="7"/>
        <v>41500</v>
      </c>
      <c r="R218" s="969"/>
      <c r="S218" s="970">
        <v>153115</v>
      </c>
      <c r="T218" s="972">
        <v>-9739</v>
      </c>
      <c r="U218" s="972">
        <v>143376</v>
      </c>
    </row>
    <row r="219" spans="1:21" x14ac:dyDescent="0.25">
      <c r="A219" s="966">
        <v>92311</v>
      </c>
      <c r="B219" s="967" t="s">
        <v>2838</v>
      </c>
      <c r="C219" s="968">
        <v>2.2504999999999999E-3</v>
      </c>
      <c r="D219" s="968">
        <v>2.1857000000000001E-3</v>
      </c>
      <c r="E219" s="985">
        <v>989308</v>
      </c>
      <c r="F219" s="969">
        <v>3438141</v>
      </c>
      <c r="G219" s="969"/>
      <c r="H219" s="970">
        <v>198069</v>
      </c>
      <c r="I219" s="971">
        <v>834785</v>
      </c>
      <c r="J219" s="970">
        <v>491014</v>
      </c>
      <c r="K219" s="969">
        <v>8358</v>
      </c>
      <c r="L219" s="971">
        <f t="shared" si="6"/>
        <v>1532226</v>
      </c>
      <c r="M219" s="969"/>
      <c r="N219" s="970">
        <v>97323</v>
      </c>
      <c r="O219" s="970">
        <v>0</v>
      </c>
      <c r="P219" s="969">
        <v>54246</v>
      </c>
      <c r="Q219" s="971">
        <f t="shared" si="7"/>
        <v>151569</v>
      </c>
      <c r="R219" s="969"/>
      <c r="S219" s="970">
        <v>1158656</v>
      </c>
      <c r="T219" s="972">
        <v>-36529</v>
      </c>
      <c r="U219" s="972">
        <v>1122127</v>
      </c>
    </row>
    <row r="220" spans="1:21" x14ac:dyDescent="0.25">
      <c r="A220" s="966">
        <v>92317</v>
      </c>
      <c r="B220" s="967" t="s">
        <v>2839</v>
      </c>
      <c r="C220" s="968">
        <v>2.94E-5</v>
      </c>
      <c r="D220" s="968">
        <v>2.9600000000000001E-5</v>
      </c>
      <c r="E220" s="985">
        <v>22749</v>
      </c>
      <c r="F220" s="969">
        <v>44915</v>
      </c>
      <c r="G220" s="969"/>
      <c r="H220" s="970">
        <v>2588</v>
      </c>
      <c r="I220" s="971">
        <v>10905</v>
      </c>
      <c r="J220" s="970">
        <v>6414</v>
      </c>
      <c r="K220" s="969">
        <v>15615</v>
      </c>
      <c r="L220" s="971">
        <f t="shared" si="6"/>
        <v>35522</v>
      </c>
      <c r="M220" s="969"/>
      <c r="N220" s="970">
        <v>1271</v>
      </c>
      <c r="O220" s="970">
        <v>0</v>
      </c>
      <c r="P220" s="969">
        <v>0</v>
      </c>
      <c r="Q220" s="971">
        <f t="shared" si="7"/>
        <v>1271</v>
      </c>
      <c r="R220" s="969"/>
      <c r="S220" s="970">
        <v>15136</v>
      </c>
      <c r="T220" s="972">
        <v>6218</v>
      </c>
      <c r="U220" s="972">
        <v>21354</v>
      </c>
    </row>
    <row r="221" spans="1:21" x14ac:dyDescent="0.25">
      <c r="A221" s="966">
        <v>92321</v>
      </c>
      <c r="B221" s="967" t="s">
        <v>2840</v>
      </c>
      <c r="C221" s="968">
        <v>1.1773E-3</v>
      </c>
      <c r="D221" s="968">
        <v>1.2218999999999999E-3</v>
      </c>
      <c r="E221" s="985">
        <v>553266</v>
      </c>
      <c r="F221" s="969">
        <v>1798588</v>
      </c>
      <c r="G221" s="969"/>
      <c r="H221" s="970">
        <v>103615</v>
      </c>
      <c r="I221" s="971">
        <v>436700</v>
      </c>
      <c r="J221" s="970">
        <v>256863</v>
      </c>
      <c r="K221" s="969">
        <v>35464</v>
      </c>
      <c r="L221" s="971">
        <f t="shared" si="6"/>
        <v>832642</v>
      </c>
      <c r="M221" s="969"/>
      <c r="N221" s="970">
        <v>50912</v>
      </c>
      <c r="O221" s="970">
        <v>0</v>
      </c>
      <c r="P221" s="969">
        <v>20669</v>
      </c>
      <c r="Q221" s="971">
        <f t="shared" si="7"/>
        <v>71581</v>
      </c>
      <c r="R221" s="969"/>
      <c r="S221" s="970">
        <v>606126</v>
      </c>
      <c r="T221" s="972">
        <v>20498</v>
      </c>
      <c r="U221" s="972">
        <v>626624</v>
      </c>
    </row>
    <row r="222" spans="1:21" x14ac:dyDescent="0.25">
      <c r="A222" s="966">
        <v>92327</v>
      </c>
      <c r="B222" s="967" t="s">
        <v>2841</v>
      </c>
      <c r="C222" s="968">
        <v>5.6999999999999996E-6</v>
      </c>
      <c r="D222" s="968">
        <v>7.6000000000000001E-6</v>
      </c>
      <c r="E222" s="985">
        <v>5653</v>
      </c>
      <c r="F222" s="969">
        <v>8708</v>
      </c>
      <c r="G222" s="969"/>
      <c r="H222" s="970">
        <v>502</v>
      </c>
      <c r="I222" s="971">
        <v>2115</v>
      </c>
      <c r="J222" s="970">
        <v>1244</v>
      </c>
      <c r="K222" s="969">
        <v>2932</v>
      </c>
      <c r="L222" s="971">
        <f t="shared" si="6"/>
        <v>6793</v>
      </c>
      <c r="M222" s="969"/>
      <c r="N222" s="970">
        <v>246</v>
      </c>
      <c r="O222" s="970">
        <v>0</v>
      </c>
      <c r="P222" s="969">
        <v>0</v>
      </c>
      <c r="Q222" s="971">
        <f t="shared" si="7"/>
        <v>246</v>
      </c>
      <c r="R222" s="969"/>
      <c r="S222" s="970">
        <v>2935</v>
      </c>
      <c r="T222" s="972">
        <v>1142</v>
      </c>
      <c r="U222" s="972">
        <v>4077</v>
      </c>
    </row>
    <row r="223" spans="1:21" x14ac:dyDescent="0.25">
      <c r="A223" s="966">
        <v>92331</v>
      </c>
      <c r="B223" s="967" t="s">
        <v>2842</v>
      </c>
      <c r="C223" s="968">
        <v>1.3970000000000001E-4</v>
      </c>
      <c r="D223" s="968">
        <v>1.393E-4</v>
      </c>
      <c r="E223" s="985">
        <v>60878</v>
      </c>
      <c r="F223" s="969">
        <v>213423</v>
      </c>
      <c r="G223" s="969"/>
      <c r="H223" s="970">
        <v>12295</v>
      </c>
      <c r="I223" s="971">
        <v>51819</v>
      </c>
      <c r="J223" s="970">
        <v>30480</v>
      </c>
      <c r="K223" s="969">
        <v>2070</v>
      </c>
      <c r="L223" s="971">
        <f t="shared" si="6"/>
        <v>96664</v>
      </c>
      <c r="M223" s="969"/>
      <c r="N223" s="970">
        <v>6041</v>
      </c>
      <c r="O223" s="970">
        <v>0</v>
      </c>
      <c r="P223" s="969">
        <v>7559</v>
      </c>
      <c r="Q223" s="971">
        <f t="shared" si="7"/>
        <v>13600</v>
      </c>
      <c r="R223" s="969"/>
      <c r="S223" s="970">
        <v>71924</v>
      </c>
      <c r="T223" s="972">
        <v>-755</v>
      </c>
      <c r="U223" s="972">
        <v>71169</v>
      </c>
    </row>
    <row r="224" spans="1:21" x14ac:dyDescent="0.25">
      <c r="A224" s="966">
        <v>92341</v>
      </c>
      <c r="B224" s="967" t="s">
        <v>2843</v>
      </c>
      <c r="C224" s="968">
        <v>9.7999999999999993E-6</v>
      </c>
      <c r="D224" s="968">
        <v>7.9000000000000006E-6</v>
      </c>
      <c r="E224" s="985">
        <v>3179</v>
      </c>
      <c r="F224" s="969">
        <v>14972</v>
      </c>
      <c r="G224" s="969"/>
      <c r="H224" s="970">
        <v>863</v>
      </c>
      <c r="I224" s="971">
        <v>3635</v>
      </c>
      <c r="J224" s="970">
        <v>2138</v>
      </c>
      <c r="K224" s="969">
        <v>523</v>
      </c>
      <c r="L224" s="971">
        <f t="shared" si="6"/>
        <v>7159</v>
      </c>
      <c r="M224" s="969"/>
      <c r="N224" s="970">
        <v>424</v>
      </c>
      <c r="O224" s="970">
        <v>0</v>
      </c>
      <c r="P224" s="969">
        <v>1977</v>
      </c>
      <c r="Q224" s="971">
        <f t="shared" si="7"/>
        <v>2401</v>
      </c>
      <c r="R224" s="969"/>
      <c r="S224" s="970">
        <v>5045</v>
      </c>
      <c r="T224" s="972">
        <v>-859</v>
      </c>
      <c r="U224" s="972">
        <f>4187-1</f>
        <v>4186</v>
      </c>
    </row>
    <row r="225" spans="1:21" x14ac:dyDescent="0.25">
      <c r="A225" s="966">
        <v>92351</v>
      </c>
      <c r="B225" s="967" t="s">
        <v>2844</v>
      </c>
      <c r="C225" s="968">
        <v>1.8600000000000001E-5</v>
      </c>
      <c r="D225" s="968">
        <v>1.95E-5</v>
      </c>
      <c r="E225" s="985">
        <v>9507</v>
      </c>
      <c r="F225" s="969">
        <v>28416</v>
      </c>
      <c r="G225" s="969"/>
      <c r="H225" s="970">
        <v>1637</v>
      </c>
      <c r="I225" s="971">
        <v>6899</v>
      </c>
      <c r="J225" s="970">
        <v>4058</v>
      </c>
      <c r="K225" s="969">
        <v>746</v>
      </c>
      <c r="L225" s="971">
        <f t="shared" si="6"/>
        <v>13340</v>
      </c>
      <c r="M225" s="969"/>
      <c r="N225" s="970">
        <v>804</v>
      </c>
      <c r="O225" s="970">
        <v>0</v>
      </c>
      <c r="P225" s="969">
        <v>4166</v>
      </c>
      <c r="Q225" s="971">
        <f t="shared" si="7"/>
        <v>4970</v>
      </c>
      <c r="R225" s="969"/>
      <c r="S225" s="970">
        <v>9576</v>
      </c>
      <c r="T225" s="972">
        <v>-1010</v>
      </c>
      <c r="U225" s="972">
        <f>8567-1</f>
        <v>8566</v>
      </c>
    </row>
    <row r="226" spans="1:21" x14ac:dyDescent="0.25">
      <c r="A226" s="966">
        <v>92401</v>
      </c>
      <c r="B226" s="967" t="s">
        <v>2845</v>
      </c>
      <c r="C226" s="968">
        <v>2.6890999999999998E-3</v>
      </c>
      <c r="D226" s="968">
        <v>2.7449000000000002E-3</v>
      </c>
      <c r="E226" s="985">
        <v>1303903</v>
      </c>
      <c r="F226" s="969">
        <v>4108200</v>
      </c>
      <c r="G226" s="969"/>
      <c r="H226" s="970">
        <v>236670</v>
      </c>
      <c r="I226" s="971">
        <v>997476</v>
      </c>
      <c r="J226" s="970">
        <v>586708</v>
      </c>
      <c r="K226" s="969">
        <v>34938</v>
      </c>
      <c r="L226" s="971">
        <f t="shared" si="6"/>
        <v>1855792</v>
      </c>
      <c r="M226" s="969"/>
      <c r="N226" s="970">
        <v>116290</v>
      </c>
      <c r="O226" s="970">
        <v>0</v>
      </c>
      <c r="P226" s="969">
        <v>3448</v>
      </c>
      <c r="Q226" s="971">
        <f t="shared" si="7"/>
        <v>119738</v>
      </c>
      <c r="R226" s="969"/>
      <c r="S226" s="970">
        <v>1384467</v>
      </c>
      <c r="T226" s="972">
        <v>19009</v>
      </c>
      <c r="U226" s="972">
        <v>1403476</v>
      </c>
    </row>
    <row r="227" spans="1:21" x14ac:dyDescent="0.25">
      <c r="A227" s="966">
        <v>92403</v>
      </c>
      <c r="B227" s="967" t="s">
        <v>2846</v>
      </c>
      <c r="C227" s="968">
        <v>1.11E-5</v>
      </c>
      <c r="D227" s="968">
        <v>9.7999999999999993E-6</v>
      </c>
      <c r="E227" s="985">
        <v>5892</v>
      </c>
      <c r="F227" s="969">
        <v>16958</v>
      </c>
      <c r="G227" s="969"/>
      <c r="H227" s="970">
        <v>977</v>
      </c>
      <c r="I227" s="971">
        <v>4117</v>
      </c>
      <c r="J227" s="970">
        <v>2422</v>
      </c>
      <c r="K227" s="969">
        <v>1858</v>
      </c>
      <c r="L227" s="971">
        <f t="shared" si="6"/>
        <v>9374</v>
      </c>
      <c r="M227" s="969"/>
      <c r="N227" s="970">
        <v>480</v>
      </c>
      <c r="O227" s="970">
        <v>0</v>
      </c>
      <c r="P227" s="969">
        <v>1307</v>
      </c>
      <c r="Q227" s="971">
        <f t="shared" si="7"/>
        <v>1787</v>
      </c>
      <c r="R227" s="969"/>
      <c r="S227" s="970">
        <v>5715</v>
      </c>
      <c r="T227" s="972">
        <v>135</v>
      </c>
      <c r="U227" s="972">
        <f>5849+1</f>
        <v>5850</v>
      </c>
    </row>
    <row r="228" spans="1:21" x14ac:dyDescent="0.25">
      <c r="A228" s="966">
        <v>92411</v>
      </c>
      <c r="B228" s="967" t="s">
        <v>2847</v>
      </c>
      <c r="C228" s="968">
        <v>5.0469999999999996E-4</v>
      </c>
      <c r="D228" s="968">
        <v>4.8030000000000002E-4</v>
      </c>
      <c r="E228" s="985">
        <v>203732</v>
      </c>
      <c r="F228" s="969">
        <v>771042</v>
      </c>
      <c r="G228" s="969"/>
      <c r="H228" s="970">
        <v>44419</v>
      </c>
      <c r="I228" s="971">
        <v>187210</v>
      </c>
      <c r="J228" s="970">
        <v>110115</v>
      </c>
      <c r="K228" s="969">
        <v>369</v>
      </c>
      <c r="L228" s="971">
        <f t="shared" si="6"/>
        <v>342113</v>
      </c>
      <c r="M228" s="969"/>
      <c r="N228" s="970">
        <v>21826</v>
      </c>
      <c r="O228" s="970">
        <v>0</v>
      </c>
      <c r="P228" s="969">
        <v>44165</v>
      </c>
      <c r="Q228" s="971">
        <f t="shared" si="7"/>
        <v>65991</v>
      </c>
      <c r="R228" s="969"/>
      <c r="S228" s="970">
        <v>259842</v>
      </c>
      <c r="T228" s="972">
        <v>-17900</v>
      </c>
      <c r="U228" s="972">
        <v>241942</v>
      </c>
    </row>
    <row r="229" spans="1:21" x14ac:dyDescent="0.25">
      <c r="A229" s="966">
        <v>92414</v>
      </c>
      <c r="B229" s="967" t="s">
        <v>1373</v>
      </c>
      <c r="C229" s="968">
        <v>0</v>
      </c>
      <c r="D229" s="968">
        <v>0</v>
      </c>
      <c r="E229" s="985" t="e">
        <v>#N/A</v>
      </c>
      <c r="F229" s="969">
        <v>0</v>
      </c>
      <c r="G229" s="969"/>
      <c r="H229" s="970">
        <v>0</v>
      </c>
      <c r="I229" s="971">
        <v>0</v>
      </c>
      <c r="J229" s="970">
        <v>0</v>
      </c>
      <c r="K229" s="969">
        <v>0</v>
      </c>
      <c r="L229" s="971">
        <f t="shared" si="6"/>
        <v>0</v>
      </c>
      <c r="M229" s="969"/>
      <c r="N229" s="970">
        <v>0</v>
      </c>
      <c r="O229" s="970">
        <v>0</v>
      </c>
      <c r="P229" s="969">
        <v>5712</v>
      </c>
      <c r="Q229" s="971">
        <f t="shared" si="7"/>
        <v>5712</v>
      </c>
      <c r="R229" s="969"/>
      <c r="S229" s="970">
        <v>0</v>
      </c>
      <c r="T229" s="972">
        <v>-2445</v>
      </c>
      <c r="U229" s="972">
        <v>-2445</v>
      </c>
    </row>
    <row r="230" spans="1:21" x14ac:dyDescent="0.25">
      <c r="A230" s="966">
        <v>92417</v>
      </c>
      <c r="B230" s="967" t="s">
        <v>2848</v>
      </c>
      <c r="C230" s="968">
        <v>1.8300000000000001E-5</v>
      </c>
      <c r="D230" s="968">
        <v>1.77E-5</v>
      </c>
      <c r="E230" s="985">
        <v>5972</v>
      </c>
      <c r="F230" s="969">
        <v>27957</v>
      </c>
      <c r="G230" s="969"/>
      <c r="H230" s="970">
        <v>1611</v>
      </c>
      <c r="I230" s="971">
        <v>6788</v>
      </c>
      <c r="J230" s="970">
        <v>3993</v>
      </c>
      <c r="K230" s="969">
        <v>0</v>
      </c>
      <c r="L230" s="971">
        <f t="shared" si="6"/>
        <v>12392</v>
      </c>
      <c r="M230" s="969"/>
      <c r="N230" s="970">
        <v>791</v>
      </c>
      <c r="O230" s="970">
        <v>0</v>
      </c>
      <c r="P230" s="969">
        <v>2726</v>
      </c>
      <c r="Q230" s="971">
        <f t="shared" si="7"/>
        <v>3517</v>
      </c>
      <c r="R230" s="969"/>
      <c r="S230" s="970">
        <v>9422</v>
      </c>
      <c r="T230" s="972">
        <v>-895</v>
      </c>
      <c r="U230" s="972">
        <v>8527</v>
      </c>
    </row>
    <row r="231" spans="1:21" x14ac:dyDescent="0.25">
      <c r="A231" s="966">
        <v>92421</v>
      </c>
      <c r="B231" s="967" t="s">
        <v>2849</v>
      </c>
      <c r="C231" s="968">
        <v>8.8000000000000004E-6</v>
      </c>
      <c r="D231" s="968">
        <v>9.0000000000000002E-6</v>
      </c>
      <c r="E231" s="985">
        <v>7580</v>
      </c>
      <c r="F231" s="969">
        <v>13444</v>
      </c>
      <c r="G231" s="969"/>
      <c r="H231" s="970">
        <v>774</v>
      </c>
      <c r="I231" s="971">
        <v>3264</v>
      </c>
      <c r="J231" s="970">
        <v>1920</v>
      </c>
      <c r="K231" s="969">
        <v>3546</v>
      </c>
      <c r="L231" s="971">
        <f t="shared" si="6"/>
        <v>9504</v>
      </c>
      <c r="M231" s="969"/>
      <c r="N231" s="970">
        <v>381</v>
      </c>
      <c r="O231" s="970">
        <v>0</v>
      </c>
      <c r="P231" s="969">
        <v>1149</v>
      </c>
      <c r="Q231" s="971">
        <f t="shared" si="7"/>
        <v>1530</v>
      </c>
      <c r="R231" s="969"/>
      <c r="S231" s="970">
        <v>4531</v>
      </c>
      <c r="T231" s="972">
        <v>935</v>
      </c>
      <c r="U231" s="972">
        <v>5466</v>
      </c>
    </row>
    <row r="232" spans="1:21" x14ac:dyDescent="0.25">
      <c r="A232" s="966">
        <v>92427</v>
      </c>
      <c r="B232" s="967" t="s">
        <v>2850</v>
      </c>
      <c r="C232" s="968">
        <v>3.9999999999999998E-7</v>
      </c>
      <c r="D232" s="968">
        <v>6.9999999999999997E-7</v>
      </c>
      <c r="E232" s="985">
        <v>1463</v>
      </c>
      <c r="F232" s="969">
        <v>611</v>
      </c>
      <c r="G232" s="969"/>
      <c r="H232" s="970">
        <v>35</v>
      </c>
      <c r="I232" s="971">
        <v>148</v>
      </c>
      <c r="J232" s="970">
        <v>87</v>
      </c>
      <c r="K232" s="969">
        <v>1998</v>
      </c>
      <c r="L232" s="971">
        <f t="shared" si="6"/>
        <v>2268</v>
      </c>
      <c r="M232" s="969"/>
      <c r="N232" s="970">
        <v>17</v>
      </c>
      <c r="O232" s="970">
        <v>0</v>
      </c>
      <c r="P232" s="969">
        <v>0</v>
      </c>
      <c r="Q232" s="971">
        <f t="shared" si="7"/>
        <v>17</v>
      </c>
      <c r="R232" s="969"/>
      <c r="S232" s="970">
        <v>206</v>
      </c>
      <c r="T232" s="972">
        <v>841</v>
      </c>
      <c r="U232" s="972">
        <v>1047</v>
      </c>
    </row>
    <row r="233" spans="1:21" x14ac:dyDescent="0.25">
      <c r="A233" s="966">
        <v>92431</v>
      </c>
      <c r="B233" s="967" t="s">
        <v>2851</v>
      </c>
      <c r="C233" s="968">
        <v>3.0800000000000003E-5</v>
      </c>
      <c r="D233" s="968">
        <v>1.8499999999999999E-5</v>
      </c>
      <c r="E233" s="985">
        <v>22456</v>
      </c>
      <c r="F233" s="969">
        <v>47054</v>
      </c>
      <c r="G233" s="969"/>
      <c r="H233" s="970">
        <v>2711</v>
      </c>
      <c r="I233" s="971">
        <v>11425</v>
      </c>
      <c r="J233" s="970">
        <v>6720</v>
      </c>
      <c r="K233" s="969">
        <v>18832</v>
      </c>
      <c r="L233" s="971">
        <f t="shared" si="6"/>
        <v>39688</v>
      </c>
      <c r="M233" s="969"/>
      <c r="N233" s="970">
        <v>1332</v>
      </c>
      <c r="O233" s="970">
        <v>0</v>
      </c>
      <c r="P233" s="969">
        <v>3766</v>
      </c>
      <c r="Q233" s="971">
        <f t="shared" si="7"/>
        <v>5098</v>
      </c>
      <c r="R233" s="969"/>
      <c r="S233" s="970">
        <v>15857</v>
      </c>
      <c r="T233" s="972">
        <v>4147</v>
      </c>
      <c r="U233" s="972">
        <v>20004</v>
      </c>
    </row>
    <row r="234" spans="1:21" x14ac:dyDescent="0.25">
      <c r="A234" s="966">
        <v>92441</v>
      </c>
      <c r="B234" s="967" t="s">
        <v>2852</v>
      </c>
      <c r="C234" s="968">
        <v>7.7999999999999999E-5</v>
      </c>
      <c r="D234" s="968">
        <v>9.2299999999999994E-5</v>
      </c>
      <c r="E234" s="985">
        <v>38185</v>
      </c>
      <c r="F234" s="969">
        <v>119162</v>
      </c>
      <c r="G234" s="969"/>
      <c r="H234" s="970">
        <v>6865</v>
      </c>
      <c r="I234" s="971">
        <v>28933</v>
      </c>
      <c r="J234" s="970">
        <v>17018</v>
      </c>
      <c r="K234" s="969">
        <v>0</v>
      </c>
      <c r="L234" s="971">
        <f t="shared" si="6"/>
        <v>52816</v>
      </c>
      <c r="M234" s="969"/>
      <c r="N234" s="970">
        <v>3373</v>
      </c>
      <c r="O234" s="970">
        <v>0</v>
      </c>
      <c r="P234" s="969">
        <v>15306</v>
      </c>
      <c r="Q234" s="971">
        <f t="shared" si="7"/>
        <v>18679</v>
      </c>
      <c r="R234" s="969"/>
      <c r="S234" s="970">
        <v>40158</v>
      </c>
      <c r="T234" s="972">
        <v>-6990</v>
      </c>
      <c r="U234" s="972">
        <f>33167+1</f>
        <v>33168</v>
      </c>
    </row>
    <row r="235" spans="1:21" x14ac:dyDescent="0.25">
      <c r="A235" s="966">
        <v>92444</v>
      </c>
      <c r="B235" s="967" t="s">
        <v>2853</v>
      </c>
      <c r="C235" s="968">
        <v>1.7999999999999999E-6</v>
      </c>
      <c r="D235" s="968">
        <v>1.9999999999999999E-6</v>
      </c>
      <c r="E235" s="985">
        <v>2108</v>
      </c>
      <c r="F235" s="969">
        <v>2750</v>
      </c>
      <c r="G235" s="969"/>
      <c r="H235" s="970">
        <v>158</v>
      </c>
      <c r="I235" s="971">
        <v>667</v>
      </c>
      <c r="J235" s="970">
        <v>393</v>
      </c>
      <c r="K235" s="969">
        <v>2573</v>
      </c>
      <c r="L235" s="971">
        <f t="shared" si="6"/>
        <v>3791</v>
      </c>
      <c r="M235" s="969"/>
      <c r="N235" s="970">
        <v>78</v>
      </c>
      <c r="O235" s="970">
        <v>0</v>
      </c>
      <c r="P235" s="969">
        <v>0</v>
      </c>
      <c r="Q235" s="971">
        <f t="shared" si="7"/>
        <v>78</v>
      </c>
      <c r="R235" s="969"/>
      <c r="S235" s="970">
        <v>927</v>
      </c>
      <c r="T235" s="972">
        <v>1194</v>
      </c>
      <c r="U235" s="972">
        <v>2121</v>
      </c>
    </row>
    <row r="236" spans="1:21" x14ac:dyDescent="0.25">
      <c r="A236" s="966">
        <v>92451</v>
      </c>
      <c r="B236" s="967" t="s">
        <v>2854</v>
      </c>
      <c r="C236" s="968">
        <v>1.3070000000000001E-4</v>
      </c>
      <c r="D236" s="968">
        <v>1.4559999999999999E-4</v>
      </c>
      <c r="E236" s="985">
        <v>77938</v>
      </c>
      <c r="F236" s="969">
        <v>199673</v>
      </c>
      <c r="G236" s="969"/>
      <c r="H236" s="970">
        <v>11503</v>
      </c>
      <c r="I236" s="971">
        <v>48481</v>
      </c>
      <c r="J236" s="970">
        <v>28516</v>
      </c>
      <c r="K236" s="969">
        <v>29255</v>
      </c>
      <c r="L236" s="971">
        <f t="shared" si="6"/>
        <v>117755</v>
      </c>
      <c r="M236" s="969"/>
      <c r="N236" s="970">
        <v>5652</v>
      </c>
      <c r="O236" s="970">
        <v>0</v>
      </c>
      <c r="P236" s="969">
        <v>0</v>
      </c>
      <c r="Q236" s="971">
        <f t="shared" si="7"/>
        <v>5652</v>
      </c>
      <c r="R236" s="969"/>
      <c r="S236" s="970">
        <v>67290</v>
      </c>
      <c r="T236" s="972">
        <v>12363</v>
      </c>
      <c r="U236" s="972">
        <v>79653</v>
      </c>
    </row>
    <row r="237" spans="1:21" x14ac:dyDescent="0.25">
      <c r="A237" s="966">
        <v>92461</v>
      </c>
      <c r="B237" s="967" t="s">
        <v>2855</v>
      </c>
      <c r="C237" s="968">
        <v>7.1099999999999994E-5</v>
      </c>
      <c r="D237" s="968">
        <v>7.2999999999999999E-5</v>
      </c>
      <c r="E237" s="985">
        <v>40872</v>
      </c>
      <c r="F237" s="969">
        <v>108621</v>
      </c>
      <c r="G237" s="969"/>
      <c r="H237" s="970">
        <v>6258</v>
      </c>
      <c r="I237" s="971">
        <v>26373</v>
      </c>
      <c r="J237" s="970">
        <v>15513</v>
      </c>
      <c r="K237" s="969">
        <v>12982</v>
      </c>
      <c r="L237" s="971">
        <f t="shared" si="6"/>
        <v>61126</v>
      </c>
      <c r="M237" s="969"/>
      <c r="N237" s="970">
        <v>3075</v>
      </c>
      <c r="O237" s="970">
        <v>0</v>
      </c>
      <c r="P237" s="969">
        <v>4965</v>
      </c>
      <c r="Q237" s="971">
        <f t="shared" si="7"/>
        <v>8040</v>
      </c>
      <c r="R237" s="969"/>
      <c r="S237" s="970">
        <v>36605</v>
      </c>
      <c r="T237" s="972">
        <v>1157</v>
      </c>
      <c r="U237" s="972">
        <f>37763-1</f>
        <v>37762</v>
      </c>
    </row>
    <row r="238" spans="1:21" x14ac:dyDescent="0.25">
      <c r="A238" s="966">
        <v>92501</v>
      </c>
      <c r="B238" s="967" t="s">
        <v>2856</v>
      </c>
      <c r="C238" s="968">
        <v>3.8252E-3</v>
      </c>
      <c r="D238" s="968">
        <v>3.8141E-3</v>
      </c>
      <c r="E238" s="985">
        <v>1869584</v>
      </c>
      <c r="F238" s="969">
        <v>5843846</v>
      </c>
      <c r="G238" s="969"/>
      <c r="H238" s="970">
        <v>336660</v>
      </c>
      <c r="I238" s="971">
        <v>1418892</v>
      </c>
      <c r="J238" s="970">
        <v>834582</v>
      </c>
      <c r="K238" s="969">
        <v>137822</v>
      </c>
      <c r="L238" s="971">
        <f t="shared" si="6"/>
        <v>2727956</v>
      </c>
      <c r="M238" s="969"/>
      <c r="N238" s="970">
        <v>165421</v>
      </c>
      <c r="O238" s="970">
        <v>0</v>
      </c>
      <c r="P238" s="969">
        <v>9032</v>
      </c>
      <c r="Q238" s="971">
        <f t="shared" si="7"/>
        <v>174453</v>
      </c>
      <c r="R238" s="969"/>
      <c r="S238" s="970">
        <v>1969381</v>
      </c>
      <c r="T238" s="972">
        <v>45362</v>
      </c>
      <c r="U238" s="972">
        <v>2014743</v>
      </c>
    </row>
    <row r="239" spans="1:21" x14ac:dyDescent="0.25">
      <c r="A239" s="966">
        <v>92502</v>
      </c>
      <c r="B239" s="967" t="s">
        <v>2857</v>
      </c>
      <c r="C239" s="968">
        <v>2.7500000000000001E-5</v>
      </c>
      <c r="D239" s="968">
        <v>2.8799999999999999E-5</v>
      </c>
      <c r="E239" s="985">
        <v>14164</v>
      </c>
      <c r="F239" s="969">
        <v>42012</v>
      </c>
      <c r="G239" s="969"/>
      <c r="H239" s="970">
        <v>2420</v>
      </c>
      <c r="I239" s="971">
        <v>10201</v>
      </c>
      <c r="J239" s="970">
        <v>6000</v>
      </c>
      <c r="K239" s="969">
        <v>3940</v>
      </c>
      <c r="L239" s="971">
        <f t="shared" si="6"/>
        <v>22561</v>
      </c>
      <c r="M239" s="969"/>
      <c r="N239" s="970">
        <v>1189</v>
      </c>
      <c r="O239" s="970">
        <v>0</v>
      </c>
      <c r="P239" s="969">
        <v>2154</v>
      </c>
      <c r="Q239" s="971">
        <f t="shared" si="7"/>
        <v>3343</v>
      </c>
      <c r="R239" s="969"/>
      <c r="S239" s="970">
        <v>14158</v>
      </c>
      <c r="T239" s="972">
        <v>-13</v>
      </c>
      <c r="U239" s="972">
        <v>14145</v>
      </c>
    </row>
    <row r="240" spans="1:21" x14ac:dyDescent="0.25">
      <c r="A240" s="966">
        <v>92504</v>
      </c>
      <c r="B240" s="967" t="s">
        <v>2858</v>
      </c>
      <c r="C240" s="968">
        <v>8.4300000000000003E-5</v>
      </c>
      <c r="D240" s="968">
        <v>7.2799999999999994E-5</v>
      </c>
      <c r="E240" s="985">
        <v>49664</v>
      </c>
      <c r="F240" s="969">
        <v>128787</v>
      </c>
      <c r="G240" s="969"/>
      <c r="H240" s="970">
        <v>7419</v>
      </c>
      <c r="I240" s="971">
        <v>31269</v>
      </c>
      <c r="J240" s="970">
        <v>18393</v>
      </c>
      <c r="K240" s="969">
        <v>29049</v>
      </c>
      <c r="L240" s="971">
        <f t="shared" si="6"/>
        <v>86130</v>
      </c>
      <c r="M240" s="969"/>
      <c r="N240" s="970">
        <v>3646</v>
      </c>
      <c r="O240" s="970">
        <v>0</v>
      </c>
      <c r="P240" s="969">
        <v>27</v>
      </c>
      <c r="Q240" s="971">
        <f t="shared" si="7"/>
        <v>3673</v>
      </c>
      <c r="R240" s="969"/>
      <c r="S240" s="970">
        <v>43401</v>
      </c>
      <c r="T240" s="972">
        <v>10026</v>
      </c>
      <c r="U240" s="972">
        <v>53427</v>
      </c>
    </row>
    <row r="241" spans="1:21" x14ac:dyDescent="0.25">
      <c r="A241" s="966">
        <v>92505</v>
      </c>
      <c r="B241" s="967" t="s">
        <v>2859</v>
      </c>
      <c r="C241" s="968">
        <v>1.9239999999999999E-4</v>
      </c>
      <c r="D241" s="968">
        <v>1.8709999999999999E-4</v>
      </c>
      <c r="E241" s="985">
        <v>119136</v>
      </c>
      <c r="F241" s="969">
        <v>293934</v>
      </c>
      <c r="G241" s="969"/>
      <c r="H241" s="970">
        <v>16933</v>
      </c>
      <c r="I241" s="971">
        <v>71367</v>
      </c>
      <c r="J241" s="970">
        <v>41978</v>
      </c>
      <c r="K241" s="969">
        <v>59108</v>
      </c>
      <c r="L241" s="971">
        <f t="shared" si="6"/>
        <v>189386</v>
      </c>
      <c r="M241" s="969"/>
      <c r="N241" s="970">
        <v>8320</v>
      </c>
      <c r="O241" s="970">
        <v>0</v>
      </c>
      <c r="P241" s="969">
        <v>0</v>
      </c>
      <c r="Q241" s="971">
        <f t="shared" si="7"/>
        <v>8320</v>
      </c>
      <c r="R241" s="969"/>
      <c r="S241" s="970">
        <v>99056</v>
      </c>
      <c r="T241" s="972">
        <v>23320</v>
      </c>
      <c r="U241" s="972">
        <v>122376</v>
      </c>
    </row>
    <row r="242" spans="1:21" x14ac:dyDescent="0.25">
      <c r="A242" s="966">
        <v>92506</v>
      </c>
      <c r="B242" s="967" t="s">
        <v>2860</v>
      </c>
      <c r="C242" s="968">
        <v>4.7500000000000003E-5</v>
      </c>
      <c r="D242" s="968">
        <v>4.3699999999999998E-5</v>
      </c>
      <c r="E242" s="985">
        <v>26570</v>
      </c>
      <c r="F242" s="969">
        <v>72567</v>
      </c>
      <c r="G242" s="969"/>
      <c r="H242" s="970">
        <v>4181</v>
      </c>
      <c r="I242" s="971">
        <v>17619</v>
      </c>
      <c r="J242" s="970">
        <v>10364</v>
      </c>
      <c r="K242" s="969">
        <v>17893</v>
      </c>
      <c r="L242" s="971">
        <f t="shared" si="6"/>
        <v>50057</v>
      </c>
      <c r="M242" s="969"/>
      <c r="N242" s="970">
        <v>2054</v>
      </c>
      <c r="O242" s="970">
        <v>0</v>
      </c>
      <c r="P242" s="969">
        <v>0</v>
      </c>
      <c r="Q242" s="971">
        <f t="shared" si="7"/>
        <v>2054</v>
      </c>
      <c r="R242" s="969"/>
      <c r="S242" s="970">
        <v>24455</v>
      </c>
      <c r="T242" s="972">
        <v>7399</v>
      </c>
      <c r="U242" s="972">
        <v>31854</v>
      </c>
    </row>
    <row r="243" spans="1:21" x14ac:dyDescent="0.25">
      <c r="A243" s="966">
        <v>92507</v>
      </c>
      <c r="B243" s="967" t="s">
        <v>2861</v>
      </c>
      <c r="C243" s="968">
        <v>9.5699999999999995E-5</v>
      </c>
      <c r="D243" s="968">
        <v>7.6799999999999997E-5</v>
      </c>
      <c r="E243" s="985">
        <v>40750</v>
      </c>
      <c r="F243" s="969">
        <v>146203</v>
      </c>
      <c r="G243" s="969"/>
      <c r="H243" s="970">
        <v>8423</v>
      </c>
      <c r="I243" s="971">
        <v>35498</v>
      </c>
      <c r="J243" s="970">
        <v>20880</v>
      </c>
      <c r="K243" s="969">
        <v>10349</v>
      </c>
      <c r="L243" s="971">
        <f t="shared" si="6"/>
        <v>75150</v>
      </c>
      <c r="M243" s="969"/>
      <c r="N243" s="970">
        <v>4139</v>
      </c>
      <c r="O243" s="970">
        <v>0</v>
      </c>
      <c r="P243" s="969">
        <v>14283</v>
      </c>
      <c r="Q243" s="971">
        <f t="shared" si="7"/>
        <v>18422</v>
      </c>
      <c r="R243" s="969"/>
      <c r="S243" s="970">
        <v>49271</v>
      </c>
      <c r="T243" s="972">
        <v>-5512</v>
      </c>
      <c r="U243" s="972">
        <f>43758+1</f>
        <v>43759</v>
      </c>
    </row>
    <row r="244" spans="1:21" x14ac:dyDescent="0.25">
      <c r="A244" s="966">
        <v>92508</v>
      </c>
      <c r="B244" s="967" t="s">
        <v>2862</v>
      </c>
      <c r="C244" s="968">
        <v>3.1E-4</v>
      </c>
      <c r="D244" s="968">
        <v>3.1930000000000001E-4</v>
      </c>
      <c r="E244" s="985">
        <v>152021</v>
      </c>
      <c r="F244" s="969">
        <v>473594</v>
      </c>
      <c r="G244" s="969"/>
      <c r="H244" s="970">
        <v>27283</v>
      </c>
      <c r="I244" s="971">
        <v>114989</v>
      </c>
      <c r="J244" s="970">
        <v>67636</v>
      </c>
      <c r="K244" s="969">
        <v>5884</v>
      </c>
      <c r="L244" s="971">
        <f t="shared" si="6"/>
        <v>215792</v>
      </c>
      <c r="M244" s="969"/>
      <c r="N244" s="970">
        <v>13406</v>
      </c>
      <c r="O244" s="970">
        <v>0</v>
      </c>
      <c r="P244" s="969">
        <v>1407</v>
      </c>
      <c r="Q244" s="971">
        <f t="shared" si="7"/>
        <v>14813</v>
      </c>
      <c r="R244" s="969"/>
      <c r="S244" s="970">
        <v>159602</v>
      </c>
      <c r="T244" s="972">
        <v>3411</v>
      </c>
      <c r="U244" s="972">
        <v>163013</v>
      </c>
    </row>
    <row r="245" spans="1:21" x14ac:dyDescent="0.25">
      <c r="A245" s="966">
        <v>92511</v>
      </c>
      <c r="B245" s="967" t="s">
        <v>2864</v>
      </c>
      <c r="C245" s="968">
        <v>3.3240000000000001E-3</v>
      </c>
      <c r="D245" s="968">
        <v>3.4164E-3</v>
      </c>
      <c r="E245" s="985">
        <v>1524503</v>
      </c>
      <c r="F245" s="969">
        <v>5078151</v>
      </c>
      <c r="G245" s="969"/>
      <c r="H245" s="970">
        <v>292549</v>
      </c>
      <c r="I245" s="971">
        <v>1232981</v>
      </c>
      <c r="J245" s="970">
        <v>725230</v>
      </c>
      <c r="K245" s="969">
        <v>12146</v>
      </c>
      <c r="L245" s="971">
        <f t="shared" si="6"/>
        <v>2262906</v>
      </c>
      <c r="M245" s="969"/>
      <c r="N245" s="970">
        <v>143746</v>
      </c>
      <c r="O245" s="970">
        <v>0</v>
      </c>
      <c r="P245" s="969">
        <v>237633</v>
      </c>
      <c r="Q245" s="971">
        <f t="shared" si="7"/>
        <v>381379</v>
      </c>
      <c r="R245" s="969"/>
      <c r="S245" s="970">
        <v>1711341</v>
      </c>
      <c r="T245" s="972">
        <v>-72839</v>
      </c>
      <c r="U245" s="972">
        <f>1638503-1</f>
        <v>1638502</v>
      </c>
    </row>
    <row r="246" spans="1:21" x14ac:dyDescent="0.25">
      <c r="A246" s="966">
        <v>92513</v>
      </c>
      <c r="B246" s="967" t="s">
        <v>2865</v>
      </c>
      <c r="C246" s="968">
        <v>4.0328999999999999E-3</v>
      </c>
      <c r="D246" s="968">
        <v>3.9753000000000002E-3</v>
      </c>
      <c r="E246" s="985">
        <v>1669954</v>
      </c>
      <c r="F246" s="969">
        <v>6161154</v>
      </c>
      <c r="G246" s="969"/>
      <c r="H246" s="970">
        <v>354940</v>
      </c>
      <c r="I246" s="971">
        <v>1495936</v>
      </c>
      <c r="J246" s="970">
        <v>879898</v>
      </c>
      <c r="K246" s="969">
        <f>1481541+87063+162533</f>
        <v>1731137</v>
      </c>
      <c r="L246" s="971">
        <f t="shared" si="6"/>
        <v>4461911</v>
      </c>
      <c r="M246" s="969"/>
      <c r="N246" s="970">
        <v>174403</v>
      </c>
      <c r="O246" s="970">
        <v>0</v>
      </c>
      <c r="P246" s="969">
        <f>106570+867533+690246</f>
        <v>1664349</v>
      </c>
      <c r="Q246" s="971">
        <f t="shared" si="7"/>
        <v>1838752</v>
      </c>
      <c r="R246" s="969"/>
      <c r="S246" s="970">
        <v>2076314</v>
      </c>
      <c r="T246" s="972">
        <f>491379-223763-102954</f>
        <v>164662</v>
      </c>
      <c r="U246" s="972">
        <f>2567693-223763-102954</f>
        <v>2240976</v>
      </c>
    </row>
    <row r="247" spans="1:21" x14ac:dyDescent="0.25">
      <c r="A247" s="966">
        <v>92521</v>
      </c>
      <c r="B247" s="967" t="s">
        <v>2866</v>
      </c>
      <c r="C247" s="968">
        <v>8.6899999999999998E-5</v>
      </c>
      <c r="D247" s="968">
        <v>8.9800000000000001E-5</v>
      </c>
      <c r="E247" s="985">
        <v>37384</v>
      </c>
      <c r="F247" s="969">
        <v>132759</v>
      </c>
      <c r="G247" s="969"/>
      <c r="H247" s="970">
        <v>7648</v>
      </c>
      <c r="I247" s="971">
        <v>32235</v>
      </c>
      <c r="J247" s="970">
        <v>18960</v>
      </c>
      <c r="K247" s="969">
        <v>3168</v>
      </c>
      <c r="L247" s="971">
        <f t="shared" si="6"/>
        <v>62011</v>
      </c>
      <c r="M247" s="969"/>
      <c r="N247" s="970">
        <v>3758</v>
      </c>
      <c r="O247" s="970">
        <v>0</v>
      </c>
      <c r="P247" s="969">
        <v>10611</v>
      </c>
      <c r="Q247" s="971">
        <f t="shared" si="7"/>
        <v>14369</v>
      </c>
      <c r="R247" s="969"/>
      <c r="S247" s="970">
        <v>44740</v>
      </c>
      <c r="T247" s="972">
        <v>-2554</v>
      </c>
      <c r="U247" s="972">
        <v>42186</v>
      </c>
    </row>
    <row r="248" spans="1:21" x14ac:dyDescent="0.25">
      <c r="A248" s="966">
        <v>92531</v>
      </c>
      <c r="B248" s="967" t="s">
        <v>2867</v>
      </c>
      <c r="C248" s="968">
        <v>8.6490000000000004E-4</v>
      </c>
      <c r="D248" s="968">
        <v>8.3779999999999998E-4</v>
      </c>
      <c r="E248" s="985">
        <v>358464</v>
      </c>
      <c r="F248" s="969">
        <v>1321328</v>
      </c>
      <c r="G248" s="969"/>
      <c r="H248" s="970">
        <v>76121</v>
      </c>
      <c r="I248" s="971">
        <v>320820</v>
      </c>
      <c r="J248" s="970">
        <v>188704</v>
      </c>
      <c r="K248" s="969">
        <v>0</v>
      </c>
      <c r="L248" s="971">
        <f t="shared" si="6"/>
        <v>585645</v>
      </c>
      <c r="M248" s="969"/>
      <c r="N248" s="970">
        <v>37403</v>
      </c>
      <c r="O248" s="970">
        <v>0</v>
      </c>
      <c r="P248" s="969">
        <v>124043</v>
      </c>
      <c r="Q248" s="971">
        <f t="shared" si="7"/>
        <v>161446</v>
      </c>
      <c r="R248" s="969"/>
      <c r="S248" s="970">
        <v>445289</v>
      </c>
      <c r="T248" s="972">
        <v>-61397</v>
      </c>
      <c r="U248" s="972">
        <v>383892</v>
      </c>
    </row>
    <row r="249" spans="1:21" x14ac:dyDescent="0.25">
      <c r="A249" s="966">
        <v>92541</v>
      </c>
      <c r="B249" s="967" t="s">
        <v>2868</v>
      </c>
      <c r="C249" s="968">
        <v>1.4469999999999999E-4</v>
      </c>
      <c r="D249" s="968">
        <v>1.4300000000000001E-4</v>
      </c>
      <c r="E249" s="985">
        <v>58964</v>
      </c>
      <c r="F249" s="969">
        <v>221062</v>
      </c>
      <c r="G249" s="969"/>
      <c r="H249" s="970">
        <v>12735</v>
      </c>
      <c r="I249" s="971">
        <v>53674</v>
      </c>
      <c r="J249" s="970">
        <v>31571</v>
      </c>
      <c r="K249" s="969">
        <v>7292</v>
      </c>
      <c r="L249" s="971">
        <f t="shared" si="6"/>
        <v>105272</v>
      </c>
      <c r="M249" s="969"/>
      <c r="N249" s="970">
        <v>6258</v>
      </c>
      <c r="O249" s="970">
        <v>0</v>
      </c>
      <c r="P249" s="969">
        <v>7300</v>
      </c>
      <c r="Q249" s="971">
        <f t="shared" si="7"/>
        <v>13558</v>
      </c>
      <c r="R249" s="969"/>
      <c r="S249" s="970">
        <v>74498</v>
      </c>
      <c r="T249" s="972">
        <v>2019</v>
      </c>
      <c r="U249" s="972">
        <v>76517</v>
      </c>
    </row>
    <row r="250" spans="1:21" x14ac:dyDescent="0.25">
      <c r="A250" s="966">
        <v>92551</v>
      </c>
      <c r="B250" s="967" t="s">
        <v>2869</v>
      </c>
      <c r="C250" s="968">
        <v>5.3300000000000001E-5</v>
      </c>
      <c r="D250" s="968">
        <v>4.18E-5</v>
      </c>
      <c r="E250" s="985">
        <v>19992</v>
      </c>
      <c r="F250" s="969">
        <v>81428</v>
      </c>
      <c r="G250" s="969"/>
      <c r="H250" s="970">
        <v>4691</v>
      </c>
      <c r="I250" s="971">
        <v>19771</v>
      </c>
      <c r="J250" s="970">
        <v>11629</v>
      </c>
      <c r="K250" s="969">
        <v>7529</v>
      </c>
      <c r="L250" s="971">
        <f t="shared" si="6"/>
        <v>43620</v>
      </c>
      <c r="M250" s="969"/>
      <c r="N250" s="970">
        <v>2305</v>
      </c>
      <c r="O250" s="970">
        <v>0</v>
      </c>
      <c r="P250" s="969">
        <v>8359</v>
      </c>
      <c r="Q250" s="971">
        <f t="shared" si="7"/>
        <v>10664</v>
      </c>
      <c r="R250" s="969"/>
      <c r="S250" s="970">
        <v>27441</v>
      </c>
      <c r="T250" s="972">
        <v>961</v>
      </c>
      <c r="U250" s="972">
        <v>28402</v>
      </c>
    </row>
    <row r="251" spans="1:21" x14ac:dyDescent="0.25">
      <c r="A251" s="966">
        <v>92561</v>
      </c>
      <c r="B251" s="967" t="s">
        <v>2870</v>
      </c>
      <c r="C251" s="968">
        <v>2.2200000000000001E-5</v>
      </c>
      <c r="D251" s="968">
        <v>2.2900000000000001E-5</v>
      </c>
      <c r="E251" s="985">
        <v>11716</v>
      </c>
      <c r="F251" s="969">
        <v>33915</v>
      </c>
      <c r="G251" s="969"/>
      <c r="H251" s="970">
        <v>1954</v>
      </c>
      <c r="I251" s="971">
        <v>8235</v>
      </c>
      <c r="J251" s="970">
        <v>4844</v>
      </c>
      <c r="K251" s="969">
        <v>5369</v>
      </c>
      <c r="L251" s="971">
        <f t="shared" si="6"/>
        <v>20402</v>
      </c>
      <c r="M251" s="969"/>
      <c r="N251" s="970">
        <v>960</v>
      </c>
      <c r="O251" s="970">
        <v>0</v>
      </c>
      <c r="P251" s="969">
        <v>0</v>
      </c>
      <c r="Q251" s="971">
        <f t="shared" si="7"/>
        <v>960</v>
      </c>
      <c r="R251" s="969"/>
      <c r="S251" s="970">
        <v>11430</v>
      </c>
      <c r="T251" s="972">
        <v>2639</v>
      </c>
      <c r="U251" s="972">
        <f>14068+1</f>
        <v>14069</v>
      </c>
    </row>
    <row r="252" spans="1:21" x14ac:dyDescent="0.25">
      <c r="A252" s="966">
        <v>92571</v>
      </c>
      <c r="B252" s="967" t="s">
        <v>2871</v>
      </c>
      <c r="C252" s="968">
        <v>1.01E-5</v>
      </c>
      <c r="D252" s="968">
        <v>3.1E-6</v>
      </c>
      <c r="E252" s="985">
        <v>6486</v>
      </c>
      <c r="F252" s="969">
        <v>15430</v>
      </c>
      <c r="G252" s="969"/>
      <c r="H252" s="970">
        <v>889</v>
      </c>
      <c r="I252" s="971">
        <v>3746</v>
      </c>
      <c r="J252" s="970">
        <v>2204</v>
      </c>
      <c r="K252" s="969">
        <v>9367</v>
      </c>
      <c r="L252" s="971">
        <f t="shared" si="6"/>
        <v>16206</v>
      </c>
      <c r="M252" s="969"/>
      <c r="N252" s="970">
        <v>437</v>
      </c>
      <c r="O252" s="970">
        <v>0</v>
      </c>
      <c r="P252" s="969">
        <v>100</v>
      </c>
      <c r="Q252" s="971">
        <f t="shared" si="7"/>
        <v>537</v>
      </c>
      <c r="R252" s="969"/>
      <c r="S252" s="970">
        <v>5200</v>
      </c>
      <c r="T252" s="972">
        <v>2687</v>
      </c>
      <c r="U252" s="972">
        <v>7887</v>
      </c>
    </row>
    <row r="253" spans="1:21" x14ac:dyDescent="0.25">
      <c r="A253" s="966">
        <v>92601</v>
      </c>
      <c r="B253" s="967" t="s">
        <v>2872</v>
      </c>
      <c r="C253" s="968">
        <v>1.51874E-2</v>
      </c>
      <c r="D253" s="968">
        <v>1.54185E-2</v>
      </c>
      <c r="E253" s="985">
        <v>7108398</v>
      </c>
      <c r="F253" s="969">
        <v>23202140</v>
      </c>
      <c r="G253" s="969"/>
      <c r="H253" s="970">
        <v>1336658</v>
      </c>
      <c r="I253" s="971">
        <v>5633508</v>
      </c>
      <c r="J253" s="970">
        <v>3313587</v>
      </c>
      <c r="K253" s="969">
        <v>134811</v>
      </c>
      <c r="L253" s="971">
        <f t="shared" si="6"/>
        <v>10418564</v>
      </c>
      <c r="M253" s="969"/>
      <c r="N253" s="970">
        <v>656779</v>
      </c>
      <c r="O253" s="970">
        <v>0</v>
      </c>
      <c r="P253" s="969">
        <v>46060</v>
      </c>
      <c r="Q253" s="971">
        <f t="shared" si="7"/>
        <v>702839</v>
      </c>
      <c r="R253" s="969"/>
      <c r="S253" s="970">
        <v>7819142</v>
      </c>
      <c r="T253" s="972">
        <v>112074</v>
      </c>
      <c r="U253" s="972">
        <f>7931215+1</f>
        <v>7931216</v>
      </c>
    </row>
    <row r="254" spans="1:21" x14ac:dyDescent="0.25">
      <c r="A254" s="966">
        <v>92602</v>
      </c>
      <c r="B254" s="967" t="s">
        <v>2873</v>
      </c>
      <c r="C254" s="968">
        <v>8.3000000000000002E-6</v>
      </c>
      <c r="D254" s="968">
        <v>8.1999999999999994E-6</v>
      </c>
      <c r="E254" s="985">
        <v>3605</v>
      </c>
      <c r="F254" s="969">
        <v>12680</v>
      </c>
      <c r="G254" s="969"/>
      <c r="H254" s="970">
        <v>730</v>
      </c>
      <c r="I254" s="971">
        <v>3079</v>
      </c>
      <c r="J254" s="970">
        <v>1811</v>
      </c>
      <c r="K254" s="969">
        <v>352</v>
      </c>
      <c r="L254" s="971">
        <f t="shared" si="6"/>
        <v>5972</v>
      </c>
      <c r="M254" s="969"/>
      <c r="N254" s="970">
        <v>359</v>
      </c>
      <c r="O254" s="970">
        <v>0</v>
      </c>
      <c r="P254" s="969">
        <v>927</v>
      </c>
      <c r="Q254" s="971">
        <f t="shared" si="7"/>
        <v>1286</v>
      </c>
      <c r="R254" s="969"/>
      <c r="S254" s="970">
        <v>4273</v>
      </c>
      <c r="T254" s="972">
        <v>-99</v>
      </c>
      <c r="U254" s="972">
        <v>4174</v>
      </c>
    </row>
    <row r="255" spans="1:21" x14ac:dyDescent="0.25">
      <c r="A255" s="966">
        <v>92604</v>
      </c>
      <c r="B255" s="967" t="s">
        <v>2874</v>
      </c>
      <c r="C255" s="968">
        <v>3.4099999999999999E-4</v>
      </c>
      <c r="D255" s="968">
        <v>3.4380000000000001E-4</v>
      </c>
      <c r="E255" s="985">
        <v>178691</v>
      </c>
      <c r="F255" s="969">
        <v>520954</v>
      </c>
      <c r="G255" s="969"/>
      <c r="H255" s="970">
        <v>30012</v>
      </c>
      <c r="I255" s="971">
        <v>126488</v>
      </c>
      <c r="J255" s="970">
        <v>74399</v>
      </c>
      <c r="K255" s="969">
        <v>52760</v>
      </c>
      <c r="L255" s="971">
        <f t="shared" si="6"/>
        <v>283659</v>
      </c>
      <c r="M255" s="969"/>
      <c r="N255" s="970">
        <v>14747</v>
      </c>
      <c r="O255" s="970">
        <v>0</v>
      </c>
      <c r="P255" s="969">
        <v>0</v>
      </c>
      <c r="Q255" s="971">
        <f t="shared" si="7"/>
        <v>14747</v>
      </c>
      <c r="R255" s="969"/>
      <c r="S255" s="970">
        <v>175562</v>
      </c>
      <c r="T255" s="972">
        <v>23975</v>
      </c>
      <c r="U255" s="972">
        <v>199537</v>
      </c>
    </row>
    <row r="256" spans="1:21" x14ac:dyDescent="0.25">
      <c r="A256" s="966">
        <v>92607</v>
      </c>
      <c r="B256" s="967" t="s">
        <v>2875</v>
      </c>
      <c r="C256" s="968">
        <v>6.6400000000000001E-5</v>
      </c>
      <c r="D256" s="968">
        <v>7.0400000000000004E-5</v>
      </c>
      <c r="E256" s="985">
        <v>38427</v>
      </c>
      <c r="F256" s="969">
        <v>101441</v>
      </c>
      <c r="G256" s="969"/>
      <c r="H256" s="970">
        <v>5844</v>
      </c>
      <c r="I256" s="971">
        <v>24630</v>
      </c>
      <c r="J256" s="970">
        <v>14487</v>
      </c>
      <c r="K256" s="969">
        <v>9416</v>
      </c>
      <c r="L256" s="971">
        <f t="shared" si="6"/>
        <v>54377</v>
      </c>
      <c r="M256" s="969"/>
      <c r="N256" s="970">
        <v>2871</v>
      </c>
      <c r="O256" s="970">
        <v>0</v>
      </c>
      <c r="P256" s="969">
        <v>0</v>
      </c>
      <c r="Q256" s="971">
        <f t="shared" si="7"/>
        <v>2871</v>
      </c>
      <c r="R256" s="969"/>
      <c r="S256" s="970">
        <v>34186</v>
      </c>
      <c r="T256" s="972">
        <v>4781</v>
      </c>
      <c r="U256" s="972">
        <f>38966+1</f>
        <v>38967</v>
      </c>
    </row>
    <row r="257" spans="1:21" x14ac:dyDescent="0.25">
      <c r="A257" s="966">
        <v>92608</v>
      </c>
      <c r="B257" s="967" t="s">
        <v>2876</v>
      </c>
      <c r="C257" s="968">
        <v>0</v>
      </c>
      <c r="D257" s="968">
        <v>0</v>
      </c>
      <c r="E257" s="985" t="e">
        <v>#N/A</v>
      </c>
      <c r="F257" s="969">
        <v>0</v>
      </c>
      <c r="G257" s="969"/>
      <c r="H257" s="970">
        <v>0</v>
      </c>
      <c r="I257" s="971">
        <v>0</v>
      </c>
      <c r="J257" s="970">
        <v>0</v>
      </c>
      <c r="K257" s="969">
        <v>0</v>
      </c>
      <c r="L257" s="971">
        <f t="shared" si="6"/>
        <v>0</v>
      </c>
      <c r="M257" s="969"/>
      <c r="N257" s="970">
        <v>0</v>
      </c>
      <c r="O257" s="970">
        <v>0</v>
      </c>
      <c r="P257" s="969">
        <v>69935</v>
      </c>
      <c r="Q257" s="971">
        <f t="shared" si="7"/>
        <v>69935</v>
      </c>
      <c r="R257" s="969"/>
      <c r="S257" s="970">
        <v>0</v>
      </c>
      <c r="T257" s="972">
        <v>-69872</v>
      </c>
      <c r="U257" s="972">
        <v>-69872</v>
      </c>
    </row>
    <row r="258" spans="1:21" x14ac:dyDescent="0.25">
      <c r="A258" s="966">
        <v>92611</v>
      </c>
      <c r="B258" s="967" t="s">
        <v>2877</v>
      </c>
      <c r="C258" s="968">
        <v>1.3080899999999999E-2</v>
      </c>
      <c r="D258" s="968">
        <v>1.3650799999999999E-2</v>
      </c>
      <c r="E258" s="985">
        <v>5890415</v>
      </c>
      <c r="F258" s="969">
        <v>19983992</v>
      </c>
      <c r="G258" s="969"/>
      <c r="H258" s="970">
        <v>1151263</v>
      </c>
      <c r="I258" s="971">
        <v>4852137</v>
      </c>
      <c r="J258" s="970">
        <v>2853991</v>
      </c>
      <c r="K258" s="969">
        <v>10109</v>
      </c>
      <c r="L258" s="971">
        <f t="shared" si="6"/>
        <v>8867500</v>
      </c>
      <c r="M258" s="969"/>
      <c r="N258" s="970">
        <v>565684</v>
      </c>
      <c r="O258" s="970">
        <v>0</v>
      </c>
      <c r="P258" s="969">
        <v>976593</v>
      </c>
      <c r="Q258" s="971">
        <f t="shared" si="7"/>
        <v>1542277</v>
      </c>
      <c r="R258" s="969"/>
      <c r="S258" s="970">
        <v>6734623</v>
      </c>
      <c r="T258" s="972">
        <v>-313138</v>
      </c>
      <c r="U258" s="972">
        <v>6421485</v>
      </c>
    </row>
    <row r="259" spans="1:21" x14ac:dyDescent="0.25">
      <c r="A259" s="966">
        <v>92613</v>
      </c>
      <c r="B259" s="967" t="s">
        <v>2878</v>
      </c>
      <c r="C259" s="968">
        <v>2.6439999999999998E-4</v>
      </c>
      <c r="D259" s="968">
        <v>2.81E-4</v>
      </c>
      <c r="E259" s="985">
        <v>143121</v>
      </c>
      <c r="F259" s="969">
        <v>403930</v>
      </c>
      <c r="G259" s="969"/>
      <c r="H259" s="970">
        <v>23270</v>
      </c>
      <c r="I259" s="971">
        <v>98075</v>
      </c>
      <c r="J259" s="970">
        <v>57687</v>
      </c>
      <c r="K259" s="969">
        <v>84489</v>
      </c>
      <c r="L259" s="971">
        <f t="shared" si="6"/>
        <v>263521</v>
      </c>
      <c r="M259" s="969"/>
      <c r="N259" s="970">
        <v>11434</v>
      </c>
      <c r="O259" s="970">
        <v>0</v>
      </c>
      <c r="P259" s="969">
        <v>941</v>
      </c>
      <c r="Q259" s="971">
        <f t="shared" si="7"/>
        <v>12375</v>
      </c>
      <c r="R259" s="969"/>
      <c r="S259" s="970">
        <v>136125</v>
      </c>
      <c r="T259" s="972">
        <v>41506</v>
      </c>
      <c r="U259" s="972">
        <v>177631</v>
      </c>
    </row>
    <row r="260" spans="1:21" x14ac:dyDescent="0.25">
      <c r="A260" s="966">
        <v>92614</v>
      </c>
      <c r="B260" s="967" t="s">
        <v>2879</v>
      </c>
      <c r="C260" s="968">
        <v>5.7273000000000003E-3</v>
      </c>
      <c r="D260" s="968">
        <v>5.6468000000000004E-3</v>
      </c>
      <c r="E260" s="985">
        <v>4788008</v>
      </c>
      <c r="F260" s="969">
        <v>8749728</v>
      </c>
      <c r="G260" s="969"/>
      <c r="H260" s="970">
        <v>504065</v>
      </c>
      <c r="I260" s="971">
        <v>2124444</v>
      </c>
      <c r="J260" s="970">
        <v>1249582</v>
      </c>
      <c r="K260" s="969">
        <v>3908054</v>
      </c>
      <c r="L260" s="971">
        <f t="shared" si="6"/>
        <v>7786145</v>
      </c>
      <c r="M260" s="969"/>
      <c r="N260" s="970">
        <v>247677</v>
      </c>
      <c r="O260" s="970">
        <v>0</v>
      </c>
      <c r="P260" s="969">
        <v>0</v>
      </c>
      <c r="Q260" s="971">
        <f t="shared" si="7"/>
        <v>247677</v>
      </c>
      <c r="R260" s="969"/>
      <c r="S260" s="970">
        <v>2948666</v>
      </c>
      <c r="T260" s="972">
        <v>1416067</v>
      </c>
      <c r="U260" s="972">
        <v>4364733</v>
      </c>
    </row>
    <row r="261" spans="1:21" x14ac:dyDescent="0.25">
      <c r="A261" s="966">
        <v>92621</v>
      </c>
      <c r="B261" s="967" t="s">
        <v>2880</v>
      </c>
      <c r="C261" s="968">
        <v>2.72E-5</v>
      </c>
      <c r="D261" s="968">
        <v>3.2799999999999998E-5</v>
      </c>
      <c r="E261" s="985">
        <v>11243</v>
      </c>
      <c r="F261" s="969">
        <v>41554</v>
      </c>
      <c r="G261" s="969"/>
      <c r="H261" s="970">
        <v>2394</v>
      </c>
      <c r="I261" s="971">
        <v>10089</v>
      </c>
      <c r="J261" s="970">
        <v>5934</v>
      </c>
      <c r="K261" s="969">
        <v>872</v>
      </c>
      <c r="L261" s="971">
        <f t="shared" si="6"/>
        <v>19289</v>
      </c>
      <c r="M261" s="969"/>
      <c r="N261" s="970">
        <v>1176</v>
      </c>
      <c r="O261" s="970">
        <v>0</v>
      </c>
      <c r="P261" s="969">
        <v>6521</v>
      </c>
      <c r="Q261" s="971">
        <f t="shared" si="7"/>
        <v>7697</v>
      </c>
      <c r="R261" s="969"/>
      <c r="S261" s="970">
        <v>14004</v>
      </c>
      <c r="T261" s="972">
        <v>-1988</v>
      </c>
      <c r="U261" s="972">
        <v>12016</v>
      </c>
    </row>
    <row r="262" spans="1:21" x14ac:dyDescent="0.25">
      <c r="A262" s="966">
        <v>92631</v>
      </c>
      <c r="B262" s="967" t="s">
        <v>2881</v>
      </c>
      <c r="C262" s="968">
        <v>9.2710000000000004E-4</v>
      </c>
      <c r="D262" s="968">
        <v>1.0068E-3</v>
      </c>
      <c r="E262" s="985">
        <v>397128</v>
      </c>
      <c r="F262" s="969">
        <v>1416352</v>
      </c>
      <c r="G262" s="969"/>
      <c r="H262" s="970">
        <v>81595</v>
      </c>
      <c r="I262" s="971">
        <v>343892</v>
      </c>
      <c r="J262" s="970">
        <v>202275</v>
      </c>
      <c r="K262" s="969">
        <v>0</v>
      </c>
      <c r="L262" s="971">
        <f t="shared" si="6"/>
        <v>627762</v>
      </c>
      <c r="M262" s="969"/>
      <c r="N262" s="970">
        <v>40092</v>
      </c>
      <c r="O262" s="970">
        <v>0</v>
      </c>
      <c r="P262" s="969">
        <v>146834</v>
      </c>
      <c r="Q262" s="971">
        <f t="shared" si="7"/>
        <v>186926</v>
      </c>
      <c r="R262" s="969"/>
      <c r="S262" s="970">
        <v>477312</v>
      </c>
      <c r="T262" s="972">
        <v>-49734</v>
      </c>
      <c r="U262" s="972">
        <v>427578</v>
      </c>
    </row>
    <row r="263" spans="1:21" x14ac:dyDescent="0.25">
      <c r="A263" s="966">
        <v>92641</v>
      </c>
      <c r="B263" s="967" t="s">
        <v>2882</v>
      </c>
      <c r="C263" s="968">
        <v>1.0200000000000001E-5</v>
      </c>
      <c r="D263" s="968">
        <v>1.03E-5</v>
      </c>
      <c r="E263" s="985">
        <v>5720</v>
      </c>
      <c r="F263" s="969">
        <v>15583</v>
      </c>
      <c r="G263" s="969"/>
      <c r="H263" s="970">
        <v>898</v>
      </c>
      <c r="I263" s="971">
        <v>3784</v>
      </c>
      <c r="J263" s="970">
        <v>2225</v>
      </c>
      <c r="K263" s="969">
        <v>2556</v>
      </c>
      <c r="L263" s="971">
        <f t="shared" ref="L263:L326" si="8">H263+I263+J263+K263</f>
        <v>9463</v>
      </c>
      <c r="M263" s="969"/>
      <c r="N263" s="970">
        <v>441</v>
      </c>
      <c r="O263" s="970">
        <v>0</v>
      </c>
      <c r="P263" s="969">
        <v>945</v>
      </c>
      <c r="Q263" s="971">
        <f t="shared" ref="Q263:Q326" si="9">N263+O263+P263</f>
        <v>1386</v>
      </c>
      <c r="R263" s="969"/>
      <c r="S263" s="970">
        <v>5251</v>
      </c>
      <c r="T263" s="972">
        <v>173</v>
      </c>
      <c r="U263" s="972">
        <v>5424</v>
      </c>
    </row>
    <row r="264" spans="1:21" x14ac:dyDescent="0.25">
      <c r="A264" s="966">
        <v>92651</v>
      </c>
      <c r="B264" s="967" t="s">
        <v>2883</v>
      </c>
      <c r="C264" s="968">
        <v>2.6000000000000001E-6</v>
      </c>
      <c r="D264" s="968">
        <v>2.6000000000000001E-6</v>
      </c>
      <c r="E264" s="985">
        <v>3151</v>
      </c>
      <c r="F264" s="969">
        <v>3972</v>
      </c>
      <c r="G264" s="969"/>
      <c r="H264" s="970">
        <v>229</v>
      </c>
      <c r="I264" s="971">
        <v>964</v>
      </c>
      <c r="J264" s="970">
        <v>567</v>
      </c>
      <c r="K264" s="969">
        <v>3432</v>
      </c>
      <c r="L264" s="971">
        <f t="shared" si="8"/>
        <v>5192</v>
      </c>
      <c r="M264" s="969"/>
      <c r="N264" s="970">
        <v>112</v>
      </c>
      <c r="O264" s="970">
        <v>0</v>
      </c>
      <c r="P264" s="969">
        <v>0</v>
      </c>
      <c r="Q264" s="971">
        <f t="shared" si="9"/>
        <v>112</v>
      </c>
      <c r="R264" s="969"/>
      <c r="S264" s="970">
        <v>1339</v>
      </c>
      <c r="T264" s="972">
        <v>1345</v>
      </c>
      <c r="U264" s="972">
        <f>2683+1</f>
        <v>2684</v>
      </c>
    </row>
    <row r="265" spans="1:21" x14ac:dyDescent="0.25">
      <c r="A265" s="966">
        <v>92661</v>
      </c>
      <c r="B265" s="967" t="s">
        <v>2884</v>
      </c>
      <c r="C265" s="968">
        <v>6.9999999999999999E-4</v>
      </c>
      <c r="D265" s="968">
        <v>6.6299999999999996E-4</v>
      </c>
      <c r="E265" s="985">
        <v>591164</v>
      </c>
      <c r="F265" s="969">
        <v>1069406</v>
      </c>
      <c r="G265" s="969"/>
      <c r="H265" s="970">
        <v>61608</v>
      </c>
      <c r="I265" s="971">
        <v>259653</v>
      </c>
      <c r="J265" s="970">
        <v>152726</v>
      </c>
      <c r="K265" s="969">
        <v>446841</v>
      </c>
      <c r="L265" s="971">
        <f t="shared" si="8"/>
        <v>920828</v>
      </c>
      <c r="M265" s="969"/>
      <c r="N265" s="970">
        <v>30272</v>
      </c>
      <c r="O265" s="970">
        <v>0</v>
      </c>
      <c r="P265" s="969">
        <v>16877</v>
      </c>
      <c r="Q265" s="971">
        <f t="shared" si="9"/>
        <v>47149</v>
      </c>
      <c r="R265" s="969"/>
      <c r="S265" s="970">
        <v>360391</v>
      </c>
      <c r="T265" s="972">
        <v>130287</v>
      </c>
      <c r="U265" s="972">
        <v>490678</v>
      </c>
    </row>
    <row r="266" spans="1:21" x14ac:dyDescent="0.25">
      <c r="A266" s="966">
        <v>92671</v>
      </c>
      <c r="B266" s="967" t="s">
        <v>2885</v>
      </c>
      <c r="C266" s="968">
        <v>2.6000000000000001E-6</v>
      </c>
      <c r="D266" s="968">
        <v>2.9000000000000002E-6</v>
      </c>
      <c r="E266" s="985">
        <v>5279</v>
      </c>
      <c r="F266" s="969">
        <v>3972</v>
      </c>
      <c r="G266" s="969"/>
      <c r="H266" s="970">
        <v>229</v>
      </c>
      <c r="I266" s="971">
        <v>964</v>
      </c>
      <c r="J266" s="970">
        <v>567</v>
      </c>
      <c r="K266" s="969">
        <v>6237</v>
      </c>
      <c r="L266" s="971">
        <f t="shared" si="8"/>
        <v>7997</v>
      </c>
      <c r="M266" s="969"/>
      <c r="N266" s="970">
        <v>112</v>
      </c>
      <c r="O266" s="970">
        <v>0</v>
      </c>
      <c r="P266" s="969">
        <v>0</v>
      </c>
      <c r="Q266" s="971">
        <f t="shared" si="9"/>
        <v>112</v>
      </c>
      <c r="R266" s="969"/>
      <c r="S266" s="970">
        <v>1339</v>
      </c>
      <c r="T266" s="972">
        <v>2205</v>
      </c>
      <c r="U266" s="972">
        <f>3543+1</f>
        <v>3544</v>
      </c>
    </row>
    <row r="267" spans="1:21" x14ac:dyDescent="0.25">
      <c r="A267" s="966">
        <v>92681</v>
      </c>
      <c r="B267" s="967" t="s">
        <v>2886</v>
      </c>
      <c r="C267" s="968">
        <v>1.17E-5</v>
      </c>
      <c r="D267" s="968">
        <v>1.01E-5</v>
      </c>
      <c r="E267" s="985">
        <v>11572</v>
      </c>
      <c r="F267" s="969">
        <v>17874</v>
      </c>
      <c r="G267" s="969"/>
      <c r="H267" s="970">
        <v>1030</v>
      </c>
      <c r="I267" s="971">
        <v>4340</v>
      </c>
      <c r="J267" s="970">
        <v>2553</v>
      </c>
      <c r="K267" s="969">
        <v>13621</v>
      </c>
      <c r="L267" s="971">
        <f t="shared" si="8"/>
        <v>21544</v>
      </c>
      <c r="M267" s="969"/>
      <c r="N267" s="970">
        <v>506</v>
      </c>
      <c r="O267" s="970">
        <v>0</v>
      </c>
      <c r="P267" s="969">
        <v>0</v>
      </c>
      <c r="Q267" s="971">
        <f t="shared" si="9"/>
        <v>506</v>
      </c>
      <c r="R267" s="969"/>
      <c r="S267" s="970">
        <v>6024</v>
      </c>
      <c r="T267" s="972">
        <v>4960</v>
      </c>
      <c r="U267" s="972">
        <v>10984</v>
      </c>
    </row>
    <row r="268" spans="1:21" x14ac:dyDescent="0.25">
      <c r="A268" s="966">
        <v>92701</v>
      </c>
      <c r="B268" s="967" t="s">
        <v>2887</v>
      </c>
      <c r="C268" s="968">
        <v>3.0777000000000001E-3</v>
      </c>
      <c r="D268" s="968">
        <v>2.9588000000000001E-3</v>
      </c>
      <c r="E268" s="985">
        <v>1358591</v>
      </c>
      <c r="F268" s="969">
        <v>4701873</v>
      </c>
      <c r="G268" s="969"/>
      <c r="H268" s="970">
        <v>270871</v>
      </c>
      <c r="I268" s="971">
        <v>1141620</v>
      </c>
      <c r="J268" s="970">
        <v>671493</v>
      </c>
      <c r="K268" s="969">
        <v>48990</v>
      </c>
      <c r="L268" s="971">
        <f t="shared" si="8"/>
        <v>2132974</v>
      </c>
      <c r="M268" s="969"/>
      <c r="N268" s="970">
        <v>133095</v>
      </c>
      <c r="O268" s="970">
        <v>0</v>
      </c>
      <c r="P268" s="969">
        <v>42924</v>
      </c>
      <c r="Q268" s="971">
        <f t="shared" si="9"/>
        <v>176019</v>
      </c>
      <c r="R268" s="969"/>
      <c r="S268" s="970">
        <v>1584535</v>
      </c>
      <c r="T268" s="972">
        <v>-25139</v>
      </c>
      <c r="U268" s="972">
        <f>1559397-1</f>
        <v>1559396</v>
      </c>
    </row>
    <row r="269" spans="1:21" x14ac:dyDescent="0.25">
      <c r="A269" s="966">
        <v>92704</v>
      </c>
      <c r="B269" s="967" t="s">
        <v>2888</v>
      </c>
      <c r="C269" s="968">
        <v>4.1600000000000002E-5</v>
      </c>
      <c r="D269" s="968">
        <v>4.7700000000000001E-5</v>
      </c>
      <c r="E269" s="985">
        <v>18894</v>
      </c>
      <c r="F269" s="969">
        <v>63553</v>
      </c>
      <c r="G269" s="969"/>
      <c r="H269" s="970">
        <v>3661</v>
      </c>
      <c r="I269" s="971">
        <v>15431</v>
      </c>
      <c r="J269" s="970">
        <v>9076</v>
      </c>
      <c r="K269" s="969">
        <v>1560</v>
      </c>
      <c r="L269" s="971">
        <f t="shared" si="8"/>
        <v>29728</v>
      </c>
      <c r="M269" s="969"/>
      <c r="N269" s="970">
        <v>1799</v>
      </c>
      <c r="O269" s="970">
        <v>0</v>
      </c>
      <c r="P269" s="969">
        <v>5674</v>
      </c>
      <c r="Q269" s="971">
        <f t="shared" si="9"/>
        <v>7473</v>
      </c>
      <c r="R269" s="969"/>
      <c r="S269" s="970">
        <v>21418</v>
      </c>
      <c r="T269" s="972">
        <v>-706</v>
      </c>
      <c r="U269" s="972">
        <f>20711+1</f>
        <v>20712</v>
      </c>
    </row>
    <row r="270" spans="1:21" x14ac:dyDescent="0.25">
      <c r="A270" s="966">
        <v>92801</v>
      </c>
      <c r="B270" s="967" t="s">
        <v>2889</v>
      </c>
      <c r="C270" s="968">
        <v>5.0951E-3</v>
      </c>
      <c r="D270" s="968">
        <v>5.1701000000000004E-3</v>
      </c>
      <c r="E270" s="985">
        <v>2417020</v>
      </c>
      <c r="F270" s="969">
        <v>7783901</v>
      </c>
      <c r="G270" s="969"/>
      <c r="H270" s="970">
        <v>448425</v>
      </c>
      <c r="I270" s="971">
        <v>1889940</v>
      </c>
      <c r="J270" s="970">
        <v>1111649</v>
      </c>
      <c r="K270" s="969">
        <v>152907</v>
      </c>
      <c r="L270" s="971">
        <f t="shared" si="8"/>
        <v>3602921</v>
      </c>
      <c r="M270" s="969"/>
      <c r="N270" s="970">
        <v>220338</v>
      </c>
      <c r="O270" s="970">
        <v>0</v>
      </c>
      <c r="P270" s="969">
        <v>0</v>
      </c>
      <c r="Q270" s="971">
        <f t="shared" si="9"/>
        <v>220338</v>
      </c>
      <c r="R270" s="969"/>
      <c r="S270" s="970">
        <v>2623182</v>
      </c>
      <c r="T270" s="972">
        <v>81450</v>
      </c>
      <c r="U270" s="972">
        <f>2704631+1</f>
        <v>2704632</v>
      </c>
    </row>
    <row r="271" spans="1:21" x14ac:dyDescent="0.25">
      <c r="A271" s="966">
        <v>92802</v>
      </c>
      <c r="B271" s="967" t="s">
        <v>2890</v>
      </c>
      <c r="C271" s="968">
        <v>1.2970000000000001E-4</v>
      </c>
      <c r="D271" s="968">
        <v>1.3410000000000001E-4</v>
      </c>
      <c r="E271" s="985">
        <v>55828</v>
      </c>
      <c r="F271" s="969">
        <v>198146</v>
      </c>
      <c r="G271" s="969"/>
      <c r="H271" s="970">
        <v>11415</v>
      </c>
      <c r="I271" s="971">
        <v>48110</v>
      </c>
      <c r="J271" s="970">
        <v>28298</v>
      </c>
      <c r="K271" s="969">
        <v>0</v>
      </c>
      <c r="L271" s="971">
        <f t="shared" si="8"/>
        <v>87823</v>
      </c>
      <c r="M271" s="969"/>
      <c r="N271" s="970">
        <v>5609</v>
      </c>
      <c r="O271" s="970">
        <v>0</v>
      </c>
      <c r="P271" s="969">
        <v>17517</v>
      </c>
      <c r="Q271" s="971">
        <f t="shared" si="9"/>
        <v>23126</v>
      </c>
      <c r="R271" s="969"/>
      <c r="S271" s="970">
        <v>66775</v>
      </c>
      <c r="T271" s="972">
        <v>-6938</v>
      </c>
      <c r="U271" s="972">
        <v>59837</v>
      </c>
    </row>
    <row r="272" spans="1:21" x14ac:dyDescent="0.25">
      <c r="A272" s="966">
        <v>92804</v>
      </c>
      <c r="B272" s="967" t="s">
        <v>2891</v>
      </c>
      <c r="C272" s="968">
        <v>1.36E-4</v>
      </c>
      <c r="D272" s="968">
        <v>1.47E-4</v>
      </c>
      <c r="E272" s="985">
        <v>57777</v>
      </c>
      <c r="F272" s="969">
        <v>207770</v>
      </c>
      <c r="G272" s="969"/>
      <c r="H272" s="970">
        <v>11969</v>
      </c>
      <c r="I272" s="971">
        <v>50447</v>
      </c>
      <c r="J272" s="970">
        <v>29672</v>
      </c>
      <c r="K272" s="969">
        <v>8730</v>
      </c>
      <c r="L272" s="971">
        <f t="shared" si="8"/>
        <v>100818</v>
      </c>
      <c r="M272" s="969"/>
      <c r="N272" s="970">
        <v>5881</v>
      </c>
      <c r="O272" s="970">
        <v>0</v>
      </c>
      <c r="P272" s="969">
        <v>12427</v>
      </c>
      <c r="Q272" s="971">
        <f t="shared" si="9"/>
        <v>18308</v>
      </c>
      <c r="R272" s="969"/>
      <c r="S272" s="970">
        <v>70019</v>
      </c>
      <c r="T272" s="972">
        <v>-172</v>
      </c>
      <c r="U272" s="972">
        <v>69847</v>
      </c>
    </row>
    <row r="273" spans="1:21" x14ac:dyDescent="0.25">
      <c r="A273" s="966">
        <v>92811</v>
      </c>
      <c r="B273" s="967" t="s">
        <v>2892</v>
      </c>
      <c r="C273" s="968">
        <v>1.0036000000000001E-3</v>
      </c>
      <c r="D273" s="968">
        <v>9.8569999999999994E-4</v>
      </c>
      <c r="E273" s="985">
        <v>442635</v>
      </c>
      <c r="F273" s="969">
        <v>1533223</v>
      </c>
      <c r="G273" s="969"/>
      <c r="H273" s="970">
        <v>88328</v>
      </c>
      <c r="I273" s="971">
        <v>372269</v>
      </c>
      <c r="J273" s="970">
        <v>218965</v>
      </c>
      <c r="K273" s="969">
        <v>0</v>
      </c>
      <c r="L273" s="971">
        <f t="shared" si="8"/>
        <v>679562</v>
      </c>
      <c r="M273" s="969"/>
      <c r="N273" s="970">
        <v>43401</v>
      </c>
      <c r="O273" s="970">
        <v>0</v>
      </c>
      <c r="P273" s="969">
        <v>85272</v>
      </c>
      <c r="Q273" s="971">
        <f t="shared" si="9"/>
        <v>128673</v>
      </c>
      <c r="R273" s="969"/>
      <c r="S273" s="970">
        <v>516697</v>
      </c>
      <c r="T273" s="972">
        <v>-36667</v>
      </c>
      <c r="U273" s="972">
        <v>480030</v>
      </c>
    </row>
    <row r="274" spans="1:21" x14ac:dyDescent="0.25">
      <c r="A274" s="966">
        <v>92821</v>
      </c>
      <c r="B274" s="967" t="s">
        <v>2893</v>
      </c>
      <c r="C274" s="968">
        <v>9.9400000000000009E-4</v>
      </c>
      <c r="D274" s="968">
        <v>1.0139999999999999E-3</v>
      </c>
      <c r="E274" s="985">
        <v>481049</v>
      </c>
      <c r="F274" s="969">
        <v>1518557</v>
      </c>
      <c r="G274" s="969"/>
      <c r="H274" s="970">
        <v>87483</v>
      </c>
      <c r="I274" s="971">
        <v>368707</v>
      </c>
      <c r="J274" s="970">
        <v>216871</v>
      </c>
      <c r="K274" s="969">
        <v>24870</v>
      </c>
      <c r="L274" s="971">
        <f t="shared" si="8"/>
        <v>697931</v>
      </c>
      <c r="M274" s="969"/>
      <c r="N274" s="970">
        <v>42986</v>
      </c>
      <c r="O274" s="970">
        <v>0</v>
      </c>
      <c r="P274" s="969">
        <v>0</v>
      </c>
      <c r="Q274" s="971">
        <f t="shared" si="9"/>
        <v>42986</v>
      </c>
      <c r="R274" s="969"/>
      <c r="S274" s="970">
        <v>511755</v>
      </c>
      <c r="T274" s="972">
        <v>10495</v>
      </c>
      <c r="U274" s="972">
        <v>522250</v>
      </c>
    </row>
    <row r="275" spans="1:21" x14ac:dyDescent="0.25">
      <c r="A275" s="966">
        <v>92831</v>
      </c>
      <c r="B275" s="967" t="s">
        <v>2894</v>
      </c>
      <c r="C275" s="968">
        <v>2.1829999999999999E-4</v>
      </c>
      <c r="D275" s="968">
        <v>2.476E-4</v>
      </c>
      <c r="E275" s="985">
        <v>122076</v>
      </c>
      <c r="F275" s="969">
        <v>333502</v>
      </c>
      <c r="G275" s="969"/>
      <c r="H275" s="970">
        <v>19213</v>
      </c>
      <c r="I275" s="971">
        <v>80975</v>
      </c>
      <c r="J275" s="970">
        <v>47629</v>
      </c>
      <c r="K275" s="969">
        <v>19156</v>
      </c>
      <c r="L275" s="971">
        <f t="shared" si="8"/>
        <v>166973</v>
      </c>
      <c r="M275" s="969"/>
      <c r="N275" s="970">
        <v>9440</v>
      </c>
      <c r="O275" s="970">
        <v>0</v>
      </c>
      <c r="P275" s="969">
        <v>2159</v>
      </c>
      <c r="Q275" s="971">
        <f t="shared" si="9"/>
        <v>11599</v>
      </c>
      <c r="R275" s="969"/>
      <c r="S275" s="970">
        <v>112390</v>
      </c>
      <c r="T275" s="972">
        <v>9503</v>
      </c>
      <c r="U275" s="972">
        <f>121894-1</f>
        <v>121893</v>
      </c>
    </row>
    <row r="276" spans="1:21" x14ac:dyDescent="0.25">
      <c r="A276" s="966">
        <v>92841</v>
      </c>
      <c r="B276" s="967" t="s">
        <v>2895</v>
      </c>
      <c r="C276" s="968">
        <v>2.7809999999999998E-4</v>
      </c>
      <c r="D276" s="968">
        <v>2.8160000000000001E-4</v>
      </c>
      <c r="E276" s="985">
        <v>116983</v>
      </c>
      <c r="F276" s="969">
        <v>424860</v>
      </c>
      <c r="G276" s="969"/>
      <c r="H276" s="970">
        <v>24476</v>
      </c>
      <c r="I276" s="971">
        <v>103157</v>
      </c>
      <c r="J276" s="970">
        <v>60676</v>
      </c>
      <c r="K276" s="969">
        <v>5821</v>
      </c>
      <c r="L276" s="971">
        <f t="shared" si="8"/>
        <v>194130</v>
      </c>
      <c r="M276" s="969"/>
      <c r="N276" s="970">
        <v>12026</v>
      </c>
      <c r="O276" s="970">
        <v>0</v>
      </c>
      <c r="P276" s="969">
        <v>13149</v>
      </c>
      <c r="Q276" s="971">
        <f t="shared" si="9"/>
        <v>25175</v>
      </c>
      <c r="R276" s="969"/>
      <c r="S276" s="970">
        <v>143178</v>
      </c>
      <c r="T276" s="972">
        <v>2288</v>
      </c>
      <c r="U276" s="972">
        <v>145466</v>
      </c>
    </row>
    <row r="277" spans="1:21" x14ac:dyDescent="0.25">
      <c r="A277" s="966">
        <v>92851</v>
      </c>
      <c r="B277" s="967" t="s">
        <v>2896</v>
      </c>
      <c r="C277" s="968">
        <v>4.6079999999999998E-4</v>
      </c>
      <c r="D277" s="968">
        <v>4.3909999999999999E-4</v>
      </c>
      <c r="E277" s="985">
        <v>187164</v>
      </c>
      <c r="F277" s="969">
        <v>703975</v>
      </c>
      <c r="G277" s="969"/>
      <c r="H277" s="970">
        <v>40555</v>
      </c>
      <c r="I277" s="971">
        <v>170926</v>
      </c>
      <c r="J277" s="970">
        <v>100537</v>
      </c>
      <c r="K277" s="969">
        <v>0</v>
      </c>
      <c r="L277" s="971">
        <f t="shared" si="8"/>
        <v>312018</v>
      </c>
      <c r="M277" s="969"/>
      <c r="N277" s="970">
        <v>19927</v>
      </c>
      <c r="O277" s="970">
        <v>0</v>
      </c>
      <c r="P277" s="969">
        <v>62664</v>
      </c>
      <c r="Q277" s="971">
        <f t="shared" si="9"/>
        <v>82591</v>
      </c>
      <c r="R277" s="969"/>
      <c r="S277" s="970">
        <v>237240</v>
      </c>
      <c r="T277" s="972">
        <v>-35531</v>
      </c>
      <c r="U277" s="972">
        <v>201709</v>
      </c>
    </row>
    <row r="278" spans="1:21" x14ac:dyDescent="0.25">
      <c r="A278" s="966">
        <v>92861</v>
      </c>
      <c r="B278" s="967" t="s">
        <v>2897</v>
      </c>
      <c r="C278" s="968">
        <v>3.6010000000000003E-4</v>
      </c>
      <c r="D278" s="968">
        <v>3.3629999999999999E-4</v>
      </c>
      <c r="E278" s="985">
        <v>121951</v>
      </c>
      <c r="F278" s="969">
        <v>550133</v>
      </c>
      <c r="G278" s="969"/>
      <c r="H278" s="970">
        <v>31693</v>
      </c>
      <c r="I278" s="971">
        <v>133573</v>
      </c>
      <c r="J278" s="970">
        <v>78567</v>
      </c>
      <c r="K278" s="969">
        <v>0</v>
      </c>
      <c r="L278" s="971">
        <f t="shared" si="8"/>
        <v>243833</v>
      </c>
      <c r="M278" s="969"/>
      <c r="N278" s="970">
        <v>15573</v>
      </c>
      <c r="O278" s="970">
        <v>0</v>
      </c>
      <c r="P278" s="969">
        <v>83092</v>
      </c>
      <c r="Q278" s="971">
        <f t="shared" si="9"/>
        <v>98665</v>
      </c>
      <c r="R278" s="969"/>
      <c r="S278" s="970">
        <v>185395</v>
      </c>
      <c r="T278" s="972">
        <v>-36908</v>
      </c>
      <c r="U278" s="972">
        <f>148488-1</f>
        <v>148487</v>
      </c>
    </row>
    <row r="279" spans="1:21" x14ac:dyDescent="0.25">
      <c r="A279" s="966">
        <v>92901</v>
      </c>
      <c r="B279" s="967" t="s">
        <v>2898</v>
      </c>
      <c r="C279" s="968">
        <v>5.5082999999999998E-3</v>
      </c>
      <c r="D279" s="968">
        <v>5.7581000000000004E-3</v>
      </c>
      <c r="E279" s="985">
        <v>2645958</v>
      </c>
      <c r="F279" s="969">
        <v>8415157</v>
      </c>
      <c r="G279" s="969"/>
      <c r="H279" s="970">
        <v>484791</v>
      </c>
      <c r="I279" s="971">
        <v>2043211</v>
      </c>
      <c r="J279" s="970">
        <v>1201801</v>
      </c>
      <c r="K279" s="969">
        <v>65697</v>
      </c>
      <c r="L279" s="971">
        <f t="shared" si="8"/>
        <v>3795500</v>
      </c>
      <c r="M279" s="969"/>
      <c r="N279" s="970">
        <v>238206</v>
      </c>
      <c r="O279" s="970">
        <v>0</v>
      </c>
      <c r="P279" s="969">
        <v>124949</v>
      </c>
      <c r="Q279" s="971">
        <f t="shared" si="9"/>
        <v>363155</v>
      </c>
      <c r="R279" s="969"/>
      <c r="S279" s="970">
        <v>2835915</v>
      </c>
      <c r="T279" s="972">
        <v>6522</v>
      </c>
      <c r="U279" s="972">
        <f>2842438-1</f>
        <v>2842437</v>
      </c>
    </row>
    <row r="280" spans="1:21" x14ac:dyDescent="0.25">
      <c r="A280" s="966">
        <v>92911</v>
      </c>
      <c r="B280" s="967" t="s">
        <v>2899</v>
      </c>
      <c r="C280" s="968">
        <v>1.9548999999999999E-3</v>
      </c>
      <c r="D280" s="968">
        <v>1.9442999999999999E-3</v>
      </c>
      <c r="E280" s="985">
        <v>924132</v>
      </c>
      <c r="F280" s="969">
        <v>2986546</v>
      </c>
      <c r="G280" s="969"/>
      <c r="H280" s="970">
        <v>172053</v>
      </c>
      <c r="I280" s="971">
        <v>725137</v>
      </c>
      <c r="J280" s="970">
        <v>426520</v>
      </c>
      <c r="K280" s="969">
        <v>28442</v>
      </c>
      <c r="L280" s="971">
        <f t="shared" si="8"/>
        <v>1352152</v>
      </c>
      <c r="M280" s="969"/>
      <c r="N280" s="970">
        <v>84540</v>
      </c>
      <c r="O280" s="970">
        <v>0</v>
      </c>
      <c r="P280" s="969">
        <v>113525</v>
      </c>
      <c r="Q280" s="971">
        <f t="shared" si="9"/>
        <v>198065</v>
      </c>
      <c r="R280" s="969"/>
      <c r="S280" s="970">
        <v>1006469</v>
      </c>
      <c r="T280" s="972">
        <v>-55041</v>
      </c>
      <c r="U280" s="972">
        <v>951428</v>
      </c>
    </row>
    <row r="281" spans="1:21" x14ac:dyDescent="0.25">
      <c r="A281" s="966">
        <v>92913</v>
      </c>
      <c r="B281" s="967" t="s">
        <v>2900</v>
      </c>
      <c r="C281" s="968">
        <v>2.1999999999999999E-5</v>
      </c>
      <c r="D281" s="968">
        <v>2.37E-5</v>
      </c>
      <c r="E281" s="985">
        <v>57760</v>
      </c>
      <c r="F281" s="969">
        <v>33610</v>
      </c>
      <c r="G281" s="969"/>
      <c r="H281" s="970">
        <v>1936</v>
      </c>
      <c r="I281" s="971">
        <v>8160</v>
      </c>
      <c r="J281" s="970">
        <v>4800</v>
      </c>
      <c r="K281" s="969">
        <v>79442</v>
      </c>
      <c r="L281" s="971">
        <f t="shared" si="8"/>
        <v>94338</v>
      </c>
      <c r="M281" s="969"/>
      <c r="N281" s="970">
        <v>951</v>
      </c>
      <c r="O281" s="970">
        <v>0</v>
      </c>
      <c r="P281" s="969">
        <v>2047</v>
      </c>
      <c r="Q281" s="971">
        <f t="shared" si="9"/>
        <v>2998</v>
      </c>
      <c r="R281" s="969"/>
      <c r="S281" s="970">
        <v>11327</v>
      </c>
      <c r="T281" s="972">
        <v>25513</v>
      </c>
      <c r="U281" s="972">
        <v>36840</v>
      </c>
    </row>
    <row r="282" spans="1:21" x14ac:dyDescent="0.25">
      <c r="A282" s="966">
        <v>92914</v>
      </c>
      <c r="B282" s="967" t="s">
        <v>3669</v>
      </c>
      <c r="C282" s="968">
        <v>2.8900000000000001E-5</v>
      </c>
      <c r="D282" s="968">
        <v>0</v>
      </c>
      <c r="E282" s="985">
        <v>10513</v>
      </c>
      <c r="F282" s="969">
        <v>44151</v>
      </c>
      <c r="G282" s="969"/>
      <c r="H282" s="970">
        <v>2544</v>
      </c>
      <c r="I282" s="971">
        <v>10720</v>
      </c>
      <c r="J282" s="970">
        <v>6305</v>
      </c>
      <c r="K282" s="969">
        <v>17173</v>
      </c>
      <c r="L282" s="971">
        <f t="shared" si="8"/>
        <v>36742</v>
      </c>
      <c r="M282" s="969"/>
      <c r="N282" s="970">
        <v>1250</v>
      </c>
      <c r="O282" s="970">
        <v>0</v>
      </c>
      <c r="P282" s="969">
        <v>0</v>
      </c>
      <c r="Q282" s="971">
        <f t="shared" si="9"/>
        <v>1250</v>
      </c>
      <c r="R282" s="969"/>
      <c r="S282" s="970">
        <v>14879</v>
      </c>
      <c r="T282" s="972">
        <v>4293</v>
      </c>
      <c r="U282" s="972">
        <v>19172</v>
      </c>
    </row>
    <row r="283" spans="1:21" x14ac:dyDescent="0.25">
      <c r="A283" s="966">
        <v>92917</v>
      </c>
      <c r="B283" s="967" t="s">
        <v>2901</v>
      </c>
      <c r="C283" s="968">
        <v>1.4800000000000001E-5</v>
      </c>
      <c r="D283" s="968">
        <v>2.0000000000000002E-5</v>
      </c>
      <c r="E283" s="985">
        <v>16082</v>
      </c>
      <c r="F283" s="969">
        <v>22610</v>
      </c>
      <c r="G283" s="969"/>
      <c r="H283" s="970">
        <v>1303</v>
      </c>
      <c r="I283" s="971">
        <v>5490</v>
      </c>
      <c r="J283" s="970">
        <v>3229</v>
      </c>
      <c r="K283" s="969">
        <v>13223</v>
      </c>
      <c r="L283" s="971">
        <f t="shared" si="8"/>
        <v>23245</v>
      </c>
      <c r="M283" s="969"/>
      <c r="N283" s="970">
        <v>640</v>
      </c>
      <c r="O283" s="970">
        <v>0</v>
      </c>
      <c r="P283" s="969">
        <v>0</v>
      </c>
      <c r="Q283" s="971">
        <f t="shared" si="9"/>
        <v>640</v>
      </c>
      <c r="R283" s="969"/>
      <c r="S283" s="970">
        <v>7620</v>
      </c>
      <c r="T283" s="972">
        <v>6352</v>
      </c>
      <c r="U283" s="972">
        <f>13971+1</f>
        <v>13972</v>
      </c>
    </row>
    <row r="284" spans="1:21" x14ac:dyDescent="0.25">
      <c r="A284" s="966">
        <v>92921</v>
      </c>
      <c r="B284" s="967" t="s">
        <v>2902</v>
      </c>
      <c r="C284" s="968">
        <v>7.4400000000000006E-5</v>
      </c>
      <c r="D284" s="968">
        <v>6.2899999999999997E-5</v>
      </c>
      <c r="E284" s="985">
        <v>41073</v>
      </c>
      <c r="F284" s="969">
        <v>113663</v>
      </c>
      <c r="G284" s="969"/>
      <c r="H284" s="970">
        <v>6548</v>
      </c>
      <c r="I284" s="971">
        <v>27597</v>
      </c>
      <c r="J284" s="970">
        <v>16233</v>
      </c>
      <c r="K284" s="969">
        <v>13244</v>
      </c>
      <c r="L284" s="971">
        <f t="shared" si="8"/>
        <v>63622</v>
      </c>
      <c r="M284" s="969"/>
      <c r="N284" s="970">
        <v>3217</v>
      </c>
      <c r="O284" s="970">
        <v>0</v>
      </c>
      <c r="P284" s="969">
        <v>7831</v>
      </c>
      <c r="Q284" s="971">
        <f t="shared" si="9"/>
        <v>11048</v>
      </c>
      <c r="R284" s="969"/>
      <c r="S284" s="970">
        <v>38304</v>
      </c>
      <c r="T284" s="972">
        <v>-2914</v>
      </c>
      <c r="U284" s="972">
        <v>35390</v>
      </c>
    </row>
    <row r="285" spans="1:21" x14ac:dyDescent="0.25">
      <c r="A285" s="966">
        <v>92931</v>
      </c>
      <c r="B285" s="967" t="s">
        <v>2903</v>
      </c>
      <c r="C285" s="968">
        <v>2.3996E-3</v>
      </c>
      <c r="D285" s="968">
        <v>2.5048000000000002E-3</v>
      </c>
      <c r="E285" s="985">
        <v>1109331</v>
      </c>
      <c r="F285" s="969">
        <v>3665924</v>
      </c>
      <c r="G285" s="969"/>
      <c r="H285" s="970">
        <v>211191</v>
      </c>
      <c r="I285" s="971">
        <v>890091</v>
      </c>
      <c r="J285" s="970">
        <v>523545</v>
      </c>
      <c r="K285" s="969">
        <v>7721</v>
      </c>
      <c r="L285" s="971">
        <f t="shared" si="8"/>
        <v>1632548</v>
      </c>
      <c r="M285" s="969"/>
      <c r="N285" s="970">
        <v>103771</v>
      </c>
      <c r="O285" s="970">
        <v>0</v>
      </c>
      <c r="P285" s="969">
        <v>147858</v>
      </c>
      <c r="Q285" s="971">
        <f t="shared" si="9"/>
        <v>251629</v>
      </c>
      <c r="R285" s="969"/>
      <c r="S285" s="970">
        <v>1235420</v>
      </c>
      <c r="T285" s="972">
        <v>-41276</v>
      </c>
      <c r="U285" s="972">
        <v>1194144</v>
      </c>
    </row>
    <row r="286" spans="1:21" x14ac:dyDescent="0.25">
      <c r="A286" s="966">
        <v>92941</v>
      </c>
      <c r="B286" s="967" t="s">
        <v>1426</v>
      </c>
      <c r="C286" s="968">
        <v>1.2300000000000001E-5</v>
      </c>
      <c r="D286" s="968">
        <v>1.84E-5</v>
      </c>
      <c r="E286" s="985">
        <v>8547</v>
      </c>
      <c r="F286" s="969">
        <v>18791</v>
      </c>
      <c r="G286" s="969"/>
      <c r="H286" s="970">
        <v>1083</v>
      </c>
      <c r="I286" s="971">
        <v>4563</v>
      </c>
      <c r="J286" s="970">
        <v>2684</v>
      </c>
      <c r="K286" s="969">
        <v>6612</v>
      </c>
      <c r="L286" s="971">
        <f t="shared" si="8"/>
        <v>14942</v>
      </c>
      <c r="M286" s="969"/>
      <c r="N286" s="970">
        <v>532</v>
      </c>
      <c r="O286" s="970">
        <v>0</v>
      </c>
      <c r="P286" s="969">
        <v>1770</v>
      </c>
      <c r="Q286" s="971">
        <f t="shared" si="9"/>
        <v>2302</v>
      </c>
      <c r="R286" s="969"/>
      <c r="S286" s="970">
        <v>6333</v>
      </c>
      <c r="T286" s="972">
        <v>3162</v>
      </c>
      <c r="U286" s="972">
        <v>9495</v>
      </c>
    </row>
    <row r="287" spans="1:21" x14ac:dyDescent="0.25">
      <c r="A287" s="966">
        <v>93001</v>
      </c>
      <c r="B287" s="967" t="s">
        <v>2904</v>
      </c>
      <c r="C287" s="968">
        <v>2.2227000000000002E-3</v>
      </c>
      <c r="D287" s="968">
        <v>2.2739000000000001E-3</v>
      </c>
      <c r="E287" s="985">
        <v>981066</v>
      </c>
      <c r="F287" s="969">
        <v>3395670</v>
      </c>
      <c r="G287" s="969"/>
      <c r="H287" s="970">
        <v>195622</v>
      </c>
      <c r="I287" s="971">
        <v>824473</v>
      </c>
      <c r="J287" s="970">
        <v>484949</v>
      </c>
      <c r="K287" s="969">
        <v>8733</v>
      </c>
      <c r="L287" s="971">
        <f t="shared" si="8"/>
        <v>1513777</v>
      </c>
      <c r="M287" s="969"/>
      <c r="N287" s="970">
        <v>96121</v>
      </c>
      <c r="O287" s="970">
        <v>0</v>
      </c>
      <c r="P287" s="969">
        <v>123729</v>
      </c>
      <c r="Q287" s="971">
        <f t="shared" si="9"/>
        <v>219850</v>
      </c>
      <c r="R287" s="969"/>
      <c r="S287" s="970">
        <v>1144344</v>
      </c>
      <c r="T287" s="972">
        <v>-57358</v>
      </c>
      <c r="U287" s="972">
        <v>1086986</v>
      </c>
    </row>
    <row r="288" spans="1:21" x14ac:dyDescent="0.25">
      <c r="A288" s="966">
        <v>93009</v>
      </c>
      <c r="B288" s="967" t="s">
        <v>2905</v>
      </c>
      <c r="C288" s="968">
        <v>1.47E-5</v>
      </c>
      <c r="D288" s="968">
        <v>1.5400000000000002E-5</v>
      </c>
      <c r="E288" s="985">
        <v>5348</v>
      </c>
      <c r="F288" s="969">
        <v>22458</v>
      </c>
      <c r="G288" s="969"/>
      <c r="H288" s="970">
        <v>1294</v>
      </c>
      <c r="I288" s="971">
        <v>5453</v>
      </c>
      <c r="J288" s="970">
        <v>3207</v>
      </c>
      <c r="K288" s="969">
        <v>0</v>
      </c>
      <c r="L288" s="971">
        <f t="shared" si="8"/>
        <v>9954</v>
      </c>
      <c r="M288" s="969"/>
      <c r="N288" s="970">
        <v>636</v>
      </c>
      <c r="O288" s="970">
        <v>0</v>
      </c>
      <c r="P288" s="969">
        <v>4280</v>
      </c>
      <c r="Q288" s="971">
        <f t="shared" si="9"/>
        <v>4916</v>
      </c>
      <c r="R288" s="969"/>
      <c r="S288" s="970">
        <v>7568</v>
      </c>
      <c r="T288" s="972">
        <v>-1918</v>
      </c>
      <c r="U288" s="972">
        <v>5650</v>
      </c>
    </row>
    <row r="289" spans="1:21" x14ac:dyDescent="0.25">
      <c r="A289" s="966">
        <v>93011</v>
      </c>
      <c r="B289" s="967" t="s">
        <v>2906</v>
      </c>
      <c r="C289" s="968">
        <v>2.2699999999999999E-4</v>
      </c>
      <c r="D289" s="968">
        <v>2.6160000000000002E-4</v>
      </c>
      <c r="E289" s="985">
        <v>118523</v>
      </c>
      <c r="F289" s="969">
        <v>346793</v>
      </c>
      <c r="G289" s="969"/>
      <c r="H289" s="970">
        <v>19978</v>
      </c>
      <c r="I289" s="971">
        <v>84202</v>
      </c>
      <c r="J289" s="970">
        <v>49527</v>
      </c>
      <c r="K289" s="969">
        <v>1542</v>
      </c>
      <c r="L289" s="971">
        <f t="shared" si="8"/>
        <v>155249</v>
      </c>
      <c r="M289" s="969"/>
      <c r="N289" s="970">
        <v>9817</v>
      </c>
      <c r="O289" s="970">
        <v>0</v>
      </c>
      <c r="P289" s="969">
        <v>15019</v>
      </c>
      <c r="Q289" s="971">
        <f t="shared" si="9"/>
        <v>24836</v>
      </c>
      <c r="R289" s="969"/>
      <c r="S289" s="970">
        <v>116870</v>
      </c>
      <c r="T289" s="972">
        <v>-3863</v>
      </c>
      <c r="U289" s="972">
        <v>113007</v>
      </c>
    </row>
    <row r="290" spans="1:21" x14ac:dyDescent="0.25">
      <c r="A290" s="966">
        <v>93021</v>
      </c>
      <c r="B290" s="967" t="s">
        <v>2907</v>
      </c>
      <c r="C290" s="968">
        <v>3.4199999999999998E-5</v>
      </c>
      <c r="D290" s="968">
        <v>2.8900000000000001E-5</v>
      </c>
      <c r="E290" s="985">
        <v>12994</v>
      </c>
      <c r="F290" s="969">
        <v>52248</v>
      </c>
      <c r="G290" s="969"/>
      <c r="H290" s="970">
        <v>3010</v>
      </c>
      <c r="I290" s="971">
        <v>12686</v>
      </c>
      <c r="J290" s="970">
        <v>7462</v>
      </c>
      <c r="K290" s="969">
        <v>3788</v>
      </c>
      <c r="L290" s="971">
        <f t="shared" si="8"/>
        <v>26946</v>
      </c>
      <c r="M290" s="969"/>
      <c r="N290" s="970">
        <v>1479</v>
      </c>
      <c r="O290" s="970">
        <v>0</v>
      </c>
      <c r="P290" s="969">
        <v>4978</v>
      </c>
      <c r="Q290" s="971">
        <f t="shared" si="9"/>
        <v>6457</v>
      </c>
      <c r="R290" s="969"/>
      <c r="S290" s="970">
        <v>17608</v>
      </c>
      <c r="T290" s="972">
        <v>260</v>
      </c>
      <c r="U290" s="972">
        <v>17868</v>
      </c>
    </row>
    <row r="291" spans="1:21" x14ac:dyDescent="0.25">
      <c r="A291" s="966">
        <v>93027</v>
      </c>
      <c r="B291" s="967" t="s">
        <v>2908</v>
      </c>
      <c r="C291" s="968">
        <v>1.6699999999999999E-5</v>
      </c>
      <c r="D291" s="968">
        <v>1.6699999999999999E-5</v>
      </c>
      <c r="E291" s="985">
        <v>8270</v>
      </c>
      <c r="F291" s="969">
        <v>25513</v>
      </c>
      <c r="G291" s="969"/>
      <c r="H291" s="970">
        <v>1470</v>
      </c>
      <c r="I291" s="971">
        <v>6194</v>
      </c>
      <c r="J291" s="970">
        <v>3644</v>
      </c>
      <c r="K291" s="969">
        <v>1152</v>
      </c>
      <c r="L291" s="971">
        <f t="shared" si="8"/>
        <v>12460</v>
      </c>
      <c r="M291" s="969"/>
      <c r="N291" s="970">
        <v>722</v>
      </c>
      <c r="O291" s="970">
        <v>0</v>
      </c>
      <c r="P291" s="969">
        <v>834</v>
      </c>
      <c r="Q291" s="971">
        <f t="shared" si="9"/>
        <v>1556</v>
      </c>
      <c r="R291" s="969"/>
      <c r="S291" s="970">
        <v>8598</v>
      </c>
      <c r="T291" s="972">
        <v>-308</v>
      </c>
      <c r="U291" s="972">
        <v>8290</v>
      </c>
    </row>
    <row r="292" spans="1:21" x14ac:dyDescent="0.25">
      <c r="A292" s="966">
        <v>93031</v>
      </c>
      <c r="B292" s="967" t="s">
        <v>2909</v>
      </c>
      <c r="C292" s="968">
        <v>2.1699999999999999E-5</v>
      </c>
      <c r="D292" s="968">
        <v>2.2399999999999999E-5</v>
      </c>
      <c r="E292" s="985">
        <v>20397</v>
      </c>
      <c r="F292" s="969">
        <v>33152</v>
      </c>
      <c r="G292" s="969"/>
      <c r="H292" s="970">
        <v>1910</v>
      </c>
      <c r="I292" s="971">
        <v>8050</v>
      </c>
      <c r="J292" s="970">
        <v>4735</v>
      </c>
      <c r="K292" s="969">
        <v>18910</v>
      </c>
      <c r="L292" s="971">
        <f t="shared" si="8"/>
        <v>33605</v>
      </c>
      <c r="M292" s="969"/>
      <c r="N292" s="970">
        <v>938</v>
      </c>
      <c r="O292" s="970">
        <v>0</v>
      </c>
      <c r="P292" s="969">
        <v>221</v>
      </c>
      <c r="Q292" s="971">
        <f t="shared" si="9"/>
        <v>1159</v>
      </c>
      <c r="R292" s="969"/>
      <c r="S292" s="970">
        <v>11172</v>
      </c>
      <c r="T292" s="972">
        <v>5880</v>
      </c>
      <c r="U292" s="972">
        <v>17052</v>
      </c>
    </row>
    <row r="293" spans="1:21" x14ac:dyDescent="0.25">
      <c r="A293" s="966">
        <v>93101</v>
      </c>
      <c r="B293" s="967" t="s">
        <v>2910</v>
      </c>
      <c r="C293" s="968">
        <v>3.5159000000000002E-3</v>
      </c>
      <c r="D293" s="968">
        <v>3.5771000000000002E-3</v>
      </c>
      <c r="E293" s="985">
        <v>1521217</v>
      </c>
      <c r="F293" s="969">
        <v>5371321</v>
      </c>
      <c r="G293" s="969"/>
      <c r="H293" s="970">
        <v>309438</v>
      </c>
      <c r="I293" s="971">
        <v>1304163</v>
      </c>
      <c r="J293" s="970">
        <v>767099</v>
      </c>
      <c r="K293" s="969">
        <v>104257</v>
      </c>
      <c r="L293" s="971">
        <f t="shared" si="8"/>
        <v>2484957</v>
      </c>
      <c r="M293" s="969"/>
      <c r="N293" s="970">
        <v>152045</v>
      </c>
      <c r="O293" s="970">
        <v>0</v>
      </c>
      <c r="P293" s="969">
        <v>115334</v>
      </c>
      <c r="Q293" s="971">
        <f t="shared" si="9"/>
        <v>267379</v>
      </c>
      <c r="R293" s="969"/>
      <c r="S293" s="970">
        <v>1810140</v>
      </c>
      <c r="T293" s="972">
        <v>39451</v>
      </c>
      <c r="U293" s="972">
        <v>1849591</v>
      </c>
    </row>
    <row r="294" spans="1:21" x14ac:dyDescent="0.25">
      <c r="A294" s="966">
        <v>93103</v>
      </c>
      <c r="B294" s="967" t="s">
        <v>2103</v>
      </c>
      <c r="C294" s="968">
        <v>1.7099999999999999E-5</v>
      </c>
      <c r="D294" s="968">
        <v>1.7200000000000001E-5</v>
      </c>
      <c r="E294" s="985">
        <v>5686</v>
      </c>
      <c r="F294" s="969">
        <v>26124</v>
      </c>
      <c r="G294" s="969"/>
      <c r="H294" s="970">
        <v>1505</v>
      </c>
      <c r="I294" s="971">
        <v>6343</v>
      </c>
      <c r="J294" s="970">
        <v>3731</v>
      </c>
      <c r="K294" s="969">
        <v>6718</v>
      </c>
      <c r="L294" s="971">
        <f t="shared" si="8"/>
        <v>18297</v>
      </c>
      <c r="M294" s="969"/>
      <c r="N294" s="970">
        <v>739</v>
      </c>
      <c r="O294" s="970">
        <v>0</v>
      </c>
      <c r="P294" s="969">
        <v>1798</v>
      </c>
      <c r="Q294" s="971">
        <f t="shared" si="9"/>
        <v>2537</v>
      </c>
      <c r="R294" s="969"/>
      <c r="S294" s="970">
        <v>8804</v>
      </c>
      <c r="T294" s="972">
        <v>2085</v>
      </c>
      <c r="U294" s="972">
        <v>10889</v>
      </c>
    </row>
    <row r="295" spans="1:21" x14ac:dyDescent="0.25">
      <c r="A295" s="966">
        <v>93108</v>
      </c>
      <c r="B295" s="967" t="s">
        <v>2911</v>
      </c>
      <c r="C295" s="968">
        <v>2.6624999999999999E-3</v>
      </c>
      <c r="D295" s="968">
        <v>2.5661999999999998E-3</v>
      </c>
      <c r="E295" s="985">
        <v>1189197</v>
      </c>
      <c r="F295" s="969">
        <v>4067562</v>
      </c>
      <c r="G295" s="969"/>
      <c r="H295" s="970">
        <v>234329</v>
      </c>
      <c r="I295" s="971">
        <v>987609</v>
      </c>
      <c r="J295" s="970">
        <v>580904</v>
      </c>
      <c r="K295" s="969">
        <v>274861</v>
      </c>
      <c r="L295" s="971">
        <f t="shared" si="8"/>
        <v>2077703</v>
      </c>
      <c r="M295" s="969"/>
      <c r="N295" s="970">
        <v>115140</v>
      </c>
      <c r="O295" s="970">
        <v>0</v>
      </c>
      <c r="P295" s="969">
        <v>0</v>
      </c>
      <c r="Q295" s="971">
        <f t="shared" si="9"/>
        <v>115140</v>
      </c>
      <c r="R295" s="969"/>
      <c r="S295" s="970">
        <v>1370772</v>
      </c>
      <c r="T295" s="972">
        <v>189775</v>
      </c>
      <c r="U295" s="972">
        <v>1560547</v>
      </c>
    </row>
    <row r="296" spans="1:21" x14ac:dyDescent="0.25">
      <c r="A296" s="966">
        <v>93111</v>
      </c>
      <c r="B296" s="967" t="s">
        <v>2912</v>
      </c>
      <c r="C296" s="968">
        <v>5.8499999999999999E-5</v>
      </c>
      <c r="D296" s="968">
        <v>7.08E-5</v>
      </c>
      <c r="E296" s="985">
        <v>27143</v>
      </c>
      <c r="F296" s="969">
        <v>89372</v>
      </c>
      <c r="G296" s="969"/>
      <c r="H296" s="970">
        <v>5149</v>
      </c>
      <c r="I296" s="971">
        <v>21700</v>
      </c>
      <c r="J296" s="970">
        <v>12764</v>
      </c>
      <c r="K296" s="969">
        <v>0</v>
      </c>
      <c r="L296" s="971">
        <f t="shared" si="8"/>
        <v>39613</v>
      </c>
      <c r="M296" s="969"/>
      <c r="N296" s="970">
        <v>2530</v>
      </c>
      <c r="O296" s="970">
        <v>0</v>
      </c>
      <c r="P296" s="969">
        <v>15463</v>
      </c>
      <c r="Q296" s="971">
        <f t="shared" si="9"/>
        <v>17993</v>
      </c>
      <c r="R296" s="969"/>
      <c r="S296" s="970">
        <v>30118</v>
      </c>
      <c r="T296" s="972">
        <v>-5541</v>
      </c>
      <c r="U296" s="972">
        <f>24578-1</f>
        <v>24577</v>
      </c>
    </row>
    <row r="297" spans="1:21" x14ac:dyDescent="0.25">
      <c r="A297" s="966">
        <v>93121</v>
      </c>
      <c r="B297" s="967" t="s">
        <v>2913</v>
      </c>
      <c r="C297" s="968">
        <v>6.2299999999999996E-5</v>
      </c>
      <c r="D297" s="968">
        <v>5.8900000000000002E-5</v>
      </c>
      <c r="E297" s="985">
        <v>28306</v>
      </c>
      <c r="F297" s="969">
        <v>95177</v>
      </c>
      <c r="G297" s="969"/>
      <c r="H297" s="970">
        <v>5483</v>
      </c>
      <c r="I297" s="971">
        <v>23109</v>
      </c>
      <c r="J297" s="970">
        <v>13593</v>
      </c>
      <c r="K297" s="969">
        <v>2043</v>
      </c>
      <c r="L297" s="971">
        <f t="shared" si="8"/>
        <v>44228</v>
      </c>
      <c r="M297" s="969"/>
      <c r="N297" s="970">
        <v>2694</v>
      </c>
      <c r="O297" s="970">
        <v>0</v>
      </c>
      <c r="P297" s="969">
        <v>9059</v>
      </c>
      <c r="Q297" s="971">
        <f t="shared" si="9"/>
        <v>11753</v>
      </c>
      <c r="R297" s="969"/>
      <c r="S297" s="970">
        <v>32075</v>
      </c>
      <c r="T297" s="972">
        <v>-3552</v>
      </c>
      <c r="U297" s="972">
        <f>28522+1</f>
        <v>28523</v>
      </c>
    </row>
    <row r="298" spans="1:21" x14ac:dyDescent="0.25">
      <c r="A298" s="966">
        <v>93127</v>
      </c>
      <c r="B298" s="967" t="s">
        <v>2914</v>
      </c>
      <c r="C298" s="968">
        <v>6.9E-6</v>
      </c>
      <c r="D298" s="968">
        <v>6.8000000000000001E-6</v>
      </c>
      <c r="E298" s="985">
        <v>3239</v>
      </c>
      <c r="F298" s="969">
        <v>10541</v>
      </c>
      <c r="G298" s="969"/>
      <c r="H298" s="970">
        <v>607</v>
      </c>
      <c r="I298" s="971">
        <v>2560</v>
      </c>
      <c r="J298" s="970">
        <v>1505</v>
      </c>
      <c r="K298" s="969">
        <v>124</v>
      </c>
      <c r="L298" s="971">
        <f t="shared" si="8"/>
        <v>4796</v>
      </c>
      <c r="M298" s="969"/>
      <c r="N298" s="970">
        <v>298</v>
      </c>
      <c r="O298" s="970">
        <v>0</v>
      </c>
      <c r="P298" s="969">
        <v>731</v>
      </c>
      <c r="Q298" s="971">
        <f t="shared" si="9"/>
        <v>1029</v>
      </c>
      <c r="R298" s="969"/>
      <c r="S298" s="970">
        <v>3552</v>
      </c>
      <c r="T298" s="972">
        <v>-369</v>
      </c>
      <c r="U298" s="972">
        <v>3183</v>
      </c>
    </row>
    <row r="299" spans="1:21" x14ac:dyDescent="0.25">
      <c r="A299" s="966">
        <v>93131</v>
      </c>
      <c r="B299" s="967" t="s">
        <v>2915</v>
      </c>
      <c r="C299" s="968">
        <v>2.218E-4</v>
      </c>
      <c r="D299" s="968">
        <v>2.3939999999999999E-4</v>
      </c>
      <c r="E299" s="985">
        <v>95091</v>
      </c>
      <c r="F299" s="969">
        <v>338849</v>
      </c>
      <c r="G299" s="969"/>
      <c r="H299" s="970">
        <v>19521</v>
      </c>
      <c r="I299" s="971">
        <v>82273</v>
      </c>
      <c r="J299" s="970">
        <v>48392</v>
      </c>
      <c r="K299" s="969">
        <v>7888</v>
      </c>
      <c r="L299" s="971">
        <f t="shared" si="8"/>
        <v>158074</v>
      </c>
      <c r="M299" s="969"/>
      <c r="N299" s="970">
        <v>9592</v>
      </c>
      <c r="O299" s="970">
        <v>0</v>
      </c>
      <c r="P299" s="969">
        <v>21906</v>
      </c>
      <c r="Q299" s="971">
        <f t="shared" si="9"/>
        <v>31498</v>
      </c>
      <c r="R299" s="969"/>
      <c r="S299" s="970">
        <v>114192</v>
      </c>
      <c r="T299" s="972">
        <v>-530</v>
      </c>
      <c r="U299" s="972">
        <v>113662</v>
      </c>
    </row>
    <row r="300" spans="1:21" x14ac:dyDescent="0.25">
      <c r="A300" s="966">
        <v>93137</v>
      </c>
      <c r="B300" s="967" t="s">
        <v>2916</v>
      </c>
      <c r="C300" s="968">
        <v>3.3000000000000002E-6</v>
      </c>
      <c r="D300" s="968">
        <v>1.9E-6</v>
      </c>
      <c r="E300" s="985">
        <v>2530</v>
      </c>
      <c r="F300" s="969">
        <v>5041</v>
      </c>
      <c r="G300" s="969"/>
      <c r="H300" s="970">
        <v>290</v>
      </c>
      <c r="I300" s="971">
        <v>1224</v>
      </c>
      <c r="J300" s="970">
        <v>720</v>
      </c>
      <c r="K300" s="969">
        <v>2709</v>
      </c>
      <c r="L300" s="971">
        <f t="shared" si="8"/>
        <v>4943</v>
      </c>
      <c r="M300" s="969"/>
      <c r="N300" s="970">
        <v>143</v>
      </c>
      <c r="O300" s="970">
        <v>0</v>
      </c>
      <c r="P300" s="969">
        <v>0</v>
      </c>
      <c r="Q300" s="971">
        <f t="shared" si="9"/>
        <v>143</v>
      </c>
      <c r="R300" s="969"/>
      <c r="S300" s="970">
        <v>1699</v>
      </c>
      <c r="T300" s="972">
        <v>839</v>
      </c>
      <c r="U300" s="972">
        <v>2538</v>
      </c>
    </row>
    <row r="301" spans="1:21" x14ac:dyDescent="0.25">
      <c r="A301" s="966">
        <v>93141</v>
      </c>
      <c r="B301" s="967" t="s">
        <v>2917</v>
      </c>
      <c r="C301" s="968">
        <v>4.1100000000000003E-5</v>
      </c>
      <c r="D301" s="968">
        <v>4.5500000000000001E-5</v>
      </c>
      <c r="E301" s="985">
        <v>16199</v>
      </c>
      <c r="F301" s="969">
        <v>62789</v>
      </c>
      <c r="G301" s="969"/>
      <c r="H301" s="970">
        <v>3617</v>
      </c>
      <c r="I301" s="971">
        <v>15246</v>
      </c>
      <c r="J301" s="970">
        <v>8967</v>
      </c>
      <c r="K301" s="969">
        <v>2083</v>
      </c>
      <c r="L301" s="971">
        <f t="shared" si="8"/>
        <v>29913</v>
      </c>
      <c r="M301" s="969"/>
      <c r="N301" s="970">
        <v>1777</v>
      </c>
      <c r="O301" s="970">
        <v>0</v>
      </c>
      <c r="P301" s="969">
        <v>7408</v>
      </c>
      <c r="Q301" s="971">
        <f t="shared" si="9"/>
        <v>9185</v>
      </c>
      <c r="R301" s="969"/>
      <c r="S301" s="970">
        <v>21160</v>
      </c>
      <c r="T301" s="972">
        <v>-351</v>
      </c>
      <c r="U301" s="972">
        <v>20809</v>
      </c>
    </row>
    <row r="302" spans="1:21" x14ac:dyDescent="0.25">
      <c r="A302" s="966">
        <v>93151</v>
      </c>
      <c r="B302" s="967" t="s">
        <v>2918</v>
      </c>
      <c r="C302" s="968">
        <v>3.4279999999999998E-4</v>
      </c>
      <c r="D302" s="968">
        <v>3.6539999999999999E-4</v>
      </c>
      <c r="E302" s="985">
        <v>156182</v>
      </c>
      <c r="F302" s="969">
        <v>523703</v>
      </c>
      <c r="G302" s="969"/>
      <c r="H302" s="970">
        <v>30170</v>
      </c>
      <c r="I302" s="971">
        <v>127156</v>
      </c>
      <c r="J302" s="970">
        <v>74792</v>
      </c>
      <c r="K302" s="969">
        <v>3795</v>
      </c>
      <c r="L302" s="971">
        <f t="shared" si="8"/>
        <v>235913</v>
      </c>
      <c r="M302" s="969"/>
      <c r="N302" s="970">
        <v>14824</v>
      </c>
      <c r="O302" s="970">
        <v>0</v>
      </c>
      <c r="P302" s="969">
        <v>19989</v>
      </c>
      <c r="Q302" s="971">
        <f t="shared" si="9"/>
        <v>34813</v>
      </c>
      <c r="R302" s="969"/>
      <c r="S302" s="970">
        <v>176489</v>
      </c>
      <c r="T302" s="972">
        <v>-4355</v>
      </c>
      <c r="U302" s="972">
        <f>172133+1</f>
        <v>172134</v>
      </c>
    </row>
    <row r="303" spans="1:21" x14ac:dyDescent="0.25">
      <c r="A303" s="966">
        <v>93157</v>
      </c>
      <c r="B303" s="967" t="s">
        <v>2919</v>
      </c>
      <c r="C303" s="968">
        <v>3.5999999999999998E-6</v>
      </c>
      <c r="D303" s="968">
        <v>3.8E-6</v>
      </c>
      <c r="E303" s="985">
        <v>6045</v>
      </c>
      <c r="F303" s="969">
        <v>5500</v>
      </c>
      <c r="G303" s="969"/>
      <c r="H303" s="970">
        <v>317</v>
      </c>
      <c r="I303" s="971">
        <v>1336</v>
      </c>
      <c r="J303" s="970">
        <v>785</v>
      </c>
      <c r="K303" s="969">
        <v>6931</v>
      </c>
      <c r="L303" s="971">
        <f t="shared" si="8"/>
        <v>9369</v>
      </c>
      <c r="M303" s="969"/>
      <c r="N303" s="970">
        <v>156</v>
      </c>
      <c r="O303" s="970">
        <v>0</v>
      </c>
      <c r="P303" s="969">
        <v>340</v>
      </c>
      <c r="Q303" s="971">
        <f t="shared" si="9"/>
        <v>496</v>
      </c>
      <c r="R303" s="969"/>
      <c r="S303" s="970">
        <v>1853</v>
      </c>
      <c r="T303" s="972">
        <v>2783</v>
      </c>
      <c r="U303" s="972">
        <f>4637-1</f>
        <v>4636</v>
      </c>
    </row>
    <row r="304" spans="1:21" x14ac:dyDescent="0.25">
      <c r="A304" s="966">
        <v>93161</v>
      </c>
      <c r="B304" s="967" t="s">
        <v>2920</v>
      </c>
      <c r="C304" s="968">
        <v>1.038E-4</v>
      </c>
      <c r="D304" s="968">
        <v>6.2500000000000001E-5</v>
      </c>
      <c r="E304" s="985">
        <v>47956</v>
      </c>
      <c r="F304" s="969">
        <v>158578</v>
      </c>
      <c r="G304" s="969"/>
      <c r="H304" s="970">
        <v>9136</v>
      </c>
      <c r="I304" s="971">
        <v>38503</v>
      </c>
      <c r="J304" s="970">
        <v>22647</v>
      </c>
      <c r="K304" s="969">
        <v>35990</v>
      </c>
      <c r="L304" s="971">
        <f t="shared" si="8"/>
        <v>106276</v>
      </c>
      <c r="M304" s="969"/>
      <c r="N304" s="970">
        <v>4489</v>
      </c>
      <c r="O304" s="970">
        <v>0</v>
      </c>
      <c r="P304" s="969">
        <v>0</v>
      </c>
      <c r="Q304" s="971">
        <f t="shared" si="9"/>
        <v>4489</v>
      </c>
      <c r="R304" s="969"/>
      <c r="S304" s="970">
        <v>53441</v>
      </c>
      <c r="T304" s="972">
        <v>13001</v>
      </c>
      <c r="U304" s="972">
        <v>66442</v>
      </c>
    </row>
    <row r="305" spans="1:21" x14ac:dyDescent="0.25">
      <c r="A305" s="966">
        <v>93171</v>
      </c>
      <c r="B305" s="967" t="s">
        <v>2921</v>
      </c>
      <c r="C305" s="968">
        <v>5.2000000000000002E-6</v>
      </c>
      <c r="D305" s="968">
        <v>5.8000000000000004E-6</v>
      </c>
      <c r="E305" s="985">
        <v>3889</v>
      </c>
      <c r="F305" s="969">
        <v>7944</v>
      </c>
      <c r="G305" s="969"/>
      <c r="H305" s="970">
        <v>458</v>
      </c>
      <c r="I305" s="971">
        <v>1929</v>
      </c>
      <c r="J305" s="970">
        <v>1135</v>
      </c>
      <c r="K305" s="969">
        <v>1960</v>
      </c>
      <c r="L305" s="971">
        <f t="shared" si="8"/>
        <v>5482</v>
      </c>
      <c r="M305" s="969"/>
      <c r="N305" s="970">
        <v>225</v>
      </c>
      <c r="O305" s="970">
        <v>0</v>
      </c>
      <c r="P305" s="969">
        <v>0</v>
      </c>
      <c r="Q305" s="971">
        <f t="shared" si="9"/>
        <v>225</v>
      </c>
      <c r="R305" s="969"/>
      <c r="S305" s="970">
        <v>2677</v>
      </c>
      <c r="T305" s="972">
        <v>791</v>
      </c>
      <c r="U305" s="972">
        <v>3468</v>
      </c>
    </row>
    <row r="306" spans="1:21" x14ac:dyDescent="0.25">
      <c r="A306" s="966">
        <v>93181</v>
      </c>
      <c r="B306" s="967" t="s">
        <v>2922</v>
      </c>
      <c r="C306" s="968">
        <v>1.13E-5</v>
      </c>
      <c r="D306" s="968">
        <v>1.1E-5</v>
      </c>
      <c r="E306" s="985">
        <v>5393</v>
      </c>
      <c r="F306" s="969">
        <v>17263</v>
      </c>
      <c r="G306" s="969"/>
      <c r="H306" s="970">
        <v>995</v>
      </c>
      <c r="I306" s="971">
        <v>4191</v>
      </c>
      <c r="J306" s="970">
        <v>2465</v>
      </c>
      <c r="K306" s="969">
        <v>772</v>
      </c>
      <c r="L306" s="971">
        <f t="shared" si="8"/>
        <v>8423</v>
      </c>
      <c r="M306" s="969"/>
      <c r="N306" s="970">
        <v>489</v>
      </c>
      <c r="O306" s="970">
        <v>0</v>
      </c>
      <c r="P306" s="969">
        <v>28</v>
      </c>
      <c r="Q306" s="971">
        <f t="shared" si="9"/>
        <v>517</v>
      </c>
      <c r="R306" s="969"/>
      <c r="S306" s="970">
        <v>5818</v>
      </c>
      <c r="T306" s="972">
        <v>412</v>
      </c>
      <c r="U306" s="972">
        <v>6230</v>
      </c>
    </row>
    <row r="307" spans="1:21" x14ac:dyDescent="0.25">
      <c r="A307" s="966">
        <v>93191</v>
      </c>
      <c r="B307" s="967" t="s">
        <v>2923</v>
      </c>
      <c r="C307" s="968">
        <v>2.4600000000000002E-5</v>
      </c>
      <c r="D307" s="968">
        <v>3.3000000000000003E-5</v>
      </c>
      <c r="E307" s="985">
        <v>16089</v>
      </c>
      <c r="F307" s="969">
        <v>37582</v>
      </c>
      <c r="G307" s="969"/>
      <c r="H307" s="970">
        <v>2165</v>
      </c>
      <c r="I307" s="971">
        <v>9125</v>
      </c>
      <c r="J307" s="970">
        <v>5367</v>
      </c>
      <c r="K307" s="969">
        <v>1713</v>
      </c>
      <c r="L307" s="971">
        <f t="shared" si="8"/>
        <v>18370</v>
      </c>
      <c r="M307" s="969"/>
      <c r="N307" s="970">
        <v>1064</v>
      </c>
      <c r="O307" s="970">
        <v>0</v>
      </c>
      <c r="P307" s="969">
        <v>2443</v>
      </c>
      <c r="Q307" s="971">
        <f t="shared" si="9"/>
        <v>3507</v>
      </c>
      <c r="R307" s="969"/>
      <c r="S307" s="970">
        <v>12665</v>
      </c>
      <c r="T307" s="972">
        <v>-169</v>
      </c>
      <c r="U307" s="972">
        <v>12496</v>
      </c>
    </row>
    <row r="308" spans="1:21" x14ac:dyDescent="0.25">
      <c r="A308" s="966">
        <v>93201</v>
      </c>
      <c r="B308" s="967" t="s">
        <v>2924</v>
      </c>
      <c r="C308" s="968">
        <v>1.5517E-2</v>
      </c>
      <c r="D308" s="968">
        <v>1.5819699999999999E-2</v>
      </c>
      <c r="E308" s="985">
        <v>7119270</v>
      </c>
      <c r="F308" s="969">
        <v>23705678</v>
      </c>
      <c r="G308" s="969"/>
      <c r="H308" s="970">
        <v>1365667</v>
      </c>
      <c r="I308" s="971">
        <v>5755768</v>
      </c>
      <c r="J308" s="970">
        <v>3385499</v>
      </c>
      <c r="K308" s="969">
        <v>809545</v>
      </c>
      <c r="L308" s="971">
        <f t="shared" si="8"/>
        <v>11316479</v>
      </c>
      <c r="M308" s="969"/>
      <c r="N308" s="970">
        <v>671033</v>
      </c>
      <c r="O308" s="970">
        <v>0</v>
      </c>
      <c r="P308" s="969">
        <v>206420</v>
      </c>
      <c r="Q308" s="971">
        <f t="shared" si="9"/>
        <v>877453</v>
      </c>
      <c r="R308" s="969"/>
      <c r="S308" s="970">
        <v>7988834</v>
      </c>
      <c r="T308" s="972">
        <v>397964</v>
      </c>
      <c r="U308" s="972">
        <f>8386799-1</f>
        <v>8386798</v>
      </c>
    </row>
    <row r="309" spans="1:21" x14ac:dyDescent="0.25">
      <c r="A309" s="966">
        <v>93202</v>
      </c>
      <c r="B309" s="967" t="s">
        <v>2925</v>
      </c>
      <c r="C309" s="968">
        <v>0</v>
      </c>
      <c r="D309" s="968">
        <v>0</v>
      </c>
      <c r="E309" s="985" t="e">
        <v>#N/A</v>
      </c>
      <c r="F309" s="969">
        <v>0</v>
      </c>
      <c r="G309" s="969"/>
      <c r="H309" s="970">
        <v>0</v>
      </c>
      <c r="I309" s="971">
        <v>0</v>
      </c>
      <c r="J309" s="970">
        <v>0</v>
      </c>
      <c r="K309" s="969">
        <v>0</v>
      </c>
      <c r="L309" s="971">
        <f t="shared" si="8"/>
        <v>0</v>
      </c>
      <c r="M309" s="969"/>
      <c r="N309" s="970">
        <v>0</v>
      </c>
      <c r="O309" s="970">
        <v>0</v>
      </c>
      <c r="P309" s="969">
        <v>212519</v>
      </c>
      <c r="Q309" s="971">
        <f t="shared" si="9"/>
        <v>212519</v>
      </c>
      <c r="R309" s="969"/>
      <c r="S309" s="970">
        <v>0</v>
      </c>
      <c r="T309" s="972">
        <v>-109544</v>
      </c>
      <c r="U309" s="972">
        <v>-109544</v>
      </c>
    </row>
    <row r="310" spans="1:21" x14ac:dyDescent="0.25">
      <c r="A310" s="966">
        <v>93204</v>
      </c>
      <c r="B310" s="967" t="s">
        <v>2926</v>
      </c>
      <c r="C310" s="968">
        <v>3.0279999999999999E-4</v>
      </c>
      <c r="D310" s="968">
        <v>2.9480000000000001E-4</v>
      </c>
      <c r="E310" s="985">
        <v>157546</v>
      </c>
      <c r="F310" s="969">
        <v>462595</v>
      </c>
      <c r="G310" s="969"/>
      <c r="H310" s="970">
        <v>26650</v>
      </c>
      <c r="I310" s="971">
        <v>112319</v>
      </c>
      <c r="J310" s="970">
        <v>66065</v>
      </c>
      <c r="K310" s="969">
        <v>24167</v>
      </c>
      <c r="L310" s="971">
        <f t="shared" si="8"/>
        <v>229201</v>
      </c>
      <c r="M310" s="969"/>
      <c r="N310" s="970">
        <v>13095</v>
      </c>
      <c r="O310" s="970">
        <v>0</v>
      </c>
      <c r="P310" s="969">
        <v>9452</v>
      </c>
      <c r="Q310" s="971">
        <f t="shared" si="9"/>
        <v>22547</v>
      </c>
      <c r="R310" s="969"/>
      <c r="S310" s="970">
        <v>155895</v>
      </c>
      <c r="T310" s="972">
        <v>782</v>
      </c>
      <c r="U310" s="972">
        <v>156677</v>
      </c>
    </row>
    <row r="311" spans="1:21" x14ac:dyDescent="0.25">
      <c r="A311" s="966">
        <v>93209</v>
      </c>
      <c r="B311" s="967" t="s">
        <v>2927</v>
      </c>
      <c r="C311" s="968">
        <v>4.6693999999999998E-3</v>
      </c>
      <c r="D311" s="968">
        <v>4.5113999999999996E-3</v>
      </c>
      <c r="E311" s="985">
        <v>2094525</v>
      </c>
      <c r="F311" s="969">
        <v>7133550</v>
      </c>
      <c r="G311" s="969"/>
      <c r="H311" s="970">
        <v>410959</v>
      </c>
      <c r="I311" s="971">
        <v>1732035</v>
      </c>
      <c r="J311" s="970">
        <v>1018770</v>
      </c>
      <c r="K311" s="969">
        <v>838336</v>
      </c>
      <c r="L311" s="971">
        <f t="shared" si="8"/>
        <v>4000100</v>
      </c>
      <c r="M311" s="969"/>
      <c r="N311" s="970">
        <v>201928</v>
      </c>
      <c r="O311" s="970">
        <v>0</v>
      </c>
      <c r="P311" s="969">
        <v>0</v>
      </c>
      <c r="Q311" s="971">
        <f t="shared" si="9"/>
        <v>201928</v>
      </c>
      <c r="R311" s="969"/>
      <c r="S311" s="970">
        <v>2404013</v>
      </c>
      <c r="T311" s="972">
        <v>551077</v>
      </c>
      <c r="U311" s="972">
        <v>2955090</v>
      </c>
    </row>
    <row r="312" spans="1:21" x14ac:dyDescent="0.25">
      <c r="A312" s="966">
        <v>93211</v>
      </c>
      <c r="B312" s="967" t="s">
        <v>2928</v>
      </c>
      <c r="C312" s="968">
        <v>2.0374099999999999E-2</v>
      </c>
      <c r="D312" s="968">
        <v>2.0456800000000001E-2</v>
      </c>
      <c r="E312" s="985">
        <v>9330077</v>
      </c>
      <c r="F312" s="969">
        <v>31125981</v>
      </c>
      <c r="G312" s="969"/>
      <c r="H312" s="970">
        <v>1793145</v>
      </c>
      <c r="I312" s="971">
        <v>7557426</v>
      </c>
      <c r="J312" s="970">
        <v>4445221</v>
      </c>
      <c r="K312" s="969">
        <v>0</v>
      </c>
      <c r="L312" s="971">
        <f t="shared" si="8"/>
        <v>13795792</v>
      </c>
      <c r="M312" s="969"/>
      <c r="N312" s="970">
        <v>881078</v>
      </c>
      <c r="O312" s="970">
        <v>0</v>
      </c>
      <c r="P312" s="969">
        <v>991023</v>
      </c>
      <c r="Q312" s="971">
        <f t="shared" si="9"/>
        <v>1872101</v>
      </c>
      <c r="R312" s="969"/>
      <c r="S312" s="970">
        <v>10489483</v>
      </c>
      <c r="T312" s="972">
        <v>-507236</v>
      </c>
      <c r="U312" s="972">
        <v>9982247</v>
      </c>
    </row>
    <row r="313" spans="1:21" x14ac:dyDescent="0.25">
      <c r="A313" s="966">
        <v>93212</v>
      </c>
      <c r="B313" s="967" t="s">
        <v>2929</v>
      </c>
      <c r="C313" s="968">
        <v>2.2130000000000001E-4</v>
      </c>
      <c r="D313" s="968">
        <v>2.052E-4</v>
      </c>
      <c r="E313" s="985">
        <v>193584</v>
      </c>
      <c r="F313" s="969">
        <v>338085</v>
      </c>
      <c r="G313" s="969"/>
      <c r="H313" s="970">
        <v>19477</v>
      </c>
      <c r="I313" s="971">
        <v>82087</v>
      </c>
      <c r="J313" s="970">
        <v>48283</v>
      </c>
      <c r="K313" s="969">
        <v>158429</v>
      </c>
      <c r="L313" s="971">
        <f t="shared" si="8"/>
        <v>308276</v>
      </c>
      <c r="M313" s="969"/>
      <c r="N313" s="970">
        <v>9570</v>
      </c>
      <c r="O313" s="970">
        <v>0</v>
      </c>
      <c r="P313" s="969">
        <v>0</v>
      </c>
      <c r="Q313" s="971">
        <f t="shared" si="9"/>
        <v>9570</v>
      </c>
      <c r="R313" s="969"/>
      <c r="S313" s="970">
        <v>113935</v>
      </c>
      <c r="T313" s="972">
        <v>53448</v>
      </c>
      <c r="U313" s="972">
        <v>167383</v>
      </c>
    </row>
    <row r="314" spans="1:21" x14ac:dyDescent="0.25">
      <c r="A314" s="966">
        <v>93219</v>
      </c>
      <c r="B314" s="967" t="s">
        <v>2930</v>
      </c>
      <c r="C314" s="968">
        <v>2.6289999999999999E-4</v>
      </c>
      <c r="D314" s="968">
        <v>2.286E-4</v>
      </c>
      <c r="E314" s="985">
        <v>120179</v>
      </c>
      <c r="F314" s="969">
        <v>401638</v>
      </c>
      <c r="G314" s="969"/>
      <c r="H314" s="970">
        <v>23138</v>
      </c>
      <c r="I314" s="971">
        <v>97518</v>
      </c>
      <c r="J314" s="970">
        <v>57360</v>
      </c>
      <c r="K314" s="969">
        <v>22706</v>
      </c>
      <c r="L314" s="971">
        <f t="shared" si="8"/>
        <v>200722</v>
      </c>
      <c r="M314" s="969"/>
      <c r="N314" s="970">
        <v>11369</v>
      </c>
      <c r="O314" s="970">
        <v>0</v>
      </c>
      <c r="P314" s="969">
        <v>9094</v>
      </c>
      <c r="Q314" s="971">
        <f t="shared" si="9"/>
        <v>20463</v>
      </c>
      <c r="R314" s="969"/>
      <c r="S314" s="970">
        <v>135352</v>
      </c>
      <c r="T314" s="972">
        <v>1456</v>
      </c>
      <c r="U314" s="972">
        <f>136809-1</f>
        <v>136808</v>
      </c>
    </row>
    <row r="315" spans="1:21" x14ac:dyDescent="0.25">
      <c r="A315" s="966">
        <v>93301</v>
      </c>
      <c r="B315" s="967" t="s">
        <v>2931</v>
      </c>
      <c r="C315" s="968">
        <v>2.5243000000000002E-3</v>
      </c>
      <c r="D315" s="968">
        <v>2.5330999999999999E-3</v>
      </c>
      <c r="E315" s="985">
        <v>1153746</v>
      </c>
      <c r="F315" s="969">
        <v>3856431</v>
      </c>
      <c r="G315" s="969"/>
      <c r="H315" s="970">
        <v>222166</v>
      </c>
      <c r="I315" s="971">
        <v>936346</v>
      </c>
      <c r="J315" s="970">
        <v>550752</v>
      </c>
      <c r="K315" s="969">
        <v>47371</v>
      </c>
      <c r="L315" s="971">
        <f t="shared" si="8"/>
        <v>1756635</v>
      </c>
      <c r="M315" s="969"/>
      <c r="N315" s="970">
        <v>109163</v>
      </c>
      <c r="O315" s="970">
        <v>0</v>
      </c>
      <c r="P315" s="969">
        <v>61692</v>
      </c>
      <c r="Q315" s="971">
        <f t="shared" si="9"/>
        <v>170855</v>
      </c>
      <c r="R315" s="969"/>
      <c r="S315" s="970">
        <v>1299621</v>
      </c>
      <c r="T315" s="972">
        <v>-19789</v>
      </c>
      <c r="U315" s="972">
        <f>1279831+1</f>
        <v>1279832</v>
      </c>
    </row>
    <row r="316" spans="1:21" x14ac:dyDescent="0.25">
      <c r="A316" s="966">
        <v>93304</v>
      </c>
      <c r="B316" s="967" t="s">
        <v>2932</v>
      </c>
      <c r="C316" s="968">
        <v>3.0300000000000001E-5</v>
      </c>
      <c r="D316" s="968">
        <v>3.4400000000000003E-5</v>
      </c>
      <c r="E316" s="985">
        <v>18289</v>
      </c>
      <c r="F316" s="969">
        <v>46290</v>
      </c>
      <c r="G316" s="969"/>
      <c r="H316" s="970">
        <v>2667</v>
      </c>
      <c r="I316" s="971">
        <v>11239</v>
      </c>
      <c r="J316" s="970">
        <v>6611</v>
      </c>
      <c r="K316" s="969">
        <v>9418</v>
      </c>
      <c r="L316" s="971">
        <f t="shared" si="8"/>
        <v>29935</v>
      </c>
      <c r="M316" s="969"/>
      <c r="N316" s="970">
        <v>1310</v>
      </c>
      <c r="O316" s="970">
        <v>0</v>
      </c>
      <c r="P316" s="969">
        <v>0</v>
      </c>
      <c r="Q316" s="971">
        <f t="shared" si="9"/>
        <v>1310</v>
      </c>
      <c r="R316" s="969"/>
      <c r="S316" s="970">
        <v>15600</v>
      </c>
      <c r="T316" s="972">
        <v>5129</v>
      </c>
      <c r="U316" s="972">
        <v>20729</v>
      </c>
    </row>
    <row r="317" spans="1:21" x14ac:dyDescent="0.25">
      <c r="A317" s="966">
        <v>93305</v>
      </c>
      <c r="B317" s="967" t="s">
        <v>2933</v>
      </c>
      <c r="C317" s="968">
        <v>4.6999999999999997E-5</v>
      </c>
      <c r="D317" s="968">
        <v>4.9400000000000001E-5</v>
      </c>
      <c r="E317" s="985">
        <v>19565</v>
      </c>
      <c r="F317" s="969">
        <v>71803</v>
      </c>
      <c r="G317" s="969"/>
      <c r="H317" s="970">
        <v>4137</v>
      </c>
      <c r="I317" s="971">
        <v>17434</v>
      </c>
      <c r="J317" s="970">
        <v>10254</v>
      </c>
      <c r="K317" s="969">
        <v>0</v>
      </c>
      <c r="L317" s="971">
        <f t="shared" si="8"/>
        <v>31825</v>
      </c>
      <c r="M317" s="969"/>
      <c r="N317" s="970">
        <v>2033</v>
      </c>
      <c r="O317" s="970">
        <v>0</v>
      </c>
      <c r="P317" s="969">
        <v>5631</v>
      </c>
      <c r="Q317" s="971">
        <f t="shared" si="9"/>
        <v>7664</v>
      </c>
      <c r="R317" s="969"/>
      <c r="S317" s="970">
        <v>24198</v>
      </c>
      <c r="T317" s="972">
        <v>-1929</v>
      </c>
      <c r="U317" s="972">
        <v>22269</v>
      </c>
    </row>
    <row r="318" spans="1:21" x14ac:dyDescent="0.25">
      <c r="A318" s="966">
        <v>93309</v>
      </c>
      <c r="B318" s="967" t="s">
        <v>2934</v>
      </c>
      <c r="C318" s="968">
        <v>1.63E-4</v>
      </c>
      <c r="D318" s="968">
        <v>1.716E-4</v>
      </c>
      <c r="E318" s="985">
        <v>89051</v>
      </c>
      <c r="F318" s="969">
        <v>249019</v>
      </c>
      <c r="G318" s="969"/>
      <c r="H318" s="970">
        <v>14346</v>
      </c>
      <c r="I318" s="971">
        <v>60462</v>
      </c>
      <c r="J318" s="970">
        <v>35563</v>
      </c>
      <c r="K318" s="969">
        <v>22457</v>
      </c>
      <c r="L318" s="971">
        <f t="shared" si="8"/>
        <v>132828</v>
      </c>
      <c r="M318" s="969"/>
      <c r="N318" s="970">
        <v>7049</v>
      </c>
      <c r="O318" s="970">
        <v>0</v>
      </c>
      <c r="P318" s="969">
        <v>981</v>
      </c>
      <c r="Q318" s="971">
        <f t="shared" si="9"/>
        <v>8030</v>
      </c>
      <c r="R318" s="969"/>
      <c r="S318" s="970">
        <v>83920</v>
      </c>
      <c r="T318" s="972">
        <v>7147</v>
      </c>
      <c r="U318" s="972">
        <v>91067</v>
      </c>
    </row>
    <row r="319" spans="1:21" x14ac:dyDescent="0.25">
      <c r="A319" s="966">
        <v>93311</v>
      </c>
      <c r="B319" s="967" t="s">
        <v>2935</v>
      </c>
      <c r="C319" s="968">
        <v>1.1665E-3</v>
      </c>
      <c r="D319" s="968">
        <v>1.1567000000000001E-3</v>
      </c>
      <c r="E319" s="985">
        <v>529432</v>
      </c>
      <c r="F319" s="969">
        <v>1782089</v>
      </c>
      <c r="G319" s="969"/>
      <c r="H319" s="970">
        <v>102665</v>
      </c>
      <c r="I319" s="971">
        <v>432693</v>
      </c>
      <c r="J319" s="970">
        <v>254507</v>
      </c>
      <c r="K319" s="969">
        <v>1699</v>
      </c>
      <c r="L319" s="971">
        <f t="shared" si="8"/>
        <v>791564</v>
      </c>
      <c r="M319" s="969"/>
      <c r="N319" s="970">
        <v>50445</v>
      </c>
      <c r="O319" s="970">
        <v>0</v>
      </c>
      <c r="P319" s="969">
        <v>83745</v>
      </c>
      <c r="Q319" s="971">
        <f t="shared" si="9"/>
        <v>134190</v>
      </c>
      <c r="R319" s="969"/>
      <c r="S319" s="970">
        <v>600566</v>
      </c>
      <c r="T319" s="972">
        <v>-37677</v>
      </c>
      <c r="U319" s="972">
        <v>562889</v>
      </c>
    </row>
    <row r="320" spans="1:21" x14ac:dyDescent="0.25">
      <c r="A320" s="966">
        <v>93317</v>
      </c>
      <c r="B320" s="967" t="s">
        <v>2936</v>
      </c>
      <c r="C320" s="968">
        <v>5.0099999999999998E-5</v>
      </c>
      <c r="D320" s="968">
        <v>4.8099999999999997E-5</v>
      </c>
      <c r="E320" s="985">
        <v>21779</v>
      </c>
      <c r="F320" s="969">
        <v>76539</v>
      </c>
      <c r="G320" s="969"/>
      <c r="H320" s="970">
        <v>4409</v>
      </c>
      <c r="I320" s="971">
        <v>18583</v>
      </c>
      <c r="J320" s="970">
        <v>10931</v>
      </c>
      <c r="K320" s="969">
        <v>805</v>
      </c>
      <c r="L320" s="971">
        <f t="shared" si="8"/>
        <v>34728</v>
      </c>
      <c r="M320" s="969"/>
      <c r="N320" s="970">
        <v>2167</v>
      </c>
      <c r="O320" s="970">
        <v>0</v>
      </c>
      <c r="P320" s="969">
        <v>277</v>
      </c>
      <c r="Q320" s="971">
        <f t="shared" si="9"/>
        <v>2444</v>
      </c>
      <c r="R320" s="969"/>
      <c r="S320" s="970">
        <v>25794</v>
      </c>
      <c r="T320" s="972">
        <v>-23</v>
      </c>
      <c r="U320" s="972">
        <f>25770+1</f>
        <v>25771</v>
      </c>
    </row>
    <row r="321" spans="1:21" x14ac:dyDescent="0.25">
      <c r="A321" s="966">
        <v>93321</v>
      </c>
      <c r="B321" s="967" t="s">
        <v>2937</v>
      </c>
      <c r="C321" s="968">
        <v>7.3600000000000002E-3</v>
      </c>
      <c r="D321" s="968">
        <v>7.4706E-3</v>
      </c>
      <c r="E321" s="985">
        <v>3205902</v>
      </c>
      <c r="F321" s="969">
        <v>11244041</v>
      </c>
      <c r="G321" s="969"/>
      <c r="H321" s="970">
        <v>647761</v>
      </c>
      <c r="I321" s="971">
        <v>2730067</v>
      </c>
      <c r="J321" s="970">
        <v>1605805</v>
      </c>
      <c r="K321" s="969">
        <v>0</v>
      </c>
      <c r="L321" s="971">
        <f t="shared" si="8"/>
        <v>4983633</v>
      </c>
      <c r="M321" s="969"/>
      <c r="N321" s="970">
        <v>318283</v>
      </c>
      <c r="O321" s="970">
        <v>0</v>
      </c>
      <c r="P321" s="969">
        <v>681688</v>
      </c>
      <c r="Q321" s="971">
        <f t="shared" si="9"/>
        <v>999971</v>
      </c>
      <c r="R321" s="969"/>
      <c r="S321" s="970">
        <v>3789252</v>
      </c>
      <c r="T321" s="972">
        <v>-330030</v>
      </c>
      <c r="U321" s="972">
        <f>3459221+1</f>
        <v>3459222</v>
      </c>
    </row>
    <row r="322" spans="1:21" x14ac:dyDescent="0.25">
      <c r="A322" s="966">
        <v>93323</v>
      </c>
      <c r="B322" s="967" t="s">
        <v>2938</v>
      </c>
      <c r="C322" s="968">
        <v>2.19E-5</v>
      </c>
      <c r="D322" s="968">
        <v>1.0200000000000001E-5</v>
      </c>
      <c r="E322" s="985">
        <v>8923</v>
      </c>
      <c r="F322" s="969">
        <v>33457</v>
      </c>
      <c r="G322" s="969"/>
      <c r="H322" s="970">
        <v>1927</v>
      </c>
      <c r="I322" s="971">
        <v>8123</v>
      </c>
      <c r="J322" s="970">
        <v>4778</v>
      </c>
      <c r="K322" s="969">
        <v>8607</v>
      </c>
      <c r="L322" s="971">
        <f t="shared" si="8"/>
        <v>23435</v>
      </c>
      <c r="M322" s="969"/>
      <c r="N322" s="970">
        <v>947</v>
      </c>
      <c r="O322" s="970">
        <v>0</v>
      </c>
      <c r="P322" s="969">
        <v>1100</v>
      </c>
      <c r="Q322" s="971">
        <f t="shared" si="9"/>
        <v>2047</v>
      </c>
      <c r="R322" s="969"/>
      <c r="S322" s="970">
        <v>11275</v>
      </c>
      <c r="T322" s="972">
        <v>2519</v>
      </c>
      <c r="U322" s="972">
        <v>13794</v>
      </c>
    </row>
    <row r="323" spans="1:21" x14ac:dyDescent="0.25">
      <c r="A323" s="966">
        <v>93331</v>
      </c>
      <c r="B323" s="967" t="s">
        <v>2939</v>
      </c>
      <c r="C323" s="968">
        <v>1.208E-4</v>
      </c>
      <c r="D323" s="968">
        <v>1.3090000000000001E-4</v>
      </c>
      <c r="E323" s="985">
        <v>56936</v>
      </c>
      <c r="F323" s="969">
        <v>184549</v>
      </c>
      <c r="G323" s="969"/>
      <c r="H323" s="970">
        <v>10632</v>
      </c>
      <c r="I323" s="971">
        <v>44809</v>
      </c>
      <c r="J323" s="970">
        <v>26356</v>
      </c>
      <c r="K323" s="969">
        <v>2512</v>
      </c>
      <c r="L323" s="971">
        <f t="shared" si="8"/>
        <v>84309</v>
      </c>
      <c r="M323" s="969"/>
      <c r="N323" s="970">
        <v>5224</v>
      </c>
      <c r="O323" s="970">
        <v>0</v>
      </c>
      <c r="P323" s="969">
        <v>11531</v>
      </c>
      <c r="Q323" s="971">
        <f t="shared" si="9"/>
        <v>16755</v>
      </c>
      <c r="R323" s="969"/>
      <c r="S323" s="970">
        <v>62193</v>
      </c>
      <c r="T323" s="972">
        <v>-2506</v>
      </c>
      <c r="U323" s="972">
        <v>59687</v>
      </c>
    </row>
    <row r="324" spans="1:21" x14ac:dyDescent="0.25">
      <c r="A324" s="966">
        <v>93333</v>
      </c>
      <c r="B324" s="967" t="s">
        <v>2940</v>
      </c>
      <c r="C324" s="968">
        <v>1.796E-4</v>
      </c>
      <c r="D324" s="968">
        <v>1.9990000000000001E-4</v>
      </c>
      <c r="E324" s="985">
        <v>190543</v>
      </c>
      <c r="F324" s="969">
        <v>274379</v>
      </c>
      <c r="G324" s="969"/>
      <c r="H324" s="970">
        <v>15807</v>
      </c>
      <c r="I324" s="971">
        <v>66619</v>
      </c>
      <c r="J324" s="970">
        <v>39185</v>
      </c>
      <c r="K324" s="969">
        <v>194737</v>
      </c>
      <c r="L324" s="971">
        <f t="shared" si="8"/>
        <v>316348</v>
      </c>
      <c r="M324" s="969"/>
      <c r="N324" s="970">
        <v>7767</v>
      </c>
      <c r="O324" s="970">
        <v>0</v>
      </c>
      <c r="P324" s="969">
        <v>0</v>
      </c>
      <c r="Q324" s="971">
        <f t="shared" si="9"/>
        <v>7767</v>
      </c>
      <c r="R324" s="969"/>
      <c r="S324" s="970">
        <v>92466</v>
      </c>
      <c r="T324" s="972">
        <v>74695</v>
      </c>
      <c r="U324" s="972">
        <v>167161</v>
      </c>
    </row>
    <row r="325" spans="1:21" x14ac:dyDescent="0.25">
      <c r="A325" s="966">
        <v>93341</v>
      </c>
      <c r="B325" s="967" t="s">
        <v>2941</v>
      </c>
      <c r="C325" s="968">
        <v>2.34E-5</v>
      </c>
      <c r="D325" s="968">
        <v>2.73E-5</v>
      </c>
      <c r="E325" s="985">
        <v>12933</v>
      </c>
      <c r="F325" s="969">
        <v>35749</v>
      </c>
      <c r="G325" s="969"/>
      <c r="H325" s="970">
        <v>2059</v>
      </c>
      <c r="I325" s="971">
        <v>8680</v>
      </c>
      <c r="J325" s="970">
        <v>5105</v>
      </c>
      <c r="K325" s="969">
        <v>1866</v>
      </c>
      <c r="L325" s="971">
        <f t="shared" si="8"/>
        <v>17710</v>
      </c>
      <c r="M325" s="969"/>
      <c r="N325" s="970">
        <v>1012</v>
      </c>
      <c r="O325" s="970">
        <v>0</v>
      </c>
      <c r="P325" s="969">
        <v>863</v>
      </c>
      <c r="Q325" s="971">
        <f t="shared" si="9"/>
        <v>1875</v>
      </c>
      <c r="R325" s="969"/>
      <c r="S325" s="970">
        <v>12047</v>
      </c>
      <c r="T325" s="972">
        <v>708</v>
      </c>
      <c r="U325" s="972">
        <v>12755</v>
      </c>
    </row>
    <row r="326" spans="1:21" x14ac:dyDescent="0.25">
      <c r="A326" s="966">
        <v>93351</v>
      </c>
      <c r="B326" s="967" t="s">
        <v>2942</v>
      </c>
      <c r="C326" s="968">
        <v>3.4E-5</v>
      </c>
      <c r="D326" s="968">
        <v>1.5999999999999999E-5</v>
      </c>
      <c r="E326" s="985">
        <v>16319</v>
      </c>
      <c r="F326" s="969">
        <v>51943</v>
      </c>
      <c r="G326" s="969"/>
      <c r="H326" s="970">
        <v>2992</v>
      </c>
      <c r="I326" s="971">
        <v>12611</v>
      </c>
      <c r="J326" s="970">
        <v>7418</v>
      </c>
      <c r="K326" s="969">
        <v>18867</v>
      </c>
      <c r="L326" s="971">
        <f t="shared" si="8"/>
        <v>41888</v>
      </c>
      <c r="M326" s="969"/>
      <c r="N326" s="970">
        <v>1470</v>
      </c>
      <c r="O326" s="970">
        <v>0</v>
      </c>
      <c r="P326" s="969">
        <v>4169</v>
      </c>
      <c r="Q326" s="971">
        <f t="shared" si="9"/>
        <v>5639</v>
      </c>
      <c r="R326" s="969"/>
      <c r="S326" s="970">
        <v>17505</v>
      </c>
      <c r="T326" s="972">
        <v>2906</v>
      </c>
      <c r="U326" s="972">
        <f>20410+1</f>
        <v>20411</v>
      </c>
    </row>
    <row r="327" spans="1:21" x14ac:dyDescent="0.25">
      <c r="A327" s="966">
        <v>93401</v>
      </c>
      <c r="B327" s="967" t="s">
        <v>2943</v>
      </c>
      <c r="C327" s="968">
        <v>1.3834900000000001E-2</v>
      </c>
      <c r="D327" s="968">
        <v>1.37997E-2</v>
      </c>
      <c r="E327" s="985">
        <v>6356857</v>
      </c>
      <c r="F327" s="969">
        <v>21135895</v>
      </c>
      <c r="G327" s="969"/>
      <c r="H327" s="970">
        <v>1217623</v>
      </c>
      <c r="I327" s="971">
        <v>5131821</v>
      </c>
      <c r="J327" s="970">
        <v>3018498</v>
      </c>
      <c r="K327" s="969">
        <v>99926</v>
      </c>
      <c r="L327" s="971">
        <f t="shared" ref="L327:L390" si="10">H327+I327+J327+K327</f>
        <v>9467868</v>
      </c>
      <c r="M327" s="969"/>
      <c r="N327" s="970">
        <v>598290</v>
      </c>
      <c r="O327" s="970">
        <v>0</v>
      </c>
      <c r="P327" s="969">
        <v>186001</v>
      </c>
      <c r="Q327" s="971">
        <f t="shared" ref="Q327:Q390" si="11">N327+O327+P327</f>
        <v>784291</v>
      </c>
      <c r="R327" s="969"/>
      <c r="S327" s="970">
        <v>7122815</v>
      </c>
      <c r="T327" s="972">
        <v>-76616</v>
      </c>
      <c r="U327" s="972">
        <v>7046199</v>
      </c>
    </row>
    <row r="328" spans="1:21" x14ac:dyDescent="0.25">
      <c r="A328" s="966">
        <v>93402</v>
      </c>
      <c r="B328" s="967" t="s">
        <v>2944</v>
      </c>
      <c r="C328" s="968">
        <v>9.8800000000000003E-5</v>
      </c>
      <c r="D328" s="968">
        <v>9.2999999999999997E-5</v>
      </c>
      <c r="E328" s="985">
        <v>38604</v>
      </c>
      <c r="F328" s="969">
        <v>150939</v>
      </c>
      <c r="G328" s="969"/>
      <c r="H328" s="970">
        <v>8695</v>
      </c>
      <c r="I328" s="971">
        <v>36648</v>
      </c>
      <c r="J328" s="970">
        <v>21556</v>
      </c>
      <c r="K328" s="969">
        <v>5545</v>
      </c>
      <c r="L328" s="971">
        <f t="shared" si="10"/>
        <v>72444</v>
      </c>
      <c r="M328" s="969"/>
      <c r="N328" s="970">
        <v>4273</v>
      </c>
      <c r="O328" s="970">
        <v>0</v>
      </c>
      <c r="P328" s="969">
        <v>3446</v>
      </c>
      <c r="Q328" s="971">
        <f t="shared" si="11"/>
        <v>7719</v>
      </c>
      <c r="R328" s="969"/>
      <c r="S328" s="970">
        <v>50867</v>
      </c>
      <c r="T328" s="972">
        <v>3029</v>
      </c>
      <c r="U328" s="972">
        <f>53895+1</f>
        <v>53896</v>
      </c>
    </row>
    <row r="329" spans="1:21" x14ac:dyDescent="0.25">
      <c r="A329" s="966">
        <v>93406</v>
      </c>
      <c r="B329" s="967" t="s">
        <v>2945</v>
      </c>
      <c r="C329" s="968">
        <v>6.5059999999999998E-4</v>
      </c>
      <c r="D329" s="968">
        <v>7.1170000000000001E-4</v>
      </c>
      <c r="E329" s="985">
        <v>289720</v>
      </c>
      <c r="F329" s="969">
        <v>993937</v>
      </c>
      <c r="G329" s="969"/>
      <c r="H329" s="970">
        <v>57260</v>
      </c>
      <c r="I329" s="971">
        <v>241329</v>
      </c>
      <c r="J329" s="970">
        <v>141948</v>
      </c>
      <c r="K329" s="969">
        <v>26056</v>
      </c>
      <c r="L329" s="971">
        <f t="shared" si="10"/>
        <v>466593</v>
      </c>
      <c r="M329" s="969"/>
      <c r="N329" s="970">
        <v>28135</v>
      </c>
      <c r="O329" s="970">
        <v>0</v>
      </c>
      <c r="P329" s="969">
        <v>48133</v>
      </c>
      <c r="Q329" s="971">
        <f t="shared" si="11"/>
        <v>76268</v>
      </c>
      <c r="R329" s="969"/>
      <c r="S329" s="970">
        <v>334958</v>
      </c>
      <c r="T329" s="972">
        <v>7011</v>
      </c>
      <c r="U329" s="972">
        <f>341968+1</f>
        <v>341969</v>
      </c>
    </row>
    <row r="330" spans="1:21" x14ac:dyDescent="0.25">
      <c r="A330" s="966">
        <v>93408</v>
      </c>
      <c r="B330" s="967" t="s">
        <v>2946</v>
      </c>
      <c r="C330" s="968">
        <v>0</v>
      </c>
      <c r="D330" s="968">
        <v>1.8967999999999999E-3</v>
      </c>
      <c r="E330" s="985">
        <v>73962</v>
      </c>
      <c r="F330" s="969">
        <v>0</v>
      </c>
      <c r="G330" s="969"/>
      <c r="H330" s="970">
        <v>0</v>
      </c>
      <c r="I330" s="971">
        <v>0</v>
      </c>
      <c r="J330" s="970">
        <v>0</v>
      </c>
      <c r="K330" s="969">
        <v>173575</v>
      </c>
      <c r="L330" s="971">
        <f t="shared" si="10"/>
        <v>173575</v>
      </c>
      <c r="M330" s="969"/>
      <c r="N330" s="970">
        <v>0</v>
      </c>
      <c r="O330" s="970">
        <v>0</v>
      </c>
      <c r="P330" s="969">
        <v>1605024</v>
      </c>
      <c r="Q330" s="971">
        <f t="shared" si="11"/>
        <v>1605024</v>
      </c>
      <c r="R330" s="969"/>
      <c r="S330" s="970">
        <v>0</v>
      </c>
      <c r="T330" s="972">
        <v>-292149</v>
      </c>
      <c r="U330" s="972">
        <v>-292149</v>
      </c>
    </row>
    <row r="331" spans="1:21" x14ac:dyDescent="0.25">
      <c r="A331" s="966">
        <v>93411</v>
      </c>
      <c r="B331" s="967" t="s">
        <v>2947</v>
      </c>
      <c r="C331" s="968">
        <v>1.7454999999999998E-2</v>
      </c>
      <c r="D331" s="968">
        <v>1.73309E-2</v>
      </c>
      <c r="E331" s="985">
        <v>8222694</v>
      </c>
      <c r="F331" s="969">
        <v>26666405</v>
      </c>
      <c r="G331" s="969"/>
      <c r="H331" s="970">
        <v>1536232</v>
      </c>
      <c r="I331" s="971">
        <v>6474635</v>
      </c>
      <c r="J331" s="970">
        <v>3808332</v>
      </c>
      <c r="K331" s="969">
        <v>250711</v>
      </c>
      <c r="L331" s="971">
        <f t="shared" si="10"/>
        <v>12069910</v>
      </c>
      <c r="M331" s="969"/>
      <c r="N331" s="970">
        <v>754841</v>
      </c>
      <c r="O331" s="970">
        <v>0</v>
      </c>
      <c r="P331" s="969">
        <v>594754</v>
      </c>
      <c r="Q331" s="971">
        <f t="shared" si="11"/>
        <v>1349595</v>
      </c>
      <c r="R331" s="969"/>
      <c r="S331" s="970">
        <v>8986602</v>
      </c>
      <c r="T331" s="972">
        <v>-306468</v>
      </c>
      <c r="U331" s="972">
        <v>8680134</v>
      </c>
    </row>
    <row r="332" spans="1:21" x14ac:dyDescent="0.25">
      <c r="A332" s="966">
        <v>93413</v>
      </c>
      <c r="B332" s="967" t="s">
        <v>2948</v>
      </c>
      <c r="C332" s="968">
        <v>7.7070000000000003E-4</v>
      </c>
      <c r="D332" s="968">
        <v>8.0130000000000002E-4</v>
      </c>
      <c r="E332" s="985">
        <v>378796</v>
      </c>
      <c r="F332" s="969">
        <v>1177416</v>
      </c>
      <c r="G332" s="969"/>
      <c r="H332" s="970">
        <v>67830</v>
      </c>
      <c r="I332" s="971">
        <v>285878</v>
      </c>
      <c r="J332" s="970">
        <v>168151</v>
      </c>
      <c r="K332" s="969">
        <v>0</v>
      </c>
      <c r="L332" s="971">
        <f t="shared" si="10"/>
        <v>521859</v>
      </c>
      <c r="M332" s="969"/>
      <c r="N332" s="970">
        <v>33329</v>
      </c>
      <c r="O332" s="970">
        <v>0</v>
      </c>
      <c r="P332" s="969">
        <v>35372</v>
      </c>
      <c r="Q332" s="971">
        <f t="shared" si="11"/>
        <v>68701</v>
      </c>
      <c r="R332" s="969"/>
      <c r="S332" s="970">
        <v>396790</v>
      </c>
      <c r="T332" s="972">
        <v>-17507</v>
      </c>
      <c r="U332" s="972">
        <v>379283</v>
      </c>
    </row>
    <row r="333" spans="1:21" x14ac:dyDescent="0.25">
      <c r="A333" s="966">
        <v>93417</v>
      </c>
      <c r="B333" s="967" t="s">
        <v>2949</v>
      </c>
      <c r="C333" s="968">
        <v>3.4430000000000002E-4</v>
      </c>
      <c r="D333" s="968">
        <v>4.1130000000000002E-4</v>
      </c>
      <c r="E333" s="985">
        <v>172878</v>
      </c>
      <c r="F333" s="969">
        <v>525995</v>
      </c>
      <c r="G333" s="969"/>
      <c r="H333" s="970">
        <v>30302</v>
      </c>
      <c r="I333" s="971">
        <v>127712</v>
      </c>
      <c r="J333" s="970">
        <v>75119</v>
      </c>
      <c r="K333" s="969">
        <v>15432</v>
      </c>
      <c r="L333" s="971">
        <f t="shared" si="10"/>
        <v>248565</v>
      </c>
      <c r="M333" s="969"/>
      <c r="N333" s="970">
        <v>14889</v>
      </c>
      <c r="O333" s="970">
        <v>0</v>
      </c>
      <c r="P333" s="969">
        <v>33069</v>
      </c>
      <c r="Q333" s="971">
        <f t="shared" si="11"/>
        <v>47958</v>
      </c>
      <c r="R333" s="969"/>
      <c r="S333" s="970">
        <v>177261</v>
      </c>
      <c r="T333" s="972">
        <v>5883</v>
      </c>
      <c r="U333" s="972">
        <v>183144</v>
      </c>
    </row>
    <row r="334" spans="1:21" x14ac:dyDescent="0.25">
      <c r="A334" s="966">
        <v>93421</v>
      </c>
      <c r="B334" s="967" t="s">
        <v>2950</v>
      </c>
      <c r="C334" s="968">
        <v>2.1294999999999999E-3</v>
      </c>
      <c r="D334" s="968">
        <v>2.1646E-3</v>
      </c>
      <c r="E334" s="985">
        <v>893357</v>
      </c>
      <c r="F334" s="969">
        <v>3253286</v>
      </c>
      <c r="G334" s="969"/>
      <c r="H334" s="970">
        <v>187419</v>
      </c>
      <c r="I334" s="971">
        <v>789902</v>
      </c>
      <c r="J334" s="970">
        <v>464614</v>
      </c>
      <c r="K334" s="969">
        <v>0</v>
      </c>
      <c r="L334" s="971">
        <f t="shared" si="10"/>
        <v>1441935</v>
      </c>
      <c r="M334" s="969"/>
      <c r="N334" s="970">
        <v>92090</v>
      </c>
      <c r="O334" s="970">
        <v>0</v>
      </c>
      <c r="P334" s="969">
        <v>273225</v>
      </c>
      <c r="Q334" s="971">
        <f t="shared" si="11"/>
        <v>365315</v>
      </c>
      <c r="R334" s="969"/>
      <c r="S334" s="970">
        <v>1096360</v>
      </c>
      <c r="T334" s="972">
        <v>-126565</v>
      </c>
      <c r="U334" s="972">
        <v>969795</v>
      </c>
    </row>
    <row r="335" spans="1:21" x14ac:dyDescent="0.25">
      <c r="A335" s="966">
        <v>93431</v>
      </c>
      <c r="B335" s="967" t="s">
        <v>2951</v>
      </c>
      <c r="C335" s="968">
        <v>1.2689999999999999E-4</v>
      </c>
      <c r="D335" s="968">
        <v>1.127E-4</v>
      </c>
      <c r="E335" s="985">
        <v>61080</v>
      </c>
      <c r="F335" s="969">
        <v>193868</v>
      </c>
      <c r="G335" s="969"/>
      <c r="H335" s="970">
        <v>11169</v>
      </c>
      <c r="I335" s="971">
        <v>47071</v>
      </c>
      <c r="J335" s="970">
        <v>27687</v>
      </c>
      <c r="K335" s="969">
        <v>12612</v>
      </c>
      <c r="L335" s="971">
        <f t="shared" si="10"/>
        <v>98539</v>
      </c>
      <c r="M335" s="969"/>
      <c r="N335" s="970">
        <v>5488</v>
      </c>
      <c r="O335" s="970">
        <v>0</v>
      </c>
      <c r="P335" s="969">
        <v>5397</v>
      </c>
      <c r="Q335" s="971">
        <f t="shared" si="11"/>
        <v>10885</v>
      </c>
      <c r="R335" s="969"/>
      <c r="S335" s="970">
        <v>65334</v>
      </c>
      <c r="T335" s="972">
        <v>1734</v>
      </c>
      <c r="U335" s="972">
        <v>67068</v>
      </c>
    </row>
    <row r="336" spans="1:21" x14ac:dyDescent="0.25">
      <c r="A336" s="966">
        <v>93441</v>
      </c>
      <c r="B336" s="967" t="s">
        <v>2952</v>
      </c>
      <c r="C336" s="968">
        <v>1.54E-4</v>
      </c>
      <c r="D336" s="968">
        <v>1.4970000000000001E-4</v>
      </c>
      <c r="E336" s="985">
        <v>77933</v>
      </c>
      <c r="F336" s="969">
        <v>235269</v>
      </c>
      <c r="G336" s="969"/>
      <c r="H336" s="970">
        <v>13554</v>
      </c>
      <c r="I336" s="971">
        <v>57124</v>
      </c>
      <c r="J336" s="970">
        <v>33600</v>
      </c>
      <c r="K336" s="969">
        <v>30786</v>
      </c>
      <c r="L336" s="971">
        <f t="shared" si="10"/>
        <v>135064</v>
      </c>
      <c r="M336" s="969"/>
      <c r="N336" s="970">
        <v>6660</v>
      </c>
      <c r="O336" s="970">
        <v>0</v>
      </c>
      <c r="P336" s="969">
        <v>0</v>
      </c>
      <c r="Q336" s="971">
        <f t="shared" si="11"/>
        <v>6660</v>
      </c>
      <c r="R336" s="969"/>
      <c r="S336" s="970">
        <v>79286</v>
      </c>
      <c r="T336" s="972">
        <v>14822</v>
      </c>
      <c r="U336" s="972">
        <v>94108</v>
      </c>
    </row>
    <row r="337" spans="1:21" x14ac:dyDescent="0.25">
      <c r="A337" s="966">
        <v>93442</v>
      </c>
      <c r="B337" s="967" t="s">
        <v>2953</v>
      </c>
      <c r="C337" s="968">
        <v>1.505E-4</v>
      </c>
      <c r="D337" s="968">
        <v>1.3540000000000001E-4</v>
      </c>
      <c r="E337" s="985">
        <v>57507</v>
      </c>
      <c r="F337" s="969">
        <v>229922</v>
      </c>
      <c r="G337" s="969"/>
      <c r="H337" s="970">
        <v>13246</v>
      </c>
      <c r="I337" s="971">
        <v>55826</v>
      </c>
      <c r="J337" s="970">
        <v>32836</v>
      </c>
      <c r="K337" s="969">
        <v>5191</v>
      </c>
      <c r="L337" s="971">
        <f t="shared" si="10"/>
        <v>107099</v>
      </c>
      <c r="M337" s="969"/>
      <c r="N337" s="970">
        <v>6508</v>
      </c>
      <c r="O337" s="970">
        <v>0</v>
      </c>
      <c r="P337" s="969">
        <v>20988</v>
      </c>
      <c r="Q337" s="971">
        <f t="shared" si="11"/>
        <v>27496</v>
      </c>
      <c r="R337" s="969"/>
      <c r="S337" s="970">
        <v>77484</v>
      </c>
      <c r="T337" s="972">
        <v>-6353</v>
      </c>
      <c r="U337" s="972">
        <v>71131</v>
      </c>
    </row>
    <row r="338" spans="1:21" x14ac:dyDescent="0.25">
      <c r="A338" s="966">
        <v>93451</v>
      </c>
      <c r="B338" s="967" t="s">
        <v>2954</v>
      </c>
      <c r="C338" s="968">
        <v>7.0900000000000002E-5</v>
      </c>
      <c r="D338" s="968">
        <v>7.6899999999999999E-5</v>
      </c>
      <c r="E338" s="985">
        <v>41775</v>
      </c>
      <c r="F338" s="969">
        <v>108316</v>
      </c>
      <c r="G338" s="969"/>
      <c r="H338" s="970">
        <v>6240</v>
      </c>
      <c r="I338" s="971">
        <v>26299</v>
      </c>
      <c r="J338" s="970">
        <v>15469</v>
      </c>
      <c r="K338" s="969">
        <v>16242</v>
      </c>
      <c r="L338" s="971">
        <f t="shared" si="10"/>
        <v>64250</v>
      </c>
      <c r="M338" s="969"/>
      <c r="N338" s="970">
        <v>3066</v>
      </c>
      <c r="O338" s="970">
        <v>0</v>
      </c>
      <c r="P338" s="969">
        <v>1492</v>
      </c>
      <c r="Q338" s="971">
        <f t="shared" si="11"/>
        <v>4558</v>
      </c>
      <c r="R338" s="969"/>
      <c r="S338" s="970">
        <v>36502</v>
      </c>
      <c r="T338" s="972">
        <v>5181</v>
      </c>
      <c r="U338" s="972">
        <f>41684-1</f>
        <v>41683</v>
      </c>
    </row>
    <row r="339" spans="1:21" x14ac:dyDescent="0.25">
      <c r="A339" s="966">
        <v>93461</v>
      </c>
      <c r="B339" s="967" t="s">
        <v>2955</v>
      </c>
      <c r="C339" s="968">
        <v>1.66E-5</v>
      </c>
      <c r="D339" s="968">
        <v>1.7200000000000001E-5</v>
      </c>
      <c r="E339" s="985">
        <v>8264</v>
      </c>
      <c r="F339" s="969">
        <v>25360</v>
      </c>
      <c r="G339" s="969"/>
      <c r="H339" s="970">
        <v>1461</v>
      </c>
      <c r="I339" s="971">
        <v>6157</v>
      </c>
      <c r="J339" s="970">
        <v>3622</v>
      </c>
      <c r="K339" s="969">
        <v>580</v>
      </c>
      <c r="L339" s="971">
        <f t="shared" si="10"/>
        <v>11820</v>
      </c>
      <c r="M339" s="969"/>
      <c r="N339" s="970">
        <v>718</v>
      </c>
      <c r="O339" s="970">
        <v>0</v>
      </c>
      <c r="P339" s="969">
        <v>0</v>
      </c>
      <c r="Q339" s="971">
        <f t="shared" si="11"/>
        <v>718</v>
      </c>
      <c r="R339" s="969"/>
      <c r="S339" s="970">
        <v>8546</v>
      </c>
      <c r="T339" s="972">
        <v>254</v>
      </c>
      <c r="U339" s="972">
        <f>8801-1</f>
        <v>8800</v>
      </c>
    </row>
    <row r="340" spans="1:21" x14ac:dyDescent="0.25">
      <c r="A340" s="966">
        <v>93471</v>
      </c>
      <c r="B340" s="967" t="s">
        <v>2956</v>
      </c>
      <c r="C340" s="968">
        <v>1.31E-5</v>
      </c>
      <c r="D340" s="968">
        <v>1.1800000000000001E-5</v>
      </c>
      <c r="E340" s="985">
        <v>8324</v>
      </c>
      <c r="F340" s="969">
        <v>20013</v>
      </c>
      <c r="G340" s="969"/>
      <c r="H340" s="970">
        <v>1153</v>
      </c>
      <c r="I340" s="971">
        <v>4859</v>
      </c>
      <c r="J340" s="970">
        <v>2858</v>
      </c>
      <c r="K340" s="969">
        <v>4280</v>
      </c>
      <c r="L340" s="971">
        <f t="shared" si="10"/>
        <v>13150</v>
      </c>
      <c r="M340" s="969"/>
      <c r="N340" s="970">
        <v>567</v>
      </c>
      <c r="O340" s="970">
        <v>0</v>
      </c>
      <c r="P340" s="969">
        <v>63</v>
      </c>
      <c r="Q340" s="971">
        <f t="shared" si="11"/>
        <v>630</v>
      </c>
      <c r="R340" s="969"/>
      <c r="S340" s="970">
        <v>6744</v>
      </c>
      <c r="T340" s="972">
        <v>1243</v>
      </c>
      <c r="U340" s="972">
        <v>7987</v>
      </c>
    </row>
    <row r="341" spans="1:21" x14ac:dyDescent="0.25">
      <c r="A341" s="966">
        <v>93501</v>
      </c>
      <c r="B341" s="967" t="s">
        <v>2957</v>
      </c>
      <c r="C341" s="968">
        <v>3.6113999999999999E-3</v>
      </c>
      <c r="D341" s="968">
        <v>3.4039000000000001E-3</v>
      </c>
      <c r="E341" s="985">
        <v>1661033</v>
      </c>
      <c r="F341" s="969">
        <v>5517219</v>
      </c>
      <c r="G341" s="969"/>
      <c r="H341" s="970">
        <v>317843</v>
      </c>
      <c r="I341" s="971">
        <v>1339587</v>
      </c>
      <c r="J341" s="970">
        <v>787935</v>
      </c>
      <c r="K341" s="969">
        <v>233815</v>
      </c>
      <c r="L341" s="971">
        <f t="shared" si="10"/>
        <v>2679180</v>
      </c>
      <c r="M341" s="969"/>
      <c r="N341" s="970">
        <v>156175</v>
      </c>
      <c r="O341" s="970">
        <v>0</v>
      </c>
      <c r="P341" s="969">
        <v>57589</v>
      </c>
      <c r="Q341" s="971">
        <f t="shared" si="11"/>
        <v>213764</v>
      </c>
      <c r="R341" s="969"/>
      <c r="S341" s="970">
        <v>1859308</v>
      </c>
      <c r="T341" s="972">
        <v>88331</v>
      </c>
      <c r="U341" s="972">
        <v>1947639</v>
      </c>
    </row>
    <row r="342" spans="1:21" x14ac:dyDescent="0.25">
      <c r="A342" s="966">
        <v>93511</v>
      </c>
      <c r="B342" s="967" t="s">
        <v>2958</v>
      </c>
      <c r="C342" s="968">
        <v>8.8300000000000005E-5</v>
      </c>
      <c r="D342" s="968">
        <v>9.8999999999999994E-5</v>
      </c>
      <c r="E342" s="985">
        <v>45050</v>
      </c>
      <c r="F342" s="969">
        <v>134898</v>
      </c>
      <c r="G342" s="969"/>
      <c r="H342" s="970">
        <v>7771</v>
      </c>
      <c r="I342" s="971">
        <v>32753</v>
      </c>
      <c r="J342" s="970">
        <v>19265</v>
      </c>
      <c r="K342" s="969">
        <v>2589</v>
      </c>
      <c r="L342" s="971">
        <f t="shared" si="10"/>
        <v>62378</v>
      </c>
      <c r="M342" s="969"/>
      <c r="N342" s="970">
        <v>3819</v>
      </c>
      <c r="O342" s="970">
        <v>0</v>
      </c>
      <c r="P342" s="969">
        <v>13801</v>
      </c>
      <c r="Q342" s="971">
        <f t="shared" si="11"/>
        <v>17620</v>
      </c>
      <c r="R342" s="969"/>
      <c r="S342" s="970">
        <v>45461</v>
      </c>
      <c r="T342" s="972">
        <v>-2683</v>
      </c>
      <c r="U342" s="972">
        <v>42778</v>
      </c>
    </row>
    <row r="343" spans="1:21" x14ac:dyDescent="0.25">
      <c r="A343" s="966">
        <v>93517</v>
      </c>
      <c r="B343" s="967" t="s">
        <v>2959</v>
      </c>
      <c r="C343" s="968">
        <v>6.0000000000000002E-6</v>
      </c>
      <c r="D343" s="968">
        <v>6.4999999999999996E-6</v>
      </c>
      <c r="E343" s="985">
        <v>4387</v>
      </c>
      <c r="F343" s="969">
        <v>9166</v>
      </c>
      <c r="G343" s="969"/>
      <c r="H343" s="970">
        <v>528</v>
      </c>
      <c r="I343" s="971">
        <v>2226</v>
      </c>
      <c r="J343" s="970">
        <v>1309</v>
      </c>
      <c r="K343" s="969">
        <v>3133</v>
      </c>
      <c r="L343" s="971">
        <f t="shared" si="10"/>
        <v>7196</v>
      </c>
      <c r="M343" s="969"/>
      <c r="N343" s="970">
        <v>259</v>
      </c>
      <c r="O343" s="970">
        <v>0</v>
      </c>
      <c r="P343" s="969">
        <v>503</v>
      </c>
      <c r="Q343" s="971">
        <f t="shared" si="11"/>
        <v>762</v>
      </c>
      <c r="R343" s="969"/>
      <c r="S343" s="970">
        <v>3089</v>
      </c>
      <c r="T343" s="972">
        <v>771</v>
      </c>
      <c r="U343" s="972">
        <v>3860</v>
      </c>
    </row>
    <row r="344" spans="1:21" x14ac:dyDescent="0.25">
      <c r="A344" s="966">
        <v>93521</v>
      </c>
      <c r="B344" s="967" t="s">
        <v>2960</v>
      </c>
      <c r="C344" s="968">
        <v>4.5649999999999998E-4</v>
      </c>
      <c r="D344" s="968">
        <v>5.6389999999999999E-4</v>
      </c>
      <c r="E344" s="985">
        <v>213305</v>
      </c>
      <c r="F344" s="969">
        <v>697406</v>
      </c>
      <c r="G344" s="969"/>
      <c r="H344" s="970">
        <v>40177</v>
      </c>
      <c r="I344" s="971">
        <v>169331</v>
      </c>
      <c r="J344" s="970">
        <v>99599</v>
      </c>
      <c r="K344" s="969">
        <v>7159</v>
      </c>
      <c r="L344" s="971">
        <f t="shared" si="10"/>
        <v>316266</v>
      </c>
      <c r="M344" s="969"/>
      <c r="N344" s="970">
        <v>19741</v>
      </c>
      <c r="O344" s="970">
        <v>0</v>
      </c>
      <c r="P344" s="969">
        <v>74583</v>
      </c>
      <c r="Q344" s="971">
        <f t="shared" si="11"/>
        <v>94324</v>
      </c>
      <c r="R344" s="969"/>
      <c r="S344" s="970">
        <v>235026</v>
      </c>
      <c r="T344" s="972">
        <v>-19847</v>
      </c>
      <c r="U344" s="972">
        <f>215180-1</f>
        <v>215179</v>
      </c>
    </row>
    <row r="345" spans="1:21" x14ac:dyDescent="0.25">
      <c r="A345" s="966">
        <v>93527</v>
      </c>
      <c r="B345" s="967" t="s">
        <v>2961</v>
      </c>
      <c r="C345" s="968">
        <v>1.2099999999999999E-5</v>
      </c>
      <c r="D345" s="968">
        <v>5.4E-6</v>
      </c>
      <c r="E345" s="985">
        <v>9591</v>
      </c>
      <c r="F345" s="969">
        <v>18485</v>
      </c>
      <c r="G345" s="969"/>
      <c r="H345" s="970">
        <v>1065</v>
      </c>
      <c r="I345" s="971">
        <v>4488</v>
      </c>
      <c r="J345" s="970">
        <v>2640</v>
      </c>
      <c r="K345" s="969">
        <v>15016</v>
      </c>
      <c r="L345" s="971">
        <f t="shared" si="10"/>
        <v>23209</v>
      </c>
      <c r="M345" s="969"/>
      <c r="N345" s="970">
        <v>523</v>
      </c>
      <c r="O345" s="970">
        <v>0</v>
      </c>
      <c r="P345" s="969">
        <v>0</v>
      </c>
      <c r="Q345" s="971">
        <f t="shared" si="11"/>
        <v>523</v>
      </c>
      <c r="R345" s="969"/>
      <c r="S345" s="970">
        <v>6230</v>
      </c>
      <c r="T345" s="972">
        <v>5872</v>
      </c>
      <c r="U345" s="972">
        <f>12101+1</f>
        <v>12102</v>
      </c>
    </row>
    <row r="346" spans="1:21" x14ac:dyDescent="0.25">
      <c r="A346" s="966">
        <v>93531</v>
      </c>
      <c r="B346" s="967" t="s">
        <v>2962</v>
      </c>
      <c r="C346" s="968">
        <v>1.7E-5</v>
      </c>
      <c r="D346" s="968">
        <v>2.4000000000000001E-5</v>
      </c>
      <c r="E346" s="985">
        <v>11624</v>
      </c>
      <c r="F346" s="969">
        <v>25971</v>
      </c>
      <c r="G346" s="969"/>
      <c r="H346" s="970">
        <v>1496</v>
      </c>
      <c r="I346" s="971">
        <v>6306</v>
      </c>
      <c r="J346" s="970">
        <v>3709</v>
      </c>
      <c r="K346" s="969">
        <v>791</v>
      </c>
      <c r="L346" s="971">
        <f t="shared" si="10"/>
        <v>12302</v>
      </c>
      <c r="M346" s="969"/>
      <c r="N346" s="970">
        <v>735</v>
      </c>
      <c r="O346" s="970">
        <v>0</v>
      </c>
      <c r="P346" s="969">
        <v>2743</v>
      </c>
      <c r="Q346" s="971">
        <f t="shared" si="11"/>
        <v>3478</v>
      </c>
      <c r="R346" s="969"/>
      <c r="S346" s="970">
        <v>8752</v>
      </c>
      <c r="T346" s="972">
        <v>-1210</v>
      </c>
      <c r="U346" s="972">
        <v>7542</v>
      </c>
    </row>
    <row r="347" spans="1:21" x14ac:dyDescent="0.25">
      <c r="A347" s="966">
        <v>93537</v>
      </c>
      <c r="B347" s="967" t="s">
        <v>2963</v>
      </c>
      <c r="C347" s="968">
        <v>1.1199999999999999E-5</v>
      </c>
      <c r="D347" s="968">
        <v>1.17E-5</v>
      </c>
      <c r="E347" s="985">
        <v>4064</v>
      </c>
      <c r="F347" s="969">
        <v>17110</v>
      </c>
      <c r="G347" s="969"/>
      <c r="H347" s="970">
        <v>986</v>
      </c>
      <c r="I347" s="971">
        <v>4154</v>
      </c>
      <c r="J347" s="970">
        <v>2444</v>
      </c>
      <c r="K347" s="969">
        <v>0</v>
      </c>
      <c r="L347" s="971">
        <f t="shared" si="10"/>
        <v>7584</v>
      </c>
      <c r="M347" s="969"/>
      <c r="N347" s="970">
        <v>484</v>
      </c>
      <c r="O347" s="970">
        <v>0</v>
      </c>
      <c r="P347" s="969">
        <v>1898</v>
      </c>
      <c r="Q347" s="971">
        <f t="shared" si="11"/>
        <v>2382</v>
      </c>
      <c r="R347" s="969"/>
      <c r="S347" s="970">
        <v>5766</v>
      </c>
      <c r="T347" s="972">
        <v>-575</v>
      </c>
      <c r="U347" s="972">
        <v>5191</v>
      </c>
    </row>
    <row r="348" spans="1:21" x14ac:dyDescent="0.25">
      <c r="A348" s="966">
        <v>93541</v>
      </c>
      <c r="B348" s="967" t="s">
        <v>2964</v>
      </c>
      <c r="C348" s="968">
        <v>1.0560000000000001E-4</v>
      </c>
      <c r="D348" s="968">
        <v>1.061E-4</v>
      </c>
      <c r="E348" s="985">
        <v>49276</v>
      </c>
      <c r="F348" s="969">
        <v>161328</v>
      </c>
      <c r="G348" s="969"/>
      <c r="H348" s="970">
        <v>9294</v>
      </c>
      <c r="I348" s="971">
        <v>39171</v>
      </c>
      <c r="J348" s="970">
        <v>23040</v>
      </c>
      <c r="K348" s="969">
        <v>4560</v>
      </c>
      <c r="L348" s="971">
        <f t="shared" si="10"/>
        <v>76065</v>
      </c>
      <c r="M348" s="969"/>
      <c r="N348" s="970">
        <v>4567</v>
      </c>
      <c r="O348" s="970">
        <v>0</v>
      </c>
      <c r="P348" s="969">
        <v>781</v>
      </c>
      <c r="Q348" s="971">
        <f t="shared" si="11"/>
        <v>5348</v>
      </c>
      <c r="R348" s="969"/>
      <c r="S348" s="970">
        <v>54368</v>
      </c>
      <c r="T348" s="972">
        <v>4003</v>
      </c>
      <c r="U348" s="972">
        <f>58370+1</f>
        <v>58371</v>
      </c>
    </row>
    <row r="349" spans="1:21" x14ac:dyDescent="0.25">
      <c r="A349" s="966">
        <v>93601</v>
      </c>
      <c r="B349" s="967" t="s">
        <v>2965</v>
      </c>
      <c r="C349" s="968">
        <v>1.0721400000000001E-2</v>
      </c>
      <c r="D349" s="968">
        <v>1.1139899999999999E-2</v>
      </c>
      <c r="E349" s="985">
        <v>5038240</v>
      </c>
      <c r="F349" s="969">
        <v>16379329</v>
      </c>
      <c r="G349" s="969"/>
      <c r="H349" s="970">
        <v>943601</v>
      </c>
      <c r="I349" s="971">
        <v>3976921</v>
      </c>
      <c r="J349" s="970">
        <v>2339195</v>
      </c>
      <c r="K349" s="969">
        <v>65732</v>
      </c>
      <c r="L349" s="971">
        <f t="shared" si="10"/>
        <v>7325449</v>
      </c>
      <c r="M349" s="969"/>
      <c r="N349" s="970">
        <v>463647</v>
      </c>
      <c r="O349" s="970">
        <v>0</v>
      </c>
      <c r="P349" s="969">
        <v>282932</v>
      </c>
      <c r="Q349" s="971">
        <f t="shared" si="11"/>
        <v>746579</v>
      </c>
      <c r="R349" s="969"/>
      <c r="S349" s="970">
        <v>5519848</v>
      </c>
      <c r="T349" s="972">
        <v>-87424</v>
      </c>
      <c r="U349" s="972">
        <f>5432425-1</f>
        <v>5432424</v>
      </c>
    </row>
    <row r="350" spans="1:21" x14ac:dyDescent="0.25">
      <c r="A350" s="966">
        <v>93602</v>
      </c>
      <c r="B350" s="967" t="s">
        <v>2966</v>
      </c>
      <c r="C350" s="968">
        <v>1.7540000000000001E-4</v>
      </c>
      <c r="D350" s="968">
        <v>1.7200000000000001E-4</v>
      </c>
      <c r="E350" s="985">
        <v>82188</v>
      </c>
      <c r="F350" s="969">
        <v>267963</v>
      </c>
      <c r="G350" s="969"/>
      <c r="H350" s="970">
        <v>15437</v>
      </c>
      <c r="I350" s="971">
        <v>65062</v>
      </c>
      <c r="J350" s="970">
        <v>38269</v>
      </c>
      <c r="K350" s="969">
        <v>4381</v>
      </c>
      <c r="L350" s="971">
        <f t="shared" si="10"/>
        <v>123149</v>
      </c>
      <c r="M350" s="969"/>
      <c r="N350" s="970">
        <v>7585</v>
      </c>
      <c r="O350" s="970">
        <v>0</v>
      </c>
      <c r="P350" s="969">
        <v>10262</v>
      </c>
      <c r="Q350" s="971">
        <f t="shared" si="11"/>
        <v>17847</v>
      </c>
      <c r="R350" s="969"/>
      <c r="S350" s="970">
        <v>90304</v>
      </c>
      <c r="T350" s="972">
        <v>-2871</v>
      </c>
      <c r="U350" s="972">
        <v>87433</v>
      </c>
    </row>
    <row r="351" spans="1:21" x14ac:dyDescent="0.25">
      <c r="A351" s="966">
        <v>93609</v>
      </c>
      <c r="B351" s="967" t="s">
        <v>2967</v>
      </c>
      <c r="C351" s="968">
        <v>3.7629999999999999E-3</v>
      </c>
      <c r="D351" s="968">
        <v>3.0569E-3</v>
      </c>
      <c r="E351" s="985">
        <v>1743934</v>
      </c>
      <c r="F351" s="969">
        <v>5748822</v>
      </c>
      <c r="G351" s="969"/>
      <c r="H351" s="970">
        <v>331185</v>
      </c>
      <c r="I351" s="971">
        <v>1395821</v>
      </c>
      <c r="J351" s="970">
        <v>821011</v>
      </c>
      <c r="K351" s="969">
        <v>823315</v>
      </c>
      <c r="L351" s="971">
        <f t="shared" si="10"/>
        <v>3371332</v>
      </c>
      <c r="M351" s="969"/>
      <c r="N351" s="970">
        <v>162731</v>
      </c>
      <c r="O351" s="970">
        <v>0</v>
      </c>
      <c r="P351" s="969">
        <v>0</v>
      </c>
      <c r="Q351" s="971">
        <f t="shared" si="11"/>
        <v>162731</v>
      </c>
      <c r="R351" s="969"/>
      <c r="S351" s="970">
        <v>1937358</v>
      </c>
      <c r="T351" s="972">
        <v>360052</v>
      </c>
      <c r="U351" s="972">
        <v>2297410</v>
      </c>
    </row>
    <row r="352" spans="1:21" x14ac:dyDescent="0.25">
      <c r="A352" s="966">
        <v>93610</v>
      </c>
      <c r="B352" s="967" t="s">
        <v>2968</v>
      </c>
      <c r="C352" s="968">
        <v>1.33E-5</v>
      </c>
      <c r="D352" s="968">
        <v>6.4999999999999996E-6</v>
      </c>
      <c r="E352" s="985">
        <v>5846</v>
      </c>
      <c r="F352" s="969">
        <v>20319</v>
      </c>
      <c r="G352" s="969"/>
      <c r="H352" s="970">
        <v>1171</v>
      </c>
      <c r="I352" s="971">
        <v>4933</v>
      </c>
      <c r="J352" s="970">
        <v>2902</v>
      </c>
      <c r="K352" s="969">
        <v>6303</v>
      </c>
      <c r="L352" s="971">
        <f t="shared" si="10"/>
        <v>15309</v>
      </c>
      <c r="M352" s="969"/>
      <c r="N352" s="970">
        <v>575</v>
      </c>
      <c r="O352" s="970">
        <v>0</v>
      </c>
      <c r="P352" s="969">
        <v>3373</v>
      </c>
      <c r="Q352" s="971">
        <f t="shared" si="11"/>
        <v>3948</v>
      </c>
      <c r="R352" s="969"/>
      <c r="S352" s="970">
        <v>6847</v>
      </c>
      <c r="T352" s="972">
        <v>1242</v>
      </c>
      <c r="U352" s="972">
        <f>8090-1</f>
        <v>8089</v>
      </c>
    </row>
    <row r="353" spans="1:21" x14ac:dyDescent="0.25">
      <c r="A353" s="966">
        <v>93611</v>
      </c>
      <c r="B353" s="967" t="s">
        <v>2969</v>
      </c>
      <c r="C353" s="968">
        <v>6.9544000000000003E-3</v>
      </c>
      <c r="D353" s="968">
        <v>6.9325000000000003E-3</v>
      </c>
      <c r="E353" s="985">
        <v>3250733</v>
      </c>
      <c r="F353" s="969">
        <v>10624397</v>
      </c>
      <c r="G353" s="969"/>
      <c r="H353" s="970">
        <v>612064</v>
      </c>
      <c r="I353" s="971">
        <v>2579617</v>
      </c>
      <c r="J353" s="970">
        <v>1517311</v>
      </c>
      <c r="K353" s="969">
        <v>61146</v>
      </c>
      <c r="L353" s="971">
        <f t="shared" si="10"/>
        <v>4770138</v>
      </c>
      <c r="M353" s="969"/>
      <c r="N353" s="970">
        <v>300743</v>
      </c>
      <c r="O353" s="970">
        <v>0</v>
      </c>
      <c r="P353" s="969">
        <v>153061</v>
      </c>
      <c r="Q353" s="971">
        <f t="shared" si="11"/>
        <v>453804</v>
      </c>
      <c r="R353" s="969"/>
      <c r="S353" s="970">
        <v>3580431</v>
      </c>
      <c r="T353" s="972">
        <v>-98066</v>
      </c>
      <c r="U353" s="972">
        <v>3482365</v>
      </c>
    </row>
    <row r="354" spans="1:21" x14ac:dyDescent="0.25">
      <c r="A354" s="966">
        <v>93617</v>
      </c>
      <c r="B354" s="967" t="s">
        <v>2970</v>
      </c>
      <c r="C354" s="968">
        <v>8.2799999999999993E-5</v>
      </c>
      <c r="D354" s="968">
        <v>9.5000000000000005E-5</v>
      </c>
      <c r="E354" s="985">
        <v>49100</v>
      </c>
      <c r="F354" s="969">
        <v>126495</v>
      </c>
      <c r="G354" s="969"/>
      <c r="H354" s="970">
        <v>7287</v>
      </c>
      <c r="I354" s="971">
        <v>30714</v>
      </c>
      <c r="J354" s="970">
        <v>18065</v>
      </c>
      <c r="K354" s="969">
        <v>19622</v>
      </c>
      <c r="L354" s="971">
        <f t="shared" si="10"/>
        <v>75688</v>
      </c>
      <c r="M354" s="969"/>
      <c r="N354" s="970">
        <v>3581</v>
      </c>
      <c r="O354" s="970">
        <v>0</v>
      </c>
      <c r="P354" s="969">
        <v>0</v>
      </c>
      <c r="Q354" s="971">
        <f t="shared" si="11"/>
        <v>3581</v>
      </c>
      <c r="R354" s="969"/>
      <c r="S354" s="970">
        <v>42629</v>
      </c>
      <c r="T354" s="972">
        <v>10180</v>
      </c>
      <c r="U354" s="972">
        <v>52809</v>
      </c>
    </row>
    <row r="355" spans="1:21" x14ac:dyDescent="0.25">
      <c r="A355" s="966">
        <v>93618</v>
      </c>
      <c r="B355" s="967" t="s">
        <v>2971</v>
      </c>
      <c r="C355" s="968">
        <v>1.11E-5</v>
      </c>
      <c r="D355" s="968">
        <v>1.17E-5</v>
      </c>
      <c r="E355" s="985">
        <v>23982</v>
      </c>
      <c r="F355" s="969">
        <v>16958</v>
      </c>
      <c r="G355" s="969"/>
      <c r="H355" s="970">
        <v>977</v>
      </c>
      <c r="I355" s="971">
        <v>4117</v>
      </c>
      <c r="J355" s="970">
        <v>2422</v>
      </c>
      <c r="K355" s="969">
        <v>33625</v>
      </c>
      <c r="L355" s="971">
        <f t="shared" si="10"/>
        <v>41141</v>
      </c>
      <c r="M355" s="969"/>
      <c r="N355" s="970">
        <v>480</v>
      </c>
      <c r="O355" s="970">
        <v>0</v>
      </c>
      <c r="P355" s="969">
        <v>0</v>
      </c>
      <c r="Q355" s="971">
        <f t="shared" si="11"/>
        <v>480</v>
      </c>
      <c r="R355" s="969"/>
      <c r="S355" s="970">
        <v>5715</v>
      </c>
      <c r="T355" s="972">
        <v>12182</v>
      </c>
      <c r="U355" s="972">
        <v>17897</v>
      </c>
    </row>
    <row r="356" spans="1:21" x14ac:dyDescent="0.25">
      <c r="A356" s="966">
        <v>93621</v>
      </c>
      <c r="B356" s="967" t="s">
        <v>2972</v>
      </c>
      <c r="C356" s="968">
        <v>9.5719999999999996E-4</v>
      </c>
      <c r="D356" s="968">
        <v>8.5320000000000003E-4</v>
      </c>
      <c r="E356" s="985">
        <v>412639</v>
      </c>
      <c r="F356" s="969">
        <v>1462336</v>
      </c>
      <c r="G356" s="969"/>
      <c r="H356" s="970">
        <v>84244</v>
      </c>
      <c r="I356" s="971">
        <v>355057</v>
      </c>
      <c r="J356" s="970">
        <v>208842</v>
      </c>
      <c r="K356" s="969">
        <v>48292</v>
      </c>
      <c r="L356" s="971">
        <f t="shared" si="10"/>
        <v>696435</v>
      </c>
      <c r="M356" s="969"/>
      <c r="N356" s="970">
        <v>41394</v>
      </c>
      <c r="O356" s="970">
        <v>0</v>
      </c>
      <c r="P356" s="969">
        <v>79767</v>
      </c>
      <c r="Q356" s="971">
        <f t="shared" si="11"/>
        <v>121161</v>
      </c>
      <c r="R356" s="969"/>
      <c r="S356" s="970">
        <v>492809</v>
      </c>
      <c r="T356" s="972">
        <v>-26570</v>
      </c>
      <c r="U356" s="972">
        <f>466238+1</f>
        <v>466239</v>
      </c>
    </row>
    <row r="357" spans="1:21" x14ac:dyDescent="0.25">
      <c r="A357" s="966">
        <v>93623</v>
      </c>
      <c r="B357" s="967" t="s">
        <v>2973</v>
      </c>
      <c r="C357" s="968">
        <v>1.2799999999999999E-5</v>
      </c>
      <c r="D357" s="968">
        <v>1.2500000000000001E-5</v>
      </c>
      <c r="E357" s="985">
        <v>8720</v>
      </c>
      <c r="F357" s="969">
        <v>19555</v>
      </c>
      <c r="G357" s="969"/>
      <c r="H357" s="970">
        <v>1127</v>
      </c>
      <c r="I357" s="971">
        <v>4748</v>
      </c>
      <c r="J357" s="970">
        <v>2793</v>
      </c>
      <c r="K357" s="969">
        <v>5501</v>
      </c>
      <c r="L357" s="971">
        <f t="shared" si="10"/>
        <v>14169</v>
      </c>
      <c r="M357" s="969"/>
      <c r="N357" s="970">
        <v>554</v>
      </c>
      <c r="O357" s="970">
        <v>0</v>
      </c>
      <c r="P357" s="969">
        <v>1</v>
      </c>
      <c r="Q357" s="971">
        <f t="shared" si="11"/>
        <v>555</v>
      </c>
      <c r="R357" s="969"/>
      <c r="S357" s="970">
        <v>6590</v>
      </c>
      <c r="T357" s="972">
        <v>1908</v>
      </c>
      <c r="U357" s="972">
        <v>8498</v>
      </c>
    </row>
    <row r="358" spans="1:21" x14ac:dyDescent="0.25">
      <c r="A358" s="966">
        <v>93631</v>
      </c>
      <c r="B358" s="967" t="s">
        <v>2974</v>
      </c>
      <c r="C358" s="968">
        <v>2.252E-4</v>
      </c>
      <c r="D358" s="968">
        <v>2.3440000000000001E-4</v>
      </c>
      <c r="E358" s="985">
        <v>100501</v>
      </c>
      <c r="F358" s="969">
        <v>344043</v>
      </c>
      <c r="G358" s="969"/>
      <c r="H358" s="970">
        <v>19820</v>
      </c>
      <c r="I358" s="971">
        <v>83534</v>
      </c>
      <c r="J358" s="970">
        <v>49134</v>
      </c>
      <c r="K358" s="969">
        <v>435</v>
      </c>
      <c r="L358" s="971">
        <f t="shared" si="10"/>
        <v>152923</v>
      </c>
      <c r="M358" s="969"/>
      <c r="N358" s="970">
        <v>9739</v>
      </c>
      <c r="O358" s="970">
        <v>0</v>
      </c>
      <c r="P358" s="969">
        <v>20459</v>
      </c>
      <c r="Q358" s="971">
        <f t="shared" si="11"/>
        <v>30198</v>
      </c>
      <c r="R358" s="969"/>
      <c r="S358" s="970">
        <v>115943</v>
      </c>
      <c r="T358" s="972">
        <v>-7001</v>
      </c>
      <c r="U358" s="972">
        <v>108942</v>
      </c>
    </row>
    <row r="359" spans="1:21" x14ac:dyDescent="0.25">
      <c r="A359" s="966">
        <v>93641</v>
      </c>
      <c r="B359" s="967" t="s">
        <v>2975</v>
      </c>
      <c r="C359" s="968">
        <v>4.0450000000000002E-4</v>
      </c>
      <c r="D359" s="968">
        <v>4.3550000000000001E-4</v>
      </c>
      <c r="E359" s="985">
        <v>197852</v>
      </c>
      <c r="F359" s="969">
        <v>617964</v>
      </c>
      <c r="G359" s="969"/>
      <c r="H359" s="970">
        <v>35600</v>
      </c>
      <c r="I359" s="971">
        <v>150042</v>
      </c>
      <c r="J359" s="970">
        <v>88254</v>
      </c>
      <c r="K359" s="969">
        <v>14033</v>
      </c>
      <c r="L359" s="971">
        <f t="shared" si="10"/>
        <v>287929</v>
      </c>
      <c r="M359" s="969"/>
      <c r="N359" s="970">
        <v>17493</v>
      </c>
      <c r="O359" s="970">
        <v>0</v>
      </c>
      <c r="P359" s="969">
        <v>11062</v>
      </c>
      <c r="Q359" s="971">
        <f t="shared" si="11"/>
        <v>28555</v>
      </c>
      <c r="R359" s="969"/>
      <c r="S359" s="970">
        <v>208254</v>
      </c>
      <c r="T359" s="972">
        <v>4772</v>
      </c>
      <c r="U359" s="972">
        <v>213026</v>
      </c>
    </row>
    <row r="360" spans="1:21" x14ac:dyDescent="0.25">
      <c r="A360" s="966">
        <v>93647</v>
      </c>
      <c r="B360" s="967" t="s">
        <v>2976</v>
      </c>
      <c r="C360" s="968">
        <v>6.0000000000000002E-6</v>
      </c>
      <c r="D360" s="968">
        <v>6.1E-6</v>
      </c>
      <c r="E360" s="985">
        <v>9062</v>
      </c>
      <c r="F360" s="969">
        <v>9166</v>
      </c>
      <c r="G360" s="969"/>
      <c r="H360" s="970">
        <v>528</v>
      </c>
      <c r="I360" s="971">
        <v>2226</v>
      </c>
      <c r="J360" s="970">
        <v>1309</v>
      </c>
      <c r="K360" s="969">
        <v>12039</v>
      </c>
      <c r="L360" s="971">
        <f t="shared" si="10"/>
        <v>16102</v>
      </c>
      <c r="M360" s="969"/>
      <c r="N360" s="970">
        <v>259</v>
      </c>
      <c r="O360" s="970">
        <v>0</v>
      </c>
      <c r="P360" s="969">
        <v>0</v>
      </c>
      <c r="Q360" s="971">
        <f t="shared" si="11"/>
        <v>259</v>
      </c>
      <c r="R360" s="969"/>
      <c r="S360" s="970">
        <v>3089</v>
      </c>
      <c r="T360" s="972">
        <v>4642</v>
      </c>
      <c r="U360" s="972">
        <v>7731</v>
      </c>
    </row>
    <row r="361" spans="1:21" x14ac:dyDescent="0.25">
      <c r="A361" s="966">
        <v>93651</v>
      </c>
      <c r="B361" s="967" t="s">
        <v>2977</v>
      </c>
      <c r="C361" s="968">
        <v>4.3800000000000002E-4</v>
      </c>
      <c r="D361" s="968">
        <v>4.282E-4</v>
      </c>
      <c r="E361" s="985">
        <v>185953</v>
      </c>
      <c r="F361" s="969">
        <v>669143</v>
      </c>
      <c r="G361" s="969"/>
      <c r="H361" s="970">
        <v>38549</v>
      </c>
      <c r="I361" s="971">
        <v>162468</v>
      </c>
      <c r="J361" s="970">
        <v>95563</v>
      </c>
      <c r="K361" s="969">
        <v>5830</v>
      </c>
      <c r="L361" s="971">
        <f t="shared" si="10"/>
        <v>302410</v>
      </c>
      <c r="M361" s="969"/>
      <c r="N361" s="970">
        <v>18941</v>
      </c>
      <c r="O361" s="970">
        <v>0</v>
      </c>
      <c r="P361" s="969">
        <v>13910</v>
      </c>
      <c r="Q361" s="971">
        <f t="shared" si="11"/>
        <v>32851</v>
      </c>
      <c r="R361" s="969"/>
      <c r="S361" s="970">
        <v>225502</v>
      </c>
      <c r="T361" s="972">
        <v>-1521</v>
      </c>
      <c r="U361" s="972">
        <f>223980+1</f>
        <v>223981</v>
      </c>
    </row>
    <row r="362" spans="1:21" x14ac:dyDescent="0.25">
      <c r="A362" s="966">
        <v>93661</v>
      </c>
      <c r="B362" s="967" t="s">
        <v>2978</v>
      </c>
      <c r="C362" s="968">
        <v>1.3410000000000001E-4</v>
      </c>
      <c r="D362" s="968">
        <v>1.3420000000000001E-4</v>
      </c>
      <c r="E362" s="985">
        <v>66084</v>
      </c>
      <c r="F362" s="969">
        <v>204868</v>
      </c>
      <c r="G362" s="969"/>
      <c r="H362" s="970">
        <v>11802</v>
      </c>
      <c r="I362" s="971">
        <v>49742</v>
      </c>
      <c r="J362" s="970">
        <v>29258</v>
      </c>
      <c r="K362" s="969">
        <v>11769</v>
      </c>
      <c r="L362" s="971">
        <f t="shared" si="10"/>
        <v>102571</v>
      </c>
      <c r="M362" s="969"/>
      <c r="N362" s="970">
        <v>5799</v>
      </c>
      <c r="O362" s="970">
        <v>0</v>
      </c>
      <c r="P362" s="969">
        <v>0</v>
      </c>
      <c r="Q362" s="971">
        <f t="shared" si="11"/>
        <v>5799</v>
      </c>
      <c r="R362" s="969"/>
      <c r="S362" s="970">
        <v>69041</v>
      </c>
      <c r="T362" s="972">
        <v>4842</v>
      </c>
      <c r="U362" s="972">
        <v>73883</v>
      </c>
    </row>
    <row r="363" spans="1:21" x14ac:dyDescent="0.25">
      <c r="A363" s="966">
        <v>93671</v>
      </c>
      <c r="B363" s="967" t="s">
        <v>2979</v>
      </c>
      <c r="C363" s="968">
        <v>3.5530000000000002E-4</v>
      </c>
      <c r="D363" s="968">
        <v>3.6900000000000002E-4</v>
      </c>
      <c r="E363" s="985">
        <v>172672</v>
      </c>
      <c r="F363" s="969">
        <v>542800</v>
      </c>
      <c r="G363" s="969"/>
      <c r="H363" s="970">
        <v>31270</v>
      </c>
      <c r="I363" s="971">
        <v>131793</v>
      </c>
      <c r="J363" s="970">
        <v>77519</v>
      </c>
      <c r="K363" s="969">
        <v>38666</v>
      </c>
      <c r="L363" s="971">
        <f t="shared" si="10"/>
        <v>279248</v>
      </c>
      <c r="M363" s="969"/>
      <c r="N363" s="970">
        <v>15365</v>
      </c>
      <c r="O363" s="970">
        <v>0</v>
      </c>
      <c r="P363" s="969">
        <v>2899</v>
      </c>
      <c r="Q363" s="971">
        <f t="shared" si="11"/>
        <v>18264</v>
      </c>
      <c r="R363" s="969"/>
      <c r="S363" s="970">
        <v>182924</v>
      </c>
      <c r="T363" s="972">
        <v>28467</v>
      </c>
      <c r="U363" s="972">
        <v>211391</v>
      </c>
    </row>
    <row r="364" spans="1:21" x14ac:dyDescent="0.25">
      <c r="A364" s="966">
        <v>93677</v>
      </c>
      <c r="B364" s="967" t="s">
        <v>1498</v>
      </c>
      <c r="C364" s="968">
        <v>0</v>
      </c>
      <c r="D364" s="968">
        <v>0</v>
      </c>
      <c r="E364" s="985" t="e">
        <v>#N/A</v>
      </c>
      <c r="F364" s="969">
        <v>0</v>
      </c>
      <c r="G364" s="969"/>
      <c r="H364" s="970">
        <v>0</v>
      </c>
      <c r="I364" s="971">
        <v>0</v>
      </c>
      <c r="J364" s="970">
        <v>0</v>
      </c>
      <c r="K364" s="969">
        <v>0</v>
      </c>
      <c r="L364" s="971">
        <f t="shared" si="10"/>
        <v>0</v>
      </c>
      <c r="M364" s="969"/>
      <c r="N364" s="970">
        <v>0</v>
      </c>
      <c r="O364" s="970">
        <v>0</v>
      </c>
      <c r="P364" s="969">
        <v>718</v>
      </c>
      <c r="Q364" s="971">
        <f t="shared" si="11"/>
        <v>718</v>
      </c>
      <c r="R364" s="969"/>
      <c r="S364" s="970">
        <v>0</v>
      </c>
      <c r="T364" s="972">
        <v>-725</v>
      </c>
      <c r="U364" s="972">
        <v>-725</v>
      </c>
    </row>
    <row r="365" spans="1:21" x14ac:dyDescent="0.25">
      <c r="A365" s="966">
        <v>93681</v>
      </c>
      <c r="B365" s="967" t="s">
        <v>2980</v>
      </c>
      <c r="C365" s="968">
        <v>1.1179999999999999E-4</v>
      </c>
      <c r="D365" s="968">
        <v>1.1010000000000001E-4</v>
      </c>
      <c r="E365" s="985">
        <v>48115</v>
      </c>
      <c r="F365" s="969">
        <v>170799</v>
      </c>
      <c r="G365" s="969"/>
      <c r="H365" s="970">
        <v>9840</v>
      </c>
      <c r="I365" s="971">
        <v>41470</v>
      </c>
      <c r="J365" s="970">
        <v>24393</v>
      </c>
      <c r="K365" s="969">
        <v>264</v>
      </c>
      <c r="L365" s="971">
        <f t="shared" si="10"/>
        <v>75967</v>
      </c>
      <c r="M365" s="969"/>
      <c r="N365" s="970">
        <v>4835</v>
      </c>
      <c r="O365" s="970">
        <v>0</v>
      </c>
      <c r="P365" s="969">
        <v>12629</v>
      </c>
      <c r="Q365" s="971">
        <f t="shared" si="11"/>
        <v>17464</v>
      </c>
      <c r="R365" s="969"/>
      <c r="S365" s="970">
        <v>57560</v>
      </c>
      <c r="T365" s="972">
        <v>-6498</v>
      </c>
      <c r="U365" s="972">
        <f>51061+1</f>
        <v>51062</v>
      </c>
    </row>
    <row r="366" spans="1:21" x14ac:dyDescent="0.25">
      <c r="A366" s="966">
        <v>93691</v>
      </c>
      <c r="B366" s="967" t="s">
        <v>2981</v>
      </c>
      <c r="C366" s="968">
        <v>1.0858E-3</v>
      </c>
      <c r="D366" s="968">
        <v>1.1251E-3</v>
      </c>
      <c r="E366" s="985">
        <v>464182</v>
      </c>
      <c r="F366" s="969">
        <v>1658802</v>
      </c>
      <c r="G366" s="969"/>
      <c r="H366" s="970">
        <v>95562</v>
      </c>
      <c r="I366" s="971">
        <v>402759</v>
      </c>
      <c r="J366" s="970">
        <v>236900</v>
      </c>
      <c r="K366" s="969">
        <v>0</v>
      </c>
      <c r="L366" s="971">
        <f t="shared" si="10"/>
        <v>735221</v>
      </c>
      <c r="M366" s="969"/>
      <c r="N366" s="970">
        <v>46955</v>
      </c>
      <c r="O366" s="970">
        <v>0</v>
      </c>
      <c r="P366" s="969">
        <v>115438</v>
      </c>
      <c r="Q366" s="971">
        <f t="shared" si="11"/>
        <v>162393</v>
      </c>
      <c r="R366" s="969"/>
      <c r="S366" s="970">
        <v>559018</v>
      </c>
      <c r="T366" s="972">
        <v>-42411</v>
      </c>
      <c r="U366" s="972">
        <v>516607</v>
      </c>
    </row>
    <row r="367" spans="1:21" x14ac:dyDescent="0.25">
      <c r="A367" s="966">
        <v>93701</v>
      </c>
      <c r="B367" s="967" t="s">
        <v>3670</v>
      </c>
      <c r="C367" s="968">
        <v>4.5800000000000002E-4</v>
      </c>
      <c r="D367" s="968">
        <v>4.6200000000000001E-4</v>
      </c>
      <c r="E367" s="985">
        <v>201820</v>
      </c>
      <c r="F367" s="969">
        <v>699697</v>
      </c>
      <c r="G367" s="969"/>
      <c r="H367" s="970">
        <v>40309</v>
      </c>
      <c r="I367" s="971">
        <v>169888</v>
      </c>
      <c r="J367" s="970">
        <v>99926</v>
      </c>
      <c r="K367" s="969">
        <v>7923</v>
      </c>
      <c r="L367" s="971">
        <f t="shared" si="10"/>
        <v>318046</v>
      </c>
      <c r="M367" s="969"/>
      <c r="N367" s="970">
        <v>19806</v>
      </c>
      <c r="O367" s="970">
        <v>0</v>
      </c>
      <c r="P367" s="969">
        <v>17631</v>
      </c>
      <c r="Q367" s="971">
        <f t="shared" si="11"/>
        <v>37437</v>
      </c>
      <c r="R367" s="969"/>
      <c r="S367" s="970">
        <v>235799</v>
      </c>
      <c r="T367" s="972">
        <v>566</v>
      </c>
      <c r="U367" s="972">
        <v>236365</v>
      </c>
    </row>
    <row r="368" spans="1:21" x14ac:dyDescent="0.25">
      <c r="A368" s="966">
        <v>93704</v>
      </c>
      <c r="B368" s="967" t="s">
        <v>2983</v>
      </c>
      <c r="C368" s="968">
        <v>3.0000000000000001E-6</v>
      </c>
      <c r="D368" s="968">
        <v>3.3000000000000002E-6</v>
      </c>
      <c r="E368" s="985">
        <v>1962</v>
      </c>
      <c r="F368" s="969">
        <v>4583</v>
      </c>
      <c r="G368" s="969"/>
      <c r="H368" s="970">
        <v>264</v>
      </c>
      <c r="I368" s="971">
        <v>1113</v>
      </c>
      <c r="J368" s="970">
        <v>655</v>
      </c>
      <c r="K368" s="969">
        <v>578</v>
      </c>
      <c r="L368" s="971">
        <f t="shared" si="10"/>
        <v>2610</v>
      </c>
      <c r="M368" s="969"/>
      <c r="N368" s="970">
        <v>130</v>
      </c>
      <c r="O368" s="970">
        <v>0</v>
      </c>
      <c r="P368" s="969">
        <v>49</v>
      </c>
      <c r="Q368" s="971">
        <f t="shared" si="11"/>
        <v>179</v>
      </c>
      <c r="R368" s="969"/>
      <c r="S368" s="970">
        <v>1545</v>
      </c>
      <c r="T368" s="972">
        <v>136</v>
      </c>
      <c r="U368" s="972">
        <v>1681</v>
      </c>
    </row>
    <row r="369" spans="1:21" x14ac:dyDescent="0.25">
      <c r="A369" s="966">
        <v>93801</v>
      </c>
      <c r="B369" s="967" t="s">
        <v>2984</v>
      </c>
      <c r="C369" s="968">
        <v>4.7889999999999999E-4</v>
      </c>
      <c r="D369" s="968">
        <v>5.4180000000000005E-4</v>
      </c>
      <c r="E369" s="985">
        <v>205984</v>
      </c>
      <c r="F369" s="969">
        <v>731627</v>
      </c>
      <c r="G369" s="969"/>
      <c r="H369" s="970">
        <v>42148</v>
      </c>
      <c r="I369" s="971">
        <v>177639</v>
      </c>
      <c r="J369" s="970">
        <v>104486</v>
      </c>
      <c r="K369" s="969">
        <v>113630</v>
      </c>
      <c r="L369" s="971">
        <f t="shared" si="10"/>
        <v>437903</v>
      </c>
      <c r="M369" s="969"/>
      <c r="N369" s="970">
        <v>20710</v>
      </c>
      <c r="O369" s="970">
        <v>0</v>
      </c>
      <c r="P369" s="969">
        <v>54734</v>
      </c>
      <c r="Q369" s="971">
        <f t="shared" si="11"/>
        <v>75444</v>
      </c>
      <c r="R369" s="969"/>
      <c r="S369" s="970">
        <v>246559</v>
      </c>
      <c r="T369" s="972">
        <v>28052</v>
      </c>
      <c r="U369" s="972">
        <v>274611</v>
      </c>
    </row>
    <row r="370" spans="1:21" x14ac:dyDescent="0.25">
      <c r="A370" s="966">
        <v>93803</v>
      </c>
      <c r="B370" s="967" t="s">
        <v>2985</v>
      </c>
      <c r="C370" s="968">
        <v>1.1900000000000001E-4</v>
      </c>
      <c r="D370" s="968">
        <v>1.4469999999999999E-4</v>
      </c>
      <c r="E370" s="985">
        <v>50573</v>
      </c>
      <c r="F370" s="969">
        <v>181799</v>
      </c>
      <c r="G370" s="969"/>
      <c r="H370" s="970">
        <v>10473</v>
      </c>
      <c r="I370" s="971">
        <v>44141</v>
      </c>
      <c r="J370" s="970">
        <v>25963</v>
      </c>
      <c r="K370" s="969">
        <v>0</v>
      </c>
      <c r="L370" s="971">
        <f t="shared" si="10"/>
        <v>80577</v>
      </c>
      <c r="M370" s="969"/>
      <c r="N370" s="970">
        <v>5146</v>
      </c>
      <c r="O370" s="970">
        <v>0</v>
      </c>
      <c r="P370" s="969">
        <v>42594</v>
      </c>
      <c r="Q370" s="971">
        <f t="shared" si="11"/>
        <v>47740</v>
      </c>
      <c r="R370" s="969"/>
      <c r="S370" s="970">
        <v>61266</v>
      </c>
      <c r="T370" s="972">
        <v>-17510</v>
      </c>
      <c r="U370" s="972">
        <v>43756</v>
      </c>
    </row>
    <row r="371" spans="1:21" x14ac:dyDescent="0.25">
      <c r="A371" s="966">
        <v>93806</v>
      </c>
      <c r="B371" s="967" t="s">
        <v>2986</v>
      </c>
      <c r="C371" s="968">
        <v>9.3900000000000006E-5</v>
      </c>
      <c r="D371" s="968">
        <v>7.3700000000000002E-5</v>
      </c>
      <c r="E371" s="985">
        <v>41336</v>
      </c>
      <c r="F371" s="969">
        <v>143453</v>
      </c>
      <c r="G371" s="969"/>
      <c r="H371" s="970">
        <v>8264</v>
      </c>
      <c r="I371" s="971">
        <v>34831</v>
      </c>
      <c r="J371" s="970">
        <v>20487</v>
      </c>
      <c r="K371" s="969">
        <v>13283</v>
      </c>
      <c r="L371" s="971">
        <f t="shared" si="10"/>
        <v>76865</v>
      </c>
      <c r="M371" s="969"/>
      <c r="N371" s="970">
        <v>4061</v>
      </c>
      <c r="O371" s="970">
        <v>0</v>
      </c>
      <c r="P371" s="969">
        <v>10049</v>
      </c>
      <c r="Q371" s="971">
        <f t="shared" si="11"/>
        <v>14110</v>
      </c>
      <c r="R371" s="969"/>
      <c r="S371" s="970">
        <v>48344</v>
      </c>
      <c r="T371" s="972">
        <v>-6121</v>
      </c>
      <c r="U371" s="972">
        <v>42223</v>
      </c>
    </row>
    <row r="372" spans="1:21" x14ac:dyDescent="0.25">
      <c r="A372" s="966">
        <v>93821</v>
      </c>
      <c r="B372" s="967" t="s">
        <v>2987</v>
      </c>
      <c r="C372" s="968">
        <v>2.9899999999999998E-5</v>
      </c>
      <c r="D372" s="968">
        <v>5.7200000000000001E-5</v>
      </c>
      <c r="E372" s="985">
        <v>36177</v>
      </c>
      <c r="F372" s="969">
        <v>45679</v>
      </c>
      <c r="G372" s="969"/>
      <c r="H372" s="970">
        <v>2632</v>
      </c>
      <c r="I372" s="971">
        <v>11090</v>
      </c>
      <c r="J372" s="970">
        <v>6524</v>
      </c>
      <c r="K372" s="969">
        <v>18424</v>
      </c>
      <c r="L372" s="971">
        <f t="shared" si="10"/>
        <v>38670</v>
      </c>
      <c r="M372" s="969"/>
      <c r="N372" s="970">
        <v>1293</v>
      </c>
      <c r="O372" s="970">
        <v>0</v>
      </c>
      <c r="P372" s="969">
        <v>343</v>
      </c>
      <c r="Q372" s="971">
        <f t="shared" si="11"/>
        <v>1636</v>
      </c>
      <c r="R372" s="969"/>
      <c r="S372" s="970">
        <v>15394</v>
      </c>
      <c r="T372" s="972">
        <v>7633</v>
      </c>
      <c r="U372" s="972">
        <f>23026+1</f>
        <v>23027</v>
      </c>
    </row>
    <row r="373" spans="1:21" x14ac:dyDescent="0.25">
      <c r="A373" s="966">
        <v>93901</v>
      </c>
      <c r="B373" s="967" t="s">
        <v>2988</v>
      </c>
      <c r="C373" s="968">
        <v>1.7974E-3</v>
      </c>
      <c r="D373" s="968">
        <v>1.8059E-3</v>
      </c>
      <c r="E373" s="985">
        <v>887170</v>
      </c>
      <c r="F373" s="969">
        <v>2745929</v>
      </c>
      <c r="G373" s="969"/>
      <c r="H373" s="970">
        <v>158191</v>
      </c>
      <c r="I373" s="971">
        <v>666715</v>
      </c>
      <c r="J373" s="970">
        <v>392157</v>
      </c>
      <c r="K373" s="969">
        <v>89069</v>
      </c>
      <c r="L373" s="971">
        <f t="shared" si="10"/>
        <v>1306132</v>
      </c>
      <c r="M373" s="969"/>
      <c r="N373" s="970">
        <v>77729</v>
      </c>
      <c r="O373" s="970">
        <v>0</v>
      </c>
      <c r="P373" s="969">
        <v>0</v>
      </c>
      <c r="Q373" s="971">
        <f t="shared" si="11"/>
        <v>77729</v>
      </c>
      <c r="R373" s="969"/>
      <c r="S373" s="970">
        <v>925381</v>
      </c>
      <c r="T373" s="972">
        <v>32657</v>
      </c>
      <c r="U373" s="972">
        <v>958038</v>
      </c>
    </row>
    <row r="374" spans="1:21" x14ac:dyDescent="0.25">
      <c r="A374" s="966">
        <v>93904</v>
      </c>
      <c r="B374" s="967" t="s">
        <v>2989</v>
      </c>
      <c r="C374" s="968">
        <v>3.0000000000000001E-5</v>
      </c>
      <c r="D374" s="968">
        <v>2.4700000000000001E-5</v>
      </c>
      <c r="E374" s="985">
        <v>17302</v>
      </c>
      <c r="F374" s="969">
        <v>45832</v>
      </c>
      <c r="G374" s="969"/>
      <c r="H374" s="970">
        <v>2640</v>
      </c>
      <c r="I374" s="971">
        <v>11128</v>
      </c>
      <c r="J374" s="970">
        <v>6545</v>
      </c>
      <c r="K374" s="969">
        <v>9710</v>
      </c>
      <c r="L374" s="971">
        <f t="shared" si="10"/>
        <v>30023</v>
      </c>
      <c r="M374" s="969"/>
      <c r="N374" s="970">
        <v>1297</v>
      </c>
      <c r="O374" s="970">
        <v>0</v>
      </c>
      <c r="P374" s="969">
        <v>28</v>
      </c>
      <c r="Q374" s="971">
        <f t="shared" si="11"/>
        <v>1325</v>
      </c>
      <c r="R374" s="969"/>
      <c r="S374" s="970">
        <v>15445</v>
      </c>
      <c r="T374" s="972">
        <v>3144</v>
      </c>
      <c r="U374" s="972">
        <v>18589</v>
      </c>
    </row>
    <row r="375" spans="1:21" x14ac:dyDescent="0.25">
      <c r="A375" s="966">
        <v>93906</v>
      </c>
      <c r="B375" s="967" t="s">
        <v>2990</v>
      </c>
      <c r="C375" s="968">
        <v>3.3882000000000001E-3</v>
      </c>
      <c r="D375" s="968">
        <v>3.4513E-3</v>
      </c>
      <c r="E375" s="985">
        <v>1486051</v>
      </c>
      <c r="F375" s="969">
        <v>5176231</v>
      </c>
      <c r="G375" s="969"/>
      <c r="H375" s="970">
        <v>298199</v>
      </c>
      <c r="I375" s="971">
        <v>1256796</v>
      </c>
      <c r="J375" s="970">
        <v>739237</v>
      </c>
      <c r="K375" s="969">
        <v>14983</v>
      </c>
      <c r="L375" s="971">
        <f t="shared" si="10"/>
        <v>2309215</v>
      </c>
      <c r="M375" s="969"/>
      <c r="N375" s="970">
        <v>146523</v>
      </c>
      <c r="O375" s="970">
        <v>0</v>
      </c>
      <c r="P375" s="969">
        <v>222323</v>
      </c>
      <c r="Q375" s="971">
        <f t="shared" si="11"/>
        <v>368846</v>
      </c>
      <c r="R375" s="969"/>
      <c r="S375" s="970">
        <v>1744394</v>
      </c>
      <c r="T375" s="972">
        <v>-70525</v>
      </c>
      <c r="U375" s="972">
        <v>1673869</v>
      </c>
    </row>
    <row r="376" spans="1:21" x14ac:dyDescent="0.25">
      <c r="A376" s="966">
        <v>93908</v>
      </c>
      <c r="B376" s="967" t="s">
        <v>3671</v>
      </c>
      <c r="C376" s="968">
        <v>5.1219999999999998E-4</v>
      </c>
      <c r="D376" s="968">
        <v>5.0239999999999996E-4</v>
      </c>
      <c r="E376" s="985">
        <v>237114</v>
      </c>
      <c r="F376" s="969">
        <v>782500</v>
      </c>
      <c r="G376" s="969"/>
      <c r="H376" s="970">
        <v>45079</v>
      </c>
      <c r="I376" s="971">
        <v>189992</v>
      </c>
      <c r="J376" s="970">
        <v>111752</v>
      </c>
      <c r="K376" s="969">
        <v>12340</v>
      </c>
      <c r="L376" s="971">
        <f t="shared" si="10"/>
        <v>359163</v>
      </c>
      <c r="M376" s="969"/>
      <c r="N376" s="970">
        <v>22150</v>
      </c>
      <c r="O376" s="970">
        <v>0</v>
      </c>
      <c r="P376" s="969">
        <v>16479</v>
      </c>
      <c r="Q376" s="971">
        <f t="shared" si="11"/>
        <v>38629</v>
      </c>
      <c r="R376" s="969"/>
      <c r="S376" s="970">
        <v>263703</v>
      </c>
      <c r="T376" s="972">
        <v>-2302</v>
      </c>
      <c r="U376" s="972">
        <v>261401</v>
      </c>
    </row>
    <row r="377" spans="1:21" x14ac:dyDescent="0.25">
      <c r="A377" s="966">
        <v>93910</v>
      </c>
      <c r="B377" s="967" t="s">
        <v>2992</v>
      </c>
      <c r="C377" s="968">
        <v>2.786E-4</v>
      </c>
      <c r="D377" s="968">
        <v>2.9129999999999998E-4</v>
      </c>
      <c r="E377" s="985">
        <v>117578</v>
      </c>
      <c r="F377" s="969">
        <v>425624</v>
      </c>
      <c r="G377" s="969"/>
      <c r="H377" s="970">
        <v>24520</v>
      </c>
      <c r="I377" s="971">
        <v>103342</v>
      </c>
      <c r="J377" s="970">
        <v>60785</v>
      </c>
      <c r="K377" s="969">
        <v>0</v>
      </c>
      <c r="L377" s="971">
        <f t="shared" si="10"/>
        <v>188647</v>
      </c>
      <c r="M377" s="969"/>
      <c r="N377" s="970">
        <v>12048</v>
      </c>
      <c r="O377" s="970">
        <v>0</v>
      </c>
      <c r="P377" s="969">
        <v>34002</v>
      </c>
      <c r="Q377" s="971">
        <f t="shared" si="11"/>
        <v>46050</v>
      </c>
      <c r="R377" s="969"/>
      <c r="S377" s="970">
        <v>143436</v>
      </c>
      <c r="T377" s="972">
        <v>-14513</v>
      </c>
      <c r="U377" s="972">
        <v>128923</v>
      </c>
    </row>
    <row r="378" spans="1:21" x14ac:dyDescent="0.25">
      <c r="A378" s="966">
        <v>93911</v>
      </c>
      <c r="B378" s="967" t="s">
        <v>2993</v>
      </c>
      <c r="C378" s="968">
        <v>6.3429999999999997E-4</v>
      </c>
      <c r="D378" s="968">
        <v>6.9890000000000002E-4</v>
      </c>
      <c r="E378" s="985">
        <v>301989</v>
      </c>
      <c r="F378" s="969">
        <v>969035</v>
      </c>
      <c r="G378" s="969"/>
      <c r="H378" s="970">
        <v>55825</v>
      </c>
      <c r="I378" s="971">
        <v>235283</v>
      </c>
      <c r="J378" s="970">
        <v>138392</v>
      </c>
      <c r="K378" s="969">
        <v>13175</v>
      </c>
      <c r="L378" s="971">
        <f t="shared" si="10"/>
        <v>442675</v>
      </c>
      <c r="M378" s="969"/>
      <c r="N378" s="970">
        <v>27430</v>
      </c>
      <c r="O378" s="970">
        <v>0</v>
      </c>
      <c r="P378" s="969">
        <v>54353</v>
      </c>
      <c r="Q378" s="971">
        <f t="shared" si="11"/>
        <v>81783</v>
      </c>
      <c r="R378" s="969"/>
      <c r="S378" s="970">
        <v>326566</v>
      </c>
      <c r="T378" s="972">
        <v>-6922</v>
      </c>
      <c r="U378" s="972">
        <v>319644</v>
      </c>
    </row>
    <row r="379" spans="1:21" x14ac:dyDescent="0.25">
      <c r="A379" s="966">
        <v>93913</v>
      </c>
      <c r="B379" s="967" t="s">
        <v>2994</v>
      </c>
      <c r="C379" s="968">
        <v>5.8799999999999999E-5</v>
      </c>
      <c r="D379" s="968">
        <v>6.2600000000000004E-5</v>
      </c>
      <c r="E379" s="985">
        <v>29910</v>
      </c>
      <c r="F379" s="969">
        <v>89830</v>
      </c>
      <c r="G379" s="969"/>
      <c r="H379" s="970">
        <v>5175</v>
      </c>
      <c r="I379" s="971">
        <v>21810</v>
      </c>
      <c r="J379" s="970">
        <v>12829</v>
      </c>
      <c r="K379" s="969">
        <v>2902</v>
      </c>
      <c r="L379" s="971">
        <f t="shared" si="10"/>
        <v>42716</v>
      </c>
      <c r="M379" s="969"/>
      <c r="N379" s="970">
        <v>2543</v>
      </c>
      <c r="O379" s="970">
        <v>0</v>
      </c>
      <c r="P379" s="969">
        <v>1064</v>
      </c>
      <c r="Q379" s="971">
        <f t="shared" si="11"/>
        <v>3607</v>
      </c>
      <c r="R379" s="969"/>
      <c r="S379" s="970">
        <v>30273</v>
      </c>
      <c r="T379" s="972">
        <v>476</v>
      </c>
      <c r="U379" s="972">
        <v>30749</v>
      </c>
    </row>
    <row r="380" spans="1:21" x14ac:dyDescent="0.25">
      <c r="A380" s="966">
        <v>93914</v>
      </c>
      <c r="B380" s="967" t="s">
        <v>2995</v>
      </c>
      <c r="C380" s="968">
        <v>8.1000000000000004E-6</v>
      </c>
      <c r="D380" s="968">
        <v>9.0999999999999993E-6</v>
      </c>
      <c r="E380" s="985">
        <v>6536</v>
      </c>
      <c r="F380" s="969">
        <v>12375</v>
      </c>
      <c r="G380" s="969"/>
      <c r="H380" s="970">
        <v>713</v>
      </c>
      <c r="I380" s="971">
        <v>3005</v>
      </c>
      <c r="J380" s="970">
        <v>1767</v>
      </c>
      <c r="K380" s="969">
        <v>3568</v>
      </c>
      <c r="L380" s="971">
        <f t="shared" si="10"/>
        <v>9053</v>
      </c>
      <c r="M380" s="969"/>
      <c r="N380" s="970">
        <v>350</v>
      </c>
      <c r="O380" s="970">
        <v>0</v>
      </c>
      <c r="P380" s="969">
        <v>0</v>
      </c>
      <c r="Q380" s="971">
        <f t="shared" si="11"/>
        <v>350</v>
      </c>
      <c r="R380" s="969"/>
      <c r="S380" s="970">
        <v>4170</v>
      </c>
      <c r="T380" s="972">
        <v>1520</v>
      </c>
      <c r="U380" s="972">
        <v>5690</v>
      </c>
    </row>
    <row r="381" spans="1:21" x14ac:dyDescent="0.25">
      <c r="A381" s="966">
        <v>93921</v>
      </c>
      <c r="B381" s="967" t="s">
        <v>2996</v>
      </c>
      <c r="C381" s="968">
        <v>2.9020000000000001E-4</v>
      </c>
      <c r="D381" s="968">
        <v>2.7139999999999998E-4</v>
      </c>
      <c r="E381" s="985">
        <v>126884</v>
      </c>
      <c r="F381" s="969">
        <v>443345</v>
      </c>
      <c r="G381" s="969"/>
      <c r="H381" s="970">
        <v>25541</v>
      </c>
      <c r="I381" s="971">
        <v>107645</v>
      </c>
      <c r="J381" s="970">
        <v>63316</v>
      </c>
      <c r="K381" s="969">
        <v>16222</v>
      </c>
      <c r="L381" s="971">
        <f t="shared" si="10"/>
        <v>212724</v>
      </c>
      <c r="M381" s="969"/>
      <c r="N381" s="970">
        <v>12550</v>
      </c>
      <c r="O381" s="970">
        <v>0</v>
      </c>
      <c r="P381" s="969">
        <v>5036</v>
      </c>
      <c r="Q381" s="971">
        <f t="shared" si="11"/>
        <v>17586</v>
      </c>
      <c r="R381" s="969"/>
      <c r="S381" s="970">
        <v>149408</v>
      </c>
      <c r="T381" s="972">
        <v>6326</v>
      </c>
      <c r="U381" s="972">
        <v>155734</v>
      </c>
    </row>
    <row r="382" spans="1:21" x14ac:dyDescent="0.25">
      <c r="A382" s="966">
        <v>93931</v>
      </c>
      <c r="B382" s="967" t="s">
        <v>2997</v>
      </c>
      <c r="C382" s="968">
        <v>5.0029999999999996E-4</v>
      </c>
      <c r="D382" s="968">
        <v>5.2260000000000002E-4</v>
      </c>
      <c r="E382" s="985">
        <v>212623</v>
      </c>
      <c r="F382" s="969">
        <v>764320</v>
      </c>
      <c r="G382" s="969"/>
      <c r="H382" s="970">
        <v>44032</v>
      </c>
      <c r="I382" s="971">
        <v>185578</v>
      </c>
      <c r="J382" s="970">
        <v>109155</v>
      </c>
      <c r="K382" s="969">
        <v>107572</v>
      </c>
      <c r="L382" s="971">
        <f t="shared" si="10"/>
        <v>446337</v>
      </c>
      <c r="M382" s="969"/>
      <c r="N382" s="970">
        <v>21635</v>
      </c>
      <c r="O382" s="970">
        <v>0</v>
      </c>
      <c r="P382" s="969">
        <v>39017</v>
      </c>
      <c r="Q382" s="971">
        <f t="shared" si="11"/>
        <v>60652</v>
      </c>
      <c r="R382" s="969"/>
      <c r="S382" s="970">
        <v>257576</v>
      </c>
      <c r="T382" s="972">
        <v>79129</v>
      </c>
      <c r="U382" s="972">
        <v>336705</v>
      </c>
    </row>
    <row r="383" spans="1:21" x14ac:dyDescent="0.25">
      <c r="A383" s="966">
        <v>94001</v>
      </c>
      <c r="B383" s="967" t="s">
        <v>2998</v>
      </c>
      <c r="C383" s="968">
        <v>9.209E-4</v>
      </c>
      <c r="D383" s="968">
        <v>9.0240000000000003E-4</v>
      </c>
      <c r="E383" s="985">
        <v>430503</v>
      </c>
      <c r="F383" s="969">
        <v>1406880</v>
      </c>
      <c r="G383" s="969"/>
      <c r="H383" s="970">
        <v>81049</v>
      </c>
      <c r="I383" s="971">
        <v>341592</v>
      </c>
      <c r="J383" s="970">
        <v>200922</v>
      </c>
      <c r="K383" s="969">
        <v>45532</v>
      </c>
      <c r="L383" s="971">
        <f t="shared" si="10"/>
        <v>669095</v>
      </c>
      <c r="M383" s="969"/>
      <c r="N383" s="970">
        <v>39824</v>
      </c>
      <c r="O383" s="970">
        <v>0</v>
      </c>
      <c r="P383" s="969">
        <v>27168</v>
      </c>
      <c r="Q383" s="971">
        <f t="shared" si="11"/>
        <v>66992</v>
      </c>
      <c r="R383" s="969"/>
      <c r="S383" s="970">
        <v>474120</v>
      </c>
      <c r="T383" s="972">
        <v>-12411</v>
      </c>
      <c r="U383" s="972">
        <v>461709</v>
      </c>
    </row>
    <row r="384" spans="1:21" x14ac:dyDescent="0.25">
      <c r="A384" s="966">
        <v>94002</v>
      </c>
      <c r="B384" s="967" t="s">
        <v>2999</v>
      </c>
      <c r="C384" s="968">
        <v>7.0999999999999998E-6</v>
      </c>
      <c r="D384" s="968">
        <v>7.6000000000000001E-6</v>
      </c>
      <c r="E384" s="985">
        <v>4693</v>
      </c>
      <c r="F384" s="969">
        <v>10847</v>
      </c>
      <c r="G384" s="969"/>
      <c r="H384" s="970">
        <v>625</v>
      </c>
      <c r="I384" s="971">
        <v>2633</v>
      </c>
      <c r="J384" s="970">
        <v>1549</v>
      </c>
      <c r="K384" s="969">
        <v>1428</v>
      </c>
      <c r="L384" s="971">
        <f t="shared" si="10"/>
        <v>6235</v>
      </c>
      <c r="M384" s="969"/>
      <c r="N384" s="970">
        <v>307</v>
      </c>
      <c r="O384" s="970">
        <v>0</v>
      </c>
      <c r="P384" s="969">
        <v>214</v>
      </c>
      <c r="Q384" s="971">
        <f t="shared" si="11"/>
        <v>521</v>
      </c>
      <c r="R384" s="969"/>
      <c r="S384" s="970">
        <v>3655</v>
      </c>
      <c r="T384" s="972">
        <v>237</v>
      </c>
      <c r="U384" s="972">
        <v>3892</v>
      </c>
    </row>
    <row r="385" spans="1:21" x14ac:dyDescent="0.25">
      <c r="A385" s="966">
        <v>94004</v>
      </c>
      <c r="B385" s="967" t="s">
        <v>3000</v>
      </c>
      <c r="C385" s="968">
        <v>7.3000000000000004E-6</v>
      </c>
      <c r="D385" s="968">
        <v>2.7999999999999999E-6</v>
      </c>
      <c r="E385" s="985">
        <v>4145</v>
      </c>
      <c r="F385" s="969">
        <v>11152</v>
      </c>
      <c r="G385" s="969"/>
      <c r="H385" s="970">
        <v>642</v>
      </c>
      <c r="I385" s="971">
        <v>2708</v>
      </c>
      <c r="J385" s="970">
        <v>1593</v>
      </c>
      <c r="K385" s="969">
        <v>4768</v>
      </c>
      <c r="L385" s="971">
        <f t="shared" si="10"/>
        <v>9711</v>
      </c>
      <c r="M385" s="969"/>
      <c r="N385" s="970">
        <v>316</v>
      </c>
      <c r="O385" s="970">
        <v>0</v>
      </c>
      <c r="P385" s="969">
        <v>626</v>
      </c>
      <c r="Q385" s="971">
        <f t="shared" si="11"/>
        <v>942</v>
      </c>
      <c r="R385" s="969"/>
      <c r="S385" s="970">
        <v>3758</v>
      </c>
      <c r="T385" s="972">
        <v>706</v>
      </c>
      <c r="U385" s="972">
        <v>4464</v>
      </c>
    </row>
    <row r="386" spans="1:21" x14ac:dyDescent="0.25">
      <c r="A386" s="966">
        <v>94005</v>
      </c>
      <c r="B386" s="967" t="s">
        <v>3001</v>
      </c>
      <c r="C386" s="968">
        <v>0</v>
      </c>
      <c r="D386" s="968">
        <v>5.4999999999999999E-6</v>
      </c>
      <c r="E386" s="985">
        <v>560</v>
      </c>
      <c r="F386" s="969">
        <v>0</v>
      </c>
      <c r="G386" s="969"/>
      <c r="H386" s="970">
        <v>0</v>
      </c>
      <c r="I386" s="971">
        <v>0</v>
      </c>
      <c r="J386" s="970">
        <v>0</v>
      </c>
      <c r="K386" s="969">
        <v>0</v>
      </c>
      <c r="L386" s="971">
        <f t="shared" si="10"/>
        <v>0</v>
      </c>
      <c r="M386" s="969"/>
      <c r="N386" s="970">
        <v>0</v>
      </c>
      <c r="O386" s="970">
        <v>0</v>
      </c>
      <c r="P386" s="969">
        <v>5864</v>
      </c>
      <c r="Q386" s="971">
        <f t="shared" si="11"/>
        <v>5864</v>
      </c>
      <c r="R386" s="969"/>
      <c r="S386" s="970">
        <v>0</v>
      </c>
      <c r="T386" s="972">
        <v>-1984</v>
      </c>
      <c r="U386" s="972">
        <v>-1984</v>
      </c>
    </row>
    <row r="387" spans="1:21" x14ac:dyDescent="0.25">
      <c r="A387" s="966">
        <v>94011</v>
      </c>
      <c r="B387" s="967" t="s">
        <v>3002</v>
      </c>
      <c r="C387" s="968">
        <v>2.3600000000000001E-5</v>
      </c>
      <c r="D387" s="968">
        <v>2.5599999999999999E-5</v>
      </c>
      <c r="E387" s="985">
        <v>9233</v>
      </c>
      <c r="F387" s="969">
        <v>36054</v>
      </c>
      <c r="G387" s="969"/>
      <c r="H387" s="970">
        <v>2077</v>
      </c>
      <c r="I387" s="971">
        <v>8754</v>
      </c>
      <c r="J387" s="970">
        <v>5149</v>
      </c>
      <c r="K387" s="969">
        <v>3216</v>
      </c>
      <c r="L387" s="971">
        <f t="shared" si="10"/>
        <v>19196</v>
      </c>
      <c r="M387" s="969"/>
      <c r="N387" s="970">
        <v>1021</v>
      </c>
      <c r="O387" s="970">
        <v>0</v>
      </c>
      <c r="P387" s="969">
        <v>3156</v>
      </c>
      <c r="Q387" s="971">
        <f t="shared" si="11"/>
        <v>4177</v>
      </c>
      <c r="R387" s="969"/>
      <c r="S387" s="970">
        <v>12150</v>
      </c>
      <c r="T387" s="972">
        <v>-16</v>
      </c>
      <c r="U387" s="972">
        <v>12134</v>
      </c>
    </row>
    <row r="388" spans="1:21" x14ac:dyDescent="0.25">
      <c r="A388" s="966">
        <v>94021</v>
      </c>
      <c r="B388" s="967" t="s">
        <v>3003</v>
      </c>
      <c r="C388" s="968">
        <v>9.3399999999999993E-5</v>
      </c>
      <c r="D388" s="968">
        <v>8.1699999999999994E-5</v>
      </c>
      <c r="E388" s="985">
        <v>47346</v>
      </c>
      <c r="F388" s="969">
        <v>142689</v>
      </c>
      <c r="G388" s="969"/>
      <c r="H388" s="970">
        <v>8220</v>
      </c>
      <c r="I388" s="971">
        <v>34645</v>
      </c>
      <c r="J388" s="970">
        <v>20378</v>
      </c>
      <c r="K388" s="969">
        <v>20025</v>
      </c>
      <c r="L388" s="971">
        <f t="shared" si="10"/>
        <v>83268</v>
      </c>
      <c r="M388" s="969"/>
      <c r="N388" s="970">
        <v>4039</v>
      </c>
      <c r="O388" s="970">
        <v>0</v>
      </c>
      <c r="P388" s="969">
        <v>0</v>
      </c>
      <c r="Q388" s="971">
        <f t="shared" si="11"/>
        <v>4039</v>
      </c>
      <c r="R388" s="969"/>
      <c r="S388" s="970">
        <v>48086</v>
      </c>
      <c r="T388" s="972">
        <v>8567</v>
      </c>
      <c r="U388" s="972">
        <v>56653</v>
      </c>
    </row>
    <row r="389" spans="1:21" x14ac:dyDescent="0.25">
      <c r="A389" s="966">
        <v>94031</v>
      </c>
      <c r="B389" s="967" t="s">
        <v>3004</v>
      </c>
      <c r="C389" s="968">
        <v>5.4E-6</v>
      </c>
      <c r="D389" s="968">
        <v>8.1000000000000004E-6</v>
      </c>
      <c r="E389" s="985">
        <v>6800</v>
      </c>
      <c r="F389" s="969">
        <v>8250</v>
      </c>
      <c r="G389" s="969"/>
      <c r="H389" s="970">
        <v>475</v>
      </c>
      <c r="I389" s="971">
        <v>2003</v>
      </c>
      <c r="J389" s="970">
        <v>1178</v>
      </c>
      <c r="K389" s="969">
        <v>7232</v>
      </c>
      <c r="L389" s="971">
        <f t="shared" si="10"/>
        <v>10888</v>
      </c>
      <c r="M389" s="969"/>
      <c r="N389" s="970">
        <v>234</v>
      </c>
      <c r="O389" s="970">
        <v>0</v>
      </c>
      <c r="P389" s="969">
        <v>41</v>
      </c>
      <c r="Q389" s="971">
        <f t="shared" si="11"/>
        <v>275</v>
      </c>
      <c r="R389" s="969"/>
      <c r="S389" s="970">
        <v>2780</v>
      </c>
      <c r="T389" s="972">
        <v>2829</v>
      </c>
      <c r="U389" s="972">
        <v>5609</v>
      </c>
    </row>
    <row r="390" spans="1:21" x14ac:dyDescent="0.25">
      <c r="A390" s="966">
        <v>94101</v>
      </c>
      <c r="B390" s="967" t="s">
        <v>3005</v>
      </c>
      <c r="C390" s="968">
        <v>1.8321799999999999E-2</v>
      </c>
      <c r="D390" s="968">
        <v>1.85028E-2</v>
      </c>
      <c r="E390" s="985">
        <v>8515875</v>
      </c>
      <c r="F390" s="969">
        <v>27990635</v>
      </c>
      <c r="G390" s="969"/>
      <c r="H390" s="970">
        <v>1612520</v>
      </c>
      <c r="I390" s="971">
        <v>6796161</v>
      </c>
      <c r="J390" s="970">
        <v>3997450</v>
      </c>
      <c r="K390" s="969">
        <v>271577</v>
      </c>
      <c r="L390" s="971">
        <f t="shared" si="10"/>
        <v>12677708</v>
      </c>
      <c r="M390" s="969"/>
      <c r="N390" s="970">
        <v>792326</v>
      </c>
      <c r="O390" s="970">
        <v>0</v>
      </c>
      <c r="P390" s="969">
        <v>721969</v>
      </c>
      <c r="Q390" s="971">
        <f t="shared" si="11"/>
        <v>1514295</v>
      </c>
      <c r="R390" s="969"/>
      <c r="S390" s="970">
        <v>9432869</v>
      </c>
      <c r="T390" s="972">
        <v>-270678</v>
      </c>
      <c r="U390" s="972">
        <v>9162191</v>
      </c>
    </row>
    <row r="391" spans="1:21" x14ac:dyDescent="0.25">
      <c r="A391" s="966">
        <v>94102</v>
      </c>
      <c r="B391" s="967" t="s">
        <v>3006</v>
      </c>
      <c r="C391" s="968">
        <v>2.965E-4</v>
      </c>
      <c r="D391" s="968">
        <v>2.7569999999999998E-4</v>
      </c>
      <c r="E391" s="985">
        <v>104557</v>
      </c>
      <c r="F391" s="969">
        <v>452970</v>
      </c>
      <c r="G391" s="969"/>
      <c r="H391" s="970">
        <v>26095</v>
      </c>
      <c r="I391" s="971">
        <v>109981</v>
      </c>
      <c r="J391" s="970">
        <v>64690</v>
      </c>
      <c r="K391" s="969">
        <v>2570</v>
      </c>
      <c r="L391" s="971">
        <f t="shared" ref="L391:L454" si="12">H391+I391+J391+K391</f>
        <v>203336</v>
      </c>
      <c r="M391" s="969"/>
      <c r="N391" s="970">
        <v>12822</v>
      </c>
      <c r="O391" s="970">
        <v>0</v>
      </c>
      <c r="P391" s="969">
        <v>36856</v>
      </c>
      <c r="Q391" s="971">
        <f t="shared" ref="Q391:Q454" si="13">N391+O391+P391</f>
        <v>49678</v>
      </c>
      <c r="R391" s="969"/>
      <c r="S391" s="970">
        <v>152651</v>
      </c>
      <c r="T391" s="972">
        <v>-11311</v>
      </c>
      <c r="U391" s="972">
        <v>141340</v>
      </c>
    </row>
    <row r="392" spans="1:21" x14ac:dyDescent="0.25">
      <c r="A392" s="966">
        <v>94108</v>
      </c>
      <c r="B392" s="967" t="s">
        <v>3007</v>
      </c>
      <c r="C392" s="968">
        <v>3.1389999999999999E-4</v>
      </c>
      <c r="D392" s="968">
        <v>3.1809999999999998E-4</v>
      </c>
      <c r="E392" s="985">
        <v>112936</v>
      </c>
      <c r="F392" s="969">
        <v>479552</v>
      </c>
      <c r="G392" s="969"/>
      <c r="H392" s="970">
        <v>27627</v>
      </c>
      <c r="I392" s="971">
        <v>116436</v>
      </c>
      <c r="J392" s="970">
        <v>68487</v>
      </c>
      <c r="K392" s="969">
        <v>0</v>
      </c>
      <c r="L392" s="971">
        <f t="shared" si="12"/>
        <v>212550</v>
      </c>
      <c r="M392" s="969"/>
      <c r="N392" s="970">
        <v>13575</v>
      </c>
      <c r="O392" s="970">
        <v>0</v>
      </c>
      <c r="P392" s="969">
        <v>108607</v>
      </c>
      <c r="Q392" s="971">
        <f t="shared" si="13"/>
        <v>122182</v>
      </c>
      <c r="R392" s="969"/>
      <c r="S392" s="970">
        <v>161610</v>
      </c>
      <c r="T392" s="972">
        <v>-47459</v>
      </c>
      <c r="U392" s="972">
        <v>114151</v>
      </c>
    </row>
    <row r="393" spans="1:21" x14ac:dyDescent="0.25">
      <c r="A393" s="966">
        <v>94109</v>
      </c>
      <c r="B393" s="967" t="s">
        <v>3008</v>
      </c>
      <c r="C393" s="968">
        <v>9.09E-5</v>
      </c>
      <c r="D393" s="968">
        <v>1.0399999999999999E-4</v>
      </c>
      <c r="E393" s="985">
        <v>31710</v>
      </c>
      <c r="F393" s="969">
        <v>138870</v>
      </c>
      <c r="G393" s="969"/>
      <c r="H393" s="970">
        <v>8000</v>
      </c>
      <c r="I393" s="971">
        <v>33718</v>
      </c>
      <c r="J393" s="970">
        <v>19833</v>
      </c>
      <c r="K393" s="969">
        <v>796</v>
      </c>
      <c r="L393" s="971">
        <f t="shared" si="12"/>
        <v>62347</v>
      </c>
      <c r="M393" s="969"/>
      <c r="N393" s="970">
        <v>3931</v>
      </c>
      <c r="O393" s="970">
        <v>0</v>
      </c>
      <c r="P393" s="969">
        <v>41294</v>
      </c>
      <c r="Q393" s="971">
        <f t="shared" si="13"/>
        <v>45225</v>
      </c>
      <c r="R393" s="969"/>
      <c r="S393" s="970">
        <v>46799</v>
      </c>
      <c r="T393" s="972">
        <v>-12890</v>
      </c>
      <c r="U393" s="972">
        <v>33909</v>
      </c>
    </row>
    <row r="394" spans="1:21" x14ac:dyDescent="0.25">
      <c r="A394" s="966">
        <v>94111</v>
      </c>
      <c r="B394" s="967" t="s">
        <v>3009</v>
      </c>
      <c r="C394" s="968">
        <v>2.5682300000000002E-2</v>
      </c>
      <c r="D394" s="968">
        <v>2.5623300000000002E-2</v>
      </c>
      <c r="E394" s="985">
        <v>11270051</v>
      </c>
      <c r="F394" s="969">
        <v>39235440</v>
      </c>
      <c r="G394" s="969"/>
      <c r="H394" s="970">
        <v>2260325</v>
      </c>
      <c r="I394" s="971">
        <v>9526412</v>
      </c>
      <c r="J394" s="970">
        <v>5603364</v>
      </c>
      <c r="K394" s="969">
        <v>7528</v>
      </c>
      <c r="L394" s="971">
        <f t="shared" si="12"/>
        <v>17397629</v>
      </c>
      <c r="M394" s="969"/>
      <c r="N394" s="970">
        <v>1110631</v>
      </c>
      <c r="O394" s="970">
        <v>0</v>
      </c>
      <c r="P394" s="969">
        <v>1491627</v>
      </c>
      <c r="Q394" s="971">
        <f t="shared" si="13"/>
        <v>2602258</v>
      </c>
      <c r="R394" s="969"/>
      <c r="S394" s="970">
        <v>13222378</v>
      </c>
      <c r="T394" s="972">
        <v>-524586</v>
      </c>
      <c r="U394" s="972">
        <v>12697792</v>
      </c>
    </row>
    <row r="395" spans="1:21" x14ac:dyDescent="0.25">
      <c r="A395" s="966">
        <v>94112</v>
      </c>
      <c r="B395" s="967" t="s">
        <v>3010</v>
      </c>
      <c r="C395" s="968">
        <v>1.6699999999999999E-4</v>
      </c>
      <c r="D395" s="968">
        <v>1.6530000000000001E-4</v>
      </c>
      <c r="E395" s="985">
        <v>68640</v>
      </c>
      <c r="F395" s="969">
        <v>255130</v>
      </c>
      <c r="G395" s="969"/>
      <c r="H395" s="970">
        <v>14698</v>
      </c>
      <c r="I395" s="971">
        <v>61946</v>
      </c>
      <c r="J395" s="970">
        <v>36436</v>
      </c>
      <c r="K395" s="969">
        <v>0</v>
      </c>
      <c r="L395" s="971">
        <f t="shared" si="12"/>
        <v>113080</v>
      </c>
      <c r="M395" s="969"/>
      <c r="N395" s="970">
        <v>7222</v>
      </c>
      <c r="O395" s="970">
        <v>0</v>
      </c>
      <c r="P395" s="969">
        <v>18973</v>
      </c>
      <c r="Q395" s="971">
        <f t="shared" si="13"/>
        <v>26195</v>
      </c>
      <c r="R395" s="969"/>
      <c r="S395" s="970">
        <v>85979</v>
      </c>
      <c r="T395" s="972">
        <v>-8534</v>
      </c>
      <c r="U395" s="972">
        <v>77445</v>
      </c>
    </row>
    <row r="396" spans="1:21" x14ac:dyDescent="0.25">
      <c r="A396" s="966">
        <v>94117</v>
      </c>
      <c r="B396" s="967" t="s">
        <v>3011</v>
      </c>
      <c r="C396" s="968">
        <v>3.9809999999999997E-4</v>
      </c>
      <c r="D396" s="968">
        <v>4.0709999999999997E-4</v>
      </c>
      <c r="E396" s="985">
        <v>179744</v>
      </c>
      <c r="F396" s="969">
        <v>608187</v>
      </c>
      <c r="G396" s="969"/>
      <c r="H396" s="970">
        <v>35037</v>
      </c>
      <c r="I396" s="971">
        <v>147669</v>
      </c>
      <c r="J396" s="970">
        <v>86857</v>
      </c>
      <c r="K396" s="969">
        <v>8133</v>
      </c>
      <c r="L396" s="971">
        <f t="shared" si="12"/>
        <v>277696</v>
      </c>
      <c r="M396" s="969"/>
      <c r="N396" s="970">
        <v>17216</v>
      </c>
      <c r="O396" s="970">
        <v>0</v>
      </c>
      <c r="P396" s="969">
        <v>15587</v>
      </c>
      <c r="Q396" s="971">
        <f t="shared" si="13"/>
        <v>32803</v>
      </c>
      <c r="R396" s="969"/>
      <c r="S396" s="970">
        <v>204959</v>
      </c>
      <c r="T396" s="972">
        <v>-79</v>
      </c>
      <c r="U396" s="972">
        <v>204880</v>
      </c>
    </row>
    <row r="397" spans="1:21" x14ac:dyDescent="0.25">
      <c r="A397" s="966">
        <v>94118</v>
      </c>
      <c r="B397" s="967" t="s">
        <v>3012</v>
      </c>
      <c r="C397" s="968">
        <v>1.494E-4</v>
      </c>
      <c r="D397" s="968">
        <v>1.63E-4</v>
      </c>
      <c r="E397" s="985">
        <v>57233</v>
      </c>
      <c r="F397" s="969">
        <v>228242</v>
      </c>
      <c r="G397" s="969"/>
      <c r="H397" s="970">
        <v>13149</v>
      </c>
      <c r="I397" s="971">
        <v>55417</v>
      </c>
      <c r="J397" s="970">
        <v>32596</v>
      </c>
      <c r="K397" s="969">
        <v>0</v>
      </c>
      <c r="L397" s="971">
        <f t="shared" si="12"/>
        <v>101162</v>
      </c>
      <c r="M397" s="969"/>
      <c r="N397" s="970">
        <v>6461</v>
      </c>
      <c r="O397" s="970">
        <v>0</v>
      </c>
      <c r="P397" s="969">
        <v>56599</v>
      </c>
      <c r="Q397" s="971">
        <f t="shared" si="13"/>
        <v>63060</v>
      </c>
      <c r="R397" s="969"/>
      <c r="S397" s="970">
        <v>76918</v>
      </c>
      <c r="T397" s="972">
        <v>-24768</v>
      </c>
      <c r="U397" s="972">
        <v>52150</v>
      </c>
    </row>
    <row r="398" spans="1:21" x14ac:dyDescent="0.25">
      <c r="A398" s="966">
        <v>94121</v>
      </c>
      <c r="B398" s="967" t="s">
        <v>3013</v>
      </c>
      <c r="C398" s="968">
        <v>1.1246000000000001E-2</v>
      </c>
      <c r="D398" s="968">
        <v>1.12823E-2</v>
      </c>
      <c r="E398" s="985">
        <v>5240634</v>
      </c>
      <c r="F398" s="969">
        <v>17180773</v>
      </c>
      <c r="G398" s="969"/>
      <c r="H398" s="970">
        <v>989772</v>
      </c>
      <c r="I398" s="971">
        <v>4171512</v>
      </c>
      <c r="J398" s="970">
        <v>2453652</v>
      </c>
      <c r="K398" s="969">
        <v>65556</v>
      </c>
      <c r="L398" s="971">
        <f t="shared" si="12"/>
        <v>7680492</v>
      </c>
      <c r="M398" s="969"/>
      <c r="N398" s="970">
        <v>486333</v>
      </c>
      <c r="O398" s="970">
        <v>0</v>
      </c>
      <c r="P398" s="969">
        <v>276825</v>
      </c>
      <c r="Q398" s="971">
        <f t="shared" si="13"/>
        <v>763158</v>
      </c>
      <c r="R398" s="969"/>
      <c r="S398" s="970">
        <v>5789936</v>
      </c>
      <c r="T398" s="972">
        <v>-128084</v>
      </c>
      <c r="U398" s="972">
        <v>5661852</v>
      </c>
    </row>
    <row r="399" spans="1:21" x14ac:dyDescent="0.25">
      <c r="A399" s="966">
        <v>94127</v>
      </c>
      <c r="B399" s="967" t="s">
        <v>3014</v>
      </c>
      <c r="C399" s="968">
        <v>1.7310000000000001E-4</v>
      </c>
      <c r="D399" s="968">
        <v>1.528E-4</v>
      </c>
      <c r="E399" s="985">
        <v>70093</v>
      </c>
      <c r="F399" s="969">
        <v>264449</v>
      </c>
      <c r="G399" s="969"/>
      <c r="H399" s="970">
        <v>15235</v>
      </c>
      <c r="I399" s="971">
        <v>64208</v>
      </c>
      <c r="J399" s="970">
        <v>37767</v>
      </c>
      <c r="K399" s="969">
        <v>8697</v>
      </c>
      <c r="L399" s="971">
        <f t="shared" si="12"/>
        <v>125907</v>
      </c>
      <c r="M399" s="969"/>
      <c r="N399" s="970">
        <v>7486</v>
      </c>
      <c r="O399" s="970">
        <v>0</v>
      </c>
      <c r="P399" s="969">
        <v>398</v>
      </c>
      <c r="Q399" s="971">
        <f t="shared" si="13"/>
        <v>7884</v>
      </c>
      <c r="R399" s="969"/>
      <c r="S399" s="970">
        <v>89119</v>
      </c>
      <c r="T399" s="972">
        <v>2605</v>
      </c>
      <c r="U399" s="972">
        <v>91724</v>
      </c>
    </row>
    <row r="400" spans="1:21" x14ac:dyDescent="0.25">
      <c r="A400" s="966">
        <v>94131</v>
      </c>
      <c r="B400" s="967" t="s">
        <v>3015</v>
      </c>
      <c r="C400" s="968">
        <v>1.7479999999999999E-4</v>
      </c>
      <c r="D400" s="968">
        <v>2.0049999999999999E-4</v>
      </c>
      <c r="E400" s="985">
        <v>91156</v>
      </c>
      <c r="F400" s="969">
        <v>267046</v>
      </c>
      <c r="G400" s="969"/>
      <c r="H400" s="970">
        <v>15384</v>
      </c>
      <c r="I400" s="971">
        <v>64840</v>
      </c>
      <c r="J400" s="970">
        <v>38138</v>
      </c>
      <c r="K400" s="969">
        <v>3004</v>
      </c>
      <c r="L400" s="971">
        <f t="shared" si="12"/>
        <v>121366</v>
      </c>
      <c r="M400" s="969"/>
      <c r="N400" s="970">
        <v>7559</v>
      </c>
      <c r="O400" s="970">
        <v>0</v>
      </c>
      <c r="P400" s="969">
        <v>9062</v>
      </c>
      <c r="Q400" s="971">
        <f t="shared" si="13"/>
        <v>16621</v>
      </c>
      <c r="R400" s="969"/>
      <c r="S400" s="970">
        <v>89995</v>
      </c>
      <c r="T400" s="972">
        <v>-1148</v>
      </c>
      <c r="U400" s="972">
        <v>88847</v>
      </c>
    </row>
    <row r="401" spans="1:21" x14ac:dyDescent="0.25">
      <c r="A401" s="966">
        <v>94151</v>
      </c>
      <c r="B401" s="967" t="s">
        <v>3016</v>
      </c>
      <c r="C401" s="968">
        <v>4.1590000000000003E-4</v>
      </c>
      <c r="D401" s="968">
        <v>4.2870000000000001E-4</v>
      </c>
      <c r="E401" s="985">
        <v>171244</v>
      </c>
      <c r="F401" s="969">
        <v>635380</v>
      </c>
      <c r="G401" s="969"/>
      <c r="H401" s="970">
        <v>36604</v>
      </c>
      <c r="I401" s="971">
        <v>154271</v>
      </c>
      <c r="J401" s="970">
        <v>90741</v>
      </c>
      <c r="K401" s="969">
        <v>0</v>
      </c>
      <c r="L401" s="971">
        <f t="shared" si="12"/>
        <v>281616</v>
      </c>
      <c r="M401" s="969"/>
      <c r="N401" s="970">
        <v>17986</v>
      </c>
      <c r="O401" s="970">
        <v>0</v>
      </c>
      <c r="P401" s="969">
        <v>36672</v>
      </c>
      <c r="Q401" s="971">
        <f t="shared" si="13"/>
        <v>54658</v>
      </c>
      <c r="R401" s="969"/>
      <c r="S401" s="970">
        <v>214124</v>
      </c>
      <c r="T401" s="972">
        <v>-12878</v>
      </c>
      <c r="U401" s="972">
        <v>201246</v>
      </c>
    </row>
    <row r="402" spans="1:21" x14ac:dyDescent="0.25">
      <c r="A402" s="966">
        <v>94157</v>
      </c>
      <c r="B402" s="967" t="s">
        <v>3017</v>
      </c>
      <c r="C402" s="968">
        <v>8.8999999999999995E-6</v>
      </c>
      <c r="D402" s="968">
        <v>9.3999999999999998E-6</v>
      </c>
      <c r="E402" s="985">
        <v>5186</v>
      </c>
      <c r="F402" s="969">
        <v>13597</v>
      </c>
      <c r="G402" s="969"/>
      <c r="H402" s="970">
        <v>783</v>
      </c>
      <c r="I402" s="971">
        <v>3302</v>
      </c>
      <c r="J402" s="970">
        <v>1942</v>
      </c>
      <c r="K402" s="969">
        <v>3748</v>
      </c>
      <c r="L402" s="971">
        <f t="shared" si="12"/>
        <v>9775</v>
      </c>
      <c r="M402" s="969"/>
      <c r="N402" s="970">
        <v>385</v>
      </c>
      <c r="O402" s="970">
        <v>0</v>
      </c>
      <c r="P402" s="969">
        <v>0</v>
      </c>
      <c r="Q402" s="971">
        <f t="shared" si="13"/>
        <v>385</v>
      </c>
      <c r="R402" s="969"/>
      <c r="S402" s="970">
        <v>4582</v>
      </c>
      <c r="T402" s="972">
        <v>2084</v>
      </c>
      <c r="U402" s="972">
        <v>6666</v>
      </c>
    </row>
    <row r="403" spans="1:21" x14ac:dyDescent="0.25">
      <c r="A403" s="966">
        <v>94161</v>
      </c>
      <c r="B403" s="967" t="s">
        <v>3018</v>
      </c>
      <c r="C403" s="968">
        <v>5.1900000000000001E-5</v>
      </c>
      <c r="D403" s="968">
        <v>5.7899999999999998E-5</v>
      </c>
      <c r="E403" s="985">
        <v>24925</v>
      </c>
      <c r="F403" s="969">
        <v>79289</v>
      </c>
      <c r="G403" s="969"/>
      <c r="H403" s="970">
        <v>4568</v>
      </c>
      <c r="I403" s="971">
        <v>19252</v>
      </c>
      <c r="J403" s="970">
        <v>11324</v>
      </c>
      <c r="K403" s="969">
        <v>5455</v>
      </c>
      <c r="L403" s="971">
        <f t="shared" si="12"/>
        <v>40599</v>
      </c>
      <c r="M403" s="969"/>
      <c r="N403" s="970">
        <v>2244</v>
      </c>
      <c r="O403" s="970">
        <v>0</v>
      </c>
      <c r="P403" s="969">
        <v>3144</v>
      </c>
      <c r="Q403" s="971">
        <f t="shared" si="13"/>
        <v>5388</v>
      </c>
      <c r="R403" s="969"/>
      <c r="S403" s="970">
        <v>26720</v>
      </c>
      <c r="T403" s="972">
        <v>2302</v>
      </c>
      <c r="U403" s="972">
        <v>29022</v>
      </c>
    </row>
    <row r="404" spans="1:21" x14ac:dyDescent="0.25">
      <c r="A404" s="966">
        <v>94168</v>
      </c>
      <c r="B404" s="967" t="s">
        <v>3019</v>
      </c>
      <c r="C404" s="968">
        <v>2.5899999999999999E-5</v>
      </c>
      <c r="D404" s="968">
        <v>3.4E-5</v>
      </c>
      <c r="E404" s="985">
        <v>14686</v>
      </c>
      <c r="F404" s="969">
        <v>39568</v>
      </c>
      <c r="G404" s="969"/>
      <c r="H404" s="970">
        <v>2279</v>
      </c>
      <c r="I404" s="971">
        <v>9607</v>
      </c>
      <c r="J404" s="970">
        <v>5651</v>
      </c>
      <c r="K404" s="969">
        <v>0</v>
      </c>
      <c r="L404" s="971">
        <f t="shared" si="12"/>
        <v>17537</v>
      </c>
      <c r="M404" s="969"/>
      <c r="N404" s="970">
        <v>1120</v>
      </c>
      <c r="O404" s="970">
        <v>0</v>
      </c>
      <c r="P404" s="969">
        <v>11664</v>
      </c>
      <c r="Q404" s="971">
        <f t="shared" si="13"/>
        <v>12784</v>
      </c>
      <c r="R404" s="969"/>
      <c r="S404" s="970">
        <v>13334</v>
      </c>
      <c r="T404" s="972">
        <v>-5442</v>
      </c>
      <c r="U404" s="972">
        <v>7892</v>
      </c>
    </row>
    <row r="405" spans="1:21" x14ac:dyDescent="0.25">
      <c r="A405" s="966">
        <v>94171</v>
      </c>
      <c r="B405" s="967" t="s">
        <v>3020</v>
      </c>
      <c r="C405" s="968">
        <v>6.9800000000000003E-5</v>
      </c>
      <c r="D405" s="968">
        <v>5.5000000000000002E-5</v>
      </c>
      <c r="E405" s="985">
        <v>26828</v>
      </c>
      <c r="F405" s="969">
        <v>106635</v>
      </c>
      <c r="G405" s="969"/>
      <c r="H405" s="970">
        <v>6143</v>
      </c>
      <c r="I405" s="971">
        <v>25891</v>
      </c>
      <c r="J405" s="970">
        <v>15229</v>
      </c>
      <c r="K405" s="969">
        <v>10026</v>
      </c>
      <c r="L405" s="971">
        <f t="shared" si="12"/>
        <v>57289</v>
      </c>
      <c r="M405" s="969"/>
      <c r="N405" s="970">
        <v>3019</v>
      </c>
      <c r="O405" s="970">
        <v>0</v>
      </c>
      <c r="P405" s="969">
        <v>862</v>
      </c>
      <c r="Q405" s="971">
        <f t="shared" si="13"/>
        <v>3881</v>
      </c>
      <c r="R405" s="969"/>
      <c r="S405" s="970">
        <v>35936</v>
      </c>
      <c r="T405" s="972">
        <v>2780</v>
      </c>
      <c r="U405" s="972">
        <v>38716</v>
      </c>
    </row>
    <row r="406" spans="1:21" x14ac:dyDescent="0.25">
      <c r="A406" s="966">
        <v>94172</v>
      </c>
      <c r="B406" s="967" t="s">
        <v>3021</v>
      </c>
      <c r="C406" s="968">
        <v>2.6289999999999999E-4</v>
      </c>
      <c r="D406" s="968">
        <v>2.6699999999999998E-4</v>
      </c>
      <c r="E406" s="985">
        <v>91553</v>
      </c>
      <c r="F406" s="969">
        <v>401638</v>
      </c>
      <c r="G406" s="969"/>
      <c r="H406" s="970">
        <v>23138</v>
      </c>
      <c r="I406" s="971">
        <v>97518</v>
      </c>
      <c r="J406" s="970">
        <v>57360</v>
      </c>
      <c r="K406" s="969">
        <v>0</v>
      </c>
      <c r="L406" s="971">
        <f t="shared" si="12"/>
        <v>178016</v>
      </c>
      <c r="M406" s="969"/>
      <c r="N406" s="970">
        <v>11369</v>
      </c>
      <c r="O406" s="970">
        <v>0</v>
      </c>
      <c r="P406" s="969">
        <v>90059</v>
      </c>
      <c r="Q406" s="971">
        <f t="shared" si="13"/>
        <v>101428</v>
      </c>
      <c r="R406" s="969"/>
      <c r="S406" s="970">
        <v>135352</v>
      </c>
      <c r="T406" s="972">
        <v>-41178</v>
      </c>
      <c r="U406" s="972">
        <v>94174</v>
      </c>
    </row>
    <row r="407" spans="1:21" x14ac:dyDescent="0.25">
      <c r="A407" s="966">
        <v>94201</v>
      </c>
      <c r="B407" s="967" t="s">
        <v>3022</v>
      </c>
      <c r="C407" s="968">
        <v>3.3658999999999998E-3</v>
      </c>
      <c r="D407" s="968">
        <v>3.4813000000000001E-3</v>
      </c>
      <c r="E407" s="985">
        <v>1556105</v>
      </c>
      <c r="F407" s="969">
        <v>5142163</v>
      </c>
      <c r="G407" s="969"/>
      <c r="H407" s="970">
        <v>296236</v>
      </c>
      <c r="I407" s="971">
        <v>1248524</v>
      </c>
      <c r="J407" s="970">
        <v>734372</v>
      </c>
      <c r="K407" s="969">
        <v>37947</v>
      </c>
      <c r="L407" s="971">
        <f t="shared" si="12"/>
        <v>2317079</v>
      </c>
      <c r="M407" s="969"/>
      <c r="N407" s="970">
        <v>145558</v>
      </c>
      <c r="O407" s="970">
        <v>0</v>
      </c>
      <c r="P407" s="969">
        <v>70514</v>
      </c>
      <c r="Q407" s="971">
        <f t="shared" si="13"/>
        <v>216072</v>
      </c>
      <c r="R407" s="969"/>
      <c r="S407" s="970">
        <v>1732913</v>
      </c>
      <c r="T407" s="972">
        <v>-942</v>
      </c>
      <c r="U407" s="972">
        <v>1731971</v>
      </c>
    </row>
    <row r="408" spans="1:21" x14ac:dyDescent="0.25">
      <c r="A408" s="966">
        <v>94204</v>
      </c>
      <c r="B408" s="967" t="s">
        <v>3023</v>
      </c>
      <c r="C408" s="968">
        <v>2.5899999999999999E-5</v>
      </c>
      <c r="D408" s="968">
        <v>2.4899999999999999E-5</v>
      </c>
      <c r="E408" s="985">
        <v>17428</v>
      </c>
      <c r="F408" s="969">
        <v>39568</v>
      </c>
      <c r="G408" s="969"/>
      <c r="H408" s="970">
        <v>2279</v>
      </c>
      <c r="I408" s="971">
        <v>9607</v>
      </c>
      <c r="J408" s="970">
        <v>5651</v>
      </c>
      <c r="K408" s="969">
        <v>12190</v>
      </c>
      <c r="L408" s="971">
        <f t="shared" si="12"/>
        <v>29727</v>
      </c>
      <c r="M408" s="969"/>
      <c r="N408" s="970">
        <v>1120</v>
      </c>
      <c r="O408" s="970">
        <v>0</v>
      </c>
      <c r="P408" s="969">
        <v>0</v>
      </c>
      <c r="Q408" s="971">
        <f t="shared" si="13"/>
        <v>1120</v>
      </c>
      <c r="R408" s="969"/>
      <c r="S408" s="970">
        <v>13334</v>
      </c>
      <c r="T408" s="972">
        <v>4996</v>
      </c>
      <c r="U408" s="972">
        <v>18330</v>
      </c>
    </row>
    <row r="409" spans="1:21" x14ac:dyDescent="0.25">
      <c r="A409" s="966">
        <v>94205</v>
      </c>
      <c r="B409" s="967" t="s">
        <v>3024</v>
      </c>
      <c r="C409" s="968">
        <v>2.0699999999999998E-5</v>
      </c>
      <c r="D409" s="968">
        <v>2.6100000000000001E-5</v>
      </c>
      <c r="E409" s="985">
        <v>11902</v>
      </c>
      <c r="F409" s="969">
        <v>31624</v>
      </c>
      <c r="G409" s="969"/>
      <c r="H409" s="970">
        <v>1822</v>
      </c>
      <c r="I409" s="971">
        <v>7678</v>
      </c>
      <c r="J409" s="970">
        <v>4516</v>
      </c>
      <c r="K409" s="969">
        <v>1652</v>
      </c>
      <c r="L409" s="971">
        <f t="shared" si="12"/>
        <v>15668</v>
      </c>
      <c r="M409" s="969"/>
      <c r="N409" s="970">
        <v>895</v>
      </c>
      <c r="O409" s="970">
        <v>0</v>
      </c>
      <c r="P409" s="969">
        <v>5048</v>
      </c>
      <c r="Q409" s="971">
        <f t="shared" si="13"/>
        <v>5943</v>
      </c>
      <c r="R409" s="969"/>
      <c r="S409" s="970">
        <v>10657</v>
      </c>
      <c r="T409" s="972">
        <v>-3026</v>
      </c>
      <c r="U409" s="972">
        <v>7631</v>
      </c>
    </row>
    <row r="410" spans="1:21" x14ac:dyDescent="0.25">
      <c r="A410" s="966">
        <v>94209</v>
      </c>
      <c r="B410" s="967" t="s">
        <v>3025</v>
      </c>
      <c r="C410" s="968">
        <v>3.4190000000000002E-4</v>
      </c>
      <c r="D410" s="968">
        <v>3.2909999999999998E-4</v>
      </c>
      <c r="E410" s="985">
        <v>157003</v>
      </c>
      <c r="F410" s="969">
        <v>522328</v>
      </c>
      <c r="G410" s="969"/>
      <c r="H410" s="970">
        <v>30091</v>
      </c>
      <c r="I410" s="971">
        <v>126822</v>
      </c>
      <c r="J410" s="970">
        <v>74596</v>
      </c>
      <c r="K410" s="969">
        <v>23431</v>
      </c>
      <c r="L410" s="971">
        <f t="shared" si="12"/>
        <v>254940</v>
      </c>
      <c r="M410" s="969"/>
      <c r="N410" s="970">
        <v>14785</v>
      </c>
      <c r="O410" s="970">
        <v>0</v>
      </c>
      <c r="P410" s="969">
        <v>7196</v>
      </c>
      <c r="Q410" s="971">
        <f t="shared" si="13"/>
        <v>21981</v>
      </c>
      <c r="R410" s="969"/>
      <c r="S410" s="970">
        <v>176025</v>
      </c>
      <c r="T410" s="972">
        <v>9128</v>
      </c>
      <c r="U410" s="972">
        <v>185153</v>
      </c>
    </row>
    <row r="411" spans="1:21" x14ac:dyDescent="0.25">
      <c r="A411" s="966">
        <v>94211</v>
      </c>
      <c r="B411" s="967" t="s">
        <v>3026</v>
      </c>
      <c r="C411" s="968">
        <v>1.3660000000000001E-4</v>
      </c>
      <c r="D411" s="968">
        <v>1.2400000000000001E-4</v>
      </c>
      <c r="E411" s="985">
        <v>61663</v>
      </c>
      <c r="F411" s="969">
        <v>208687</v>
      </c>
      <c r="G411" s="969"/>
      <c r="H411" s="970">
        <v>12022</v>
      </c>
      <c r="I411" s="971">
        <v>50669</v>
      </c>
      <c r="J411" s="970">
        <v>29803</v>
      </c>
      <c r="K411" s="969">
        <v>7857</v>
      </c>
      <c r="L411" s="971">
        <f t="shared" si="12"/>
        <v>100351</v>
      </c>
      <c r="M411" s="969"/>
      <c r="N411" s="970">
        <v>5907</v>
      </c>
      <c r="O411" s="970">
        <v>0</v>
      </c>
      <c r="P411" s="969">
        <v>17326</v>
      </c>
      <c r="Q411" s="971">
        <f t="shared" si="13"/>
        <v>23233</v>
      </c>
      <c r="R411" s="969"/>
      <c r="S411" s="970">
        <v>70328</v>
      </c>
      <c r="T411" s="972">
        <v>-11553</v>
      </c>
      <c r="U411" s="972">
        <v>58775</v>
      </c>
    </row>
    <row r="412" spans="1:21" x14ac:dyDescent="0.25">
      <c r="A412" s="966">
        <v>94221</v>
      </c>
      <c r="B412" s="967" t="s">
        <v>3027</v>
      </c>
      <c r="C412" s="968">
        <v>1.0436E-3</v>
      </c>
      <c r="D412" s="968">
        <v>1.0705999999999999E-3</v>
      </c>
      <c r="E412" s="985">
        <v>459328</v>
      </c>
      <c r="F412" s="969">
        <v>1594332</v>
      </c>
      <c r="G412" s="969"/>
      <c r="H412" s="970">
        <v>91848</v>
      </c>
      <c r="I412" s="971">
        <v>387106</v>
      </c>
      <c r="J412" s="970">
        <v>227693</v>
      </c>
      <c r="K412" s="969">
        <v>63725</v>
      </c>
      <c r="L412" s="971">
        <f t="shared" si="12"/>
        <v>770372</v>
      </c>
      <c r="M412" s="969"/>
      <c r="N412" s="970">
        <v>45130</v>
      </c>
      <c r="O412" s="970">
        <v>0</v>
      </c>
      <c r="P412" s="969">
        <v>120971</v>
      </c>
      <c r="Q412" s="971">
        <f t="shared" si="13"/>
        <v>166101</v>
      </c>
      <c r="R412" s="969"/>
      <c r="S412" s="970">
        <v>537291</v>
      </c>
      <c r="T412" s="972">
        <v>-24799</v>
      </c>
      <c r="U412" s="972">
        <v>512492</v>
      </c>
    </row>
    <row r="413" spans="1:21" x14ac:dyDescent="0.25">
      <c r="A413" s="966">
        <v>94231</v>
      </c>
      <c r="B413" s="967" t="s">
        <v>3028</v>
      </c>
      <c r="C413" s="968">
        <v>2.2609999999999999E-4</v>
      </c>
      <c r="D413" s="968">
        <v>2.1269999999999999E-4</v>
      </c>
      <c r="E413" s="985">
        <v>101171</v>
      </c>
      <c r="F413" s="969">
        <v>345418</v>
      </c>
      <c r="G413" s="969"/>
      <c r="H413" s="970">
        <v>19899</v>
      </c>
      <c r="I413" s="971">
        <v>83868</v>
      </c>
      <c r="J413" s="970">
        <v>49330</v>
      </c>
      <c r="K413" s="969">
        <v>8354</v>
      </c>
      <c r="L413" s="971">
        <f t="shared" si="12"/>
        <v>161451</v>
      </c>
      <c r="M413" s="969"/>
      <c r="N413" s="970">
        <v>9778</v>
      </c>
      <c r="O413" s="970">
        <v>0</v>
      </c>
      <c r="P413" s="969">
        <v>6714</v>
      </c>
      <c r="Q413" s="971">
        <f t="shared" si="13"/>
        <v>16492</v>
      </c>
      <c r="R413" s="969"/>
      <c r="S413" s="970">
        <v>116406</v>
      </c>
      <c r="T413" s="972">
        <v>-2799</v>
      </c>
      <c r="U413" s="972">
        <v>113607</v>
      </c>
    </row>
    <row r="414" spans="1:21" x14ac:dyDescent="0.25">
      <c r="A414" s="966">
        <v>94241</v>
      </c>
      <c r="B414" s="967" t="s">
        <v>3029</v>
      </c>
      <c r="C414" s="968">
        <v>1.2669999999999999E-4</v>
      </c>
      <c r="D414" s="968">
        <v>8.4099999999999998E-5</v>
      </c>
      <c r="E414" s="985">
        <v>53317</v>
      </c>
      <c r="F414" s="969">
        <v>193563</v>
      </c>
      <c r="G414" s="969"/>
      <c r="H414" s="970">
        <v>11151</v>
      </c>
      <c r="I414" s="971">
        <v>46997</v>
      </c>
      <c r="J414" s="970">
        <v>27643</v>
      </c>
      <c r="K414" s="969">
        <v>26711</v>
      </c>
      <c r="L414" s="971">
        <f t="shared" si="12"/>
        <v>112502</v>
      </c>
      <c r="M414" s="969"/>
      <c r="N414" s="970">
        <v>5479</v>
      </c>
      <c r="O414" s="970">
        <v>0</v>
      </c>
      <c r="P414" s="969">
        <v>856</v>
      </c>
      <c r="Q414" s="971">
        <f t="shared" si="13"/>
        <v>6335</v>
      </c>
      <c r="R414" s="969"/>
      <c r="S414" s="970">
        <v>65231</v>
      </c>
      <c r="T414" s="972">
        <v>6835</v>
      </c>
      <c r="U414" s="972">
        <v>72066</v>
      </c>
    </row>
    <row r="415" spans="1:21" x14ac:dyDescent="0.25">
      <c r="A415" s="966">
        <v>94251</v>
      </c>
      <c r="B415" s="967" t="s">
        <v>3030</v>
      </c>
      <c r="C415" s="968">
        <v>1.95E-5</v>
      </c>
      <c r="D415" s="968">
        <v>1.4E-5</v>
      </c>
      <c r="E415" s="985">
        <v>8455</v>
      </c>
      <c r="F415" s="969">
        <v>29791</v>
      </c>
      <c r="G415" s="969"/>
      <c r="H415" s="970">
        <v>1716</v>
      </c>
      <c r="I415" s="971">
        <v>7233</v>
      </c>
      <c r="J415" s="970">
        <v>4255</v>
      </c>
      <c r="K415" s="969">
        <v>3290</v>
      </c>
      <c r="L415" s="971">
        <f t="shared" si="12"/>
        <v>16494</v>
      </c>
      <c r="M415" s="969"/>
      <c r="N415" s="970">
        <v>843</v>
      </c>
      <c r="O415" s="970">
        <v>0</v>
      </c>
      <c r="P415" s="969">
        <v>6508</v>
      </c>
      <c r="Q415" s="971">
        <f t="shared" si="13"/>
        <v>7351</v>
      </c>
      <c r="R415" s="969"/>
      <c r="S415" s="970">
        <v>10039</v>
      </c>
      <c r="T415" s="972">
        <v>-2297</v>
      </c>
      <c r="U415" s="972">
        <v>7742</v>
      </c>
    </row>
    <row r="416" spans="1:21" x14ac:dyDescent="0.25">
      <c r="A416" s="966">
        <v>94261</v>
      </c>
      <c r="B416" s="967" t="s">
        <v>3031</v>
      </c>
      <c r="C416" s="968">
        <v>3.9199999999999997E-5</v>
      </c>
      <c r="D416" s="968">
        <v>2.9499999999999999E-5</v>
      </c>
      <c r="E416" s="985">
        <v>18726</v>
      </c>
      <c r="F416" s="969">
        <v>59887</v>
      </c>
      <c r="G416" s="969"/>
      <c r="H416" s="970">
        <v>3450</v>
      </c>
      <c r="I416" s="971">
        <v>14541</v>
      </c>
      <c r="J416" s="970">
        <v>8553</v>
      </c>
      <c r="K416" s="969">
        <v>15518</v>
      </c>
      <c r="L416" s="971">
        <f t="shared" si="12"/>
        <v>42062</v>
      </c>
      <c r="M416" s="969"/>
      <c r="N416" s="970">
        <v>1695</v>
      </c>
      <c r="O416" s="970">
        <v>0</v>
      </c>
      <c r="P416" s="969">
        <v>0</v>
      </c>
      <c r="Q416" s="971">
        <f t="shared" si="13"/>
        <v>1695</v>
      </c>
      <c r="R416" s="969"/>
      <c r="S416" s="970">
        <v>20182</v>
      </c>
      <c r="T416" s="972">
        <v>5508</v>
      </c>
      <c r="U416" s="972">
        <v>25690</v>
      </c>
    </row>
    <row r="417" spans="1:21" x14ac:dyDescent="0.25">
      <c r="A417" s="966">
        <v>94301</v>
      </c>
      <c r="B417" s="967" t="s">
        <v>3032</v>
      </c>
      <c r="C417" s="968">
        <v>6.2988999999999996E-3</v>
      </c>
      <c r="D417" s="968">
        <v>6.0746999999999997E-3</v>
      </c>
      <c r="E417" s="985">
        <v>2799560</v>
      </c>
      <c r="F417" s="969">
        <v>9622974</v>
      </c>
      <c r="G417" s="969"/>
      <c r="H417" s="970">
        <v>554372</v>
      </c>
      <c r="I417" s="971">
        <v>2336470</v>
      </c>
      <c r="J417" s="970">
        <v>1374294</v>
      </c>
      <c r="K417" s="969">
        <v>85982</v>
      </c>
      <c r="L417" s="971">
        <f t="shared" si="12"/>
        <v>4351118</v>
      </c>
      <c r="M417" s="969"/>
      <c r="N417" s="970">
        <v>272396</v>
      </c>
      <c r="O417" s="970">
        <v>0</v>
      </c>
      <c r="P417" s="969">
        <v>117980</v>
      </c>
      <c r="Q417" s="971">
        <f t="shared" si="13"/>
        <v>390376</v>
      </c>
      <c r="R417" s="969"/>
      <c r="S417" s="970">
        <v>3242951</v>
      </c>
      <c r="T417" s="972">
        <v>-22710</v>
      </c>
      <c r="U417" s="972">
        <v>3220241</v>
      </c>
    </row>
    <row r="418" spans="1:21" x14ac:dyDescent="0.25">
      <c r="A418" s="966">
        <v>94311</v>
      </c>
      <c r="B418" s="967" t="s">
        <v>3033</v>
      </c>
      <c r="C418" s="968">
        <v>7.8540000000000001E-4</v>
      </c>
      <c r="D418" s="968">
        <v>7.4399999999999998E-4</v>
      </c>
      <c r="E418" s="985">
        <v>355079</v>
      </c>
      <c r="F418" s="969">
        <v>1199874</v>
      </c>
      <c r="G418" s="969"/>
      <c r="H418" s="970">
        <v>69124</v>
      </c>
      <c r="I418" s="971">
        <v>291331</v>
      </c>
      <c r="J418" s="970">
        <v>171359</v>
      </c>
      <c r="K418" s="969">
        <v>26150</v>
      </c>
      <c r="L418" s="971">
        <f t="shared" si="12"/>
        <v>557964</v>
      </c>
      <c r="M418" s="969"/>
      <c r="N418" s="970">
        <v>33965</v>
      </c>
      <c r="O418" s="970">
        <v>0</v>
      </c>
      <c r="P418" s="969">
        <v>52115</v>
      </c>
      <c r="Q418" s="971">
        <f t="shared" si="13"/>
        <v>86080</v>
      </c>
      <c r="R418" s="969"/>
      <c r="S418" s="970">
        <v>404358</v>
      </c>
      <c r="T418" s="972">
        <v>-13365</v>
      </c>
      <c r="U418" s="972">
        <v>390993</v>
      </c>
    </row>
    <row r="419" spans="1:21" x14ac:dyDescent="0.25">
      <c r="A419" s="966">
        <v>94313</v>
      </c>
      <c r="B419" s="967" t="s">
        <v>3034</v>
      </c>
      <c r="C419" s="968">
        <v>1.8700000000000001E-5</v>
      </c>
      <c r="D419" s="968">
        <v>2.0299999999999999E-5</v>
      </c>
      <c r="E419" s="985">
        <v>12663</v>
      </c>
      <c r="F419" s="969">
        <v>28568</v>
      </c>
      <c r="G419" s="969"/>
      <c r="H419" s="970">
        <v>1646</v>
      </c>
      <c r="I419" s="971">
        <v>6936</v>
      </c>
      <c r="J419" s="970">
        <v>4080</v>
      </c>
      <c r="K419" s="969">
        <v>7421</v>
      </c>
      <c r="L419" s="971">
        <f t="shared" si="12"/>
        <v>20083</v>
      </c>
      <c r="M419" s="969"/>
      <c r="N419" s="970">
        <v>809</v>
      </c>
      <c r="O419" s="970">
        <v>0</v>
      </c>
      <c r="P419" s="969">
        <v>0</v>
      </c>
      <c r="Q419" s="971">
        <f t="shared" si="13"/>
        <v>809</v>
      </c>
      <c r="R419" s="969"/>
      <c r="S419" s="970">
        <v>9628</v>
      </c>
      <c r="T419" s="972">
        <v>3124</v>
      </c>
      <c r="U419" s="972">
        <v>12752</v>
      </c>
    </row>
    <row r="420" spans="1:21" x14ac:dyDescent="0.25">
      <c r="A420" s="966">
        <v>94317</v>
      </c>
      <c r="B420" s="967" t="s">
        <v>3035</v>
      </c>
      <c r="C420" s="968">
        <v>1.2E-5</v>
      </c>
      <c r="D420" s="968">
        <v>1.2099999999999999E-5</v>
      </c>
      <c r="E420" s="985">
        <v>9618</v>
      </c>
      <c r="F420" s="969">
        <v>18333</v>
      </c>
      <c r="G420" s="969"/>
      <c r="H420" s="970">
        <v>1056</v>
      </c>
      <c r="I420" s="971">
        <v>4451</v>
      </c>
      <c r="J420" s="970">
        <v>2618</v>
      </c>
      <c r="K420" s="969">
        <v>7663</v>
      </c>
      <c r="L420" s="971">
        <f t="shared" si="12"/>
        <v>15788</v>
      </c>
      <c r="M420" s="969"/>
      <c r="N420" s="970">
        <v>519</v>
      </c>
      <c r="O420" s="970">
        <v>0</v>
      </c>
      <c r="P420" s="969">
        <v>0</v>
      </c>
      <c r="Q420" s="971">
        <f t="shared" si="13"/>
        <v>519</v>
      </c>
      <c r="R420" s="969"/>
      <c r="S420" s="970">
        <v>6178</v>
      </c>
      <c r="T420" s="972">
        <v>3130</v>
      </c>
      <c r="U420" s="972">
        <v>9308</v>
      </c>
    </row>
    <row r="421" spans="1:21" x14ac:dyDescent="0.25">
      <c r="A421" s="966">
        <v>94321</v>
      </c>
      <c r="B421" s="967" t="s">
        <v>3036</v>
      </c>
      <c r="C421" s="968">
        <v>2.7760000000000003E-4</v>
      </c>
      <c r="D421" s="968">
        <v>2.7070000000000002E-4</v>
      </c>
      <c r="E421" s="985">
        <v>115395</v>
      </c>
      <c r="F421" s="969">
        <v>424096</v>
      </c>
      <c r="G421" s="969"/>
      <c r="H421" s="970">
        <v>24432</v>
      </c>
      <c r="I421" s="971">
        <v>102971</v>
      </c>
      <c r="J421" s="970">
        <v>60567</v>
      </c>
      <c r="K421" s="969">
        <v>1692</v>
      </c>
      <c r="L421" s="971">
        <f t="shared" si="12"/>
        <v>189662</v>
      </c>
      <c r="M421" s="969"/>
      <c r="N421" s="970">
        <v>12005</v>
      </c>
      <c r="O421" s="970">
        <v>0</v>
      </c>
      <c r="P421" s="969">
        <v>19924</v>
      </c>
      <c r="Q421" s="971">
        <f t="shared" si="13"/>
        <v>31929</v>
      </c>
      <c r="R421" s="969"/>
      <c r="S421" s="970">
        <v>142921</v>
      </c>
      <c r="T421" s="972">
        <v>-5646</v>
      </c>
      <c r="U421" s="972">
        <v>137275</v>
      </c>
    </row>
    <row r="422" spans="1:21" x14ac:dyDescent="0.25">
      <c r="A422" s="966">
        <v>94331</v>
      </c>
      <c r="B422" s="967" t="s">
        <v>3037</v>
      </c>
      <c r="C422" s="968">
        <v>1.3569999999999999E-4</v>
      </c>
      <c r="D422" s="968">
        <v>1.517E-4</v>
      </c>
      <c r="E422" s="985">
        <v>68284</v>
      </c>
      <c r="F422" s="969">
        <v>207312</v>
      </c>
      <c r="G422" s="969"/>
      <c r="H422" s="970">
        <v>11943</v>
      </c>
      <c r="I422" s="971">
        <v>50336</v>
      </c>
      <c r="J422" s="970">
        <v>29607</v>
      </c>
      <c r="K422" s="969">
        <v>7715</v>
      </c>
      <c r="L422" s="971">
        <f t="shared" si="12"/>
        <v>99601</v>
      </c>
      <c r="M422" s="969"/>
      <c r="N422" s="970">
        <v>5868</v>
      </c>
      <c r="O422" s="970">
        <v>0</v>
      </c>
      <c r="P422" s="969">
        <v>10557</v>
      </c>
      <c r="Q422" s="971">
        <f t="shared" si="13"/>
        <v>16425</v>
      </c>
      <c r="R422" s="969"/>
      <c r="S422" s="970">
        <v>69864</v>
      </c>
      <c r="T422" s="972">
        <v>2981</v>
      </c>
      <c r="U422" s="972">
        <v>72845</v>
      </c>
    </row>
    <row r="423" spans="1:21" x14ac:dyDescent="0.25">
      <c r="A423" s="966">
        <v>94341</v>
      </c>
      <c r="B423" s="967" t="s">
        <v>3038</v>
      </c>
      <c r="C423" s="968">
        <v>9.4699999999999998E-5</v>
      </c>
      <c r="D423" s="968">
        <v>8.1000000000000004E-5</v>
      </c>
      <c r="E423" s="985">
        <v>38534</v>
      </c>
      <c r="F423" s="969">
        <v>144675</v>
      </c>
      <c r="G423" s="969"/>
      <c r="H423" s="970">
        <v>8335</v>
      </c>
      <c r="I423" s="971">
        <v>35127</v>
      </c>
      <c r="J423" s="970">
        <v>20662</v>
      </c>
      <c r="K423" s="969">
        <v>5564</v>
      </c>
      <c r="L423" s="971">
        <f t="shared" si="12"/>
        <v>69688</v>
      </c>
      <c r="M423" s="969"/>
      <c r="N423" s="970">
        <v>4095</v>
      </c>
      <c r="O423" s="970">
        <v>0</v>
      </c>
      <c r="P423" s="969">
        <v>5713</v>
      </c>
      <c r="Q423" s="971">
        <f t="shared" si="13"/>
        <v>9808</v>
      </c>
      <c r="R423" s="969"/>
      <c r="S423" s="970">
        <v>48756</v>
      </c>
      <c r="T423" s="972">
        <v>-1783</v>
      </c>
      <c r="U423" s="972">
        <v>46973</v>
      </c>
    </row>
    <row r="424" spans="1:21" x14ac:dyDescent="0.25">
      <c r="A424" s="966">
        <v>94347</v>
      </c>
      <c r="B424" s="967" t="s">
        <v>3039</v>
      </c>
      <c r="C424" s="968">
        <v>1.22E-5</v>
      </c>
      <c r="D424" s="968">
        <v>1.2300000000000001E-5</v>
      </c>
      <c r="E424" s="985">
        <v>8691</v>
      </c>
      <c r="F424" s="969">
        <v>18638</v>
      </c>
      <c r="G424" s="969"/>
      <c r="H424" s="970">
        <v>1074</v>
      </c>
      <c r="I424" s="971">
        <v>4526</v>
      </c>
      <c r="J424" s="970">
        <v>2662</v>
      </c>
      <c r="K424" s="969">
        <v>4271</v>
      </c>
      <c r="L424" s="971">
        <f t="shared" si="12"/>
        <v>12533</v>
      </c>
      <c r="M424" s="969"/>
      <c r="N424" s="970">
        <v>528</v>
      </c>
      <c r="O424" s="970">
        <v>0</v>
      </c>
      <c r="P424" s="969">
        <v>0</v>
      </c>
      <c r="Q424" s="971">
        <f t="shared" si="13"/>
        <v>528</v>
      </c>
      <c r="R424" s="969"/>
      <c r="S424" s="970">
        <v>6281</v>
      </c>
      <c r="T424" s="972">
        <v>1892</v>
      </c>
      <c r="U424" s="972">
        <v>8173</v>
      </c>
    </row>
    <row r="425" spans="1:21" x14ac:dyDescent="0.25">
      <c r="A425" s="966">
        <v>94351</v>
      </c>
      <c r="B425" s="967" t="s">
        <v>3040</v>
      </c>
      <c r="C425" s="968">
        <v>2.433E-4</v>
      </c>
      <c r="D425" s="968">
        <v>2.377E-4</v>
      </c>
      <c r="E425" s="985">
        <v>104639</v>
      </c>
      <c r="F425" s="969">
        <v>371695</v>
      </c>
      <c r="G425" s="969"/>
      <c r="H425" s="970">
        <v>21413</v>
      </c>
      <c r="I425" s="971">
        <v>90248</v>
      </c>
      <c r="J425" s="970">
        <v>53083</v>
      </c>
      <c r="K425" s="969">
        <v>1592</v>
      </c>
      <c r="L425" s="971">
        <f t="shared" si="12"/>
        <v>166336</v>
      </c>
      <c r="M425" s="969"/>
      <c r="N425" s="970">
        <v>10522</v>
      </c>
      <c r="O425" s="970">
        <v>0</v>
      </c>
      <c r="P425" s="969">
        <v>4723</v>
      </c>
      <c r="Q425" s="971">
        <f t="shared" si="13"/>
        <v>15245</v>
      </c>
      <c r="R425" s="969"/>
      <c r="S425" s="970">
        <v>125262</v>
      </c>
      <c r="T425" s="972">
        <v>-1683</v>
      </c>
      <c r="U425" s="972">
        <v>123579</v>
      </c>
    </row>
    <row r="426" spans="1:21" x14ac:dyDescent="0.25">
      <c r="A426" s="966">
        <v>94401</v>
      </c>
      <c r="B426" s="967" t="s">
        <v>3672</v>
      </c>
      <c r="C426" s="968">
        <v>3.2718000000000001E-3</v>
      </c>
      <c r="D426" s="968">
        <v>3.4548999999999999E-3</v>
      </c>
      <c r="E426" s="985">
        <v>1551159</v>
      </c>
      <c r="F426" s="969">
        <v>4998404</v>
      </c>
      <c r="G426" s="969"/>
      <c r="H426" s="970">
        <v>287954</v>
      </c>
      <c r="I426" s="971">
        <v>1213619</v>
      </c>
      <c r="J426" s="970">
        <v>713841</v>
      </c>
      <c r="K426" s="969">
        <v>20795</v>
      </c>
      <c r="L426" s="971">
        <f t="shared" si="12"/>
        <v>2236209</v>
      </c>
      <c r="M426" s="969"/>
      <c r="N426" s="970">
        <v>141489</v>
      </c>
      <c r="O426" s="970">
        <v>0</v>
      </c>
      <c r="P426" s="969">
        <v>83776</v>
      </c>
      <c r="Q426" s="971">
        <f t="shared" si="13"/>
        <v>225265</v>
      </c>
      <c r="R426" s="969"/>
      <c r="S426" s="970">
        <v>1684467</v>
      </c>
      <c r="T426" s="972">
        <v>-11283</v>
      </c>
      <c r="U426" s="972">
        <v>1673184</v>
      </c>
    </row>
    <row r="427" spans="1:21" x14ac:dyDescent="0.25">
      <c r="A427" s="966">
        <v>94402</v>
      </c>
      <c r="B427" s="967" t="s">
        <v>3041</v>
      </c>
      <c r="C427" s="968">
        <v>0</v>
      </c>
      <c r="D427" s="968">
        <v>0</v>
      </c>
      <c r="E427" s="985" t="e">
        <v>#N/A</v>
      </c>
      <c r="F427" s="969">
        <v>0</v>
      </c>
      <c r="G427" s="969"/>
      <c r="H427" s="970">
        <v>0</v>
      </c>
      <c r="I427" s="971">
        <v>0</v>
      </c>
      <c r="J427" s="970">
        <v>0</v>
      </c>
      <c r="K427" s="969">
        <v>0</v>
      </c>
      <c r="L427" s="971">
        <f t="shared" si="12"/>
        <v>0</v>
      </c>
      <c r="M427" s="969"/>
      <c r="N427" s="970">
        <v>0</v>
      </c>
      <c r="O427" s="970">
        <v>0</v>
      </c>
      <c r="P427" s="969">
        <v>1774367</v>
      </c>
      <c r="Q427" s="971">
        <f t="shared" si="13"/>
        <v>1774367</v>
      </c>
      <c r="R427" s="969"/>
      <c r="S427" s="970">
        <v>0</v>
      </c>
      <c r="T427" s="972">
        <v>-1007431</v>
      </c>
      <c r="U427" s="972">
        <v>-1007431</v>
      </c>
    </row>
    <row r="428" spans="1:21" x14ac:dyDescent="0.25">
      <c r="A428" s="966">
        <v>94403</v>
      </c>
      <c r="B428" s="967" t="s">
        <v>3673</v>
      </c>
      <c r="C428" s="968">
        <v>2.2099999999999998E-5</v>
      </c>
      <c r="D428" s="968">
        <v>0</v>
      </c>
      <c r="E428" s="985">
        <v>9904</v>
      </c>
      <c r="F428" s="969">
        <v>33763</v>
      </c>
      <c r="G428" s="969"/>
      <c r="H428" s="970">
        <v>1945</v>
      </c>
      <c r="I428" s="971">
        <v>8198</v>
      </c>
      <c r="J428" s="970">
        <v>4822</v>
      </c>
      <c r="K428" s="969">
        <v>14624</v>
      </c>
      <c r="L428" s="971">
        <f t="shared" si="12"/>
        <v>29589</v>
      </c>
      <c r="M428" s="969"/>
      <c r="N428" s="970">
        <v>956</v>
      </c>
      <c r="O428" s="970">
        <v>0</v>
      </c>
      <c r="P428" s="969">
        <v>0</v>
      </c>
      <c r="Q428" s="971">
        <f t="shared" si="13"/>
        <v>956</v>
      </c>
      <c r="R428" s="969"/>
      <c r="S428" s="970">
        <v>11378</v>
      </c>
      <c r="T428" s="972">
        <v>3656</v>
      </c>
      <c r="U428" s="972">
        <v>15034</v>
      </c>
    </row>
    <row r="429" spans="1:21" x14ac:dyDescent="0.25">
      <c r="A429" s="966">
        <v>94408</v>
      </c>
      <c r="B429" s="967" t="s">
        <v>3042</v>
      </c>
      <c r="C429" s="968">
        <v>4.2400000000000001E-5</v>
      </c>
      <c r="D429" s="968">
        <v>4.0099999999999999E-5</v>
      </c>
      <c r="E429" s="985">
        <v>14750</v>
      </c>
      <c r="F429" s="969">
        <v>64775</v>
      </c>
      <c r="G429" s="969"/>
      <c r="H429" s="970">
        <v>3732</v>
      </c>
      <c r="I429" s="971">
        <v>15728</v>
      </c>
      <c r="J429" s="970">
        <v>9251</v>
      </c>
      <c r="K429" s="969">
        <v>7577</v>
      </c>
      <c r="L429" s="971">
        <f t="shared" si="12"/>
        <v>36288</v>
      </c>
      <c r="M429" s="969"/>
      <c r="N429" s="970">
        <v>1834</v>
      </c>
      <c r="O429" s="970">
        <v>0</v>
      </c>
      <c r="P429" s="969">
        <v>4064</v>
      </c>
      <c r="Q429" s="971">
        <f t="shared" si="13"/>
        <v>5898</v>
      </c>
      <c r="R429" s="969"/>
      <c r="S429" s="970">
        <v>21829</v>
      </c>
      <c r="T429" s="972">
        <v>382</v>
      </c>
      <c r="U429" s="972">
        <v>22211</v>
      </c>
    </row>
    <row r="430" spans="1:21" x14ac:dyDescent="0.25">
      <c r="A430" s="966">
        <v>94411</v>
      </c>
      <c r="B430" s="967" t="s">
        <v>3043</v>
      </c>
      <c r="C430" s="968">
        <v>1.2672E-3</v>
      </c>
      <c r="D430" s="968">
        <v>1.1592E-3</v>
      </c>
      <c r="E430" s="985">
        <v>555106</v>
      </c>
      <c r="F430" s="969">
        <v>1935931</v>
      </c>
      <c r="G430" s="969"/>
      <c r="H430" s="970">
        <v>111528</v>
      </c>
      <c r="I430" s="971">
        <v>470046</v>
      </c>
      <c r="J430" s="970">
        <v>276478</v>
      </c>
      <c r="K430" s="969">
        <v>63511</v>
      </c>
      <c r="L430" s="971">
        <f t="shared" si="12"/>
        <v>921563</v>
      </c>
      <c r="M430" s="969"/>
      <c r="N430" s="970">
        <v>54800</v>
      </c>
      <c r="O430" s="970">
        <v>0</v>
      </c>
      <c r="P430" s="969">
        <v>4125</v>
      </c>
      <c r="Q430" s="971">
        <f t="shared" si="13"/>
        <v>58925</v>
      </c>
      <c r="R430" s="969"/>
      <c r="S430" s="970">
        <v>652410</v>
      </c>
      <c r="T430" s="972">
        <v>18114</v>
      </c>
      <c r="U430" s="972">
        <v>670524</v>
      </c>
    </row>
    <row r="431" spans="1:21" x14ac:dyDescent="0.25">
      <c r="A431" s="966">
        <v>94412</v>
      </c>
      <c r="B431" s="967" t="s">
        <v>3044</v>
      </c>
      <c r="C431" s="968">
        <v>1.5099999999999999E-5</v>
      </c>
      <c r="D431" s="968">
        <v>1.63E-5</v>
      </c>
      <c r="E431" s="985">
        <v>13059</v>
      </c>
      <c r="F431" s="969">
        <v>23069</v>
      </c>
      <c r="G431" s="969"/>
      <c r="H431" s="970">
        <v>1329</v>
      </c>
      <c r="I431" s="971">
        <v>5602</v>
      </c>
      <c r="J431" s="970">
        <v>3295</v>
      </c>
      <c r="K431" s="969">
        <v>12533</v>
      </c>
      <c r="L431" s="971">
        <f t="shared" si="12"/>
        <v>22759</v>
      </c>
      <c r="M431" s="969"/>
      <c r="N431" s="970">
        <v>653</v>
      </c>
      <c r="O431" s="970">
        <v>0</v>
      </c>
      <c r="P431" s="969">
        <v>0</v>
      </c>
      <c r="Q431" s="971">
        <f t="shared" si="13"/>
        <v>653</v>
      </c>
      <c r="R431" s="969"/>
      <c r="S431" s="970">
        <v>7774</v>
      </c>
      <c r="T431" s="972">
        <v>5893</v>
      </c>
      <c r="U431" s="972">
        <v>13667</v>
      </c>
    </row>
    <row r="432" spans="1:21" x14ac:dyDescent="0.25">
      <c r="A432" s="966">
        <v>94421</v>
      </c>
      <c r="B432" s="967" t="s">
        <v>3045</v>
      </c>
      <c r="C432" s="968">
        <v>1.6679999999999999E-4</v>
      </c>
      <c r="D432" s="968">
        <v>1.6899999999999999E-4</v>
      </c>
      <c r="E432" s="985">
        <v>80768</v>
      </c>
      <c r="F432" s="969">
        <v>254824</v>
      </c>
      <c r="G432" s="969"/>
      <c r="H432" s="970">
        <v>14680</v>
      </c>
      <c r="I432" s="971">
        <v>61871</v>
      </c>
      <c r="J432" s="970">
        <v>36392</v>
      </c>
      <c r="K432" s="969">
        <v>4157</v>
      </c>
      <c r="L432" s="971">
        <f t="shared" si="12"/>
        <v>117100</v>
      </c>
      <c r="M432" s="969"/>
      <c r="N432" s="970">
        <v>7213</v>
      </c>
      <c r="O432" s="970">
        <v>0</v>
      </c>
      <c r="P432" s="969">
        <v>6763</v>
      </c>
      <c r="Q432" s="971">
        <f t="shared" si="13"/>
        <v>13976</v>
      </c>
      <c r="R432" s="969"/>
      <c r="S432" s="970">
        <v>85876</v>
      </c>
      <c r="T432" s="972">
        <v>-3870</v>
      </c>
      <c r="U432" s="972">
        <v>82006</v>
      </c>
    </row>
    <row r="433" spans="1:21" x14ac:dyDescent="0.25">
      <c r="A433" s="966">
        <v>94427</v>
      </c>
      <c r="B433" s="967" t="s">
        <v>3046</v>
      </c>
      <c r="C433" s="968">
        <v>1.5699999999999999E-5</v>
      </c>
      <c r="D433" s="968">
        <v>1.29E-5</v>
      </c>
      <c r="E433" s="985">
        <v>9340</v>
      </c>
      <c r="F433" s="969">
        <v>23985</v>
      </c>
      <c r="G433" s="969"/>
      <c r="H433" s="970">
        <v>1382</v>
      </c>
      <c r="I433" s="971">
        <v>5824</v>
      </c>
      <c r="J433" s="970">
        <v>3425</v>
      </c>
      <c r="K433" s="969">
        <v>4090</v>
      </c>
      <c r="L433" s="971">
        <f t="shared" si="12"/>
        <v>14721</v>
      </c>
      <c r="M433" s="969"/>
      <c r="N433" s="970">
        <v>679</v>
      </c>
      <c r="O433" s="970">
        <v>0</v>
      </c>
      <c r="P433" s="969">
        <v>478</v>
      </c>
      <c r="Q433" s="971">
        <f t="shared" si="13"/>
        <v>1157</v>
      </c>
      <c r="R433" s="969"/>
      <c r="S433" s="970">
        <v>8083</v>
      </c>
      <c r="T433" s="972">
        <v>943</v>
      </c>
      <c r="U433" s="972">
        <v>9026</v>
      </c>
    </row>
    <row r="434" spans="1:21" x14ac:dyDescent="0.25">
      <c r="A434" s="966">
        <v>94428</v>
      </c>
      <c r="B434" s="967" t="s">
        <v>3047</v>
      </c>
      <c r="C434" s="968">
        <v>6.5199999999999999E-5</v>
      </c>
      <c r="D434" s="968">
        <v>7.4400000000000006E-5</v>
      </c>
      <c r="E434" s="985">
        <v>33460</v>
      </c>
      <c r="F434" s="969">
        <v>99608</v>
      </c>
      <c r="G434" s="969"/>
      <c r="H434" s="970">
        <v>5738</v>
      </c>
      <c r="I434" s="971">
        <v>24185</v>
      </c>
      <c r="J434" s="970">
        <v>14225</v>
      </c>
      <c r="K434" s="969">
        <v>2315</v>
      </c>
      <c r="L434" s="971">
        <f t="shared" si="12"/>
        <v>46463</v>
      </c>
      <c r="M434" s="969"/>
      <c r="N434" s="970">
        <v>2820</v>
      </c>
      <c r="O434" s="970">
        <v>0</v>
      </c>
      <c r="P434" s="969">
        <v>3346</v>
      </c>
      <c r="Q434" s="971">
        <f t="shared" si="13"/>
        <v>6166</v>
      </c>
      <c r="R434" s="969"/>
      <c r="S434" s="970">
        <v>33568</v>
      </c>
      <c r="T434" s="972">
        <v>366</v>
      </c>
      <c r="U434" s="972">
        <v>33934</v>
      </c>
    </row>
    <row r="435" spans="1:21" x14ac:dyDescent="0.25">
      <c r="A435" s="966">
        <v>94431</v>
      </c>
      <c r="B435" s="967" t="s">
        <v>3048</v>
      </c>
      <c r="C435" s="968">
        <v>4.2440000000000002E-4</v>
      </c>
      <c r="D435" s="968">
        <v>3.7589999999999998E-4</v>
      </c>
      <c r="E435" s="985">
        <v>293286</v>
      </c>
      <c r="F435" s="969">
        <v>648366</v>
      </c>
      <c r="G435" s="969"/>
      <c r="H435" s="970">
        <v>37352</v>
      </c>
      <c r="I435" s="971">
        <v>157424</v>
      </c>
      <c r="J435" s="970">
        <v>92596</v>
      </c>
      <c r="K435" s="969">
        <v>210809</v>
      </c>
      <c r="L435" s="971">
        <f t="shared" si="12"/>
        <v>498181</v>
      </c>
      <c r="M435" s="969"/>
      <c r="N435" s="970">
        <v>18353</v>
      </c>
      <c r="O435" s="970">
        <v>0</v>
      </c>
      <c r="P435" s="969">
        <v>611</v>
      </c>
      <c r="Q435" s="971">
        <f t="shared" si="13"/>
        <v>18964</v>
      </c>
      <c r="R435" s="969"/>
      <c r="S435" s="970">
        <v>218500</v>
      </c>
      <c r="T435" s="972">
        <v>68328</v>
      </c>
      <c r="U435" s="972">
        <v>286828</v>
      </c>
    </row>
    <row r="436" spans="1:21" x14ac:dyDescent="0.25">
      <c r="A436" s="966">
        <v>94437</v>
      </c>
      <c r="B436" s="967" t="s">
        <v>3049</v>
      </c>
      <c r="C436" s="968">
        <v>1.5299999999999999E-5</v>
      </c>
      <c r="D436" s="968">
        <v>1.34E-5</v>
      </c>
      <c r="E436" s="985">
        <v>12848</v>
      </c>
      <c r="F436" s="969">
        <v>23374</v>
      </c>
      <c r="G436" s="969"/>
      <c r="H436" s="970">
        <v>1347</v>
      </c>
      <c r="I436" s="971">
        <v>5675</v>
      </c>
      <c r="J436" s="970">
        <v>3338</v>
      </c>
      <c r="K436" s="969">
        <v>13868</v>
      </c>
      <c r="L436" s="971">
        <f t="shared" si="12"/>
        <v>24228</v>
      </c>
      <c r="M436" s="969"/>
      <c r="N436" s="970">
        <v>662</v>
      </c>
      <c r="O436" s="970">
        <v>0</v>
      </c>
      <c r="P436" s="969">
        <v>0</v>
      </c>
      <c r="Q436" s="971">
        <f t="shared" si="13"/>
        <v>662</v>
      </c>
      <c r="R436" s="969"/>
      <c r="S436" s="970">
        <v>7877</v>
      </c>
      <c r="T436" s="972">
        <v>5640</v>
      </c>
      <c r="U436" s="972">
        <v>13517</v>
      </c>
    </row>
    <row r="437" spans="1:21" x14ac:dyDescent="0.25">
      <c r="A437" s="966">
        <v>94501</v>
      </c>
      <c r="B437" s="967" t="s">
        <v>3050</v>
      </c>
      <c r="C437" s="968">
        <v>5.6991000000000003E-3</v>
      </c>
      <c r="D437" s="968">
        <v>5.8474E-3</v>
      </c>
      <c r="E437" s="985">
        <v>2726192</v>
      </c>
      <c r="F437" s="969">
        <v>8706646</v>
      </c>
      <c r="G437" s="969"/>
      <c r="H437" s="970">
        <v>501583</v>
      </c>
      <c r="I437" s="971">
        <v>2113984</v>
      </c>
      <c r="J437" s="970">
        <v>1243430</v>
      </c>
      <c r="K437" s="969">
        <v>145440</v>
      </c>
      <c r="L437" s="971">
        <f t="shared" si="12"/>
        <v>4004437</v>
      </c>
      <c r="M437" s="969"/>
      <c r="N437" s="970">
        <v>246458</v>
      </c>
      <c r="O437" s="970">
        <v>0</v>
      </c>
      <c r="P437" s="969">
        <v>11569</v>
      </c>
      <c r="Q437" s="971">
        <f t="shared" si="13"/>
        <v>258027</v>
      </c>
      <c r="R437" s="969"/>
      <c r="S437" s="970">
        <v>2934147</v>
      </c>
      <c r="T437" s="972">
        <v>99795</v>
      </c>
      <c r="U437" s="972">
        <v>3033942</v>
      </c>
    </row>
    <row r="438" spans="1:21" x14ac:dyDescent="0.25">
      <c r="A438" s="966">
        <v>94511</v>
      </c>
      <c r="B438" s="967" t="s">
        <v>3051</v>
      </c>
      <c r="C438" s="968">
        <v>1.8538999999999999E-3</v>
      </c>
      <c r="D438" s="968">
        <v>1.7432000000000001E-3</v>
      </c>
      <c r="E438" s="985">
        <v>773013</v>
      </c>
      <c r="F438" s="969">
        <v>2832246</v>
      </c>
      <c r="G438" s="969"/>
      <c r="H438" s="970">
        <v>163164</v>
      </c>
      <c r="I438" s="971">
        <v>687673</v>
      </c>
      <c r="J438" s="970">
        <v>404484</v>
      </c>
      <c r="K438" s="969">
        <v>155537</v>
      </c>
      <c r="L438" s="971">
        <f t="shared" si="12"/>
        <v>1410858</v>
      </c>
      <c r="M438" s="969"/>
      <c r="N438" s="970">
        <v>80172</v>
      </c>
      <c r="O438" s="970">
        <v>0</v>
      </c>
      <c r="P438" s="969">
        <v>31633</v>
      </c>
      <c r="Q438" s="971">
        <f t="shared" si="13"/>
        <v>111805</v>
      </c>
      <c r="R438" s="969"/>
      <c r="S438" s="970">
        <v>954469</v>
      </c>
      <c r="T438" s="972">
        <v>72914</v>
      </c>
      <c r="U438" s="972">
        <v>1027383</v>
      </c>
    </row>
    <row r="439" spans="1:21" x14ac:dyDescent="0.25">
      <c r="A439" s="966">
        <v>94512</v>
      </c>
      <c r="B439" s="967" t="s">
        <v>3052</v>
      </c>
      <c r="C439" s="968">
        <v>0</v>
      </c>
      <c r="D439" s="968">
        <v>0</v>
      </c>
      <c r="E439" s="985" t="e">
        <v>#N/A</v>
      </c>
      <c r="F439" s="969">
        <v>0</v>
      </c>
      <c r="G439" s="969"/>
      <c r="H439" s="970">
        <v>0</v>
      </c>
      <c r="I439" s="971">
        <v>0</v>
      </c>
      <c r="J439" s="970">
        <v>0</v>
      </c>
      <c r="K439" s="969">
        <v>0</v>
      </c>
      <c r="L439" s="971">
        <f t="shared" si="12"/>
        <v>0</v>
      </c>
      <c r="M439" s="969"/>
      <c r="N439" s="970">
        <v>0</v>
      </c>
      <c r="O439" s="970">
        <v>0</v>
      </c>
      <c r="P439" s="969">
        <v>138579</v>
      </c>
      <c r="Q439" s="971">
        <f t="shared" si="13"/>
        <v>138579</v>
      </c>
      <c r="R439" s="969"/>
      <c r="S439" s="970">
        <v>0</v>
      </c>
      <c r="T439" s="972">
        <v>-78713</v>
      </c>
      <c r="U439" s="972">
        <v>-78713</v>
      </c>
    </row>
    <row r="440" spans="1:21" x14ac:dyDescent="0.25">
      <c r="A440" s="966">
        <v>94517</v>
      </c>
      <c r="B440" s="967" t="s">
        <v>3053</v>
      </c>
      <c r="C440" s="968">
        <v>4.7599999999999998E-5</v>
      </c>
      <c r="D440" s="968">
        <v>4.9599999999999999E-5</v>
      </c>
      <c r="E440" s="985">
        <v>31750</v>
      </c>
      <c r="F440" s="969">
        <v>72720</v>
      </c>
      <c r="G440" s="969"/>
      <c r="H440" s="970">
        <v>4189</v>
      </c>
      <c r="I440" s="971">
        <v>17656</v>
      </c>
      <c r="J440" s="970">
        <v>10385</v>
      </c>
      <c r="K440" s="969">
        <v>18702</v>
      </c>
      <c r="L440" s="971">
        <f t="shared" si="12"/>
        <v>50932</v>
      </c>
      <c r="M440" s="969"/>
      <c r="N440" s="970">
        <v>2058</v>
      </c>
      <c r="O440" s="970">
        <v>0</v>
      </c>
      <c r="P440" s="969">
        <v>0</v>
      </c>
      <c r="Q440" s="971">
        <f t="shared" si="13"/>
        <v>2058</v>
      </c>
      <c r="R440" s="969"/>
      <c r="S440" s="970">
        <v>24507</v>
      </c>
      <c r="T440" s="972">
        <v>9021</v>
      </c>
      <c r="U440" s="972">
        <v>33528</v>
      </c>
    </row>
    <row r="441" spans="1:21" x14ac:dyDescent="0.25">
      <c r="A441" s="966">
        <v>94521</v>
      </c>
      <c r="B441" s="967" t="s">
        <v>3054</v>
      </c>
      <c r="C441" s="968">
        <v>1.517E-4</v>
      </c>
      <c r="D441" s="968">
        <v>1.2410000000000001E-4</v>
      </c>
      <c r="E441" s="985">
        <v>61289</v>
      </c>
      <c r="F441" s="969">
        <v>231756</v>
      </c>
      <c r="G441" s="969"/>
      <c r="H441" s="970">
        <v>13351</v>
      </c>
      <c r="I441" s="971">
        <v>56271</v>
      </c>
      <c r="J441" s="970">
        <v>33098</v>
      </c>
      <c r="K441" s="969">
        <v>15354</v>
      </c>
      <c r="L441" s="971">
        <f t="shared" si="12"/>
        <v>118074</v>
      </c>
      <c r="M441" s="969"/>
      <c r="N441" s="970">
        <v>6560</v>
      </c>
      <c r="O441" s="970">
        <v>0</v>
      </c>
      <c r="P441" s="969">
        <v>13856</v>
      </c>
      <c r="Q441" s="971">
        <f t="shared" si="13"/>
        <v>20416</v>
      </c>
      <c r="R441" s="969"/>
      <c r="S441" s="970">
        <v>78102</v>
      </c>
      <c r="T441" s="972">
        <v>429</v>
      </c>
      <c r="U441" s="972">
        <v>78531</v>
      </c>
    </row>
    <row r="442" spans="1:21" x14ac:dyDescent="0.25">
      <c r="A442" s="966">
        <v>94527</v>
      </c>
      <c r="B442" s="967" t="s">
        <v>3055</v>
      </c>
      <c r="C442" s="968">
        <v>5.4E-6</v>
      </c>
      <c r="D442" s="968">
        <v>6.3999999999999997E-6</v>
      </c>
      <c r="E442" s="985">
        <v>2382</v>
      </c>
      <c r="F442" s="969">
        <v>8250</v>
      </c>
      <c r="G442" s="969"/>
      <c r="H442" s="970">
        <v>475</v>
      </c>
      <c r="I442" s="971">
        <v>2003</v>
      </c>
      <c r="J442" s="970">
        <v>1178</v>
      </c>
      <c r="K442" s="969">
        <v>308</v>
      </c>
      <c r="L442" s="971">
        <f t="shared" si="12"/>
        <v>3964</v>
      </c>
      <c r="M442" s="969"/>
      <c r="N442" s="970">
        <v>234</v>
      </c>
      <c r="O442" s="970">
        <v>0</v>
      </c>
      <c r="P442" s="969">
        <v>3369</v>
      </c>
      <c r="Q442" s="971">
        <f t="shared" si="13"/>
        <v>3603</v>
      </c>
      <c r="R442" s="969"/>
      <c r="S442" s="970">
        <v>2780</v>
      </c>
      <c r="T442" s="972">
        <v>-953</v>
      </c>
      <c r="U442" s="972">
        <v>1827</v>
      </c>
    </row>
    <row r="443" spans="1:21" x14ac:dyDescent="0.25">
      <c r="A443" s="966">
        <v>94531</v>
      </c>
      <c r="B443" s="967" t="s">
        <v>3056</v>
      </c>
      <c r="C443" s="968">
        <v>1.5E-5</v>
      </c>
      <c r="D443" s="968">
        <v>1.5500000000000001E-5</v>
      </c>
      <c r="E443" s="985">
        <v>11396</v>
      </c>
      <c r="F443" s="969">
        <v>22916</v>
      </c>
      <c r="G443" s="969"/>
      <c r="H443" s="970">
        <v>1320</v>
      </c>
      <c r="I443" s="971">
        <v>5564</v>
      </c>
      <c r="J443" s="970">
        <v>3273</v>
      </c>
      <c r="K443" s="969">
        <v>6665</v>
      </c>
      <c r="L443" s="971">
        <f t="shared" si="12"/>
        <v>16822</v>
      </c>
      <c r="M443" s="969"/>
      <c r="N443" s="970">
        <v>649</v>
      </c>
      <c r="O443" s="970">
        <v>0</v>
      </c>
      <c r="P443" s="969">
        <v>0</v>
      </c>
      <c r="Q443" s="971">
        <f t="shared" si="13"/>
        <v>649</v>
      </c>
      <c r="R443" s="969"/>
      <c r="S443" s="970">
        <v>7723</v>
      </c>
      <c r="T443" s="972">
        <v>2681</v>
      </c>
      <c r="U443" s="972">
        <v>10404</v>
      </c>
    </row>
    <row r="444" spans="1:21" x14ac:dyDescent="0.25">
      <c r="A444" s="966">
        <v>94532</v>
      </c>
      <c r="B444" s="967" t="s">
        <v>3057</v>
      </c>
      <c r="C444" s="968">
        <v>8.7800000000000006E-5</v>
      </c>
      <c r="D444" s="968">
        <v>9.4099999999999997E-5</v>
      </c>
      <c r="E444" s="985">
        <v>45014</v>
      </c>
      <c r="F444" s="969">
        <v>134134</v>
      </c>
      <c r="G444" s="969"/>
      <c r="H444" s="970">
        <v>7727</v>
      </c>
      <c r="I444" s="971">
        <v>32568</v>
      </c>
      <c r="J444" s="970">
        <v>19156</v>
      </c>
      <c r="K444" s="969">
        <v>0</v>
      </c>
      <c r="L444" s="971">
        <f t="shared" si="12"/>
        <v>59451</v>
      </c>
      <c r="M444" s="969"/>
      <c r="N444" s="970">
        <v>3797</v>
      </c>
      <c r="O444" s="970">
        <v>0</v>
      </c>
      <c r="P444" s="969">
        <v>10367</v>
      </c>
      <c r="Q444" s="971">
        <f t="shared" si="13"/>
        <v>14164</v>
      </c>
      <c r="R444" s="969"/>
      <c r="S444" s="970">
        <v>45203</v>
      </c>
      <c r="T444" s="972">
        <v>-5525</v>
      </c>
      <c r="U444" s="972">
        <v>39678</v>
      </c>
    </row>
    <row r="445" spans="1:21" x14ac:dyDescent="0.25">
      <c r="A445" s="966">
        <v>94541</v>
      </c>
      <c r="B445" s="967" t="s">
        <v>3058</v>
      </c>
      <c r="C445" s="968">
        <v>2.9300000000000002E-4</v>
      </c>
      <c r="D445" s="968">
        <v>2.9839999999999999E-4</v>
      </c>
      <c r="E445" s="985">
        <v>124372</v>
      </c>
      <c r="F445" s="969">
        <v>447623</v>
      </c>
      <c r="G445" s="969"/>
      <c r="H445" s="970">
        <v>25787</v>
      </c>
      <c r="I445" s="971">
        <v>108683</v>
      </c>
      <c r="J445" s="970">
        <v>63927</v>
      </c>
      <c r="K445" s="969">
        <v>0</v>
      </c>
      <c r="L445" s="971">
        <f t="shared" si="12"/>
        <v>198397</v>
      </c>
      <c r="M445" s="969"/>
      <c r="N445" s="970">
        <v>12671</v>
      </c>
      <c r="O445" s="970">
        <v>0</v>
      </c>
      <c r="P445" s="969">
        <v>27614</v>
      </c>
      <c r="Q445" s="971">
        <f t="shared" si="13"/>
        <v>40285</v>
      </c>
      <c r="R445" s="969"/>
      <c r="S445" s="970">
        <v>150849</v>
      </c>
      <c r="T445" s="972">
        <v>-10625</v>
      </c>
      <c r="U445" s="972">
        <v>140224</v>
      </c>
    </row>
    <row r="446" spans="1:21" x14ac:dyDescent="0.25">
      <c r="A446" s="966">
        <v>94547</v>
      </c>
      <c r="B446" s="967" t="s">
        <v>3059</v>
      </c>
      <c r="C446" s="968">
        <v>1.08E-5</v>
      </c>
      <c r="D446" s="968">
        <v>1.24E-5</v>
      </c>
      <c r="E446" s="985">
        <v>8019</v>
      </c>
      <c r="F446" s="969">
        <v>16499</v>
      </c>
      <c r="G446" s="969"/>
      <c r="H446" s="970">
        <v>951</v>
      </c>
      <c r="I446" s="971">
        <v>4006</v>
      </c>
      <c r="J446" s="970">
        <v>2356</v>
      </c>
      <c r="K446" s="969">
        <v>2853</v>
      </c>
      <c r="L446" s="971">
        <f t="shared" si="12"/>
        <v>10166</v>
      </c>
      <c r="M446" s="969"/>
      <c r="N446" s="970">
        <v>467</v>
      </c>
      <c r="O446" s="970">
        <v>0</v>
      </c>
      <c r="P446" s="969">
        <v>0</v>
      </c>
      <c r="Q446" s="971">
        <f t="shared" si="13"/>
        <v>467</v>
      </c>
      <c r="R446" s="969"/>
      <c r="S446" s="970">
        <v>5560</v>
      </c>
      <c r="T446" s="972">
        <v>1000</v>
      </c>
      <c r="U446" s="972">
        <v>6560</v>
      </c>
    </row>
    <row r="447" spans="1:21" x14ac:dyDescent="0.25">
      <c r="A447" s="966">
        <v>94551</v>
      </c>
      <c r="B447" s="967" t="s">
        <v>3060</v>
      </c>
      <c r="C447" s="968">
        <v>4.1900000000000002E-5</v>
      </c>
      <c r="D447" s="968">
        <v>4.5899999999999998E-5</v>
      </c>
      <c r="E447" s="985">
        <v>24929</v>
      </c>
      <c r="F447" s="969">
        <v>64012</v>
      </c>
      <c r="G447" s="969"/>
      <c r="H447" s="970">
        <v>3688</v>
      </c>
      <c r="I447" s="971">
        <v>15543</v>
      </c>
      <c r="J447" s="970">
        <v>9142</v>
      </c>
      <c r="K447" s="969">
        <v>11600</v>
      </c>
      <c r="L447" s="971">
        <f t="shared" si="12"/>
        <v>39973</v>
      </c>
      <c r="M447" s="969"/>
      <c r="N447" s="970">
        <v>1812</v>
      </c>
      <c r="O447" s="970">
        <v>0</v>
      </c>
      <c r="P447" s="969">
        <v>1576</v>
      </c>
      <c r="Q447" s="971">
        <f t="shared" si="13"/>
        <v>3388</v>
      </c>
      <c r="R447" s="969"/>
      <c r="S447" s="970">
        <v>21572</v>
      </c>
      <c r="T447" s="972">
        <v>4116</v>
      </c>
      <c r="U447" s="972">
        <v>25688</v>
      </c>
    </row>
    <row r="448" spans="1:21" x14ac:dyDescent="0.25">
      <c r="A448" s="966">
        <v>94601</v>
      </c>
      <c r="B448" s="967" t="s">
        <v>3061</v>
      </c>
      <c r="C448" s="968">
        <v>1.0602999999999999E-3</v>
      </c>
      <c r="D448" s="968">
        <v>1.0011E-3</v>
      </c>
      <c r="E448" s="985">
        <v>501425</v>
      </c>
      <c r="F448" s="969">
        <v>1619845</v>
      </c>
      <c r="G448" s="969"/>
      <c r="H448" s="970">
        <v>93318</v>
      </c>
      <c r="I448" s="971">
        <v>393300</v>
      </c>
      <c r="J448" s="970">
        <v>231336</v>
      </c>
      <c r="K448" s="969">
        <v>77480</v>
      </c>
      <c r="L448" s="971">
        <f t="shared" si="12"/>
        <v>795434</v>
      </c>
      <c r="M448" s="969"/>
      <c r="N448" s="970">
        <v>45853</v>
      </c>
      <c r="O448" s="970">
        <v>0</v>
      </c>
      <c r="P448" s="969">
        <v>2182</v>
      </c>
      <c r="Q448" s="971">
        <f t="shared" si="13"/>
        <v>48035</v>
      </c>
      <c r="R448" s="969"/>
      <c r="S448" s="970">
        <v>545889</v>
      </c>
      <c r="T448" s="972">
        <v>21640</v>
      </c>
      <c r="U448" s="972">
        <v>567529</v>
      </c>
    </row>
    <row r="449" spans="1:21" x14ac:dyDescent="0.25">
      <c r="A449" s="966">
        <v>94604</v>
      </c>
      <c r="B449" s="967" t="s">
        <v>3062</v>
      </c>
      <c r="C449" s="968">
        <v>2.62E-5</v>
      </c>
      <c r="D449" s="968">
        <v>2.65E-5</v>
      </c>
      <c r="E449" s="985">
        <v>14408</v>
      </c>
      <c r="F449" s="969">
        <v>40026</v>
      </c>
      <c r="G449" s="969"/>
      <c r="H449" s="970">
        <v>2306</v>
      </c>
      <c r="I449" s="971">
        <v>9718</v>
      </c>
      <c r="J449" s="970">
        <v>5716</v>
      </c>
      <c r="K449" s="969">
        <v>2471</v>
      </c>
      <c r="L449" s="971">
        <f t="shared" si="12"/>
        <v>20211</v>
      </c>
      <c r="M449" s="969"/>
      <c r="N449" s="970">
        <v>1133</v>
      </c>
      <c r="O449" s="970">
        <v>0</v>
      </c>
      <c r="P449" s="969">
        <v>26</v>
      </c>
      <c r="Q449" s="971">
        <f t="shared" si="13"/>
        <v>1159</v>
      </c>
      <c r="R449" s="969"/>
      <c r="S449" s="970">
        <v>13489</v>
      </c>
      <c r="T449" s="972">
        <v>697</v>
      </c>
      <c r="U449" s="972">
        <v>14186</v>
      </c>
    </row>
    <row r="450" spans="1:21" x14ac:dyDescent="0.25">
      <c r="A450" s="966">
        <v>94606</v>
      </c>
      <c r="B450" s="967" t="s">
        <v>3063</v>
      </c>
      <c r="C450" s="968">
        <v>2.3550000000000001E-4</v>
      </c>
      <c r="D450" s="968">
        <v>2.6229999999999998E-4</v>
      </c>
      <c r="E450" s="985">
        <v>106916</v>
      </c>
      <c r="F450" s="969">
        <v>359779</v>
      </c>
      <c r="G450" s="969"/>
      <c r="H450" s="970">
        <v>20727</v>
      </c>
      <c r="I450" s="971">
        <v>87355</v>
      </c>
      <c r="J450" s="970">
        <v>51381</v>
      </c>
      <c r="K450" s="969">
        <v>0</v>
      </c>
      <c r="L450" s="971">
        <f t="shared" si="12"/>
        <v>159463</v>
      </c>
      <c r="M450" s="969"/>
      <c r="N450" s="970">
        <v>10184</v>
      </c>
      <c r="O450" s="970">
        <v>0</v>
      </c>
      <c r="P450" s="969">
        <v>51703</v>
      </c>
      <c r="Q450" s="971">
        <f t="shared" si="13"/>
        <v>61887</v>
      </c>
      <c r="R450" s="969"/>
      <c r="S450" s="970">
        <v>121246</v>
      </c>
      <c r="T450" s="972">
        <v>-24169</v>
      </c>
      <c r="U450" s="972">
        <v>97077</v>
      </c>
    </row>
    <row r="451" spans="1:21" x14ac:dyDescent="0.25">
      <c r="A451" s="966">
        <v>94611</v>
      </c>
      <c r="B451" s="967" t="s">
        <v>3064</v>
      </c>
      <c r="C451" s="968">
        <v>3.6850000000000001E-4</v>
      </c>
      <c r="D451" s="968">
        <v>4.4450000000000002E-4</v>
      </c>
      <c r="E451" s="985">
        <v>191641</v>
      </c>
      <c r="F451" s="969">
        <v>562966</v>
      </c>
      <c r="G451" s="969"/>
      <c r="H451" s="970">
        <v>32432</v>
      </c>
      <c r="I451" s="971">
        <v>136689</v>
      </c>
      <c r="J451" s="970">
        <v>80399</v>
      </c>
      <c r="K451" s="969">
        <v>2567</v>
      </c>
      <c r="L451" s="971">
        <f t="shared" si="12"/>
        <v>252087</v>
      </c>
      <c r="M451" s="969"/>
      <c r="N451" s="970">
        <v>15936</v>
      </c>
      <c r="O451" s="970">
        <v>0</v>
      </c>
      <c r="P451" s="969">
        <v>35426</v>
      </c>
      <c r="Q451" s="971">
        <f t="shared" si="13"/>
        <v>51362</v>
      </c>
      <c r="R451" s="969"/>
      <c r="S451" s="970">
        <v>189720</v>
      </c>
      <c r="T451" s="972">
        <v>-9323</v>
      </c>
      <c r="U451" s="972">
        <v>180397</v>
      </c>
    </row>
    <row r="452" spans="1:21" x14ac:dyDescent="0.25">
      <c r="A452" s="966">
        <v>94621</v>
      </c>
      <c r="B452" s="967" t="s">
        <v>3065</v>
      </c>
      <c r="C452" s="968">
        <v>9.7600000000000001E-5</v>
      </c>
      <c r="D452" s="968">
        <v>1.3119999999999999E-4</v>
      </c>
      <c r="E452" s="985">
        <v>66541</v>
      </c>
      <c r="F452" s="969">
        <v>149106</v>
      </c>
      <c r="G452" s="969"/>
      <c r="H452" s="970">
        <v>8590</v>
      </c>
      <c r="I452" s="971">
        <v>36203</v>
      </c>
      <c r="J452" s="970">
        <v>21294</v>
      </c>
      <c r="K452" s="969">
        <v>6585</v>
      </c>
      <c r="L452" s="971">
        <f t="shared" si="12"/>
        <v>72672</v>
      </c>
      <c r="M452" s="969"/>
      <c r="N452" s="970">
        <v>4221</v>
      </c>
      <c r="O452" s="970">
        <v>0</v>
      </c>
      <c r="P452" s="969">
        <v>18055</v>
      </c>
      <c r="Q452" s="971">
        <f t="shared" si="13"/>
        <v>22276</v>
      </c>
      <c r="R452" s="969"/>
      <c r="S452" s="970">
        <v>50249</v>
      </c>
      <c r="T452" s="972">
        <v>-1288</v>
      </c>
      <c r="U452" s="972">
        <v>48961</v>
      </c>
    </row>
    <row r="453" spans="1:21" x14ac:dyDescent="0.25">
      <c r="A453" s="966">
        <v>94631</v>
      </c>
      <c r="B453" s="967" t="s">
        <v>3066</v>
      </c>
      <c r="C453" s="968">
        <v>3.9100000000000002E-5</v>
      </c>
      <c r="D453" s="968">
        <v>3.9799999999999998E-5</v>
      </c>
      <c r="E453" s="985">
        <v>22453</v>
      </c>
      <c r="F453" s="969">
        <v>59734</v>
      </c>
      <c r="G453" s="969"/>
      <c r="H453" s="970">
        <v>3441</v>
      </c>
      <c r="I453" s="971">
        <v>14504</v>
      </c>
      <c r="J453" s="970">
        <v>8531</v>
      </c>
      <c r="K453" s="969">
        <v>6569</v>
      </c>
      <c r="L453" s="971">
        <f t="shared" si="12"/>
        <v>33045</v>
      </c>
      <c r="M453" s="969"/>
      <c r="N453" s="970">
        <v>1691</v>
      </c>
      <c r="O453" s="970">
        <v>0</v>
      </c>
      <c r="P453" s="969">
        <v>0</v>
      </c>
      <c r="Q453" s="971">
        <f t="shared" si="13"/>
        <v>1691</v>
      </c>
      <c r="R453" s="969"/>
      <c r="S453" s="970">
        <v>20130</v>
      </c>
      <c r="T453" s="972">
        <v>2517</v>
      </c>
      <c r="U453" s="972">
        <v>22647</v>
      </c>
    </row>
    <row r="454" spans="1:21" x14ac:dyDescent="0.25">
      <c r="A454" s="966">
        <v>94641</v>
      </c>
      <c r="B454" s="967" t="s">
        <v>3067</v>
      </c>
      <c r="C454" s="968">
        <v>3.8999999999999999E-6</v>
      </c>
      <c r="D454" s="968">
        <v>4.6999999999999999E-6</v>
      </c>
      <c r="E454" s="985">
        <v>5004</v>
      </c>
      <c r="F454" s="969">
        <v>5958</v>
      </c>
      <c r="G454" s="969"/>
      <c r="H454" s="970">
        <v>343</v>
      </c>
      <c r="I454" s="971">
        <v>1446</v>
      </c>
      <c r="J454" s="970">
        <v>851</v>
      </c>
      <c r="K454" s="969">
        <v>5156</v>
      </c>
      <c r="L454" s="971">
        <f t="shared" si="12"/>
        <v>7796</v>
      </c>
      <c r="M454" s="969"/>
      <c r="N454" s="970">
        <v>169</v>
      </c>
      <c r="O454" s="970">
        <v>0</v>
      </c>
      <c r="P454" s="969">
        <v>0</v>
      </c>
      <c r="Q454" s="971">
        <f t="shared" si="13"/>
        <v>169</v>
      </c>
      <c r="R454" s="969"/>
      <c r="S454" s="970">
        <v>2008</v>
      </c>
      <c r="T454" s="972">
        <v>2187</v>
      </c>
      <c r="U454" s="972">
        <v>4195</v>
      </c>
    </row>
    <row r="455" spans="1:21" x14ac:dyDescent="0.25">
      <c r="A455" s="966">
        <v>94701</v>
      </c>
      <c r="B455" s="967" t="s">
        <v>3068</v>
      </c>
      <c r="C455" s="968">
        <v>2.5446000000000002E-3</v>
      </c>
      <c r="D455" s="968">
        <v>2.5636000000000001E-3</v>
      </c>
      <c r="E455" s="985">
        <v>1148600</v>
      </c>
      <c r="F455" s="969">
        <v>3887444</v>
      </c>
      <c r="G455" s="969"/>
      <c r="H455" s="970">
        <v>223953</v>
      </c>
      <c r="I455" s="971">
        <v>943877</v>
      </c>
      <c r="J455" s="970">
        <v>555181</v>
      </c>
      <c r="K455" s="969">
        <v>45251</v>
      </c>
      <c r="L455" s="971">
        <f t="shared" ref="L455:L518" si="14">H455+I455+J455+K455</f>
        <v>1768262</v>
      </c>
      <c r="M455" s="969"/>
      <c r="N455" s="970">
        <v>110041</v>
      </c>
      <c r="O455" s="970">
        <v>0</v>
      </c>
      <c r="P455" s="969">
        <v>103182</v>
      </c>
      <c r="Q455" s="971">
        <f t="shared" ref="Q455:Q518" si="15">N455+O455+P455</f>
        <v>213223</v>
      </c>
      <c r="R455" s="969"/>
      <c r="S455" s="970">
        <v>1310072</v>
      </c>
      <c r="T455" s="972">
        <v>-2731</v>
      </c>
      <c r="U455" s="972">
        <v>1307341</v>
      </c>
    </row>
    <row r="456" spans="1:21" x14ac:dyDescent="0.25">
      <c r="A456" s="966">
        <v>94704</v>
      </c>
      <c r="B456" s="967" t="s">
        <v>3069</v>
      </c>
      <c r="C456" s="968">
        <v>9.5000000000000005E-6</v>
      </c>
      <c r="D456" s="968">
        <v>1.04E-5</v>
      </c>
      <c r="E456" s="985">
        <v>5070</v>
      </c>
      <c r="F456" s="969">
        <v>14513</v>
      </c>
      <c r="G456" s="969"/>
      <c r="H456" s="970">
        <v>836</v>
      </c>
      <c r="I456" s="971">
        <v>3524</v>
      </c>
      <c r="J456" s="970">
        <v>2073</v>
      </c>
      <c r="K456" s="969">
        <v>77</v>
      </c>
      <c r="L456" s="971">
        <f t="shared" si="14"/>
        <v>6510</v>
      </c>
      <c r="M456" s="969"/>
      <c r="N456" s="970">
        <v>411</v>
      </c>
      <c r="O456" s="970">
        <v>0</v>
      </c>
      <c r="P456" s="969">
        <v>100</v>
      </c>
      <c r="Q456" s="971">
        <f t="shared" si="15"/>
        <v>511</v>
      </c>
      <c r="R456" s="969"/>
      <c r="S456" s="970">
        <v>4891</v>
      </c>
      <c r="T456" s="972">
        <v>38</v>
      </c>
      <c r="U456" s="972">
        <v>4929</v>
      </c>
    </row>
    <row r="457" spans="1:21" x14ac:dyDescent="0.25">
      <c r="A457" s="966">
        <v>94711</v>
      </c>
      <c r="B457" s="967" t="s">
        <v>3070</v>
      </c>
      <c r="C457" s="968">
        <v>3.3599999999999998E-4</v>
      </c>
      <c r="D457" s="968">
        <v>3.5110000000000002E-4</v>
      </c>
      <c r="E457" s="985">
        <v>165327</v>
      </c>
      <c r="F457" s="969">
        <v>513315</v>
      </c>
      <c r="G457" s="969"/>
      <c r="H457" s="970">
        <v>29572</v>
      </c>
      <c r="I457" s="971">
        <v>124633</v>
      </c>
      <c r="J457" s="970">
        <v>73308</v>
      </c>
      <c r="K457" s="969">
        <v>9113</v>
      </c>
      <c r="L457" s="971">
        <f t="shared" si="14"/>
        <v>236626</v>
      </c>
      <c r="M457" s="969"/>
      <c r="N457" s="970">
        <v>14530</v>
      </c>
      <c r="O457" s="970">
        <v>0</v>
      </c>
      <c r="P457" s="969">
        <v>6693</v>
      </c>
      <c r="Q457" s="971">
        <f t="shared" si="15"/>
        <v>21223</v>
      </c>
      <c r="R457" s="969"/>
      <c r="S457" s="970">
        <v>172988</v>
      </c>
      <c r="T457" s="972">
        <v>1163</v>
      </c>
      <c r="U457" s="972">
        <v>174151</v>
      </c>
    </row>
    <row r="458" spans="1:21" x14ac:dyDescent="0.25">
      <c r="A458" s="966">
        <v>94801</v>
      </c>
      <c r="B458" s="967" t="s">
        <v>3071</v>
      </c>
      <c r="C458" s="968">
        <v>7.2440000000000004E-4</v>
      </c>
      <c r="D458" s="968">
        <v>7.6539999999999996E-4</v>
      </c>
      <c r="E458" s="985">
        <v>342416</v>
      </c>
      <c r="F458" s="969">
        <v>1106683</v>
      </c>
      <c r="G458" s="969"/>
      <c r="H458" s="970">
        <v>63755</v>
      </c>
      <c r="I458" s="971">
        <v>268704</v>
      </c>
      <c r="J458" s="970">
        <v>158050</v>
      </c>
      <c r="K458" s="969">
        <v>40380</v>
      </c>
      <c r="L458" s="971">
        <f t="shared" si="14"/>
        <v>530889</v>
      </c>
      <c r="M458" s="969"/>
      <c r="N458" s="970">
        <v>31327</v>
      </c>
      <c r="O458" s="970">
        <v>0</v>
      </c>
      <c r="P458" s="969">
        <v>19605</v>
      </c>
      <c r="Q458" s="971">
        <f t="shared" si="15"/>
        <v>50932</v>
      </c>
      <c r="R458" s="969"/>
      <c r="S458" s="970">
        <v>372953</v>
      </c>
      <c r="T458" s="972">
        <v>17711</v>
      </c>
      <c r="U458" s="972">
        <v>390664</v>
      </c>
    </row>
    <row r="459" spans="1:21" x14ac:dyDescent="0.25">
      <c r="A459" s="966">
        <v>94804</v>
      </c>
      <c r="B459" s="967" t="s">
        <v>3072</v>
      </c>
      <c r="C459" s="968">
        <v>3.8E-6</v>
      </c>
      <c r="D459" s="968">
        <v>3.8E-6</v>
      </c>
      <c r="E459" s="985">
        <v>2740</v>
      </c>
      <c r="F459" s="969">
        <v>5805</v>
      </c>
      <c r="G459" s="969"/>
      <c r="H459" s="970">
        <v>334</v>
      </c>
      <c r="I459" s="971">
        <v>1409</v>
      </c>
      <c r="J459" s="970">
        <v>829</v>
      </c>
      <c r="K459" s="969">
        <v>2556</v>
      </c>
      <c r="L459" s="971">
        <f t="shared" si="14"/>
        <v>5128</v>
      </c>
      <c r="M459" s="969"/>
      <c r="N459" s="970">
        <v>164</v>
      </c>
      <c r="O459" s="970">
        <v>0</v>
      </c>
      <c r="P459" s="969">
        <v>218</v>
      </c>
      <c r="Q459" s="971">
        <f t="shared" si="15"/>
        <v>382</v>
      </c>
      <c r="R459" s="969"/>
      <c r="S459" s="970">
        <v>1956</v>
      </c>
      <c r="T459" s="972">
        <v>1879</v>
      </c>
      <c r="U459" s="972">
        <v>3835</v>
      </c>
    </row>
    <row r="460" spans="1:21" x14ac:dyDescent="0.25">
      <c r="A460" s="966">
        <v>94812</v>
      </c>
      <c r="B460" s="967" t="s">
        <v>3073</v>
      </c>
      <c r="C460" s="968">
        <v>3.3000000000000003E-5</v>
      </c>
      <c r="D460" s="968">
        <v>3.3500000000000001E-5</v>
      </c>
      <c r="E460" s="985">
        <v>19658</v>
      </c>
      <c r="F460" s="969">
        <v>50415</v>
      </c>
      <c r="G460" s="969"/>
      <c r="H460" s="970">
        <v>2904</v>
      </c>
      <c r="I460" s="971">
        <v>12241</v>
      </c>
      <c r="J460" s="970">
        <v>7200</v>
      </c>
      <c r="K460" s="969">
        <v>10442</v>
      </c>
      <c r="L460" s="971">
        <f t="shared" si="14"/>
        <v>32787</v>
      </c>
      <c r="M460" s="969"/>
      <c r="N460" s="970">
        <v>1427</v>
      </c>
      <c r="O460" s="970">
        <v>0</v>
      </c>
      <c r="P460" s="969">
        <v>0</v>
      </c>
      <c r="Q460" s="971">
        <f t="shared" si="15"/>
        <v>1427</v>
      </c>
      <c r="R460" s="969"/>
      <c r="S460" s="970">
        <v>16990</v>
      </c>
      <c r="T460" s="972">
        <v>4040</v>
      </c>
      <c r="U460" s="972">
        <v>21030</v>
      </c>
    </row>
    <row r="461" spans="1:21" x14ac:dyDescent="0.25">
      <c r="A461" s="966">
        <v>94901</v>
      </c>
      <c r="B461" s="967" t="s">
        <v>3074</v>
      </c>
      <c r="C461" s="968">
        <v>6.7841999999999998E-3</v>
      </c>
      <c r="D461" s="968">
        <v>7.0014999999999999E-3</v>
      </c>
      <c r="E461" s="985">
        <v>3201093</v>
      </c>
      <c r="F461" s="969">
        <v>10364378</v>
      </c>
      <c r="G461" s="969"/>
      <c r="H461" s="970">
        <v>597084</v>
      </c>
      <c r="I461" s="971">
        <v>2516484</v>
      </c>
      <c r="J461" s="970">
        <v>1480177</v>
      </c>
      <c r="K461" s="969">
        <v>16760</v>
      </c>
      <c r="L461" s="971">
        <f t="shared" si="14"/>
        <v>4610505</v>
      </c>
      <c r="M461" s="969"/>
      <c r="N461" s="970">
        <v>293383</v>
      </c>
      <c r="O461" s="970">
        <v>0</v>
      </c>
      <c r="P461" s="969">
        <v>129476</v>
      </c>
      <c r="Q461" s="971">
        <f t="shared" si="15"/>
        <v>422859</v>
      </c>
      <c r="R461" s="969"/>
      <c r="S461" s="970">
        <v>3492805</v>
      </c>
      <c r="T461" s="972">
        <v>-36324</v>
      </c>
      <c r="U461" s="972">
        <v>3456481</v>
      </c>
    </row>
    <row r="462" spans="1:21" x14ac:dyDescent="0.25">
      <c r="A462" s="966">
        <v>94908</v>
      </c>
      <c r="B462" s="967" t="s">
        <v>3075</v>
      </c>
      <c r="C462" s="968">
        <v>7.7000000000000008E-6</v>
      </c>
      <c r="D462" s="968">
        <v>3.9799999999999998E-5</v>
      </c>
      <c r="E462" s="985">
        <v>7868</v>
      </c>
      <c r="F462" s="969">
        <v>11763</v>
      </c>
      <c r="G462" s="969"/>
      <c r="H462" s="970">
        <v>678</v>
      </c>
      <c r="I462" s="971">
        <v>2857</v>
      </c>
      <c r="J462" s="970">
        <v>1680</v>
      </c>
      <c r="K462" s="969">
        <v>0</v>
      </c>
      <c r="L462" s="971">
        <f t="shared" si="14"/>
        <v>5215</v>
      </c>
      <c r="M462" s="969"/>
      <c r="N462" s="970">
        <v>333</v>
      </c>
      <c r="O462" s="970">
        <v>0</v>
      </c>
      <c r="P462" s="969">
        <v>21664</v>
      </c>
      <c r="Q462" s="971">
        <f t="shared" si="15"/>
        <v>21997</v>
      </c>
      <c r="R462" s="969"/>
      <c r="S462" s="970">
        <v>3964</v>
      </c>
      <c r="T462" s="972">
        <v>-6783</v>
      </c>
      <c r="U462" s="972">
        <v>-2819</v>
      </c>
    </row>
    <row r="463" spans="1:21" x14ac:dyDescent="0.25">
      <c r="A463" s="966">
        <v>94911</v>
      </c>
      <c r="B463" s="967" t="s">
        <v>3076</v>
      </c>
      <c r="C463" s="968">
        <v>2.8311E-3</v>
      </c>
      <c r="D463" s="968">
        <v>2.7745999999999999E-3</v>
      </c>
      <c r="E463" s="985">
        <v>1295988</v>
      </c>
      <c r="F463" s="969">
        <v>4325137</v>
      </c>
      <c r="G463" s="969"/>
      <c r="H463" s="970">
        <v>249168</v>
      </c>
      <c r="I463" s="971">
        <v>1050149</v>
      </c>
      <c r="J463" s="970">
        <v>617689</v>
      </c>
      <c r="K463" s="969">
        <v>39747</v>
      </c>
      <c r="L463" s="971">
        <f t="shared" si="14"/>
        <v>1956753</v>
      </c>
      <c r="M463" s="969"/>
      <c r="N463" s="970">
        <v>122431</v>
      </c>
      <c r="O463" s="970">
        <v>0</v>
      </c>
      <c r="P463" s="969">
        <v>40147</v>
      </c>
      <c r="Q463" s="971">
        <f t="shared" si="15"/>
        <v>162578</v>
      </c>
      <c r="R463" s="969"/>
      <c r="S463" s="970">
        <v>1457575</v>
      </c>
      <c r="T463" s="972">
        <v>-7457</v>
      </c>
      <c r="U463" s="972">
        <v>1450118</v>
      </c>
    </row>
    <row r="464" spans="1:21" x14ac:dyDescent="0.25">
      <c r="A464" s="966">
        <v>94917</v>
      </c>
      <c r="B464" s="967" t="s">
        <v>3077</v>
      </c>
      <c r="C464" s="968">
        <v>3.5099999999999999E-5</v>
      </c>
      <c r="D464" s="968">
        <v>3.7400000000000001E-5</v>
      </c>
      <c r="E464" s="985">
        <v>27131</v>
      </c>
      <c r="F464" s="969">
        <v>53623</v>
      </c>
      <c r="G464" s="969"/>
      <c r="H464" s="970">
        <v>3089</v>
      </c>
      <c r="I464" s="971">
        <v>13020</v>
      </c>
      <c r="J464" s="970">
        <v>7658</v>
      </c>
      <c r="K464" s="969">
        <v>16574</v>
      </c>
      <c r="L464" s="971">
        <f t="shared" si="14"/>
        <v>40341</v>
      </c>
      <c r="M464" s="969"/>
      <c r="N464" s="970">
        <v>1518</v>
      </c>
      <c r="O464" s="970">
        <v>0</v>
      </c>
      <c r="P464" s="969">
        <v>0</v>
      </c>
      <c r="Q464" s="971">
        <f t="shared" si="15"/>
        <v>1518</v>
      </c>
      <c r="R464" s="969"/>
      <c r="S464" s="970">
        <v>18071</v>
      </c>
      <c r="T464" s="972">
        <v>7114</v>
      </c>
      <c r="U464" s="972">
        <v>25185</v>
      </c>
    </row>
    <row r="465" spans="1:21" x14ac:dyDescent="0.25">
      <c r="A465" s="966">
        <v>94921</v>
      </c>
      <c r="B465" s="967" t="s">
        <v>3078</v>
      </c>
      <c r="C465" s="968">
        <v>3.9515000000000002E-3</v>
      </c>
      <c r="D465" s="968">
        <v>3.7063E-3</v>
      </c>
      <c r="E465" s="985">
        <v>1632572</v>
      </c>
      <c r="F465" s="969">
        <v>6036797</v>
      </c>
      <c r="G465" s="969"/>
      <c r="H465" s="970">
        <v>347775</v>
      </c>
      <c r="I465" s="971">
        <v>1465741</v>
      </c>
      <c r="J465" s="970">
        <v>862138</v>
      </c>
      <c r="K465" s="969">
        <v>19200</v>
      </c>
      <c r="L465" s="971">
        <f t="shared" si="14"/>
        <v>2694854</v>
      </c>
      <c r="M465" s="969"/>
      <c r="N465" s="970">
        <v>170883</v>
      </c>
      <c r="O465" s="970">
        <v>0</v>
      </c>
      <c r="P465" s="969">
        <v>350239</v>
      </c>
      <c r="Q465" s="971">
        <f t="shared" si="15"/>
        <v>521122</v>
      </c>
      <c r="R465" s="969"/>
      <c r="S465" s="970">
        <v>2034406</v>
      </c>
      <c r="T465" s="972">
        <v>-150626</v>
      </c>
      <c r="U465" s="972">
        <v>1883780</v>
      </c>
    </row>
    <row r="466" spans="1:21" x14ac:dyDescent="0.25">
      <c r="A466" s="966">
        <v>94923</v>
      </c>
      <c r="B466" s="967" t="s">
        <v>3079</v>
      </c>
      <c r="C466" s="968">
        <v>3.0700000000000001E-5</v>
      </c>
      <c r="D466" s="968">
        <v>2.4499999999999999E-5</v>
      </c>
      <c r="E466" s="985">
        <v>14810</v>
      </c>
      <c r="F466" s="969">
        <v>46901</v>
      </c>
      <c r="G466" s="969"/>
      <c r="H466" s="970">
        <v>2702</v>
      </c>
      <c r="I466" s="971">
        <v>11387</v>
      </c>
      <c r="J466" s="970">
        <v>6698</v>
      </c>
      <c r="K466" s="969">
        <v>5727</v>
      </c>
      <c r="L466" s="971">
        <f t="shared" si="14"/>
        <v>26514</v>
      </c>
      <c r="M466" s="969"/>
      <c r="N466" s="970">
        <v>1328</v>
      </c>
      <c r="O466" s="970">
        <v>0</v>
      </c>
      <c r="P466" s="969">
        <v>86</v>
      </c>
      <c r="Q466" s="971">
        <f t="shared" si="15"/>
        <v>1414</v>
      </c>
      <c r="R466" s="969"/>
      <c r="S466" s="970">
        <v>15806</v>
      </c>
      <c r="T466" s="972">
        <v>1556</v>
      </c>
      <c r="U466" s="972">
        <v>17362</v>
      </c>
    </row>
    <row r="467" spans="1:21" x14ac:dyDescent="0.25">
      <c r="A467" s="966">
        <v>94927</v>
      </c>
      <c r="B467" s="967" t="s">
        <v>3080</v>
      </c>
      <c r="C467" s="968">
        <v>3.0599999999999998E-5</v>
      </c>
      <c r="D467" s="968">
        <v>3.3899999999999997E-5</v>
      </c>
      <c r="E467" s="985">
        <v>17353</v>
      </c>
      <c r="F467" s="969">
        <v>46748</v>
      </c>
      <c r="G467" s="969"/>
      <c r="H467" s="970">
        <v>2693</v>
      </c>
      <c r="I467" s="971">
        <v>11350</v>
      </c>
      <c r="J467" s="970">
        <v>6676</v>
      </c>
      <c r="K467" s="969">
        <v>2683</v>
      </c>
      <c r="L467" s="971">
        <f t="shared" si="14"/>
        <v>23402</v>
      </c>
      <c r="M467" s="969"/>
      <c r="N467" s="970">
        <v>1323</v>
      </c>
      <c r="O467" s="970">
        <v>0</v>
      </c>
      <c r="P467" s="969">
        <v>26</v>
      </c>
      <c r="Q467" s="971">
        <f t="shared" si="15"/>
        <v>1349</v>
      </c>
      <c r="R467" s="969"/>
      <c r="S467" s="970">
        <v>15754</v>
      </c>
      <c r="T467" s="972">
        <v>911</v>
      </c>
      <c r="U467" s="972">
        <v>16665</v>
      </c>
    </row>
    <row r="468" spans="1:21" x14ac:dyDescent="0.25">
      <c r="A468" s="966">
        <v>94931</v>
      </c>
      <c r="B468" s="967" t="s">
        <v>3081</v>
      </c>
      <c r="C468" s="968">
        <v>2.163E-4</v>
      </c>
      <c r="D468" s="968">
        <v>2.1130000000000001E-4</v>
      </c>
      <c r="E468" s="985">
        <v>96302</v>
      </c>
      <c r="F468" s="969">
        <v>330446</v>
      </c>
      <c r="G468" s="969"/>
      <c r="H468" s="970">
        <v>19037</v>
      </c>
      <c r="I468" s="971">
        <v>80233</v>
      </c>
      <c r="J468" s="970">
        <v>47192</v>
      </c>
      <c r="K468" s="969">
        <v>954</v>
      </c>
      <c r="L468" s="971">
        <f t="shared" si="14"/>
        <v>147416</v>
      </c>
      <c r="M468" s="969"/>
      <c r="N468" s="970">
        <v>9354</v>
      </c>
      <c r="O468" s="970">
        <v>0</v>
      </c>
      <c r="P468" s="969">
        <v>15740</v>
      </c>
      <c r="Q468" s="971">
        <f t="shared" si="15"/>
        <v>25094</v>
      </c>
      <c r="R468" s="969"/>
      <c r="S468" s="970">
        <v>111361</v>
      </c>
      <c r="T468" s="972">
        <v>-7901</v>
      </c>
      <c r="U468" s="972">
        <v>103460</v>
      </c>
    </row>
    <row r="469" spans="1:21" x14ac:dyDescent="0.25">
      <c r="A469" s="966">
        <v>94941</v>
      </c>
      <c r="B469" s="967" t="s">
        <v>3082</v>
      </c>
      <c r="C469" s="968">
        <v>5.7879999999999997E-4</v>
      </c>
      <c r="D469" s="968">
        <v>5.2959999999999997E-4</v>
      </c>
      <c r="E469" s="985">
        <v>242954</v>
      </c>
      <c r="F469" s="969">
        <v>884246</v>
      </c>
      <c r="G469" s="969"/>
      <c r="H469" s="970">
        <v>50941</v>
      </c>
      <c r="I469" s="971">
        <v>214696</v>
      </c>
      <c r="J469" s="970">
        <v>126283</v>
      </c>
      <c r="K469" s="969">
        <v>68775</v>
      </c>
      <c r="L469" s="971">
        <f t="shared" si="14"/>
        <v>460695</v>
      </c>
      <c r="M469" s="969"/>
      <c r="N469" s="970">
        <v>25030</v>
      </c>
      <c r="O469" s="970">
        <v>0</v>
      </c>
      <c r="P469" s="969">
        <v>0</v>
      </c>
      <c r="Q469" s="971">
        <f t="shared" si="15"/>
        <v>25030</v>
      </c>
      <c r="R469" s="969"/>
      <c r="S469" s="970">
        <v>297992</v>
      </c>
      <c r="T469" s="972">
        <v>46151</v>
      </c>
      <c r="U469" s="972">
        <v>344143</v>
      </c>
    </row>
    <row r="470" spans="1:21" x14ac:dyDescent="0.25">
      <c r="A470" s="966">
        <v>95001</v>
      </c>
      <c r="B470" s="967" t="s">
        <v>3083</v>
      </c>
      <c r="C470" s="968">
        <v>2.4867000000000001E-3</v>
      </c>
      <c r="D470" s="968">
        <v>2.3779000000000001E-3</v>
      </c>
      <c r="E470" s="985">
        <v>1196131</v>
      </c>
      <c r="F470" s="969">
        <v>3798989</v>
      </c>
      <c r="G470" s="969"/>
      <c r="H470" s="970">
        <v>218857</v>
      </c>
      <c r="I470" s="971">
        <v>922399</v>
      </c>
      <c r="J470" s="970">
        <v>542548</v>
      </c>
      <c r="K470" s="969">
        <v>176888</v>
      </c>
      <c r="L470" s="971">
        <f t="shared" si="14"/>
        <v>1860692</v>
      </c>
      <c r="M470" s="969"/>
      <c r="N470" s="970">
        <v>107537</v>
      </c>
      <c r="O470" s="970">
        <v>0</v>
      </c>
      <c r="P470" s="969">
        <v>3991</v>
      </c>
      <c r="Q470" s="971">
        <f t="shared" si="15"/>
        <v>111528</v>
      </c>
      <c r="R470" s="969"/>
      <c r="S470" s="970">
        <v>1280263</v>
      </c>
      <c r="T470" s="972">
        <v>51652</v>
      </c>
      <c r="U470" s="972">
        <v>1331915</v>
      </c>
    </row>
    <row r="471" spans="1:21" x14ac:dyDescent="0.25">
      <c r="A471" s="966">
        <v>95002</v>
      </c>
      <c r="B471" s="967" t="s">
        <v>3084</v>
      </c>
      <c r="C471" s="968">
        <v>1.907E-4</v>
      </c>
      <c r="D471" s="968">
        <v>2.0120000000000001E-4</v>
      </c>
      <c r="E471" s="985">
        <v>100854</v>
      </c>
      <c r="F471" s="969">
        <v>291337</v>
      </c>
      <c r="G471" s="969"/>
      <c r="H471" s="970">
        <v>16784</v>
      </c>
      <c r="I471" s="971">
        <v>70737</v>
      </c>
      <c r="J471" s="970">
        <v>41607</v>
      </c>
      <c r="K471" s="969">
        <v>15647</v>
      </c>
      <c r="L471" s="971">
        <f t="shared" si="14"/>
        <v>144775</v>
      </c>
      <c r="M471" s="969"/>
      <c r="N471" s="970">
        <v>8247</v>
      </c>
      <c r="O471" s="970">
        <v>0</v>
      </c>
      <c r="P471" s="969">
        <v>0</v>
      </c>
      <c r="Q471" s="971">
        <f t="shared" si="15"/>
        <v>8247</v>
      </c>
      <c r="R471" s="969"/>
      <c r="S471" s="970">
        <v>98181</v>
      </c>
      <c r="T471" s="972">
        <v>6293</v>
      </c>
      <c r="U471" s="972">
        <v>104474</v>
      </c>
    </row>
    <row r="472" spans="1:21" x14ac:dyDescent="0.25">
      <c r="A472" s="966">
        <v>95005</v>
      </c>
      <c r="B472" s="967" t="s">
        <v>3085</v>
      </c>
      <c r="C472" s="968">
        <v>2.2949999999999999E-4</v>
      </c>
      <c r="D472" s="968">
        <v>2.3829999999999999E-4</v>
      </c>
      <c r="E472" s="985">
        <v>111067</v>
      </c>
      <c r="F472" s="969">
        <v>350612</v>
      </c>
      <c r="G472" s="969"/>
      <c r="H472" s="970">
        <v>20199</v>
      </c>
      <c r="I472" s="971">
        <v>85129</v>
      </c>
      <c r="J472" s="970">
        <v>50072</v>
      </c>
      <c r="K472" s="969">
        <v>13727</v>
      </c>
      <c r="L472" s="971">
        <f t="shared" si="14"/>
        <v>169127</v>
      </c>
      <c r="M472" s="969"/>
      <c r="N472" s="970">
        <v>9925</v>
      </c>
      <c r="O472" s="970">
        <v>0</v>
      </c>
      <c r="P472" s="969">
        <v>1630</v>
      </c>
      <c r="Q472" s="971">
        <f t="shared" si="15"/>
        <v>11555</v>
      </c>
      <c r="R472" s="969"/>
      <c r="S472" s="970">
        <v>118157</v>
      </c>
      <c r="T472" s="972">
        <v>9042</v>
      </c>
      <c r="U472" s="972">
        <v>127199</v>
      </c>
    </row>
    <row r="473" spans="1:21" x14ac:dyDescent="0.25">
      <c r="A473" s="966">
        <v>95008</v>
      </c>
      <c r="B473" s="967" t="s">
        <v>3086</v>
      </c>
      <c r="C473" s="968">
        <v>1.1519999999999999E-4</v>
      </c>
      <c r="D473" s="968">
        <v>1.169E-4</v>
      </c>
      <c r="E473" s="985">
        <v>62834</v>
      </c>
      <c r="F473" s="969">
        <v>175994</v>
      </c>
      <c r="G473" s="969"/>
      <c r="H473" s="970">
        <v>10139</v>
      </c>
      <c r="I473" s="971">
        <v>42731</v>
      </c>
      <c r="J473" s="970">
        <v>25134</v>
      </c>
      <c r="K473" s="969">
        <v>19189</v>
      </c>
      <c r="L473" s="971">
        <f t="shared" si="14"/>
        <v>97193</v>
      </c>
      <c r="M473" s="969"/>
      <c r="N473" s="970">
        <v>4982</v>
      </c>
      <c r="O473" s="970">
        <v>0</v>
      </c>
      <c r="P473" s="969">
        <v>6239</v>
      </c>
      <c r="Q473" s="971">
        <f t="shared" si="15"/>
        <v>11221</v>
      </c>
      <c r="R473" s="969"/>
      <c r="S473" s="970">
        <v>59310</v>
      </c>
      <c r="T473" s="972">
        <v>9098</v>
      </c>
      <c r="U473" s="972">
        <v>68408</v>
      </c>
    </row>
    <row r="474" spans="1:21" x14ac:dyDescent="0.25">
      <c r="A474" s="966">
        <v>95009</v>
      </c>
      <c r="B474" s="967" t="s">
        <v>3674</v>
      </c>
      <c r="C474" s="968">
        <v>4.2208999999999997E-3</v>
      </c>
      <c r="D474" s="968">
        <v>3.9902000000000002E-3</v>
      </c>
      <c r="E474" s="985">
        <v>1917856</v>
      </c>
      <c r="F474" s="969">
        <v>6448366</v>
      </c>
      <c r="G474" s="969"/>
      <c r="H474" s="970">
        <v>371486</v>
      </c>
      <c r="I474" s="971">
        <v>1565671</v>
      </c>
      <c r="J474" s="970">
        <v>920916</v>
      </c>
      <c r="K474" s="969">
        <v>897451</v>
      </c>
      <c r="L474" s="971">
        <f t="shared" si="14"/>
        <v>3755524</v>
      </c>
      <c r="M474" s="969"/>
      <c r="N474" s="970">
        <v>182533</v>
      </c>
      <c r="O474" s="970">
        <v>0</v>
      </c>
      <c r="P474" s="969">
        <v>0</v>
      </c>
      <c r="Q474" s="971">
        <f t="shared" si="15"/>
        <v>182533</v>
      </c>
      <c r="R474" s="969"/>
      <c r="S474" s="970">
        <v>2173105</v>
      </c>
      <c r="T474" s="972">
        <v>582135</v>
      </c>
      <c r="U474" s="972">
        <v>2755240</v>
      </c>
    </row>
    <row r="475" spans="1:21" x14ac:dyDescent="0.25">
      <c r="A475" s="966">
        <v>95011</v>
      </c>
      <c r="B475" s="967" t="s">
        <v>3088</v>
      </c>
      <c r="C475" s="968">
        <v>1.8000000000000001E-4</v>
      </c>
      <c r="D475" s="968">
        <v>1.707E-4</v>
      </c>
      <c r="E475" s="985">
        <v>78934</v>
      </c>
      <c r="F475" s="969">
        <v>274990</v>
      </c>
      <c r="G475" s="969"/>
      <c r="H475" s="970">
        <v>15842</v>
      </c>
      <c r="I475" s="971">
        <v>66768</v>
      </c>
      <c r="J475" s="970">
        <v>39272</v>
      </c>
      <c r="K475" s="969">
        <v>3275</v>
      </c>
      <c r="L475" s="971">
        <f t="shared" si="14"/>
        <v>125157</v>
      </c>
      <c r="M475" s="969"/>
      <c r="N475" s="970">
        <v>7784</v>
      </c>
      <c r="O475" s="970">
        <v>0</v>
      </c>
      <c r="P475" s="969">
        <v>8909</v>
      </c>
      <c r="Q475" s="971">
        <f t="shared" si="15"/>
        <v>16693</v>
      </c>
      <c r="R475" s="969"/>
      <c r="S475" s="970">
        <v>92672</v>
      </c>
      <c r="T475" s="972">
        <v>-3840</v>
      </c>
      <c r="U475" s="972">
        <v>88832</v>
      </c>
    </row>
    <row r="476" spans="1:21" x14ac:dyDescent="0.25">
      <c r="A476" s="966">
        <v>95017</v>
      </c>
      <c r="B476" s="967" t="s">
        <v>3089</v>
      </c>
      <c r="C476" s="968">
        <v>3.8800000000000001E-5</v>
      </c>
      <c r="D476" s="968">
        <v>3.5800000000000003E-5</v>
      </c>
      <c r="E476" s="985">
        <v>15330</v>
      </c>
      <c r="F476" s="969">
        <v>59276</v>
      </c>
      <c r="G476" s="969"/>
      <c r="H476" s="970">
        <v>3415</v>
      </c>
      <c r="I476" s="971">
        <v>14392</v>
      </c>
      <c r="J476" s="970">
        <v>8465</v>
      </c>
      <c r="K476" s="969">
        <v>13339</v>
      </c>
      <c r="L476" s="971">
        <f t="shared" si="14"/>
        <v>39611</v>
      </c>
      <c r="M476" s="969"/>
      <c r="N476" s="970">
        <v>1678</v>
      </c>
      <c r="O476" s="970">
        <v>0</v>
      </c>
      <c r="P476" s="969">
        <v>0</v>
      </c>
      <c r="Q476" s="971">
        <f t="shared" si="15"/>
        <v>1678</v>
      </c>
      <c r="R476" s="969"/>
      <c r="S476" s="970">
        <v>19976</v>
      </c>
      <c r="T476" s="972">
        <v>7635</v>
      </c>
      <c r="U476" s="972">
        <v>27611</v>
      </c>
    </row>
    <row r="477" spans="1:21" x14ac:dyDescent="0.25">
      <c r="A477" s="966">
        <v>95101</v>
      </c>
      <c r="B477" s="967" t="s">
        <v>3090</v>
      </c>
      <c r="C477" s="968">
        <v>8.3750999999999999E-3</v>
      </c>
      <c r="D477" s="968">
        <v>8.0955999999999997E-3</v>
      </c>
      <c r="E477" s="985">
        <v>3555097</v>
      </c>
      <c r="F477" s="969">
        <v>12794833</v>
      </c>
      <c r="G477" s="969"/>
      <c r="H477" s="970">
        <v>737101</v>
      </c>
      <c r="I477" s="971">
        <v>3106601</v>
      </c>
      <c r="J477" s="970">
        <v>1827279</v>
      </c>
      <c r="K477" s="969">
        <v>39562</v>
      </c>
      <c r="L477" s="971">
        <f t="shared" si="14"/>
        <v>5710543</v>
      </c>
      <c r="M477" s="969"/>
      <c r="N477" s="970">
        <v>362181</v>
      </c>
      <c r="O477" s="970">
        <v>0</v>
      </c>
      <c r="P477" s="969">
        <v>114122</v>
      </c>
      <c r="Q477" s="971">
        <f t="shared" si="15"/>
        <v>476303</v>
      </c>
      <c r="R477" s="969"/>
      <c r="S477" s="970">
        <v>4311870</v>
      </c>
      <c r="T477" s="972">
        <v>1978</v>
      </c>
      <c r="U477" s="972">
        <v>4313848</v>
      </c>
    </row>
    <row r="478" spans="1:21" x14ac:dyDescent="0.25">
      <c r="A478" s="966">
        <v>95103</v>
      </c>
      <c r="B478" s="967" t="s">
        <v>3091</v>
      </c>
      <c r="C478" s="968">
        <v>4.9100000000000001E-5</v>
      </c>
      <c r="D478" s="968">
        <v>6.02E-5</v>
      </c>
      <c r="E478" s="985">
        <v>33036</v>
      </c>
      <c r="F478" s="969">
        <v>75011</v>
      </c>
      <c r="G478" s="969"/>
      <c r="H478" s="970">
        <v>4321</v>
      </c>
      <c r="I478" s="971">
        <v>18213</v>
      </c>
      <c r="J478" s="970">
        <v>10713</v>
      </c>
      <c r="K478" s="969">
        <v>24203</v>
      </c>
      <c r="L478" s="971">
        <f t="shared" si="14"/>
        <v>57450</v>
      </c>
      <c r="M478" s="969"/>
      <c r="N478" s="970">
        <v>2123</v>
      </c>
      <c r="O478" s="970">
        <v>0</v>
      </c>
      <c r="P478" s="969">
        <v>0</v>
      </c>
      <c r="Q478" s="971">
        <f t="shared" si="15"/>
        <v>2123</v>
      </c>
      <c r="R478" s="969"/>
      <c r="S478" s="970">
        <v>25279</v>
      </c>
      <c r="T478" s="972">
        <v>18053</v>
      </c>
      <c r="U478" s="972">
        <v>43332</v>
      </c>
    </row>
    <row r="479" spans="1:21" x14ac:dyDescent="0.25">
      <c r="A479" s="966">
        <v>95104</v>
      </c>
      <c r="B479" s="967" t="s">
        <v>3092</v>
      </c>
      <c r="C479" s="968">
        <v>1.02E-4</v>
      </c>
      <c r="D479" s="968">
        <v>1.011E-4</v>
      </c>
      <c r="E479" s="985">
        <v>55856</v>
      </c>
      <c r="F479" s="969">
        <v>155828</v>
      </c>
      <c r="G479" s="969"/>
      <c r="H479" s="970">
        <v>8977</v>
      </c>
      <c r="I479" s="971">
        <v>37835</v>
      </c>
      <c r="J479" s="970">
        <v>22254</v>
      </c>
      <c r="K479" s="969">
        <v>19729</v>
      </c>
      <c r="L479" s="971">
        <f t="shared" si="14"/>
        <v>88795</v>
      </c>
      <c r="M479" s="969"/>
      <c r="N479" s="970">
        <v>4411</v>
      </c>
      <c r="O479" s="970">
        <v>0</v>
      </c>
      <c r="P479" s="969">
        <v>0</v>
      </c>
      <c r="Q479" s="971">
        <f t="shared" si="15"/>
        <v>4411</v>
      </c>
      <c r="R479" s="969"/>
      <c r="S479" s="970">
        <v>52514</v>
      </c>
      <c r="T479" s="972">
        <v>8399</v>
      </c>
      <c r="U479" s="972">
        <v>60913</v>
      </c>
    </row>
    <row r="480" spans="1:21" x14ac:dyDescent="0.25">
      <c r="A480" s="966">
        <v>95105</v>
      </c>
      <c r="B480" s="967" t="s">
        <v>3093</v>
      </c>
      <c r="C480" s="968">
        <v>6.1099999999999994E-5</v>
      </c>
      <c r="D480" s="968">
        <v>6.3700000000000003E-5</v>
      </c>
      <c r="E480" s="985">
        <v>33363</v>
      </c>
      <c r="F480" s="969">
        <v>93344</v>
      </c>
      <c r="G480" s="969"/>
      <c r="H480" s="970">
        <v>5377</v>
      </c>
      <c r="I480" s="971">
        <v>22664</v>
      </c>
      <c r="J480" s="970">
        <v>13331</v>
      </c>
      <c r="K480" s="969">
        <v>8129</v>
      </c>
      <c r="L480" s="971">
        <f t="shared" si="14"/>
        <v>49501</v>
      </c>
      <c r="M480" s="969"/>
      <c r="N480" s="970">
        <v>2642</v>
      </c>
      <c r="O480" s="970">
        <v>0</v>
      </c>
      <c r="P480" s="969">
        <v>0</v>
      </c>
      <c r="Q480" s="971">
        <f t="shared" si="15"/>
        <v>2642</v>
      </c>
      <c r="R480" s="969"/>
      <c r="S480" s="970">
        <v>31457</v>
      </c>
      <c r="T480" s="972">
        <v>4018</v>
      </c>
      <c r="U480" s="972">
        <v>35475</v>
      </c>
    </row>
    <row r="481" spans="1:21" x14ac:dyDescent="0.25">
      <c r="A481" s="966">
        <v>95106</v>
      </c>
      <c r="B481" s="967" t="s">
        <v>3094</v>
      </c>
      <c r="C481" s="968">
        <v>1.2099999999999999E-5</v>
      </c>
      <c r="D481" s="968">
        <v>1.3900000000000001E-5</v>
      </c>
      <c r="E481" s="985">
        <v>5272</v>
      </c>
      <c r="F481" s="969">
        <v>18485</v>
      </c>
      <c r="G481" s="969"/>
      <c r="H481" s="970">
        <v>1065</v>
      </c>
      <c r="I481" s="971">
        <v>4488</v>
      </c>
      <c r="J481" s="970">
        <v>2640</v>
      </c>
      <c r="K481" s="969">
        <v>4918</v>
      </c>
      <c r="L481" s="971">
        <f t="shared" si="14"/>
        <v>13111</v>
      </c>
      <c r="M481" s="969"/>
      <c r="N481" s="970">
        <v>523</v>
      </c>
      <c r="O481" s="970">
        <v>0</v>
      </c>
      <c r="P481" s="969">
        <v>1433</v>
      </c>
      <c r="Q481" s="971">
        <f t="shared" si="15"/>
        <v>1956</v>
      </c>
      <c r="R481" s="969"/>
      <c r="S481" s="970">
        <v>6230</v>
      </c>
      <c r="T481" s="972">
        <v>2234</v>
      </c>
      <c r="U481" s="972">
        <v>8464</v>
      </c>
    </row>
    <row r="482" spans="1:21" x14ac:dyDescent="0.25">
      <c r="A482" s="966">
        <v>95110</v>
      </c>
      <c r="B482" s="967" t="s">
        <v>3095</v>
      </c>
      <c r="C482" s="968">
        <v>4.2902000000000001E-3</v>
      </c>
      <c r="D482" s="968">
        <v>4.4609000000000003E-3</v>
      </c>
      <c r="E482" s="985">
        <v>1965505</v>
      </c>
      <c r="F482" s="969">
        <v>6554237</v>
      </c>
      <c r="G482" s="969"/>
      <c r="H482" s="970">
        <v>377585</v>
      </c>
      <c r="I482" s="971">
        <v>1591377</v>
      </c>
      <c r="J482" s="970">
        <v>936036</v>
      </c>
      <c r="K482" s="969">
        <v>0</v>
      </c>
      <c r="L482" s="971">
        <f t="shared" si="14"/>
        <v>2904998</v>
      </c>
      <c r="M482" s="969"/>
      <c r="N482" s="970">
        <v>185530</v>
      </c>
      <c r="O482" s="970">
        <v>0</v>
      </c>
      <c r="P482" s="969">
        <v>1097124</v>
      </c>
      <c r="Q482" s="971">
        <f t="shared" si="15"/>
        <v>1282654</v>
      </c>
      <c r="R482" s="969"/>
      <c r="S482" s="970">
        <v>2208784</v>
      </c>
      <c r="T482" s="972">
        <v>-636198</v>
      </c>
      <c r="U482" s="972">
        <v>1572586</v>
      </c>
    </row>
    <row r="483" spans="1:21" x14ac:dyDescent="0.25">
      <c r="A483" s="966">
        <v>95111</v>
      </c>
      <c r="B483" s="967" t="s">
        <v>3096</v>
      </c>
      <c r="C483" s="968">
        <v>1.0778999999999999E-3</v>
      </c>
      <c r="D483" s="968">
        <v>1.0709000000000001E-3</v>
      </c>
      <c r="E483" s="985">
        <v>470003</v>
      </c>
      <c r="F483" s="969">
        <v>1646733</v>
      </c>
      <c r="G483" s="969"/>
      <c r="H483" s="970">
        <v>94867</v>
      </c>
      <c r="I483" s="971">
        <v>399829</v>
      </c>
      <c r="J483" s="970">
        <v>235176</v>
      </c>
      <c r="K483" s="969">
        <v>0</v>
      </c>
      <c r="L483" s="971">
        <f t="shared" si="14"/>
        <v>729872</v>
      </c>
      <c r="M483" s="969"/>
      <c r="N483" s="970">
        <v>46614</v>
      </c>
      <c r="O483" s="970">
        <v>0</v>
      </c>
      <c r="P483" s="969">
        <v>120462</v>
      </c>
      <c r="Q483" s="971">
        <f t="shared" si="15"/>
        <v>167076</v>
      </c>
      <c r="R483" s="969"/>
      <c r="S483" s="970">
        <v>554950</v>
      </c>
      <c r="T483" s="972">
        <v>-59518</v>
      </c>
      <c r="U483" s="972">
        <v>495432</v>
      </c>
    </row>
    <row r="484" spans="1:21" x14ac:dyDescent="0.25">
      <c r="A484" s="966">
        <v>95113</v>
      </c>
      <c r="B484" s="967" t="s">
        <v>3097</v>
      </c>
      <c r="C484" s="968">
        <v>4.6699999999999997E-5</v>
      </c>
      <c r="D484" s="968">
        <v>4.7500000000000003E-5</v>
      </c>
      <c r="E484" s="985">
        <v>66187</v>
      </c>
      <c r="F484" s="969">
        <v>71345</v>
      </c>
      <c r="G484" s="969"/>
      <c r="H484" s="970">
        <v>4110</v>
      </c>
      <c r="I484" s="971">
        <v>17322</v>
      </c>
      <c r="J484" s="970">
        <v>10189</v>
      </c>
      <c r="K484" s="969">
        <v>82563</v>
      </c>
      <c r="L484" s="971">
        <f t="shared" si="14"/>
        <v>114184</v>
      </c>
      <c r="M484" s="969"/>
      <c r="N484" s="970">
        <v>2020</v>
      </c>
      <c r="O484" s="970">
        <v>0</v>
      </c>
      <c r="P484" s="969">
        <v>0</v>
      </c>
      <c r="Q484" s="971">
        <f t="shared" si="15"/>
        <v>2020</v>
      </c>
      <c r="R484" s="969"/>
      <c r="S484" s="970">
        <v>24043</v>
      </c>
      <c r="T484" s="972">
        <v>31359</v>
      </c>
      <c r="U484" s="972">
        <v>55402</v>
      </c>
    </row>
    <row r="485" spans="1:21" x14ac:dyDescent="0.25">
      <c r="A485" s="966">
        <v>95121</v>
      </c>
      <c r="B485" s="967" t="s">
        <v>3098</v>
      </c>
      <c r="C485" s="968">
        <v>4.9770000000000001E-4</v>
      </c>
      <c r="D485" s="968">
        <v>4.9580000000000002E-4</v>
      </c>
      <c r="E485" s="985">
        <v>224754</v>
      </c>
      <c r="F485" s="969">
        <v>760348</v>
      </c>
      <c r="G485" s="969"/>
      <c r="H485" s="970">
        <v>43803</v>
      </c>
      <c r="I485" s="971">
        <v>184613</v>
      </c>
      <c r="J485" s="970">
        <v>108588</v>
      </c>
      <c r="K485" s="969">
        <v>12640</v>
      </c>
      <c r="L485" s="971">
        <f t="shared" si="14"/>
        <v>349644</v>
      </c>
      <c r="M485" s="969"/>
      <c r="N485" s="970">
        <v>21523</v>
      </c>
      <c r="O485" s="970">
        <v>0</v>
      </c>
      <c r="P485" s="969">
        <v>14371</v>
      </c>
      <c r="Q485" s="971">
        <f t="shared" si="15"/>
        <v>35894</v>
      </c>
      <c r="R485" s="969"/>
      <c r="S485" s="970">
        <v>256238</v>
      </c>
      <c r="T485" s="972">
        <v>-7628</v>
      </c>
      <c r="U485" s="972">
        <v>248610</v>
      </c>
    </row>
    <row r="486" spans="1:21" x14ac:dyDescent="0.25">
      <c r="A486" s="966">
        <v>95122</v>
      </c>
      <c r="B486" s="967" t="s">
        <v>3099</v>
      </c>
      <c r="C486" s="968">
        <v>6.4999999999999996E-6</v>
      </c>
      <c r="D486" s="968">
        <v>2.7999999999999999E-6</v>
      </c>
      <c r="E486" s="985">
        <v>3103</v>
      </c>
      <c r="F486" s="969">
        <v>9930</v>
      </c>
      <c r="G486" s="969"/>
      <c r="H486" s="970">
        <v>572</v>
      </c>
      <c r="I486" s="971">
        <v>2411</v>
      </c>
      <c r="J486" s="970">
        <v>1418</v>
      </c>
      <c r="K486" s="969">
        <v>3675</v>
      </c>
      <c r="L486" s="971">
        <f t="shared" si="14"/>
        <v>8076</v>
      </c>
      <c r="M486" s="969"/>
      <c r="N486" s="970">
        <v>281</v>
      </c>
      <c r="O486" s="970">
        <v>0</v>
      </c>
      <c r="P486" s="969">
        <v>0</v>
      </c>
      <c r="Q486" s="971">
        <f t="shared" si="15"/>
        <v>281</v>
      </c>
      <c r="R486" s="969"/>
      <c r="S486" s="970">
        <v>3346</v>
      </c>
      <c r="T486" s="972">
        <v>1103</v>
      </c>
      <c r="U486" s="972">
        <v>4449</v>
      </c>
    </row>
    <row r="487" spans="1:21" x14ac:dyDescent="0.25">
      <c r="A487" s="966">
        <v>95123</v>
      </c>
      <c r="B487" s="967" t="s">
        <v>3100</v>
      </c>
      <c r="C487" s="968">
        <v>5.7399999999999999E-5</v>
      </c>
      <c r="D487" s="968">
        <v>5.6700000000000003E-5</v>
      </c>
      <c r="E487" s="985">
        <v>29191</v>
      </c>
      <c r="F487" s="969">
        <v>87691</v>
      </c>
      <c r="G487" s="969"/>
      <c r="H487" s="970">
        <v>5052</v>
      </c>
      <c r="I487" s="971">
        <v>21291</v>
      </c>
      <c r="J487" s="970">
        <v>12524</v>
      </c>
      <c r="K487" s="969">
        <v>8811</v>
      </c>
      <c r="L487" s="971">
        <f t="shared" si="14"/>
        <v>47678</v>
      </c>
      <c r="M487" s="969"/>
      <c r="N487" s="970">
        <v>2482</v>
      </c>
      <c r="O487" s="970">
        <v>0</v>
      </c>
      <c r="P487" s="969">
        <v>1459</v>
      </c>
      <c r="Q487" s="971">
        <f t="shared" si="15"/>
        <v>3941</v>
      </c>
      <c r="R487" s="969"/>
      <c r="S487" s="970">
        <v>29552</v>
      </c>
      <c r="T487" s="972">
        <v>1830</v>
      </c>
      <c r="U487" s="972">
        <v>31382</v>
      </c>
    </row>
    <row r="488" spans="1:21" x14ac:dyDescent="0.25">
      <c r="A488" s="966">
        <v>95131</v>
      </c>
      <c r="B488" s="967" t="s">
        <v>3101</v>
      </c>
      <c r="C488" s="968">
        <v>1.6682999999999999E-3</v>
      </c>
      <c r="D488" s="968">
        <v>1.5451E-3</v>
      </c>
      <c r="E488" s="985">
        <v>749707</v>
      </c>
      <c r="F488" s="969">
        <v>2548700</v>
      </c>
      <c r="G488" s="969"/>
      <c r="H488" s="970">
        <v>146829</v>
      </c>
      <c r="I488" s="971">
        <v>618827</v>
      </c>
      <c r="J488" s="970">
        <v>363990</v>
      </c>
      <c r="K488" s="969">
        <v>105945</v>
      </c>
      <c r="L488" s="971">
        <f t="shared" si="14"/>
        <v>1235591</v>
      </c>
      <c r="M488" s="969"/>
      <c r="N488" s="970">
        <v>72146</v>
      </c>
      <c r="O488" s="970">
        <v>0</v>
      </c>
      <c r="P488" s="969">
        <v>846</v>
      </c>
      <c r="Q488" s="971">
        <f t="shared" si="15"/>
        <v>72992</v>
      </c>
      <c r="R488" s="969"/>
      <c r="S488" s="970">
        <v>858914</v>
      </c>
      <c r="T488" s="972">
        <v>33842</v>
      </c>
      <c r="U488" s="972">
        <v>892756</v>
      </c>
    </row>
    <row r="489" spans="1:21" x14ac:dyDescent="0.25">
      <c r="A489" s="966">
        <v>95141</v>
      </c>
      <c r="B489" s="967" t="s">
        <v>3102</v>
      </c>
      <c r="C489" s="968">
        <v>3.2220000000000003E-4</v>
      </c>
      <c r="D489" s="968">
        <v>3.1819999999999998E-4</v>
      </c>
      <c r="E489" s="985">
        <v>131053</v>
      </c>
      <c r="F489" s="969">
        <v>492232</v>
      </c>
      <c r="G489" s="969"/>
      <c r="H489" s="970">
        <v>28357</v>
      </c>
      <c r="I489" s="971">
        <v>119515</v>
      </c>
      <c r="J489" s="970">
        <v>70298</v>
      </c>
      <c r="K489" s="969">
        <v>1251</v>
      </c>
      <c r="L489" s="971">
        <f t="shared" si="14"/>
        <v>219421</v>
      </c>
      <c r="M489" s="969"/>
      <c r="N489" s="970">
        <v>13934</v>
      </c>
      <c r="O489" s="970">
        <v>0</v>
      </c>
      <c r="P489" s="969">
        <v>29129</v>
      </c>
      <c r="Q489" s="971">
        <f t="shared" si="15"/>
        <v>43063</v>
      </c>
      <c r="R489" s="969"/>
      <c r="S489" s="970">
        <v>165883</v>
      </c>
      <c r="T489" s="972">
        <v>-11233</v>
      </c>
      <c r="U489" s="972">
        <v>154650</v>
      </c>
    </row>
    <row r="490" spans="1:21" x14ac:dyDescent="0.25">
      <c r="A490" s="966">
        <v>95151</v>
      </c>
      <c r="B490" s="967" t="s">
        <v>3103</v>
      </c>
      <c r="C490" s="968">
        <v>1.092E-4</v>
      </c>
      <c r="D490" s="968">
        <v>1.158E-4</v>
      </c>
      <c r="E490" s="985">
        <v>46663</v>
      </c>
      <c r="F490" s="969">
        <v>166827</v>
      </c>
      <c r="G490" s="969"/>
      <c r="H490" s="970">
        <v>9611</v>
      </c>
      <c r="I490" s="971">
        <v>40506</v>
      </c>
      <c r="J490" s="970">
        <v>23825</v>
      </c>
      <c r="K490" s="969">
        <v>364</v>
      </c>
      <c r="L490" s="971">
        <f t="shared" si="14"/>
        <v>74306</v>
      </c>
      <c r="M490" s="969"/>
      <c r="N490" s="970">
        <v>4722</v>
      </c>
      <c r="O490" s="970">
        <v>0</v>
      </c>
      <c r="P490" s="969">
        <v>10802</v>
      </c>
      <c r="Q490" s="971">
        <f t="shared" si="15"/>
        <v>15524</v>
      </c>
      <c r="R490" s="969"/>
      <c r="S490" s="970">
        <v>56221</v>
      </c>
      <c r="T490" s="972">
        <v>-3332</v>
      </c>
      <c r="U490" s="972">
        <v>52889</v>
      </c>
    </row>
    <row r="491" spans="1:21" x14ac:dyDescent="0.25">
      <c r="A491" s="966">
        <v>95161</v>
      </c>
      <c r="B491" s="967" t="s">
        <v>3104</v>
      </c>
      <c r="C491" s="968">
        <v>6.8100000000000002E-5</v>
      </c>
      <c r="D491" s="968">
        <v>7.4800000000000002E-5</v>
      </c>
      <c r="E491" s="985">
        <v>38087</v>
      </c>
      <c r="F491" s="969">
        <v>104038</v>
      </c>
      <c r="G491" s="969"/>
      <c r="H491" s="970">
        <v>5994</v>
      </c>
      <c r="I491" s="971">
        <v>25261</v>
      </c>
      <c r="J491" s="970">
        <v>14858</v>
      </c>
      <c r="K491" s="969">
        <v>5468</v>
      </c>
      <c r="L491" s="971">
        <f t="shared" si="14"/>
        <v>51581</v>
      </c>
      <c r="M491" s="969"/>
      <c r="N491" s="970">
        <v>2945</v>
      </c>
      <c r="O491" s="970">
        <v>0</v>
      </c>
      <c r="P491" s="969">
        <v>1353</v>
      </c>
      <c r="Q491" s="971">
        <f t="shared" si="15"/>
        <v>4298</v>
      </c>
      <c r="R491" s="969"/>
      <c r="S491" s="970">
        <v>35061</v>
      </c>
      <c r="T491" s="972">
        <v>1287</v>
      </c>
      <c r="U491" s="972">
        <v>36348</v>
      </c>
    </row>
    <row r="492" spans="1:21" x14ac:dyDescent="0.25">
      <c r="A492" s="966">
        <v>95171</v>
      </c>
      <c r="B492" s="967" t="s">
        <v>3105</v>
      </c>
      <c r="C492" s="968">
        <v>1.0459999999999999E-4</v>
      </c>
      <c r="D492" s="968">
        <v>1.2300000000000001E-4</v>
      </c>
      <c r="E492" s="985">
        <v>53917</v>
      </c>
      <c r="F492" s="969">
        <v>159800</v>
      </c>
      <c r="G492" s="969"/>
      <c r="H492" s="970">
        <v>9206</v>
      </c>
      <c r="I492" s="971">
        <v>38799</v>
      </c>
      <c r="J492" s="970">
        <v>22822</v>
      </c>
      <c r="K492" s="969">
        <v>6705</v>
      </c>
      <c r="L492" s="971">
        <f t="shared" si="14"/>
        <v>77532</v>
      </c>
      <c r="M492" s="969"/>
      <c r="N492" s="970">
        <v>4523</v>
      </c>
      <c r="O492" s="970">
        <v>0</v>
      </c>
      <c r="P492" s="969">
        <v>14987</v>
      </c>
      <c r="Q492" s="971">
        <f t="shared" si="15"/>
        <v>19510</v>
      </c>
      <c r="R492" s="969"/>
      <c r="S492" s="970">
        <v>53853</v>
      </c>
      <c r="T492" s="972">
        <v>-3646</v>
      </c>
      <c r="U492" s="972">
        <v>50207</v>
      </c>
    </row>
    <row r="493" spans="1:21" x14ac:dyDescent="0.25">
      <c r="A493" s="966">
        <v>95181</v>
      </c>
      <c r="B493" s="967" t="s">
        <v>3106</v>
      </c>
      <c r="C493" s="968">
        <v>7.7100000000000004E-5</v>
      </c>
      <c r="D493" s="968">
        <v>7.7899999999999996E-5</v>
      </c>
      <c r="E493" s="985">
        <v>30099</v>
      </c>
      <c r="F493" s="969">
        <v>117787</v>
      </c>
      <c r="G493" s="969"/>
      <c r="H493" s="970">
        <v>6786</v>
      </c>
      <c r="I493" s="971">
        <v>28599</v>
      </c>
      <c r="J493" s="970">
        <v>16822</v>
      </c>
      <c r="K493" s="969">
        <v>1069</v>
      </c>
      <c r="L493" s="971">
        <f t="shared" si="14"/>
        <v>53276</v>
      </c>
      <c r="M493" s="969"/>
      <c r="N493" s="970">
        <v>3334</v>
      </c>
      <c r="O493" s="970">
        <v>0</v>
      </c>
      <c r="P493" s="969">
        <v>9474</v>
      </c>
      <c r="Q493" s="971">
        <f t="shared" si="15"/>
        <v>12808</v>
      </c>
      <c r="R493" s="969"/>
      <c r="S493" s="970">
        <v>39694</v>
      </c>
      <c r="T493" s="972">
        <v>-2444</v>
      </c>
      <c r="U493" s="972">
        <v>37250</v>
      </c>
    </row>
    <row r="494" spans="1:21" x14ac:dyDescent="0.25">
      <c r="A494" s="966">
        <v>95191</v>
      </c>
      <c r="B494" s="967" t="s">
        <v>3107</v>
      </c>
      <c r="C494" s="968">
        <v>5.3999999999999998E-5</v>
      </c>
      <c r="D494" s="968">
        <v>5.3999999999999998E-5</v>
      </c>
      <c r="E494" s="985">
        <v>31311</v>
      </c>
      <c r="F494" s="969">
        <v>82497</v>
      </c>
      <c r="G494" s="969"/>
      <c r="H494" s="970">
        <v>4753</v>
      </c>
      <c r="I494" s="971">
        <v>20031</v>
      </c>
      <c r="J494" s="970">
        <v>11782</v>
      </c>
      <c r="K494" s="969">
        <v>12522</v>
      </c>
      <c r="L494" s="971">
        <f t="shared" si="14"/>
        <v>49088</v>
      </c>
      <c r="M494" s="969"/>
      <c r="N494" s="970">
        <v>2335</v>
      </c>
      <c r="O494" s="970">
        <v>0</v>
      </c>
      <c r="P494" s="969">
        <v>5293</v>
      </c>
      <c r="Q494" s="971">
        <f t="shared" si="15"/>
        <v>7628</v>
      </c>
      <c r="R494" s="969"/>
      <c r="S494" s="970">
        <v>27802</v>
      </c>
      <c r="T494" s="972">
        <v>4438</v>
      </c>
      <c r="U494" s="972">
        <v>32240</v>
      </c>
    </row>
    <row r="495" spans="1:21" x14ac:dyDescent="0.25">
      <c r="A495" s="966">
        <v>95201</v>
      </c>
      <c r="B495" s="967" t="s">
        <v>3108</v>
      </c>
      <c r="C495" s="968">
        <v>7.0969999999999996E-4</v>
      </c>
      <c r="D495" s="968">
        <v>6.8329999999999997E-4</v>
      </c>
      <c r="E495" s="985">
        <v>303949</v>
      </c>
      <c r="F495" s="969">
        <v>1084225</v>
      </c>
      <c r="G495" s="969"/>
      <c r="H495" s="970">
        <v>62461</v>
      </c>
      <c r="I495" s="971">
        <v>263252</v>
      </c>
      <c r="J495" s="970">
        <v>154842</v>
      </c>
      <c r="K495" s="969">
        <v>6474</v>
      </c>
      <c r="L495" s="971">
        <f t="shared" si="14"/>
        <v>487029</v>
      </c>
      <c r="M495" s="969"/>
      <c r="N495" s="970">
        <v>30691</v>
      </c>
      <c r="O495" s="970">
        <v>0</v>
      </c>
      <c r="P495" s="969">
        <v>21158</v>
      </c>
      <c r="Q495" s="971">
        <f t="shared" si="15"/>
        <v>51849</v>
      </c>
      <c r="R495" s="969"/>
      <c r="S495" s="970">
        <v>365385</v>
      </c>
      <c r="T495" s="972">
        <v>-9663</v>
      </c>
      <c r="U495" s="972">
        <v>355722</v>
      </c>
    </row>
    <row r="496" spans="1:21" x14ac:dyDescent="0.25">
      <c r="A496" s="966">
        <v>95204</v>
      </c>
      <c r="B496" s="967" t="s">
        <v>3109</v>
      </c>
      <c r="C496" s="968">
        <v>1.26E-5</v>
      </c>
      <c r="D496" s="968">
        <v>1.1600000000000001E-5</v>
      </c>
      <c r="E496" s="985">
        <v>7226</v>
      </c>
      <c r="F496" s="969">
        <v>19249</v>
      </c>
      <c r="G496" s="969"/>
      <c r="H496" s="970">
        <v>1109</v>
      </c>
      <c r="I496" s="971">
        <v>4674</v>
      </c>
      <c r="J496" s="970">
        <v>2749</v>
      </c>
      <c r="K496" s="969">
        <v>1824</v>
      </c>
      <c r="L496" s="971">
        <f t="shared" si="14"/>
        <v>10356</v>
      </c>
      <c r="M496" s="969"/>
      <c r="N496" s="970">
        <v>545</v>
      </c>
      <c r="O496" s="970">
        <v>0</v>
      </c>
      <c r="P496" s="969">
        <v>1143</v>
      </c>
      <c r="Q496" s="971">
        <f t="shared" si="15"/>
        <v>1688</v>
      </c>
      <c r="R496" s="969"/>
      <c r="S496" s="970">
        <v>6487</v>
      </c>
      <c r="T496" s="972">
        <v>-195</v>
      </c>
      <c r="U496" s="972">
        <v>6292</v>
      </c>
    </row>
    <row r="497" spans="1:21" x14ac:dyDescent="0.25">
      <c r="A497" s="966">
        <v>95205</v>
      </c>
      <c r="B497" s="967" t="s">
        <v>3110</v>
      </c>
      <c r="C497" s="968">
        <v>4.5000000000000001E-6</v>
      </c>
      <c r="D497" s="968">
        <v>4.7999999999999998E-6</v>
      </c>
      <c r="E497" s="985">
        <v>2455</v>
      </c>
      <c r="F497" s="969">
        <v>6875</v>
      </c>
      <c r="G497" s="969"/>
      <c r="H497" s="970">
        <v>396</v>
      </c>
      <c r="I497" s="971">
        <v>1669</v>
      </c>
      <c r="J497" s="970">
        <v>982</v>
      </c>
      <c r="K497" s="969">
        <v>605</v>
      </c>
      <c r="L497" s="971">
        <f t="shared" si="14"/>
        <v>3652</v>
      </c>
      <c r="M497" s="969"/>
      <c r="N497" s="970">
        <v>195</v>
      </c>
      <c r="O497" s="970">
        <v>0</v>
      </c>
      <c r="P497" s="969">
        <v>0</v>
      </c>
      <c r="Q497" s="971">
        <f t="shared" si="15"/>
        <v>195</v>
      </c>
      <c r="R497" s="969"/>
      <c r="S497" s="970">
        <v>2317</v>
      </c>
      <c r="T497" s="972">
        <v>311</v>
      </c>
      <c r="U497" s="972">
        <v>2628</v>
      </c>
    </row>
    <row r="498" spans="1:21" x14ac:dyDescent="0.25">
      <c r="A498" s="966">
        <v>95211</v>
      </c>
      <c r="B498" s="967" t="s">
        <v>3111</v>
      </c>
      <c r="C498" s="968">
        <v>8.3999999999999992E-6</v>
      </c>
      <c r="D498" s="968">
        <v>9.2E-6</v>
      </c>
      <c r="E498" s="985">
        <v>4222</v>
      </c>
      <c r="F498" s="969">
        <v>12833</v>
      </c>
      <c r="G498" s="969"/>
      <c r="H498" s="970">
        <v>739</v>
      </c>
      <c r="I498" s="971">
        <v>3115</v>
      </c>
      <c r="J498" s="970">
        <v>1833</v>
      </c>
      <c r="K498" s="969">
        <v>1455</v>
      </c>
      <c r="L498" s="971">
        <f t="shared" si="14"/>
        <v>7142</v>
      </c>
      <c r="M498" s="969"/>
      <c r="N498" s="970">
        <v>363</v>
      </c>
      <c r="O498" s="970">
        <v>0</v>
      </c>
      <c r="P498" s="969">
        <v>1231</v>
      </c>
      <c r="Q498" s="971">
        <f t="shared" si="15"/>
        <v>1594</v>
      </c>
      <c r="R498" s="969"/>
      <c r="S498" s="970">
        <v>4325</v>
      </c>
      <c r="T498" s="972">
        <v>-523</v>
      </c>
      <c r="U498" s="972">
        <v>3802</v>
      </c>
    </row>
    <row r="499" spans="1:21" x14ac:dyDescent="0.25">
      <c r="A499" s="966">
        <v>95221</v>
      </c>
      <c r="B499" s="967" t="s">
        <v>3112</v>
      </c>
      <c r="C499" s="968">
        <v>4.4100000000000001E-5</v>
      </c>
      <c r="D499" s="968">
        <v>1.6900000000000001E-5</v>
      </c>
      <c r="E499" s="985">
        <v>20361</v>
      </c>
      <c r="F499" s="969">
        <v>67373</v>
      </c>
      <c r="G499" s="969"/>
      <c r="H499" s="970">
        <v>3881</v>
      </c>
      <c r="I499" s="971">
        <v>16358</v>
      </c>
      <c r="J499" s="970">
        <v>9622</v>
      </c>
      <c r="K499" s="969">
        <v>21037</v>
      </c>
      <c r="L499" s="971">
        <f t="shared" si="14"/>
        <v>50898</v>
      </c>
      <c r="M499" s="969"/>
      <c r="N499" s="970">
        <v>1907</v>
      </c>
      <c r="O499" s="970">
        <v>0</v>
      </c>
      <c r="P499" s="969">
        <v>11299</v>
      </c>
      <c r="Q499" s="971">
        <f t="shared" si="15"/>
        <v>13206</v>
      </c>
      <c r="R499" s="969"/>
      <c r="S499" s="970">
        <v>22705</v>
      </c>
      <c r="T499" s="972">
        <v>2535</v>
      </c>
      <c r="U499" s="972">
        <v>25240</v>
      </c>
    </row>
    <row r="500" spans="1:21" x14ac:dyDescent="0.25">
      <c r="A500" s="966">
        <v>95301</v>
      </c>
      <c r="B500" s="967" t="s">
        <v>3113</v>
      </c>
      <c r="C500" s="968">
        <v>2.3917999999999999E-3</v>
      </c>
      <c r="D500" s="968">
        <v>2.4063999999999999E-3</v>
      </c>
      <c r="E500" s="985">
        <v>1141657</v>
      </c>
      <c r="F500" s="969">
        <v>3654008</v>
      </c>
      <c r="G500" s="969"/>
      <c r="H500" s="970">
        <v>210505</v>
      </c>
      <c r="I500" s="971">
        <v>887197</v>
      </c>
      <c r="J500" s="970">
        <v>521843</v>
      </c>
      <c r="K500" s="969">
        <v>73478</v>
      </c>
      <c r="L500" s="971">
        <f t="shared" si="14"/>
        <v>1693023</v>
      </c>
      <c r="M500" s="969"/>
      <c r="N500" s="970">
        <v>103433</v>
      </c>
      <c r="O500" s="970">
        <v>0</v>
      </c>
      <c r="P500" s="969">
        <v>11228</v>
      </c>
      <c r="Q500" s="971">
        <f t="shared" si="15"/>
        <v>114661</v>
      </c>
      <c r="R500" s="969"/>
      <c r="S500" s="970">
        <v>1231404</v>
      </c>
      <c r="T500" s="972">
        <v>19362</v>
      </c>
      <c r="U500" s="972">
        <f>1250765+1</f>
        <v>1250766</v>
      </c>
    </row>
    <row r="501" spans="1:21" x14ac:dyDescent="0.25">
      <c r="A501" s="966">
        <v>95311</v>
      </c>
      <c r="B501" s="967" t="s">
        <v>3114</v>
      </c>
      <c r="C501" s="968">
        <v>2.6873999999999999E-3</v>
      </c>
      <c r="D501" s="968">
        <v>2.6841999999999999E-3</v>
      </c>
      <c r="E501" s="985">
        <v>1275634</v>
      </c>
      <c r="F501" s="969">
        <v>4105603</v>
      </c>
      <c r="G501" s="969"/>
      <c r="H501" s="970">
        <v>236521</v>
      </c>
      <c r="I501" s="971">
        <v>996846</v>
      </c>
      <c r="J501" s="970">
        <v>586337</v>
      </c>
      <c r="K501" s="969">
        <v>41083</v>
      </c>
      <c r="L501" s="971">
        <f t="shared" si="14"/>
        <v>1860787</v>
      </c>
      <c r="M501" s="969"/>
      <c r="N501" s="970">
        <v>116217</v>
      </c>
      <c r="O501" s="970">
        <v>0</v>
      </c>
      <c r="P501" s="969">
        <v>117171</v>
      </c>
      <c r="Q501" s="971">
        <f t="shared" si="15"/>
        <v>233388</v>
      </c>
      <c r="R501" s="969"/>
      <c r="S501" s="970">
        <v>1383592</v>
      </c>
      <c r="T501" s="972">
        <v>-46704</v>
      </c>
      <c r="U501" s="972">
        <v>1336888</v>
      </c>
    </row>
    <row r="502" spans="1:21" x14ac:dyDescent="0.25">
      <c r="A502" s="966">
        <v>95317</v>
      </c>
      <c r="B502" s="967" t="s">
        <v>3115</v>
      </c>
      <c r="C502" s="968">
        <v>4.8900000000000003E-5</v>
      </c>
      <c r="D502" s="968">
        <v>5.1400000000000003E-5</v>
      </c>
      <c r="E502" s="985">
        <v>27511</v>
      </c>
      <c r="F502" s="969">
        <v>74706</v>
      </c>
      <c r="G502" s="969"/>
      <c r="H502" s="970">
        <v>4304</v>
      </c>
      <c r="I502" s="971">
        <v>18138</v>
      </c>
      <c r="J502" s="970">
        <v>10669</v>
      </c>
      <c r="K502" s="969">
        <v>6328</v>
      </c>
      <c r="L502" s="971">
        <f t="shared" si="14"/>
        <v>39439</v>
      </c>
      <c r="M502" s="969"/>
      <c r="N502" s="970">
        <v>2115</v>
      </c>
      <c r="O502" s="970">
        <v>0</v>
      </c>
      <c r="P502" s="969">
        <v>38</v>
      </c>
      <c r="Q502" s="971">
        <f t="shared" si="15"/>
        <v>2153</v>
      </c>
      <c r="R502" s="969"/>
      <c r="S502" s="970">
        <v>25176</v>
      </c>
      <c r="T502" s="972">
        <v>2474</v>
      </c>
      <c r="U502" s="972">
        <v>27650</v>
      </c>
    </row>
    <row r="503" spans="1:21" x14ac:dyDescent="0.25">
      <c r="A503" s="966">
        <v>95321</v>
      </c>
      <c r="B503" s="967" t="s">
        <v>3116</v>
      </c>
      <c r="C503" s="968">
        <v>4.71E-5</v>
      </c>
      <c r="D503" s="968">
        <v>5.7000000000000003E-5</v>
      </c>
      <c r="E503" s="985">
        <v>27222</v>
      </c>
      <c r="F503" s="969">
        <v>71956</v>
      </c>
      <c r="G503" s="969"/>
      <c r="H503" s="970">
        <v>4145</v>
      </c>
      <c r="I503" s="971">
        <v>17471</v>
      </c>
      <c r="J503" s="970">
        <v>10276</v>
      </c>
      <c r="K503" s="969">
        <v>3087</v>
      </c>
      <c r="L503" s="971">
        <f t="shared" si="14"/>
        <v>34979</v>
      </c>
      <c r="M503" s="969"/>
      <c r="N503" s="970">
        <v>2037</v>
      </c>
      <c r="O503" s="970">
        <v>0</v>
      </c>
      <c r="P503" s="969">
        <v>2158</v>
      </c>
      <c r="Q503" s="971">
        <f t="shared" si="15"/>
        <v>4195</v>
      </c>
      <c r="R503" s="969"/>
      <c r="S503" s="970">
        <v>24249</v>
      </c>
      <c r="T503" s="972">
        <v>1089</v>
      </c>
      <c r="U503" s="972">
        <v>25338</v>
      </c>
    </row>
    <row r="504" spans="1:21" x14ac:dyDescent="0.25">
      <c r="A504" s="966">
        <v>95401</v>
      </c>
      <c r="B504" s="967" t="s">
        <v>3117</v>
      </c>
      <c r="C504" s="968">
        <v>2.9992E-3</v>
      </c>
      <c r="D504" s="968">
        <v>2.9979999999999998E-3</v>
      </c>
      <c r="E504" s="985">
        <v>1351002</v>
      </c>
      <c r="F504" s="969">
        <v>4581947</v>
      </c>
      <c r="G504" s="969"/>
      <c r="H504" s="970">
        <v>263963</v>
      </c>
      <c r="I504" s="971">
        <v>1112502</v>
      </c>
      <c r="J504" s="970">
        <v>654365</v>
      </c>
      <c r="K504" s="969">
        <v>27695</v>
      </c>
      <c r="L504" s="971">
        <f t="shared" si="14"/>
        <v>2058525</v>
      </c>
      <c r="M504" s="969"/>
      <c r="N504" s="970">
        <v>129700</v>
      </c>
      <c r="O504" s="970">
        <v>0</v>
      </c>
      <c r="P504" s="969">
        <v>19902</v>
      </c>
      <c r="Q504" s="971">
        <f t="shared" si="15"/>
        <v>149602</v>
      </c>
      <c r="R504" s="969"/>
      <c r="S504" s="970">
        <v>1544120</v>
      </c>
      <c r="T504" s="972">
        <v>10089</v>
      </c>
      <c r="U504" s="972">
        <v>1554209</v>
      </c>
    </row>
    <row r="505" spans="1:21" x14ac:dyDescent="0.25">
      <c r="A505" s="966">
        <v>95404</v>
      </c>
      <c r="B505" s="967" t="s">
        <v>3118</v>
      </c>
      <c r="C505" s="968">
        <v>5.3100000000000003E-5</v>
      </c>
      <c r="D505" s="968">
        <v>4.9799999999999998E-5</v>
      </c>
      <c r="E505" s="985">
        <v>22123</v>
      </c>
      <c r="F505" s="969">
        <v>81122</v>
      </c>
      <c r="G505" s="969"/>
      <c r="H505" s="970">
        <v>4673</v>
      </c>
      <c r="I505" s="971">
        <v>19697</v>
      </c>
      <c r="J505" s="970">
        <v>11585</v>
      </c>
      <c r="K505" s="969">
        <v>5158</v>
      </c>
      <c r="L505" s="971">
        <f t="shared" si="14"/>
        <v>41113</v>
      </c>
      <c r="M505" s="969"/>
      <c r="N505" s="970">
        <v>2296</v>
      </c>
      <c r="O505" s="970">
        <v>0</v>
      </c>
      <c r="P505" s="969">
        <v>0</v>
      </c>
      <c r="Q505" s="971">
        <f t="shared" si="15"/>
        <v>2296</v>
      </c>
      <c r="R505" s="969"/>
      <c r="S505" s="970">
        <v>27338</v>
      </c>
      <c r="T505" s="972">
        <v>1949</v>
      </c>
      <c r="U505" s="972">
        <v>29287</v>
      </c>
    </row>
    <row r="506" spans="1:21" x14ac:dyDescent="0.25">
      <c r="A506" s="966">
        <v>95405</v>
      </c>
      <c r="B506" s="967" t="s">
        <v>3119</v>
      </c>
      <c r="C506" s="968">
        <v>1.84E-5</v>
      </c>
      <c r="D506" s="968">
        <v>1.84E-5</v>
      </c>
      <c r="E506" s="985">
        <v>17053</v>
      </c>
      <c r="F506" s="969">
        <v>28110</v>
      </c>
      <c r="G506" s="969"/>
      <c r="H506" s="970">
        <v>1619</v>
      </c>
      <c r="I506" s="971">
        <v>6826</v>
      </c>
      <c r="J506" s="970">
        <v>4015</v>
      </c>
      <c r="K506" s="969">
        <v>15544</v>
      </c>
      <c r="L506" s="971">
        <f t="shared" si="14"/>
        <v>28004</v>
      </c>
      <c r="M506" s="969"/>
      <c r="N506" s="970">
        <v>796</v>
      </c>
      <c r="O506" s="970">
        <v>0</v>
      </c>
      <c r="P506" s="969">
        <v>0</v>
      </c>
      <c r="Q506" s="971">
        <f t="shared" si="15"/>
        <v>796</v>
      </c>
      <c r="R506" s="969"/>
      <c r="S506" s="970">
        <v>9473</v>
      </c>
      <c r="T506" s="972">
        <v>5475</v>
      </c>
      <c r="U506" s="972">
        <v>14948</v>
      </c>
    </row>
    <row r="507" spans="1:21" x14ac:dyDescent="0.25">
      <c r="A507" s="966">
        <v>95411</v>
      </c>
      <c r="B507" s="967" t="s">
        <v>3120</v>
      </c>
      <c r="C507" s="968">
        <v>2.2173000000000002E-3</v>
      </c>
      <c r="D507" s="968">
        <v>2.3272000000000002E-3</v>
      </c>
      <c r="E507" s="985">
        <v>1058017</v>
      </c>
      <c r="F507" s="969">
        <v>3387420</v>
      </c>
      <c r="G507" s="969"/>
      <c r="H507" s="970">
        <v>195147</v>
      </c>
      <c r="I507" s="971">
        <v>822470</v>
      </c>
      <c r="J507" s="970">
        <v>483771</v>
      </c>
      <c r="K507" s="969">
        <v>14015</v>
      </c>
      <c r="L507" s="971">
        <f t="shared" si="14"/>
        <v>1515403</v>
      </c>
      <c r="M507" s="969"/>
      <c r="N507" s="970">
        <v>95887</v>
      </c>
      <c r="O507" s="970">
        <v>0</v>
      </c>
      <c r="P507" s="969">
        <v>60237</v>
      </c>
      <c r="Q507" s="971">
        <f t="shared" si="15"/>
        <v>156124</v>
      </c>
      <c r="R507" s="969"/>
      <c r="S507" s="970">
        <v>1141564</v>
      </c>
      <c r="T507" s="972">
        <v>-23907</v>
      </c>
      <c r="U507" s="972">
        <f>1117656+1</f>
        <v>1117657</v>
      </c>
    </row>
    <row r="508" spans="1:21" x14ac:dyDescent="0.25">
      <c r="A508" s="966">
        <v>95412</v>
      </c>
      <c r="B508" s="967" t="s">
        <v>3121</v>
      </c>
      <c r="C508" s="968">
        <v>0</v>
      </c>
      <c r="D508" s="968">
        <v>0</v>
      </c>
      <c r="E508" s="985" t="e">
        <v>#N/A</v>
      </c>
      <c r="F508" s="969">
        <v>0</v>
      </c>
      <c r="G508" s="969"/>
      <c r="H508" s="970">
        <v>0</v>
      </c>
      <c r="I508" s="971">
        <v>0</v>
      </c>
      <c r="J508" s="970">
        <v>0</v>
      </c>
      <c r="K508" s="969">
        <v>0</v>
      </c>
      <c r="L508" s="971">
        <f t="shared" si="14"/>
        <v>0</v>
      </c>
      <c r="M508" s="969"/>
      <c r="N508" s="970">
        <v>0</v>
      </c>
      <c r="O508" s="970">
        <v>0</v>
      </c>
      <c r="P508" s="969">
        <v>27831</v>
      </c>
      <c r="Q508" s="971">
        <f t="shared" si="15"/>
        <v>27831</v>
      </c>
      <c r="R508" s="969"/>
      <c r="S508" s="970">
        <v>0</v>
      </c>
      <c r="T508" s="972">
        <v>-18518</v>
      </c>
      <c r="U508" s="972">
        <v>-18518</v>
      </c>
    </row>
    <row r="509" spans="1:21" x14ac:dyDescent="0.25">
      <c r="A509" s="966">
        <v>95413</v>
      </c>
      <c r="B509" s="967" t="s">
        <v>3122</v>
      </c>
      <c r="C509" s="968">
        <v>2.5809999999999999E-4</v>
      </c>
      <c r="D509" s="968">
        <v>2.945E-4</v>
      </c>
      <c r="E509" s="985">
        <v>285392</v>
      </c>
      <c r="F509" s="969">
        <v>394305</v>
      </c>
      <c r="G509" s="969"/>
      <c r="H509" s="970">
        <v>22716</v>
      </c>
      <c r="I509" s="971">
        <v>95737</v>
      </c>
      <c r="J509" s="970">
        <v>56312</v>
      </c>
      <c r="K509" s="969">
        <v>247679</v>
      </c>
      <c r="L509" s="971">
        <f t="shared" si="14"/>
        <v>422444</v>
      </c>
      <c r="M509" s="969"/>
      <c r="N509" s="970">
        <v>11162</v>
      </c>
      <c r="O509" s="970">
        <v>0</v>
      </c>
      <c r="P509" s="969">
        <v>9401</v>
      </c>
      <c r="Q509" s="971">
        <f t="shared" si="15"/>
        <v>20563</v>
      </c>
      <c r="R509" s="969"/>
      <c r="S509" s="970">
        <v>132881</v>
      </c>
      <c r="T509" s="972">
        <v>77340</v>
      </c>
      <c r="U509" s="972">
        <v>210221</v>
      </c>
    </row>
    <row r="510" spans="1:21" x14ac:dyDescent="0.25">
      <c r="A510" s="966">
        <v>95415</v>
      </c>
      <c r="B510" s="967" t="s">
        <v>3123</v>
      </c>
      <c r="C510" s="968">
        <v>6.2899999999999997E-5</v>
      </c>
      <c r="D510" s="968">
        <v>7.9499999999999994E-5</v>
      </c>
      <c r="E510" s="985">
        <v>28158</v>
      </c>
      <c r="F510" s="969">
        <v>96094</v>
      </c>
      <c r="G510" s="969"/>
      <c r="H510" s="970">
        <v>5536</v>
      </c>
      <c r="I510" s="971">
        <v>23331</v>
      </c>
      <c r="J510" s="970">
        <v>13724</v>
      </c>
      <c r="K510" s="969">
        <v>5301</v>
      </c>
      <c r="L510" s="971">
        <f t="shared" si="14"/>
        <v>47892</v>
      </c>
      <c r="M510" s="969"/>
      <c r="N510" s="970">
        <v>2720</v>
      </c>
      <c r="O510" s="970">
        <v>0</v>
      </c>
      <c r="P510" s="969">
        <v>16874</v>
      </c>
      <c r="Q510" s="971">
        <f t="shared" si="15"/>
        <v>19594</v>
      </c>
      <c r="R510" s="969"/>
      <c r="S510" s="970">
        <v>32384</v>
      </c>
      <c r="T510" s="972">
        <v>-165</v>
      </c>
      <c r="U510" s="972">
        <v>32219</v>
      </c>
    </row>
    <row r="511" spans="1:21" x14ac:dyDescent="0.25">
      <c r="A511" s="966">
        <v>95421</v>
      </c>
      <c r="B511" s="967" t="s">
        <v>3124</v>
      </c>
      <c r="C511" s="968">
        <v>3.8699999999999999E-5</v>
      </c>
      <c r="D511" s="968">
        <v>3.9100000000000002E-5</v>
      </c>
      <c r="E511" s="985">
        <v>18385</v>
      </c>
      <c r="F511" s="969">
        <v>59123</v>
      </c>
      <c r="G511" s="969"/>
      <c r="H511" s="970">
        <v>3406</v>
      </c>
      <c r="I511" s="971">
        <v>14355</v>
      </c>
      <c r="J511" s="970">
        <v>8444</v>
      </c>
      <c r="K511" s="969">
        <v>226</v>
      </c>
      <c r="L511" s="971">
        <f t="shared" si="14"/>
        <v>26431</v>
      </c>
      <c r="M511" s="969"/>
      <c r="N511" s="970">
        <v>1674</v>
      </c>
      <c r="O511" s="970">
        <v>0</v>
      </c>
      <c r="P511" s="969">
        <v>9353</v>
      </c>
      <c r="Q511" s="971">
        <f t="shared" si="15"/>
        <v>11027</v>
      </c>
      <c r="R511" s="969"/>
      <c r="S511" s="970">
        <v>19924</v>
      </c>
      <c r="T511" s="972">
        <v>-4913</v>
      </c>
      <c r="U511" s="972">
        <f>15012-1</f>
        <v>15011</v>
      </c>
    </row>
    <row r="512" spans="1:21" x14ac:dyDescent="0.25">
      <c r="A512" s="966">
        <v>95431</v>
      </c>
      <c r="B512" s="967" t="s">
        <v>3125</v>
      </c>
      <c r="C512" s="968">
        <v>1.5300000000000001E-4</v>
      </c>
      <c r="D512" s="968">
        <v>1.8009999999999999E-4</v>
      </c>
      <c r="E512" s="985">
        <v>61885</v>
      </c>
      <c r="F512" s="969">
        <v>233742</v>
      </c>
      <c r="G512" s="969"/>
      <c r="H512" s="970">
        <v>13466</v>
      </c>
      <c r="I512" s="971">
        <v>56753</v>
      </c>
      <c r="J512" s="970">
        <v>33382</v>
      </c>
      <c r="K512" s="969">
        <v>224</v>
      </c>
      <c r="L512" s="971">
        <f t="shared" si="14"/>
        <v>103825</v>
      </c>
      <c r="M512" s="969"/>
      <c r="N512" s="970">
        <v>6616</v>
      </c>
      <c r="O512" s="970">
        <v>0</v>
      </c>
      <c r="P512" s="969">
        <v>34003</v>
      </c>
      <c r="Q512" s="971">
        <f t="shared" si="15"/>
        <v>40619</v>
      </c>
      <c r="R512" s="969"/>
      <c r="S512" s="970">
        <v>78771</v>
      </c>
      <c r="T512" s="972">
        <v>-9919</v>
      </c>
      <c r="U512" s="972">
        <v>68852</v>
      </c>
    </row>
    <row r="513" spans="1:21" x14ac:dyDescent="0.25">
      <c r="A513" s="966">
        <v>95501</v>
      </c>
      <c r="B513" s="967" t="s">
        <v>3126</v>
      </c>
      <c r="C513" s="968">
        <v>4.8764999999999998E-3</v>
      </c>
      <c r="D513" s="968">
        <v>4.7917999999999997E-3</v>
      </c>
      <c r="E513" s="985">
        <v>2104813</v>
      </c>
      <c r="F513" s="969">
        <v>7449941</v>
      </c>
      <c r="G513" s="969"/>
      <c r="H513" s="970">
        <v>429186</v>
      </c>
      <c r="I513" s="971">
        <v>1808855</v>
      </c>
      <c r="J513" s="970">
        <v>1063955</v>
      </c>
      <c r="K513" s="969">
        <v>31695</v>
      </c>
      <c r="L513" s="971">
        <f t="shared" si="14"/>
        <v>3333691</v>
      </c>
      <c r="M513" s="969"/>
      <c r="N513" s="970">
        <v>210884</v>
      </c>
      <c r="O513" s="970">
        <v>0</v>
      </c>
      <c r="P513" s="969">
        <v>124610</v>
      </c>
      <c r="Q513" s="971">
        <f t="shared" si="15"/>
        <v>335494</v>
      </c>
      <c r="R513" s="969"/>
      <c r="S513" s="970">
        <v>2510637</v>
      </c>
      <c r="T513" s="972">
        <v>-8646</v>
      </c>
      <c r="U513" s="972">
        <v>2501991</v>
      </c>
    </row>
    <row r="514" spans="1:21" x14ac:dyDescent="0.25">
      <c r="A514" s="966">
        <v>95504</v>
      </c>
      <c r="B514" s="967" t="s">
        <v>3127</v>
      </c>
      <c r="C514" s="968">
        <v>9.3999999999999998E-6</v>
      </c>
      <c r="D514" s="968">
        <v>8.8999999999999995E-6</v>
      </c>
      <c r="E514" s="985">
        <v>9297</v>
      </c>
      <c r="F514" s="969">
        <v>14361</v>
      </c>
      <c r="G514" s="969"/>
      <c r="H514" s="970">
        <v>827</v>
      </c>
      <c r="I514" s="971">
        <v>3487</v>
      </c>
      <c r="J514" s="970">
        <v>2051</v>
      </c>
      <c r="K514" s="969">
        <v>7912</v>
      </c>
      <c r="L514" s="971">
        <f t="shared" si="14"/>
        <v>14277</v>
      </c>
      <c r="M514" s="969"/>
      <c r="N514" s="970">
        <v>407</v>
      </c>
      <c r="O514" s="970">
        <v>0</v>
      </c>
      <c r="P514" s="969">
        <v>0</v>
      </c>
      <c r="Q514" s="971">
        <f t="shared" si="15"/>
        <v>407</v>
      </c>
      <c r="R514" s="969"/>
      <c r="S514" s="970">
        <v>4840</v>
      </c>
      <c r="T514" s="972">
        <v>2952</v>
      </c>
      <c r="U514" s="972">
        <f>7791+1</f>
        <v>7792</v>
      </c>
    </row>
    <row r="515" spans="1:21" x14ac:dyDescent="0.25">
      <c r="A515" s="966">
        <v>95511</v>
      </c>
      <c r="B515" s="967" t="s">
        <v>3128</v>
      </c>
      <c r="C515" s="968">
        <v>9.7460000000000005E-4</v>
      </c>
      <c r="D515" s="968">
        <v>9.6049999999999998E-4</v>
      </c>
      <c r="E515" s="985">
        <v>484188</v>
      </c>
      <c r="F515" s="969">
        <v>1488919</v>
      </c>
      <c r="G515" s="969"/>
      <c r="H515" s="970">
        <v>85776</v>
      </c>
      <c r="I515" s="971">
        <v>361511</v>
      </c>
      <c r="J515" s="970">
        <v>212638</v>
      </c>
      <c r="K515" s="969">
        <v>44242</v>
      </c>
      <c r="L515" s="971">
        <f t="shared" si="14"/>
        <v>704167</v>
      </c>
      <c r="M515" s="969"/>
      <c r="N515" s="970">
        <v>42147</v>
      </c>
      <c r="O515" s="970">
        <v>0</v>
      </c>
      <c r="P515" s="969">
        <v>52155</v>
      </c>
      <c r="Q515" s="971">
        <f t="shared" si="15"/>
        <v>94302</v>
      </c>
      <c r="R515" s="969"/>
      <c r="S515" s="970">
        <v>501767</v>
      </c>
      <c r="T515" s="972">
        <v>-4607</v>
      </c>
      <c r="U515" s="972">
        <v>497160</v>
      </c>
    </row>
    <row r="516" spans="1:21" x14ac:dyDescent="0.25">
      <c r="A516" s="966">
        <v>95513</v>
      </c>
      <c r="B516" s="967" t="s">
        <v>3129</v>
      </c>
      <c r="C516" s="968">
        <v>4.6699999999999997E-5</v>
      </c>
      <c r="D516" s="968">
        <v>4.5500000000000001E-5</v>
      </c>
      <c r="E516" s="985">
        <v>31793</v>
      </c>
      <c r="F516" s="969">
        <v>71345</v>
      </c>
      <c r="G516" s="969"/>
      <c r="H516" s="970">
        <v>4110</v>
      </c>
      <c r="I516" s="971">
        <v>17322</v>
      </c>
      <c r="J516" s="970">
        <v>10189</v>
      </c>
      <c r="K516" s="969">
        <v>21773</v>
      </c>
      <c r="L516" s="971">
        <f t="shared" si="14"/>
        <v>53394</v>
      </c>
      <c r="M516" s="969"/>
      <c r="N516" s="970">
        <v>2020</v>
      </c>
      <c r="O516" s="970">
        <v>0</v>
      </c>
      <c r="P516" s="969">
        <v>0</v>
      </c>
      <c r="Q516" s="971">
        <f t="shared" si="15"/>
        <v>2020</v>
      </c>
      <c r="R516" s="969"/>
      <c r="S516" s="970">
        <v>24043</v>
      </c>
      <c r="T516" s="972">
        <v>9103</v>
      </c>
      <c r="U516" s="972">
        <v>33146</v>
      </c>
    </row>
    <row r="517" spans="1:21" x14ac:dyDescent="0.25">
      <c r="A517" s="966">
        <v>95517</v>
      </c>
      <c r="B517" s="967" t="s">
        <v>3130</v>
      </c>
      <c r="C517" s="968">
        <v>2.4499999999999999E-5</v>
      </c>
      <c r="D517" s="968">
        <v>1.66E-5</v>
      </c>
      <c r="E517" s="985">
        <v>15695</v>
      </c>
      <c r="F517" s="969">
        <v>37429</v>
      </c>
      <c r="G517" s="969"/>
      <c r="H517" s="970">
        <v>2156</v>
      </c>
      <c r="I517" s="971">
        <v>9087</v>
      </c>
      <c r="J517" s="970">
        <v>5345</v>
      </c>
      <c r="K517" s="969">
        <v>17989</v>
      </c>
      <c r="L517" s="971">
        <f t="shared" si="14"/>
        <v>34577</v>
      </c>
      <c r="M517" s="969"/>
      <c r="N517" s="970">
        <v>1060</v>
      </c>
      <c r="O517" s="970">
        <v>0</v>
      </c>
      <c r="P517" s="969">
        <v>0</v>
      </c>
      <c r="Q517" s="971">
        <f t="shared" si="15"/>
        <v>1060</v>
      </c>
      <c r="R517" s="969"/>
      <c r="S517" s="970">
        <v>12614</v>
      </c>
      <c r="T517" s="972">
        <v>6544</v>
      </c>
      <c r="U517" s="972">
        <v>19158</v>
      </c>
    </row>
    <row r="518" spans="1:21" x14ac:dyDescent="0.25">
      <c r="A518" s="966">
        <v>95601</v>
      </c>
      <c r="B518" s="967" t="s">
        <v>3131</v>
      </c>
      <c r="C518" s="968">
        <v>2.6280000000000001E-3</v>
      </c>
      <c r="D518" s="968">
        <v>2.6592999999999999E-3</v>
      </c>
      <c r="E518" s="985">
        <v>1208853</v>
      </c>
      <c r="F518" s="969">
        <v>4014856</v>
      </c>
      <c r="G518" s="969"/>
      <c r="H518" s="970">
        <v>231293</v>
      </c>
      <c r="I518" s="971">
        <v>974812</v>
      </c>
      <c r="J518" s="970">
        <v>573377</v>
      </c>
      <c r="K518" s="969">
        <v>85590</v>
      </c>
      <c r="L518" s="971">
        <f t="shared" si="14"/>
        <v>1865072</v>
      </c>
      <c r="M518" s="969"/>
      <c r="N518" s="970">
        <v>113648</v>
      </c>
      <c r="O518" s="970">
        <v>0</v>
      </c>
      <c r="P518" s="969">
        <v>19082</v>
      </c>
      <c r="Q518" s="971">
        <f t="shared" si="15"/>
        <v>132730</v>
      </c>
      <c r="R518" s="969"/>
      <c r="S518" s="970">
        <v>1353010</v>
      </c>
      <c r="T518" s="972">
        <v>47697</v>
      </c>
      <c r="U518" s="972">
        <v>1400707</v>
      </c>
    </row>
    <row r="519" spans="1:21" x14ac:dyDescent="0.25">
      <c r="A519" s="966">
        <v>95611</v>
      </c>
      <c r="B519" s="967" t="s">
        <v>3132</v>
      </c>
      <c r="C519" s="968">
        <v>4.0660000000000002E-4</v>
      </c>
      <c r="D519" s="968">
        <v>3.9540000000000002E-4</v>
      </c>
      <c r="E519" s="985">
        <v>186384</v>
      </c>
      <c r="F519" s="969">
        <v>621172</v>
      </c>
      <c r="G519" s="969"/>
      <c r="H519" s="970">
        <v>35785</v>
      </c>
      <c r="I519" s="971">
        <v>150821</v>
      </c>
      <c r="J519" s="970">
        <v>88712</v>
      </c>
      <c r="K519" s="969">
        <v>8653</v>
      </c>
      <c r="L519" s="971">
        <f t="shared" ref="L519:L582" si="16">H519+I519+J519+K519</f>
        <v>283971</v>
      </c>
      <c r="M519" s="969"/>
      <c r="N519" s="970">
        <v>17583</v>
      </c>
      <c r="O519" s="970">
        <v>0</v>
      </c>
      <c r="P519" s="969">
        <v>3649</v>
      </c>
      <c r="Q519" s="971">
        <f t="shared" ref="Q519:Q582" si="17">N519+O519+P519</f>
        <v>21232</v>
      </c>
      <c r="R519" s="969"/>
      <c r="S519" s="970">
        <v>209336</v>
      </c>
      <c r="T519" s="972">
        <v>1212</v>
      </c>
      <c r="U519" s="972">
        <f>210547+1</f>
        <v>210548</v>
      </c>
    </row>
    <row r="520" spans="1:21" x14ac:dyDescent="0.25">
      <c r="A520" s="966">
        <v>95617</v>
      </c>
      <c r="B520" s="967" t="s">
        <v>3133</v>
      </c>
      <c r="C520" s="968">
        <v>1.6399999999999999E-5</v>
      </c>
      <c r="D520" s="968">
        <v>1.6500000000000001E-5</v>
      </c>
      <c r="E520" s="985">
        <v>8201</v>
      </c>
      <c r="F520" s="969">
        <v>25055</v>
      </c>
      <c r="G520" s="969"/>
      <c r="H520" s="970">
        <v>1443</v>
      </c>
      <c r="I520" s="971">
        <v>6084</v>
      </c>
      <c r="J520" s="970">
        <v>3578</v>
      </c>
      <c r="K520" s="969">
        <v>722</v>
      </c>
      <c r="L520" s="971">
        <f t="shared" si="16"/>
        <v>11827</v>
      </c>
      <c r="M520" s="969"/>
      <c r="N520" s="970">
        <v>709</v>
      </c>
      <c r="O520" s="970">
        <v>0</v>
      </c>
      <c r="P520" s="969">
        <v>1277</v>
      </c>
      <c r="Q520" s="971">
        <f t="shared" si="17"/>
        <v>1986</v>
      </c>
      <c r="R520" s="969"/>
      <c r="S520" s="970">
        <v>8443</v>
      </c>
      <c r="T520" s="972">
        <v>-659</v>
      </c>
      <c r="U520" s="972">
        <v>7784</v>
      </c>
    </row>
    <row r="521" spans="1:21" x14ac:dyDescent="0.25">
      <c r="A521" s="966">
        <v>95621</v>
      </c>
      <c r="B521" s="967" t="s">
        <v>3134</v>
      </c>
      <c r="C521" s="968">
        <v>4.5360000000000002E-4</v>
      </c>
      <c r="D521" s="968">
        <v>4.8020000000000002E-4</v>
      </c>
      <c r="E521" s="985">
        <v>227836</v>
      </c>
      <c r="F521" s="969">
        <v>692975</v>
      </c>
      <c r="G521" s="969"/>
      <c r="H521" s="970">
        <v>39922</v>
      </c>
      <c r="I521" s="971">
        <v>168255</v>
      </c>
      <c r="J521" s="970">
        <v>98966</v>
      </c>
      <c r="K521" s="969">
        <v>3166</v>
      </c>
      <c r="L521" s="971">
        <f t="shared" si="16"/>
        <v>310309</v>
      </c>
      <c r="M521" s="969"/>
      <c r="N521" s="970">
        <v>19616</v>
      </c>
      <c r="O521" s="970">
        <v>0</v>
      </c>
      <c r="P521" s="969">
        <v>4423</v>
      </c>
      <c r="Q521" s="971">
        <f t="shared" si="17"/>
        <v>24039</v>
      </c>
      <c r="R521" s="969"/>
      <c r="S521" s="970">
        <v>233533</v>
      </c>
      <c r="T521" s="972">
        <v>1481</v>
      </c>
      <c r="U521" s="972">
        <f>235015-1</f>
        <v>235014</v>
      </c>
    </row>
    <row r="522" spans="1:21" x14ac:dyDescent="0.25">
      <c r="A522" s="966">
        <v>95701</v>
      </c>
      <c r="B522" s="967" t="s">
        <v>3135</v>
      </c>
      <c r="C522" s="968">
        <v>1.3747E-3</v>
      </c>
      <c r="D522" s="968">
        <v>1.291E-3</v>
      </c>
      <c r="E522" s="985">
        <v>600622</v>
      </c>
      <c r="F522" s="969">
        <v>2100161</v>
      </c>
      <c r="G522" s="969"/>
      <c r="H522" s="970">
        <v>120989</v>
      </c>
      <c r="I522" s="971">
        <v>509922</v>
      </c>
      <c r="J522" s="970">
        <v>299932</v>
      </c>
      <c r="K522" s="969">
        <v>62898</v>
      </c>
      <c r="L522" s="971">
        <f t="shared" si="16"/>
        <v>993741</v>
      </c>
      <c r="M522" s="969"/>
      <c r="N522" s="970">
        <v>59449</v>
      </c>
      <c r="O522" s="970">
        <v>0</v>
      </c>
      <c r="P522" s="969">
        <v>0</v>
      </c>
      <c r="Q522" s="971">
        <f t="shared" si="17"/>
        <v>59449</v>
      </c>
      <c r="R522" s="969"/>
      <c r="S522" s="970">
        <v>707756</v>
      </c>
      <c r="T522" s="972">
        <v>28646</v>
      </c>
      <c r="U522" s="972">
        <v>736402</v>
      </c>
    </row>
    <row r="523" spans="1:21" x14ac:dyDescent="0.25">
      <c r="A523" s="966">
        <v>95711</v>
      </c>
      <c r="B523" s="967" t="s">
        <v>3136</v>
      </c>
      <c r="C523" s="968">
        <v>1.394E-4</v>
      </c>
      <c r="D523" s="968">
        <v>1.382E-4</v>
      </c>
      <c r="E523" s="985">
        <v>55785</v>
      </c>
      <c r="F523" s="969">
        <v>212965</v>
      </c>
      <c r="G523" s="969"/>
      <c r="H523" s="970">
        <v>12269</v>
      </c>
      <c r="I523" s="971">
        <v>51708</v>
      </c>
      <c r="J523" s="970">
        <v>30414</v>
      </c>
      <c r="K523" s="969">
        <v>6056</v>
      </c>
      <c r="L523" s="971">
        <f t="shared" si="16"/>
        <v>100447</v>
      </c>
      <c r="M523" s="969"/>
      <c r="N523" s="970">
        <v>6028</v>
      </c>
      <c r="O523" s="970">
        <v>0</v>
      </c>
      <c r="P523" s="969">
        <v>5836</v>
      </c>
      <c r="Q523" s="971">
        <f t="shared" si="17"/>
        <v>11864</v>
      </c>
      <c r="R523" s="969"/>
      <c r="S523" s="970">
        <v>71769</v>
      </c>
      <c r="T523" s="972">
        <v>1663</v>
      </c>
      <c r="U523" s="972">
        <v>73432</v>
      </c>
    </row>
    <row r="524" spans="1:21" x14ac:dyDescent="0.25">
      <c r="A524" s="966">
        <v>95721</v>
      </c>
      <c r="B524" s="967" t="s">
        <v>3137</v>
      </c>
      <c r="C524" s="968">
        <v>6.7600000000000003E-5</v>
      </c>
      <c r="D524" s="968">
        <v>6.6199999999999996E-5</v>
      </c>
      <c r="E524" s="985">
        <v>25093</v>
      </c>
      <c r="F524" s="969">
        <v>103274</v>
      </c>
      <c r="G524" s="969"/>
      <c r="H524" s="970">
        <v>5950</v>
      </c>
      <c r="I524" s="971">
        <v>25075</v>
      </c>
      <c r="J524" s="970">
        <v>14749</v>
      </c>
      <c r="K524" s="969">
        <v>0</v>
      </c>
      <c r="L524" s="971">
        <f t="shared" si="16"/>
        <v>45774</v>
      </c>
      <c r="M524" s="969"/>
      <c r="N524" s="970">
        <v>2923</v>
      </c>
      <c r="O524" s="970">
        <v>0</v>
      </c>
      <c r="P524" s="969">
        <v>9622</v>
      </c>
      <c r="Q524" s="971">
        <f t="shared" si="17"/>
        <v>12545</v>
      </c>
      <c r="R524" s="969"/>
      <c r="S524" s="970">
        <v>34803</v>
      </c>
      <c r="T524" s="972">
        <v>-4619</v>
      </c>
      <c r="U524" s="972">
        <f>30185-1</f>
        <v>30184</v>
      </c>
    </row>
    <row r="525" spans="1:21" x14ac:dyDescent="0.25">
      <c r="A525" s="966">
        <v>95733</v>
      </c>
      <c r="B525" s="967" t="s">
        <v>3138</v>
      </c>
      <c r="C525" s="968">
        <v>1.5400000000000002E-5</v>
      </c>
      <c r="D525" s="968">
        <v>1.56E-5</v>
      </c>
      <c r="E525" s="985">
        <v>6898</v>
      </c>
      <c r="F525" s="969">
        <v>23527</v>
      </c>
      <c r="G525" s="969"/>
      <c r="H525" s="970">
        <v>1355</v>
      </c>
      <c r="I525" s="971">
        <v>5712</v>
      </c>
      <c r="J525" s="970">
        <v>3360</v>
      </c>
      <c r="K525" s="969">
        <v>581</v>
      </c>
      <c r="L525" s="971">
        <f t="shared" si="16"/>
        <v>11008</v>
      </c>
      <c r="M525" s="969"/>
      <c r="N525" s="970">
        <v>666</v>
      </c>
      <c r="O525" s="970">
        <v>0</v>
      </c>
      <c r="P525" s="969">
        <v>464</v>
      </c>
      <c r="Q525" s="971">
        <f t="shared" si="17"/>
        <v>1130</v>
      </c>
      <c r="R525" s="969"/>
      <c r="S525" s="970">
        <v>7929</v>
      </c>
      <c r="T525" s="972">
        <v>209</v>
      </c>
      <c r="U525" s="972">
        <v>8138</v>
      </c>
    </row>
    <row r="526" spans="1:21" x14ac:dyDescent="0.25">
      <c r="A526" s="966">
        <v>95801</v>
      </c>
      <c r="B526" s="967" t="s">
        <v>3139</v>
      </c>
      <c r="C526" s="968">
        <v>9.6310000000000005E-4</v>
      </c>
      <c r="D526" s="968">
        <v>8.9349999999999998E-4</v>
      </c>
      <c r="E526" s="985">
        <v>449779</v>
      </c>
      <c r="F526" s="969">
        <v>1471350</v>
      </c>
      <c r="G526" s="969"/>
      <c r="H526" s="970">
        <v>84763</v>
      </c>
      <c r="I526" s="971">
        <v>357246</v>
      </c>
      <c r="J526" s="970">
        <v>210129</v>
      </c>
      <c r="K526" s="969">
        <v>62205</v>
      </c>
      <c r="L526" s="971">
        <f t="shared" si="16"/>
        <v>714343</v>
      </c>
      <c r="M526" s="969"/>
      <c r="N526" s="970">
        <v>41649</v>
      </c>
      <c r="O526" s="970">
        <v>0</v>
      </c>
      <c r="P526" s="969">
        <v>4103</v>
      </c>
      <c r="Q526" s="971">
        <f t="shared" si="17"/>
        <v>45752</v>
      </c>
      <c r="R526" s="969"/>
      <c r="S526" s="970">
        <v>495846</v>
      </c>
      <c r="T526" s="972">
        <v>14399</v>
      </c>
      <c r="U526" s="972">
        <v>510245</v>
      </c>
    </row>
    <row r="527" spans="1:21" x14ac:dyDescent="0.25">
      <c r="A527" s="966">
        <v>95802</v>
      </c>
      <c r="B527" s="967" t="s">
        <v>3140</v>
      </c>
      <c r="C527" s="968">
        <v>6.1E-6</v>
      </c>
      <c r="D527" s="968">
        <v>6.8000000000000001E-6</v>
      </c>
      <c r="E527" s="985">
        <v>5124</v>
      </c>
      <c r="F527" s="969">
        <v>9319</v>
      </c>
      <c r="G527" s="969"/>
      <c r="H527" s="970">
        <v>537</v>
      </c>
      <c r="I527" s="971">
        <v>2263</v>
      </c>
      <c r="J527" s="970">
        <v>1331</v>
      </c>
      <c r="K527" s="969">
        <v>3297</v>
      </c>
      <c r="L527" s="971">
        <f t="shared" si="16"/>
        <v>7428</v>
      </c>
      <c r="M527" s="969"/>
      <c r="N527" s="970">
        <v>264</v>
      </c>
      <c r="O527" s="970">
        <v>0</v>
      </c>
      <c r="P527" s="969">
        <v>1248</v>
      </c>
      <c r="Q527" s="971">
        <f t="shared" si="17"/>
        <v>1512</v>
      </c>
      <c r="R527" s="969"/>
      <c r="S527" s="970">
        <v>3141</v>
      </c>
      <c r="T527" s="972">
        <v>-81</v>
      </c>
      <c r="U527" s="972">
        <v>3060</v>
      </c>
    </row>
    <row r="528" spans="1:21" x14ac:dyDescent="0.25">
      <c r="A528" s="966">
        <v>95804</v>
      </c>
      <c r="B528" s="967" t="s">
        <v>3141</v>
      </c>
      <c r="C528" s="968">
        <v>2.19E-5</v>
      </c>
      <c r="D528" s="968">
        <v>1.63E-5</v>
      </c>
      <c r="E528" s="985">
        <v>7566</v>
      </c>
      <c r="F528" s="969">
        <v>33457</v>
      </c>
      <c r="G528" s="969"/>
      <c r="H528" s="970">
        <v>1927</v>
      </c>
      <c r="I528" s="971">
        <v>8123</v>
      </c>
      <c r="J528" s="970">
        <v>4778</v>
      </c>
      <c r="K528" s="969">
        <v>3631</v>
      </c>
      <c r="L528" s="971">
        <f t="shared" si="16"/>
        <v>18459</v>
      </c>
      <c r="M528" s="969"/>
      <c r="N528" s="970">
        <v>947</v>
      </c>
      <c r="O528" s="970">
        <v>0</v>
      </c>
      <c r="P528" s="969">
        <v>0</v>
      </c>
      <c r="Q528" s="971">
        <f t="shared" si="17"/>
        <v>947</v>
      </c>
      <c r="R528" s="969"/>
      <c r="S528" s="970">
        <v>11275</v>
      </c>
      <c r="T528" s="972">
        <v>1628</v>
      </c>
      <c r="U528" s="972">
        <f>12904-1</f>
        <v>12903</v>
      </c>
    </row>
    <row r="529" spans="1:21" x14ac:dyDescent="0.25">
      <c r="A529" s="966">
        <v>95811</v>
      </c>
      <c r="B529" s="967" t="s">
        <v>3142</v>
      </c>
      <c r="C529" s="968">
        <v>5.3129999999999996E-4</v>
      </c>
      <c r="D529" s="968">
        <v>5.3410000000000003E-4</v>
      </c>
      <c r="E529" s="985">
        <v>243909</v>
      </c>
      <c r="F529" s="969">
        <v>811679</v>
      </c>
      <c r="G529" s="969"/>
      <c r="H529" s="970">
        <v>46760</v>
      </c>
      <c r="I529" s="971">
        <v>197076</v>
      </c>
      <c r="J529" s="970">
        <v>115919</v>
      </c>
      <c r="K529" s="969">
        <v>1678</v>
      </c>
      <c r="L529" s="971">
        <f t="shared" si="16"/>
        <v>361433</v>
      </c>
      <c r="M529" s="969"/>
      <c r="N529" s="970">
        <v>22976</v>
      </c>
      <c r="O529" s="970">
        <v>0</v>
      </c>
      <c r="P529" s="969">
        <v>5329</v>
      </c>
      <c r="Q529" s="971">
        <f t="shared" si="17"/>
        <v>28305</v>
      </c>
      <c r="R529" s="969"/>
      <c r="S529" s="970">
        <v>273537</v>
      </c>
      <c r="T529" s="972">
        <v>-1501</v>
      </c>
      <c r="U529" s="972">
        <f>272035+1</f>
        <v>272036</v>
      </c>
    </row>
    <row r="530" spans="1:21" x14ac:dyDescent="0.25">
      <c r="A530" s="966">
        <v>95813</v>
      </c>
      <c r="B530" s="967" t="s">
        <v>3143</v>
      </c>
      <c r="C530" s="968">
        <v>4.88E-5</v>
      </c>
      <c r="D530" s="968">
        <v>4.4400000000000002E-5</v>
      </c>
      <c r="E530" s="985">
        <v>63299</v>
      </c>
      <c r="F530" s="969">
        <v>74553</v>
      </c>
      <c r="G530" s="969"/>
      <c r="H530" s="970">
        <v>4295</v>
      </c>
      <c r="I530" s="971">
        <v>18101</v>
      </c>
      <c r="J530" s="970">
        <v>10647</v>
      </c>
      <c r="K530" s="969">
        <v>72000</v>
      </c>
      <c r="L530" s="971">
        <f t="shared" si="16"/>
        <v>105043</v>
      </c>
      <c r="M530" s="969"/>
      <c r="N530" s="970">
        <v>2110</v>
      </c>
      <c r="O530" s="970">
        <v>0</v>
      </c>
      <c r="P530" s="969">
        <v>0</v>
      </c>
      <c r="Q530" s="971">
        <f t="shared" si="17"/>
        <v>2110</v>
      </c>
      <c r="R530" s="969"/>
      <c r="S530" s="970">
        <v>25124</v>
      </c>
      <c r="T530" s="972">
        <v>24457</v>
      </c>
      <c r="U530" s="972">
        <v>49581</v>
      </c>
    </row>
    <row r="531" spans="1:21" x14ac:dyDescent="0.25">
      <c r="A531" s="966">
        <v>95821</v>
      </c>
      <c r="B531" s="967" t="s">
        <v>3144</v>
      </c>
      <c r="C531" s="968">
        <v>0</v>
      </c>
      <c r="D531" s="968">
        <v>1.7E-6</v>
      </c>
      <c r="E531" s="985">
        <v>610</v>
      </c>
      <c r="F531" s="969">
        <v>0</v>
      </c>
      <c r="G531" s="969"/>
      <c r="H531" s="970">
        <v>0</v>
      </c>
      <c r="I531" s="971">
        <v>0</v>
      </c>
      <c r="J531" s="970">
        <v>0</v>
      </c>
      <c r="K531" s="969">
        <v>1293</v>
      </c>
      <c r="L531" s="971">
        <f t="shared" si="16"/>
        <v>1293</v>
      </c>
      <c r="M531" s="969"/>
      <c r="N531" s="970">
        <v>0</v>
      </c>
      <c r="O531" s="970">
        <v>0</v>
      </c>
      <c r="P531" s="969">
        <v>652</v>
      </c>
      <c r="Q531" s="971">
        <f t="shared" si="17"/>
        <v>652</v>
      </c>
      <c r="R531" s="969"/>
      <c r="S531" s="970">
        <v>0</v>
      </c>
      <c r="T531" s="972">
        <v>460</v>
      </c>
      <c r="U531" s="972">
        <v>460</v>
      </c>
    </row>
    <row r="532" spans="1:21" x14ac:dyDescent="0.25">
      <c r="A532" s="966">
        <v>95831</v>
      </c>
      <c r="B532" s="967" t="s">
        <v>3145</v>
      </c>
      <c r="C532" s="968">
        <v>1.6799999999999998E-5</v>
      </c>
      <c r="D532" s="968">
        <v>1.36E-5</v>
      </c>
      <c r="E532" s="985">
        <v>22034</v>
      </c>
      <c r="F532" s="969">
        <v>25666</v>
      </c>
      <c r="G532" s="969"/>
      <c r="H532" s="970">
        <v>1479</v>
      </c>
      <c r="I532" s="971">
        <v>6232</v>
      </c>
      <c r="J532" s="970">
        <v>3665</v>
      </c>
      <c r="K532" s="969">
        <v>23962</v>
      </c>
      <c r="L532" s="971">
        <f t="shared" si="16"/>
        <v>35338</v>
      </c>
      <c r="M532" s="969"/>
      <c r="N532" s="970">
        <v>727</v>
      </c>
      <c r="O532" s="970">
        <v>0</v>
      </c>
      <c r="P532" s="969">
        <v>0</v>
      </c>
      <c r="Q532" s="971">
        <f t="shared" si="17"/>
        <v>727</v>
      </c>
      <c r="R532" s="969"/>
      <c r="S532" s="970">
        <v>8649</v>
      </c>
      <c r="T532" s="972">
        <v>8068</v>
      </c>
      <c r="U532" s="972">
        <v>16717</v>
      </c>
    </row>
    <row r="533" spans="1:21" x14ac:dyDescent="0.25">
      <c r="A533" s="966">
        <v>95841</v>
      </c>
      <c r="B533" s="967" t="s">
        <v>3146</v>
      </c>
      <c r="C533" s="968">
        <v>2.0999999999999999E-5</v>
      </c>
      <c r="D533" s="968">
        <v>2.1100000000000001E-5</v>
      </c>
      <c r="E533" s="985">
        <v>10805</v>
      </c>
      <c r="F533" s="969">
        <v>32082</v>
      </c>
      <c r="G533" s="969"/>
      <c r="H533" s="970">
        <v>1848</v>
      </c>
      <c r="I533" s="971">
        <v>7790</v>
      </c>
      <c r="J533" s="970">
        <v>4582</v>
      </c>
      <c r="K533" s="969">
        <v>2103</v>
      </c>
      <c r="L533" s="971">
        <f t="shared" si="16"/>
        <v>16323</v>
      </c>
      <c r="M533" s="969"/>
      <c r="N533" s="970">
        <v>908</v>
      </c>
      <c r="O533" s="970">
        <v>0</v>
      </c>
      <c r="P533" s="969">
        <v>0</v>
      </c>
      <c r="Q533" s="971">
        <f t="shared" si="17"/>
        <v>908</v>
      </c>
      <c r="R533" s="969"/>
      <c r="S533" s="970">
        <v>10812</v>
      </c>
      <c r="T533" s="972">
        <v>817</v>
      </c>
      <c r="U533" s="972">
        <v>11629</v>
      </c>
    </row>
    <row r="534" spans="1:21" x14ac:dyDescent="0.25">
      <c r="A534" s="966">
        <v>95851</v>
      </c>
      <c r="B534" s="967" t="s">
        <v>3147</v>
      </c>
      <c r="C534" s="968">
        <v>1.327E-4</v>
      </c>
      <c r="D534" s="968">
        <v>1.3009999999999999E-4</v>
      </c>
      <c r="E534" s="985">
        <v>142459</v>
      </c>
      <c r="F534" s="969">
        <v>202729</v>
      </c>
      <c r="G534" s="969"/>
      <c r="H534" s="970">
        <v>11679</v>
      </c>
      <c r="I534" s="971">
        <v>49223</v>
      </c>
      <c r="J534" s="970">
        <v>28952</v>
      </c>
      <c r="K534" s="969">
        <v>130637</v>
      </c>
      <c r="L534" s="971">
        <f t="shared" si="16"/>
        <v>220491</v>
      </c>
      <c r="M534" s="969"/>
      <c r="N534" s="970">
        <v>5739</v>
      </c>
      <c r="O534" s="970">
        <v>0</v>
      </c>
      <c r="P534" s="969">
        <v>4180</v>
      </c>
      <c r="Q534" s="971">
        <f t="shared" si="17"/>
        <v>9919</v>
      </c>
      <c r="R534" s="969"/>
      <c r="S534" s="970">
        <v>68320</v>
      </c>
      <c r="T534" s="972">
        <v>39831</v>
      </c>
      <c r="U534" s="972">
        <v>108151</v>
      </c>
    </row>
    <row r="535" spans="1:21" x14ac:dyDescent="0.25">
      <c r="A535" s="966">
        <v>95853</v>
      </c>
      <c r="B535" s="967" t="s">
        <v>3148</v>
      </c>
      <c r="C535" s="968">
        <v>2.69E-5</v>
      </c>
      <c r="D535" s="968">
        <v>2.4000000000000001E-5</v>
      </c>
      <c r="E535" s="985">
        <v>14344</v>
      </c>
      <c r="F535" s="969">
        <v>41096</v>
      </c>
      <c r="G535" s="969"/>
      <c r="H535" s="970">
        <v>2367</v>
      </c>
      <c r="I535" s="971">
        <v>9978</v>
      </c>
      <c r="J535" s="970">
        <v>5869</v>
      </c>
      <c r="K535" s="969">
        <v>8793</v>
      </c>
      <c r="L535" s="971">
        <f t="shared" si="16"/>
        <v>27007</v>
      </c>
      <c r="M535" s="969"/>
      <c r="N535" s="970">
        <v>1163</v>
      </c>
      <c r="O535" s="970">
        <v>0</v>
      </c>
      <c r="P535" s="969">
        <v>0</v>
      </c>
      <c r="Q535" s="971">
        <f t="shared" si="17"/>
        <v>1163</v>
      </c>
      <c r="R535" s="969"/>
      <c r="S535" s="970">
        <v>13849</v>
      </c>
      <c r="T535" s="972">
        <v>3675</v>
      </c>
      <c r="U535" s="972">
        <f>17525-1</f>
        <v>17524</v>
      </c>
    </row>
    <row r="536" spans="1:21" x14ac:dyDescent="0.25">
      <c r="A536" s="966">
        <v>95901</v>
      </c>
      <c r="B536" s="967" t="s">
        <v>3149</v>
      </c>
      <c r="C536" s="968">
        <v>1.8714999999999999E-3</v>
      </c>
      <c r="D536" s="968">
        <v>1.8266999999999999E-3</v>
      </c>
      <c r="E536" s="985">
        <v>815702</v>
      </c>
      <c r="F536" s="969">
        <v>2859134</v>
      </c>
      <c r="G536" s="969"/>
      <c r="H536" s="970">
        <v>164713</v>
      </c>
      <c r="I536" s="971">
        <v>694201</v>
      </c>
      <c r="J536" s="970">
        <v>408324</v>
      </c>
      <c r="K536" s="969">
        <v>36652</v>
      </c>
      <c r="L536" s="971">
        <f t="shared" si="16"/>
        <v>1303890</v>
      </c>
      <c r="M536" s="969"/>
      <c r="N536" s="970">
        <v>80933</v>
      </c>
      <c r="O536" s="970">
        <v>0</v>
      </c>
      <c r="P536" s="969">
        <v>13191</v>
      </c>
      <c r="Q536" s="971">
        <f t="shared" si="17"/>
        <v>94124</v>
      </c>
      <c r="R536" s="969"/>
      <c r="S536" s="970">
        <v>963531</v>
      </c>
      <c r="T536" s="972">
        <v>28466</v>
      </c>
      <c r="U536" s="972">
        <v>991997</v>
      </c>
    </row>
    <row r="537" spans="1:21" x14ac:dyDescent="0.25">
      <c r="A537" s="966">
        <v>95908</v>
      </c>
      <c r="B537" s="967" t="s">
        <v>3150</v>
      </c>
      <c r="C537" s="968">
        <v>7.2200000000000007E-5</v>
      </c>
      <c r="D537" s="968">
        <v>7.2000000000000002E-5</v>
      </c>
      <c r="E537" s="985">
        <v>24598</v>
      </c>
      <c r="F537" s="969">
        <v>110302</v>
      </c>
      <c r="G537" s="969"/>
      <c r="H537" s="970">
        <v>6354</v>
      </c>
      <c r="I537" s="971">
        <v>26781</v>
      </c>
      <c r="J537" s="970">
        <v>15753</v>
      </c>
      <c r="K537" s="969">
        <v>0</v>
      </c>
      <c r="L537" s="971">
        <f t="shared" si="16"/>
        <v>48888</v>
      </c>
      <c r="M537" s="969"/>
      <c r="N537" s="970">
        <v>3122</v>
      </c>
      <c r="O537" s="970">
        <v>0</v>
      </c>
      <c r="P537" s="969">
        <v>22164</v>
      </c>
      <c r="Q537" s="971">
        <f t="shared" si="17"/>
        <v>25286</v>
      </c>
      <c r="R537" s="969"/>
      <c r="S537" s="970">
        <v>37172</v>
      </c>
      <c r="T537" s="972">
        <v>-10736</v>
      </c>
      <c r="U537" s="972">
        <v>26436</v>
      </c>
    </row>
    <row r="538" spans="1:21" x14ac:dyDescent="0.25">
      <c r="A538" s="966">
        <v>95911</v>
      </c>
      <c r="B538" s="967" t="s">
        <v>3151</v>
      </c>
      <c r="C538" s="968">
        <v>5.7450000000000003E-4</v>
      </c>
      <c r="D538" s="968">
        <v>5.6979999999999997E-4</v>
      </c>
      <c r="E538" s="985">
        <v>244845</v>
      </c>
      <c r="F538" s="969">
        <v>877677</v>
      </c>
      <c r="G538" s="969"/>
      <c r="H538" s="970">
        <v>50562</v>
      </c>
      <c r="I538" s="971">
        <v>213101</v>
      </c>
      <c r="J538" s="970">
        <v>125344</v>
      </c>
      <c r="K538" s="969">
        <v>2898</v>
      </c>
      <c r="L538" s="971">
        <f t="shared" si="16"/>
        <v>391905</v>
      </c>
      <c r="M538" s="969"/>
      <c r="N538" s="970">
        <v>24844</v>
      </c>
      <c r="O538" s="970">
        <v>0</v>
      </c>
      <c r="P538" s="969">
        <v>40952</v>
      </c>
      <c r="Q538" s="971">
        <f t="shared" si="17"/>
        <v>65796</v>
      </c>
      <c r="R538" s="969"/>
      <c r="S538" s="970">
        <v>295778</v>
      </c>
      <c r="T538" s="972">
        <v>-14076</v>
      </c>
      <c r="U538" s="972">
        <v>281702</v>
      </c>
    </row>
    <row r="539" spans="1:21" x14ac:dyDescent="0.25">
      <c r="A539" s="966">
        <v>95917</v>
      </c>
      <c r="B539" s="967" t="s">
        <v>3152</v>
      </c>
      <c r="C539" s="968">
        <v>2.6699999999999998E-5</v>
      </c>
      <c r="D539" s="968">
        <v>2.2399999999999999E-5</v>
      </c>
      <c r="E539" s="985">
        <v>11001</v>
      </c>
      <c r="F539" s="969">
        <v>40790</v>
      </c>
      <c r="G539" s="969"/>
      <c r="H539" s="970">
        <v>2350</v>
      </c>
      <c r="I539" s="971">
        <v>9904</v>
      </c>
      <c r="J539" s="970">
        <v>5825</v>
      </c>
      <c r="K539" s="969">
        <v>4378</v>
      </c>
      <c r="L539" s="971">
        <f t="shared" si="16"/>
        <v>22457</v>
      </c>
      <c r="M539" s="969"/>
      <c r="N539" s="970">
        <v>1155</v>
      </c>
      <c r="O539" s="970">
        <v>0</v>
      </c>
      <c r="P539" s="969">
        <v>501</v>
      </c>
      <c r="Q539" s="971">
        <f t="shared" si="17"/>
        <v>1656</v>
      </c>
      <c r="R539" s="969"/>
      <c r="S539" s="970">
        <v>13746</v>
      </c>
      <c r="T539" s="972">
        <v>2216</v>
      </c>
      <c r="U539" s="972">
        <v>15962</v>
      </c>
    </row>
    <row r="540" spans="1:21" x14ac:dyDescent="0.25">
      <c r="A540" s="966">
        <v>95921</v>
      </c>
      <c r="B540" s="967" t="s">
        <v>3153</v>
      </c>
      <c r="C540" s="968">
        <v>4.7500000000000003E-5</v>
      </c>
      <c r="D540" s="968">
        <v>4.4700000000000002E-5</v>
      </c>
      <c r="E540" s="985">
        <v>19772</v>
      </c>
      <c r="F540" s="969">
        <v>72567</v>
      </c>
      <c r="G540" s="969"/>
      <c r="H540" s="970">
        <v>4181</v>
      </c>
      <c r="I540" s="971">
        <v>17619</v>
      </c>
      <c r="J540" s="970">
        <v>10364</v>
      </c>
      <c r="K540" s="969">
        <v>3925</v>
      </c>
      <c r="L540" s="971">
        <f t="shared" si="16"/>
        <v>36089</v>
      </c>
      <c r="M540" s="969"/>
      <c r="N540" s="970">
        <v>2054</v>
      </c>
      <c r="O540" s="970">
        <v>0</v>
      </c>
      <c r="P540" s="969">
        <v>948</v>
      </c>
      <c r="Q540" s="971">
        <f t="shared" si="17"/>
        <v>3002</v>
      </c>
      <c r="R540" s="969"/>
      <c r="S540" s="970">
        <v>24455</v>
      </c>
      <c r="T540" s="972">
        <v>526</v>
      </c>
      <c r="U540" s="972">
        <v>24981</v>
      </c>
    </row>
    <row r="541" spans="1:21" x14ac:dyDescent="0.25">
      <c r="A541" s="966">
        <v>96001</v>
      </c>
      <c r="B541" s="967" t="s">
        <v>3154</v>
      </c>
      <c r="C541" s="968">
        <v>4.4386399999999999E-2</v>
      </c>
      <c r="D541" s="968">
        <v>4.43519E-2</v>
      </c>
      <c r="E541" s="985">
        <v>20012605</v>
      </c>
      <c r="F541" s="969">
        <v>67810124</v>
      </c>
      <c r="G541" s="969"/>
      <c r="H541" s="970">
        <v>3906491</v>
      </c>
      <c r="I541" s="971">
        <v>16464380</v>
      </c>
      <c r="J541" s="970">
        <v>9684225</v>
      </c>
      <c r="K541" s="969">
        <v>1457342</v>
      </c>
      <c r="L541" s="971">
        <f t="shared" si="16"/>
        <v>31512438</v>
      </c>
      <c r="M541" s="969"/>
      <c r="N541" s="970">
        <v>1919490</v>
      </c>
      <c r="O541" s="970">
        <v>0</v>
      </c>
      <c r="P541" s="969">
        <v>477903</v>
      </c>
      <c r="Q541" s="971">
        <f t="shared" si="17"/>
        <v>2397393</v>
      </c>
      <c r="R541" s="969"/>
      <c r="S541" s="970">
        <v>22852072</v>
      </c>
      <c r="T541" s="972">
        <v>1208760</v>
      </c>
      <c r="U541" s="972">
        <v>24060832</v>
      </c>
    </row>
    <row r="542" spans="1:21" x14ac:dyDescent="0.25">
      <c r="A542" s="966">
        <v>96003</v>
      </c>
      <c r="B542" s="967" t="s">
        <v>3155</v>
      </c>
      <c r="C542" s="968">
        <v>1.6523E-3</v>
      </c>
      <c r="D542" s="968">
        <v>1.7309000000000001E-3</v>
      </c>
      <c r="E542" s="985">
        <v>743373</v>
      </c>
      <c r="F542" s="969">
        <v>2524257</v>
      </c>
      <c r="G542" s="969"/>
      <c r="H542" s="970">
        <v>145421</v>
      </c>
      <c r="I542" s="971">
        <v>612893</v>
      </c>
      <c r="J542" s="970">
        <v>360499</v>
      </c>
      <c r="K542" s="969">
        <v>3089</v>
      </c>
      <c r="L542" s="971">
        <f t="shared" si="16"/>
        <v>1121902</v>
      </c>
      <c r="M542" s="969"/>
      <c r="N542" s="970">
        <v>71454</v>
      </c>
      <c r="O542" s="970">
        <v>0</v>
      </c>
      <c r="P542" s="969">
        <v>135978</v>
      </c>
      <c r="Q542" s="971">
        <f t="shared" si="17"/>
        <v>207432</v>
      </c>
      <c r="R542" s="969"/>
      <c r="S542" s="970">
        <v>850677</v>
      </c>
      <c r="T542" s="972">
        <v>-56030</v>
      </c>
      <c r="U542" s="972">
        <v>794647</v>
      </c>
    </row>
    <row r="543" spans="1:21" x14ac:dyDescent="0.25">
      <c r="A543" s="966">
        <v>96004</v>
      </c>
      <c r="B543" s="967" t="s">
        <v>3156</v>
      </c>
      <c r="C543" s="968">
        <v>8.9439999999999995E-4</v>
      </c>
      <c r="D543" s="968">
        <v>8.7699999999999996E-4</v>
      </c>
      <c r="E543" s="985">
        <v>462352</v>
      </c>
      <c r="F543" s="969">
        <v>1366395</v>
      </c>
      <c r="G543" s="969"/>
      <c r="H543" s="970">
        <v>78717</v>
      </c>
      <c r="I543" s="971">
        <v>331762</v>
      </c>
      <c r="J543" s="970">
        <v>195140</v>
      </c>
      <c r="K543" s="969">
        <v>149546</v>
      </c>
      <c r="L543" s="971">
        <f t="shared" si="16"/>
        <v>755165</v>
      </c>
      <c r="M543" s="969"/>
      <c r="N543" s="970">
        <v>38678</v>
      </c>
      <c r="O543" s="970">
        <v>0</v>
      </c>
      <c r="P543" s="969">
        <v>0</v>
      </c>
      <c r="Q543" s="971">
        <f t="shared" si="17"/>
        <v>38678</v>
      </c>
      <c r="R543" s="969"/>
      <c r="S543" s="970">
        <v>460476</v>
      </c>
      <c r="T543" s="972">
        <v>65505</v>
      </c>
      <c r="U543" s="972">
        <f>525982-1</f>
        <v>525981</v>
      </c>
    </row>
    <row r="544" spans="1:21" x14ac:dyDescent="0.25">
      <c r="A544" s="966">
        <v>96005</v>
      </c>
      <c r="B544" s="967" t="s">
        <v>3157</v>
      </c>
      <c r="C544" s="968">
        <v>2.6733999999999998E-3</v>
      </c>
      <c r="D544" s="968">
        <v>2.6457E-3</v>
      </c>
      <c r="E544" s="985">
        <v>1240290</v>
      </c>
      <c r="F544" s="969">
        <v>4084215</v>
      </c>
      <c r="G544" s="969"/>
      <c r="H544" s="970">
        <v>235289</v>
      </c>
      <c r="I544" s="971">
        <v>991653</v>
      </c>
      <c r="J544" s="970">
        <v>583282</v>
      </c>
      <c r="K544" s="969">
        <v>222285</v>
      </c>
      <c r="L544" s="971">
        <f t="shared" si="16"/>
        <v>2032509</v>
      </c>
      <c r="M544" s="969"/>
      <c r="N544" s="970">
        <v>115611</v>
      </c>
      <c r="O544" s="970">
        <v>0</v>
      </c>
      <c r="P544" s="969">
        <v>0</v>
      </c>
      <c r="Q544" s="971">
        <f t="shared" si="17"/>
        <v>115611</v>
      </c>
      <c r="R544" s="969"/>
      <c r="S544" s="970">
        <v>1376384</v>
      </c>
      <c r="T544" s="972">
        <v>159087</v>
      </c>
      <c r="U544" s="972">
        <v>1535471</v>
      </c>
    </row>
    <row r="545" spans="1:21" x14ac:dyDescent="0.25">
      <c r="A545" s="966">
        <v>96008</v>
      </c>
      <c r="B545" s="967" t="s">
        <v>3158</v>
      </c>
      <c r="C545" s="968">
        <v>5.9955E-3</v>
      </c>
      <c r="D545" s="968">
        <v>5.9388000000000002E-3</v>
      </c>
      <c r="E545" s="985">
        <v>2075076</v>
      </c>
      <c r="F545" s="969">
        <v>9159463</v>
      </c>
      <c r="G545" s="969"/>
      <c r="H545" s="970">
        <v>527670</v>
      </c>
      <c r="I545" s="971">
        <v>2223929</v>
      </c>
      <c r="J545" s="970">
        <v>1308098</v>
      </c>
      <c r="K545" s="969">
        <v>0</v>
      </c>
      <c r="L545" s="971">
        <f t="shared" si="16"/>
        <v>4059697</v>
      </c>
      <c r="M545" s="969"/>
      <c r="N545" s="970">
        <v>259275</v>
      </c>
      <c r="O545" s="970">
        <v>0</v>
      </c>
      <c r="P545" s="969">
        <v>767021</v>
      </c>
      <c r="Q545" s="971">
        <f t="shared" si="17"/>
        <v>1026296</v>
      </c>
      <c r="R545" s="969"/>
      <c r="S545" s="970">
        <v>3086747</v>
      </c>
      <c r="T545" s="972">
        <v>-274630</v>
      </c>
      <c r="U545" s="972">
        <v>2812117</v>
      </c>
    </row>
    <row r="546" spans="1:21" x14ac:dyDescent="0.25">
      <c r="A546" s="966">
        <v>96009</v>
      </c>
      <c r="B546" s="967" t="s">
        <v>3159</v>
      </c>
      <c r="C546" s="968">
        <v>3.7609999999999998E-4</v>
      </c>
      <c r="D546" s="968">
        <v>3.5980000000000002E-4</v>
      </c>
      <c r="E546" s="985">
        <v>192063</v>
      </c>
      <c r="F546" s="969">
        <v>574577</v>
      </c>
      <c r="G546" s="969"/>
      <c r="H546" s="970">
        <v>33101</v>
      </c>
      <c r="I546" s="971">
        <v>139508</v>
      </c>
      <c r="J546" s="970">
        <v>82057</v>
      </c>
      <c r="K546" s="969">
        <v>33181</v>
      </c>
      <c r="L546" s="971">
        <f t="shared" si="16"/>
        <v>287847</v>
      </c>
      <c r="M546" s="969"/>
      <c r="N546" s="970">
        <v>16264</v>
      </c>
      <c r="O546" s="970">
        <v>0</v>
      </c>
      <c r="P546" s="969">
        <v>2595</v>
      </c>
      <c r="Q546" s="971">
        <f t="shared" si="17"/>
        <v>18859</v>
      </c>
      <c r="R546" s="969"/>
      <c r="S546" s="970">
        <v>193633</v>
      </c>
      <c r="T546" s="972">
        <v>11508</v>
      </c>
      <c r="U546" s="972">
        <v>205141</v>
      </c>
    </row>
    <row r="547" spans="1:21" x14ac:dyDescent="0.25">
      <c r="A547" s="966">
        <v>96011</v>
      </c>
      <c r="B547" s="967" t="s">
        <v>3160</v>
      </c>
      <c r="C547" s="968">
        <v>6.1150400000000001E-2</v>
      </c>
      <c r="D547" s="968">
        <v>6.0489000000000001E-2</v>
      </c>
      <c r="E547" s="985">
        <v>28379211</v>
      </c>
      <c r="F547" s="969">
        <v>93420873</v>
      </c>
      <c r="G547" s="969"/>
      <c r="H547" s="970">
        <v>5381908</v>
      </c>
      <c r="I547" s="971">
        <v>22682701</v>
      </c>
      <c r="J547" s="970">
        <v>13341794</v>
      </c>
      <c r="K547" s="969">
        <v>796221</v>
      </c>
      <c r="L547" s="971">
        <f t="shared" si="16"/>
        <v>42202624</v>
      </c>
      <c r="M547" s="969"/>
      <c r="N547" s="970">
        <v>2644449</v>
      </c>
      <c r="O547" s="970">
        <v>0</v>
      </c>
      <c r="P547" s="969">
        <v>51460</v>
      </c>
      <c r="Q547" s="971">
        <f t="shared" si="17"/>
        <v>2695909</v>
      </c>
      <c r="R547" s="969"/>
      <c r="S547" s="970">
        <v>31482917</v>
      </c>
      <c r="T547" s="972">
        <v>212508</v>
      </c>
      <c r="U547" s="972">
        <v>31695425</v>
      </c>
    </row>
    <row r="548" spans="1:21" x14ac:dyDescent="0.25">
      <c r="A548" s="966">
        <v>96012</v>
      </c>
      <c r="B548" s="967" t="s">
        <v>3161</v>
      </c>
      <c r="C548" s="968">
        <v>2.4417000000000002E-3</v>
      </c>
      <c r="D548" s="968">
        <v>2.4095000000000002E-3</v>
      </c>
      <c r="E548" s="985">
        <v>1092788</v>
      </c>
      <c r="F548" s="969">
        <v>3730241</v>
      </c>
      <c r="G548" s="969"/>
      <c r="H548" s="970">
        <v>214896</v>
      </c>
      <c r="I548" s="971">
        <v>905707</v>
      </c>
      <c r="J548" s="970">
        <v>532730</v>
      </c>
      <c r="K548" s="969">
        <v>77080</v>
      </c>
      <c r="L548" s="971">
        <f t="shared" si="16"/>
        <v>1730413</v>
      </c>
      <c r="M548" s="969"/>
      <c r="N548" s="970">
        <v>105591</v>
      </c>
      <c r="O548" s="970">
        <v>0</v>
      </c>
      <c r="P548" s="969">
        <v>937</v>
      </c>
      <c r="Q548" s="971">
        <f t="shared" si="17"/>
        <v>106528</v>
      </c>
      <c r="R548" s="969"/>
      <c r="S548" s="970">
        <v>1257095</v>
      </c>
      <c r="T548" s="972">
        <v>35595</v>
      </c>
      <c r="U548" s="972">
        <v>1292690</v>
      </c>
    </row>
    <row r="549" spans="1:21" x14ac:dyDescent="0.25">
      <c r="A549" s="966">
        <v>96018</v>
      </c>
      <c r="B549" s="967" t="s">
        <v>3162</v>
      </c>
      <c r="C549" s="968">
        <v>4.3600000000000003E-5</v>
      </c>
      <c r="D549" s="968">
        <v>3.6199999999999999E-5</v>
      </c>
      <c r="E549" s="985">
        <v>18035</v>
      </c>
      <c r="F549" s="969">
        <v>66609</v>
      </c>
      <c r="G549" s="969"/>
      <c r="H549" s="970">
        <v>3837</v>
      </c>
      <c r="I549" s="971">
        <v>16173</v>
      </c>
      <c r="J549" s="970">
        <v>9513</v>
      </c>
      <c r="K549" s="969">
        <v>9704</v>
      </c>
      <c r="L549" s="971">
        <f t="shared" si="16"/>
        <v>39227</v>
      </c>
      <c r="M549" s="969"/>
      <c r="N549" s="970">
        <v>1885</v>
      </c>
      <c r="O549" s="970">
        <v>0</v>
      </c>
      <c r="P549" s="969">
        <v>0</v>
      </c>
      <c r="Q549" s="971">
        <f t="shared" si="17"/>
        <v>1885</v>
      </c>
      <c r="R549" s="969"/>
      <c r="S549" s="970">
        <v>22447</v>
      </c>
      <c r="T549" s="972">
        <v>5913</v>
      </c>
      <c r="U549" s="972">
        <v>28360</v>
      </c>
    </row>
    <row r="550" spans="1:21" x14ac:dyDescent="0.25">
      <c r="A550" s="966">
        <v>96021</v>
      </c>
      <c r="B550" s="967" t="s">
        <v>3163</v>
      </c>
      <c r="C550" s="968">
        <v>7.2090000000000001E-4</v>
      </c>
      <c r="D550" s="968">
        <v>8.5829999999999999E-4</v>
      </c>
      <c r="E550" s="985">
        <v>327690</v>
      </c>
      <c r="F550" s="969">
        <v>1101336</v>
      </c>
      <c r="G550" s="969"/>
      <c r="H550" s="970">
        <v>63447</v>
      </c>
      <c r="I550" s="971">
        <v>267406</v>
      </c>
      <c r="J550" s="970">
        <v>157286</v>
      </c>
      <c r="K550" s="969">
        <v>31959</v>
      </c>
      <c r="L550" s="971">
        <f t="shared" si="16"/>
        <v>520098</v>
      </c>
      <c r="M550" s="969"/>
      <c r="N550" s="970">
        <v>31175</v>
      </c>
      <c r="O550" s="970">
        <v>0</v>
      </c>
      <c r="P550" s="969">
        <v>119309</v>
      </c>
      <c r="Q550" s="971">
        <f t="shared" si="17"/>
        <v>150484</v>
      </c>
      <c r="R550" s="969"/>
      <c r="S550" s="970">
        <v>371151</v>
      </c>
      <c r="T550" s="972">
        <v>-13869</v>
      </c>
      <c r="U550" s="972">
        <v>357282</v>
      </c>
    </row>
    <row r="551" spans="1:21" x14ac:dyDescent="0.25">
      <c r="A551" s="966">
        <v>96031</v>
      </c>
      <c r="B551" s="967" t="s">
        <v>3164</v>
      </c>
      <c r="C551" s="968">
        <v>8.2580000000000001E-4</v>
      </c>
      <c r="D551" s="968">
        <v>9.0189999999999997E-4</v>
      </c>
      <c r="E551" s="985">
        <v>325476</v>
      </c>
      <c r="F551" s="969">
        <v>1261594</v>
      </c>
      <c r="G551" s="969"/>
      <c r="H551" s="970">
        <v>72679</v>
      </c>
      <c r="I551" s="971">
        <v>306317</v>
      </c>
      <c r="J551" s="970">
        <v>180173</v>
      </c>
      <c r="K551" s="969">
        <v>0</v>
      </c>
      <c r="L551" s="971">
        <f t="shared" si="16"/>
        <v>559169</v>
      </c>
      <c r="M551" s="969"/>
      <c r="N551" s="970">
        <v>35712</v>
      </c>
      <c r="O551" s="970">
        <v>0</v>
      </c>
      <c r="P551" s="969">
        <v>179263</v>
      </c>
      <c r="Q551" s="971">
        <f t="shared" si="17"/>
        <v>214975</v>
      </c>
      <c r="R551" s="969"/>
      <c r="S551" s="970">
        <v>425158</v>
      </c>
      <c r="T551" s="972">
        <v>-74461</v>
      </c>
      <c r="U551" s="972">
        <v>350697</v>
      </c>
    </row>
    <row r="552" spans="1:21" x14ac:dyDescent="0.25">
      <c r="A552" s="966">
        <v>96041</v>
      </c>
      <c r="B552" s="967" t="s">
        <v>3165</v>
      </c>
      <c r="C552" s="968">
        <v>1.7361E-3</v>
      </c>
      <c r="D552" s="968">
        <v>1.7323E-3</v>
      </c>
      <c r="E552" s="985">
        <v>721544</v>
      </c>
      <c r="F552" s="969">
        <v>2652280</v>
      </c>
      <c r="G552" s="969"/>
      <c r="H552" s="970">
        <v>152796</v>
      </c>
      <c r="I552" s="971">
        <v>643977</v>
      </c>
      <c r="J552" s="970">
        <v>378782</v>
      </c>
      <c r="K552" s="969">
        <v>0</v>
      </c>
      <c r="L552" s="971">
        <f t="shared" si="16"/>
        <v>1175555</v>
      </c>
      <c r="M552" s="969"/>
      <c r="N552" s="970">
        <v>75078</v>
      </c>
      <c r="O552" s="970">
        <v>0</v>
      </c>
      <c r="P552" s="969">
        <v>139404</v>
      </c>
      <c r="Q552" s="971">
        <f t="shared" si="17"/>
        <v>214482</v>
      </c>
      <c r="R552" s="969"/>
      <c r="S552" s="970">
        <v>893821</v>
      </c>
      <c r="T552" s="972">
        <v>-60075</v>
      </c>
      <c r="U552" s="972">
        <v>833746</v>
      </c>
    </row>
    <row r="553" spans="1:21" x14ac:dyDescent="0.25">
      <c r="A553" s="966">
        <v>96051</v>
      </c>
      <c r="B553" s="967" t="s">
        <v>3166</v>
      </c>
      <c r="C553" s="968">
        <v>1.0062000000000001E-3</v>
      </c>
      <c r="D553" s="968">
        <v>1.0258000000000001E-3</v>
      </c>
      <c r="E553" s="985">
        <v>418346</v>
      </c>
      <c r="F553" s="969">
        <v>1537195</v>
      </c>
      <c r="G553" s="969"/>
      <c r="H553" s="970">
        <v>88557</v>
      </c>
      <c r="I553" s="971">
        <v>373233</v>
      </c>
      <c r="J553" s="970">
        <v>219533</v>
      </c>
      <c r="K553" s="969">
        <v>0</v>
      </c>
      <c r="L553" s="971">
        <f t="shared" si="16"/>
        <v>681323</v>
      </c>
      <c r="M553" s="969"/>
      <c r="N553" s="970">
        <v>43513</v>
      </c>
      <c r="O553" s="970">
        <v>0</v>
      </c>
      <c r="P553" s="969">
        <v>109605</v>
      </c>
      <c r="Q553" s="971">
        <f t="shared" si="17"/>
        <v>153118</v>
      </c>
      <c r="R553" s="969"/>
      <c r="S553" s="970">
        <v>518036</v>
      </c>
      <c r="T553" s="972">
        <v>-44751</v>
      </c>
      <c r="U553" s="972">
        <v>473285</v>
      </c>
    </row>
    <row r="554" spans="1:21" x14ac:dyDescent="0.25">
      <c r="A554" s="966">
        <v>96061</v>
      </c>
      <c r="B554" s="967" t="s">
        <v>3167</v>
      </c>
      <c r="C554" s="968">
        <v>3.3950000000000001E-4</v>
      </c>
      <c r="D554" s="968">
        <v>3.0800000000000001E-4</v>
      </c>
      <c r="E554" s="985">
        <v>154988</v>
      </c>
      <c r="F554" s="969">
        <v>518662</v>
      </c>
      <c r="G554" s="969"/>
      <c r="H554" s="970">
        <v>29880</v>
      </c>
      <c r="I554" s="971">
        <v>125932</v>
      </c>
      <c r="J554" s="970">
        <v>74072</v>
      </c>
      <c r="K554" s="969">
        <v>21868</v>
      </c>
      <c r="L554" s="971">
        <f t="shared" si="16"/>
        <v>251752</v>
      </c>
      <c r="M554" s="969"/>
      <c r="N554" s="970">
        <v>14682</v>
      </c>
      <c r="O554" s="970">
        <v>0</v>
      </c>
      <c r="P554" s="969">
        <v>7447</v>
      </c>
      <c r="Q554" s="971">
        <f t="shared" si="17"/>
        <v>22129</v>
      </c>
      <c r="R554" s="969"/>
      <c r="S554" s="970">
        <v>174790</v>
      </c>
      <c r="T554" s="972">
        <v>2241</v>
      </c>
      <c r="U554" s="972">
        <v>177031</v>
      </c>
    </row>
    <row r="555" spans="1:21" x14ac:dyDescent="0.25">
      <c r="A555" s="966">
        <v>96071</v>
      </c>
      <c r="B555" s="967" t="s">
        <v>3168</v>
      </c>
      <c r="C555" s="968">
        <v>1.1367E-3</v>
      </c>
      <c r="D555" s="968">
        <v>1.1280999999999999E-3</v>
      </c>
      <c r="E555" s="985">
        <v>554009</v>
      </c>
      <c r="F555" s="969">
        <v>1736563</v>
      </c>
      <c r="G555" s="969"/>
      <c r="H555" s="970">
        <v>100042</v>
      </c>
      <c r="I555" s="971">
        <v>421639</v>
      </c>
      <c r="J555" s="970">
        <v>248005</v>
      </c>
      <c r="K555" s="969">
        <v>72999</v>
      </c>
      <c r="L555" s="971">
        <f t="shared" si="16"/>
        <v>842685</v>
      </c>
      <c r="M555" s="969"/>
      <c r="N555" s="970">
        <v>49157</v>
      </c>
      <c r="O555" s="970">
        <v>0</v>
      </c>
      <c r="P555" s="969">
        <v>71715</v>
      </c>
      <c r="Q555" s="971">
        <f t="shared" si="17"/>
        <v>120872</v>
      </c>
      <c r="R555" s="969"/>
      <c r="S555" s="970">
        <v>585223</v>
      </c>
      <c r="T555" s="972">
        <v>-1282</v>
      </c>
      <c r="U555" s="972">
        <v>583941</v>
      </c>
    </row>
    <row r="556" spans="1:21" x14ac:dyDescent="0.25">
      <c r="A556" s="966">
        <v>96081</v>
      </c>
      <c r="B556" s="967" t="s">
        <v>3169</v>
      </c>
      <c r="C556" s="968">
        <v>5.0900000000000001E-4</v>
      </c>
      <c r="D556" s="968">
        <v>4.7820000000000002E-4</v>
      </c>
      <c r="E556" s="985">
        <v>211520</v>
      </c>
      <c r="F556" s="969">
        <v>777611</v>
      </c>
      <c r="G556" s="969"/>
      <c r="H556" s="970">
        <v>44798</v>
      </c>
      <c r="I556" s="971">
        <v>188805</v>
      </c>
      <c r="J556" s="970">
        <v>111054</v>
      </c>
      <c r="K556" s="969">
        <v>10640</v>
      </c>
      <c r="L556" s="971">
        <f t="shared" si="16"/>
        <v>355297</v>
      </c>
      <c r="M556" s="969"/>
      <c r="N556" s="970">
        <v>22012</v>
      </c>
      <c r="O556" s="970">
        <v>0</v>
      </c>
      <c r="P556" s="969">
        <v>4115</v>
      </c>
      <c r="Q556" s="971">
        <f t="shared" si="17"/>
        <v>26127</v>
      </c>
      <c r="R556" s="969"/>
      <c r="S556" s="970">
        <v>262056</v>
      </c>
      <c r="T556" s="972">
        <v>5137</v>
      </c>
      <c r="U556" s="972">
        <v>267193</v>
      </c>
    </row>
    <row r="557" spans="1:21" x14ac:dyDescent="0.25">
      <c r="A557" s="966">
        <v>96101</v>
      </c>
      <c r="B557" s="967" t="s">
        <v>3170</v>
      </c>
      <c r="C557" s="968">
        <v>7.6749999999999995E-4</v>
      </c>
      <c r="D557" s="968">
        <v>7.5860000000000001E-4</v>
      </c>
      <c r="E557" s="985">
        <v>371541</v>
      </c>
      <c r="F557" s="969">
        <v>1172527</v>
      </c>
      <c r="G557" s="969"/>
      <c r="H557" s="970">
        <v>67548</v>
      </c>
      <c r="I557" s="971">
        <v>284691</v>
      </c>
      <c r="J557" s="970">
        <v>167453</v>
      </c>
      <c r="K557" s="969">
        <v>39221</v>
      </c>
      <c r="L557" s="971">
        <f t="shared" si="16"/>
        <v>558913</v>
      </c>
      <c r="M557" s="969"/>
      <c r="N557" s="970">
        <v>33191</v>
      </c>
      <c r="O557" s="970">
        <v>0</v>
      </c>
      <c r="P557" s="969">
        <v>3498</v>
      </c>
      <c r="Q557" s="971">
        <f t="shared" si="17"/>
        <v>36689</v>
      </c>
      <c r="R557" s="969"/>
      <c r="S557" s="970">
        <v>395143</v>
      </c>
      <c r="T557" s="972">
        <v>17230</v>
      </c>
      <c r="U557" s="972">
        <v>412373</v>
      </c>
    </row>
    <row r="558" spans="1:21" x14ac:dyDescent="0.25">
      <c r="A558" s="966">
        <v>96102</v>
      </c>
      <c r="B558" s="967" t="s">
        <v>3171</v>
      </c>
      <c r="C558" s="968">
        <v>1.36E-5</v>
      </c>
      <c r="D558" s="968">
        <v>1.42E-5</v>
      </c>
      <c r="E558" s="985">
        <v>5078</v>
      </c>
      <c r="F558" s="969">
        <v>20777</v>
      </c>
      <c r="G558" s="969"/>
      <c r="H558" s="970">
        <v>1197</v>
      </c>
      <c r="I558" s="971">
        <v>5045</v>
      </c>
      <c r="J558" s="970">
        <v>2967</v>
      </c>
      <c r="K558" s="969">
        <v>0</v>
      </c>
      <c r="L558" s="971">
        <f t="shared" si="16"/>
        <v>9209</v>
      </c>
      <c r="M558" s="969"/>
      <c r="N558" s="970">
        <v>588</v>
      </c>
      <c r="O558" s="970">
        <v>0</v>
      </c>
      <c r="P558" s="969">
        <v>3137</v>
      </c>
      <c r="Q558" s="971">
        <f t="shared" si="17"/>
        <v>3725</v>
      </c>
      <c r="R558" s="969"/>
      <c r="S558" s="970">
        <v>7002</v>
      </c>
      <c r="T558" s="972">
        <v>-1435</v>
      </c>
      <c r="U558" s="972">
        <v>5567</v>
      </c>
    </row>
    <row r="559" spans="1:21" x14ac:dyDescent="0.25">
      <c r="A559" s="966">
        <v>96111</v>
      </c>
      <c r="B559" s="967" t="s">
        <v>3172</v>
      </c>
      <c r="C559" s="968">
        <v>1.5349999999999999E-4</v>
      </c>
      <c r="D559" s="968">
        <v>1.6119999999999999E-4</v>
      </c>
      <c r="E559" s="985">
        <v>74819</v>
      </c>
      <c r="F559" s="969">
        <v>234505</v>
      </c>
      <c r="G559" s="969"/>
      <c r="H559" s="970">
        <v>13510</v>
      </c>
      <c r="I559" s="971">
        <v>56938</v>
      </c>
      <c r="J559" s="970">
        <v>33491</v>
      </c>
      <c r="K559" s="969">
        <v>9403</v>
      </c>
      <c r="L559" s="971">
        <f t="shared" si="16"/>
        <v>113342</v>
      </c>
      <c r="M559" s="969"/>
      <c r="N559" s="970">
        <v>6638</v>
      </c>
      <c r="O559" s="970">
        <v>0</v>
      </c>
      <c r="P559" s="969">
        <v>1683</v>
      </c>
      <c r="Q559" s="971">
        <f t="shared" si="17"/>
        <v>8321</v>
      </c>
      <c r="R559" s="969"/>
      <c r="S559" s="970">
        <v>79029</v>
      </c>
      <c r="T559" s="972">
        <v>6754</v>
      </c>
      <c r="U559" s="972">
        <v>85783</v>
      </c>
    </row>
    <row r="560" spans="1:21" x14ac:dyDescent="0.25">
      <c r="A560" s="966">
        <v>96121</v>
      </c>
      <c r="B560" s="967" t="s">
        <v>3173</v>
      </c>
      <c r="C560" s="968">
        <v>2.2500000000000001E-5</v>
      </c>
      <c r="D560" s="968">
        <v>2.2099999999999998E-5</v>
      </c>
      <c r="E560" s="985">
        <v>9052</v>
      </c>
      <c r="F560" s="969">
        <v>34374</v>
      </c>
      <c r="G560" s="969"/>
      <c r="H560" s="970">
        <v>1980</v>
      </c>
      <c r="I560" s="971">
        <v>8346</v>
      </c>
      <c r="J560" s="970">
        <v>4909</v>
      </c>
      <c r="K560" s="969">
        <v>397</v>
      </c>
      <c r="L560" s="971">
        <f t="shared" si="16"/>
        <v>15632</v>
      </c>
      <c r="M560" s="969"/>
      <c r="N560" s="970">
        <v>973</v>
      </c>
      <c r="O560" s="970">
        <v>0</v>
      </c>
      <c r="P560" s="969">
        <v>1764</v>
      </c>
      <c r="Q560" s="971">
        <f t="shared" si="17"/>
        <v>2737</v>
      </c>
      <c r="R560" s="969"/>
      <c r="S560" s="970">
        <v>11584</v>
      </c>
      <c r="T560" s="972">
        <v>-946</v>
      </c>
      <c r="U560" s="972">
        <v>10638</v>
      </c>
    </row>
    <row r="561" spans="1:21" x14ac:dyDescent="0.25">
      <c r="A561" s="966">
        <v>96201</v>
      </c>
      <c r="B561" s="967" t="s">
        <v>3174</v>
      </c>
      <c r="C561" s="968">
        <v>1.1788E-3</v>
      </c>
      <c r="D561" s="968">
        <v>1.2302999999999999E-3</v>
      </c>
      <c r="E561" s="985">
        <v>527645</v>
      </c>
      <c r="F561" s="969">
        <v>1800880</v>
      </c>
      <c r="G561" s="969"/>
      <c r="H561" s="970">
        <v>103747</v>
      </c>
      <c r="I561" s="971">
        <v>437256</v>
      </c>
      <c r="J561" s="970">
        <v>257191</v>
      </c>
      <c r="K561" s="969">
        <v>0</v>
      </c>
      <c r="L561" s="971">
        <f t="shared" si="16"/>
        <v>798194</v>
      </c>
      <c r="M561" s="969"/>
      <c r="N561" s="970">
        <v>50977</v>
      </c>
      <c r="O561" s="970">
        <v>0</v>
      </c>
      <c r="P561" s="969">
        <v>73119</v>
      </c>
      <c r="Q561" s="971">
        <f t="shared" si="17"/>
        <v>124096</v>
      </c>
      <c r="R561" s="969"/>
      <c r="S561" s="970">
        <v>606898</v>
      </c>
      <c r="T561" s="972">
        <v>-23257</v>
      </c>
      <c r="U561" s="972">
        <v>583641</v>
      </c>
    </row>
    <row r="562" spans="1:21" x14ac:dyDescent="0.25">
      <c r="A562" s="966">
        <v>96204</v>
      </c>
      <c r="B562" s="967" t="s">
        <v>3175</v>
      </c>
      <c r="C562" s="968">
        <v>1.5099999999999999E-5</v>
      </c>
      <c r="D562" s="968">
        <v>1.5400000000000002E-5</v>
      </c>
      <c r="E562" s="985">
        <v>8503</v>
      </c>
      <c r="F562" s="969">
        <v>23069</v>
      </c>
      <c r="G562" s="969"/>
      <c r="H562" s="970">
        <v>1329</v>
      </c>
      <c r="I562" s="971">
        <v>5602</v>
      </c>
      <c r="J562" s="970">
        <v>3295</v>
      </c>
      <c r="K562" s="969">
        <v>3517</v>
      </c>
      <c r="L562" s="971">
        <f t="shared" si="16"/>
        <v>13743</v>
      </c>
      <c r="M562" s="969"/>
      <c r="N562" s="970">
        <v>653</v>
      </c>
      <c r="O562" s="970">
        <v>0</v>
      </c>
      <c r="P562" s="969">
        <v>0</v>
      </c>
      <c r="Q562" s="971">
        <f t="shared" si="17"/>
        <v>653</v>
      </c>
      <c r="R562" s="969"/>
      <c r="S562" s="970">
        <v>7774</v>
      </c>
      <c r="T562" s="972">
        <v>1655</v>
      </c>
      <c r="U562" s="972">
        <f>9430-1</f>
        <v>9429</v>
      </c>
    </row>
    <row r="563" spans="1:21" x14ac:dyDescent="0.25">
      <c r="A563" s="966">
        <v>96211</v>
      </c>
      <c r="B563" s="967" t="s">
        <v>3176</v>
      </c>
      <c r="C563" s="968">
        <v>2.62E-5</v>
      </c>
      <c r="D563" s="968">
        <v>3.0700000000000001E-5</v>
      </c>
      <c r="E563" s="985">
        <v>16678</v>
      </c>
      <c r="F563" s="969">
        <v>40026</v>
      </c>
      <c r="G563" s="969"/>
      <c r="H563" s="970">
        <v>2306</v>
      </c>
      <c r="I563" s="971">
        <v>9718</v>
      </c>
      <c r="J563" s="970">
        <v>5716</v>
      </c>
      <c r="K563" s="969">
        <v>4494</v>
      </c>
      <c r="L563" s="971">
        <f t="shared" si="16"/>
        <v>22234</v>
      </c>
      <c r="M563" s="969"/>
      <c r="N563" s="970">
        <v>1133</v>
      </c>
      <c r="O563" s="970">
        <v>0</v>
      </c>
      <c r="P563" s="969">
        <v>4462</v>
      </c>
      <c r="Q563" s="971">
        <f t="shared" si="17"/>
        <v>5595</v>
      </c>
      <c r="R563" s="969"/>
      <c r="S563" s="970">
        <v>13489</v>
      </c>
      <c r="T563" s="972">
        <v>-2681</v>
      </c>
      <c r="U563" s="972">
        <v>10808</v>
      </c>
    </row>
    <row r="564" spans="1:21" x14ac:dyDescent="0.25">
      <c r="A564" s="966">
        <v>96221</v>
      </c>
      <c r="B564" s="967" t="s">
        <v>3177</v>
      </c>
      <c r="C564" s="968">
        <v>2.3350000000000001E-4</v>
      </c>
      <c r="D564" s="968">
        <v>2.287E-4</v>
      </c>
      <c r="E564" s="985">
        <v>98415</v>
      </c>
      <c r="F564" s="969">
        <v>356723</v>
      </c>
      <c r="G564" s="969"/>
      <c r="H564" s="970">
        <v>20551</v>
      </c>
      <c r="I564" s="971">
        <v>86613</v>
      </c>
      <c r="J564" s="970">
        <v>50945</v>
      </c>
      <c r="K564" s="969">
        <v>2439</v>
      </c>
      <c r="L564" s="971">
        <f t="shared" si="16"/>
        <v>160548</v>
      </c>
      <c r="M564" s="969"/>
      <c r="N564" s="970">
        <v>10098</v>
      </c>
      <c r="O564" s="970">
        <v>0</v>
      </c>
      <c r="P564" s="969">
        <v>15042</v>
      </c>
      <c r="Q564" s="971">
        <f t="shared" si="17"/>
        <v>25140</v>
      </c>
      <c r="R564" s="969"/>
      <c r="S564" s="970">
        <v>120216</v>
      </c>
      <c r="T564" s="972">
        <v>-3357</v>
      </c>
      <c r="U564" s="972">
        <f>116860-1</f>
        <v>116859</v>
      </c>
    </row>
    <row r="565" spans="1:21" x14ac:dyDescent="0.25">
      <c r="A565" s="966">
        <v>96231</v>
      </c>
      <c r="B565" s="967" t="s">
        <v>3178</v>
      </c>
      <c r="C565" s="968">
        <v>1.3339999999999999E-4</v>
      </c>
      <c r="D565" s="968">
        <v>1.145E-4</v>
      </c>
      <c r="E565" s="985">
        <v>48595</v>
      </c>
      <c r="F565" s="969">
        <v>203798</v>
      </c>
      <c r="G565" s="969"/>
      <c r="H565" s="970">
        <v>11741</v>
      </c>
      <c r="I565" s="971">
        <v>49482</v>
      </c>
      <c r="J565" s="970">
        <v>29105</v>
      </c>
      <c r="K565" s="969">
        <v>2554</v>
      </c>
      <c r="L565" s="971">
        <f t="shared" si="16"/>
        <v>92882</v>
      </c>
      <c r="M565" s="969"/>
      <c r="N565" s="970">
        <v>5769</v>
      </c>
      <c r="O565" s="970">
        <v>0</v>
      </c>
      <c r="P565" s="969">
        <v>14959</v>
      </c>
      <c r="Q565" s="971">
        <f t="shared" si="17"/>
        <v>20728</v>
      </c>
      <c r="R565" s="969"/>
      <c r="S565" s="970">
        <v>68680</v>
      </c>
      <c r="T565" s="972">
        <v>-7094</v>
      </c>
      <c r="U565" s="972">
        <v>61586</v>
      </c>
    </row>
    <row r="566" spans="1:21" x14ac:dyDescent="0.25">
      <c r="A566" s="966">
        <v>96241</v>
      </c>
      <c r="B566" s="967" t="s">
        <v>3179</v>
      </c>
      <c r="C566" s="968">
        <v>4.4700000000000002E-5</v>
      </c>
      <c r="D566" s="968">
        <v>4.6100000000000002E-5</v>
      </c>
      <c r="E566" s="985">
        <v>22791</v>
      </c>
      <c r="F566" s="969">
        <v>68289</v>
      </c>
      <c r="G566" s="969"/>
      <c r="H566" s="970">
        <v>3934</v>
      </c>
      <c r="I566" s="971">
        <v>16580</v>
      </c>
      <c r="J566" s="970">
        <v>9753</v>
      </c>
      <c r="K566" s="969">
        <v>5027</v>
      </c>
      <c r="L566" s="971">
        <f t="shared" si="16"/>
        <v>35294</v>
      </c>
      <c r="M566" s="969"/>
      <c r="N566" s="970">
        <v>1933</v>
      </c>
      <c r="O566" s="970">
        <v>0</v>
      </c>
      <c r="P566" s="969">
        <v>4371</v>
      </c>
      <c r="Q566" s="971">
        <f t="shared" si="17"/>
        <v>6304</v>
      </c>
      <c r="R566" s="969"/>
      <c r="S566" s="970">
        <v>23014</v>
      </c>
      <c r="T566" s="972">
        <v>2407</v>
      </c>
      <c r="U566" s="972">
        <f>25420+1</f>
        <v>25421</v>
      </c>
    </row>
    <row r="567" spans="1:21" x14ac:dyDescent="0.25">
      <c r="A567" s="966">
        <v>96251</v>
      </c>
      <c r="B567" s="967" t="s">
        <v>3180</v>
      </c>
      <c r="C567" s="968">
        <v>9.3999999999999994E-5</v>
      </c>
      <c r="D567" s="968">
        <v>7.7100000000000004E-5</v>
      </c>
      <c r="E567" s="985">
        <v>36737</v>
      </c>
      <c r="F567" s="969">
        <v>143606</v>
      </c>
      <c r="G567" s="969"/>
      <c r="H567" s="970">
        <v>8273</v>
      </c>
      <c r="I567" s="971">
        <v>34868</v>
      </c>
      <c r="J567" s="970">
        <v>20509</v>
      </c>
      <c r="K567" s="969">
        <v>6198</v>
      </c>
      <c r="L567" s="971">
        <f t="shared" si="16"/>
        <v>69848</v>
      </c>
      <c r="M567" s="969"/>
      <c r="N567" s="970">
        <v>4065</v>
      </c>
      <c r="O567" s="970">
        <v>0</v>
      </c>
      <c r="P567" s="969">
        <v>16886</v>
      </c>
      <c r="Q567" s="971">
        <f t="shared" si="17"/>
        <v>20951</v>
      </c>
      <c r="R567" s="969"/>
      <c r="S567" s="970">
        <v>48395</v>
      </c>
      <c r="T567" s="972">
        <v>-7102</v>
      </c>
      <c r="U567" s="972">
        <v>41293</v>
      </c>
    </row>
    <row r="568" spans="1:21" x14ac:dyDescent="0.25">
      <c r="A568" s="966">
        <v>96301</v>
      </c>
      <c r="B568" s="967" t="s">
        <v>3181</v>
      </c>
      <c r="C568" s="968">
        <v>4.3712999999999998E-3</v>
      </c>
      <c r="D568" s="968">
        <v>4.3785999999999999E-3</v>
      </c>
      <c r="E568" s="985">
        <v>1938350</v>
      </c>
      <c r="F568" s="969">
        <v>6678136</v>
      </c>
      <c r="G568" s="969"/>
      <c r="H568" s="970">
        <v>384722</v>
      </c>
      <c r="I568" s="971">
        <v>1621460</v>
      </c>
      <c r="J568" s="970">
        <v>953730</v>
      </c>
      <c r="K568" s="969">
        <v>60786</v>
      </c>
      <c r="L568" s="971">
        <f t="shared" si="16"/>
        <v>3020698</v>
      </c>
      <c r="M568" s="969"/>
      <c r="N568" s="970">
        <v>189037</v>
      </c>
      <c r="O568" s="970">
        <v>0</v>
      </c>
      <c r="P568" s="969">
        <v>160488</v>
      </c>
      <c r="Q568" s="971">
        <f t="shared" si="17"/>
        <v>349525</v>
      </c>
      <c r="R568" s="969"/>
      <c r="S568" s="970">
        <v>2250538</v>
      </c>
      <c r="T568" s="972">
        <v>-27776</v>
      </c>
      <c r="U568" s="972">
        <v>2222762</v>
      </c>
    </row>
    <row r="569" spans="1:21" x14ac:dyDescent="0.25">
      <c r="A569" s="966">
        <v>96302</v>
      </c>
      <c r="B569" s="967" t="s">
        <v>3182</v>
      </c>
      <c r="C569" s="968">
        <v>2.5199999999999999E-5</v>
      </c>
      <c r="D569" s="968">
        <v>1.9199999999999999E-5</v>
      </c>
      <c r="E569" s="985">
        <v>12121</v>
      </c>
      <c r="F569" s="969">
        <v>38499</v>
      </c>
      <c r="G569" s="969"/>
      <c r="H569" s="970">
        <v>2218</v>
      </c>
      <c r="I569" s="971">
        <v>9347</v>
      </c>
      <c r="J569" s="970">
        <v>5498</v>
      </c>
      <c r="K569" s="969">
        <v>7399</v>
      </c>
      <c r="L569" s="971">
        <f t="shared" si="16"/>
        <v>24462</v>
      </c>
      <c r="M569" s="969"/>
      <c r="N569" s="970">
        <v>1090</v>
      </c>
      <c r="O569" s="970">
        <v>0</v>
      </c>
      <c r="P569" s="969">
        <v>0</v>
      </c>
      <c r="Q569" s="971">
        <f t="shared" si="17"/>
        <v>1090</v>
      </c>
      <c r="R569" s="969"/>
      <c r="S569" s="970">
        <v>12974</v>
      </c>
      <c r="T569" s="972">
        <v>2631</v>
      </c>
      <c r="U569" s="972">
        <v>15605</v>
      </c>
    </row>
    <row r="570" spans="1:21" x14ac:dyDescent="0.25">
      <c r="A570" s="966">
        <v>96304</v>
      </c>
      <c r="B570" s="967" t="s">
        <v>3183</v>
      </c>
      <c r="C570" s="968">
        <v>4.5500000000000001E-5</v>
      </c>
      <c r="D570" s="968">
        <v>5.4599999999999999E-5</v>
      </c>
      <c r="E570" s="985">
        <v>27294</v>
      </c>
      <c r="F570" s="969">
        <v>69511</v>
      </c>
      <c r="G570" s="969"/>
      <c r="H570" s="970">
        <v>4005</v>
      </c>
      <c r="I570" s="971">
        <v>16877</v>
      </c>
      <c r="J570" s="970">
        <v>9927</v>
      </c>
      <c r="K570" s="969">
        <v>5469</v>
      </c>
      <c r="L570" s="971">
        <f t="shared" si="16"/>
        <v>36278</v>
      </c>
      <c r="M570" s="969"/>
      <c r="N570" s="970">
        <v>1968</v>
      </c>
      <c r="O570" s="970">
        <v>0</v>
      </c>
      <c r="P570" s="969">
        <v>1092</v>
      </c>
      <c r="Q570" s="971">
        <f t="shared" si="17"/>
        <v>3060</v>
      </c>
      <c r="R570" s="969"/>
      <c r="S570" s="970">
        <v>23425</v>
      </c>
      <c r="T570" s="972">
        <v>2085</v>
      </c>
      <c r="U570" s="972">
        <v>25510</v>
      </c>
    </row>
    <row r="571" spans="1:21" x14ac:dyDescent="0.25">
      <c r="A571" s="966">
        <v>96305</v>
      </c>
      <c r="B571" s="967" t="s">
        <v>3184</v>
      </c>
      <c r="C571" s="968">
        <v>4.5500000000000001E-5</v>
      </c>
      <c r="D571" s="968">
        <v>4.8199999999999999E-5</v>
      </c>
      <c r="E571" s="985">
        <v>30520</v>
      </c>
      <c r="F571" s="969">
        <v>69511</v>
      </c>
      <c r="G571" s="969"/>
      <c r="H571" s="970">
        <v>4005</v>
      </c>
      <c r="I571" s="971">
        <v>16877</v>
      </c>
      <c r="J571" s="970">
        <v>9927</v>
      </c>
      <c r="K571" s="969">
        <v>13328</v>
      </c>
      <c r="L571" s="971">
        <f t="shared" si="16"/>
        <v>44137</v>
      </c>
      <c r="M571" s="969"/>
      <c r="N571" s="970">
        <v>1968</v>
      </c>
      <c r="O571" s="970">
        <v>0</v>
      </c>
      <c r="P571" s="969">
        <v>0</v>
      </c>
      <c r="Q571" s="971">
        <f t="shared" si="17"/>
        <v>1968</v>
      </c>
      <c r="R571" s="969"/>
      <c r="S571" s="970">
        <v>23425</v>
      </c>
      <c r="T571" s="972">
        <v>4752</v>
      </c>
      <c r="U571" s="972">
        <v>28177</v>
      </c>
    </row>
    <row r="572" spans="1:21" x14ac:dyDescent="0.25">
      <c r="A572" s="966">
        <v>96310</v>
      </c>
      <c r="B572" s="967" t="s">
        <v>3185</v>
      </c>
      <c r="C572" s="968">
        <v>6.1099999999999994E-5</v>
      </c>
      <c r="D572" s="968">
        <v>4.88E-5</v>
      </c>
      <c r="E572" s="985">
        <v>26767</v>
      </c>
      <c r="F572" s="969">
        <v>93344</v>
      </c>
      <c r="G572" s="969"/>
      <c r="H572" s="970">
        <v>5377</v>
      </c>
      <c r="I572" s="971">
        <v>22664</v>
      </c>
      <c r="J572" s="970">
        <v>13331</v>
      </c>
      <c r="K572" s="969">
        <v>10507</v>
      </c>
      <c r="L572" s="971">
        <f t="shared" si="16"/>
        <v>51879</v>
      </c>
      <c r="M572" s="969"/>
      <c r="N572" s="970">
        <v>2642</v>
      </c>
      <c r="O572" s="970">
        <v>0</v>
      </c>
      <c r="P572" s="969">
        <v>3055</v>
      </c>
      <c r="Q572" s="971">
        <f t="shared" si="17"/>
        <v>5697</v>
      </c>
      <c r="R572" s="969"/>
      <c r="S572" s="970">
        <v>31457</v>
      </c>
      <c r="T572" s="972">
        <v>3506</v>
      </c>
      <c r="U572" s="972">
        <v>34963</v>
      </c>
    </row>
    <row r="573" spans="1:21" x14ac:dyDescent="0.25">
      <c r="A573" s="966">
        <v>96311</v>
      </c>
      <c r="B573" s="967" t="s">
        <v>3186</v>
      </c>
      <c r="C573" s="968">
        <v>1.3113000000000001E-3</v>
      </c>
      <c r="D573" s="968">
        <v>1.4082999999999999E-3</v>
      </c>
      <c r="E573" s="985">
        <v>595124</v>
      </c>
      <c r="F573" s="969">
        <v>2003303</v>
      </c>
      <c r="G573" s="969"/>
      <c r="H573" s="970">
        <v>115409</v>
      </c>
      <c r="I573" s="971">
        <v>486404</v>
      </c>
      <c r="J573" s="970">
        <v>286099</v>
      </c>
      <c r="K573" s="969">
        <v>11041</v>
      </c>
      <c r="L573" s="971">
        <f t="shared" si="16"/>
        <v>898953</v>
      </c>
      <c r="M573" s="969"/>
      <c r="N573" s="970">
        <v>56707</v>
      </c>
      <c r="O573" s="970">
        <v>0</v>
      </c>
      <c r="P573" s="969">
        <v>139297</v>
      </c>
      <c r="Q573" s="971">
        <f t="shared" si="17"/>
        <v>196004</v>
      </c>
      <c r="R573" s="969"/>
      <c r="S573" s="970">
        <v>675115</v>
      </c>
      <c r="T573" s="972">
        <v>-33999</v>
      </c>
      <c r="U573" s="972">
        <v>641116</v>
      </c>
    </row>
    <row r="574" spans="1:21" x14ac:dyDescent="0.25">
      <c r="A574" s="966">
        <v>96312</v>
      </c>
      <c r="B574" s="967" t="s">
        <v>3187</v>
      </c>
      <c r="C574" s="968">
        <v>1.5999999999999999E-5</v>
      </c>
      <c r="D574" s="968">
        <v>1.5999999999999999E-6</v>
      </c>
      <c r="E574" s="985">
        <v>4820</v>
      </c>
      <c r="F574" s="969">
        <v>24444</v>
      </c>
      <c r="G574" s="969"/>
      <c r="H574" s="970">
        <v>1408</v>
      </c>
      <c r="I574" s="971">
        <v>5935</v>
      </c>
      <c r="J574" s="970">
        <v>3491</v>
      </c>
      <c r="K574" s="969">
        <v>7668</v>
      </c>
      <c r="L574" s="971">
        <f t="shared" si="16"/>
        <v>18502</v>
      </c>
      <c r="M574" s="969"/>
      <c r="N574" s="970">
        <v>692</v>
      </c>
      <c r="O574" s="970">
        <v>0</v>
      </c>
      <c r="P574" s="969">
        <v>1864</v>
      </c>
      <c r="Q574" s="971">
        <f t="shared" si="17"/>
        <v>2556</v>
      </c>
      <c r="R574" s="969"/>
      <c r="S574" s="970">
        <v>8238</v>
      </c>
      <c r="T574" s="972">
        <v>374</v>
      </c>
      <c r="U574" s="972">
        <v>8612</v>
      </c>
    </row>
    <row r="575" spans="1:21" x14ac:dyDescent="0.25">
      <c r="A575" s="966">
        <v>96318</v>
      </c>
      <c r="B575" s="967" t="s">
        <v>3188</v>
      </c>
      <c r="C575" s="968">
        <v>2.1684999999999999E-3</v>
      </c>
      <c r="D575" s="968">
        <v>1.7782E-3</v>
      </c>
      <c r="E575" s="985">
        <v>1061238</v>
      </c>
      <c r="F575" s="969">
        <v>3312867</v>
      </c>
      <c r="G575" s="969"/>
      <c r="H575" s="970">
        <v>190852</v>
      </c>
      <c r="I575" s="971">
        <v>804368</v>
      </c>
      <c r="J575" s="970">
        <v>473123</v>
      </c>
      <c r="K575" s="969">
        <v>7711758</v>
      </c>
      <c r="L575" s="971">
        <f t="shared" si="16"/>
        <v>9180101</v>
      </c>
      <c r="M575" s="969"/>
      <c r="N575" s="970">
        <v>93777</v>
      </c>
      <c r="O575" s="970">
        <v>0</v>
      </c>
      <c r="P575" s="969">
        <v>0</v>
      </c>
      <c r="Q575" s="971">
        <f t="shared" si="17"/>
        <v>93777</v>
      </c>
      <c r="R575" s="969"/>
      <c r="S575" s="970">
        <v>1116439</v>
      </c>
      <c r="T575" s="972">
        <v>2665103</v>
      </c>
      <c r="U575" s="972">
        <v>3781542</v>
      </c>
    </row>
    <row r="576" spans="1:21" x14ac:dyDescent="0.25">
      <c r="A576" s="966">
        <v>96321</v>
      </c>
      <c r="B576" s="967" t="s">
        <v>3189</v>
      </c>
      <c r="C576" s="968">
        <v>3.6900000000000002E-5</v>
      </c>
      <c r="D576" s="968">
        <v>3.7400000000000001E-5</v>
      </c>
      <c r="E576" s="985">
        <v>18737</v>
      </c>
      <c r="F576" s="969">
        <v>56373</v>
      </c>
      <c r="G576" s="969"/>
      <c r="H576" s="970">
        <v>3248</v>
      </c>
      <c r="I576" s="971">
        <v>13687</v>
      </c>
      <c r="J576" s="970">
        <v>8051</v>
      </c>
      <c r="K576" s="969">
        <v>1642</v>
      </c>
      <c r="L576" s="971">
        <f t="shared" si="16"/>
        <v>26628</v>
      </c>
      <c r="M576" s="969"/>
      <c r="N576" s="970">
        <v>1596</v>
      </c>
      <c r="O576" s="970">
        <v>0</v>
      </c>
      <c r="P576" s="969">
        <v>2449</v>
      </c>
      <c r="Q576" s="971">
        <f t="shared" si="17"/>
        <v>4045</v>
      </c>
      <c r="R576" s="969"/>
      <c r="S576" s="970">
        <v>18998</v>
      </c>
      <c r="T576" s="972">
        <v>-489</v>
      </c>
      <c r="U576" s="972">
        <v>18509</v>
      </c>
    </row>
    <row r="577" spans="1:21" x14ac:dyDescent="0.25">
      <c r="A577" s="966">
        <v>96331</v>
      </c>
      <c r="B577" s="967" t="s">
        <v>3190</v>
      </c>
      <c r="C577" s="968">
        <v>7.0850000000000004E-4</v>
      </c>
      <c r="D577" s="968">
        <v>7.1699999999999997E-4</v>
      </c>
      <c r="E577" s="985">
        <v>321182</v>
      </c>
      <c r="F577" s="969">
        <v>1082392</v>
      </c>
      <c r="G577" s="969"/>
      <c r="H577" s="970">
        <v>62356</v>
      </c>
      <c r="I577" s="971">
        <v>262806</v>
      </c>
      <c r="J577" s="970">
        <v>154581</v>
      </c>
      <c r="K577" s="969">
        <v>3107</v>
      </c>
      <c r="L577" s="971">
        <f t="shared" si="16"/>
        <v>482850</v>
      </c>
      <c r="M577" s="969"/>
      <c r="N577" s="970">
        <v>30639</v>
      </c>
      <c r="O577" s="970">
        <v>0</v>
      </c>
      <c r="P577" s="969">
        <v>53524</v>
      </c>
      <c r="Q577" s="971">
        <f t="shared" si="17"/>
        <v>84163</v>
      </c>
      <c r="R577" s="969"/>
      <c r="S577" s="970">
        <v>364767</v>
      </c>
      <c r="T577" s="972">
        <v>-22322</v>
      </c>
      <c r="U577" s="972">
        <v>342445</v>
      </c>
    </row>
    <row r="578" spans="1:21" x14ac:dyDescent="0.25">
      <c r="A578" s="966">
        <v>96341</v>
      </c>
      <c r="B578" s="967" t="s">
        <v>3191</v>
      </c>
      <c r="C578" s="968">
        <v>8.3800000000000004E-5</v>
      </c>
      <c r="D578" s="968">
        <v>9.1600000000000004E-5</v>
      </c>
      <c r="E578" s="985">
        <v>35036</v>
      </c>
      <c r="F578" s="969">
        <v>128023</v>
      </c>
      <c r="G578" s="969"/>
      <c r="H578" s="970">
        <v>7375</v>
      </c>
      <c r="I578" s="971">
        <v>31084</v>
      </c>
      <c r="J578" s="970">
        <v>18283</v>
      </c>
      <c r="K578" s="969">
        <v>8694</v>
      </c>
      <c r="L578" s="971">
        <f t="shared" si="16"/>
        <v>65436</v>
      </c>
      <c r="M578" s="969"/>
      <c r="N578" s="970">
        <v>3624</v>
      </c>
      <c r="O578" s="970">
        <v>0</v>
      </c>
      <c r="P578" s="969">
        <v>13544</v>
      </c>
      <c r="Q578" s="971">
        <f t="shared" si="17"/>
        <v>17168</v>
      </c>
      <c r="R578" s="969"/>
      <c r="S578" s="970">
        <v>43144</v>
      </c>
      <c r="T578" s="972">
        <v>-3090</v>
      </c>
      <c r="U578" s="972">
        <v>40054</v>
      </c>
    </row>
    <row r="579" spans="1:21" x14ac:dyDescent="0.25">
      <c r="A579" s="966">
        <v>96351</v>
      </c>
      <c r="B579" s="967" t="s">
        <v>3192</v>
      </c>
      <c r="C579" s="968">
        <v>1.0616E-3</v>
      </c>
      <c r="D579" s="968">
        <v>1.0736000000000001E-3</v>
      </c>
      <c r="E579" s="985">
        <v>488441</v>
      </c>
      <c r="F579" s="969">
        <v>1621831</v>
      </c>
      <c r="G579" s="969"/>
      <c r="H579" s="970">
        <v>93432</v>
      </c>
      <c r="I579" s="971">
        <v>393782</v>
      </c>
      <c r="J579" s="970">
        <v>231620</v>
      </c>
      <c r="K579" s="969">
        <v>5421</v>
      </c>
      <c r="L579" s="971">
        <f t="shared" si="16"/>
        <v>724255</v>
      </c>
      <c r="M579" s="969"/>
      <c r="N579" s="970">
        <v>45909</v>
      </c>
      <c r="O579" s="970">
        <v>0</v>
      </c>
      <c r="P579" s="969">
        <v>28542</v>
      </c>
      <c r="Q579" s="971">
        <f t="shared" si="17"/>
        <v>74451</v>
      </c>
      <c r="R579" s="969"/>
      <c r="S579" s="970">
        <v>546558</v>
      </c>
      <c r="T579" s="972">
        <v>-5218</v>
      </c>
      <c r="U579" s="972">
        <v>541340</v>
      </c>
    </row>
    <row r="580" spans="1:21" x14ac:dyDescent="0.25">
      <c r="A580" s="966">
        <v>96361</v>
      </c>
      <c r="B580" s="967" t="s">
        <v>3193</v>
      </c>
      <c r="C580" s="968">
        <v>5.5699999999999999E-5</v>
      </c>
      <c r="D580" s="968">
        <v>5.8900000000000002E-5</v>
      </c>
      <c r="E580" s="985">
        <v>24289</v>
      </c>
      <c r="F580" s="969">
        <v>85094</v>
      </c>
      <c r="G580" s="969"/>
      <c r="H580" s="970">
        <v>4902</v>
      </c>
      <c r="I580" s="971">
        <v>20661</v>
      </c>
      <c r="J580" s="970">
        <v>12153</v>
      </c>
      <c r="K580" s="969">
        <v>3403</v>
      </c>
      <c r="L580" s="971">
        <f t="shared" si="16"/>
        <v>41119</v>
      </c>
      <c r="M580" s="969"/>
      <c r="N580" s="970">
        <v>2409</v>
      </c>
      <c r="O580" s="970">
        <v>0</v>
      </c>
      <c r="P580" s="969">
        <v>3423</v>
      </c>
      <c r="Q580" s="971">
        <f t="shared" si="17"/>
        <v>5832</v>
      </c>
      <c r="R580" s="969"/>
      <c r="S580" s="970">
        <v>28677</v>
      </c>
      <c r="T580" s="972">
        <v>936</v>
      </c>
      <c r="U580" s="972">
        <f>29612+1</f>
        <v>29613</v>
      </c>
    </row>
    <row r="581" spans="1:21" x14ac:dyDescent="0.25">
      <c r="A581" s="966">
        <v>96371</v>
      </c>
      <c r="B581" s="967" t="s">
        <v>3194</v>
      </c>
      <c r="C581" s="968">
        <v>1.5249999999999999E-4</v>
      </c>
      <c r="D581" s="968">
        <v>1.6359999999999999E-4</v>
      </c>
      <c r="E581" s="985">
        <v>67276</v>
      </c>
      <c r="F581" s="969">
        <v>232978</v>
      </c>
      <c r="G581" s="969"/>
      <c r="H581" s="970">
        <v>13422</v>
      </c>
      <c r="I581" s="971">
        <v>56568</v>
      </c>
      <c r="J581" s="970">
        <v>33272</v>
      </c>
      <c r="K581" s="969">
        <v>1335</v>
      </c>
      <c r="L581" s="971">
        <f t="shared" si="16"/>
        <v>104597</v>
      </c>
      <c r="M581" s="969"/>
      <c r="N581" s="970">
        <v>6595</v>
      </c>
      <c r="O581" s="970">
        <v>0</v>
      </c>
      <c r="P581" s="969">
        <v>14966</v>
      </c>
      <c r="Q581" s="971">
        <f t="shared" si="17"/>
        <v>21561</v>
      </c>
      <c r="R581" s="969"/>
      <c r="S581" s="970">
        <v>78514</v>
      </c>
      <c r="T581" s="972">
        <v>-3158</v>
      </c>
      <c r="U581" s="972">
        <v>75356</v>
      </c>
    </row>
    <row r="582" spans="1:21" x14ac:dyDescent="0.25">
      <c r="A582" s="966">
        <v>96381</v>
      </c>
      <c r="B582" s="967" t="s">
        <v>3195</v>
      </c>
      <c r="C582" s="968">
        <v>3.2100000000000001E-5</v>
      </c>
      <c r="D582" s="968">
        <v>3.26E-5</v>
      </c>
      <c r="E582" s="985">
        <v>15357</v>
      </c>
      <c r="F582" s="969">
        <v>49040</v>
      </c>
      <c r="G582" s="969"/>
      <c r="H582" s="970">
        <v>2825</v>
      </c>
      <c r="I582" s="971">
        <v>11907</v>
      </c>
      <c r="J582" s="970">
        <v>7004</v>
      </c>
      <c r="K582" s="969">
        <v>235</v>
      </c>
      <c r="L582" s="971">
        <f t="shared" si="16"/>
        <v>21971</v>
      </c>
      <c r="M582" s="969"/>
      <c r="N582" s="970">
        <v>1388</v>
      </c>
      <c r="O582" s="970">
        <v>0</v>
      </c>
      <c r="P582" s="969">
        <v>1858</v>
      </c>
      <c r="Q582" s="971">
        <f t="shared" si="17"/>
        <v>3246</v>
      </c>
      <c r="R582" s="969"/>
      <c r="S582" s="970">
        <v>16526</v>
      </c>
      <c r="T582" s="972">
        <v>-1164</v>
      </c>
      <c r="U582" s="972">
        <v>15362</v>
      </c>
    </row>
    <row r="583" spans="1:21" x14ac:dyDescent="0.25">
      <c r="A583" s="966">
        <v>96391</v>
      </c>
      <c r="B583" s="967" t="s">
        <v>3196</v>
      </c>
      <c r="C583" s="968">
        <v>2.029E-4</v>
      </c>
      <c r="D583" s="968">
        <v>1.807E-4</v>
      </c>
      <c r="E583" s="985">
        <v>74519</v>
      </c>
      <c r="F583" s="969">
        <v>309975</v>
      </c>
      <c r="G583" s="969"/>
      <c r="H583" s="970">
        <v>17857</v>
      </c>
      <c r="I583" s="971">
        <v>75263</v>
      </c>
      <c r="J583" s="970">
        <v>44269</v>
      </c>
      <c r="K583" s="969">
        <v>9831</v>
      </c>
      <c r="L583" s="971">
        <f t="shared" ref="L583:L646" si="18">H583+I583+J583+K583</f>
        <v>147220</v>
      </c>
      <c r="M583" s="969"/>
      <c r="N583" s="970">
        <v>8774</v>
      </c>
      <c r="O583" s="970">
        <v>0</v>
      </c>
      <c r="P583" s="969">
        <v>18208</v>
      </c>
      <c r="Q583" s="971">
        <f t="shared" ref="Q583:Q646" si="19">N583+O583+P583</f>
        <v>26982</v>
      </c>
      <c r="R583" s="969"/>
      <c r="S583" s="970">
        <v>104462</v>
      </c>
      <c r="T583" s="972">
        <v>2008</v>
      </c>
      <c r="U583" s="972">
        <v>106470</v>
      </c>
    </row>
    <row r="584" spans="1:21" x14ac:dyDescent="0.25">
      <c r="A584" s="966">
        <v>96401</v>
      </c>
      <c r="B584" s="967" t="s">
        <v>3197</v>
      </c>
      <c r="C584" s="968">
        <v>4.5672000000000004E-3</v>
      </c>
      <c r="D584" s="968">
        <v>4.5900000000000003E-3</v>
      </c>
      <c r="E584" s="985">
        <v>2040109</v>
      </c>
      <c r="F584" s="969">
        <v>6977416</v>
      </c>
      <c r="G584" s="969"/>
      <c r="H584" s="970">
        <v>401964</v>
      </c>
      <c r="I584" s="971">
        <v>1694125</v>
      </c>
      <c r="J584" s="970">
        <v>996472</v>
      </c>
      <c r="K584" s="969">
        <v>15869</v>
      </c>
      <c r="L584" s="971">
        <f t="shared" si="18"/>
        <v>3108430</v>
      </c>
      <c r="M584" s="969"/>
      <c r="N584" s="970">
        <v>197509</v>
      </c>
      <c r="O584" s="970">
        <v>0</v>
      </c>
      <c r="P584" s="969">
        <v>86285</v>
      </c>
      <c r="Q584" s="971">
        <f t="shared" si="19"/>
        <v>283794</v>
      </c>
      <c r="R584" s="969"/>
      <c r="S584" s="970">
        <v>2351396</v>
      </c>
      <c r="T584" s="972">
        <v>-10848</v>
      </c>
      <c r="U584" s="972">
        <v>2340548</v>
      </c>
    </row>
    <row r="585" spans="1:21" x14ac:dyDescent="0.25">
      <c r="A585" s="966">
        <v>96404</v>
      </c>
      <c r="B585" s="967" t="s">
        <v>3198</v>
      </c>
      <c r="C585" s="968">
        <v>1.026E-4</v>
      </c>
      <c r="D585" s="968">
        <v>9.8800000000000003E-5</v>
      </c>
      <c r="E585" s="985">
        <v>57855</v>
      </c>
      <c r="F585" s="969">
        <v>156744</v>
      </c>
      <c r="G585" s="969"/>
      <c r="H585" s="970">
        <v>9030</v>
      </c>
      <c r="I585" s="971">
        <v>38058</v>
      </c>
      <c r="J585" s="970">
        <v>22385</v>
      </c>
      <c r="K585" s="969">
        <v>26983</v>
      </c>
      <c r="L585" s="971">
        <f t="shared" si="18"/>
        <v>96456</v>
      </c>
      <c r="M585" s="969"/>
      <c r="N585" s="970">
        <v>4437</v>
      </c>
      <c r="O585" s="970">
        <v>0</v>
      </c>
      <c r="P585" s="969">
        <v>0</v>
      </c>
      <c r="Q585" s="971">
        <f t="shared" si="19"/>
        <v>4437</v>
      </c>
      <c r="R585" s="969"/>
      <c r="S585" s="970">
        <v>52823</v>
      </c>
      <c r="T585" s="972">
        <v>10540</v>
      </c>
      <c r="U585" s="972">
        <v>63363</v>
      </c>
    </row>
    <row r="586" spans="1:21" x14ac:dyDescent="0.25">
      <c r="A586" s="966">
        <v>96405</v>
      </c>
      <c r="B586" s="967" t="s">
        <v>3199</v>
      </c>
      <c r="C586" s="968">
        <v>1.6139999999999999E-4</v>
      </c>
      <c r="D586" s="968">
        <v>1.7760000000000001E-4</v>
      </c>
      <c r="E586" s="985">
        <v>86618</v>
      </c>
      <c r="F586" s="969">
        <v>246574</v>
      </c>
      <c r="G586" s="969"/>
      <c r="H586" s="970">
        <v>14205</v>
      </c>
      <c r="I586" s="971">
        <v>59869</v>
      </c>
      <c r="J586" s="970">
        <v>35214</v>
      </c>
      <c r="K586" s="969">
        <v>10221</v>
      </c>
      <c r="L586" s="971">
        <f t="shared" si="18"/>
        <v>119509</v>
      </c>
      <c r="M586" s="969"/>
      <c r="N586" s="970">
        <v>6980</v>
      </c>
      <c r="O586" s="970">
        <v>0</v>
      </c>
      <c r="P586" s="969">
        <v>2204</v>
      </c>
      <c r="Q586" s="971">
        <f t="shared" si="19"/>
        <v>9184</v>
      </c>
      <c r="R586" s="969"/>
      <c r="S586" s="970">
        <v>83096</v>
      </c>
      <c r="T586" s="972">
        <v>4354</v>
      </c>
      <c r="U586" s="972">
        <v>87450</v>
      </c>
    </row>
    <row r="587" spans="1:21" x14ac:dyDescent="0.25">
      <c r="A587" s="966">
        <v>96411</v>
      </c>
      <c r="B587" s="967" t="s">
        <v>3200</v>
      </c>
      <c r="C587" s="968">
        <v>7.2299999999999996E-5</v>
      </c>
      <c r="D587" s="968">
        <v>5.66E-5</v>
      </c>
      <c r="E587" s="985">
        <v>28784</v>
      </c>
      <c r="F587" s="969">
        <v>110454</v>
      </c>
      <c r="G587" s="969"/>
      <c r="H587" s="970">
        <v>6363</v>
      </c>
      <c r="I587" s="971">
        <v>26818</v>
      </c>
      <c r="J587" s="970">
        <v>15774</v>
      </c>
      <c r="K587" s="969">
        <v>12280</v>
      </c>
      <c r="L587" s="971">
        <f t="shared" si="18"/>
        <v>61235</v>
      </c>
      <c r="M587" s="969"/>
      <c r="N587" s="970">
        <v>3127</v>
      </c>
      <c r="O587" s="970">
        <v>0</v>
      </c>
      <c r="P587" s="969">
        <v>4004</v>
      </c>
      <c r="Q587" s="971">
        <f t="shared" si="19"/>
        <v>7131</v>
      </c>
      <c r="R587" s="969"/>
      <c r="S587" s="970">
        <v>37223</v>
      </c>
      <c r="T587" s="972">
        <v>2528</v>
      </c>
      <c r="U587" s="972">
        <v>39751</v>
      </c>
    </row>
    <row r="588" spans="1:21" x14ac:dyDescent="0.25">
      <c r="A588" s="966">
        <v>96421</v>
      </c>
      <c r="B588" s="967" t="s">
        <v>3201</v>
      </c>
      <c r="C588" s="968">
        <v>4.2529999999999998E-4</v>
      </c>
      <c r="D588" s="968">
        <v>4.2860000000000001E-4</v>
      </c>
      <c r="E588" s="985">
        <v>170404</v>
      </c>
      <c r="F588" s="969">
        <v>649741</v>
      </c>
      <c r="G588" s="969"/>
      <c r="H588" s="970">
        <v>37431</v>
      </c>
      <c r="I588" s="971">
        <v>157758</v>
      </c>
      <c r="J588" s="970">
        <v>92792</v>
      </c>
      <c r="K588" s="969">
        <v>0</v>
      </c>
      <c r="L588" s="971">
        <f t="shared" si="18"/>
        <v>287981</v>
      </c>
      <c r="M588" s="969"/>
      <c r="N588" s="970">
        <v>18392</v>
      </c>
      <c r="O588" s="970">
        <v>0</v>
      </c>
      <c r="P588" s="969">
        <v>78762</v>
      </c>
      <c r="Q588" s="971">
        <f t="shared" si="19"/>
        <v>97154</v>
      </c>
      <c r="R588" s="969"/>
      <c r="S588" s="970">
        <v>218963</v>
      </c>
      <c r="T588" s="972">
        <v>-35149</v>
      </c>
      <c r="U588" s="972">
        <v>183814</v>
      </c>
    </row>
    <row r="589" spans="1:21" x14ac:dyDescent="0.25">
      <c r="A589" s="966">
        <v>96431</v>
      </c>
      <c r="B589" s="967" t="s">
        <v>3202</v>
      </c>
      <c r="C589" s="968">
        <v>4.2799999999999997E-5</v>
      </c>
      <c r="D589" s="968">
        <v>5.6100000000000002E-5</v>
      </c>
      <c r="E589" s="985">
        <v>21290</v>
      </c>
      <c r="F589" s="969">
        <v>65387</v>
      </c>
      <c r="G589" s="969"/>
      <c r="H589" s="970">
        <v>3767</v>
      </c>
      <c r="I589" s="971">
        <v>15876</v>
      </c>
      <c r="J589" s="970">
        <v>9338</v>
      </c>
      <c r="K589" s="969">
        <v>6277</v>
      </c>
      <c r="L589" s="971">
        <f t="shared" si="18"/>
        <v>35258</v>
      </c>
      <c r="M589" s="969"/>
      <c r="N589" s="970">
        <v>1851</v>
      </c>
      <c r="O589" s="970">
        <v>0</v>
      </c>
      <c r="P589" s="969">
        <v>10135</v>
      </c>
      <c r="Q589" s="971">
        <f t="shared" si="19"/>
        <v>11986</v>
      </c>
      <c r="R589" s="969"/>
      <c r="S589" s="970">
        <v>22035</v>
      </c>
      <c r="T589" s="972">
        <v>-1596</v>
      </c>
      <c r="U589" s="972">
        <v>20439</v>
      </c>
    </row>
    <row r="590" spans="1:21" x14ac:dyDescent="0.25">
      <c r="A590" s="966">
        <v>96441</v>
      </c>
      <c r="B590" s="967" t="s">
        <v>3203</v>
      </c>
      <c r="C590" s="968">
        <v>2.97E-5</v>
      </c>
      <c r="D590" s="968">
        <v>3.1199999999999999E-5</v>
      </c>
      <c r="E590" s="985">
        <v>18707</v>
      </c>
      <c r="F590" s="969">
        <v>45373</v>
      </c>
      <c r="G590" s="969"/>
      <c r="H590" s="970">
        <v>2614</v>
      </c>
      <c r="I590" s="971">
        <v>11017</v>
      </c>
      <c r="J590" s="970">
        <v>6480</v>
      </c>
      <c r="K590" s="969">
        <v>7489</v>
      </c>
      <c r="L590" s="971">
        <f t="shared" si="18"/>
        <v>27600</v>
      </c>
      <c r="M590" s="969"/>
      <c r="N590" s="970">
        <v>1284</v>
      </c>
      <c r="O590" s="970">
        <v>0</v>
      </c>
      <c r="P590" s="969">
        <v>440</v>
      </c>
      <c r="Q590" s="971">
        <f t="shared" si="19"/>
        <v>1724</v>
      </c>
      <c r="R590" s="969"/>
      <c r="S590" s="970">
        <v>15291</v>
      </c>
      <c r="T590" s="972">
        <v>2815</v>
      </c>
      <c r="U590" s="972">
        <v>18106</v>
      </c>
    </row>
    <row r="591" spans="1:21" x14ac:dyDescent="0.25">
      <c r="A591" s="966">
        <v>96451</v>
      </c>
      <c r="B591" s="967" t="s">
        <v>3204</v>
      </c>
      <c r="C591" s="968">
        <v>2.0299999999999999E-5</v>
      </c>
      <c r="D591" s="968">
        <v>1.38E-5</v>
      </c>
      <c r="E591" s="985">
        <v>8566</v>
      </c>
      <c r="F591" s="969">
        <v>31013</v>
      </c>
      <c r="G591" s="969"/>
      <c r="H591" s="970">
        <v>1787</v>
      </c>
      <c r="I591" s="971">
        <v>7530</v>
      </c>
      <c r="J591" s="970">
        <v>4429</v>
      </c>
      <c r="K591" s="969">
        <v>6431</v>
      </c>
      <c r="L591" s="971">
        <f t="shared" si="18"/>
        <v>20177</v>
      </c>
      <c r="M591" s="969"/>
      <c r="N591" s="970">
        <v>878</v>
      </c>
      <c r="O591" s="970">
        <v>0</v>
      </c>
      <c r="P591" s="969">
        <v>1319</v>
      </c>
      <c r="Q591" s="971">
        <f t="shared" si="19"/>
        <v>2197</v>
      </c>
      <c r="R591" s="969"/>
      <c r="S591" s="970">
        <v>10451</v>
      </c>
      <c r="T591" s="972">
        <v>994</v>
      </c>
      <c r="U591" s="972">
        <v>11445</v>
      </c>
    </row>
    <row r="592" spans="1:21" x14ac:dyDescent="0.25">
      <c r="A592" s="966">
        <v>96461</v>
      </c>
      <c r="B592" s="967" t="s">
        <v>3205</v>
      </c>
      <c r="C592" s="968">
        <v>1.361E-4</v>
      </c>
      <c r="D592" s="968">
        <v>1.3410000000000001E-4</v>
      </c>
      <c r="E592" s="985">
        <v>63932</v>
      </c>
      <c r="F592" s="969">
        <v>207923</v>
      </c>
      <c r="G592" s="969"/>
      <c r="H592" s="970">
        <v>11978</v>
      </c>
      <c r="I592" s="971">
        <v>50484</v>
      </c>
      <c r="J592" s="970">
        <v>29694</v>
      </c>
      <c r="K592" s="969">
        <v>6504</v>
      </c>
      <c r="L592" s="971">
        <f t="shared" si="18"/>
        <v>98660</v>
      </c>
      <c r="M592" s="969"/>
      <c r="N592" s="970">
        <v>5886</v>
      </c>
      <c r="O592" s="970">
        <v>0</v>
      </c>
      <c r="P592" s="969">
        <v>18452</v>
      </c>
      <c r="Q592" s="971">
        <f t="shared" si="19"/>
        <v>24338</v>
      </c>
      <c r="R592" s="969"/>
      <c r="S592" s="970">
        <v>70070</v>
      </c>
      <c r="T592" s="972">
        <v>-3923</v>
      </c>
      <c r="U592" s="972">
        <f>66148-1</f>
        <v>66147</v>
      </c>
    </row>
    <row r="593" spans="1:21" x14ac:dyDescent="0.25">
      <c r="A593" s="966">
        <v>96501</v>
      </c>
      <c r="B593" s="967" t="s">
        <v>3206</v>
      </c>
      <c r="C593" s="968">
        <v>1.44739E-2</v>
      </c>
      <c r="D593" s="968">
        <v>1.4156999999999999E-2</v>
      </c>
      <c r="E593" s="985">
        <v>6399556</v>
      </c>
      <c r="F593" s="969">
        <v>22112110</v>
      </c>
      <c r="G593" s="969"/>
      <c r="H593" s="970">
        <v>1273862</v>
      </c>
      <c r="I593" s="971">
        <v>5368847</v>
      </c>
      <c r="J593" s="970">
        <v>3157916</v>
      </c>
      <c r="K593" s="969">
        <v>365065</v>
      </c>
      <c r="L593" s="971">
        <f t="shared" si="18"/>
        <v>10165690</v>
      </c>
      <c r="M593" s="969"/>
      <c r="N593" s="970">
        <v>625924</v>
      </c>
      <c r="O593" s="970">
        <v>0</v>
      </c>
      <c r="P593" s="969">
        <v>292930</v>
      </c>
      <c r="Q593" s="971">
        <f t="shared" si="19"/>
        <v>918854</v>
      </c>
      <c r="R593" s="969"/>
      <c r="S593" s="970">
        <v>7451801</v>
      </c>
      <c r="T593" s="972">
        <v>150498</v>
      </c>
      <c r="U593" s="972">
        <f>7602298+1</f>
        <v>7602299</v>
      </c>
    </row>
    <row r="594" spans="1:21" x14ac:dyDescent="0.25">
      <c r="A594" s="966">
        <v>96502</v>
      </c>
      <c r="B594" s="967" t="s">
        <v>3207</v>
      </c>
      <c r="C594" s="968">
        <v>4.2440000000000002E-4</v>
      </c>
      <c r="D594" s="968">
        <v>4.2309999999999998E-4</v>
      </c>
      <c r="E594" s="985">
        <v>198105</v>
      </c>
      <c r="F594" s="969">
        <v>648366</v>
      </c>
      <c r="G594" s="969"/>
      <c r="H594" s="970">
        <v>37352</v>
      </c>
      <c r="I594" s="971">
        <v>157424</v>
      </c>
      <c r="J594" s="970">
        <v>92596</v>
      </c>
      <c r="K594" s="969">
        <v>39317</v>
      </c>
      <c r="L594" s="971">
        <f t="shared" si="18"/>
        <v>326689</v>
      </c>
      <c r="M594" s="969"/>
      <c r="N594" s="970">
        <v>18353</v>
      </c>
      <c r="O594" s="970">
        <v>0</v>
      </c>
      <c r="P594" s="969">
        <v>0</v>
      </c>
      <c r="Q594" s="971">
        <f t="shared" si="19"/>
        <v>18353</v>
      </c>
      <c r="R594" s="969"/>
      <c r="S594" s="970">
        <v>218500</v>
      </c>
      <c r="T594" s="972">
        <v>23185</v>
      </c>
      <c r="U594" s="972">
        <v>241685</v>
      </c>
    </row>
    <row r="595" spans="1:21" x14ac:dyDescent="0.25">
      <c r="A595" s="966">
        <v>96503</v>
      </c>
      <c r="B595" s="967" t="s">
        <v>3675</v>
      </c>
      <c r="C595" s="968">
        <v>3.0039999999999998E-4</v>
      </c>
      <c r="D595" s="968">
        <v>3.3700000000000001E-4</v>
      </c>
      <c r="E595" s="985">
        <v>293863</v>
      </c>
      <c r="F595" s="969">
        <v>458928</v>
      </c>
      <c r="G595" s="969"/>
      <c r="H595" s="970">
        <v>26439</v>
      </c>
      <c r="I595" s="971">
        <v>111428</v>
      </c>
      <c r="J595" s="970">
        <v>65541</v>
      </c>
      <c r="K595" s="969">
        <v>240013</v>
      </c>
      <c r="L595" s="971">
        <f t="shared" si="18"/>
        <v>443421</v>
      </c>
      <c r="M595" s="969"/>
      <c r="N595" s="970">
        <v>12991</v>
      </c>
      <c r="O595" s="970">
        <v>0</v>
      </c>
      <c r="P595" s="969">
        <v>14874</v>
      </c>
      <c r="Q595" s="971">
        <f t="shared" si="19"/>
        <v>27865</v>
      </c>
      <c r="R595" s="969"/>
      <c r="S595" s="970">
        <v>154659</v>
      </c>
      <c r="T595" s="972">
        <v>71167</v>
      </c>
      <c r="U595" s="972">
        <v>225826</v>
      </c>
    </row>
    <row r="596" spans="1:21" x14ac:dyDescent="0.25">
      <c r="A596" s="966">
        <v>96504</v>
      </c>
      <c r="B596" s="967" t="s">
        <v>3209</v>
      </c>
      <c r="C596" s="968">
        <v>4.1760000000000001E-4</v>
      </c>
      <c r="D596" s="968">
        <v>3.6039999999999998E-4</v>
      </c>
      <c r="E596" s="985">
        <v>189892</v>
      </c>
      <c r="F596" s="969">
        <v>637977</v>
      </c>
      <c r="G596" s="969"/>
      <c r="H596" s="970">
        <v>36753</v>
      </c>
      <c r="I596" s="971">
        <v>154902</v>
      </c>
      <c r="J596" s="970">
        <v>91112</v>
      </c>
      <c r="K596" s="969">
        <v>44166</v>
      </c>
      <c r="L596" s="971">
        <f t="shared" si="18"/>
        <v>326933</v>
      </c>
      <c r="M596" s="969"/>
      <c r="N596" s="970">
        <v>18059</v>
      </c>
      <c r="O596" s="970">
        <v>0</v>
      </c>
      <c r="P596" s="969">
        <v>4428</v>
      </c>
      <c r="Q596" s="971">
        <f t="shared" si="19"/>
        <v>22487</v>
      </c>
      <c r="R596" s="969"/>
      <c r="S596" s="970">
        <v>214999</v>
      </c>
      <c r="T596" s="972">
        <v>11523</v>
      </c>
      <c r="U596" s="972">
        <f>226521+1</f>
        <v>226522</v>
      </c>
    </row>
    <row r="597" spans="1:21" x14ac:dyDescent="0.25">
      <c r="A597" s="966">
        <v>96507</v>
      </c>
      <c r="B597" s="967" t="s">
        <v>3210</v>
      </c>
      <c r="C597" s="968">
        <v>2.2147E-3</v>
      </c>
      <c r="D597" s="968">
        <v>2.2604999999999999E-3</v>
      </c>
      <c r="E597" s="985">
        <v>1026624</v>
      </c>
      <c r="F597" s="969">
        <v>3383448</v>
      </c>
      <c r="G597" s="969"/>
      <c r="H597" s="970">
        <v>194918</v>
      </c>
      <c r="I597" s="971">
        <v>821505</v>
      </c>
      <c r="J597" s="970">
        <v>483203</v>
      </c>
      <c r="K597" s="969">
        <v>115759</v>
      </c>
      <c r="L597" s="971">
        <f t="shared" si="18"/>
        <v>1615385</v>
      </c>
      <c r="M597" s="969"/>
      <c r="N597" s="970">
        <v>95775</v>
      </c>
      <c r="O597" s="970">
        <v>0</v>
      </c>
      <c r="P597" s="969">
        <v>22795</v>
      </c>
      <c r="Q597" s="971">
        <f t="shared" si="19"/>
        <v>118570</v>
      </c>
      <c r="R597" s="969"/>
      <c r="S597" s="970">
        <v>1140225</v>
      </c>
      <c r="T597" s="972">
        <v>58867</v>
      </c>
      <c r="U597" s="972">
        <v>1199092</v>
      </c>
    </row>
    <row r="598" spans="1:21" x14ac:dyDescent="0.25">
      <c r="A598" s="966">
        <v>96508</v>
      </c>
      <c r="B598" s="967" t="s">
        <v>3211</v>
      </c>
      <c r="C598" s="968">
        <v>8.6000000000000007E-6</v>
      </c>
      <c r="D598" s="968">
        <v>9.7999999999999993E-6</v>
      </c>
      <c r="E598" s="985">
        <v>11086</v>
      </c>
      <c r="F598" s="969">
        <v>13138</v>
      </c>
      <c r="G598" s="969"/>
      <c r="H598" s="970">
        <v>757</v>
      </c>
      <c r="I598" s="971">
        <v>3190</v>
      </c>
      <c r="J598" s="970">
        <v>1876</v>
      </c>
      <c r="K598" s="969">
        <v>11113</v>
      </c>
      <c r="L598" s="971">
        <f t="shared" si="18"/>
        <v>16936</v>
      </c>
      <c r="M598" s="969"/>
      <c r="N598" s="970">
        <v>372</v>
      </c>
      <c r="O598" s="970">
        <v>0</v>
      </c>
      <c r="P598" s="969">
        <v>0</v>
      </c>
      <c r="Q598" s="971">
        <f t="shared" si="19"/>
        <v>372</v>
      </c>
      <c r="R598" s="969"/>
      <c r="S598" s="970">
        <v>4428</v>
      </c>
      <c r="T598" s="972">
        <v>4402</v>
      </c>
      <c r="U598" s="972">
        <v>8830</v>
      </c>
    </row>
    <row r="599" spans="1:21" x14ac:dyDescent="0.25">
      <c r="A599" s="966">
        <v>96511</v>
      </c>
      <c r="B599" s="967" t="s">
        <v>3212</v>
      </c>
      <c r="C599" s="968">
        <v>6.2069999999999996E-4</v>
      </c>
      <c r="D599" s="968">
        <v>6.221E-4</v>
      </c>
      <c r="E599" s="985">
        <v>276057</v>
      </c>
      <c r="F599" s="969">
        <v>948258</v>
      </c>
      <c r="G599" s="969"/>
      <c r="H599" s="970">
        <v>54628</v>
      </c>
      <c r="I599" s="971">
        <v>230238</v>
      </c>
      <c r="J599" s="970">
        <v>135424</v>
      </c>
      <c r="K599" s="969">
        <v>0</v>
      </c>
      <c r="L599" s="971">
        <f t="shared" si="18"/>
        <v>420290</v>
      </c>
      <c r="M599" s="969"/>
      <c r="N599" s="970">
        <v>26842</v>
      </c>
      <c r="O599" s="970">
        <v>0</v>
      </c>
      <c r="P599" s="969">
        <v>95843</v>
      </c>
      <c r="Q599" s="971">
        <f t="shared" si="19"/>
        <v>122685</v>
      </c>
      <c r="R599" s="969"/>
      <c r="S599" s="970">
        <v>319564</v>
      </c>
      <c r="T599" s="972">
        <v>-49396</v>
      </c>
      <c r="U599" s="972">
        <v>270168</v>
      </c>
    </row>
    <row r="600" spans="1:21" x14ac:dyDescent="0.25">
      <c r="A600" s="966">
        <v>96512</v>
      </c>
      <c r="B600" s="967" t="s">
        <v>3213</v>
      </c>
      <c r="C600" s="968">
        <v>1.5119999999999999E-4</v>
      </c>
      <c r="D600" s="968">
        <v>1.7000000000000001E-4</v>
      </c>
      <c r="E600" s="985">
        <v>72715</v>
      </c>
      <c r="F600" s="969">
        <v>230992</v>
      </c>
      <c r="G600" s="969"/>
      <c r="H600" s="970">
        <v>13307</v>
      </c>
      <c r="I600" s="971">
        <v>56085</v>
      </c>
      <c r="J600" s="970">
        <v>32989</v>
      </c>
      <c r="K600" s="969">
        <v>5578</v>
      </c>
      <c r="L600" s="971">
        <f t="shared" si="18"/>
        <v>107959</v>
      </c>
      <c r="M600" s="969"/>
      <c r="N600" s="970">
        <v>6539</v>
      </c>
      <c r="O600" s="970">
        <v>0</v>
      </c>
      <c r="P600" s="969">
        <v>9964</v>
      </c>
      <c r="Q600" s="971">
        <f t="shared" si="19"/>
        <v>16503</v>
      </c>
      <c r="R600" s="969"/>
      <c r="S600" s="970">
        <v>77844</v>
      </c>
      <c r="T600" s="972">
        <v>198</v>
      </c>
      <c r="U600" s="972">
        <v>78042</v>
      </c>
    </row>
    <row r="601" spans="1:21" x14ac:dyDescent="0.25">
      <c r="A601" s="966">
        <v>96521</v>
      </c>
      <c r="B601" s="967" t="s">
        <v>3215</v>
      </c>
      <c r="C601" s="968">
        <v>9.881E-4</v>
      </c>
      <c r="D601" s="968">
        <v>9.4240000000000003E-4</v>
      </c>
      <c r="E601" s="985">
        <v>408178</v>
      </c>
      <c r="F601" s="969">
        <v>1509543</v>
      </c>
      <c r="G601" s="969"/>
      <c r="H601" s="970">
        <v>86964</v>
      </c>
      <c r="I601" s="971">
        <v>366519</v>
      </c>
      <c r="J601" s="970">
        <v>215584</v>
      </c>
      <c r="K601" s="969">
        <v>30024</v>
      </c>
      <c r="L601" s="971">
        <f t="shared" si="18"/>
        <v>699091</v>
      </c>
      <c r="M601" s="969"/>
      <c r="N601" s="970">
        <v>42730</v>
      </c>
      <c r="O601" s="970">
        <v>0</v>
      </c>
      <c r="P601" s="969">
        <v>25241</v>
      </c>
      <c r="Q601" s="971">
        <f t="shared" si="19"/>
        <v>67971</v>
      </c>
      <c r="R601" s="969"/>
      <c r="S601" s="970">
        <v>508717</v>
      </c>
      <c r="T601" s="972">
        <v>6710</v>
      </c>
      <c r="U601" s="972">
        <f>515428-1</f>
        <v>515427</v>
      </c>
    </row>
    <row r="602" spans="1:21" x14ac:dyDescent="0.25">
      <c r="A602" s="966">
        <v>96531</v>
      </c>
      <c r="B602" s="967" t="s">
        <v>3216</v>
      </c>
      <c r="C602" s="968">
        <v>8.5845000000000001E-3</v>
      </c>
      <c r="D602" s="968">
        <v>8.6088999999999992E-3</v>
      </c>
      <c r="E602" s="985">
        <v>3779881</v>
      </c>
      <c r="F602" s="969">
        <v>13114738</v>
      </c>
      <c r="G602" s="969"/>
      <c r="H602" s="970">
        <v>755530</v>
      </c>
      <c r="I602" s="971">
        <v>3184274</v>
      </c>
      <c r="J602" s="970">
        <v>1872966</v>
      </c>
      <c r="K602" s="969">
        <v>48765</v>
      </c>
      <c r="L602" s="971">
        <f t="shared" si="18"/>
        <v>5861535</v>
      </c>
      <c r="M602" s="969"/>
      <c r="N602" s="970">
        <v>371237</v>
      </c>
      <c r="O602" s="970">
        <v>0</v>
      </c>
      <c r="P602" s="969">
        <v>418860</v>
      </c>
      <c r="Q602" s="971">
        <f t="shared" si="19"/>
        <v>790097</v>
      </c>
      <c r="R602" s="969"/>
      <c r="S602" s="970">
        <v>4419678</v>
      </c>
      <c r="T602" s="972">
        <v>-117601</v>
      </c>
      <c r="U602" s="972">
        <v>4302077</v>
      </c>
    </row>
    <row r="603" spans="1:21" x14ac:dyDescent="0.25">
      <c r="A603" s="966">
        <v>96541</v>
      </c>
      <c r="B603" s="967" t="s">
        <v>3217</v>
      </c>
      <c r="C603" s="968">
        <v>3.5950000000000001E-4</v>
      </c>
      <c r="D603" s="968">
        <v>3.3169999999999999E-4</v>
      </c>
      <c r="E603" s="985">
        <v>156792</v>
      </c>
      <c r="F603" s="969">
        <v>549216</v>
      </c>
      <c r="G603" s="969"/>
      <c r="H603" s="970">
        <v>31640</v>
      </c>
      <c r="I603" s="971">
        <v>133350</v>
      </c>
      <c r="J603" s="970">
        <v>78436</v>
      </c>
      <c r="K603" s="969">
        <v>24801</v>
      </c>
      <c r="L603" s="971">
        <f t="shared" si="18"/>
        <v>268227</v>
      </c>
      <c r="M603" s="969"/>
      <c r="N603" s="970">
        <v>15547</v>
      </c>
      <c r="O603" s="970">
        <v>0</v>
      </c>
      <c r="P603" s="969">
        <v>0</v>
      </c>
      <c r="Q603" s="971">
        <f t="shared" si="19"/>
        <v>15547</v>
      </c>
      <c r="R603" s="969"/>
      <c r="S603" s="970">
        <v>185086</v>
      </c>
      <c r="T603" s="972">
        <v>13028</v>
      </c>
      <c r="U603" s="972">
        <f>198115-1</f>
        <v>198114</v>
      </c>
    </row>
    <row r="604" spans="1:21" x14ac:dyDescent="0.25">
      <c r="A604" s="966">
        <v>96601</v>
      </c>
      <c r="B604" s="967" t="s">
        <v>3218</v>
      </c>
      <c r="C604" s="968">
        <v>1.8169E-3</v>
      </c>
      <c r="D604" s="968">
        <v>1.8416000000000001E-3</v>
      </c>
      <c r="E604" s="985">
        <v>878872</v>
      </c>
      <c r="F604" s="969">
        <v>2775720</v>
      </c>
      <c r="G604" s="969"/>
      <c r="H604" s="970">
        <v>159907</v>
      </c>
      <c r="I604" s="971">
        <v>673948</v>
      </c>
      <c r="J604" s="970">
        <v>396411</v>
      </c>
      <c r="K604" s="969">
        <v>50154</v>
      </c>
      <c r="L604" s="971">
        <f t="shared" si="18"/>
        <v>1280420</v>
      </c>
      <c r="M604" s="969"/>
      <c r="N604" s="970">
        <v>78572</v>
      </c>
      <c r="O604" s="970">
        <v>0</v>
      </c>
      <c r="P604" s="969">
        <v>4139</v>
      </c>
      <c r="Q604" s="971">
        <f t="shared" si="19"/>
        <v>82711</v>
      </c>
      <c r="R604" s="969"/>
      <c r="S604" s="970">
        <v>935420</v>
      </c>
      <c r="T604" s="972">
        <v>30132</v>
      </c>
      <c r="U604" s="972">
        <v>965552</v>
      </c>
    </row>
    <row r="605" spans="1:21" x14ac:dyDescent="0.25">
      <c r="A605" s="966">
        <v>96604</v>
      </c>
      <c r="B605" s="967" t="s">
        <v>3219</v>
      </c>
      <c r="C605" s="968">
        <v>7.6000000000000001E-6</v>
      </c>
      <c r="D605" s="968">
        <v>7.9000000000000006E-6</v>
      </c>
      <c r="E605" s="985">
        <v>5011</v>
      </c>
      <c r="F605" s="969">
        <v>11611</v>
      </c>
      <c r="G605" s="969"/>
      <c r="H605" s="970">
        <v>669</v>
      </c>
      <c r="I605" s="971">
        <v>2819</v>
      </c>
      <c r="J605" s="970">
        <v>1658</v>
      </c>
      <c r="K605" s="969">
        <v>2027</v>
      </c>
      <c r="L605" s="971">
        <f t="shared" si="18"/>
        <v>7173</v>
      </c>
      <c r="M605" s="969"/>
      <c r="N605" s="970">
        <v>329</v>
      </c>
      <c r="O605" s="970">
        <v>0</v>
      </c>
      <c r="P605" s="969">
        <v>70</v>
      </c>
      <c r="Q605" s="971">
        <f t="shared" si="19"/>
        <v>399</v>
      </c>
      <c r="R605" s="969"/>
      <c r="S605" s="970">
        <v>3913</v>
      </c>
      <c r="T605" s="972">
        <v>799</v>
      </c>
      <c r="U605" s="972">
        <v>4712</v>
      </c>
    </row>
    <row r="606" spans="1:21" x14ac:dyDescent="0.25">
      <c r="A606" s="966">
        <v>96611</v>
      </c>
      <c r="B606" s="967" t="s">
        <v>3220</v>
      </c>
      <c r="C606" s="968">
        <v>2.83E-5</v>
      </c>
      <c r="D606" s="968">
        <v>3.29E-5</v>
      </c>
      <c r="E606" s="985">
        <v>12016</v>
      </c>
      <c r="F606" s="969">
        <v>43235</v>
      </c>
      <c r="G606" s="969"/>
      <c r="H606" s="970">
        <v>2491</v>
      </c>
      <c r="I606" s="971">
        <v>10498</v>
      </c>
      <c r="J606" s="970">
        <v>6174</v>
      </c>
      <c r="K606" s="969">
        <v>1561</v>
      </c>
      <c r="L606" s="971">
        <f t="shared" si="18"/>
        <v>20724</v>
      </c>
      <c r="M606" s="969"/>
      <c r="N606" s="970">
        <v>1224</v>
      </c>
      <c r="O606" s="970">
        <v>0</v>
      </c>
      <c r="P606" s="969">
        <v>4284</v>
      </c>
      <c r="Q606" s="971">
        <f t="shared" si="19"/>
        <v>5508</v>
      </c>
      <c r="R606" s="969"/>
      <c r="S606" s="970">
        <v>14570</v>
      </c>
      <c r="T606" s="972">
        <v>112</v>
      </c>
      <c r="U606" s="972">
        <f>14683-1</f>
        <v>14682</v>
      </c>
    </row>
    <row r="607" spans="1:21" x14ac:dyDescent="0.25">
      <c r="A607" s="966">
        <v>96612</v>
      </c>
      <c r="B607" s="967" t="s">
        <v>3221</v>
      </c>
      <c r="C607" s="968">
        <v>6.3299999999999994E-5</v>
      </c>
      <c r="D607" s="968">
        <v>6.3899999999999995E-5</v>
      </c>
      <c r="E607" s="985">
        <v>32834</v>
      </c>
      <c r="F607" s="969">
        <v>96705</v>
      </c>
      <c r="G607" s="969"/>
      <c r="H607" s="970">
        <v>5571</v>
      </c>
      <c r="I607" s="971">
        <v>23480</v>
      </c>
      <c r="J607" s="970">
        <v>13811</v>
      </c>
      <c r="K607" s="969">
        <v>7699</v>
      </c>
      <c r="L607" s="971">
        <f t="shared" si="18"/>
        <v>50561</v>
      </c>
      <c r="M607" s="969"/>
      <c r="N607" s="970">
        <v>2737</v>
      </c>
      <c r="O607" s="970">
        <v>0</v>
      </c>
      <c r="P607" s="969">
        <v>658</v>
      </c>
      <c r="Q607" s="971">
        <f t="shared" si="19"/>
        <v>3395</v>
      </c>
      <c r="R607" s="969"/>
      <c r="S607" s="970">
        <v>32590</v>
      </c>
      <c r="T607" s="972">
        <v>2270</v>
      </c>
      <c r="U607" s="972">
        <f>34859+1</f>
        <v>34860</v>
      </c>
    </row>
    <row r="608" spans="1:21" x14ac:dyDescent="0.25">
      <c r="A608" s="966">
        <v>96621</v>
      </c>
      <c r="B608" s="967" t="s">
        <v>3222</v>
      </c>
      <c r="C608" s="968">
        <v>2.5999999999999998E-5</v>
      </c>
      <c r="D608" s="968">
        <v>2.65E-5</v>
      </c>
      <c r="E608" s="985">
        <v>13235</v>
      </c>
      <c r="F608" s="969">
        <v>39721</v>
      </c>
      <c r="G608" s="969"/>
      <c r="H608" s="970">
        <v>2288</v>
      </c>
      <c r="I608" s="971">
        <v>9644</v>
      </c>
      <c r="J608" s="970">
        <v>5673</v>
      </c>
      <c r="K608" s="969">
        <v>1435</v>
      </c>
      <c r="L608" s="971">
        <f t="shared" si="18"/>
        <v>19040</v>
      </c>
      <c r="M608" s="969"/>
      <c r="N608" s="970">
        <v>1124</v>
      </c>
      <c r="O608" s="970">
        <v>0</v>
      </c>
      <c r="P608" s="969">
        <v>4828</v>
      </c>
      <c r="Q608" s="971">
        <f t="shared" si="19"/>
        <v>5952</v>
      </c>
      <c r="R608" s="969"/>
      <c r="S608" s="970">
        <v>13386</v>
      </c>
      <c r="T608" s="972">
        <v>-2281</v>
      </c>
      <c r="U608" s="972">
        <v>11105</v>
      </c>
    </row>
    <row r="609" spans="1:21" x14ac:dyDescent="0.25">
      <c r="A609" s="966">
        <v>96631</v>
      </c>
      <c r="B609" s="967" t="s">
        <v>3223</v>
      </c>
      <c r="C609" s="968">
        <v>2.51E-5</v>
      </c>
      <c r="D609" s="968">
        <v>2.5899999999999999E-5</v>
      </c>
      <c r="E609" s="985">
        <v>11905</v>
      </c>
      <c r="F609" s="969">
        <v>38346</v>
      </c>
      <c r="G609" s="969"/>
      <c r="H609" s="970">
        <v>2209</v>
      </c>
      <c r="I609" s="971">
        <v>9311</v>
      </c>
      <c r="J609" s="970">
        <v>5476</v>
      </c>
      <c r="K609" s="969">
        <v>3375</v>
      </c>
      <c r="L609" s="971">
        <f t="shared" si="18"/>
        <v>20371</v>
      </c>
      <c r="M609" s="969"/>
      <c r="N609" s="970">
        <v>1085</v>
      </c>
      <c r="O609" s="970">
        <v>0</v>
      </c>
      <c r="P609" s="969">
        <v>345</v>
      </c>
      <c r="Q609" s="971">
        <f t="shared" si="19"/>
        <v>1430</v>
      </c>
      <c r="R609" s="969"/>
      <c r="S609" s="970">
        <v>12923</v>
      </c>
      <c r="T609" s="972">
        <v>2192</v>
      </c>
      <c r="U609" s="972">
        <f>15114+1</f>
        <v>15115</v>
      </c>
    </row>
    <row r="610" spans="1:21" x14ac:dyDescent="0.25">
      <c r="A610" s="966">
        <v>96641</v>
      </c>
      <c r="B610" s="967" t="s">
        <v>3224</v>
      </c>
      <c r="C610" s="968">
        <v>3.2199999999999997E-5</v>
      </c>
      <c r="D610" s="968">
        <v>2.6999999999999999E-5</v>
      </c>
      <c r="E610" s="985">
        <v>20865</v>
      </c>
      <c r="F610" s="969">
        <v>49193</v>
      </c>
      <c r="G610" s="969"/>
      <c r="H610" s="970">
        <v>2834</v>
      </c>
      <c r="I610" s="971">
        <v>11944</v>
      </c>
      <c r="J610" s="970">
        <v>7025</v>
      </c>
      <c r="K610" s="969">
        <v>15380</v>
      </c>
      <c r="L610" s="971">
        <f t="shared" si="18"/>
        <v>37183</v>
      </c>
      <c r="M610" s="969"/>
      <c r="N610" s="970">
        <v>1392</v>
      </c>
      <c r="O610" s="970">
        <v>0</v>
      </c>
      <c r="P610" s="969">
        <v>0</v>
      </c>
      <c r="Q610" s="971">
        <f t="shared" si="19"/>
        <v>1392</v>
      </c>
      <c r="R610" s="969"/>
      <c r="S610" s="970">
        <v>16578</v>
      </c>
      <c r="T610" s="972">
        <v>5934</v>
      </c>
      <c r="U610" s="972">
        <v>22512</v>
      </c>
    </row>
    <row r="611" spans="1:21" x14ac:dyDescent="0.25">
      <c r="A611" s="966">
        <v>96651</v>
      </c>
      <c r="B611" s="967" t="s">
        <v>3225</v>
      </c>
      <c r="C611" s="968">
        <v>1.7399999999999999E-5</v>
      </c>
      <c r="D611" s="968">
        <v>1.9400000000000001E-5</v>
      </c>
      <c r="E611" s="985">
        <v>11419</v>
      </c>
      <c r="F611" s="969">
        <v>26582</v>
      </c>
      <c r="G611" s="969"/>
      <c r="H611" s="970">
        <v>1531</v>
      </c>
      <c r="I611" s="971">
        <v>6454</v>
      </c>
      <c r="J611" s="970">
        <v>3796</v>
      </c>
      <c r="K611" s="969">
        <v>1983</v>
      </c>
      <c r="L611" s="971">
        <f t="shared" si="18"/>
        <v>13764</v>
      </c>
      <c r="M611" s="969"/>
      <c r="N611" s="970">
        <v>752</v>
      </c>
      <c r="O611" s="970">
        <v>0</v>
      </c>
      <c r="P611" s="969">
        <v>1305</v>
      </c>
      <c r="Q611" s="971">
        <f t="shared" si="19"/>
        <v>2057</v>
      </c>
      <c r="R611" s="969"/>
      <c r="S611" s="970">
        <v>8958</v>
      </c>
      <c r="T611" s="972">
        <v>-364</v>
      </c>
      <c r="U611" s="972">
        <f>8595-1</f>
        <v>8594</v>
      </c>
    </row>
    <row r="612" spans="1:21" x14ac:dyDescent="0.25">
      <c r="A612" s="966">
        <v>96661</v>
      </c>
      <c r="B612" s="967" t="s">
        <v>3226</v>
      </c>
      <c r="C612" s="968">
        <v>1.9700000000000001E-5</v>
      </c>
      <c r="D612" s="968">
        <v>1.9000000000000001E-5</v>
      </c>
      <c r="E612" s="985">
        <v>10400</v>
      </c>
      <c r="F612" s="969">
        <v>30096</v>
      </c>
      <c r="G612" s="969"/>
      <c r="H612" s="970">
        <v>1734</v>
      </c>
      <c r="I612" s="971">
        <v>7308</v>
      </c>
      <c r="J612" s="970">
        <v>4298</v>
      </c>
      <c r="K612" s="969">
        <v>5449</v>
      </c>
      <c r="L612" s="971">
        <f t="shared" si="18"/>
        <v>18789</v>
      </c>
      <c r="M612" s="969"/>
      <c r="N612" s="970">
        <v>852</v>
      </c>
      <c r="O612" s="970">
        <v>0</v>
      </c>
      <c r="P612" s="969">
        <v>0</v>
      </c>
      <c r="Q612" s="971">
        <f t="shared" si="19"/>
        <v>852</v>
      </c>
      <c r="R612" s="969"/>
      <c r="S612" s="970">
        <v>10142</v>
      </c>
      <c r="T612" s="972">
        <v>2525</v>
      </c>
      <c r="U612" s="972">
        <f>12668-1</f>
        <v>12667</v>
      </c>
    </row>
    <row r="613" spans="1:21" x14ac:dyDescent="0.25">
      <c r="A613" s="966">
        <v>96671</v>
      </c>
      <c r="B613" s="967" t="s">
        <v>3227</v>
      </c>
      <c r="C613" s="968">
        <v>1.49E-5</v>
      </c>
      <c r="D613" s="968">
        <v>1.5500000000000001E-5</v>
      </c>
      <c r="E613" s="985">
        <v>8400</v>
      </c>
      <c r="F613" s="969">
        <v>22763</v>
      </c>
      <c r="G613" s="969"/>
      <c r="H613" s="970">
        <v>1311</v>
      </c>
      <c r="I613" s="971">
        <v>5527</v>
      </c>
      <c r="J613" s="970">
        <v>3251</v>
      </c>
      <c r="K613" s="969">
        <v>8612</v>
      </c>
      <c r="L613" s="971">
        <f t="shared" si="18"/>
        <v>18701</v>
      </c>
      <c r="M613" s="969"/>
      <c r="N613" s="970">
        <v>644</v>
      </c>
      <c r="O613" s="970">
        <v>0</v>
      </c>
      <c r="P613" s="969">
        <v>208</v>
      </c>
      <c r="Q613" s="971">
        <f t="shared" si="19"/>
        <v>852</v>
      </c>
      <c r="R613" s="969"/>
      <c r="S613" s="970">
        <v>7671</v>
      </c>
      <c r="T613" s="972">
        <v>3620</v>
      </c>
      <c r="U613" s="972">
        <v>11291</v>
      </c>
    </row>
    <row r="614" spans="1:21" x14ac:dyDescent="0.25">
      <c r="A614" s="966">
        <v>96681</v>
      </c>
      <c r="B614" s="967" t="s">
        <v>3228</v>
      </c>
      <c r="C614" s="968">
        <v>1.7499999999999998E-5</v>
      </c>
      <c r="D614" s="968">
        <v>3.4799999999999999E-5</v>
      </c>
      <c r="E614" s="985">
        <v>12179</v>
      </c>
      <c r="F614" s="969">
        <v>26735</v>
      </c>
      <c r="G614" s="969"/>
      <c r="H614" s="970">
        <v>1540</v>
      </c>
      <c r="I614" s="971">
        <v>6491</v>
      </c>
      <c r="J614" s="970">
        <v>3818</v>
      </c>
      <c r="K614" s="969">
        <v>12682</v>
      </c>
      <c r="L614" s="971">
        <f t="shared" si="18"/>
        <v>24531</v>
      </c>
      <c r="M614" s="969"/>
      <c r="N614" s="970">
        <v>757</v>
      </c>
      <c r="O614" s="970">
        <v>0</v>
      </c>
      <c r="P614" s="969">
        <v>9027</v>
      </c>
      <c r="Q614" s="971">
        <f t="shared" si="19"/>
        <v>9784</v>
      </c>
      <c r="R614" s="969"/>
      <c r="S614" s="970">
        <v>9010</v>
      </c>
      <c r="T614" s="972">
        <v>3129</v>
      </c>
      <c r="U614" s="972">
        <v>12139</v>
      </c>
    </row>
    <row r="615" spans="1:21" x14ac:dyDescent="0.25">
      <c r="A615" s="966">
        <v>96701</v>
      </c>
      <c r="B615" s="967" t="s">
        <v>3229</v>
      </c>
      <c r="C615" s="968">
        <v>8.4206000000000003E-3</v>
      </c>
      <c r="D615" s="968">
        <v>7.7850000000000003E-3</v>
      </c>
      <c r="E615" s="985">
        <v>3657208</v>
      </c>
      <c r="F615" s="969">
        <v>12864344</v>
      </c>
      <c r="G615" s="969"/>
      <c r="H615" s="970">
        <v>741105</v>
      </c>
      <c r="I615" s="971">
        <v>3123478</v>
      </c>
      <c r="J615" s="970">
        <v>1837207</v>
      </c>
      <c r="K615" s="969">
        <v>445953</v>
      </c>
      <c r="L615" s="971">
        <f t="shared" si="18"/>
        <v>6147743</v>
      </c>
      <c r="M615" s="969"/>
      <c r="N615" s="970">
        <v>364149</v>
      </c>
      <c r="O615" s="970">
        <v>0</v>
      </c>
      <c r="P615" s="969">
        <v>51464</v>
      </c>
      <c r="Q615" s="971">
        <f t="shared" si="19"/>
        <v>415613</v>
      </c>
      <c r="R615" s="969"/>
      <c r="S615" s="970">
        <v>4335295</v>
      </c>
      <c r="T615" s="972">
        <v>139565</v>
      </c>
      <c r="U615" s="972">
        <f>4474861-1</f>
        <v>4474860</v>
      </c>
    </row>
    <row r="616" spans="1:21" x14ac:dyDescent="0.25">
      <c r="A616" s="966">
        <v>96704</v>
      </c>
      <c r="B616" s="967" t="s">
        <v>3230</v>
      </c>
      <c r="C616" s="968">
        <v>1.7259999999999999E-4</v>
      </c>
      <c r="D616" s="968">
        <v>1.5330000000000001E-4</v>
      </c>
      <c r="E616" s="985">
        <v>92320</v>
      </c>
      <c r="F616" s="969">
        <v>263685</v>
      </c>
      <c r="G616" s="969"/>
      <c r="H616" s="970">
        <v>15191</v>
      </c>
      <c r="I616" s="971">
        <v>64023</v>
      </c>
      <c r="J616" s="970">
        <v>37658</v>
      </c>
      <c r="K616" s="969">
        <v>28813</v>
      </c>
      <c r="L616" s="971">
        <f t="shared" si="18"/>
        <v>145685</v>
      </c>
      <c r="M616" s="969"/>
      <c r="N616" s="970">
        <v>7464</v>
      </c>
      <c r="O616" s="970">
        <v>0</v>
      </c>
      <c r="P616" s="969">
        <v>0</v>
      </c>
      <c r="Q616" s="971">
        <f t="shared" si="19"/>
        <v>7464</v>
      </c>
      <c r="R616" s="969"/>
      <c r="S616" s="970">
        <v>88862</v>
      </c>
      <c r="T616" s="972">
        <v>9625</v>
      </c>
      <c r="U616" s="972">
        <v>98487</v>
      </c>
    </row>
    <row r="617" spans="1:21" x14ac:dyDescent="0.25">
      <c r="A617" s="966">
        <v>96708</v>
      </c>
      <c r="B617" s="967" t="s">
        <v>3231</v>
      </c>
      <c r="C617" s="968">
        <v>9.031E-4</v>
      </c>
      <c r="D617" s="968">
        <v>8.4590000000000002E-4</v>
      </c>
      <c r="E617" s="985">
        <v>441727</v>
      </c>
      <c r="F617" s="969">
        <v>1379687</v>
      </c>
      <c r="G617" s="969"/>
      <c r="H617" s="970">
        <v>79483</v>
      </c>
      <c r="I617" s="971">
        <v>334989</v>
      </c>
      <c r="J617" s="970">
        <v>197038</v>
      </c>
      <c r="K617" s="969">
        <v>93931</v>
      </c>
      <c r="L617" s="971">
        <f t="shared" si="18"/>
        <v>705441</v>
      </c>
      <c r="M617" s="969"/>
      <c r="N617" s="970">
        <v>39055</v>
      </c>
      <c r="O617" s="970">
        <v>0</v>
      </c>
      <c r="P617" s="969">
        <v>19895</v>
      </c>
      <c r="Q617" s="971">
        <f t="shared" si="19"/>
        <v>58950</v>
      </c>
      <c r="R617" s="969"/>
      <c r="S617" s="970">
        <v>464956</v>
      </c>
      <c r="T617" s="972">
        <v>29117</v>
      </c>
      <c r="U617" s="972">
        <v>494073</v>
      </c>
    </row>
    <row r="618" spans="1:21" x14ac:dyDescent="0.25">
      <c r="A618" s="966">
        <v>96711</v>
      </c>
      <c r="B618" s="967" t="s">
        <v>3232</v>
      </c>
      <c r="C618" s="968">
        <v>4.0464000000000003E-3</v>
      </c>
      <c r="D618" s="968">
        <v>4.4140000000000004E-3</v>
      </c>
      <c r="E618" s="985">
        <v>1869918</v>
      </c>
      <c r="F618" s="969">
        <v>6181778</v>
      </c>
      <c r="G618" s="969"/>
      <c r="H618" s="970">
        <v>356128</v>
      </c>
      <c r="I618" s="971">
        <v>1500943</v>
      </c>
      <c r="J618" s="970">
        <v>882844</v>
      </c>
      <c r="K618" s="969">
        <v>10323</v>
      </c>
      <c r="L618" s="971">
        <f t="shared" si="18"/>
        <v>2750238</v>
      </c>
      <c r="M618" s="969"/>
      <c r="N618" s="970">
        <v>174987</v>
      </c>
      <c r="O618" s="970">
        <v>0</v>
      </c>
      <c r="P618" s="969">
        <v>468550</v>
      </c>
      <c r="Q618" s="971">
        <f t="shared" si="19"/>
        <v>643537</v>
      </c>
      <c r="R618" s="969"/>
      <c r="S618" s="970">
        <v>2083265</v>
      </c>
      <c r="T618" s="972">
        <v>-165088</v>
      </c>
      <c r="U618" s="972">
        <v>1918177</v>
      </c>
    </row>
    <row r="619" spans="1:21" x14ac:dyDescent="0.25">
      <c r="A619" s="966">
        <v>96721</v>
      </c>
      <c r="B619" s="967" t="s">
        <v>3233</v>
      </c>
      <c r="C619" s="968">
        <v>2.1379999999999999E-4</v>
      </c>
      <c r="D619" s="968">
        <v>1.9780000000000001E-4</v>
      </c>
      <c r="E619" s="985">
        <v>96163</v>
      </c>
      <c r="F619" s="969">
        <v>326627</v>
      </c>
      <c r="G619" s="969"/>
      <c r="H619" s="970">
        <v>18817</v>
      </c>
      <c r="I619" s="971">
        <v>79305</v>
      </c>
      <c r="J619" s="970">
        <v>46647</v>
      </c>
      <c r="K619" s="969">
        <v>14615</v>
      </c>
      <c r="L619" s="971">
        <f t="shared" si="18"/>
        <v>159384</v>
      </c>
      <c r="M619" s="969"/>
      <c r="N619" s="970">
        <v>9246</v>
      </c>
      <c r="O619" s="970">
        <v>0</v>
      </c>
      <c r="P619" s="969">
        <v>25539</v>
      </c>
      <c r="Q619" s="971">
        <f t="shared" si="19"/>
        <v>34785</v>
      </c>
      <c r="R619" s="969"/>
      <c r="S619" s="970">
        <v>110074</v>
      </c>
      <c r="T619" s="972">
        <v>-1269</v>
      </c>
      <c r="U619" s="972">
        <v>108805</v>
      </c>
    </row>
    <row r="620" spans="1:21" x14ac:dyDescent="0.25">
      <c r="A620" s="966">
        <v>96731</v>
      </c>
      <c r="B620" s="967" t="s">
        <v>3234</v>
      </c>
      <c r="C620" s="968">
        <v>1.697E-4</v>
      </c>
      <c r="D620" s="968">
        <v>1.5090000000000001E-4</v>
      </c>
      <c r="E620" s="985">
        <v>72356</v>
      </c>
      <c r="F620" s="969">
        <v>259255</v>
      </c>
      <c r="G620" s="969"/>
      <c r="H620" s="970">
        <v>14935</v>
      </c>
      <c r="I620" s="971">
        <v>62947</v>
      </c>
      <c r="J620" s="970">
        <v>37025</v>
      </c>
      <c r="K620" s="969">
        <v>20951</v>
      </c>
      <c r="L620" s="971">
        <f t="shared" si="18"/>
        <v>135858</v>
      </c>
      <c r="M620" s="969"/>
      <c r="N620" s="970">
        <v>7339</v>
      </c>
      <c r="O620" s="970">
        <v>0</v>
      </c>
      <c r="P620" s="969">
        <v>6</v>
      </c>
      <c r="Q620" s="971">
        <f t="shared" si="19"/>
        <v>7345</v>
      </c>
      <c r="R620" s="969"/>
      <c r="S620" s="970">
        <v>87369</v>
      </c>
      <c r="T620" s="972">
        <v>7300</v>
      </c>
      <c r="U620" s="972">
        <v>94669</v>
      </c>
    </row>
    <row r="621" spans="1:21" x14ac:dyDescent="0.25">
      <c r="A621" s="966">
        <v>96733</v>
      </c>
      <c r="B621" s="967" t="s">
        <v>3235</v>
      </c>
      <c r="C621" s="968">
        <v>7.3000000000000004E-6</v>
      </c>
      <c r="D621" s="968">
        <v>9.2E-6</v>
      </c>
      <c r="E621" s="985">
        <v>4279</v>
      </c>
      <c r="F621" s="969">
        <v>11152</v>
      </c>
      <c r="G621" s="969"/>
      <c r="H621" s="970">
        <v>642</v>
      </c>
      <c r="I621" s="971">
        <v>2708</v>
      </c>
      <c r="J621" s="970">
        <v>1593</v>
      </c>
      <c r="K621" s="969">
        <v>3988</v>
      </c>
      <c r="L621" s="971">
        <f t="shared" si="18"/>
        <v>8931</v>
      </c>
      <c r="M621" s="969"/>
      <c r="N621" s="970">
        <v>316</v>
      </c>
      <c r="O621" s="970">
        <v>0</v>
      </c>
      <c r="P621" s="969">
        <v>1209</v>
      </c>
      <c r="Q621" s="971">
        <f t="shared" si="19"/>
        <v>1525</v>
      </c>
      <c r="R621" s="969"/>
      <c r="S621" s="970">
        <v>3758</v>
      </c>
      <c r="T621" s="972">
        <v>1574</v>
      </c>
      <c r="U621" s="972">
        <v>5332</v>
      </c>
    </row>
    <row r="622" spans="1:21" x14ac:dyDescent="0.25">
      <c r="A622" s="966">
        <v>96741</v>
      </c>
      <c r="B622" s="967" t="s">
        <v>3236</v>
      </c>
      <c r="C622" s="968">
        <v>9.0799999999999998E-5</v>
      </c>
      <c r="D622" s="968">
        <v>9.2399999999999996E-5</v>
      </c>
      <c r="E622" s="985">
        <v>41448</v>
      </c>
      <c r="F622" s="969">
        <v>138717</v>
      </c>
      <c r="G622" s="969"/>
      <c r="H622" s="970">
        <v>7991</v>
      </c>
      <c r="I622" s="971">
        <v>33681</v>
      </c>
      <c r="J622" s="970">
        <v>19811</v>
      </c>
      <c r="K622" s="969">
        <v>4204</v>
      </c>
      <c r="L622" s="971">
        <f t="shared" si="18"/>
        <v>65687</v>
      </c>
      <c r="M622" s="969"/>
      <c r="N622" s="970">
        <v>3927</v>
      </c>
      <c r="O622" s="970">
        <v>0</v>
      </c>
      <c r="P622" s="969">
        <v>2410</v>
      </c>
      <c r="Q622" s="971">
        <f t="shared" si="19"/>
        <v>6337</v>
      </c>
      <c r="R622" s="969"/>
      <c r="S622" s="970">
        <v>46748</v>
      </c>
      <c r="T622" s="972">
        <v>2215</v>
      </c>
      <c r="U622" s="972">
        <v>48963</v>
      </c>
    </row>
    <row r="623" spans="1:21" x14ac:dyDescent="0.25">
      <c r="A623" s="966">
        <v>96751</v>
      </c>
      <c r="B623" s="967" t="s">
        <v>3237</v>
      </c>
      <c r="C623" s="968">
        <v>2.5809999999999999E-4</v>
      </c>
      <c r="D623" s="968">
        <v>2.6120000000000001E-4</v>
      </c>
      <c r="E623" s="985">
        <v>115660</v>
      </c>
      <c r="F623" s="969">
        <v>394305</v>
      </c>
      <c r="G623" s="969"/>
      <c r="H623" s="970">
        <v>22716</v>
      </c>
      <c r="I623" s="971">
        <v>95737</v>
      </c>
      <c r="J623" s="970">
        <v>56312</v>
      </c>
      <c r="K623" s="969">
        <v>10810</v>
      </c>
      <c r="L623" s="971">
        <f t="shared" si="18"/>
        <v>185575</v>
      </c>
      <c r="M623" s="969"/>
      <c r="N623" s="970">
        <v>11162</v>
      </c>
      <c r="O623" s="970">
        <v>0</v>
      </c>
      <c r="P623" s="969">
        <v>31380</v>
      </c>
      <c r="Q623" s="971">
        <f t="shared" si="19"/>
        <v>42542</v>
      </c>
      <c r="R623" s="969"/>
      <c r="S623" s="970">
        <v>132881</v>
      </c>
      <c r="T623" s="972">
        <v>-737</v>
      </c>
      <c r="U623" s="972">
        <v>132144</v>
      </c>
    </row>
    <row r="624" spans="1:21" x14ac:dyDescent="0.25">
      <c r="A624" s="966">
        <v>96801</v>
      </c>
      <c r="B624" s="967" t="s">
        <v>3238</v>
      </c>
      <c r="C624" s="968">
        <v>7.5814000000000003E-3</v>
      </c>
      <c r="D624" s="968">
        <v>7.8463999999999999E-3</v>
      </c>
      <c r="E624" s="985">
        <v>3611120</v>
      </c>
      <c r="F624" s="969">
        <v>11582279</v>
      </c>
      <c r="G624" s="969"/>
      <c r="H624" s="970">
        <v>667247</v>
      </c>
      <c r="I624" s="971">
        <v>2812192</v>
      </c>
      <c r="J624" s="970">
        <v>1654110</v>
      </c>
      <c r="K624" s="969">
        <v>406857</v>
      </c>
      <c r="L624" s="971">
        <f t="shared" si="18"/>
        <v>5540406</v>
      </c>
      <c r="M624" s="969"/>
      <c r="N624" s="970">
        <v>327858</v>
      </c>
      <c r="O624" s="970">
        <v>0</v>
      </c>
      <c r="P624" s="969">
        <v>73178</v>
      </c>
      <c r="Q624" s="971">
        <f t="shared" si="19"/>
        <v>401036</v>
      </c>
      <c r="R624" s="969"/>
      <c r="S624" s="970">
        <v>3903238</v>
      </c>
      <c r="T624" s="972">
        <v>217480</v>
      </c>
      <c r="U624" s="972">
        <v>4120718</v>
      </c>
    </row>
    <row r="625" spans="1:21" x14ac:dyDescent="0.25">
      <c r="A625" s="966">
        <v>96804</v>
      </c>
      <c r="B625" s="967" t="s">
        <v>3239</v>
      </c>
      <c r="C625" s="968">
        <v>2.654E-4</v>
      </c>
      <c r="D625" s="968">
        <v>2.4230000000000001E-4</v>
      </c>
      <c r="E625" s="985">
        <v>109175</v>
      </c>
      <c r="F625" s="969">
        <v>405458</v>
      </c>
      <c r="G625" s="969"/>
      <c r="H625" s="970">
        <v>23358</v>
      </c>
      <c r="I625" s="971">
        <v>98446</v>
      </c>
      <c r="J625" s="970">
        <v>57905</v>
      </c>
      <c r="K625" s="969">
        <v>7601</v>
      </c>
      <c r="L625" s="971">
        <f t="shared" si="18"/>
        <v>187310</v>
      </c>
      <c r="M625" s="969"/>
      <c r="N625" s="970">
        <v>11477</v>
      </c>
      <c r="O625" s="970">
        <v>0</v>
      </c>
      <c r="P625" s="969">
        <v>2044</v>
      </c>
      <c r="Q625" s="971">
        <f t="shared" si="19"/>
        <v>13521</v>
      </c>
      <c r="R625" s="969"/>
      <c r="S625" s="970">
        <v>136640</v>
      </c>
      <c r="T625" s="972">
        <v>2424</v>
      </c>
      <c r="U625" s="972">
        <v>139064</v>
      </c>
    </row>
    <row r="626" spans="1:21" x14ac:dyDescent="0.25">
      <c r="A626" s="966">
        <v>96808</v>
      </c>
      <c r="B626" s="967" t="s">
        <v>3240</v>
      </c>
      <c r="C626" s="968">
        <v>1.2711000000000001E-3</v>
      </c>
      <c r="D626" s="968">
        <v>1.2882E-3</v>
      </c>
      <c r="E626" s="985">
        <v>593249</v>
      </c>
      <c r="F626" s="969">
        <v>1941889</v>
      </c>
      <c r="G626" s="969"/>
      <c r="H626" s="970">
        <v>111871</v>
      </c>
      <c r="I626" s="971">
        <v>471493</v>
      </c>
      <c r="J626" s="970">
        <v>277329</v>
      </c>
      <c r="K626" s="969">
        <v>42529</v>
      </c>
      <c r="L626" s="971">
        <f t="shared" si="18"/>
        <v>903222</v>
      </c>
      <c r="M626" s="969"/>
      <c r="N626" s="970">
        <v>54969</v>
      </c>
      <c r="O626" s="970">
        <v>0</v>
      </c>
      <c r="P626" s="969">
        <v>3699</v>
      </c>
      <c r="Q626" s="971">
        <f t="shared" si="19"/>
        <v>58668</v>
      </c>
      <c r="R626" s="969"/>
      <c r="S626" s="970">
        <v>654418</v>
      </c>
      <c r="T626" s="972">
        <v>23633</v>
      </c>
      <c r="U626" s="972">
        <v>678051</v>
      </c>
    </row>
    <row r="627" spans="1:21" x14ac:dyDescent="0.25">
      <c r="A627" s="966">
        <v>96811</v>
      </c>
      <c r="B627" s="967" t="s">
        <v>3241</v>
      </c>
      <c r="C627" s="968">
        <v>6.0096999999999998E-3</v>
      </c>
      <c r="D627" s="968">
        <v>5.9861999999999997E-3</v>
      </c>
      <c r="E627" s="985">
        <v>2786025</v>
      </c>
      <c r="F627" s="969">
        <v>9181157</v>
      </c>
      <c r="G627" s="969"/>
      <c r="H627" s="970">
        <v>528920</v>
      </c>
      <c r="I627" s="971">
        <v>2229197</v>
      </c>
      <c r="J627" s="970">
        <v>1311196</v>
      </c>
      <c r="K627" s="969">
        <v>37410</v>
      </c>
      <c r="L627" s="971">
        <f t="shared" si="18"/>
        <v>4106723</v>
      </c>
      <c r="M627" s="969"/>
      <c r="N627" s="970">
        <v>259889</v>
      </c>
      <c r="O627" s="970">
        <v>0</v>
      </c>
      <c r="P627" s="969">
        <v>53500</v>
      </c>
      <c r="Q627" s="971">
        <f t="shared" si="19"/>
        <v>313389</v>
      </c>
      <c r="R627" s="969"/>
      <c r="S627" s="970">
        <v>3094058</v>
      </c>
      <c r="T627" s="972">
        <v>-23369</v>
      </c>
      <c r="U627" s="972">
        <v>3070689</v>
      </c>
    </row>
    <row r="628" spans="1:21" x14ac:dyDescent="0.25">
      <c r="A628" s="966">
        <v>96821</v>
      </c>
      <c r="B628" s="967" t="s">
        <v>3242</v>
      </c>
      <c r="C628" s="968">
        <v>1.3247000000000001E-3</v>
      </c>
      <c r="D628" s="968">
        <v>1.3630999999999999E-3</v>
      </c>
      <c r="E628" s="985">
        <v>603956</v>
      </c>
      <c r="F628" s="969">
        <v>2023775</v>
      </c>
      <c r="G628" s="969"/>
      <c r="H628" s="970">
        <v>116588</v>
      </c>
      <c r="I628" s="971">
        <v>491375</v>
      </c>
      <c r="J628" s="970">
        <v>289023</v>
      </c>
      <c r="K628" s="969">
        <v>0</v>
      </c>
      <c r="L628" s="971">
        <f t="shared" si="18"/>
        <v>896986</v>
      </c>
      <c r="M628" s="969"/>
      <c r="N628" s="970">
        <v>57287</v>
      </c>
      <c r="O628" s="970">
        <v>0</v>
      </c>
      <c r="P628" s="969">
        <v>134629</v>
      </c>
      <c r="Q628" s="971">
        <f t="shared" si="19"/>
        <v>191916</v>
      </c>
      <c r="R628" s="969"/>
      <c r="S628" s="970">
        <v>682014</v>
      </c>
      <c r="T628" s="972">
        <v>-54878</v>
      </c>
      <c r="U628" s="972">
        <v>627136</v>
      </c>
    </row>
    <row r="629" spans="1:21" x14ac:dyDescent="0.25">
      <c r="A629" s="966">
        <v>96831</v>
      </c>
      <c r="B629" s="967" t="s">
        <v>3243</v>
      </c>
      <c r="C629" s="968">
        <v>9.1929999999999996E-4</v>
      </c>
      <c r="D629" s="968">
        <v>9.2400000000000002E-4</v>
      </c>
      <c r="E629" s="985">
        <v>426593</v>
      </c>
      <c r="F629" s="969">
        <v>1404436</v>
      </c>
      <c r="G629" s="969"/>
      <c r="H629" s="970">
        <v>80909</v>
      </c>
      <c r="I629" s="971">
        <v>340998</v>
      </c>
      <c r="J629" s="970">
        <v>200573</v>
      </c>
      <c r="K629" s="969">
        <v>37726</v>
      </c>
      <c r="L629" s="971">
        <f t="shared" si="18"/>
        <v>660206</v>
      </c>
      <c r="M629" s="969"/>
      <c r="N629" s="970">
        <v>39755</v>
      </c>
      <c r="O629" s="970">
        <v>0</v>
      </c>
      <c r="P629" s="969">
        <v>0</v>
      </c>
      <c r="Q629" s="971">
        <f t="shared" si="19"/>
        <v>39755</v>
      </c>
      <c r="R629" s="969"/>
      <c r="S629" s="970">
        <v>473296</v>
      </c>
      <c r="T629" s="972">
        <v>19380</v>
      </c>
      <c r="U629" s="972">
        <v>492676</v>
      </c>
    </row>
    <row r="630" spans="1:21" x14ac:dyDescent="0.25">
      <c r="A630" s="966">
        <v>96901</v>
      </c>
      <c r="B630" s="967" t="s">
        <v>3244</v>
      </c>
      <c r="C630" s="968">
        <v>8.9820000000000004E-4</v>
      </c>
      <c r="D630" s="968">
        <v>8.1610000000000005E-4</v>
      </c>
      <c r="E630" s="985">
        <v>411770</v>
      </c>
      <c r="F630" s="969">
        <v>1372201</v>
      </c>
      <c r="G630" s="969"/>
      <c r="H630" s="970">
        <v>79051</v>
      </c>
      <c r="I630" s="971">
        <v>333172</v>
      </c>
      <c r="J630" s="970">
        <v>195969</v>
      </c>
      <c r="K630" s="969">
        <v>85745</v>
      </c>
      <c r="L630" s="971">
        <f t="shared" si="18"/>
        <v>693937</v>
      </c>
      <c r="M630" s="969"/>
      <c r="N630" s="970">
        <v>38843</v>
      </c>
      <c r="O630" s="970">
        <v>0</v>
      </c>
      <c r="P630" s="969">
        <v>0</v>
      </c>
      <c r="Q630" s="971">
        <f t="shared" si="19"/>
        <v>38843</v>
      </c>
      <c r="R630" s="969"/>
      <c r="S630" s="970">
        <v>462433</v>
      </c>
      <c r="T630" s="972">
        <v>28927</v>
      </c>
      <c r="U630" s="972">
        <v>491360</v>
      </c>
    </row>
    <row r="631" spans="1:21" x14ac:dyDescent="0.25">
      <c r="A631" s="966">
        <v>96911</v>
      </c>
      <c r="B631" s="967" t="s">
        <v>3245</v>
      </c>
      <c r="C631" s="968">
        <v>2.3999999999999999E-6</v>
      </c>
      <c r="D631" s="968">
        <v>3.7000000000000002E-6</v>
      </c>
      <c r="E631" s="985">
        <v>1942</v>
      </c>
      <c r="F631" s="969">
        <v>3667</v>
      </c>
      <c r="G631" s="969"/>
      <c r="H631" s="970">
        <v>211</v>
      </c>
      <c r="I631" s="971">
        <v>890</v>
      </c>
      <c r="J631" s="970">
        <v>524</v>
      </c>
      <c r="K631" s="969">
        <v>2464</v>
      </c>
      <c r="L631" s="971">
        <f t="shared" si="18"/>
        <v>4089</v>
      </c>
      <c r="M631" s="969"/>
      <c r="N631" s="970">
        <v>104</v>
      </c>
      <c r="O631" s="970">
        <v>0</v>
      </c>
      <c r="P631" s="969">
        <v>2953</v>
      </c>
      <c r="Q631" s="971">
        <f t="shared" si="19"/>
        <v>3057</v>
      </c>
      <c r="R631" s="969"/>
      <c r="S631" s="970">
        <v>1236</v>
      </c>
      <c r="T631" s="972">
        <v>521</v>
      </c>
      <c r="U631" s="972">
        <f>1756+1</f>
        <v>1757</v>
      </c>
    </row>
    <row r="632" spans="1:21" x14ac:dyDescent="0.25">
      <c r="A632" s="966">
        <v>96912</v>
      </c>
      <c r="B632" s="967" t="s">
        <v>3246</v>
      </c>
      <c r="C632" s="968">
        <v>6.0099999999999997E-5</v>
      </c>
      <c r="D632" s="968">
        <v>6.0999999999999999E-5</v>
      </c>
      <c r="E632" s="985">
        <v>24610</v>
      </c>
      <c r="F632" s="969">
        <v>91816</v>
      </c>
      <c r="G632" s="969"/>
      <c r="H632" s="970">
        <v>5289</v>
      </c>
      <c r="I632" s="971">
        <v>22293</v>
      </c>
      <c r="J632" s="970">
        <v>13113</v>
      </c>
      <c r="K632" s="969">
        <v>4325</v>
      </c>
      <c r="L632" s="971">
        <f t="shared" si="18"/>
        <v>45020</v>
      </c>
      <c r="M632" s="969"/>
      <c r="N632" s="970">
        <v>2599</v>
      </c>
      <c r="O632" s="970">
        <v>0</v>
      </c>
      <c r="P632" s="969">
        <v>3739</v>
      </c>
      <c r="Q632" s="971">
        <f t="shared" si="19"/>
        <v>6338</v>
      </c>
      <c r="R632" s="969"/>
      <c r="S632" s="970">
        <v>30942</v>
      </c>
      <c r="T632" s="972">
        <v>2307</v>
      </c>
      <c r="U632" s="972">
        <v>33249</v>
      </c>
    </row>
    <row r="633" spans="1:21" x14ac:dyDescent="0.25">
      <c r="A633" s="966">
        <v>96918</v>
      </c>
      <c r="B633" s="967" t="s">
        <v>3247</v>
      </c>
      <c r="C633" s="968">
        <v>3.8000000000000002E-5</v>
      </c>
      <c r="D633" s="968">
        <v>4.0500000000000002E-5</v>
      </c>
      <c r="E633" s="985">
        <v>20289</v>
      </c>
      <c r="F633" s="969">
        <v>58053</v>
      </c>
      <c r="G633" s="969"/>
      <c r="H633" s="970">
        <v>3344</v>
      </c>
      <c r="I633" s="971">
        <v>14095</v>
      </c>
      <c r="J633" s="970">
        <v>8291</v>
      </c>
      <c r="K633" s="969">
        <v>7713</v>
      </c>
      <c r="L633" s="971">
        <f t="shared" si="18"/>
        <v>33443</v>
      </c>
      <c r="M633" s="969"/>
      <c r="N633" s="970">
        <v>1643</v>
      </c>
      <c r="O633" s="970">
        <v>0</v>
      </c>
      <c r="P633" s="969">
        <v>884</v>
      </c>
      <c r="Q633" s="971">
        <f t="shared" si="19"/>
        <v>2527</v>
      </c>
      <c r="R633" s="969"/>
      <c r="S633" s="970">
        <v>19564</v>
      </c>
      <c r="T633" s="972">
        <v>5648</v>
      </c>
      <c r="U633" s="972">
        <v>25212</v>
      </c>
    </row>
    <row r="634" spans="1:21" x14ac:dyDescent="0.25">
      <c r="A634" s="966">
        <v>97001</v>
      </c>
      <c r="B634" s="967" t="s">
        <v>3248</v>
      </c>
      <c r="C634" s="968">
        <v>1.3778E-3</v>
      </c>
      <c r="D634" s="968">
        <v>1.3641E-3</v>
      </c>
      <c r="E634" s="985">
        <v>710694</v>
      </c>
      <c r="F634" s="969">
        <v>2104897</v>
      </c>
      <c r="G634" s="969"/>
      <c r="H634" s="970">
        <v>121262</v>
      </c>
      <c r="I634" s="971">
        <v>511071</v>
      </c>
      <c r="J634" s="970">
        <v>300608</v>
      </c>
      <c r="K634" s="969">
        <v>148744</v>
      </c>
      <c r="L634" s="971">
        <f t="shared" si="18"/>
        <v>1081685</v>
      </c>
      <c r="M634" s="969"/>
      <c r="N634" s="970">
        <v>59583</v>
      </c>
      <c r="O634" s="970">
        <v>0</v>
      </c>
      <c r="P634" s="969">
        <v>11523</v>
      </c>
      <c r="Q634" s="971">
        <f t="shared" si="19"/>
        <v>71106</v>
      </c>
      <c r="R634" s="969"/>
      <c r="S634" s="970">
        <v>709352</v>
      </c>
      <c r="T634" s="972">
        <v>36360</v>
      </c>
      <c r="U634" s="972">
        <v>745712</v>
      </c>
    </row>
    <row r="635" spans="1:21" x14ac:dyDescent="0.25">
      <c r="A635" s="966">
        <v>97002</v>
      </c>
      <c r="B635" s="967" t="s">
        <v>3249</v>
      </c>
      <c r="C635" s="968">
        <v>5.2610000000000005E-4</v>
      </c>
      <c r="D635" s="968">
        <v>4.6589999999999999E-4</v>
      </c>
      <c r="E635" s="985">
        <v>182319</v>
      </c>
      <c r="F635" s="969">
        <v>803735</v>
      </c>
      <c r="G635" s="969"/>
      <c r="H635" s="970">
        <v>46303</v>
      </c>
      <c r="I635" s="971">
        <v>195148</v>
      </c>
      <c r="J635" s="970">
        <v>114784</v>
      </c>
      <c r="K635" s="969">
        <v>16832</v>
      </c>
      <c r="L635" s="971">
        <f t="shared" si="18"/>
        <v>373067</v>
      </c>
      <c r="M635" s="969"/>
      <c r="N635" s="970">
        <v>22751</v>
      </c>
      <c r="O635" s="970">
        <v>0</v>
      </c>
      <c r="P635" s="969">
        <v>7002</v>
      </c>
      <c r="Q635" s="971">
        <f t="shared" si="19"/>
        <v>29753</v>
      </c>
      <c r="R635" s="969"/>
      <c r="S635" s="970">
        <v>270859</v>
      </c>
      <c r="T635" s="972">
        <v>10025</v>
      </c>
      <c r="U635" s="972">
        <f>280885-1</f>
        <v>280884</v>
      </c>
    </row>
    <row r="636" spans="1:21" x14ac:dyDescent="0.25">
      <c r="A636" s="966">
        <v>97004</v>
      </c>
      <c r="B636" s="967" t="s">
        <v>3250</v>
      </c>
      <c r="C636" s="968">
        <v>9.7999999999999993E-6</v>
      </c>
      <c r="D636" s="968">
        <v>1.0900000000000001E-5</v>
      </c>
      <c r="E636" s="985">
        <v>8257</v>
      </c>
      <c r="F636" s="969">
        <v>14972</v>
      </c>
      <c r="G636" s="969"/>
      <c r="H636" s="970">
        <v>863</v>
      </c>
      <c r="I636" s="971">
        <v>3635</v>
      </c>
      <c r="J636" s="970">
        <v>2138</v>
      </c>
      <c r="K636" s="969">
        <v>4225</v>
      </c>
      <c r="L636" s="971">
        <f t="shared" si="18"/>
        <v>10861</v>
      </c>
      <c r="M636" s="969"/>
      <c r="N636" s="970">
        <v>424</v>
      </c>
      <c r="O636" s="970">
        <v>0</v>
      </c>
      <c r="P636" s="969">
        <v>0</v>
      </c>
      <c r="Q636" s="971">
        <f t="shared" si="19"/>
        <v>424</v>
      </c>
      <c r="R636" s="969"/>
      <c r="S636" s="970">
        <v>5045</v>
      </c>
      <c r="T636" s="972">
        <v>1862</v>
      </c>
      <c r="U636" s="972">
        <f>6908-1</f>
        <v>6907</v>
      </c>
    </row>
    <row r="637" spans="1:21" x14ac:dyDescent="0.25">
      <c r="A637" s="966">
        <v>97005</v>
      </c>
      <c r="B637" s="967" t="s">
        <v>3251</v>
      </c>
      <c r="C637" s="968">
        <v>2.83E-5</v>
      </c>
      <c r="D637" s="968">
        <v>1.42E-5</v>
      </c>
      <c r="E637" s="985">
        <v>15092</v>
      </c>
      <c r="F637" s="969">
        <v>43235</v>
      </c>
      <c r="G637" s="969"/>
      <c r="H637" s="970">
        <v>2491</v>
      </c>
      <c r="I637" s="971">
        <v>10498</v>
      </c>
      <c r="J637" s="970">
        <v>6174</v>
      </c>
      <c r="K637" s="969">
        <v>13129</v>
      </c>
      <c r="L637" s="971">
        <f t="shared" si="18"/>
        <v>32292</v>
      </c>
      <c r="M637" s="969"/>
      <c r="N637" s="970">
        <v>1224</v>
      </c>
      <c r="O637" s="970">
        <v>0</v>
      </c>
      <c r="P637" s="969">
        <v>1368</v>
      </c>
      <c r="Q637" s="971">
        <f t="shared" si="19"/>
        <v>2592</v>
      </c>
      <c r="R637" s="969"/>
      <c r="S637" s="970">
        <v>14570</v>
      </c>
      <c r="T637" s="972">
        <v>3211</v>
      </c>
      <c r="U637" s="972">
        <v>17781</v>
      </c>
    </row>
    <row r="638" spans="1:21" x14ac:dyDescent="0.25">
      <c r="A638" s="966">
        <v>97008</v>
      </c>
      <c r="B638" s="967" t="s">
        <v>3252</v>
      </c>
      <c r="C638" s="968">
        <v>2.8659999999999997E-4</v>
      </c>
      <c r="D638" s="968">
        <v>2.7530000000000002E-4</v>
      </c>
      <c r="E638" s="985">
        <v>128453</v>
      </c>
      <c r="F638" s="969">
        <v>437845</v>
      </c>
      <c r="G638" s="969"/>
      <c r="H638" s="970">
        <v>25224</v>
      </c>
      <c r="I638" s="971">
        <v>106309</v>
      </c>
      <c r="J638" s="970">
        <v>62530</v>
      </c>
      <c r="K638" s="969">
        <v>12387</v>
      </c>
      <c r="L638" s="971">
        <f t="shared" si="18"/>
        <v>206450</v>
      </c>
      <c r="M638" s="969"/>
      <c r="N638" s="970">
        <v>12394</v>
      </c>
      <c r="O638" s="970">
        <v>0</v>
      </c>
      <c r="P638" s="969">
        <v>3127</v>
      </c>
      <c r="Q638" s="971">
        <f t="shared" si="19"/>
        <v>15521</v>
      </c>
      <c r="R638" s="969"/>
      <c r="S638" s="970">
        <v>147554</v>
      </c>
      <c r="T638" s="972">
        <v>7175</v>
      </c>
      <c r="U638" s="972">
        <v>154729</v>
      </c>
    </row>
    <row r="639" spans="1:21" x14ac:dyDescent="0.25">
      <c r="A639" s="966">
        <v>97010</v>
      </c>
      <c r="B639" s="967" t="s">
        <v>3253</v>
      </c>
      <c r="C639" s="968">
        <v>0</v>
      </c>
      <c r="D639" s="968">
        <v>0</v>
      </c>
      <c r="E639" s="985" t="e">
        <v>#N/A</v>
      </c>
      <c r="F639" s="969">
        <v>0</v>
      </c>
      <c r="G639" s="969"/>
      <c r="H639" s="970">
        <v>0</v>
      </c>
      <c r="I639" s="971">
        <v>0</v>
      </c>
      <c r="J639" s="970">
        <v>0</v>
      </c>
      <c r="K639" s="969">
        <v>0</v>
      </c>
      <c r="L639" s="971">
        <f t="shared" si="18"/>
        <v>0</v>
      </c>
      <c r="M639" s="969"/>
      <c r="N639" s="970">
        <v>0</v>
      </c>
      <c r="O639" s="970">
        <v>0</v>
      </c>
      <c r="P639" s="969">
        <v>2056902</v>
      </c>
      <c r="Q639" s="971">
        <f t="shared" si="19"/>
        <v>2056902</v>
      </c>
      <c r="R639" s="969"/>
      <c r="S639" s="970">
        <v>0</v>
      </c>
      <c r="T639" s="972">
        <v>-1282454</v>
      </c>
      <c r="U639" s="972">
        <v>-1282454</v>
      </c>
    </row>
    <row r="640" spans="1:21" x14ac:dyDescent="0.25">
      <c r="A640" s="966">
        <v>97011</v>
      </c>
      <c r="B640" s="967" t="s">
        <v>3254</v>
      </c>
      <c r="C640" s="968">
        <v>1.9166999999999999E-3</v>
      </c>
      <c r="D640" s="968">
        <v>1.9522999999999999E-3</v>
      </c>
      <c r="E640" s="985">
        <v>907458</v>
      </c>
      <c r="F640" s="969">
        <v>2928187</v>
      </c>
      <c r="G640" s="969"/>
      <c r="H640" s="970">
        <v>168691</v>
      </c>
      <c r="I640" s="971">
        <v>710967</v>
      </c>
      <c r="J640" s="970">
        <v>418186</v>
      </c>
      <c r="K640" s="969">
        <v>0</v>
      </c>
      <c r="L640" s="971">
        <f t="shared" si="18"/>
        <v>1297844</v>
      </c>
      <c r="M640" s="969"/>
      <c r="N640" s="970">
        <v>82888</v>
      </c>
      <c r="O640" s="970">
        <v>0</v>
      </c>
      <c r="P640" s="969">
        <v>92552</v>
      </c>
      <c r="Q640" s="971">
        <f t="shared" si="19"/>
        <v>175440</v>
      </c>
      <c r="R640" s="969"/>
      <c r="S640" s="970">
        <v>986801</v>
      </c>
      <c r="T640" s="972">
        <v>-38711</v>
      </c>
      <c r="U640" s="972">
        <v>948090</v>
      </c>
    </row>
    <row r="641" spans="1:21" x14ac:dyDescent="0.25">
      <c r="A641" s="966">
        <v>97012</v>
      </c>
      <c r="B641" s="967" t="s">
        <v>3255</v>
      </c>
      <c r="C641" s="968">
        <v>2.9499999999999999E-5</v>
      </c>
      <c r="D641" s="968">
        <v>2.4499999999999999E-5</v>
      </c>
      <c r="E641" s="985">
        <v>12375</v>
      </c>
      <c r="F641" s="969">
        <v>45068</v>
      </c>
      <c r="G641" s="969"/>
      <c r="H641" s="970">
        <v>2596</v>
      </c>
      <c r="I641" s="971">
        <v>10942</v>
      </c>
      <c r="J641" s="970">
        <v>6436</v>
      </c>
      <c r="K641" s="969">
        <v>4949</v>
      </c>
      <c r="L641" s="971">
        <f t="shared" si="18"/>
        <v>24923</v>
      </c>
      <c r="M641" s="969"/>
      <c r="N641" s="970">
        <v>1276</v>
      </c>
      <c r="O641" s="970">
        <v>0</v>
      </c>
      <c r="P641" s="969">
        <v>1149</v>
      </c>
      <c r="Q641" s="971">
        <f t="shared" si="19"/>
        <v>2425</v>
      </c>
      <c r="R641" s="969"/>
      <c r="S641" s="970">
        <v>15188</v>
      </c>
      <c r="T641" s="972">
        <v>752</v>
      </c>
      <c r="U641" s="972">
        <v>15940</v>
      </c>
    </row>
    <row r="642" spans="1:21" x14ac:dyDescent="0.25">
      <c r="A642" s="966">
        <v>97013</v>
      </c>
      <c r="B642" s="967" t="s">
        <v>3256</v>
      </c>
      <c r="C642" s="968">
        <v>1.8199999999999999E-5</v>
      </c>
      <c r="D642" s="968">
        <v>2.0699999999999998E-5</v>
      </c>
      <c r="E642" s="985">
        <v>11433</v>
      </c>
      <c r="F642" s="969">
        <v>27805</v>
      </c>
      <c r="G642" s="969"/>
      <c r="H642" s="970">
        <v>1602</v>
      </c>
      <c r="I642" s="971">
        <v>6751</v>
      </c>
      <c r="J642" s="970">
        <v>3971</v>
      </c>
      <c r="K642" s="969">
        <v>6233</v>
      </c>
      <c r="L642" s="971">
        <f t="shared" si="18"/>
        <v>18557</v>
      </c>
      <c r="M642" s="969"/>
      <c r="N642" s="970">
        <v>787</v>
      </c>
      <c r="O642" s="970">
        <v>0</v>
      </c>
      <c r="P642" s="969">
        <v>431</v>
      </c>
      <c r="Q642" s="971">
        <f t="shared" si="19"/>
        <v>1218</v>
      </c>
      <c r="R642" s="969"/>
      <c r="S642" s="970">
        <v>9370</v>
      </c>
      <c r="T642" s="972">
        <v>2046</v>
      </c>
      <c r="U642" s="972">
        <v>11416</v>
      </c>
    </row>
    <row r="643" spans="1:21" x14ac:dyDescent="0.25">
      <c r="A643" s="966">
        <v>97015</v>
      </c>
      <c r="B643" s="967" t="s">
        <v>3257</v>
      </c>
      <c r="C643" s="968">
        <v>4.1499999999999999E-5</v>
      </c>
      <c r="D643" s="968">
        <v>5.3699999999999997E-5</v>
      </c>
      <c r="E643" s="985">
        <v>23036</v>
      </c>
      <c r="F643" s="969">
        <v>63401</v>
      </c>
      <c r="G643" s="969"/>
      <c r="H643" s="970">
        <v>3652</v>
      </c>
      <c r="I643" s="971">
        <v>15394</v>
      </c>
      <c r="J643" s="970">
        <v>9054</v>
      </c>
      <c r="K643" s="969">
        <v>4608</v>
      </c>
      <c r="L643" s="971">
        <f t="shared" si="18"/>
        <v>32708</v>
      </c>
      <c r="M643" s="969"/>
      <c r="N643" s="970">
        <v>1795</v>
      </c>
      <c r="O643" s="970">
        <v>0</v>
      </c>
      <c r="P643" s="969">
        <v>5783</v>
      </c>
      <c r="Q643" s="971">
        <f t="shared" si="19"/>
        <v>7578</v>
      </c>
      <c r="R643" s="969"/>
      <c r="S643" s="970">
        <v>21366</v>
      </c>
      <c r="T643" s="972">
        <v>26</v>
      </c>
      <c r="U643" s="972">
        <v>21392</v>
      </c>
    </row>
    <row r="644" spans="1:21" x14ac:dyDescent="0.25">
      <c r="A644" s="966">
        <v>97018</v>
      </c>
      <c r="B644" s="967" t="s">
        <v>3258</v>
      </c>
      <c r="C644" s="968">
        <v>8.6000000000000007E-6</v>
      </c>
      <c r="D644" s="968">
        <v>9.3999999999999998E-6</v>
      </c>
      <c r="E644" s="985">
        <v>8135</v>
      </c>
      <c r="F644" s="969">
        <v>13138</v>
      </c>
      <c r="G644" s="969"/>
      <c r="H644" s="970">
        <v>757</v>
      </c>
      <c r="I644" s="971">
        <v>3190</v>
      </c>
      <c r="J644" s="970">
        <v>1876</v>
      </c>
      <c r="K644" s="969">
        <v>6833</v>
      </c>
      <c r="L644" s="971">
        <f t="shared" si="18"/>
        <v>12656</v>
      </c>
      <c r="M644" s="969"/>
      <c r="N644" s="970">
        <v>372</v>
      </c>
      <c r="O644" s="970">
        <v>0</v>
      </c>
      <c r="P644" s="969">
        <v>0</v>
      </c>
      <c r="Q644" s="971">
        <f t="shared" si="19"/>
        <v>372</v>
      </c>
      <c r="R644" s="969"/>
      <c r="S644" s="970">
        <v>4428</v>
      </c>
      <c r="T644" s="972">
        <v>2806</v>
      </c>
      <c r="U644" s="972">
        <v>7234</v>
      </c>
    </row>
    <row r="645" spans="1:21" x14ac:dyDescent="0.25">
      <c r="A645" s="966">
        <v>97101</v>
      </c>
      <c r="B645" s="967" t="s">
        <v>3259</v>
      </c>
      <c r="C645" s="968">
        <v>2.5790000000000001E-3</v>
      </c>
      <c r="D645" s="968">
        <v>2.6029E-3</v>
      </c>
      <c r="E645" s="985">
        <v>1208500</v>
      </c>
      <c r="F645" s="969">
        <v>3939998</v>
      </c>
      <c r="G645" s="969"/>
      <c r="H645" s="970">
        <v>226980</v>
      </c>
      <c r="I645" s="971">
        <v>956636</v>
      </c>
      <c r="J645" s="970">
        <v>562686</v>
      </c>
      <c r="K645" s="969">
        <v>22549</v>
      </c>
      <c r="L645" s="971">
        <f t="shared" si="18"/>
        <v>1768851</v>
      </c>
      <c r="M645" s="969"/>
      <c r="N645" s="970">
        <v>111529</v>
      </c>
      <c r="O645" s="970">
        <v>0</v>
      </c>
      <c r="P645" s="969">
        <v>6937</v>
      </c>
      <c r="Q645" s="971">
        <f t="shared" si="19"/>
        <v>118466</v>
      </c>
      <c r="R645" s="969"/>
      <c r="S645" s="970">
        <v>1327783</v>
      </c>
      <c r="T645" s="972">
        <v>3541</v>
      </c>
      <c r="U645" s="972">
        <v>1331324</v>
      </c>
    </row>
    <row r="646" spans="1:21" x14ac:dyDescent="0.25">
      <c r="A646" s="966">
        <v>97104</v>
      </c>
      <c r="B646" s="967" t="s">
        <v>3260</v>
      </c>
      <c r="C646" s="968">
        <v>5.4299999999999998E-5</v>
      </c>
      <c r="D646" s="968">
        <v>5.6799999999999998E-5</v>
      </c>
      <c r="E646" s="985">
        <v>29147</v>
      </c>
      <c r="F646" s="969">
        <v>82955</v>
      </c>
      <c r="G646" s="969"/>
      <c r="H646" s="970">
        <v>4779</v>
      </c>
      <c r="I646" s="971">
        <v>20142</v>
      </c>
      <c r="J646" s="970">
        <v>11847</v>
      </c>
      <c r="K646" s="969">
        <v>11700</v>
      </c>
      <c r="L646" s="971">
        <f t="shared" si="18"/>
        <v>48468</v>
      </c>
      <c r="M646" s="969"/>
      <c r="N646" s="970">
        <v>2348</v>
      </c>
      <c r="O646" s="970">
        <v>0</v>
      </c>
      <c r="P646" s="969">
        <v>0</v>
      </c>
      <c r="Q646" s="971">
        <f t="shared" si="19"/>
        <v>2348</v>
      </c>
      <c r="R646" s="969"/>
      <c r="S646" s="970">
        <v>27956</v>
      </c>
      <c r="T646" s="972">
        <v>6133</v>
      </c>
      <c r="U646" s="972">
        <v>34089</v>
      </c>
    </row>
    <row r="647" spans="1:21" x14ac:dyDescent="0.25">
      <c r="A647" s="966">
        <v>97111</v>
      </c>
      <c r="B647" s="967" t="s">
        <v>3261</v>
      </c>
      <c r="C647" s="968">
        <v>2.8200000000000002E-4</v>
      </c>
      <c r="D647" s="968">
        <v>2.7099999999999997E-4</v>
      </c>
      <c r="E647" s="985">
        <v>108871</v>
      </c>
      <c r="F647" s="969">
        <v>430818</v>
      </c>
      <c r="G647" s="969"/>
      <c r="H647" s="970">
        <v>24819</v>
      </c>
      <c r="I647" s="971">
        <v>104603</v>
      </c>
      <c r="J647" s="970">
        <v>61527</v>
      </c>
      <c r="K647" s="969">
        <v>7621</v>
      </c>
      <c r="L647" s="971">
        <f t="shared" ref="L647:L710" si="20">H647+I647+J647+K647</f>
        <v>198570</v>
      </c>
      <c r="M647" s="969"/>
      <c r="N647" s="970">
        <v>12195</v>
      </c>
      <c r="O647" s="970">
        <v>0</v>
      </c>
      <c r="P647" s="969">
        <v>20335</v>
      </c>
      <c r="Q647" s="971">
        <f t="shared" ref="Q647:Q710" si="21">N647+O647+P647</f>
        <v>32530</v>
      </c>
      <c r="R647" s="969"/>
      <c r="S647" s="970">
        <v>145186</v>
      </c>
      <c r="T647" s="972">
        <v>-1416</v>
      </c>
      <c r="U647" s="972">
        <v>143770</v>
      </c>
    </row>
    <row r="648" spans="1:21" x14ac:dyDescent="0.25">
      <c r="A648" s="966">
        <v>97121</v>
      </c>
      <c r="B648" s="967" t="s">
        <v>3262</v>
      </c>
      <c r="C648" s="968">
        <v>1.3640000000000001E-4</v>
      </c>
      <c r="D648" s="968">
        <v>1.2070000000000001E-4</v>
      </c>
      <c r="E648" s="985">
        <v>66522</v>
      </c>
      <c r="F648" s="969">
        <v>208381</v>
      </c>
      <c r="G648" s="969"/>
      <c r="H648" s="970">
        <v>12005</v>
      </c>
      <c r="I648" s="971">
        <v>50595</v>
      </c>
      <c r="J648" s="970">
        <v>29760</v>
      </c>
      <c r="K648" s="969">
        <v>13649</v>
      </c>
      <c r="L648" s="971">
        <f t="shared" si="20"/>
        <v>106009</v>
      </c>
      <c r="M648" s="969"/>
      <c r="N648" s="970">
        <v>5899</v>
      </c>
      <c r="O648" s="970">
        <v>0</v>
      </c>
      <c r="P648" s="969">
        <v>10026</v>
      </c>
      <c r="Q648" s="971">
        <f t="shared" si="21"/>
        <v>15925</v>
      </c>
      <c r="R648" s="969"/>
      <c r="S648" s="970">
        <v>70225</v>
      </c>
      <c r="T648" s="972">
        <v>-1103</v>
      </c>
      <c r="U648" s="972">
        <v>69122</v>
      </c>
    </row>
    <row r="649" spans="1:21" x14ac:dyDescent="0.25">
      <c r="A649" s="966">
        <v>97131</v>
      </c>
      <c r="B649" s="967" t="s">
        <v>3263</v>
      </c>
      <c r="C649" s="968">
        <v>7.358E-4</v>
      </c>
      <c r="D649" s="968">
        <v>6.2969999999999996E-4</v>
      </c>
      <c r="E649" s="985">
        <v>280483</v>
      </c>
      <c r="F649" s="969">
        <v>1124099</v>
      </c>
      <c r="G649" s="969"/>
      <c r="H649" s="970">
        <v>64758</v>
      </c>
      <c r="I649" s="971">
        <v>272933</v>
      </c>
      <c r="J649" s="970">
        <v>160537</v>
      </c>
      <c r="K649" s="969">
        <v>29703</v>
      </c>
      <c r="L649" s="971">
        <f t="shared" si="20"/>
        <v>527931</v>
      </c>
      <c r="M649" s="969"/>
      <c r="N649" s="970">
        <v>31820</v>
      </c>
      <c r="O649" s="970">
        <v>0</v>
      </c>
      <c r="P649" s="969">
        <v>2383</v>
      </c>
      <c r="Q649" s="971">
        <f t="shared" si="21"/>
        <v>34203</v>
      </c>
      <c r="R649" s="969"/>
      <c r="S649" s="970">
        <v>378822</v>
      </c>
      <c r="T649" s="972">
        <v>7857</v>
      </c>
      <c r="U649" s="972">
        <v>386679</v>
      </c>
    </row>
    <row r="650" spans="1:21" x14ac:dyDescent="0.25">
      <c r="A650" s="966">
        <v>97201</v>
      </c>
      <c r="B650" s="967" t="s">
        <v>3264</v>
      </c>
      <c r="C650" s="968">
        <v>5.2689999999999996E-4</v>
      </c>
      <c r="D650" s="968">
        <v>4.9439999999999998E-4</v>
      </c>
      <c r="E650" s="985">
        <v>248232</v>
      </c>
      <c r="F650" s="969">
        <v>804957</v>
      </c>
      <c r="G650" s="969"/>
      <c r="H650" s="970">
        <v>46373</v>
      </c>
      <c r="I650" s="971">
        <v>195445</v>
      </c>
      <c r="J650" s="970">
        <v>114959</v>
      </c>
      <c r="K650" s="969">
        <v>43529</v>
      </c>
      <c r="L650" s="971">
        <f t="shared" si="20"/>
        <v>400306</v>
      </c>
      <c r="M650" s="969"/>
      <c r="N650" s="970">
        <v>22786</v>
      </c>
      <c r="O650" s="970">
        <v>0</v>
      </c>
      <c r="P650" s="969">
        <v>1877</v>
      </c>
      <c r="Q650" s="971">
        <f t="shared" si="21"/>
        <v>24663</v>
      </c>
      <c r="R650" s="969"/>
      <c r="S650" s="970">
        <v>271271</v>
      </c>
      <c r="T650" s="972">
        <v>10950</v>
      </c>
      <c r="U650" s="972">
        <f>282222-1</f>
        <v>282221</v>
      </c>
    </row>
    <row r="651" spans="1:21" x14ac:dyDescent="0.25">
      <c r="A651" s="966">
        <v>97211</v>
      </c>
      <c r="B651" s="967" t="s">
        <v>3265</v>
      </c>
      <c r="C651" s="968">
        <v>1.5980000000000001E-4</v>
      </c>
      <c r="D651" s="968">
        <v>1.4119999999999999E-4</v>
      </c>
      <c r="E651" s="985">
        <v>74902</v>
      </c>
      <c r="F651" s="969">
        <v>244130</v>
      </c>
      <c r="G651" s="969"/>
      <c r="H651" s="970">
        <v>14064</v>
      </c>
      <c r="I651" s="971">
        <v>59275</v>
      </c>
      <c r="J651" s="970">
        <v>34865</v>
      </c>
      <c r="K651" s="969">
        <v>16009</v>
      </c>
      <c r="L651" s="971">
        <f t="shared" si="20"/>
        <v>124213</v>
      </c>
      <c r="M651" s="969"/>
      <c r="N651" s="970">
        <v>6911</v>
      </c>
      <c r="O651" s="970">
        <v>0</v>
      </c>
      <c r="P651" s="969">
        <v>12120</v>
      </c>
      <c r="Q651" s="971">
        <f t="shared" si="21"/>
        <v>19031</v>
      </c>
      <c r="R651" s="969"/>
      <c r="S651" s="970">
        <v>82272</v>
      </c>
      <c r="T651" s="972">
        <v>347</v>
      </c>
      <c r="U651" s="972">
        <v>82619</v>
      </c>
    </row>
    <row r="652" spans="1:21" x14ac:dyDescent="0.25">
      <c r="A652" s="966">
        <v>97213</v>
      </c>
      <c r="B652" s="967" t="s">
        <v>3266</v>
      </c>
      <c r="C652" s="968">
        <v>3.9100000000000002E-5</v>
      </c>
      <c r="D652" s="968">
        <v>3.8300000000000003E-5</v>
      </c>
      <c r="E652" s="985">
        <v>24680</v>
      </c>
      <c r="F652" s="969">
        <v>59734</v>
      </c>
      <c r="G652" s="969"/>
      <c r="H652" s="970">
        <v>3441</v>
      </c>
      <c r="I652" s="971">
        <v>14504</v>
      </c>
      <c r="J652" s="970">
        <v>8531</v>
      </c>
      <c r="K652" s="969">
        <v>6715</v>
      </c>
      <c r="L652" s="971">
        <f t="shared" si="20"/>
        <v>33191</v>
      </c>
      <c r="M652" s="969"/>
      <c r="N652" s="970">
        <v>1691</v>
      </c>
      <c r="O652" s="970">
        <v>0</v>
      </c>
      <c r="P652" s="969">
        <v>495</v>
      </c>
      <c r="Q652" s="971">
        <f t="shared" si="21"/>
        <v>2186</v>
      </c>
      <c r="R652" s="969"/>
      <c r="S652" s="970">
        <v>20130</v>
      </c>
      <c r="T652" s="972">
        <v>2057</v>
      </c>
      <c r="U652" s="972">
        <v>22187</v>
      </c>
    </row>
    <row r="653" spans="1:21" x14ac:dyDescent="0.25">
      <c r="A653" s="966">
        <v>97217</v>
      </c>
      <c r="B653" s="967" t="s">
        <v>3267</v>
      </c>
      <c r="C653" s="968">
        <v>4.6E-6</v>
      </c>
      <c r="D653" s="968">
        <v>4.8999999999999997E-6</v>
      </c>
      <c r="E653" s="985">
        <v>6890</v>
      </c>
      <c r="F653" s="969">
        <v>7028</v>
      </c>
      <c r="G653" s="969"/>
      <c r="H653" s="970">
        <v>405</v>
      </c>
      <c r="I653" s="971">
        <v>1706</v>
      </c>
      <c r="J653" s="970">
        <v>1004</v>
      </c>
      <c r="K653" s="969">
        <v>8215</v>
      </c>
      <c r="L653" s="971">
        <f t="shared" si="20"/>
        <v>11330</v>
      </c>
      <c r="M653" s="969"/>
      <c r="N653" s="970">
        <v>199</v>
      </c>
      <c r="O653" s="970">
        <v>0</v>
      </c>
      <c r="P653" s="969">
        <v>0</v>
      </c>
      <c r="Q653" s="971">
        <f t="shared" si="21"/>
        <v>199</v>
      </c>
      <c r="R653" s="969"/>
      <c r="S653" s="970">
        <v>2368</v>
      </c>
      <c r="T653" s="972">
        <v>3286</v>
      </c>
      <c r="U653" s="972">
        <v>5654</v>
      </c>
    </row>
    <row r="654" spans="1:21" x14ac:dyDescent="0.25">
      <c r="A654" s="966">
        <v>97221</v>
      </c>
      <c r="B654" s="967" t="s">
        <v>3268</v>
      </c>
      <c r="C654" s="968">
        <v>7.1999999999999997E-6</v>
      </c>
      <c r="D654" s="968">
        <v>6.1999999999999999E-6</v>
      </c>
      <c r="E654" s="985">
        <v>7778</v>
      </c>
      <c r="F654" s="969">
        <v>11000</v>
      </c>
      <c r="G654" s="969"/>
      <c r="H654" s="970">
        <v>634</v>
      </c>
      <c r="I654" s="971">
        <v>2670</v>
      </c>
      <c r="J654" s="970">
        <v>1571</v>
      </c>
      <c r="K654" s="969">
        <v>8086</v>
      </c>
      <c r="L654" s="971">
        <f t="shared" si="20"/>
        <v>12961</v>
      </c>
      <c r="M654" s="969"/>
      <c r="N654" s="970">
        <v>311</v>
      </c>
      <c r="O654" s="970">
        <v>0</v>
      </c>
      <c r="P654" s="969">
        <v>0</v>
      </c>
      <c r="Q654" s="971">
        <f t="shared" si="21"/>
        <v>311</v>
      </c>
      <c r="R654" s="969"/>
      <c r="S654" s="970">
        <v>3707</v>
      </c>
      <c r="T654" s="972">
        <v>3119</v>
      </c>
      <c r="U654" s="972">
        <v>6826</v>
      </c>
    </row>
    <row r="655" spans="1:21" x14ac:dyDescent="0.25">
      <c r="A655" s="966">
        <v>97301</v>
      </c>
      <c r="B655" s="967" t="s">
        <v>3269</v>
      </c>
      <c r="C655" s="968">
        <v>2.5135999999999999E-3</v>
      </c>
      <c r="D655" s="968">
        <v>2.5742E-3</v>
      </c>
      <c r="E655" s="985">
        <v>1186932</v>
      </c>
      <c r="F655" s="969">
        <v>3840085</v>
      </c>
      <c r="G655" s="969"/>
      <c r="H655" s="970">
        <v>221224</v>
      </c>
      <c r="I655" s="971">
        <v>932377</v>
      </c>
      <c r="J655" s="970">
        <v>548417</v>
      </c>
      <c r="K655" s="969">
        <v>23710</v>
      </c>
      <c r="L655" s="971">
        <f t="shared" si="20"/>
        <v>1725728</v>
      </c>
      <c r="M655" s="969"/>
      <c r="N655" s="970">
        <v>108701</v>
      </c>
      <c r="O655" s="970">
        <v>0</v>
      </c>
      <c r="P655" s="969">
        <v>56463</v>
      </c>
      <c r="Q655" s="971">
        <f t="shared" si="21"/>
        <v>165164</v>
      </c>
      <c r="R655" s="969"/>
      <c r="S655" s="970">
        <v>1294112</v>
      </c>
      <c r="T655" s="972">
        <v>-10667</v>
      </c>
      <c r="U655" s="972">
        <v>1283445</v>
      </c>
    </row>
    <row r="656" spans="1:21" x14ac:dyDescent="0.25">
      <c r="A656" s="966">
        <v>97304</v>
      </c>
      <c r="B656" s="967" t="s">
        <v>3270</v>
      </c>
      <c r="C656" s="968">
        <v>1.6799999999999998E-5</v>
      </c>
      <c r="D656" s="968">
        <v>1.7600000000000001E-5</v>
      </c>
      <c r="E656" s="985">
        <v>13382</v>
      </c>
      <c r="F656" s="969">
        <v>25666</v>
      </c>
      <c r="G656" s="969"/>
      <c r="H656" s="970">
        <v>1479</v>
      </c>
      <c r="I656" s="971">
        <v>6232</v>
      </c>
      <c r="J656" s="970">
        <v>3665</v>
      </c>
      <c r="K656" s="969">
        <v>8739</v>
      </c>
      <c r="L656" s="971">
        <f t="shared" si="20"/>
        <v>20115</v>
      </c>
      <c r="M656" s="969"/>
      <c r="N656" s="970">
        <v>727</v>
      </c>
      <c r="O656" s="970">
        <v>0</v>
      </c>
      <c r="P656" s="969">
        <v>0</v>
      </c>
      <c r="Q656" s="971">
        <f t="shared" si="21"/>
        <v>727</v>
      </c>
      <c r="R656" s="969"/>
      <c r="S656" s="970">
        <v>8649</v>
      </c>
      <c r="T656" s="972">
        <v>3503</v>
      </c>
      <c r="U656" s="972">
        <f>12153-1</f>
        <v>12152</v>
      </c>
    </row>
    <row r="657" spans="1:21" x14ac:dyDescent="0.25">
      <c r="A657" s="966">
        <v>97311</v>
      </c>
      <c r="B657" s="967" t="s">
        <v>3271</v>
      </c>
      <c r="C657" s="968">
        <v>9.1799999999999998E-4</v>
      </c>
      <c r="D657" s="968">
        <v>9.5E-4</v>
      </c>
      <c r="E657" s="985">
        <v>407124</v>
      </c>
      <c r="F657" s="969">
        <v>1402450</v>
      </c>
      <c r="G657" s="969"/>
      <c r="H657" s="970">
        <v>80794</v>
      </c>
      <c r="I657" s="971">
        <v>340516</v>
      </c>
      <c r="J657" s="970">
        <v>200289</v>
      </c>
      <c r="K657" s="969">
        <v>0</v>
      </c>
      <c r="L657" s="971">
        <f t="shared" si="20"/>
        <v>621599</v>
      </c>
      <c r="M657" s="969"/>
      <c r="N657" s="970">
        <v>39699</v>
      </c>
      <c r="O657" s="970">
        <v>0</v>
      </c>
      <c r="P657" s="969">
        <v>96844</v>
      </c>
      <c r="Q657" s="971">
        <f t="shared" si="21"/>
        <v>136543</v>
      </c>
      <c r="R657" s="969"/>
      <c r="S657" s="970">
        <v>472627</v>
      </c>
      <c r="T657" s="972">
        <v>-42048</v>
      </c>
      <c r="U657" s="972">
        <v>430579</v>
      </c>
    </row>
    <row r="658" spans="1:21" x14ac:dyDescent="0.25">
      <c r="A658" s="966">
        <v>97401</v>
      </c>
      <c r="B658" s="967" t="s">
        <v>3272</v>
      </c>
      <c r="C658" s="968">
        <v>7.1303E-3</v>
      </c>
      <c r="D658" s="968">
        <v>6.9633000000000004E-3</v>
      </c>
      <c r="E658" s="985">
        <v>3322669</v>
      </c>
      <c r="F658" s="969">
        <v>10893123</v>
      </c>
      <c r="G658" s="969"/>
      <c r="H658" s="970">
        <v>627545</v>
      </c>
      <c r="I658" s="971">
        <v>2644864</v>
      </c>
      <c r="J658" s="970">
        <v>1555689</v>
      </c>
      <c r="K658" s="969">
        <v>151378</v>
      </c>
      <c r="L658" s="971">
        <f t="shared" si="20"/>
        <v>4979476</v>
      </c>
      <c r="M658" s="969"/>
      <c r="N658" s="970">
        <v>308350</v>
      </c>
      <c r="O658" s="970">
        <v>0</v>
      </c>
      <c r="P658" s="969">
        <v>83194</v>
      </c>
      <c r="Q658" s="971">
        <f t="shared" si="21"/>
        <v>391544</v>
      </c>
      <c r="R658" s="969"/>
      <c r="S658" s="970">
        <v>3670992</v>
      </c>
      <c r="T658" s="972">
        <v>-21617</v>
      </c>
      <c r="U658" s="972">
        <v>3649375</v>
      </c>
    </row>
    <row r="659" spans="1:21" x14ac:dyDescent="0.25">
      <c r="A659" s="966">
        <v>97402</v>
      </c>
      <c r="B659" s="967" t="s">
        <v>3273</v>
      </c>
      <c r="C659" s="968">
        <v>4.8000000000000001E-5</v>
      </c>
      <c r="D659" s="968">
        <v>4.4700000000000002E-5</v>
      </c>
      <c r="E659" s="985">
        <v>25207</v>
      </c>
      <c r="F659" s="969">
        <v>73331</v>
      </c>
      <c r="G659" s="969"/>
      <c r="H659" s="970">
        <v>4225</v>
      </c>
      <c r="I659" s="971">
        <v>17804</v>
      </c>
      <c r="J659" s="970">
        <v>10473</v>
      </c>
      <c r="K659" s="969">
        <v>15704</v>
      </c>
      <c r="L659" s="971">
        <f t="shared" si="20"/>
        <v>48206</v>
      </c>
      <c r="M659" s="969"/>
      <c r="N659" s="970">
        <v>2076</v>
      </c>
      <c r="O659" s="970">
        <v>0</v>
      </c>
      <c r="P659" s="969">
        <v>0</v>
      </c>
      <c r="Q659" s="971">
        <f t="shared" si="21"/>
        <v>2076</v>
      </c>
      <c r="R659" s="969"/>
      <c r="S659" s="970">
        <v>24713</v>
      </c>
      <c r="T659" s="972">
        <v>5283</v>
      </c>
      <c r="U659" s="972">
        <f>29995+1</f>
        <v>29996</v>
      </c>
    </row>
    <row r="660" spans="1:21" x14ac:dyDescent="0.25">
      <c r="A660" s="966">
        <v>97404</v>
      </c>
      <c r="B660" s="967" t="s">
        <v>3274</v>
      </c>
      <c r="C660" s="968">
        <v>2.1010000000000001E-4</v>
      </c>
      <c r="D660" s="968">
        <v>2.1049999999999999E-4</v>
      </c>
      <c r="E660" s="985">
        <v>84649</v>
      </c>
      <c r="F660" s="969">
        <v>320975</v>
      </c>
      <c r="G660" s="969"/>
      <c r="H660" s="970">
        <v>18491</v>
      </c>
      <c r="I660" s="971">
        <v>77933</v>
      </c>
      <c r="J660" s="970">
        <v>45840</v>
      </c>
      <c r="K660" s="969">
        <v>983</v>
      </c>
      <c r="L660" s="971">
        <f t="shared" si="20"/>
        <v>143247</v>
      </c>
      <c r="M660" s="969"/>
      <c r="N660" s="970">
        <v>9086</v>
      </c>
      <c r="O660" s="970">
        <v>0</v>
      </c>
      <c r="P660" s="969">
        <v>21173</v>
      </c>
      <c r="Q660" s="971">
        <f t="shared" si="21"/>
        <v>30259</v>
      </c>
      <c r="R660" s="969"/>
      <c r="S660" s="970">
        <v>108169</v>
      </c>
      <c r="T660" s="972">
        <v>-6084</v>
      </c>
      <c r="U660" s="972">
        <f>102084+1</f>
        <v>102085</v>
      </c>
    </row>
    <row r="661" spans="1:21" x14ac:dyDescent="0.25">
      <c r="A661" s="966">
        <v>97405</v>
      </c>
      <c r="B661" s="967" t="s">
        <v>3275</v>
      </c>
      <c r="C661" s="968">
        <v>1.091E-4</v>
      </c>
      <c r="D661" s="968">
        <v>1.087E-4</v>
      </c>
      <c r="E661" s="985">
        <v>65706</v>
      </c>
      <c r="F661" s="969">
        <v>166675</v>
      </c>
      <c r="G661" s="969"/>
      <c r="H661" s="970">
        <v>9602</v>
      </c>
      <c r="I661" s="971">
        <v>40468</v>
      </c>
      <c r="J661" s="970">
        <v>23803</v>
      </c>
      <c r="K661" s="969">
        <v>26973</v>
      </c>
      <c r="L661" s="971">
        <f t="shared" si="20"/>
        <v>100846</v>
      </c>
      <c r="M661" s="969"/>
      <c r="N661" s="970">
        <v>4718</v>
      </c>
      <c r="O661" s="970">
        <v>0</v>
      </c>
      <c r="P661" s="969">
        <v>4890</v>
      </c>
      <c r="Q661" s="971">
        <f t="shared" si="21"/>
        <v>9608</v>
      </c>
      <c r="R661" s="969"/>
      <c r="S661" s="970">
        <v>56169</v>
      </c>
      <c r="T661" s="972">
        <v>4747</v>
      </c>
      <c r="U661" s="972">
        <v>60916</v>
      </c>
    </row>
    <row r="662" spans="1:21" x14ac:dyDescent="0.25">
      <c r="A662" s="966">
        <v>97408</v>
      </c>
      <c r="B662" s="967" t="s">
        <v>3276</v>
      </c>
      <c r="C662" s="968">
        <v>4.4499999999999997E-5</v>
      </c>
      <c r="D662" s="968">
        <v>4.9299999999999999E-5</v>
      </c>
      <c r="E662" s="985">
        <v>27499</v>
      </c>
      <c r="F662" s="969">
        <v>67984</v>
      </c>
      <c r="G662" s="969"/>
      <c r="H662" s="970">
        <v>3916</v>
      </c>
      <c r="I662" s="971">
        <v>16507</v>
      </c>
      <c r="J662" s="970">
        <v>9709</v>
      </c>
      <c r="K662" s="969">
        <v>7648</v>
      </c>
      <c r="L662" s="971">
        <f t="shared" si="20"/>
        <v>37780</v>
      </c>
      <c r="M662" s="969"/>
      <c r="N662" s="970">
        <v>1924</v>
      </c>
      <c r="O662" s="970">
        <v>0</v>
      </c>
      <c r="P662" s="969">
        <v>0</v>
      </c>
      <c r="Q662" s="971">
        <f t="shared" si="21"/>
        <v>1924</v>
      </c>
      <c r="R662" s="969"/>
      <c r="S662" s="970">
        <v>22911</v>
      </c>
      <c r="T662" s="972">
        <v>2984</v>
      </c>
      <c r="U662" s="972">
        <v>25895</v>
      </c>
    </row>
    <row r="663" spans="1:21" x14ac:dyDescent="0.25">
      <c r="A663" s="966">
        <v>97411</v>
      </c>
      <c r="B663" s="967" t="s">
        <v>3277</v>
      </c>
      <c r="C663" s="968">
        <v>6.6379000000000004E-3</v>
      </c>
      <c r="D663" s="968">
        <v>6.7269000000000001E-3</v>
      </c>
      <c r="E663" s="985">
        <v>2979173</v>
      </c>
      <c r="F663" s="969">
        <v>10140873</v>
      </c>
      <c r="G663" s="969"/>
      <c r="H663" s="970">
        <v>584208</v>
      </c>
      <c r="I663" s="971">
        <v>2462217</v>
      </c>
      <c r="J663" s="970">
        <v>1448257</v>
      </c>
      <c r="K663" s="969">
        <v>0</v>
      </c>
      <c r="L663" s="971">
        <f t="shared" si="20"/>
        <v>4494682</v>
      </c>
      <c r="M663" s="969"/>
      <c r="N663" s="970">
        <v>287056</v>
      </c>
      <c r="O663" s="970">
        <v>0</v>
      </c>
      <c r="P663" s="969">
        <v>679489</v>
      </c>
      <c r="Q663" s="971">
        <f t="shared" si="21"/>
        <v>966545</v>
      </c>
      <c r="R663" s="969"/>
      <c r="S663" s="970">
        <v>3417483</v>
      </c>
      <c r="T663" s="972">
        <v>-317873</v>
      </c>
      <c r="U663" s="972">
        <v>3099610</v>
      </c>
    </row>
    <row r="664" spans="1:21" x14ac:dyDescent="0.25">
      <c r="A664" s="966">
        <v>97412</v>
      </c>
      <c r="B664" s="967" t="s">
        <v>3278</v>
      </c>
      <c r="C664" s="968">
        <v>4.5082000000000004E-3</v>
      </c>
      <c r="D664" s="968">
        <v>4.424E-3</v>
      </c>
      <c r="E664" s="985">
        <v>2155644</v>
      </c>
      <c r="F664" s="969">
        <v>6887281</v>
      </c>
      <c r="G664" s="969"/>
      <c r="H664" s="970">
        <v>396771</v>
      </c>
      <c r="I664" s="971">
        <v>1672240</v>
      </c>
      <c r="J664" s="970">
        <v>983599</v>
      </c>
      <c r="K664" s="969">
        <v>229685</v>
      </c>
      <c r="L664" s="971">
        <f t="shared" si="20"/>
        <v>3282295</v>
      </c>
      <c r="M664" s="969"/>
      <c r="N664" s="970">
        <v>194957</v>
      </c>
      <c r="O664" s="970">
        <v>0</v>
      </c>
      <c r="P664" s="969">
        <v>0</v>
      </c>
      <c r="Q664" s="971">
        <f t="shared" si="21"/>
        <v>194957</v>
      </c>
      <c r="R664" s="969"/>
      <c r="S664" s="970">
        <v>2321020</v>
      </c>
      <c r="T664" s="972">
        <v>85525</v>
      </c>
      <c r="U664" s="972">
        <v>2406545</v>
      </c>
    </row>
    <row r="665" spans="1:21" x14ac:dyDescent="0.25">
      <c r="A665" s="966">
        <v>97413</v>
      </c>
      <c r="B665" s="967" t="s">
        <v>3279</v>
      </c>
      <c r="C665" s="968">
        <v>2.6570000000000001E-4</v>
      </c>
      <c r="D665" s="968">
        <v>2.7910000000000001E-4</v>
      </c>
      <c r="E665" s="985">
        <v>140809</v>
      </c>
      <c r="F665" s="969">
        <v>405916</v>
      </c>
      <c r="G665" s="969"/>
      <c r="H665" s="970">
        <v>23385</v>
      </c>
      <c r="I665" s="971">
        <v>98557</v>
      </c>
      <c r="J665" s="970">
        <v>57970</v>
      </c>
      <c r="K665" s="969">
        <v>7437</v>
      </c>
      <c r="L665" s="971">
        <f t="shared" si="20"/>
        <v>187349</v>
      </c>
      <c r="M665" s="969"/>
      <c r="N665" s="970">
        <v>11490</v>
      </c>
      <c r="O665" s="970">
        <v>0</v>
      </c>
      <c r="P665" s="969">
        <v>5304</v>
      </c>
      <c r="Q665" s="971">
        <f t="shared" si="21"/>
        <v>16794</v>
      </c>
      <c r="R665" s="969"/>
      <c r="S665" s="970">
        <v>136794</v>
      </c>
      <c r="T665" s="972">
        <v>-2913</v>
      </c>
      <c r="U665" s="972">
        <v>133881</v>
      </c>
    </row>
    <row r="666" spans="1:21" x14ac:dyDescent="0.25">
      <c r="A666" s="966">
        <v>97421</v>
      </c>
      <c r="B666" s="967" t="s">
        <v>3280</v>
      </c>
      <c r="C666" s="968">
        <v>4.2890000000000002E-4</v>
      </c>
      <c r="D666" s="968">
        <v>4.1120000000000002E-4</v>
      </c>
      <c r="E666" s="985">
        <v>192261</v>
      </c>
      <c r="F666" s="969">
        <v>655240</v>
      </c>
      <c r="G666" s="969"/>
      <c r="H666" s="970">
        <v>37748</v>
      </c>
      <c r="I666" s="971">
        <v>159093</v>
      </c>
      <c r="J666" s="970">
        <v>93577</v>
      </c>
      <c r="K666" s="969">
        <v>8155</v>
      </c>
      <c r="L666" s="971">
        <f t="shared" si="20"/>
        <v>298573</v>
      </c>
      <c r="M666" s="969"/>
      <c r="N666" s="970">
        <v>18548</v>
      </c>
      <c r="O666" s="970">
        <v>0</v>
      </c>
      <c r="P666" s="969">
        <v>24127</v>
      </c>
      <c r="Q666" s="971">
        <f t="shared" si="21"/>
        <v>42675</v>
      </c>
      <c r="R666" s="969"/>
      <c r="S666" s="970">
        <v>220817</v>
      </c>
      <c r="T666" s="972">
        <v>-14066</v>
      </c>
      <c r="U666" s="972">
        <v>206751</v>
      </c>
    </row>
    <row r="667" spans="1:21" x14ac:dyDescent="0.25">
      <c r="A667" s="966">
        <v>97423</v>
      </c>
      <c r="B667" s="967" t="s">
        <v>3281</v>
      </c>
      <c r="C667" s="968">
        <v>4.3600000000000003E-5</v>
      </c>
      <c r="D667" s="968">
        <v>4.5800000000000002E-5</v>
      </c>
      <c r="E667" s="985">
        <v>42976</v>
      </c>
      <c r="F667" s="969">
        <v>66609</v>
      </c>
      <c r="G667" s="969"/>
      <c r="H667" s="970">
        <v>3837</v>
      </c>
      <c r="I667" s="971">
        <v>16173</v>
      </c>
      <c r="J667" s="970">
        <v>9513</v>
      </c>
      <c r="K667" s="969">
        <v>35421</v>
      </c>
      <c r="L667" s="971">
        <f t="shared" si="20"/>
        <v>64944</v>
      </c>
      <c r="M667" s="969"/>
      <c r="N667" s="970">
        <v>1885</v>
      </c>
      <c r="O667" s="970">
        <v>0</v>
      </c>
      <c r="P667" s="969">
        <v>0</v>
      </c>
      <c r="Q667" s="971">
        <f t="shared" si="21"/>
        <v>1885</v>
      </c>
      <c r="R667" s="969"/>
      <c r="S667" s="970">
        <v>22447</v>
      </c>
      <c r="T667" s="972">
        <v>12225</v>
      </c>
      <c r="U667" s="972">
        <v>34672</v>
      </c>
    </row>
    <row r="668" spans="1:21" x14ac:dyDescent="0.25">
      <c r="A668" s="966">
        <v>97431</v>
      </c>
      <c r="B668" s="967" t="s">
        <v>3282</v>
      </c>
      <c r="C668" s="968">
        <v>8.5599999999999994E-5</v>
      </c>
      <c r="D668" s="968">
        <v>8.5199999999999997E-5</v>
      </c>
      <c r="E668" s="985">
        <v>44546</v>
      </c>
      <c r="F668" s="969">
        <v>130773</v>
      </c>
      <c r="G668" s="969"/>
      <c r="H668" s="970">
        <v>7534</v>
      </c>
      <c r="I668" s="971">
        <v>31751</v>
      </c>
      <c r="J668" s="970">
        <v>18676</v>
      </c>
      <c r="K668" s="969">
        <v>6440</v>
      </c>
      <c r="L668" s="971">
        <f t="shared" si="20"/>
        <v>64401</v>
      </c>
      <c r="M668" s="969"/>
      <c r="N668" s="970">
        <v>3702</v>
      </c>
      <c r="O668" s="970">
        <v>0</v>
      </c>
      <c r="P668" s="969">
        <v>0</v>
      </c>
      <c r="Q668" s="971">
        <f t="shared" si="21"/>
        <v>3702</v>
      </c>
      <c r="R668" s="969"/>
      <c r="S668" s="970">
        <v>44071</v>
      </c>
      <c r="T668" s="972">
        <v>2026</v>
      </c>
      <c r="U668" s="972">
        <v>46097</v>
      </c>
    </row>
    <row r="669" spans="1:21" x14ac:dyDescent="0.25">
      <c r="A669" s="966">
        <v>97441</v>
      </c>
      <c r="B669" s="967" t="s">
        <v>3283</v>
      </c>
      <c r="C669" s="968">
        <v>7.5799999999999999E-5</v>
      </c>
      <c r="D669" s="968">
        <v>7.0500000000000006E-5</v>
      </c>
      <c r="E669" s="985">
        <v>25244</v>
      </c>
      <c r="F669" s="969">
        <v>115801</v>
      </c>
      <c r="G669" s="969"/>
      <c r="H669" s="970">
        <v>6671</v>
      </c>
      <c r="I669" s="971">
        <v>28117</v>
      </c>
      <c r="J669" s="970">
        <v>16538</v>
      </c>
      <c r="K669" s="969">
        <v>202</v>
      </c>
      <c r="L669" s="971">
        <f t="shared" si="20"/>
        <v>51528</v>
      </c>
      <c r="M669" s="969"/>
      <c r="N669" s="970">
        <v>3278</v>
      </c>
      <c r="O669" s="970">
        <v>0</v>
      </c>
      <c r="P669" s="969">
        <v>7671</v>
      </c>
      <c r="Q669" s="971">
        <f t="shared" si="21"/>
        <v>10949</v>
      </c>
      <c r="R669" s="969"/>
      <c r="S669" s="970">
        <v>39025</v>
      </c>
      <c r="T669" s="972">
        <v>-2235</v>
      </c>
      <c r="U669" s="972">
        <v>36790</v>
      </c>
    </row>
    <row r="670" spans="1:21" x14ac:dyDescent="0.25">
      <c r="A670" s="966">
        <v>97451</v>
      </c>
      <c r="B670" s="967" t="s">
        <v>3284</v>
      </c>
      <c r="C670" s="968">
        <v>5.5820000000000002E-4</v>
      </c>
      <c r="D670" s="968">
        <v>6.1039999999999998E-4</v>
      </c>
      <c r="E670" s="985">
        <v>245214</v>
      </c>
      <c r="F670" s="969">
        <v>852775</v>
      </c>
      <c r="G670" s="969"/>
      <c r="H670" s="970">
        <v>49128</v>
      </c>
      <c r="I670" s="971">
        <v>207055</v>
      </c>
      <c r="J670" s="970">
        <v>121788</v>
      </c>
      <c r="K670" s="969">
        <v>19770</v>
      </c>
      <c r="L670" s="971">
        <f t="shared" si="20"/>
        <v>397741</v>
      </c>
      <c r="M670" s="969"/>
      <c r="N670" s="970">
        <v>24139</v>
      </c>
      <c r="O670" s="970">
        <v>0</v>
      </c>
      <c r="P670" s="969">
        <v>47630</v>
      </c>
      <c r="Q670" s="971">
        <f t="shared" si="21"/>
        <v>71769</v>
      </c>
      <c r="R670" s="969"/>
      <c r="S670" s="970">
        <v>287386</v>
      </c>
      <c r="T670" s="972">
        <v>-2772</v>
      </c>
      <c r="U670" s="972">
        <v>284614</v>
      </c>
    </row>
    <row r="671" spans="1:21" x14ac:dyDescent="0.25">
      <c r="A671" s="966">
        <v>97461</v>
      </c>
      <c r="B671" s="967" t="s">
        <v>3285</v>
      </c>
      <c r="C671" s="968">
        <v>5.5650000000000003E-4</v>
      </c>
      <c r="D671" s="968">
        <v>5.1869999999999998E-4</v>
      </c>
      <c r="E671" s="985">
        <v>228350</v>
      </c>
      <c r="F671" s="969">
        <v>850178</v>
      </c>
      <c r="G671" s="969"/>
      <c r="H671" s="970">
        <v>48978</v>
      </c>
      <c r="I671" s="971">
        <v>206424</v>
      </c>
      <c r="J671" s="970">
        <v>121417</v>
      </c>
      <c r="K671" s="969">
        <v>5855</v>
      </c>
      <c r="L671" s="971">
        <f t="shared" si="20"/>
        <v>382674</v>
      </c>
      <c r="M671" s="969"/>
      <c r="N671" s="970">
        <v>24066</v>
      </c>
      <c r="O671" s="970">
        <v>0</v>
      </c>
      <c r="P671" s="969">
        <v>31609</v>
      </c>
      <c r="Q671" s="971">
        <f t="shared" si="21"/>
        <v>55675</v>
      </c>
      <c r="R671" s="969"/>
      <c r="S671" s="970">
        <v>286511</v>
      </c>
      <c r="T671" s="972">
        <v>-11321</v>
      </c>
      <c r="U671" s="972">
        <v>275190</v>
      </c>
    </row>
    <row r="672" spans="1:21" x14ac:dyDescent="0.25">
      <c r="A672" s="966">
        <v>97463</v>
      </c>
      <c r="B672" s="967" t="s">
        <v>3286</v>
      </c>
      <c r="C672" s="968">
        <v>4.1100000000000003E-5</v>
      </c>
      <c r="D672" s="968">
        <v>5.0099999999999998E-5</v>
      </c>
      <c r="E672" s="985">
        <v>16312</v>
      </c>
      <c r="F672" s="969">
        <v>62789</v>
      </c>
      <c r="G672" s="969"/>
      <c r="H672" s="970">
        <v>3617</v>
      </c>
      <c r="I672" s="971">
        <v>15246</v>
      </c>
      <c r="J672" s="970">
        <v>8967</v>
      </c>
      <c r="K672" s="969">
        <v>1420</v>
      </c>
      <c r="L672" s="971">
        <f t="shared" si="20"/>
        <v>29250</v>
      </c>
      <c r="M672" s="969"/>
      <c r="N672" s="970">
        <v>1777</v>
      </c>
      <c r="O672" s="970">
        <v>0</v>
      </c>
      <c r="P672" s="969">
        <v>12499</v>
      </c>
      <c r="Q672" s="971">
        <f t="shared" si="21"/>
        <v>14276</v>
      </c>
      <c r="R672" s="969"/>
      <c r="S672" s="970">
        <v>21160</v>
      </c>
      <c r="T672" s="972">
        <v>-2447</v>
      </c>
      <c r="U672" s="972">
        <v>18713</v>
      </c>
    </row>
    <row r="673" spans="1:21" x14ac:dyDescent="0.25">
      <c r="A673" s="966">
        <v>97471</v>
      </c>
      <c r="B673" s="967" t="s">
        <v>3287</v>
      </c>
      <c r="C673" s="968">
        <v>1.22E-5</v>
      </c>
      <c r="D673" s="968">
        <v>1.27E-5</v>
      </c>
      <c r="E673" s="985">
        <v>10247</v>
      </c>
      <c r="F673" s="969">
        <v>18638</v>
      </c>
      <c r="G673" s="969"/>
      <c r="H673" s="970">
        <v>1074</v>
      </c>
      <c r="I673" s="971">
        <v>4526</v>
      </c>
      <c r="J673" s="970">
        <v>2662</v>
      </c>
      <c r="K673" s="969">
        <v>6770</v>
      </c>
      <c r="L673" s="971">
        <f t="shared" si="20"/>
        <v>15032</v>
      </c>
      <c r="M673" s="969"/>
      <c r="N673" s="970">
        <v>528</v>
      </c>
      <c r="O673" s="970">
        <v>0</v>
      </c>
      <c r="P673" s="969">
        <v>0</v>
      </c>
      <c r="Q673" s="971">
        <f t="shared" si="21"/>
        <v>528</v>
      </c>
      <c r="R673" s="969"/>
      <c r="S673" s="970">
        <v>6281</v>
      </c>
      <c r="T673" s="972">
        <v>2621</v>
      </c>
      <c r="U673" s="972">
        <v>8902</v>
      </c>
    </row>
    <row r="674" spans="1:21" x14ac:dyDescent="0.25">
      <c r="A674" s="966">
        <v>97481</v>
      </c>
      <c r="B674" s="967" t="s">
        <v>3288</v>
      </c>
      <c r="C674" s="968">
        <v>9.9000000000000001E-6</v>
      </c>
      <c r="D674" s="968">
        <v>1.63E-5</v>
      </c>
      <c r="E674" s="985">
        <v>6015</v>
      </c>
      <c r="F674" s="969">
        <v>15124</v>
      </c>
      <c r="G674" s="969"/>
      <c r="H674" s="970">
        <v>871</v>
      </c>
      <c r="I674" s="971">
        <v>3672</v>
      </c>
      <c r="J674" s="970">
        <v>2160</v>
      </c>
      <c r="K674" s="969">
        <v>3592</v>
      </c>
      <c r="L674" s="971">
        <f t="shared" si="20"/>
        <v>10295</v>
      </c>
      <c r="M674" s="969"/>
      <c r="N674" s="970">
        <v>428</v>
      </c>
      <c r="O674" s="970">
        <v>0</v>
      </c>
      <c r="P674" s="969">
        <v>3115</v>
      </c>
      <c r="Q674" s="971">
        <f t="shared" si="21"/>
        <v>3543</v>
      </c>
      <c r="R674" s="969"/>
      <c r="S674" s="970">
        <v>5097</v>
      </c>
      <c r="T674" s="972">
        <v>1594</v>
      </c>
      <c r="U674" s="972">
        <v>6691</v>
      </c>
    </row>
    <row r="675" spans="1:21" x14ac:dyDescent="0.25">
      <c r="A675" s="966">
        <v>97491</v>
      </c>
      <c r="B675" s="967" t="s">
        <v>3289</v>
      </c>
      <c r="C675" s="968">
        <v>0</v>
      </c>
      <c r="D675" s="968">
        <v>0</v>
      </c>
      <c r="E675" s="985" t="e">
        <v>#N/A</v>
      </c>
      <c r="F675" s="969">
        <v>0</v>
      </c>
      <c r="G675" s="969"/>
      <c r="H675" s="970">
        <v>0</v>
      </c>
      <c r="I675" s="971">
        <v>0</v>
      </c>
      <c r="J675" s="970">
        <v>0</v>
      </c>
      <c r="K675" s="969">
        <v>0</v>
      </c>
      <c r="L675" s="971">
        <f t="shared" si="20"/>
        <v>0</v>
      </c>
      <c r="M675" s="969"/>
      <c r="N675" s="970">
        <v>0</v>
      </c>
      <c r="O675" s="970">
        <v>0</v>
      </c>
      <c r="P675" s="969">
        <v>7849</v>
      </c>
      <c r="Q675" s="971">
        <f t="shared" si="21"/>
        <v>7849</v>
      </c>
      <c r="R675" s="969"/>
      <c r="S675" s="970">
        <v>0</v>
      </c>
      <c r="T675" s="972">
        <v>-4941</v>
      </c>
      <c r="U675" s="972">
        <v>-4941</v>
      </c>
    </row>
    <row r="676" spans="1:21" x14ac:dyDescent="0.25">
      <c r="A676" s="966">
        <v>97501</v>
      </c>
      <c r="B676" s="967" t="s">
        <v>3290</v>
      </c>
      <c r="C676" s="968">
        <v>1.1000999999999999E-3</v>
      </c>
      <c r="D676" s="968">
        <v>9.6730000000000004E-4</v>
      </c>
      <c r="E676" s="985">
        <v>517522</v>
      </c>
      <c r="F676" s="969">
        <v>1680648</v>
      </c>
      <c r="G676" s="969"/>
      <c r="H676" s="970">
        <v>96821</v>
      </c>
      <c r="I676" s="971">
        <v>408064</v>
      </c>
      <c r="J676" s="970">
        <v>240020</v>
      </c>
      <c r="K676" s="969">
        <v>125050</v>
      </c>
      <c r="L676" s="971">
        <f t="shared" si="20"/>
        <v>869955</v>
      </c>
      <c r="M676" s="969"/>
      <c r="N676" s="970">
        <v>47574</v>
      </c>
      <c r="O676" s="970">
        <v>0</v>
      </c>
      <c r="P676" s="969">
        <v>0</v>
      </c>
      <c r="Q676" s="971">
        <f t="shared" si="21"/>
        <v>47574</v>
      </c>
      <c r="R676" s="969"/>
      <c r="S676" s="970">
        <v>566380</v>
      </c>
      <c r="T676" s="972">
        <v>44629</v>
      </c>
      <c r="U676" s="972">
        <v>611009</v>
      </c>
    </row>
    <row r="677" spans="1:21" x14ac:dyDescent="0.25">
      <c r="A677" s="966">
        <v>97511</v>
      </c>
      <c r="B677" s="967" t="s">
        <v>3291</v>
      </c>
      <c r="C677" s="968">
        <v>2.3450000000000001E-4</v>
      </c>
      <c r="D677" s="968">
        <v>2.3220000000000001E-4</v>
      </c>
      <c r="E677" s="985">
        <v>112044</v>
      </c>
      <c r="F677" s="969">
        <v>358251</v>
      </c>
      <c r="G677" s="969"/>
      <c r="H677" s="970">
        <v>20639</v>
      </c>
      <c r="I677" s="971">
        <v>86984</v>
      </c>
      <c r="J677" s="970">
        <v>51163</v>
      </c>
      <c r="K677" s="969">
        <v>12835</v>
      </c>
      <c r="L677" s="971">
        <f t="shared" si="20"/>
        <v>171621</v>
      </c>
      <c r="M677" s="969"/>
      <c r="N677" s="970">
        <v>10141</v>
      </c>
      <c r="O677" s="970">
        <v>0</v>
      </c>
      <c r="P677" s="969">
        <v>844</v>
      </c>
      <c r="Q677" s="971">
        <f t="shared" si="21"/>
        <v>10985</v>
      </c>
      <c r="R677" s="969"/>
      <c r="S677" s="970">
        <v>120731</v>
      </c>
      <c r="T677" s="972">
        <v>3795</v>
      </c>
      <c r="U677" s="972">
        <v>124526</v>
      </c>
    </row>
    <row r="678" spans="1:21" x14ac:dyDescent="0.25">
      <c r="A678" s="966">
        <v>97521</v>
      </c>
      <c r="B678" s="967" t="s">
        <v>3292</v>
      </c>
      <c r="C678" s="968">
        <v>1.2870000000000001E-4</v>
      </c>
      <c r="D678" s="968">
        <v>1.293E-4</v>
      </c>
      <c r="E678" s="985">
        <v>56688</v>
      </c>
      <c r="F678" s="969">
        <v>196618</v>
      </c>
      <c r="G678" s="969"/>
      <c r="H678" s="970">
        <v>11327</v>
      </c>
      <c r="I678" s="971">
        <v>47739</v>
      </c>
      <c r="J678" s="970">
        <v>28080</v>
      </c>
      <c r="K678" s="969">
        <v>2190</v>
      </c>
      <c r="L678" s="971">
        <f t="shared" si="20"/>
        <v>89336</v>
      </c>
      <c r="M678" s="969"/>
      <c r="N678" s="970">
        <v>5566</v>
      </c>
      <c r="O678" s="970">
        <v>0</v>
      </c>
      <c r="P678" s="969">
        <v>14589</v>
      </c>
      <c r="Q678" s="971">
        <f t="shared" si="21"/>
        <v>20155</v>
      </c>
      <c r="R678" s="969"/>
      <c r="S678" s="970">
        <v>66260</v>
      </c>
      <c r="T678" s="972">
        <v>-3628</v>
      </c>
      <c r="U678" s="972">
        <v>62632</v>
      </c>
    </row>
    <row r="679" spans="1:21" x14ac:dyDescent="0.25">
      <c r="A679" s="966">
        <v>97531</v>
      </c>
      <c r="B679" s="967" t="s">
        <v>3293</v>
      </c>
      <c r="C679" s="968">
        <v>4.32E-5</v>
      </c>
      <c r="D679" s="968">
        <v>3.6300000000000001E-5</v>
      </c>
      <c r="E679" s="985">
        <v>25035</v>
      </c>
      <c r="F679" s="969">
        <v>65998</v>
      </c>
      <c r="G679" s="969"/>
      <c r="H679" s="970">
        <v>3802</v>
      </c>
      <c r="I679" s="971">
        <v>16025</v>
      </c>
      <c r="J679" s="970">
        <v>9425</v>
      </c>
      <c r="K679" s="969">
        <v>11185</v>
      </c>
      <c r="L679" s="971">
        <f t="shared" si="20"/>
        <v>40437</v>
      </c>
      <c r="M679" s="969"/>
      <c r="N679" s="970">
        <v>1868</v>
      </c>
      <c r="O679" s="970">
        <v>0</v>
      </c>
      <c r="P679" s="969">
        <v>9052</v>
      </c>
      <c r="Q679" s="971">
        <f t="shared" si="21"/>
        <v>10920</v>
      </c>
      <c r="R679" s="969"/>
      <c r="S679" s="970">
        <v>22241</v>
      </c>
      <c r="T679" s="972">
        <v>-2508</v>
      </c>
      <c r="U679" s="972">
        <f>19734-1</f>
        <v>19733</v>
      </c>
    </row>
    <row r="680" spans="1:21" x14ac:dyDescent="0.25">
      <c r="A680" s="966">
        <v>97601</v>
      </c>
      <c r="B680" s="967" t="s">
        <v>3294</v>
      </c>
      <c r="C680" s="968">
        <v>5.1672000000000003E-3</v>
      </c>
      <c r="D680" s="968">
        <v>4.7808E-3</v>
      </c>
      <c r="E680" s="985">
        <v>2287000</v>
      </c>
      <c r="F680" s="969">
        <v>7894050</v>
      </c>
      <c r="G680" s="969"/>
      <c r="H680" s="970">
        <v>454770</v>
      </c>
      <c r="I680" s="971">
        <v>1916685</v>
      </c>
      <c r="J680" s="970">
        <v>1127380</v>
      </c>
      <c r="K680" s="969">
        <v>190925</v>
      </c>
      <c r="L680" s="971">
        <f t="shared" si="20"/>
        <v>3689760</v>
      </c>
      <c r="M680" s="969"/>
      <c r="N680" s="970">
        <v>223456</v>
      </c>
      <c r="O680" s="970">
        <v>0</v>
      </c>
      <c r="P680" s="969">
        <v>91443</v>
      </c>
      <c r="Q680" s="971">
        <f t="shared" si="21"/>
        <v>314899</v>
      </c>
      <c r="R680" s="969"/>
      <c r="S680" s="970">
        <v>2660302</v>
      </c>
      <c r="T680" s="972">
        <v>1665</v>
      </c>
      <c r="U680" s="972">
        <v>2661967</v>
      </c>
    </row>
    <row r="681" spans="1:21" x14ac:dyDescent="0.25">
      <c r="A681" s="966">
        <v>97607</v>
      </c>
      <c r="B681" s="967" t="s">
        <v>3295</v>
      </c>
      <c r="C681" s="968">
        <v>2.3200000000000001E-5</v>
      </c>
      <c r="D681" s="968">
        <v>1.9199999999999999E-5</v>
      </c>
      <c r="E681" s="985">
        <v>17255</v>
      </c>
      <c r="F681" s="969">
        <v>35443</v>
      </c>
      <c r="G681" s="969"/>
      <c r="H681" s="970">
        <v>2042</v>
      </c>
      <c r="I681" s="971">
        <v>8605</v>
      </c>
      <c r="J681" s="970">
        <v>5062</v>
      </c>
      <c r="K681" s="969">
        <v>13349</v>
      </c>
      <c r="L681" s="971">
        <f t="shared" si="20"/>
        <v>29058</v>
      </c>
      <c r="M681" s="969"/>
      <c r="N681" s="970">
        <v>1003</v>
      </c>
      <c r="O681" s="970">
        <v>0</v>
      </c>
      <c r="P681" s="969">
        <v>0</v>
      </c>
      <c r="Q681" s="971">
        <f t="shared" si="21"/>
        <v>1003</v>
      </c>
      <c r="R681" s="969"/>
      <c r="S681" s="970">
        <v>11944</v>
      </c>
      <c r="T681" s="972">
        <v>5427</v>
      </c>
      <c r="U681" s="972">
        <v>17371</v>
      </c>
    </row>
    <row r="682" spans="1:21" x14ac:dyDescent="0.25">
      <c r="A682" s="966">
        <v>97611</v>
      </c>
      <c r="B682" s="967" t="s">
        <v>3296</v>
      </c>
      <c r="C682" s="968">
        <v>2.4767999999999999E-3</v>
      </c>
      <c r="D682" s="968">
        <v>2.5750999999999999E-3</v>
      </c>
      <c r="E682" s="985">
        <v>1108488</v>
      </c>
      <c r="F682" s="969">
        <v>3783864</v>
      </c>
      <c r="G682" s="969"/>
      <c r="H682" s="970">
        <v>217986</v>
      </c>
      <c r="I682" s="971">
        <v>918727</v>
      </c>
      <c r="J682" s="970">
        <v>540388</v>
      </c>
      <c r="K682" s="969">
        <v>0</v>
      </c>
      <c r="L682" s="971">
        <f t="shared" si="20"/>
        <v>1677101</v>
      </c>
      <c r="M682" s="969"/>
      <c r="N682" s="970">
        <v>107109</v>
      </c>
      <c r="O682" s="970">
        <v>0</v>
      </c>
      <c r="P682" s="969">
        <v>276084</v>
      </c>
      <c r="Q682" s="971">
        <f t="shared" si="21"/>
        <v>383193</v>
      </c>
      <c r="R682" s="969"/>
      <c r="S682" s="970">
        <v>1275166</v>
      </c>
      <c r="T682" s="972">
        <v>-116051</v>
      </c>
      <c r="U682" s="972">
        <v>1159115</v>
      </c>
    </row>
    <row r="683" spans="1:21" x14ac:dyDescent="0.25">
      <c r="A683" s="966">
        <v>97613</v>
      </c>
      <c r="B683" s="967" t="s">
        <v>3297</v>
      </c>
      <c r="C683" s="968">
        <v>1.1629999999999999E-4</v>
      </c>
      <c r="D683" s="968">
        <v>1.2459999999999999E-4</v>
      </c>
      <c r="E683" s="985">
        <v>60157</v>
      </c>
      <c r="F683" s="969">
        <v>177674</v>
      </c>
      <c r="G683" s="969"/>
      <c r="H683" s="970">
        <v>10236</v>
      </c>
      <c r="I683" s="971">
        <v>43140</v>
      </c>
      <c r="J683" s="970">
        <v>25374</v>
      </c>
      <c r="K683" s="969">
        <v>3969</v>
      </c>
      <c r="L683" s="971">
        <f t="shared" si="20"/>
        <v>82719</v>
      </c>
      <c r="M683" s="969"/>
      <c r="N683" s="970">
        <v>5029</v>
      </c>
      <c r="O683" s="970">
        <v>0</v>
      </c>
      <c r="P683" s="969">
        <v>3579</v>
      </c>
      <c r="Q683" s="971">
        <f t="shared" si="21"/>
        <v>8608</v>
      </c>
      <c r="R683" s="969"/>
      <c r="S683" s="970">
        <v>59876</v>
      </c>
      <c r="T683" s="972">
        <v>-543</v>
      </c>
      <c r="U683" s="972">
        <f>59334-1</f>
        <v>59333</v>
      </c>
    </row>
    <row r="684" spans="1:21" x14ac:dyDescent="0.25">
      <c r="A684" s="966">
        <v>97621</v>
      </c>
      <c r="B684" s="967" t="s">
        <v>3298</v>
      </c>
      <c r="C684" s="968">
        <v>4.5179999999999998E-4</v>
      </c>
      <c r="D684" s="968">
        <v>4.7429999999999998E-4</v>
      </c>
      <c r="E684" s="985">
        <v>179047</v>
      </c>
      <c r="F684" s="969">
        <v>690225</v>
      </c>
      <c r="G684" s="969"/>
      <c r="H684" s="970">
        <v>39763</v>
      </c>
      <c r="I684" s="971">
        <v>167588</v>
      </c>
      <c r="J684" s="970">
        <v>98574</v>
      </c>
      <c r="K684" s="969">
        <v>15836</v>
      </c>
      <c r="L684" s="971">
        <f t="shared" si="20"/>
        <v>321761</v>
      </c>
      <c r="M684" s="969"/>
      <c r="N684" s="970">
        <v>19538</v>
      </c>
      <c r="O684" s="970">
        <v>0</v>
      </c>
      <c r="P684" s="969">
        <v>70017</v>
      </c>
      <c r="Q684" s="971">
        <f t="shared" si="21"/>
        <v>89555</v>
      </c>
      <c r="R684" s="969"/>
      <c r="S684" s="970">
        <v>232607</v>
      </c>
      <c r="T684" s="972">
        <v>-11992</v>
      </c>
      <c r="U684" s="972">
        <v>220615</v>
      </c>
    </row>
    <row r="685" spans="1:21" x14ac:dyDescent="0.25">
      <c r="A685" s="966">
        <v>97623</v>
      </c>
      <c r="B685" s="967" t="s">
        <v>3299</v>
      </c>
      <c r="C685" s="968">
        <v>2.9499999999999999E-5</v>
      </c>
      <c r="D685" s="968">
        <v>2.9200000000000002E-5</v>
      </c>
      <c r="E685" s="985">
        <v>11113</v>
      </c>
      <c r="F685" s="969">
        <v>45068</v>
      </c>
      <c r="G685" s="969"/>
      <c r="H685" s="970">
        <v>2596</v>
      </c>
      <c r="I685" s="971">
        <v>10942</v>
      </c>
      <c r="J685" s="970">
        <v>6436</v>
      </c>
      <c r="K685" s="969">
        <v>6505</v>
      </c>
      <c r="L685" s="971">
        <f t="shared" si="20"/>
        <v>26479</v>
      </c>
      <c r="M685" s="969"/>
      <c r="N685" s="970">
        <v>1276</v>
      </c>
      <c r="O685" s="970">
        <v>0</v>
      </c>
      <c r="P685" s="969">
        <v>1742</v>
      </c>
      <c r="Q685" s="971">
        <f t="shared" si="21"/>
        <v>3018</v>
      </c>
      <c r="R685" s="969"/>
      <c r="S685" s="970">
        <v>15188</v>
      </c>
      <c r="T685" s="972">
        <v>3252</v>
      </c>
      <c r="U685" s="972">
        <v>18440</v>
      </c>
    </row>
    <row r="686" spans="1:21" x14ac:dyDescent="0.25">
      <c r="A686" s="966">
        <v>97627</v>
      </c>
      <c r="B686" s="967" t="s">
        <v>3300</v>
      </c>
      <c r="C686" s="968">
        <v>9.7000000000000003E-6</v>
      </c>
      <c r="D686" s="968">
        <v>1.0200000000000001E-5</v>
      </c>
      <c r="E686" s="985">
        <v>5008</v>
      </c>
      <c r="F686" s="969">
        <v>14819</v>
      </c>
      <c r="G686" s="969"/>
      <c r="H686" s="970">
        <v>854</v>
      </c>
      <c r="I686" s="971">
        <v>3599</v>
      </c>
      <c r="J686" s="970">
        <v>2116</v>
      </c>
      <c r="K686" s="969">
        <v>714</v>
      </c>
      <c r="L686" s="971">
        <f t="shared" si="20"/>
        <v>7283</v>
      </c>
      <c r="M686" s="969"/>
      <c r="N686" s="970">
        <v>419</v>
      </c>
      <c r="O686" s="970">
        <v>0</v>
      </c>
      <c r="P686" s="969">
        <v>1008</v>
      </c>
      <c r="Q686" s="971">
        <f t="shared" si="21"/>
        <v>1427</v>
      </c>
      <c r="R686" s="969"/>
      <c r="S686" s="970">
        <v>4994</v>
      </c>
      <c r="T686" s="972">
        <v>-190</v>
      </c>
      <c r="U686" s="972">
        <v>4804</v>
      </c>
    </row>
    <row r="687" spans="1:21" x14ac:dyDescent="0.25">
      <c r="A687" s="966">
        <v>97631</v>
      </c>
      <c r="B687" s="967" t="s">
        <v>3301</v>
      </c>
      <c r="C687" s="968">
        <v>2.051E-4</v>
      </c>
      <c r="D687" s="968">
        <v>2.009E-4</v>
      </c>
      <c r="E687" s="985">
        <v>85999</v>
      </c>
      <c r="F687" s="969">
        <v>313336</v>
      </c>
      <c r="G687" s="969"/>
      <c r="H687" s="970">
        <v>18051</v>
      </c>
      <c r="I687" s="971">
        <v>76078</v>
      </c>
      <c r="J687" s="970">
        <v>44749</v>
      </c>
      <c r="K687" s="969">
        <v>9311</v>
      </c>
      <c r="L687" s="971">
        <f t="shared" si="20"/>
        <v>148189</v>
      </c>
      <c r="M687" s="969"/>
      <c r="N687" s="970">
        <v>8870</v>
      </c>
      <c r="O687" s="970">
        <v>0</v>
      </c>
      <c r="P687" s="969">
        <v>3711</v>
      </c>
      <c r="Q687" s="971">
        <f t="shared" si="21"/>
        <v>12581</v>
      </c>
      <c r="R687" s="969"/>
      <c r="S687" s="970">
        <v>105595</v>
      </c>
      <c r="T687" s="972">
        <v>4564</v>
      </c>
      <c r="U687" s="972">
        <f>110158+1</f>
        <v>110159</v>
      </c>
    </row>
    <row r="688" spans="1:21" x14ac:dyDescent="0.25">
      <c r="A688" s="966">
        <v>97637</v>
      </c>
      <c r="B688" s="967" t="s">
        <v>3302</v>
      </c>
      <c r="C688" s="968">
        <v>4.3000000000000003E-6</v>
      </c>
      <c r="D688" s="968">
        <v>4.7999999999999998E-6</v>
      </c>
      <c r="E688" s="985">
        <v>3072</v>
      </c>
      <c r="F688" s="969">
        <v>6569</v>
      </c>
      <c r="G688" s="969"/>
      <c r="H688" s="970">
        <v>378</v>
      </c>
      <c r="I688" s="971">
        <v>1595</v>
      </c>
      <c r="J688" s="970">
        <v>938</v>
      </c>
      <c r="K688" s="969">
        <v>944</v>
      </c>
      <c r="L688" s="971">
        <f t="shared" si="20"/>
        <v>3855</v>
      </c>
      <c r="M688" s="969"/>
      <c r="N688" s="970">
        <v>186</v>
      </c>
      <c r="O688" s="970">
        <v>0</v>
      </c>
      <c r="P688" s="969">
        <v>30</v>
      </c>
      <c r="Q688" s="971">
        <f t="shared" si="21"/>
        <v>216</v>
      </c>
      <c r="R688" s="969"/>
      <c r="S688" s="970">
        <v>2214</v>
      </c>
      <c r="T688" s="972">
        <v>380</v>
      </c>
      <c r="U688" s="972">
        <v>2594</v>
      </c>
    </row>
    <row r="689" spans="1:21" x14ac:dyDescent="0.25">
      <c r="A689" s="966">
        <v>97641</v>
      </c>
      <c r="B689" s="967" t="s">
        <v>3303</v>
      </c>
      <c r="C689" s="968">
        <v>6.8899999999999994E-5</v>
      </c>
      <c r="D689" s="968">
        <v>6.9999999999999994E-5</v>
      </c>
      <c r="E689" s="985">
        <v>35027</v>
      </c>
      <c r="F689" s="969">
        <v>105260</v>
      </c>
      <c r="G689" s="969"/>
      <c r="H689" s="970">
        <v>6064</v>
      </c>
      <c r="I689" s="971">
        <v>25557</v>
      </c>
      <c r="J689" s="970">
        <v>15033</v>
      </c>
      <c r="K689" s="969">
        <v>13063</v>
      </c>
      <c r="L689" s="971">
        <f t="shared" si="20"/>
        <v>59717</v>
      </c>
      <c r="M689" s="969"/>
      <c r="N689" s="970">
        <v>2980</v>
      </c>
      <c r="O689" s="970">
        <v>0</v>
      </c>
      <c r="P689" s="969">
        <v>2889</v>
      </c>
      <c r="Q689" s="971">
        <f t="shared" si="21"/>
        <v>5869</v>
      </c>
      <c r="R689" s="969"/>
      <c r="S689" s="970">
        <v>35473</v>
      </c>
      <c r="T689" s="972">
        <v>2041</v>
      </c>
      <c r="U689" s="972">
        <v>37514</v>
      </c>
    </row>
    <row r="690" spans="1:21" x14ac:dyDescent="0.25">
      <c r="A690" s="966">
        <v>97651</v>
      </c>
      <c r="B690" s="967" t="s">
        <v>3304</v>
      </c>
      <c r="C690" s="968">
        <v>5.1979999999999995E-4</v>
      </c>
      <c r="D690" s="968">
        <v>5.1579999999999996E-4</v>
      </c>
      <c r="E690" s="985">
        <v>222466</v>
      </c>
      <c r="F690" s="969">
        <v>794110</v>
      </c>
      <c r="G690" s="969"/>
      <c r="H690" s="970">
        <v>45748</v>
      </c>
      <c r="I690" s="971">
        <v>192810</v>
      </c>
      <c r="J690" s="970">
        <v>113410</v>
      </c>
      <c r="K690" s="969">
        <v>2621</v>
      </c>
      <c r="L690" s="971">
        <f t="shared" si="20"/>
        <v>354589</v>
      </c>
      <c r="M690" s="969"/>
      <c r="N690" s="970">
        <v>22479</v>
      </c>
      <c r="O690" s="970">
        <v>0</v>
      </c>
      <c r="P690" s="969">
        <v>43572</v>
      </c>
      <c r="Q690" s="971">
        <f t="shared" si="21"/>
        <v>66051</v>
      </c>
      <c r="R690" s="969"/>
      <c r="S690" s="970">
        <v>267616</v>
      </c>
      <c r="T690" s="972">
        <v>-19628</v>
      </c>
      <c r="U690" s="972">
        <v>247988</v>
      </c>
    </row>
    <row r="691" spans="1:21" x14ac:dyDescent="0.25">
      <c r="A691" s="966">
        <v>97661</v>
      </c>
      <c r="B691" s="967" t="s">
        <v>3305</v>
      </c>
      <c r="C691" s="968">
        <v>5.1600000000000001E-5</v>
      </c>
      <c r="D691" s="968">
        <v>4.3900000000000003E-5</v>
      </c>
      <c r="E691" s="985">
        <v>24366</v>
      </c>
      <c r="F691" s="969">
        <v>78831</v>
      </c>
      <c r="G691" s="969"/>
      <c r="H691" s="970">
        <v>4541</v>
      </c>
      <c r="I691" s="971">
        <v>19140</v>
      </c>
      <c r="J691" s="970">
        <v>11258</v>
      </c>
      <c r="K691" s="969">
        <v>13582</v>
      </c>
      <c r="L691" s="971">
        <f t="shared" si="20"/>
        <v>48521</v>
      </c>
      <c r="M691" s="969"/>
      <c r="N691" s="970">
        <v>2231</v>
      </c>
      <c r="O691" s="970">
        <v>0</v>
      </c>
      <c r="P691" s="969">
        <v>1913</v>
      </c>
      <c r="Q691" s="971">
        <f t="shared" si="21"/>
        <v>4144</v>
      </c>
      <c r="R691" s="969"/>
      <c r="S691" s="970">
        <v>26566</v>
      </c>
      <c r="T691" s="972">
        <v>4861</v>
      </c>
      <c r="U691" s="972">
        <v>31427</v>
      </c>
    </row>
    <row r="692" spans="1:21" x14ac:dyDescent="0.25">
      <c r="A692" s="966">
        <v>97701</v>
      </c>
      <c r="B692" s="967" t="s">
        <v>3306</v>
      </c>
      <c r="C692" s="968">
        <v>2.4975000000000002E-3</v>
      </c>
      <c r="D692" s="968">
        <v>2.5081000000000001E-3</v>
      </c>
      <c r="E692" s="985">
        <v>1156152</v>
      </c>
      <c r="F692" s="969">
        <v>3815488</v>
      </c>
      <c r="G692" s="969"/>
      <c r="H692" s="970">
        <v>219807</v>
      </c>
      <c r="I692" s="971">
        <v>926405</v>
      </c>
      <c r="J692" s="970">
        <v>544905</v>
      </c>
      <c r="K692" s="969">
        <v>22724</v>
      </c>
      <c r="L692" s="971">
        <f t="shared" si="20"/>
        <v>1713841</v>
      </c>
      <c r="M692" s="969"/>
      <c r="N692" s="970">
        <v>108004</v>
      </c>
      <c r="O692" s="970">
        <v>0</v>
      </c>
      <c r="P692" s="969">
        <v>8673</v>
      </c>
      <c r="Q692" s="971">
        <f t="shared" si="21"/>
        <v>116677</v>
      </c>
      <c r="R692" s="969"/>
      <c r="S692" s="970">
        <v>1285823</v>
      </c>
      <c r="T692" s="972">
        <v>670</v>
      </c>
      <c r="U692" s="972">
        <v>1286493</v>
      </c>
    </row>
    <row r="693" spans="1:21" x14ac:dyDescent="0.25">
      <c r="A693" s="966">
        <v>97705</v>
      </c>
      <c r="B693" s="967" t="s">
        <v>3307</v>
      </c>
      <c r="C693" s="968">
        <v>4.7700000000000001E-5</v>
      </c>
      <c r="D693" s="968">
        <v>6.41E-5</v>
      </c>
      <c r="E693" s="985">
        <v>22209</v>
      </c>
      <c r="F693" s="969">
        <v>72872</v>
      </c>
      <c r="G693" s="969"/>
      <c r="H693" s="970">
        <v>4198</v>
      </c>
      <c r="I693" s="971">
        <v>17694</v>
      </c>
      <c r="J693" s="970">
        <v>10407</v>
      </c>
      <c r="K693" s="969">
        <v>5558</v>
      </c>
      <c r="L693" s="971">
        <f t="shared" si="20"/>
        <v>37857</v>
      </c>
      <c r="M693" s="969"/>
      <c r="N693" s="970">
        <v>2063</v>
      </c>
      <c r="O693" s="970">
        <v>0</v>
      </c>
      <c r="P693" s="969">
        <v>13023</v>
      </c>
      <c r="Q693" s="971">
        <f t="shared" si="21"/>
        <v>15086</v>
      </c>
      <c r="R693" s="969"/>
      <c r="S693" s="970">
        <v>24558</v>
      </c>
      <c r="T693" s="972">
        <v>105</v>
      </c>
      <c r="U693" s="972">
        <v>24663</v>
      </c>
    </row>
    <row r="694" spans="1:21" x14ac:dyDescent="0.25">
      <c r="A694" s="966">
        <v>97711</v>
      </c>
      <c r="B694" s="967" t="s">
        <v>3308</v>
      </c>
      <c r="C694" s="968">
        <v>9.0879999999999997E-4</v>
      </c>
      <c r="D694" s="968">
        <v>9.3789999999999998E-4</v>
      </c>
      <c r="E694" s="985">
        <v>424324</v>
      </c>
      <c r="F694" s="969">
        <v>1388395</v>
      </c>
      <c r="G694" s="969"/>
      <c r="H694" s="970">
        <v>79984</v>
      </c>
      <c r="I694" s="971">
        <v>337104</v>
      </c>
      <c r="J694" s="970">
        <v>198282</v>
      </c>
      <c r="K694" s="969">
        <v>9966</v>
      </c>
      <c r="L694" s="971">
        <f t="shared" si="20"/>
        <v>625336</v>
      </c>
      <c r="M694" s="969"/>
      <c r="N694" s="970">
        <v>39301</v>
      </c>
      <c r="O694" s="970">
        <v>0</v>
      </c>
      <c r="P694" s="969">
        <v>31902</v>
      </c>
      <c r="Q694" s="971">
        <f t="shared" si="21"/>
        <v>71203</v>
      </c>
      <c r="R694" s="969"/>
      <c r="S694" s="970">
        <v>467890</v>
      </c>
      <c r="T694" s="972">
        <v>-1258</v>
      </c>
      <c r="U694" s="972">
        <v>466632</v>
      </c>
    </row>
    <row r="695" spans="1:21" x14ac:dyDescent="0.25">
      <c r="A695" s="966">
        <v>97713</v>
      </c>
      <c r="B695" s="967" t="s">
        <v>3309</v>
      </c>
      <c r="C695" s="968">
        <v>4.1199999999999999E-5</v>
      </c>
      <c r="D695" s="968">
        <v>5.3699999999999997E-5</v>
      </c>
      <c r="E695" s="985">
        <v>17328</v>
      </c>
      <c r="F695" s="969">
        <v>62942</v>
      </c>
      <c r="G695" s="969"/>
      <c r="H695" s="970">
        <v>3626</v>
      </c>
      <c r="I695" s="971">
        <v>15283</v>
      </c>
      <c r="J695" s="970">
        <v>8989</v>
      </c>
      <c r="K695" s="969">
        <v>927</v>
      </c>
      <c r="L695" s="971">
        <f t="shared" si="20"/>
        <v>28825</v>
      </c>
      <c r="M695" s="969"/>
      <c r="N695" s="970">
        <v>1782</v>
      </c>
      <c r="O695" s="970">
        <v>0</v>
      </c>
      <c r="P695" s="969">
        <v>16932</v>
      </c>
      <c r="Q695" s="971">
        <f t="shared" si="21"/>
        <v>18714</v>
      </c>
      <c r="R695" s="969"/>
      <c r="S695" s="970">
        <v>21212</v>
      </c>
      <c r="T695" s="972">
        <v>-4802</v>
      </c>
      <c r="U695" s="972">
        <v>16410</v>
      </c>
    </row>
    <row r="696" spans="1:21" x14ac:dyDescent="0.25">
      <c r="A696" s="966">
        <v>97717</v>
      </c>
      <c r="B696" s="967" t="s">
        <v>3310</v>
      </c>
      <c r="C696" s="968">
        <v>4.6999999999999999E-6</v>
      </c>
      <c r="D696" s="968">
        <v>7.5000000000000002E-6</v>
      </c>
      <c r="E696" s="985">
        <v>2478</v>
      </c>
      <c r="F696" s="969">
        <v>7180</v>
      </c>
      <c r="G696" s="969"/>
      <c r="H696" s="970">
        <v>414</v>
      </c>
      <c r="I696" s="971">
        <v>1743</v>
      </c>
      <c r="J696" s="970">
        <v>1025</v>
      </c>
      <c r="K696" s="969">
        <v>1078</v>
      </c>
      <c r="L696" s="971">
        <f t="shared" si="20"/>
        <v>4260</v>
      </c>
      <c r="M696" s="969"/>
      <c r="N696" s="970">
        <v>203</v>
      </c>
      <c r="O696" s="970">
        <v>0</v>
      </c>
      <c r="P696" s="969">
        <v>3394</v>
      </c>
      <c r="Q696" s="971">
        <f t="shared" si="21"/>
        <v>3597</v>
      </c>
      <c r="R696" s="969"/>
      <c r="S696" s="970">
        <v>2420</v>
      </c>
      <c r="T696" s="972">
        <v>-1550</v>
      </c>
      <c r="U696" s="972">
        <f>869+1</f>
        <v>870</v>
      </c>
    </row>
    <row r="697" spans="1:21" x14ac:dyDescent="0.25">
      <c r="A697" s="966">
        <v>97721</v>
      </c>
      <c r="B697" s="967" t="s">
        <v>3311</v>
      </c>
      <c r="C697" s="968">
        <v>5.6599999999999999E-4</v>
      </c>
      <c r="D697" s="968">
        <v>5.7249999999999998E-4</v>
      </c>
      <c r="E697" s="985">
        <v>255785</v>
      </c>
      <c r="F697" s="969">
        <v>864691</v>
      </c>
      <c r="G697" s="969"/>
      <c r="H697" s="970">
        <v>49814</v>
      </c>
      <c r="I697" s="971">
        <v>209948</v>
      </c>
      <c r="J697" s="970">
        <v>123490</v>
      </c>
      <c r="K697" s="969">
        <v>13608</v>
      </c>
      <c r="L697" s="971">
        <f t="shared" si="20"/>
        <v>396860</v>
      </c>
      <c r="M697" s="969"/>
      <c r="N697" s="970">
        <v>24477</v>
      </c>
      <c r="O697" s="970">
        <v>0</v>
      </c>
      <c r="P697" s="969">
        <v>31303</v>
      </c>
      <c r="Q697" s="971">
        <f t="shared" si="21"/>
        <v>55780</v>
      </c>
      <c r="R697" s="969"/>
      <c r="S697" s="970">
        <v>291402</v>
      </c>
      <c r="T697" s="972">
        <v>-9026</v>
      </c>
      <c r="U697" s="972">
        <v>282376</v>
      </c>
    </row>
    <row r="698" spans="1:21" x14ac:dyDescent="0.25">
      <c r="A698" s="966">
        <v>97727</v>
      </c>
      <c r="B698" s="967" t="s">
        <v>3312</v>
      </c>
      <c r="C698" s="968">
        <v>2.27E-5</v>
      </c>
      <c r="D698" s="968">
        <v>2.37E-5</v>
      </c>
      <c r="E698" s="985">
        <v>10992</v>
      </c>
      <c r="F698" s="969">
        <v>34679</v>
      </c>
      <c r="G698" s="969"/>
      <c r="H698" s="970">
        <v>1998</v>
      </c>
      <c r="I698" s="971">
        <v>8420</v>
      </c>
      <c r="J698" s="970">
        <v>4953</v>
      </c>
      <c r="K698" s="969">
        <v>0</v>
      </c>
      <c r="L698" s="971">
        <f t="shared" si="20"/>
        <v>15371</v>
      </c>
      <c r="M698" s="969"/>
      <c r="N698" s="970">
        <v>982</v>
      </c>
      <c r="O698" s="970">
        <v>0</v>
      </c>
      <c r="P698" s="969">
        <v>2260</v>
      </c>
      <c r="Q698" s="971">
        <f t="shared" si="21"/>
        <v>3242</v>
      </c>
      <c r="R698" s="969"/>
      <c r="S698" s="970">
        <v>11687</v>
      </c>
      <c r="T698" s="972">
        <v>-1260</v>
      </c>
      <c r="U698" s="972">
        <v>10427</v>
      </c>
    </row>
    <row r="699" spans="1:21" x14ac:dyDescent="0.25">
      <c r="A699" s="966">
        <v>97731</v>
      </c>
      <c r="B699" s="967" t="s">
        <v>3313</v>
      </c>
      <c r="C699" s="968">
        <v>3.5500000000000002E-5</v>
      </c>
      <c r="D699" s="968">
        <v>3.7100000000000001E-5</v>
      </c>
      <c r="E699" s="985">
        <v>18460</v>
      </c>
      <c r="F699" s="969">
        <v>54234</v>
      </c>
      <c r="G699" s="969"/>
      <c r="H699" s="970">
        <v>3124</v>
      </c>
      <c r="I699" s="971">
        <v>13168</v>
      </c>
      <c r="J699" s="970">
        <v>7745</v>
      </c>
      <c r="K699" s="969">
        <v>6361</v>
      </c>
      <c r="L699" s="971">
        <f t="shared" si="20"/>
        <v>30398</v>
      </c>
      <c r="M699" s="969"/>
      <c r="N699" s="970">
        <v>1535</v>
      </c>
      <c r="O699" s="970">
        <v>0</v>
      </c>
      <c r="P699" s="969">
        <v>0</v>
      </c>
      <c r="Q699" s="971">
        <f t="shared" si="21"/>
        <v>1535</v>
      </c>
      <c r="R699" s="969"/>
      <c r="S699" s="970">
        <v>18277</v>
      </c>
      <c r="T699" s="972">
        <v>2961</v>
      </c>
      <c r="U699" s="972">
        <v>21238</v>
      </c>
    </row>
    <row r="700" spans="1:21" x14ac:dyDescent="0.25">
      <c r="A700" s="966">
        <v>97801</v>
      </c>
      <c r="B700" s="967" t="s">
        <v>3676</v>
      </c>
      <c r="C700" s="968">
        <v>6.9303000000000003E-3</v>
      </c>
      <c r="D700" s="968">
        <v>7.3343000000000002E-3</v>
      </c>
      <c r="E700" s="985">
        <v>3179609</v>
      </c>
      <c r="F700" s="969">
        <v>10587579</v>
      </c>
      <c r="G700" s="969"/>
      <c r="H700" s="970">
        <v>609943</v>
      </c>
      <c r="I700" s="971">
        <v>2570677</v>
      </c>
      <c r="J700" s="970">
        <v>1512053</v>
      </c>
      <c r="K700" s="969">
        <v>27764</v>
      </c>
      <c r="L700" s="971">
        <f t="shared" si="20"/>
        <v>4720437</v>
      </c>
      <c r="M700" s="969"/>
      <c r="N700" s="970">
        <v>299701</v>
      </c>
      <c r="O700" s="970">
        <v>0</v>
      </c>
      <c r="P700" s="969">
        <v>406805</v>
      </c>
      <c r="Q700" s="971">
        <f t="shared" si="21"/>
        <v>706506</v>
      </c>
      <c r="R700" s="969"/>
      <c r="S700" s="970">
        <v>3568023</v>
      </c>
      <c r="T700" s="972">
        <v>-97576</v>
      </c>
      <c r="U700" s="972">
        <v>3470447</v>
      </c>
    </row>
    <row r="701" spans="1:21" x14ac:dyDescent="0.25">
      <c r="A701" s="966">
        <v>97802</v>
      </c>
      <c r="B701" s="967" t="s">
        <v>3315</v>
      </c>
      <c r="C701" s="968">
        <v>1.5300000000000001E-4</v>
      </c>
      <c r="D701" s="968">
        <v>1.8120000000000001E-4</v>
      </c>
      <c r="E701" s="985">
        <v>76715</v>
      </c>
      <c r="F701" s="969">
        <v>233742</v>
      </c>
      <c r="G701" s="969"/>
      <c r="H701" s="970">
        <v>13466</v>
      </c>
      <c r="I701" s="971">
        <v>56753</v>
      </c>
      <c r="J701" s="970">
        <v>33382</v>
      </c>
      <c r="K701" s="969">
        <v>9696</v>
      </c>
      <c r="L701" s="971">
        <f t="shared" si="20"/>
        <v>113297</v>
      </c>
      <c r="M701" s="969"/>
      <c r="N701" s="970">
        <v>6616</v>
      </c>
      <c r="O701" s="970">
        <v>0</v>
      </c>
      <c r="P701" s="969">
        <v>28235</v>
      </c>
      <c r="Q701" s="971">
        <f t="shared" si="21"/>
        <v>34851</v>
      </c>
      <c r="R701" s="969"/>
      <c r="S701" s="970">
        <v>78771</v>
      </c>
      <c r="T701" s="972">
        <v>-1176</v>
      </c>
      <c r="U701" s="972">
        <v>77595</v>
      </c>
    </row>
    <row r="702" spans="1:21" x14ac:dyDescent="0.25">
      <c r="A702" s="966">
        <v>97803</v>
      </c>
      <c r="B702" s="967" t="s">
        <v>3316</v>
      </c>
      <c r="C702" s="968">
        <v>7.5300000000000001E-5</v>
      </c>
      <c r="D702" s="968">
        <v>7.9099999999999998E-5</v>
      </c>
      <c r="E702" s="985">
        <v>38231</v>
      </c>
      <c r="F702" s="969">
        <v>115038</v>
      </c>
      <c r="G702" s="969"/>
      <c r="H702" s="970">
        <v>6627</v>
      </c>
      <c r="I702" s="971">
        <v>27931</v>
      </c>
      <c r="J702" s="970">
        <v>16429</v>
      </c>
      <c r="K702" s="969">
        <v>5581</v>
      </c>
      <c r="L702" s="971">
        <f t="shared" si="20"/>
        <v>56568</v>
      </c>
      <c r="M702" s="969"/>
      <c r="N702" s="970">
        <v>3256</v>
      </c>
      <c r="O702" s="970">
        <v>0</v>
      </c>
      <c r="P702" s="969">
        <v>1522</v>
      </c>
      <c r="Q702" s="971">
        <f t="shared" si="21"/>
        <v>4778</v>
      </c>
      <c r="R702" s="969"/>
      <c r="S702" s="970">
        <v>38768</v>
      </c>
      <c r="T702" s="972">
        <v>3424</v>
      </c>
      <c r="U702" s="972">
        <v>42192</v>
      </c>
    </row>
    <row r="703" spans="1:21" x14ac:dyDescent="0.25">
      <c r="A703" s="966">
        <v>97805</v>
      </c>
      <c r="B703" s="967" t="s">
        <v>3317</v>
      </c>
      <c r="C703" s="968">
        <v>7.9400000000000006E-5</v>
      </c>
      <c r="D703" s="968">
        <v>8.2600000000000002E-5</v>
      </c>
      <c r="E703" s="985">
        <v>39471</v>
      </c>
      <c r="F703" s="969">
        <v>121301</v>
      </c>
      <c r="G703" s="969"/>
      <c r="H703" s="970">
        <v>6988</v>
      </c>
      <c r="I703" s="971">
        <v>29452</v>
      </c>
      <c r="J703" s="970">
        <v>17323</v>
      </c>
      <c r="K703" s="969">
        <v>9711</v>
      </c>
      <c r="L703" s="971">
        <f t="shared" si="20"/>
        <v>63474</v>
      </c>
      <c r="M703" s="969"/>
      <c r="N703" s="970">
        <v>3434</v>
      </c>
      <c r="O703" s="970">
        <v>0</v>
      </c>
      <c r="P703" s="969">
        <v>226</v>
      </c>
      <c r="Q703" s="971">
        <f t="shared" si="21"/>
        <v>3660</v>
      </c>
      <c r="R703" s="969"/>
      <c r="S703" s="970">
        <v>40879</v>
      </c>
      <c r="T703" s="972">
        <v>3824</v>
      </c>
      <c r="U703" s="972">
        <v>44703</v>
      </c>
    </row>
    <row r="704" spans="1:21" x14ac:dyDescent="0.25">
      <c r="A704" s="966">
        <v>97811</v>
      </c>
      <c r="B704" s="967" t="s">
        <v>3318</v>
      </c>
      <c r="C704" s="968">
        <v>2.4172E-3</v>
      </c>
      <c r="D704" s="968">
        <v>2.4088E-3</v>
      </c>
      <c r="E704" s="985">
        <v>1101270</v>
      </c>
      <c r="F704" s="969">
        <v>3692812</v>
      </c>
      <c r="G704" s="969"/>
      <c r="H704" s="970">
        <v>212740</v>
      </c>
      <c r="I704" s="971">
        <v>896619</v>
      </c>
      <c r="J704" s="970">
        <v>527385</v>
      </c>
      <c r="K704" s="969">
        <v>0</v>
      </c>
      <c r="L704" s="971">
        <f t="shared" si="20"/>
        <v>1636744</v>
      </c>
      <c r="M704" s="969"/>
      <c r="N704" s="970">
        <v>104532</v>
      </c>
      <c r="O704" s="970">
        <v>0</v>
      </c>
      <c r="P704" s="969">
        <v>164062</v>
      </c>
      <c r="Q704" s="971">
        <f t="shared" si="21"/>
        <v>268594</v>
      </c>
      <c r="R704" s="969"/>
      <c r="S704" s="970">
        <v>1244481</v>
      </c>
      <c r="T704" s="972">
        <v>-73272</v>
      </c>
      <c r="U704" s="972">
        <v>1171209</v>
      </c>
    </row>
    <row r="705" spans="1:21" x14ac:dyDescent="0.25">
      <c r="A705" s="966">
        <v>97817</v>
      </c>
      <c r="B705" s="967" t="s">
        <v>3319</v>
      </c>
      <c r="C705" s="968">
        <v>2.2200000000000001E-5</v>
      </c>
      <c r="D705" s="968">
        <v>3.9999999999999998E-6</v>
      </c>
      <c r="E705" s="985">
        <v>14127</v>
      </c>
      <c r="F705" s="969">
        <v>33915</v>
      </c>
      <c r="G705" s="969"/>
      <c r="H705" s="970">
        <v>1954</v>
      </c>
      <c r="I705" s="971">
        <v>8235</v>
      </c>
      <c r="J705" s="970">
        <v>4844</v>
      </c>
      <c r="K705" s="969">
        <v>18101</v>
      </c>
      <c r="L705" s="971">
        <f t="shared" si="20"/>
        <v>33134</v>
      </c>
      <c r="M705" s="969"/>
      <c r="N705" s="970">
        <v>960</v>
      </c>
      <c r="O705" s="970">
        <v>0</v>
      </c>
      <c r="P705" s="969">
        <v>2418</v>
      </c>
      <c r="Q705" s="971">
        <f t="shared" si="21"/>
        <v>3378</v>
      </c>
      <c r="R705" s="969"/>
      <c r="S705" s="970">
        <v>11430</v>
      </c>
      <c r="T705" s="972">
        <v>3916</v>
      </c>
      <c r="U705" s="972">
        <f>15345+1</f>
        <v>15346</v>
      </c>
    </row>
    <row r="706" spans="1:21" x14ac:dyDescent="0.25">
      <c r="A706" s="966">
        <v>97818</v>
      </c>
      <c r="B706" s="967" t="s">
        <v>3320</v>
      </c>
      <c r="C706" s="968">
        <v>2.1999999999999999E-5</v>
      </c>
      <c r="D706" s="968">
        <v>2.12E-5</v>
      </c>
      <c r="E706" s="985">
        <v>9809</v>
      </c>
      <c r="F706" s="969">
        <v>33610</v>
      </c>
      <c r="G706" s="969"/>
      <c r="H706" s="970">
        <v>1936</v>
      </c>
      <c r="I706" s="971">
        <v>8160</v>
      </c>
      <c r="J706" s="970">
        <v>4800</v>
      </c>
      <c r="K706" s="969">
        <v>6200</v>
      </c>
      <c r="L706" s="971">
        <f t="shared" si="20"/>
        <v>21096</v>
      </c>
      <c r="M706" s="969"/>
      <c r="N706" s="970">
        <v>951</v>
      </c>
      <c r="O706" s="970">
        <v>0</v>
      </c>
      <c r="P706" s="969">
        <v>2136</v>
      </c>
      <c r="Q706" s="971">
        <f t="shared" si="21"/>
        <v>3087</v>
      </c>
      <c r="R706" s="969"/>
      <c r="S706" s="970">
        <v>11327</v>
      </c>
      <c r="T706" s="972">
        <v>134</v>
      </c>
      <c r="U706" s="972">
        <v>11461</v>
      </c>
    </row>
    <row r="707" spans="1:21" x14ac:dyDescent="0.25">
      <c r="A707" s="966">
        <v>97821</v>
      </c>
      <c r="B707" s="967" t="s">
        <v>3321</v>
      </c>
      <c r="C707" s="968">
        <v>1.126E-4</v>
      </c>
      <c r="D707" s="968">
        <v>1.1620000000000001E-4</v>
      </c>
      <c r="E707" s="985">
        <v>61404</v>
      </c>
      <c r="F707" s="969">
        <v>172022</v>
      </c>
      <c r="G707" s="969"/>
      <c r="H707" s="970">
        <v>9910</v>
      </c>
      <c r="I707" s="971">
        <v>41767</v>
      </c>
      <c r="J707" s="970">
        <v>24567</v>
      </c>
      <c r="K707" s="969">
        <v>5355</v>
      </c>
      <c r="L707" s="971">
        <f t="shared" si="20"/>
        <v>81599</v>
      </c>
      <c r="M707" s="969"/>
      <c r="N707" s="970">
        <v>4869</v>
      </c>
      <c r="O707" s="970">
        <v>0</v>
      </c>
      <c r="P707" s="969">
        <v>16228</v>
      </c>
      <c r="Q707" s="971">
        <f t="shared" si="21"/>
        <v>21097</v>
      </c>
      <c r="R707" s="969"/>
      <c r="S707" s="970">
        <v>57971</v>
      </c>
      <c r="T707" s="972">
        <v>-9342</v>
      </c>
      <c r="U707" s="972">
        <f>48630-1</f>
        <v>48629</v>
      </c>
    </row>
    <row r="708" spans="1:21" x14ac:dyDescent="0.25">
      <c r="A708" s="966">
        <v>97823</v>
      </c>
      <c r="B708" s="967" t="s">
        <v>3322</v>
      </c>
      <c r="C708" s="968">
        <v>2.3300000000000001E-5</v>
      </c>
      <c r="D708" s="968">
        <v>2.4600000000000002E-5</v>
      </c>
      <c r="E708" s="985">
        <v>13092</v>
      </c>
      <c r="F708" s="969">
        <v>35596</v>
      </c>
      <c r="G708" s="969"/>
      <c r="H708" s="970">
        <v>2051</v>
      </c>
      <c r="I708" s="971">
        <v>8642</v>
      </c>
      <c r="J708" s="970">
        <v>5084</v>
      </c>
      <c r="K708" s="969">
        <v>1711</v>
      </c>
      <c r="L708" s="971">
        <f t="shared" si="20"/>
        <v>17488</v>
      </c>
      <c r="M708" s="969"/>
      <c r="N708" s="970">
        <v>1008</v>
      </c>
      <c r="O708" s="970">
        <v>0</v>
      </c>
      <c r="P708" s="969">
        <v>591</v>
      </c>
      <c r="Q708" s="971">
        <f t="shared" si="21"/>
        <v>1599</v>
      </c>
      <c r="R708" s="969"/>
      <c r="S708" s="970">
        <v>11996</v>
      </c>
      <c r="T708" s="972">
        <v>-77</v>
      </c>
      <c r="U708" s="972">
        <v>11919</v>
      </c>
    </row>
    <row r="709" spans="1:21" x14ac:dyDescent="0.25">
      <c r="A709" s="966">
        <v>97831</v>
      </c>
      <c r="B709" s="967" t="s">
        <v>3323</v>
      </c>
      <c r="C709" s="968">
        <v>1.7009999999999999E-4</v>
      </c>
      <c r="D709" s="968">
        <v>1.482E-4</v>
      </c>
      <c r="E709" s="985">
        <v>78813</v>
      </c>
      <c r="F709" s="969">
        <v>259866</v>
      </c>
      <c r="G709" s="969"/>
      <c r="H709" s="970">
        <v>14971</v>
      </c>
      <c r="I709" s="971">
        <v>63096</v>
      </c>
      <c r="J709" s="970">
        <v>37112</v>
      </c>
      <c r="K709" s="969">
        <v>15261</v>
      </c>
      <c r="L709" s="971">
        <f t="shared" si="20"/>
        <v>130440</v>
      </c>
      <c r="M709" s="969"/>
      <c r="N709" s="970">
        <v>7356</v>
      </c>
      <c r="O709" s="970">
        <v>0</v>
      </c>
      <c r="P709" s="969">
        <v>8418</v>
      </c>
      <c r="Q709" s="971">
        <f t="shared" si="21"/>
        <v>15774</v>
      </c>
      <c r="R709" s="969"/>
      <c r="S709" s="970">
        <v>87575</v>
      </c>
      <c r="T709" s="972">
        <v>-2075</v>
      </c>
      <c r="U709" s="972">
        <v>85500</v>
      </c>
    </row>
    <row r="710" spans="1:21" x14ac:dyDescent="0.25">
      <c r="A710" s="966">
        <v>97837</v>
      </c>
      <c r="B710" s="967" t="s">
        <v>3324</v>
      </c>
      <c r="C710" s="968">
        <v>1.0200000000000001E-5</v>
      </c>
      <c r="D710" s="968">
        <v>8.8000000000000004E-6</v>
      </c>
      <c r="E710" s="985">
        <v>6053</v>
      </c>
      <c r="F710" s="969">
        <v>15583</v>
      </c>
      <c r="G710" s="969"/>
      <c r="H710" s="970">
        <v>898</v>
      </c>
      <c r="I710" s="971">
        <v>3784</v>
      </c>
      <c r="J710" s="970">
        <v>2225</v>
      </c>
      <c r="K710" s="969">
        <v>3302</v>
      </c>
      <c r="L710" s="971">
        <f t="shared" si="20"/>
        <v>10209</v>
      </c>
      <c r="M710" s="969"/>
      <c r="N710" s="970">
        <v>441</v>
      </c>
      <c r="O710" s="970">
        <v>0</v>
      </c>
      <c r="P710" s="969">
        <v>214</v>
      </c>
      <c r="Q710" s="971">
        <f t="shared" si="21"/>
        <v>655</v>
      </c>
      <c r="R710" s="969"/>
      <c r="S710" s="970">
        <v>5251</v>
      </c>
      <c r="T710" s="972">
        <v>1260</v>
      </c>
      <c r="U710" s="972">
        <v>6511</v>
      </c>
    </row>
    <row r="711" spans="1:21" x14ac:dyDescent="0.25">
      <c r="A711" s="966">
        <v>97840</v>
      </c>
      <c r="B711" s="967" t="s">
        <v>3325</v>
      </c>
      <c r="C711" s="968">
        <v>1.3190000000000001E-4</v>
      </c>
      <c r="D711" s="968">
        <v>1.403E-4</v>
      </c>
      <c r="E711" s="985">
        <v>107784</v>
      </c>
      <c r="F711" s="969">
        <v>201507</v>
      </c>
      <c r="G711" s="969"/>
      <c r="H711" s="970">
        <v>11609</v>
      </c>
      <c r="I711" s="971">
        <v>48926</v>
      </c>
      <c r="J711" s="970">
        <v>28778</v>
      </c>
      <c r="K711" s="969">
        <v>76227</v>
      </c>
      <c r="L711" s="971">
        <f t="shared" ref="L711:L774" si="22">H711+I711+J711+K711</f>
        <v>165540</v>
      </c>
      <c r="M711" s="969"/>
      <c r="N711" s="970">
        <v>5704</v>
      </c>
      <c r="O711" s="970">
        <v>0</v>
      </c>
      <c r="P711" s="969">
        <v>964</v>
      </c>
      <c r="Q711" s="971">
        <f t="shared" ref="Q711:Q774" si="23">N711+O711+P711</f>
        <v>6668</v>
      </c>
      <c r="R711" s="969"/>
      <c r="S711" s="970">
        <v>67908</v>
      </c>
      <c r="T711" s="972">
        <v>27073</v>
      </c>
      <c r="U711" s="972">
        <v>94981</v>
      </c>
    </row>
    <row r="712" spans="1:21" x14ac:dyDescent="0.25">
      <c r="A712" s="966">
        <v>97841</v>
      </c>
      <c r="B712" s="967" t="s">
        <v>3326</v>
      </c>
      <c r="C712" s="968">
        <v>1.31E-5</v>
      </c>
      <c r="D712" s="968">
        <v>1.45E-5</v>
      </c>
      <c r="E712" s="985">
        <v>6425</v>
      </c>
      <c r="F712" s="969">
        <v>20013</v>
      </c>
      <c r="G712" s="969"/>
      <c r="H712" s="970">
        <v>1153</v>
      </c>
      <c r="I712" s="971">
        <v>4859</v>
      </c>
      <c r="J712" s="970">
        <v>2858</v>
      </c>
      <c r="K712" s="969">
        <v>410</v>
      </c>
      <c r="L712" s="971">
        <f t="shared" si="22"/>
        <v>9280</v>
      </c>
      <c r="M712" s="969"/>
      <c r="N712" s="970">
        <v>567</v>
      </c>
      <c r="O712" s="970">
        <v>0</v>
      </c>
      <c r="P712" s="969">
        <v>4768</v>
      </c>
      <c r="Q712" s="971">
        <f t="shared" si="23"/>
        <v>5335</v>
      </c>
      <c r="R712" s="969"/>
      <c r="S712" s="970">
        <v>6744</v>
      </c>
      <c r="T712" s="972">
        <v>-3859</v>
      </c>
      <c r="U712" s="972">
        <v>2885</v>
      </c>
    </row>
    <row r="713" spans="1:21" x14ac:dyDescent="0.25">
      <c r="A713" s="966">
        <v>97847</v>
      </c>
      <c r="B713" s="967" t="s">
        <v>3327</v>
      </c>
      <c r="C713" s="968">
        <v>2.0999999999999998E-6</v>
      </c>
      <c r="D713" s="968">
        <v>2.2000000000000001E-6</v>
      </c>
      <c r="E713" s="985">
        <v>2259</v>
      </c>
      <c r="F713" s="969">
        <v>3208</v>
      </c>
      <c r="G713" s="969"/>
      <c r="H713" s="970">
        <v>185</v>
      </c>
      <c r="I713" s="971">
        <v>779</v>
      </c>
      <c r="J713" s="970">
        <v>458</v>
      </c>
      <c r="K713" s="969">
        <v>1433</v>
      </c>
      <c r="L713" s="971">
        <f t="shared" si="22"/>
        <v>2855</v>
      </c>
      <c r="M713" s="969"/>
      <c r="N713" s="970">
        <v>91</v>
      </c>
      <c r="O713" s="970">
        <v>0</v>
      </c>
      <c r="P713" s="969">
        <v>72</v>
      </c>
      <c r="Q713" s="971">
        <f t="shared" si="23"/>
        <v>163</v>
      </c>
      <c r="R713" s="969"/>
      <c r="S713" s="970">
        <v>1081</v>
      </c>
      <c r="T713" s="972">
        <v>355</v>
      </c>
      <c r="U713" s="972">
        <v>1436</v>
      </c>
    </row>
    <row r="714" spans="1:21" x14ac:dyDescent="0.25">
      <c r="A714" s="966">
        <v>97851</v>
      </c>
      <c r="B714" s="967" t="s">
        <v>3328</v>
      </c>
      <c r="C714" s="968">
        <v>2.7799999999999998E-4</v>
      </c>
      <c r="D714" s="968">
        <v>2.7460000000000001E-4</v>
      </c>
      <c r="E714" s="985">
        <v>116408</v>
      </c>
      <c r="F714" s="969">
        <v>424707</v>
      </c>
      <c r="G714" s="969"/>
      <c r="H714" s="970">
        <v>24467</v>
      </c>
      <c r="I714" s="971">
        <v>103120</v>
      </c>
      <c r="J714" s="970">
        <v>60654</v>
      </c>
      <c r="K714" s="969">
        <v>1448</v>
      </c>
      <c r="L714" s="971">
        <f t="shared" si="22"/>
        <v>189689</v>
      </c>
      <c r="M714" s="969"/>
      <c r="N714" s="970">
        <v>12022</v>
      </c>
      <c r="O714" s="970">
        <v>0</v>
      </c>
      <c r="P714" s="969">
        <v>12710</v>
      </c>
      <c r="Q714" s="971">
        <f t="shared" si="23"/>
        <v>24732</v>
      </c>
      <c r="R714" s="969"/>
      <c r="S714" s="970">
        <v>143127</v>
      </c>
      <c r="T714" s="972">
        <v>-2512</v>
      </c>
      <c r="U714" s="972">
        <v>140615</v>
      </c>
    </row>
    <row r="715" spans="1:21" x14ac:dyDescent="0.25">
      <c r="A715" s="966">
        <v>97853</v>
      </c>
      <c r="B715" s="967" t="s">
        <v>3329</v>
      </c>
      <c r="C715" s="968">
        <v>1.0289999999999999E-4</v>
      </c>
      <c r="D715" s="968">
        <v>9.1600000000000004E-5</v>
      </c>
      <c r="E715" s="985">
        <v>44043</v>
      </c>
      <c r="F715" s="969">
        <v>157203</v>
      </c>
      <c r="G715" s="969"/>
      <c r="H715" s="970">
        <v>9056</v>
      </c>
      <c r="I715" s="971">
        <v>38169</v>
      </c>
      <c r="J715" s="970">
        <v>22451</v>
      </c>
      <c r="K715" s="969">
        <v>8759</v>
      </c>
      <c r="L715" s="971">
        <f t="shared" si="22"/>
        <v>78435</v>
      </c>
      <c r="M715" s="969"/>
      <c r="N715" s="970">
        <v>4450</v>
      </c>
      <c r="O715" s="970">
        <v>0</v>
      </c>
      <c r="P715" s="969">
        <v>9750</v>
      </c>
      <c r="Q715" s="971">
        <f t="shared" si="23"/>
        <v>14200</v>
      </c>
      <c r="R715" s="969"/>
      <c r="S715" s="970">
        <v>52977</v>
      </c>
      <c r="T715" s="972">
        <v>429</v>
      </c>
      <c r="U715" s="972">
        <f>53407-1</f>
        <v>53406</v>
      </c>
    </row>
    <row r="716" spans="1:21" x14ac:dyDescent="0.25">
      <c r="A716" s="966">
        <v>97861</v>
      </c>
      <c r="B716" s="967" t="s">
        <v>3330</v>
      </c>
      <c r="C716" s="968">
        <v>6.7000000000000002E-5</v>
      </c>
      <c r="D716" s="968">
        <v>6.8499999999999998E-5</v>
      </c>
      <c r="E716" s="985">
        <v>27517</v>
      </c>
      <c r="F716" s="969">
        <v>102357</v>
      </c>
      <c r="G716" s="969"/>
      <c r="H716" s="970">
        <v>5897</v>
      </c>
      <c r="I716" s="971">
        <v>24852</v>
      </c>
      <c r="J716" s="970">
        <v>14618</v>
      </c>
      <c r="K716" s="969">
        <v>1771</v>
      </c>
      <c r="L716" s="971">
        <f t="shared" si="22"/>
        <v>47138</v>
      </c>
      <c r="M716" s="969"/>
      <c r="N716" s="970">
        <v>2897</v>
      </c>
      <c r="O716" s="970">
        <v>0</v>
      </c>
      <c r="P716" s="969">
        <v>7954</v>
      </c>
      <c r="Q716" s="971">
        <f t="shared" si="23"/>
        <v>10851</v>
      </c>
      <c r="R716" s="969"/>
      <c r="S716" s="970">
        <v>34495</v>
      </c>
      <c r="T716" s="972">
        <v>-3725</v>
      </c>
      <c r="U716" s="972">
        <f>30769+1</f>
        <v>30770</v>
      </c>
    </row>
    <row r="717" spans="1:21" x14ac:dyDescent="0.25">
      <c r="A717" s="966">
        <v>97871</v>
      </c>
      <c r="B717" s="967" t="s">
        <v>3331</v>
      </c>
      <c r="C717" s="968">
        <v>2.9930000000000001E-4</v>
      </c>
      <c r="D717" s="968">
        <v>3.1500000000000001E-4</v>
      </c>
      <c r="E717" s="985">
        <v>273654</v>
      </c>
      <c r="F717" s="969">
        <v>457247</v>
      </c>
      <c r="G717" s="969"/>
      <c r="H717" s="970">
        <v>26342</v>
      </c>
      <c r="I717" s="971">
        <v>111020</v>
      </c>
      <c r="J717" s="970">
        <v>65301</v>
      </c>
      <c r="K717" s="969">
        <v>217143</v>
      </c>
      <c r="L717" s="971">
        <f t="shared" si="22"/>
        <v>419806</v>
      </c>
      <c r="M717" s="969"/>
      <c r="N717" s="970">
        <v>12943</v>
      </c>
      <c r="O717" s="970">
        <v>0</v>
      </c>
      <c r="P717" s="969">
        <v>0</v>
      </c>
      <c r="Q717" s="971">
        <f t="shared" si="23"/>
        <v>12943</v>
      </c>
      <c r="R717" s="969"/>
      <c r="S717" s="970">
        <v>154093</v>
      </c>
      <c r="T717" s="972">
        <v>79417</v>
      </c>
      <c r="U717" s="972">
        <f>233509+1</f>
        <v>233510</v>
      </c>
    </row>
    <row r="718" spans="1:21" x14ac:dyDescent="0.25">
      <c r="A718" s="966">
        <v>97877</v>
      </c>
      <c r="B718" s="967" t="s">
        <v>3332</v>
      </c>
      <c r="C718" s="968">
        <v>1.9E-6</v>
      </c>
      <c r="D718" s="968">
        <v>2.2000000000000001E-6</v>
      </c>
      <c r="E718" s="985">
        <v>2104</v>
      </c>
      <c r="F718" s="969">
        <v>2903</v>
      </c>
      <c r="G718" s="969"/>
      <c r="H718" s="970">
        <v>167</v>
      </c>
      <c r="I718" s="971">
        <v>705</v>
      </c>
      <c r="J718" s="970">
        <v>415</v>
      </c>
      <c r="K718" s="969">
        <v>1638</v>
      </c>
      <c r="L718" s="971">
        <f t="shared" si="22"/>
        <v>2925</v>
      </c>
      <c r="M718" s="969"/>
      <c r="N718" s="970">
        <v>82</v>
      </c>
      <c r="O718" s="970">
        <v>0</v>
      </c>
      <c r="P718" s="969">
        <v>0</v>
      </c>
      <c r="Q718" s="971">
        <f t="shared" si="23"/>
        <v>82</v>
      </c>
      <c r="R718" s="969"/>
      <c r="S718" s="970">
        <v>978</v>
      </c>
      <c r="T718" s="972">
        <v>648</v>
      </c>
      <c r="U718" s="972">
        <f>1627-1</f>
        <v>1626</v>
      </c>
    </row>
    <row r="719" spans="1:21" x14ac:dyDescent="0.25">
      <c r="A719" s="966">
        <v>97901</v>
      </c>
      <c r="B719" s="967" t="s">
        <v>3333</v>
      </c>
      <c r="C719" s="968">
        <v>4.2658000000000001E-3</v>
      </c>
      <c r="D719" s="968">
        <v>4.3616999999999996E-3</v>
      </c>
      <c r="E719" s="985">
        <v>2091024</v>
      </c>
      <c r="F719" s="969">
        <v>6516961</v>
      </c>
      <c r="G719" s="969"/>
      <c r="H719" s="970">
        <v>375437</v>
      </c>
      <c r="I719" s="971">
        <v>1582326</v>
      </c>
      <c r="J719" s="970">
        <v>930712</v>
      </c>
      <c r="K719" s="969">
        <v>88360</v>
      </c>
      <c r="L719" s="971">
        <f t="shared" si="22"/>
        <v>2976835</v>
      </c>
      <c r="M719" s="969"/>
      <c r="N719" s="970">
        <v>184475</v>
      </c>
      <c r="O719" s="970">
        <v>0</v>
      </c>
      <c r="P719" s="969">
        <v>14865</v>
      </c>
      <c r="Q719" s="971">
        <f t="shared" si="23"/>
        <v>199340</v>
      </c>
      <c r="R719" s="969"/>
      <c r="S719" s="970">
        <v>2196222</v>
      </c>
      <c r="T719" s="972">
        <v>35112</v>
      </c>
      <c r="U719" s="972">
        <v>2231334</v>
      </c>
    </row>
    <row r="720" spans="1:21" x14ac:dyDescent="0.25">
      <c r="A720" s="966">
        <v>97911</v>
      </c>
      <c r="B720" s="967" t="s">
        <v>3334</v>
      </c>
      <c r="C720" s="968">
        <v>1.3005E-3</v>
      </c>
      <c r="D720" s="968">
        <v>1.3190000000000001E-3</v>
      </c>
      <c r="E720" s="985">
        <v>613265</v>
      </c>
      <c r="F720" s="969">
        <v>1986804</v>
      </c>
      <c r="G720" s="969"/>
      <c r="H720" s="970">
        <v>114458</v>
      </c>
      <c r="I720" s="971">
        <v>482398</v>
      </c>
      <c r="J720" s="970">
        <v>283743</v>
      </c>
      <c r="K720" s="969">
        <v>31167</v>
      </c>
      <c r="L720" s="971">
        <f t="shared" si="22"/>
        <v>911766</v>
      </c>
      <c r="M720" s="969"/>
      <c r="N720" s="970">
        <v>56240</v>
      </c>
      <c r="O720" s="970">
        <v>0</v>
      </c>
      <c r="P720" s="969">
        <v>28435</v>
      </c>
      <c r="Q720" s="971">
        <f t="shared" si="23"/>
        <v>84675</v>
      </c>
      <c r="R720" s="969"/>
      <c r="S720" s="970">
        <v>669555</v>
      </c>
      <c r="T720" s="972">
        <v>10548</v>
      </c>
      <c r="U720" s="972">
        <v>680103</v>
      </c>
    </row>
    <row r="721" spans="1:21" x14ac:dyDescent="0.25">
      <c r="A721" s="966">
        <v>97913</v>
      </c>
      <c r="B721" s="967" t="s">
        <v>3335</v>
      </c>
      <c r="C721" s="968">
        <v>3.5899999999999998E-5</v>
      </c>
      <c r="D721" s="968">
        <v>3.7400000000000001E-5</v>
      </c>
      <c r="E721" s="985">
        <v>27559</v>
      </c>
      <c r="F721" s="969">
        <v>54845</v>
      </c>
      <c r="G721" s="969"/>
      <c r="H721" s="970">
        <v>3160</v>
      </c>
      <c r="I721" s="971">
        <v>13317</v>
      </c>
      <c r="J721" s="970">
        <v>7833</v>
      </c>
      <c r="K721" s="969">
        <v>15616</v>
      </c>
      <c r="L721" s="971">
        <f t="shared" si="22"/>
        <v>39926</v>
      </c>
      <c r="M721" s="969"/>
      <c r="N721" s="970">
        <v>1552</v>
      </c>
      <c r="O721" s="970">
        <v>0</v>
      </c>
      <c r="P721" s="969">
        <v>0</v>
      </c>
      <c r="Q721" s="971">
        <f t="shared" si="23"/>
        <v>1552</v>
      </c>
      <c r="R721" s="969"/>
      <c r="S721" s="970">
        <v>18483</v>
      </c>
      <c r="T721" s="972">
        <v>5369</v>
      </c>
      <c r="U721" s="972">
        <f>23851+1</f>
        <v>23852</v>
      </c>
    </row>
    <row r="722" spans="1:21" x14ac:dyDescent="0.25">
      <c r="A722" s="966">
        <v>97917</v>
      </c>
      <c r="B722" s="967" t="s">
        <v>3336</v>
      </c>
      <c r="C722" s="968">
        <v>2.0999999999999999E-5</v>
      </c>
      <c r="D722" s="968">
        <v>1.98E-5</v>
      </c>
      <c r="E722" s="985">
        <v>13419</v>
      </c>
      <c r="F722" s="969">
        <v>32082</v>
      </c>
      <c r="G722" s="969"/>
      <c r="H722" s="970">
        <v>1848</v>
      </c>
      <c r="I722" s="971">
        <v>7790</v>
      </c>
      <c r="J722" s="970">
        <v>4582</v>
      </c>
      <c r="K722" s="969">
        <v>7811</v>
      </c>
      <c r="L722" s="971">
        <f t="shared" si="22"/>
        <v>22031</v>
      </c>
      <c r="M722" s="969"/>
      <c r="N722" s="970">
        <v>908</v>
      </c>
      <c r="O722" s="970">
        <v>0</v>
      </c>
      <c r="P722" s="969">
        <v>0</v>
      </c>
      <c r="Q722" s="971">
        <f t="shared" si="23"/>
        <v>908</v>
      </c>
      <c r="R722" s="969"/>
      <c r="S722" s="970">
        <v>10812</v>
      </c>
      <c r="T722" s="972">
        <v>3168</v>
      </c>
      <c r="U722" s="972">
        <f>13979+1</f>
        <v>13980</v>
      </c>
    </row>
    <row r="723" spans="1:21" x14ac:dyDescent="0.25">
      <c r="A723" s="966">
        <v>97921</v>
      </c>
      <c r="B723" s="967" t="s">
        <v>3337</v>
      </c>
      <c r="C723" s="968">
        <v>2.1699999999999999E-4</v>
      </c>
      <c r="D723" s="968">
        <v>2.2169999999999999E-4</v>
      </c>
      <c r="E723" s="985">
        <v>103163</v>
      </c>
      <c r="F723" s="969">
        <v>331516</v>
      </c>
      <c r="G723" s="969"/>
      <c r="H723" s="970">
        <v>19098</v>
      </c>
      <c r="I723" s="971">
        <v>80493</v>
      </c>
      <c r="J723" s="970">
        <v>47345</v>
      </c>
      <c r="K723" s="969">
        <v>11562</v>
      </c>
      <c r="L723" s="971">
        <f t="shared" si="22"/>
        <v>158498</v>
      </c>
      <c r="M723" s="969"/>
      <c r="N723" s="970">
        <v>9384</v>
      </c>
      <c r="O723" s="970">
        <v>0</v>
      </c>
      <c r="P723" s="969">
        <v>5992</v>
      </c>
      <c r="Q723" s="971">
        <f t="shared" si="23"/>
        <v>15376</v>
      </c>
      <c r="R723" s="969"/>
      <c r="S723" s="970">
        <v>111721</v>
      </c>
      <c r="T723" s="972">
        <v>3241</v>
      </c>
      <c r="U723" s="972">
        <v>114962</v>
      </c>
    </row>
    <row r="724" spans="1:21" x14ac:dyDescent="0.25">
      <c r="A724" s="966">
        <v>97931</v>
      </c>
      <c r="B724" s="967" t="s">
        <v>3338</v>
      </c>
      <c r="C724" s="968">
        <v>7.0199999999999999E-5</v>
      </c>
      <c r="D724" s="968">
        <v>6.1600000000000007E-5</v>
      </c>
      <c r="E724" s="985">
        <v>31939</v>
      </c>
      <c r="F724" s="969">
        <v>107246</v>
      </c>
      <c r="G724" s="969"/>
      <c r="H724" s="970">
        <v>6178</v>
      </c>
      <c r="I724" s="971">
        <v>26039</v>
      </c>
      <c r="J724" s="970">
        <v>15316</v>
      </c>
      <c r="K724" s="969">
        <v>18162</v>
      </c>
      <c r="L724" s="971">
        <f t="shared" si="22"/>
        <v>65695</v>
      </c>
      <c r="M724" s="969"/>
      <c r="N724" s="970">
        <v>3036</v>
      </c>
      <c r="O724" s="970">
        <v>0</v>
      </c>
      <c r="P724" s="969">
        <v>7492</v>
      </c>
      <c r="Q724" s="971">
        <f t="shared" si="23"/>
        <v>10528</v>
      </c>
      <c r="R724" s="969"/>
      <c r="S724" s="970">
        <v>36142</v>
      </c>
      <c r="T724" s="972">
        <v>2117</v>
      </c>
      <c r="U724" s="972">
        <v>38259</v>
      </c>
    </row>
    <row r="725" spans="1:21" x14ac:dyDescent="0.25">
      <c r="A725" s="966">
        <v>97941</v>
      </c>
      <c r="B725" s="967" t="s">
        <v>3339</v>
      </c>
      <c r="C725" s="968">
        <v>2.0479999999999999E-4</v>
      </c>
      <c r="D725" s="968">
        <v>2.3330000000000001E-4</v>
      </c>
      <c r="E725" s="985">
        <v>106970</v>
      </c>
      <c r="F725" s="969">
        <v>312878</v>
      </c>
      <c r="G725" s="969"/>
      <c r="H725" s="970">
        <v>18025</v>
      </c>
      <c r="I725" s="971">
        <v>75967</v>
      </c>
      <c r="J725" s="970">
        <v>44683</v>
      </c>
      <c r="K725" s="969">
        <v>17999</v>
      </c>
      <c r="L725" s="971">
        <f t="shared" si="22"/>
        <v>156674</v>
      </c>
      <c r="M725" s="969"/>
      <c r="N725" s="970">
        <v>8857</v>
      </c>
      <c r="O725" s="970">
        <v>0</v>
      </c>
      <c r="P725" s="969">
        <v>8897</v>
      </c>
      <c r="Q725" s="971">
        <f t="shared" si="23"/>
        <v>17754</v>
      </c>
      <c r="R725" s="969"/>
      <c r="S725" s="970">
        <v>105440</v>
      </c>
      <c r="T725" s="972">
        <v>7001</v>
      </c>
      <c r="U725" s="972">
        <v>112441</v>
      </c>
    </row>
    <row r="726" spans="1:21" x14ac:dyDescent="0.25">
      <c r="A726" s="966">
        <v>97947</v>
      </c>
      <c r="B726" s="967" t="s">
        <v>3340</v>
      </c>
      <c r="C726" s="968">
        <v>1.3900000000000001E-5</v>
      </c>
      <c r="D726" s="968">
        <v>1.5500000000000001E-5</v>
      </c>
      <c r="E726" s="985">
        <v>11471</v>
      </c>
      <c r="F726" s="969">
        <v>21235</v>
      </c>
      <c r="G726" s="969"/>
      <c r="H726" s="970">
        <v>1223</v>
      </c>
      <c r="I726" s="971">
        <v>5156</v>
      </c>
      <c r="J726" s="970">
        <v>3033</v>
      </c>
      <c r="K726" s="969">
        <v>9518</v>
      </c>
      <c r="L726" s="971">
        <f t="shared" si="22"/>
        <v>18930</v>
      </c>
      <c r="M726" s="969"/>
      <c r="N726" s="970">
        <v>601</v>
      </c>
      <c r="O726" s="970">
        <v>0</v>
      </c>
      <c r="P726" s="969">
        <v>306</v>
      </c>
      <c r="Q726" s="971">
        <f t="shared" si="23"/>
        <v>907</v>
      </c>
      <c r="R726" s="969"/>
      <c r="S726" s="970">
        <v>7156</v>
      </c>
      <c r="T726" s="972">
        <v>3116</v>
      </c>
      <c r="U726" s="972">
        <v>10272</v>
      </c>
    </row>
    <row r="727" spans="1:21" x14ac:dyDescent="0.25">
      <c r="A727" s="966">
        <v>97948</v>
      </c>
      <c r="B727" s="967" t="s">
        <v>3341</v>
      </c>
      <c r="C727" s="968">
        <v>2.2099999999999998E-5</v>
      </c>
      <c r="D727" s="968">
        <v>3.5200000000000002E-5</v>
      </c>
      <c r="E727" s="985">
        <v>10840</v>
      </c>
      <c r="F727" s="969">
        <v>33763</v>
      </c>
      <c r="G727" s="969"/>
      <c r="H727" s="970">
        <v>1945</v>
      </c>
      <c r="I727" s="971">
        <v>8198</v>
      </c>
      <c r="J727" s="970">
        <v>4822</v>
      </c>
      <c r="K727" s="969">
        <v>1909</v>
      </c>
      <c r="L727" s="971">
        <f t="shared" si="22"/>
        <v>16874</v>
      </c>
      <c r="M727" s="969"/>
      <c r="N727" s="970">
        <v>956</v>
      </c>
      <c r="O727" s="970">
        <v>0</v>
      </c>
      <c r="P727" s="969">
        <v>8330</v>
      </c>
      <c r="Q727" s="971">
        <f t="shared" si="23"/>
        <v>9286</v>
      </c>
      <c r="R727" s="969"/>
      <c r="S727" s="970">
        <v>11378</v>
      </c>
      <c r="T727" s="972">
        <v>-972</v>
      </c>
      <c r="U727" s="972">
        <v>10406</v>
      </c>
    </row>
    <row r="728" spans="1:21" x14ac:dyDescent="0.25">
      <c r="A728" s="966">
        <v>97951</v>
      </c>
      <c r="B728" s="967" t="s">
        <v>3342</v>
      </c>
      <c r="C728" s="968">
        <v>1.2440999999999999E-3</v>
      </c>
      <c r="D728" s="968">
        <v>1.2497000000000001E-3</v>
      </c>
      <c r="E728" s="985">
        <v>597832</v>
      </c>
      <c r="F728" s="969">
        <v>1900640</v>
      </c>
      <c r="G728" s="969"/>
      <c r="H728" s="970">
        <v>109494</v>
      </c>
      <c r="I728" s="971">
        <v>461477</v>
      </c>
      <c r="J728" s="970">
        <v>271438</v>
      </c>
      <c r="K728" s="969">
        <v>31864</v>
      </c>
      <c r="L728" s="971">
        <f t="shared" si="22"/>
        <v>874273</v>
      </c>
      <c r="M728" s="969"/>
      <c r="N728" s="970">
        <v>53801</v>
      </c>
      <c r="O728" s="970">
        <v>0</v>
      </c>
      <c r="P728" s="969">
        <v>7067</v>
      </c>
      <c r="Q728" s="971">
        <f t="shared" si="23"/>
        <v>60868</v>
      </c>
      <c r="R728" s="969"/>
      <c r="S728" s="970">
        <v>640517</v>
      </c>
      <c r="T728" s="972">
        <v>4295</v>
      </c>
      <c r="U728" s="972">
        <f>644813-1</f>
        <v>644812</v>
      </c>
    </row>
    <row r="729" spans="1:21" x14ac:dyDescent="0.25">
      <c r="A729" s="966">
        <v>97957</v>
      </c>
      <c r="B729" s="967" t="s">
        <v>3343</v>
      </c>
      <c r="C729" s="968">
        <v>1.8700000000000001E-5</v>
      </c>
      <c r="D729" s="968">
        <v>1.9599999999999999E-5</v>
      </c>
      <c r="E729" s="985">
        <v>12857</v>
      </c>
      <c r="F729" s="969">
        <v>28568</v>
      </c>
      <c r="G729" s="969"/>
      <c r="H729" s="970">
        <v>1646</v>
      </c>
      <c r="I729" s="971">
        <v>6936</v>
      </c>
      <c r="J729" s="970">
        <v>4080</v>
      </c>
      <c r="K729" s="969">
        <v>4456</v>
      </c>
      <c r="L729" s="971">
        <f t="shared" si="22"/>
        <v>17118</v>
      </c>
      <c r="M729" s="969"/>
      <c r="N729" s="970">
        <v>809</v>
      </c>
      <c r="O729" s="970">
        <v>0</v>
      </c>
      <c r="P729" s="969">
        <v>1123</v>
      </c>
      <c r="Q729" s="971">
        <f t="shared" si="23"/>
        <v>1932</v>
      </c>
      <c r="R729" s="969"/>
      <c r="S729" s="970">
        <v>9628</v>
      </c>
      <c r="T729" s="972">
        <v>620</v>
      </c>
      <c r="U729" s="972">
        <f>10247+1</f>
        <v>10248</v>
      </c>
    </row>
    <row r="730" spans="1:21" x14ac:dyDescent="0.25">
      <c r="A730" s="966">
        <v>98001</v>
      </c>
      <c r="B730" s="967" t="s">
        <v>3344</v>
      </c>
      <c r="C730" s="968">
        <v>5.1148000000000001E-3</v>
      </c>
      <c r="D730" s="968">
        <v>4.9659999999999999E-3</v>
      </c>
      <c r="E730" s="985">
        <v>2367016</v>
      </c>
      <c r="F730" s="969">
        <v>7813998</v>
      </c>
      <c r="G730" s="969"/>
      <c r="H730" s="970">
        <v>450159</v>
      </c>
      <c r="I730" s="971">
        <v>1897248</v>
      </c>
      <c r="J730" s="970">
        <v>1115947</v>
      </c>
      <c r="K730" s="969">
        <v>181889</v>
      </c>
      <c r="L730" s="971">
        <f t="shared" si="22"/>
        <v>3645243</v>
      </c>
      <c r="M730" s="969"/>
      <c r="N730" s="970">
        <v>221190</v>
      </c>
      <c r="O730" s="970">
        <v>0</v>
      </c>
      <c r="P730" s="969">
        <v>0</v>
      </c>
      <c r="Q730" s="971">
        <f t="shared" si="23"/>
        <v>221190</v>
      </c>
      <c r="R730" s="969"/>
      <c r="S730" s="970">
        <v>2633324</v>
      </c>
      <c r="T730" s="972">
        <v>81305</v>
      </c>
      <c r="U730" s="972">
        <v>2714629</v>
      </c>
    </row>
    <row r="731" spans="1:21" x14ac:dyDescent="0.25">
      <c r="A731" s="966">
        <v>98002</v>
      </c>
      <c r="B731" s="967" t="s">
        <v>3345</v>
      </c>
      <c r="C731" s="968">
        <v>6.7000000000000002E-6</v>
      </c>
      <c r="D731" s="968">
        <v>7.3000000000000004E-6</v>
      </c>
      <c r="E731" s="985">
        <v>4126</v>
      </c>
      <c r="F731" s="969">
        <v>10236</v>
      </c>
      <c r="G731" s="969"/>
      <c r="H731" s="970">
        <v>590</v>
      </c>
      <c r="I731" s="971">
        <v>2485</v>
      </c>
      <c r="J731" s="970">
        <v>1462</v>
      </c>
      <c r="K731" s="969">
        <v>1007</v>
      </c>
      <c r="L731" s="971">
        <f t="shared" si="22"/>
        <v>5544</v>
      </c>
      <c r="M731" s="969"/>
      <c r="N731" s="970">
        <v>290</v>
      </c>
      <c r="O731" s="970">
        <v>0</v>
      </c>
      <c r="P731" s="969">
        <v>6492</v>
      </c>
      <c r="Q731" s="971">
        <f t="shared" si="23"/>
        <v>6782</v>
      </c>
      <c r="R731" s="969"/>
      <c r="S731" s="970">
        <v>3449</v>
      </c>
      <c r="T731" s="972">
        <v>-6219</v>
      </c>
      <c r="U731" s="972">
        <v>-2770</v>
      </c>
    </row>
    <row r="732" spans="1:21" x14ac:dyDescent="0.25">
      <c r="A732" s="966">
        <v>98003</v>
      </c>
      <c r="B732" s="967" t="s">
        <v>3346</v>
      </c>
      <c r="C732" s="968">
        <v>7.9599999999999997E-5</v>
      </c>
      <c r="D732" s="968">
        <v>8.1600000000000005E-5</v>
      </c>
      <c r="E732" s="985">
        <v>70274</v>
      </c>
      <c r="F732" s="969">
        <v>121607</v>
      </c>
      <c r="G732" s="969"/>
      <c r="H732" s="970">
        <v>7006</v>
      </c>
      <c r="I732" s="971">
        <v>29526</v>
      </c>
      <c r="J732" s="970">
        <v>17367</v>
      </c>
      <c r="K732" s="969">
        <v>54986</v>
      </c>
      <c r="L732" s="971">
        <f t="shared" si="22"/>
        <v>108885</v>
      </c>
      <c r="M732" s="969"/>
      <c r="N732" s="970">
        <v>3442</v>
      </c>
      <c r="O732" s="970">
        <v>0</v>
      </c>
      <c r="P732" s="969">
        <v>0</v>
      </c>
      <c r="Q732" s="971">
        <f t="shared" si="23"/>
        <v>3442</v>
      </c>
      <c r="R732" s="969"/>
      <c r="S732" s="970">
        <v>40982</v>
      </c>
      <c r="T732" s="972">
        <v>18634</v>
      </c>
      <c r="U732" s="972">
        <v>59616</v>
      </c>
    </row>
    <row r="733" spans="1:21" x14ac:dyDescent="0.25">
      <c r="A733" s="966">
        <v>98004</v>
      </c>
      <c r="B733" s="967" t="s">
        <v>3347</v>
      </c>
      <c r="C733" s="968">
        <v>1.182E-4</v>
      </c>
      <c r="D733" s="968">
        <v>1.209E-4</v>
      </c>
      <c r="E733" s="985">
        <v>78050</v>
      </c>
      <c r="F733" s="969">
        <v>180577</v>
      </c>
      <c r="G733" s="969"/>
      <c r="H733" s="970">
        <v>10403</v>
      </c>
      <c r="I733" s="971">
        <v>43844</v>
      </c>
      <c r="J733" s="970">
        <v>25789</v>
      </c>
      <c r="K733" s="969">
        <v>36575</v>
      </c>
      <c r="L733" s="971">
        <f t="shared" si="22"/>
        <v>116611</v>
      </c>
      <c r="M733" s="969"/>
      <c r="N733" s="970">
        <v>5112</v>
      </c>
      <c r="O733" s="970">
        <v>0</v>
      </c>
      <c r="P733" s="969">
        <v>0</v>
      </c>
      <c r="Q733" s="971">
        <f t="shared" si="23"/>
        <v>5112</v>
      </c>
      <c r="R733" s="969"/>
      <c r="S733" s="970">
        <v>60855</v>
      </c>
      <c r="T733" s="972">
        <v>14190</v>
      </c>
      <c r="U733" s="972">
        <f>75044+1</f>
        <v>75045</v>
      </c>
    </row>
    <row r="734" spans="1:21" x14ac:dyDescent="0.25">
      <c r="A734" s="966">
        <v>98008</v>
      </c>
      <c r="B734" s="967" t="s">
        <v>3348</v>
      </c>
      <c r="C734" s="968">
        <v>7.9999999999999996E-6</v>
      </c>
      <c r="D734" s="968">
        <v>7.7999999999999999E-6</v>
      </c>
      <c r="E734" s="985">
        <v>3537</v>
      </c>
      <c r="F734" s="969">
        <v>12222</v>
      </c>
      <c r="G734" s="969"/>
      <c r="H734" s="970">
        <v>704</v>
      </c>
      <c r="I734" s="971">
        <v>2967</v>
      </c>
      <c r="J734" s="970">
        <v>1745</v>
      </c>
      <c r="K734" s="969">
        <v>25</v>
      </c>
      <c r="L734" s="971">
        <f t="shared" si="22"/>
        <v>5441</v>
      </c>
      <c r="M734" s="969"/>
      <c r="N734" s="970">
        <v>346</v>
      </c>
      <c r="O734" s="970">
        <v>0</v>
      </c>
      <c r="P734" s="969">
        <v>804</v>
      </c>
      <c r="Q734" s="971">
        <f t="shared" si="23"/>
        <v>1150</v>
      </c>
      <c r="R734" s="969"/>
      <c r="S734" s="970">
        <v>4119</v>
      </c>
      <c r="T734" s="972">
        <v>-490</v>
      </c>
      <c r="U734" s="972">
        <v>3629</v>
      </c>
    </row>
    <row r="735" spans="1:21" x14ac:dyDescent="0.25">
      <c r="A735" s="966">
        <v>98011</v>
      </c>
      <c r="B735" s="967" t="s">
        <v>3349</v>
      </c>
      <c r="C735" s="968">
        <v>3.1578999999999999E-3</v>
      </c>
      <c r="D735" s="968">
        <v>3.1795E-3</v>
      </c>
      <c r="E735" s="985">
        <v>1430082</v>
      </c>
      <c r="F735" s="969">
        <v>4824396</v>
      </c>
      <c r="G735" s="969"/>
      <c r="H735" s="970">
        <v>277930</v>
      </c>
      <c r="I735" s="971">
        <v>1171370</v>
      </c>
      <c r="J735" s="970">
        <v>688991</v>
      </c>
      <c r="K735" s="969">
        <v>0</v>
      </c>
      <c r="L735" s="971">
        <f t="shared" si="22"/>
        <v>2138291</v>
      </c>
      <c r="M735" s="969"/>
      <c r="N735" s="970">
        <v>136563</v>
      </c>
      <c r="O735" s="970">
        <v>0</v>
      </c>
      <c r="P735" s="969">
        <v>315025</v>
      </c>
      <c r="Q735" s="971">
        <f t="shared" si="23"/>
        <v>451588</v>
      </c>
      <c r="R735" s="969"/>
      <c r="S735" s="970">
        <v>1625826</v>
      </c>
      <c r="T735" s="972">
        <v>-146862</v>
      </c>
      <c r="U735" s="972">
        <v>1478964</v>
      </c>
    </row>
    <row r="736" spans="1:21" x14ac:dyDescent="0.25">
      <c r="A736" s="966">
        <v>98013</v>
      </c>
      <c r="B736" s="967" t="s">
        <v>3350</v>
      </c>
      <c r="C736" s="968">
        <v>1.415E-4</v>
      </c>
      <c r="D736" s="968">
        <v>1.426E-4</v>
      </c>
      <c r="E736" s="985">
        <v>138521</v>
      </c>
      <c r="F736" s="969">
        <v>216173</v>
      </c>
      <c r="G736" s="969"/>
      <c r="H736" s="970">
        <v>12454</v>
      </c>
      <c r="I736" s="971">
        <v>52487</v>
      </c>
      <c r="J736" s="970">
        <v>30872</v>
      </c>
      <c r="K736" s="969">
        <v>126104</v>
      </c>
      <c r="L736" s="971">
        <f t="shared" si="22"/>
        <v>221917</v>
      </c>
      <c r="M736" s="969"/>
      <c r="N736" s="970">
        <v>6119</v>
      </c>
      <c r="O736" s="970">
        <v>0</v>
      </c>
      <c r="P736" s="969">
        <v>2073</v>
      </c>
      <c r="Q736" s="971">
        <f t="shared" si="23"/>
        <v>8192</v>
      </c>
      <c r="R736" s="969"/>
      <c r="S736" s="970">
        <v>72850</v>
      </c>
      <c r="T736" s="972">
        <v>41784</v>
      </c>
      <c r="U736" s="972">
        <f>114635-1</f>
        <v>114634</v>
      </c>
    </row>
    <row r="737" spans="1:21" x14ac:dyDescent="0.25">
      <c r="A737" s="966">
        <v>98021</v>
      </c>
      <c r="B737" s="967" t="s">
        <v>3351</v>
      </c>
      <c r="C737" s="968">
        <v>8.6199999999999995E-5</v>
      </c>
      <c r="D737" s="968">
        <v>7.5099999999999996E-5</v>
      </c>
      <c r="E737" s="985">
        <v>28536</v>
      </c>
      <c r="F737" s="969">
        <v>131690</v>
      </c>
      <c r="G737" s="969"/>
      <c r="H737" s="970">
        <v>7587</v>
      </c>
      <c r="I737" s="971">
        <v>31975</v>
      </c>
      <c r="J737" s="970">
        <v>18807</v>
      </c>
      <c r="K737" s="969">
        <v>13468</v>
      </c>
      <c r="L737" s="971">
        <f t="shared" si="22"/>
        <v>71837</v>
      </c>
      <c r="M737" s="969"/>
      <c r="N737" s="970">
        <v>3728</v>
      </c>
      <c r="O737" s="970">
        <v>0</v>
      </c>
      <c r="P737" s="969">
        <v>2708</v>
      </c>
      <c r="Q737" s="971">
        <f t="shared" si="23"/>
        <v>6436</v>
      </c>
      <c r="R737" s="969"/>
      <c r="S737" s="970">
        <v>44380</v>
      </c>
      <c r="T737" s="972">
        <v>6479</v>
      </c>
      <c r="U737" s="972">
        <v>50859</v>
      </c>
    </row>
    <row r="738" spans="1:21" x14ac:dyDescent="0.25">
      <c r="A738" s="966">
        <v>98023</v>
      </c>
      <c r="B738" s="967" t="s">
        <v>3352</v>
      </c>
      <c r="C738" s="968">
        <v>1.43E-5</v>
      </c>
      <c r="D738" s="968">
        <v>1.45E-5</v>
      </c>
      <c r="E738" s="985">
        <v>6869</v>
      </c>
      <c r="F738" s="969">
        <v>21846</v>
      </c>
      <c r="G738" s="969"/>
      <c r="H738" s="970">
        <v>1259</v>
      </c>
      <c r="I738" s="971">
        <v>5305</v>
      </c>
      <c r="J738" s="970">
        <v>3120</v>
      </c>
      <c r="K738" s="969">
        <v>109</v>
      </c>
      <c r="L738" s="971">
        <f t="shared" si="22"/>
        <v>9793</v>
      </c>
      <c r="M738" s="969"/>
      <c r="N738" s="970">
        <v>618</v>
      </c>
      <c r="O738" s="970">
        <v>0</v>
      </c>
      <c r="P738" s="969">
        <v>5220</v>
      </c>
      <c r="Q738" s="971">
        <f t="shared" si="23"/>
        <v>5838</v>
      </c>
      <c r="R738" s="969"/>
      <c r="S738" s="970">
        <v>7362</v>
      </c>
      <c r="T738" s="972">
        <v>-2611</v>
      </c>
      <c r="U738" s="972">
        <v>4751</v>
      </c>
    </row>
    <row r="739" spans="1:21" x14ac:dyDescent="0.25">
      <c r="A739" s="966">
        <v>98031</v>
      </c>
      <c r="B739" s="967" t="s">
        <v>3353</v>
      </c>
      <c r="C739" s="968">
        <v>1.537E-4</v>
      </c>
      <c r="D739" s="968">
        <v>1.5530000000000001E-4</v>
      </c>
      <c r="E739" s="985">
        <v>67740</v>
      </c>
      <c r="F739" s="969">
        <v>234811</v>
      </c>
      <c r="G739" s="969"/>
      <c r="H739" s="970">
        <v>13527</v>
      </c>
      <c r="I739" s="971">
        <v>57012</v>
      </c>
      <c r="J739" s="970">
        <v>33534</v>
      </c>
      <c r="K739" s="969">
        <v>4651</v>
      </c>
      <c r="L739" s="971">
        <f t="shared" si="22"/>
        <v>108724</v>
      </c>
      <c r="M739" s="969"/>
      <c r="N739" s="970">
        <v>6647</v>
      </c>
      <c r="O739" s="970">
        <v>0</v>
      </c>
      <c r="P739" s="969">
        <v>9184</v>
      </c>
      <c r="Q739" s="971">
        <f t="shared" si="23"/>
        <v>15831</v>
      </c>
      <c r="R739" s="969"/>
      <c r="S739" s="970">
        <v>79132</v>
      </c>
      <c r="T739" s="972">
        <v>-1401</v>
      </c>
      <c r="U739" s="972">
        <f>77730+1</f>
        <v>77731</v>
      </c>
    </row>
    <row r="740" spans="1:21" x14ac:dyDescent="0.25">
      <c r="A740" s="966">
        <v>98041</v>
      </c>
      <c r="B740" s="967" t="s">
        <v>3354</v>
      </c>
      <c r="C740" s="968">
        <v>1.9230000000000001E-4</v>
      </c>
      <c r="D740" s="968">
        <v>1.6559999999999999E-4</v>
      </c>
      <c r="E740" s="985">
        <v>80474</v>
      </c>
      <c r="F740" s="969">
        <v>293781</v>
      </c>
      <c r="G740" s="969"/>
      <c r="H740" s="970">
        <v>16925</v>
      </c>
      <c r="I740" s="971">
        <v>71330</v>
      </c>
      <c r="J740" s="970">
        <v>41956</v>
      </c>
      <c r="K740" s="969">
        <v>17154</v>
      </c>
      <c r="L740" s="971">
        <f t="shared" si="22"/>
        <v>147365</v>
      </c>
      <c r="M740" s="969"/>
      <c r="N740" s="970">
        <v>8316</v>
      </c>
      <c r="O740" s="970">
        <v>0</v>
      </c>
      <c r="P740" s="969">
        <v>5779</v>
      </c>
      <c r="Q740" s="971">
        <f t="shared" si="23"/>
        <v>14095</v>
      </c>
      <c r="R740" s="969"/>
      <c r="S740" s="970">
        <v>99005</v>
      </c>
      <c r="T740" s="972">
        <v>943</v>
      </c>
      <c r="U740" s="972">
        <v>99948</v>
      </c>
    </row>
    <row r="741" spans="1:21" x14ac:dyDescent="0.25">
      <c r="A741" s="966">
        <v>98051</v>
      </c>
      <c r="B741" s="967" t="s">
        <v>3355</v>
      </c>
      <c r="C741" s="968">
        <v>2.8019999999999998E-4</v>
      </c>
      <c r="D741" s="968">
        <v>3.0019999999999998E-4</v>
      </c>
      <c r="E741" s="985">
        <v>136145</v>
      </c>
      <c r="F741" s="969">
        <v>428068</v>
      </c>
      <c r="G741" s="969"/>
      <c r="H741" s="970">
        <v>24661</v>
      </c>
      <c r="I741" s="971">
        <v>103936</v>
      </c>
      <c r="J741" s="970">
        <v>61134</v>
      </c>
      <c r="K741" s="969">
        <v>21691</v>
      </c>
      <c r="L741" s="971">
        <f t="shared" si="22"/>
        <v>211422</v>
      </c>
      <c r="M741" s="969"/>
      <c r="N741" s="970">
        <v>12117</v>
      </c>
      <c r="O741" s="970">
        <v>0</v>
      </c>
      <c r="P741" s="969">
        <v>7516</v>
      </c>
      <c r="Q741" s="971">
        <f t="shared" si="23"/>
        <v>19633</v>
      </c>
      <c r="R741" s="969"/>
      <c r="S741" s="970">
        <v>144259</v>
      </c>
      <c r="T741" s="972">
        <v>7566</v>
      </c>
      <c r="U741" s="972">
        <v>151825</v>
      </c>
    </row>
    <row r="742" spans="1:21" x14ac:dyDescent="0.25">
      <c r="A742" s="966">
        <v>98061</v>
      </c>
      <c r="B742" s="967" t="s">
        <v>3356</v>
      </c>
      <c r="C742" s="968">
        <v>1.0670000000000001E-4</v>
      </c>
      <c r="D742" s="968">
        <v>9.9099999999999996E-5</v>
      </c>
      <c r="E742" s="985">
        <v>47390</v>
      </c>
      <c r="F742" s="969">
        <v>163008</v>
      </c>
      <c r="G742" s="969"/>
      <c r="H742" s="970">
        <v>9391</v>
      </c>
      <c r="I742" s="971">
        <v>39579</v>
      </c>
      <c r="J742" s="970">
        <v>23280</v>
      </c>
      <c r="K742" s="969">
        <v>3820</v>
      </c>
      <c r="L742" s="971">
        <f t="shared" si="22"/>
        <v>76070</v>
      </c>
      <c r="M742" s="969"/>
      <c r="N742" s="970">
        <v>4614</v>
      </c>
      <c r="O742" s="970">
        <v>0</v>
      </c>
      <c r="P742" s="969">
        <v>17433</v>
      </c>
      <c r="Q742" s="971">
        <f t="shared" si="23"/>
        <v>22047</v>
      </c>
      <c r="R742" s="969"/>
      <c r="S742" s="970">
        <v>54934</v>
      </c>
      <c r="T742" s="972">
        <v>-6260</v>
      </c>
      <c r="U742" s="972">
        <v>48674</v>
      </c>
    </row>
    <row r="743" spans="1:21" x14ac:dyDescent="0.25">
      <c r="A743" s="966">
        <v>98071</v>
      </c>
      <c r="B743" s="967" t="s">
        <v>3357</v>
      </c>
      <c r="C743" s="968">
        <v>4.0099999999999999E-5</v>
      </c>
      <c r="D743" s="968">
        <v>3.4400000000000003E-5</v>
      </c>
      <c r="E743" s="985">
        <v>28233</v>
      </c>
      <c r="F743" s="969">
        <v>61262</v>
      </c>
      <c r="G743" s="969"/>
      <c r="H743" s="970">
        <v>3529</v>
      </c>
      <c r="I743" s="971">
        <v>14874</v>
      </c>
      <c r="J743" s="970">
        <v>8749</v>
      </c>
      <c r="K743" s="969">
        <v>18505</v>
      </c>
      <c r="L743" s="971">
        <f t="shared" si="22"/>
        <v>45657</v>
      </c>
      <c r="M743" s="969"/>
      <c r="N743" s="970">
        <v>1734</v>
      </c>
      <c r="O743" s="970">
        <v>0</v>
      </c>
      <c r="P743" s="969">
        <v>1200</v>
      </c>
      <c r="Q743" s="971">
        <f t="shared" si="23"/>
        <v>2934</v>
      </c>
      <c r="R743" s="969"/>
      <c r="S743" s="970">
        <v>20645</v>
      </c>
      <c r="T743" s="972">
        <v>4654</v>
      </c>
      <c r="U743" s="972">
        <v>25299</v>
      </c>
    </row>
    <row r="744" spans="1:21" x14ac:dyDescent="0.25">
      <c r="A744" s="966">
        <v>98081</v>
      </c>
      <c r="B744" s="967" t="s">
        <v>3358</v>
      </c>
      <c r="C744" s="968">
        <v>1.8300000000000001E-5</v>
      </c>
      <c r="D744" s="968">
        <v>1.9400000000000001E-5</v>
      </c>
      <c r="E744" s="985">
        <v>7556</v>
      </c>
      <c r="F744" s="969">
        <v>27957</v>
      </c>
      <c r="G744" s="969"/>
      <c r="H744" s="970">
        <v>1611</v>
      </c>
      <c r="I744" s="971">
        <v>6788</v>
      </c>
      <c r="J744" s="970">
        <v>3993</v>
      </c>
      <c r="K744" s="969">
        <v>0</v>
      </c>
      <c r="L744" s="971">
        <f t="shared" si="22"/>
        <v>12392</v>
      </c>
      <c r="M744" s="969"/>
      <c r="N744" s="970">
        <v>791</v>
      </c>
      <c r="O744" s="970">
        <v>0</v>
      </c>
      <c r="P744" s="969">
        <v>4207</v>
      </c>
      <c r="Q744" s="971">
        <f t="shared" si="23"/>
        <v>4998</v>
      </c>
      <c r="R744" s="969"/>
      <c r="S744" s="970">
        <v>9422</v>
      </c>
      <c r="T744" s="972">
        <v>-1896</v>
      </c>
      <c r="U744" s="972">
        <v>7526</v>
      </c>
    </row>
    <row r="745" spans="1:21" x14ac:dyDescent="0.25">
      <c r="A745" s="966">
        <v>98091</v>
      </c>
      <c r="B745" s="967" t="s">
        <v>3359</v>
      </c>
      <c r="C745" s="968">
        <v>4.7500000000000003E-5</v>
      </c>
      <c r="D745" s="968">
        <v>5.0899999999999997E-5</v>
      </c>
      <c r="E745" s="985">
        <v>25241</v>
      </c>
      <c r="F745" s="969">
        <v>72567</v>
      </c>
      <c r="G745" s="969"/>
      <c r="H745" s="970">
        <v>4181</v>
      </c>
      <c r="I745" s="971">
        <v>17619</v>
      </c>
      <c r="J745" s="970">
        <v>10364</v>
      </c>
      <c r="K745" s="969">
        <v>1261</v>
      </c>
      <c r="L745" s="971">
        <f t="shared" si="22"/>
        <v>33425</v>
      </c>
      <c r="M745" s="969"/>
      <c r="N745" s="970">
        <v>2054</v>
      </c>
      <c r="O745" s="970">
        <v>0</v>
      </c>
      <c r="P745" s="969">
        <v>807</v>
      </c>
      <c r="Q745" s="971">
        <f t="shared" si="23"/>
        <v>2861</v>
      </c>
      <c r="R745" s="969"/>
      <c r="S745" s="970">
        <v>24455</v>
      </c>
      <c r="T745" s="972">
        <v>-295</v>
      </c>
      <c r="U745" s="972">
        <v>24160</v>
      </c>
    </row>
    <row r="746" spans="1:21" x14ac:dyDescent="0.25">
      <c r="A746" s="966">
        <v>98101</v>
      </c>
      <c r="B746" s="967" t="s">
        <v>3360</v>
      </c>
      <c r="C746" s="968">
        <v>2.8706999999999999E-3</v>
      </c>
      <c r="D746" s="968">
        <v>2.7642999999999999E-3</v>
      </c>
      <c r="E746" s="985">
        <v>1210234</v>
      </c>
      <c r="F746" s="969">
        <v>4385634</v>
      </c>
      <c r="G746" s="969"/>
      <c r="H746" s="970">
        <v>252653</v>
      </c>
      <c r="I746" s="971">
        <v>1064838</v>
      </c>
      <c r="J746" s="970">
        <v>626329</v>
      </c>
      <c r="K746" s="969">
        <v>37308</v>
      </c>
      <c r="L746" s="971">
        <f t="shared" si="22"/>
        <v>1981128</v>
      </c>
      <c r="M746" s="969"/>
      <c r="N746" s="970">
        <v>124143</v>
      </c>
      <c r="O746" s="970">
        <v>0</v>
      </c>
      <c r="P746" s="969">
        <v>32438</v>
      </c>
      <c r="Q746" s="971">
        <f t="shared" si="23"/>
        <v>156581</v>
      </c>
      <c r="R746" s="969"/>
      <c r="S746" s="970">
        <v>1477963</v>
      </c>
      <c r="T746" s="972">
        <v>14286</v>
      </c>
      <c r="U746" s="972">
        <f>1492248+1</f>
        <v>1492249</v>
      </c>
    </row>
    <row r="747" spans="1:21" x14ac:dyDescent="0.25">
      <c r="A747" s="966">
        <v>98102</v>
      </c>
      <c r="B747" s="967" t="s">
        <v>3361</v>
      </c>
      <c r="C747" s="968">
        <v>1.5809999999999999E-4</v>
      </c>
      <c r="D747" s="968">
        <v>1.683E-4</v>
      </c>
      <c r="E747" s="985">
        <v>71621</v>
      </c>
      <c r="F747" s="969">
        <v>241533</v>
      </c>
      <c r="G747" s="969"/>
      <c r="H747" s="970">
        <v>13915</v>
      </c>
      <c r="I747" s="971">
        <v>58644</v>
      </c>
      <c r="J747" s="970">
        <v>34494</v>
      </c>
      <c r="K747" s="969">
        <v>0</v>
      </c>
      <c r="L747" s="971">
        <f t="shared" si="22"/>
        <v>107053</v>
      </c>
      <c r="M747" s="969"/>
      <c r="N747" s="970">
        <v>6837</v>
      </c>
      <c r="O747" s="970">
        <v>0</v>
      </c>
      <c r="P747" s="969">
        <v>14329</v>
      </c>
      <c r="Q747" s="971">
        <f t="shared" si="23"/>
        <v>21166</v>
      </c>
      <c r="R747" s="969"/>
      <c r="S747" s="970">
        <v>81397</v>
      </c>
      <c r="T747" s="972">
        <v>-5584</v>
      </c>
      <c r="U747" s="972">
        <v>75813</v>
      </c>
    </row>
    <row r="748" spans="1:21" x14ac:dyDescent="0.25">
      <c r="A748" s="966">
        <v>98103</v>
      </c>
      <c r="B748" s="967" t="s">
        <v>3362</v>
      </c>
      <c r="C748" s="968">
        <v>5.4410000000000005E-4</v>
      </c>
      <c r="D748" s="968">
        <v>5.3600000000000002E-4</v>
      </c>
      <c r="E748" s="985">
        <v>255161</v>
      </c>
      <c r="F748" s="969">
        <v>831234</v>
      </c>
      <c r="G748" s="969"/>
      <c r="H748" s="970">
        <v>47887</v>
      </c>
      <c r="I748" s="971">
        <v>201824</v>
      </c>
      <c r="J748" s="970">
        <v>118712</v>
      </c>
      <c r="K748" s="969">
        <v>9730</v>
      </c>
      <c r="L748" s="971">
        <f t="shared" si="22"/>
        <v>378153</v>
      </c>
      <c r="M748" s="969"/>
      <c r="N748" s="970">
        <v>23530</v>
      </c>
      <c r="O748" s="970">
        <v>0</v>
      </c>
      <c r="P748" s="969">
        <v>27055</v>
      </c>
      <c r="Q748" s="971">
        <f t="shared" si="23"/>
        <v>50585</v>
      </c>
      <c r="R748" s="969"/>
      <c r="S748" s="970">
        <v>280127</v>
      </c>
      <c r="T748" s="972">
        <v>-17051</v>
      </c>
      <c r="U748" s="972">
        <v>263076</v>
      </c>
    </row>
    <row r="749" spans="1:21" x14ac:dyDescent="0.25">
      <c r="A749" s="966">
        <v>98107</v>
      </c>
      <c r="B749" s="967" t="s">
        <v>3363</v>
      </c>
      <c r="C749" s="968">
        <v>1.08E-5</v>
      </c>
      <c r="D749" s="968">
        <v>1.08E-5</v>
      </c>
      <c r="E749" s="985">
        <v>9242</v>
      </c>
      <c r="F749" s="969">
        <v>16499</v>
      </c>
      <c r="G749" s="969"/>
      <c r="H749" s="970">
        <v>951</v>
      </c>
      <c r="I749" s="971">
        <v>4006</v>
      </c>
      <c r="J749" s="970">
        <v>2356</v>
      </c>
      <c r="K749" s="969">
        <v>8237</v>
      </c>
      <c r="L749" s="971">
        <f t="shared" si="22"/>
        <v>15550</v>
      </c>
      <c r="M749" s="969"/>
      <c r="N749" s="970">
        <v>467</v>
      </c>
      <c r="O749" s="970">
        <v>0</v>
      </c>
      <c r="P749" s="969">
        <v>0</v>
      </c>
      <c r="Q749" s="971">
        <f t="shared" si="23"/>
        <v>467</v>
      </c>
      <c r="R749" s="969"/>
      <c r="S749" s="970">
        <v>5560</v>
      </c>
      <c r="T749" s="972">
        <v>3467</v>
      </c>
      <c r="U749" s="972">
        <v>9027</v>
      </c>
    </row>
    <row r="750" spans="1:21" x14ac:dyDescent="0.25">
      <c r="A750" s="966">
        <v>98109</v>
      </c>
      <c r="B750" s="967" t="s">
        <v>3364</v>
      </c>
      <c r="C750" s="968">
        <v>1.573E-4</v>
      </c>
      <c r="D750" s="968">
        <v>1.4660000000000001E-4</v>
      </c>
      <c r="E750" s="985">
        <v>76016</v>
      </c>
      <c r="F750" s="969">
        <v>240311</v>
      </c>
      <c r="G750" s="969"/>
      <c r="H750" s="970">
        <v>13844</v>
      </c>
      <c r="I750" s="971">
        <v>58348</v>
      </c>
      <c r="J750" s="970">
        <v>34320</v>
      </c>
      <c r="K750" s="969">
        <v>12163</v>
      </c>
      <c r="L750" s="971">
        <f t="shared" si="22"/>
        <v>118675</v>
      </c>
      <c r="M750" s="969"/>
      <c r="N750" s="970">
        <v>6802</v>
      </c>
      <c r="O750" s="970">
        <v>0</v>
      </c>
      <c r="P750" s="969">
        <v>24551</v>
      </c>
      <c r="Q750" s="971">
        <f t="shared" si="23"/>
        <v>31353</v>
      </c>
      <c r="R750" s="969"/>
      <c r="S750" s="970">
        <v>80985</v>
      </c>
      <c r="T750" s="972">
        <v>-7590</v>
      </c>
      <c r="U750" s="972">
        <v>73395</v>
      </c>
    </row>
    <row r="751" spans="1:21" x14ac:dyDescent="0.25">
      <c r="A751" s="966">
        <v>98111</v>
      </c>
      <c r="B751" s="967" t="s">
        <v>3365</v>
      </c>
      <c r="C751" s="968">
        <v>1.0143000000000001E-3</v>
      </c>
      <c r="D751" s="968">
        <v>1.0191E-3</v>
      </c>
      <c r="E751" s="985">
        <v>432530</v>
      </c>
      <c r="F751" s="969">
        <v>1549569</v>
      </c>
      <c r="G751" s="969"/>
      <c r="H751" s="970">
        <v>89270</v>
      </c>
      <c r="I751" s="971">
        <v>376238</v>
      </c>
      <c r="J751" s="970">
        <v>221300</v>
      </c>
      <c r="K751" s="969">
        <v>0</v>
      </c>
      <c r="L751" s="971">
        <f t="shared" si="22"/>
        <v>686808</v>
      </c>
      <c r="M751" s="969"/>
      <c r="N751" s="970">
        <v>43863</v>
      </c>
      <c r="O751" s="970">
        <v>0</v>
      </c>
      <c r="P751" s="969">
        <v>66610</v>
      </c>
      <c r="Q751" s="971">
        <f t="shared" si="23"/>
        <v>110473</v>
      </c>
      <c r="R751" s="969"/>
      <c r="S751" s="970">
        <v>522206</v>
      </c>
      <c r="T751" s="972">
        <v>-21506</v>
      </c>
      <c r="U751" s="972">
        <v>500700</v>
      </c>
    </row>
    <row r="752" spans="1:21" x14ac:dyDescent="0.25">
      <c r="A752" s="966">
        <v>98113</v>
      </c>
      <c r="B752" s="967" t="s">
        <v>3366</v>
      </c>
      <c r="C752" s="968">
        <v>4.6199999999999998E-5</v>
      </c>
      <c r="D752" s="968">
        <v>3.8999999999999999E-5</v>
      </c>
      <c r="E752" s="985">
        <v>23492</v>
      </c>
      <c r="F752" s="969">
        <v>70581</v>
      </c>
      <c r="G752" s="969"/>
      <c r="H752" s="970">
        <v>4066</v>
      </c>
      <c r="I752" s="971">
        <v>17137</v>
      </c>
      <c r="J752" s="970">
        <v>10080</v>
      </c>
      <c r="K752" s="969">
        <v>11739</v>
      </c>
      <c r="L752" s="971">
        <f t="shared" si="22"/>
        <v>43022</v>
      </c>
      <c r="M752" s="969"/>
      <c r="N752" s="970">
        <v>1998</v>
      </c>
      <c r="O752" s="970">
        <v>0</v>
      </c>
      <c r="P752" s="969">
        <v>0</v>
      </c>
      <c r="Q752" s="971">
        <f t="shared" si="23"/>
        <v>1998</v>
      </c>
      <c r="R752" s="969"/>
      <c r="S752" s="970">
        <v>23786</v>
      </c>
      <c r="T752" s="972">
        <v>4647</v>
      </c>
      <c r="U752" s="972">
        <f>28432+1</f>
        <v>28433</v>
      </c>
    </row>
    <row r="753" spans="1:21" x14ac:dyDescent="0.25">
      <c r="A753" s="966">
        <v>98121</v>
      </c>
      <c r="B753" s="967" t="s">
        <v>3367</v>
      </c>
      <c r="C753" s="968">
        <v>2.0100000000000001E-4</v>
      </c>
      <c r="D753" s="968">
        <v>2.2910000000000001E-4</v>
      </c>
      <c r="E753" s="985">
        <v>89370</v>
      </c>
      <c r="F753" s="969">
        <v>307072</v>
      </c>
      <c r="G753" s="969"/>
      <c r="H753" s="970">
        <v>17690</v>
      </c>
      <c r="I753" s="971">
        <v>74558</v>
      </c>
      <c r="J753" s="970">
        <v>43854</v>
      </c>
      <c r="K753" s="969">
        <v>2134</v>
      </c>
      <c r="L753" s="971">
        <f t="shared" si="22"/>
        <v>138236</v>
      </c>
      <c r="M753" s="969"/>
      <c r="N753" s="970">
        <v>8692</v>
      </c>
      <c r="O753" s="970">
        <v>0</v>
      </c>
      <c r="P753" s="969">
        <v>25239</v>
      </c>
      <c r="Q753" s="971">
        <f t="shared" si="23"/>
        <v>33931</v>
      </c>
      <c r="R753" s="969"/>
      <c r="S753" s="970">
        <v>103484</v>
      </c>
      <c r="T753" s="972">
        <v>-5712</v>
      </c>
      <c r="U753" s="972">
        <f>97771+1</f>
        <v>97772</v>
      </c>
    </row>
    <row r="754" spans="1:21" x14ac:dyDescent="0.25">
      <c r="A754" s="966">
        <v>98131</v>
      </c>
      <c r="B754" s="967" t="s">
        <v>3368</v>
      </c>
      <c r="C754" s="968">
        <v>2.5230000000000001E-4</v>
      </c>
      <c r="D754" s="968">
        <v>2.9569999999999998E-4</v>
      </c>
      <c r="E754" s="985">
        <v>119697</v>
      </c>
      <c r="F754" s="969">
        <v>385445</v>
      </c>
      <c r="G754" s="969"/>
      <c r="H754" s="970">
        <v>22205</v>
      </c>
      <c r="I754" s="971">
        <v>93586</v>
      </c>
      <c r="J754" s="970">
        <v>55047</v>
      </c>
      <c r="K754" s="969">
        <v>0</v>
      </c>
      <c r="L754" s="971">
        <f t="shared" si="22"/>
        <v>170838</v>
      </c>
      <c r="M754" s="969"/>
      <c r="N754" s="970">
        <v>10911</v>
      </c>
      <c r="O754" s="970">
        <v>0</v>
      </c>
      <c r="P754" s="969">
        <v>53749</v>
      </c>
      <c r="Q754" s="971">
        <f t="shared" si="23"/>
        <v>64660</v>
      </c>
      <c r="R754" s="969"/>
      <c r="S754" s="970">
        <v>129895</v>
      </c>
      <c r="T754" s="972">
        <v>-23653</v>
      </c>
      <c r="U754" s="972">
        <v>106242</v>
      </c>
    </row>
    <row r="755" spans="1:21" x14ac:dyDescent="0.25">
      <c r="A755" s="966">
        <v>98141</v>
      </c>
      <c r="B755" s="967" t="s">
        <v>3369</v>
      </c>
      <c r="C755" s="968">
        <v>3.0360000000000001E-4</v>
      </c>
      <c r="D755" s="968">
        <v>2.9030000000000001E-4</v>
      </c>
      <c r="E755" s="985">
        <v>133558</v>
      </c>
      <c r="F755" s="969">
        <v>463817</v>
      </c>
      <c r="G755" s="969"/>
      <c r="H755" s="970">
        <v>26720</v>
      </c>
      <c r="I755" s="971">
        <v>112616</v>
      </c>
      <c r="J755" s="970">
        <v>66239</v>
      </c>
      <c r="K755" s="969">
        <v>5226</v>
      </c>
      <c r="L755" s="971">
        <f t="shared" si="22"/>
        <v>210801</v>
      </c>
      <c r="M755" s="969"/>
      <c r="N755" s="970">
        <v>13129</v>
      </c>
      <c r="O755" s="970">
        <v>0</v>
      </c>
      <c r="P755" s="969">
        <v>22375</v>
      </c>
      <c r="Q755" s="971">
        <f t="shared" si="23"/>
        <v>35504</v>
      </c>
      <c r="R755" s="969"/>
      <c r="S755" s="970">
        <v>156307</v>
      </c>
      <c r="T755" s="972">
        <v>-11630</v>
      </c>
      <c r="U755" s="972">
        <v>144677</v>
      </c>
    </row>
    <row r="756" spans="1:21" x14ac:dyDescent="0.25">
      <c r="A756" s="966">
        <v>98147</v>
      </c>
      <c r="B756" s="967" t="s">
        <v>3370</v>
      </c>
      <c r="C756" s="968">
        <v>1.29E-5</v>
      </c>
      <c r="D756" s="968">
        <v>1.29E-5</v>
      </c>
      <c r="E756" s="985">
        <v>9893</v>
      </c>
      <c r="F756" s="969">
        <v>19708</v>
      </c>
      <c r="G756" s="969"/>
      <c r="H756" s="970">
        <v>1135</v>
      </c>
      <c r="I756" s="971">
        <v>4785</v>
      </c>
      <c r="J756" s="970">
        <v>2815</v>
      </c>
      <c r="K756" s="969">
        <v>8231</v>
      </c>
      <c r="L756" s="971">
        <f t="shared" si="22"/>
        <v>16966</v>
      </c>
      <c r="M756" s="969"/>
      <c r="N756" s="970">
        <v>558</v>
      </c>
      <c r="O756" s="970">
        <v>0</v>
      </c>
      <c r="P756" s="969">
        <v>0</v>
      </c>
      <c r="Q756" s="971">
        <f t="shared" si="23"/>
        <v>558</v>
      </c>
      <c r="R756" s="969"/>
      <c r="S756" s="970">
        <v>6641</v>
      </c>
      <c r="T756" s="972">
        <v>3295</v>
      </c>
      <c r="U756" s="972">
        <f>9937-1</f>
        <v>9936</v>
      </c>
    </row>
    <row r="757" spans="1:21" x14ac:dyDescent="0.25">
      <c r="A757" s="966">
        <v>98161</v>
      </c>
      <c r="B757" s="967" t="s">
        <v>3371</v>
      </c>
      <c r="C757" s="968">
        <v>7.3000000000000004E-6</v>
      </c>
      <c r="D757" s="968">
        <v>7.4000000000000003E-6</v>
      </c>
      <c r="E757" s="985">
        <v>5046</v>
      </c>
      <c r="F757" s="969">
        <v>11152</v>
      </c>
      <c r="G757" s="969"/>
      <c r="H757" s="970">
        <v>642</v>
      </c>
      <c r="I757" s="971">
        <v>2708</v>
      </c>
      <c r="J757" s="970">
        <v>1593</v>
      </c>
      <c r="K757" s="969">
        <v>2689</v>
      </c>
      <c r="L757" s="971">
        <f t="shared" si="22"/>
        <v>7632</v>
      </c>
      <c r="M757" s="969"/>
      <c r="N757" s="970">
        <v>316</v>
      </c>
      <c r="O757" s="970">
        <v>0</v>
      </c>
      <c r="P757" s="969">
        <v>0</v>
      </c>
      <c r="Q757" s="971">
        <f t="shared" si="23"/>
        <v>316</v>
      </c>
      <c r="R757" s="969"/>
      <c r="S757" s="970">
        <v>3758</v>
      </c>
      <c r="T757" s="972">
        <v>1075</v>
      </c>
      <c r="U757" s="972">
        <v>4833</v>
      </c>
    </row>
    <row r="758" spans="1:21" x14ac:dyDescent="0.25">
      <c r="A758" s="966">
        <v>98201</v>
      </c>
      <c r="B758" s="967" t="s">
        <v>3372</v>
      </c>
      <c r="C758" s="968">
        <v>3.1664000000000002E-3</v>
      </c>
      <c r="D758" s="968">
        <v>3.0368999999999999E-3</v>
      </c>
      <c r="E758" s="985">
        <v>1424604</v>
      </c>
      <c r="F758" s="969">
        <v>4837382</v>
      </c>
      <c r="G758" s="969"/>
      <c r="H758" s="970">
        <v>278678</v>
      </c>
      <c r="I758" s="971">
        <v>1174522</v>
      </c>
      <c r="J758" s="970">
        <v>690845</v>
      </c>
      <c r="K758" s="969">
        <v>63594</v>
      </c>
      <c r="L758" s="971">
        <f t="shared" si="22"/>
        <v>2207639</v>
      </c>
      <c r="M758" s="969"/>
      <c r="N758" s="970">
        <v>136931</v>
      </c>
      <c r="O758" s="970">
        <v>0</v>
      </c>
      <c r="P758" s="969">
        <v>39608</v>
      </c>
      <c r="Q758" s="971">
        <f t="shared" si="23"/>
        <v>176539</v>
      </c>
      <c r="R758" s="969"/>
      <c r="S758" s="970">
        <v>1630202</v>
      </c>
      <c r="T758" s="972">
        <v>-5370</v>
      </c>
      <c r="U758" s="972">
        <v>1624832</v>
      </c>
    </row>
    <row r="759" spans="1:21" x14ac:dyDescent="0.25">
      <c r="A759" s="966">
        <v>98205</v>
      </c>
      <c r="B759" s="967" t="s">
        <v>3373</v>
      </c>
      <c r="C759" s="968">
        <v>4.6799999999999999E-5</v>
      </c>
      <c r="D759" s="968">
        <v>5.13E-5</v>
      </c>
      <c r="E759" s="985">
        <v>23505</v>
      </c>
      <c r="F759" s="969">
        <v>71497</v>
      </c>
      <c r="G759" s="969"/>
      <c r="H759" s="970">
        <v>4119</v>
      </c>
      <c r="I759" s="971">
        <v>17359</v>
      </c>
      <c r="J759" s="970">
        <v>10211</v>
      </c>
      <c r="K759" s="969">
        <v>1985</v>
      </c>
      <c r="L759" s="971">
        <f t="shared" si="22"/>
        <v>33674</v>
      </c>
      <c r="M759" s="969"/>
      <c r="N759" s="970">
        <v>2024</v>
      </c>
      <c r="O759" s="970">
        <v>0</v>
      </c>
      <c r="P759" s="969">
        <v>2510</v>
      </c>
      <c r="Q759" s="971">
        <f t="shared" si="23"/>
        <v>4534</v>
      </c>
      <c r="R759" s="969"/>
      <c r="S759" s="970">
        <v>24095</v>
      </c>
      <c r="T759" s="972">
        <v>-141</v>
      </c>
      <c r="U759" s="972">
        <f>23953+1</f>
        <v>23954</v>
      </c>
    </row>
    <row r="760" spans="1:21" x14ac:dyDescent="0.25">
      <c r="A760" s="966">
        <v>98211</v>
      </c>
      <c r="B760" s="967" t="s">
        <v>3374</v>
      </c>
      <c r="C760" s="968">
        <v>8.6689999999999998E-4</v>
      </c>
      <c r="D760" s="968">
        <v>9.1609999999999999E-4</v>
      </c>
      <c r="E760" s="985">
        <v>365218</v>
      </c>
      <c r="F760" s="969">
        <v>1324383</v>
      </c>
      <c r="G760" s="969"/>
      <c r="H760" s="970">
        <v>76297</v>
      </c>
      <c r="I760" s="971">
        <v>321561</v>
      </c>
      <c r="J760" s="970">
        <v>189140</v>
      </c>
      <c r="K760" s="969">
        <v>0</v>
      </c>
      <c r="L760" s="971">
        <f t="shared" si="22"/>
        <v>586998</v>
      </c>
      <c r="M760" s="969"/>
      <c r="N760" s="970">
        <v>37489</v>
      </c>
      <c r="O760" s="970">
        <v>0</v>
      </c>
      <c r="P760" s="969">
        <v>136830</v>
      </c>
      <c r="Q760" s="971">
        <f t="shared" si="23"/>
        <v>174319</v>
      </c>
      <c r="R760" s="969"/>
      <c r="S760" s="970">
        <v>446318</v>
      </c>
      <c r="T760" s="972">
        <v>-50136</v>
      </c>
      <c r="U760" s="972">
        <v>396182</v>
      </c>
    </row>
    <row r="761" spans="1:21" x14ac:dyDescent="0.25">
      <c r="A761" s="966">
        <v>98218</v>
      </c>
      <c r="B761" s="967" t="s">
        <v>3375</v>
      </c>
      <c r="C761" s="968">
        <v>1.3200000000000001E-5</v>
      </c>
      <c r="D761" s="968">
        <v>1.0200000000000001E-5</v>
      </c>
      <c r="E761" s="985">
        <v>5829</v>
      </c>
      <c r="F761" s="969">
        <v>20166</v>
      </c>
      <c r="G761" s="969"/>
      <c r="H761" s="970">
        <v>1162</v>
      </c>
      <c r="I761" s="971">
        <v>4896</v>
      </c>
      <c r="J761" s="970">
        <v>2880</v>
      </c>
      <c r="K761" s="969">
        <v>1827</v>
      </c>
      <c r="L761" s="971">
        <f t="shared" si="22"/>
        <v>10765</v>
      </c>
      <c r="M761" s="969"/>
      <c r="N761" s="970">
        <v>571</v>
      </c>
      <c r="O761" s="970">
        <v>0</v>
      </c>
      <c r="P761" s="969">
        <v>1072</v>
      </c>
      <c r="Q761" s="971">
        <f t="shared" si="23"/>
        <v>1643</v>
      </c>
      <c r="R761" s="969"/>
      <c r="S761" s="970">
        <v>6796</v>
      </c>
      <c r="T761" s="972">
        <v>-336</v>
      </c>
      <c r="U761" s="972">
        <v>6460</v>
      </c>
    </row>
    <row r="762" spans="1:21" x14ac:dyDescent="0.25">
      <c r="A762" s="966">
        <v>98221</v>
      </c>
      <c r="B762" s="967" t="s">
        <v>3376</v>
      </c>
      <c r="C762" s="968">
        <v>1.8899999999999999E-5</v>
      </c>
      <c r="D762" s="968">
        <v>1.6799999999999998E-5</v>
      </c>
      <c r="E762" s="985">
        <v>9739</v>
      </c>
      <c r="F762" s="969">
        <v>28874</v>
      </c>
      <c r="G762" s="969"/>
      <c r="H762" s="970">
        <v>1663</v>
      </c>
      <c r="I762" s="971">
        <v>7011</v>
      </c>
      <c r="J762" s="970">
        <v>4124</v>
      </c>
      <c r="K762" s="969">
        <v>4593</v>
      </c>
      <c r="L762" s="971">
        <f t="shared" si="22"/>
        <v>17391</v>
      </c>
      <c r="M762" s="969"/>
      <c r="N762" s="970">
        <v>817</v>
      </c>
      <c r="O762" s="970">
        <v>0</v>
      </c>
      <c r="P762" s="969">
        <v>0</v>
      </c>
      <c r="Q762" s="971">
        <f t="shared" si="23"/>
        <v>817</v>
      </c>
      <c r="R762" s="969"/>
      <c r="S762" s="970">
        <v>9731</v>
      </c>
      <c r="T762" s="972">
        <v>1469</v>
      </c>
      <c r="U762" s="972">
        <v>11200</v>
      </c>
    </row>
    <row r="763" spans="1:21" x14ac:dyDescent="0.25">
      <c r="A763" s="966">
        <v>98231</v>
      </c>
      <c r="B763" s="967" t="s">
        <v>3377</v>
      </c>
      <c r="C763" s="968">
        <v>2.2799999999999999E-5</v>
      </c>
      <c r="D763" s="968">
        <v>3.1999999999999999E-5</v>
      </c>
      <c r="E763" s="985">
        <v>11487</v>
      </c>
      <c r="F763" s="969">
        <v>34832</v>
      </c>
      <c r="G763" s="969"/>
      <c r="H763" s="970">
        <v>2007</v>
      </c>
      <c r="I763" s="971">
        <v>8457</v>
      </c>
      <c r="J763" s="970">
        <v>4975</v>
      </c>
      <c r="K763" s="969">
        <v>1705</v>
      </c>
      <c r="L763" s="971">
        <f t="shared" si="22"/>
        <v>17144</v>
      </c>
      <c r="M763" s="969"/>
      <c r="N763" s="970">
        <v>986</v>
      </c>
      <c r="O763" s="970">
        <v>0</v>
      </c>
      <c r="P763" s="969">
        <v>9632</v>
      </c>
      <c r="Q763" s="971">
        <f t="shared" si="23"/>
        <v>10618</v>
      </c>
      <c r="R763" s="969"/>
      <c r="S763" s="970">
        <v>11738</v>
      </c>
      <c r="T763" s="972">
        <v>-3592</v>
      </c>
      <c r="U763" s="972">
        <v>8146</v>
      </c>
    </row>
    <row r="764" spans="1:21" x14ac:dyDescent="0.25">
      <c r="A764" s="966">
        <v>98237</v>
      </c>
      <c r="B764" s="967" t="s">
        <v>3378</v>
      </c>
      <c r="C764" s="968">
        <v>5.9000000000000003E-6</v>
      </c>
      <c r="D764" s="968">
        <v>2.7E-6</v>
      </c>
      <c r="E764" s="985">
        <v>4385</v>
      </c>
      <c r="F764" s="969">
        <v>9014</v>
      </c>
      <c r="G764" s="969"/>
      <c r="H764" s="970">
        <v>519</v>
      </c>
      <c r="I764" s="971">
        <v>2188</v>
      </c>
      <c r="J764" s="970">
        <v>1287</v>
      </c>
      <c r="K764" s="969">
        <v>5034</v>
      </c>
      <c r="L764" s="971">
        <f t="shared" si="22"/>
        <v>9028</v>
      </c>
      <c r="M764" s="969"/>
      <c r="N764" s="970">
        <v>255</v>
      </c>
      <c r="O764" s="970">
        <v>0</v>
      </c>
      <c r="P764" s="969">
        <v>0</v>
      </c>
      <c r="Q764" s="971">
        <f t="shared" si="23"/>
        <v>255</v>
      </c>
      <c r="R764" s="969"/>
      <c r="S764" s="970">
        <v>3038</v>
      </c>
      <c r="T764" s="972">
        <v>1666</v>
      </c>
      <c r="U764" s="972">
        <v>4704</v>
      </c>
    </row>
    <row r="765" spans="1:21" x14ac:dyDescent="0.25">
      <c r="A765" s="966">
        <v>98241</v>
      </c>
      <c r="B765" s="967" t="s">
        <v>3379</v>
      </c>
      <c r="C765" s="968">
        <v>1.5099999999999999E-5</v>
      </c>
      <c r="D765" s="968">
        <v>1.98E-5</v>
      </c>
      <c r="E765" s="985">
        <v>8388</v>
      </c>
      <c r="F765" s="969">
        <v>23069</v>
      </c>
      <c r="G765" s="969"/>
      <c r="H765" s="970">
        <v>1329</v>
      </c>
      <c r="I765" s="971">
        <v>5602</v>
      </c>
      <c r="J765" s="970">
        <v>3295</v>
      </c>
      <c r="K765" s="969">
        <v>5512</v>
      </c>
      <c r="L765" s="971">
        <f t="shared" si="22"/>
        <v>15738</v>
      </c>
      <c r="M765" s="969"/>
      <c r="N765" s="970">
        <v>653</v>
      </c>
      <c r="O765" s="970">
        <v>0</v>
      </c>
      <c r="P765" s="969">
        <v>2200</v>
      </c>
      <c r="Q765" s="971">
        <f t="shared" si="23"/>
        <v>2853</v>
      </c>
      <c r="R765" s="969"/>
      <c r="S765" s="970">
        <v>7774</v>
      </c>
      <c r="T765" s="972">
        <v>2564</v>
      </c>
      <c r="U765" s="972">
        <f>10339-1</f>
        <v>10338</v>
      </c>
    </row>
    <row r="766" spans="1:21" x14ac:dyDescent="0.25">
      <c r="A766" s="966">
        <v>98251</v>
      </c>
      <c r="B766" s="967" t="s">
        <v>3380</v>
      </c>
      <c r="C766" s="968">
        <v>3.0000000000000001E-6</v>
      </c>
      <c r="D766" s="968">
        <v>3.1E-6</v>
      </c>
      <c r="E766" s="985">
        <v>2206</v>
      </c>
      <c r="F766" s="969">
        <v>4583</v>
      </c>
      <c r="G766" s="969"/>
      <c r="H766" s="970">
        <v>264</v>
      </c>
      <c r="I766" s="971">
        <v>1113</v>
      </c>
      <c r="J766" s="970">
        <v>655</v>
      </c>
      <c r="K766" s="969">
        <v>1375</v>
      </c>
      <c r="L766" s="971">
        <f t="shared" si="22"/>
        <v>3407</v>
      </c>
      <c r="M766" s="969"/>
      <c r="N766" s="970">
        <v>130</v>
      </c>
      <c r="O766" s="970">
        <v>0</v>
      </c>
      <c r="P766" s="969">
        <v>0</v>
      </c>
      <c r="Q766" s="971">
        <f t="shared" si="23"/>
        <v>130</v>
      </c>
      <c r="R766" s="969"/>
      <c r="S766" s="970">
        <v>1545</v>
      </c>
      <c r="T766" s="972">
        <v>561</v>
      </c>
      <c r="U766" s="972">
        <v>2106</v>
      </c>
    </row>
    <row r="767" spans="1:21" x14ac:dyDescent="0.25">
      <c r="A767" s="966">
        <v>98261</v>
      </c>
      <c r="B767" s="967" t="s">
        <v>3381</v>
      </c>
      <c r="C767" s="968">
        <v>3.3200000000000001E-5</v>
      </c>
      <c r="D767" s="968">
        <v>2.97E-5</v>
      </c>
      <c r="E767" s="985">
        <v>16865</v>
      </c>
      <c r="F767" s="969">
        <v>50720</v>
      </c>
      <c r="G767" s="969"/>
      <c r="H767" s="970">
        <v>2922</v>
      </c>
      <c r="I767" s="971">
        <v>12315</v>
      </c>
      <c r="J767" s="970">
        <v>7244</v>
      </c>
      <c r="K767" s="969">
        <v>6546</v>
      </c>
      <c r="L767" s="971">
        <f t="shared" si="22"/>
        <v>29027</v>
      </c>
      <c r="M767" s="969"/>
      <c r="N767" s="970">
        <v>1436</v>
      </c>
      <c r="O767" s="970">
        <v>0</v>
      </c>
      <c r="P767" s="969">
        <v>4922</v>
      </c>
      <c r="Q767" s="971">
        <f t="shared" si="23"/>
        <v>6358</v>
      </c>
      <c r="R767" s="969"/>
      <c r="S767" s="970">
        <v>17093</v>
      </c>
      <c r="T767" s="972">
        <v>793</v>
      </c>
      <c r="U767" s="972">
        <v>17886</v>
      </c>
    </row>
    <row r="768" spans="1:21" x14ac:dyDescent="0.25">
      <c r="A768" s="966">
        <v>98271</v>
      </c>
      <c r="B768" s="967" t="s">
        <v>3382</v>
      </c>
      <c r="C768" s="968">
        <v>5.1000000000000003E-6</v>
      </c>
      <c r="D768" s="968">
        <v>4.5000000000000001E-6</v>
      </c>
      <c r="E768" s="985">
        <v>2676</v>
      </c>
      <c r="F768" s="969">
        <v>7791</v>
      </c>
      <c r="G768" s="969"/>
      <c r="H768" s="970">
        <v>449</v>
      </c>
      <c r="I768" s="971">
        <v>1891</v>
      </c>
      <c r="J768" s="970">
        <v>1113</v>
      </c>
      <c r="K768" s="969">
        <v>3229</v>
      </c>
      <c r="L768" s="971">
        <f t="shared" si="22"/>
        <v>6682</v>
      </c>
      <c r="M768" s="969"/>
      <c r="N768" s="970">
        <v>221</v>
      </c>
      <c r="O768" s="970">
        <v>0</v>
      </c>
      <c r="P768" s="969">
        <v>0</v>
      </c>
      <c r="Q768" s="971">
        <f t="shared" si="23"/>
        <v>221</v>
      </c>
      <c r="R768" s="969"/>
      <c r="S768" s="970">
        <v>2626</v>
      </c>
      <c r="T768" s="972">
        <v>1560</v>
      </c>
      <c r="U768" s="972">
        <f>4185+1</f>
        <v>4186</v>
      </c>
    </row>
    <row r="769" spans="1:21" x14ac:dyDescent="0.25">
      <c r="A769" s="966">
        <v>98301</v>
      </c>
      <c r="B769" s="967" t="s">
        <v>3383</v>
      </c>
      <c r="C769" s="968">
        <v>1.7542E-3</v>
      </c>
      <c r="D769" s="968">
        <v>1.7776999999999999E-3</v>
      </c>
      <c r="E769" s="985">
        <v>825878</v>
      </c>
      <c r="F769" s="969">
        <v>2679932</v>
      </c>
      <c r="G769" s="969"/>
      <c r="H769" s="970">
        <v>154389</v>
      </c>
      <c r="I769" s="971">
        <v>650690</v>
      </c>
      <c r="J769" s="970">
        <v>382731</v>
      </c>
      <c r="K769" s="969">
        <v>51704</v>
      </c>
      <c r="L769" s="971">
        <f t="shared" si="22"/>
        <v>1239514</v>
      </c>
      <c r="M769" s="969"/>
      <c r="N769" s="970">
        <v>75860</v>
      </c>
      <c r="O769" s="970">
        <v>0</v>
      </c>
      <c r="P769" s="969">
        <v>7816</v>
      </c>
      <c r="Q769" s="971">
        <f t="shared" si="23"/>
        <v>83676</v>
      </c>
      <c r="R769" s="969"/>
      <c r="S769" s="970">
        <v>903139</v>
      </c>
      <c r="T769" s="972">
        <v>17344</v>
      </c>
      <c r="U769" s="972">
        <v>920483</v>
      </c>
    </row>
    <row r="770" spans="1:21" x14ac:dyDescent="0.25">
      <c r="A770" s="966">
        <v>98304</v>
      </c>
      <c r="B770" s="967" t="s">
        <v>3384</v>
      </c>
      <c r="C770" s="968">
        <v>2.0999999999999999E-5</v>
      </c>
      <c r="D770" s="968">
        <v>2.2900000000000001E-5</v>
      </c>
      <c r="E770" s="985">
        <v>12751</v>
      </c>
      <c r="F770" s="969">
        <v>32082</v>
      </c>
      <c r="G770" s="969"/>
      <c r="H770" s="970">
        <v>1848</v>
      </c>
      <c r="I770" s="971">
        <v>7790</v>
      </c>
      <c r="J770" s="970">
        <v>4582</v>
      </c>
      <c r="K770" s="969">
        <v>2290</v>
      </c>
      <c r="L770" s="971">
        <f t="shared" si="22"/>
        <v>16510</v>
      </c>
      <c r="M770" s="969"/>
      <c r="N770" s="970">
        <v>908</v>
      </c>
      <c r="O770" s="970">
        <v>0</v>
      </c>
      <c r="P770" s="969">
        <v>0</v>
      </c>
      <c r="Q770" s="971">
        <f t="shared" si="23"/>
        <v>908</v>
      </c>
      <c r="R770" s="969"/>
      <c r="S770" s="970">
        <v>10812</v>
      </c>
      <c r="T770" s="972">
        <v>818</v>
      </c>
      <c r="U770" s="972">
        <f>11629+1</f>
        <v>11630</v>
      </c>
    </row>
    <row r="771" spans="1:21" x14ac:dyDescent="0.25">
      <c r="A771" s="966">
        <v>98308</v>
      </c>
      <c r="B771" s="967" t="s">
        <v>3385</v>
      </c>
      <c r="C771" s="968">
        <v>2.37E-5</v>
      </c>
      <c r="D771" s="968">
        <v>2.55E-5</v>
      </c>
      <c r="E771" s="985">
        <v>15363</v>
      </c>
      <c r="F771" s="969">
        <v>36207</v>
      </c>
      <c r="G771" s="969"/>
      <c r="H771" s="970">
        <v>2086</v>
      </c>
      <c r="I771" s="971">
        <v>8791</v>
      </c>
      <c r="J771" s="970">
        <v>5171</v>
      </c>
      <c r="K771" s="969">
        <v>7272</v>
      </c>
      <c r="L771" s="971">
        <f t="shared" si="22"/>
        <v>23320</v>
      </c>
      <c r="M771" s="969"/>
      <c r="N771" s="970">
        <v>1025</v>
      </c>
      <c r="O771" s="970">
        <v>0</v>
      </c>
      <c r="P771" s="969">
        <v>0</v>
      </c>
      <c r="Q771" s="971">
        <f t="shared" si="23"/>
        <v>1025</v>
      </c>
      <c r="R771" s="969"/>
      <c r="S771" s="970">
        <v>12202</v>
      </c>
      <c r="T771" s="972">
        <v>3390</v>
      </c>
      <c r="U771" s="972">
        <v>15592</v>
      </c>
    </row>
    <row r="772" spans="1:21" x14ac:dyDescent="0.25">
      <c r="A772" s="966">
        <v>98311</v>
      </c>
      <c r="B772" s="967" t="s">
        <v>3386</v>
      </c>
      <c r="C772" s="968">
        <v>1.1536000000000001E-3</v>
      </c>
      <c r="D772" s="968">
        <v>1.1441999999999999E-3</v>
      </c>
      <c r="E772" s="985">
        <v>462217</v>
      </c>
      <c r="F772" s="969">
        <v>1762381</v>
      </c>
      <c r="G772" s="969"/>
      <c r="H772" s="970">
        <v>101529</v>
      </c>
      <c r="I772" s="971">
        <v>427908</v>
      </c>
      <c r="J772" s="970">
        <v>251692</v>
      </c>
      <c r="K772" s="969">
        <v>12653</v>
      </c>
      <c r="L772" s="971">
        <f t="shared" si="22"/>
        <v>793782</v>
      </c>
      <c r="M772" s="969"/>
      <c r="N772" s="970">
        <v>49887</v>
      </c>
      <c r="O772" s="970">
        <v>0</v>
      </c>
      <c r="P772" s="969">
        <v>98661</v>
      </c>
      <c r="Q772" s="971">
        <f t="shared" si="23"/>
        <v>148548</v>
      </c>
      <c r="R772" s="969"/>
      <c r="S772" s="970">
        <v>593924</v>
      </c>
      <c r="T772" s="972">
        <v>-18424</v>
      </c>
      <c r="U772" s="972">
        <f>575501-1</f>
        <v>575500</v>
      </c>
    </row>
    <row r="773" spans="1:21" x14ac:dyDescent="0.25">
      <c r="A773" s="966">
        <v>98313</v>
      </c>
      <c r="B773" s="967" t="s">
        <v>3387</v>
      </c>
      <c r="C773" s="968">
        <v>2.3560000000000001E-4</v>
      </c>
      <c r="D773" s="968">
        <v>2.4240000000000001E-4</v>
      </c>
      <c r="E773" s="985">
        <v>259158</v>
      </c>
      <c r="F773" s="969">
        <v>359932</v>
      </c>
      <c r="G773" s="969"/>
      <c r="H773" s="970">
        <v>20735</v>
      </c>
      <c r="I773" s="971">
        <v>87392</v>
      </c>
      <c r="J773" s="970">
        <v>51403</v>
      </c>
      <c r="K773" s="969">
        <v>233571</v>
      </c>
      <c r="L773" s="971">
        <f t="shared" si="22"/>
        <v>393101</v>
      </c>
      <c r="M773" s="969"/>
      <c r="N773" s="970">
        <v>10189</v>
      </c>
      <c r="O773" s="970">
        <v>0</v>
      </c>
      <c r="P773" s="969">
        <v>59</v>
      </c>
      <c r="Q773" s="971">
        <f t="shared" si="23"/>
        <v>10248</v>
      </c>
      <c r="R773" s="969"/>
      <c r="S773" s="970">
        <v>121297</v>
      </c>
      <c r="T773" s="972">
        <v>77966</v>
      </c>
      <c r="U773" s="972">
        <v>199263</v>
      </c>
    </row>
    <row r="774" spans="1:21" x14ac:dyDescent="0.25">
      <c r="A774" s="966">
        <v>98321</v>
      </c>
      <c r="B774" s="967" t="s">
        <v>3388</v>
      </c>
      <c r="C774" s="968">
        <v>2.05E-5</v>
      </c>
      <c r="D774" s="968">
        <v>2.1399999999999998E-5</v>
      </c>
      <c r="E774" s="985">
        <v>10270</v>
      </c>
      <c r="F774" s="969">
        <v>31318</v>
      </c>
      <c r="G774" s="969"/>
      <c r="H774" s="970">
        <v>1804</v>
      </c>
      <c r="I774" s="971">
        <v>7604</v>
      </c>
      <c r="J774" s="970">
        <v>4473</v>
      </c>
      <c r="K774" s="969">
        <v>1639</v>
      </c>
      <c r="L774" s="971">
        <f t="shared" si="22"/>
        <v>15520</v>
      </c>
      <c r="M774" s="969"/>
      <c r="N774" s="970">
        <v>887</v>
      </c>
      <c r="O774" s="970">
        <v>0</v>
      </c>
      <c r="P774" s="969">
        <v>3066</v>
      </c>
      <c r="Q774" s="971">
        <f t="shared" si="23"/>
        <v>3953</v>
      </c>
      <c r="R774" s="969"/>
      <c r="S774" s="970">
        <v>10554</v>
      </c>
      <c r="T774" s="972">
        <v>472</v>
      </c>
      <c r="U774" s="972">
        <v>11026</v>
      </c>
    </row>
    <row r="775" spans="1:21" x14ac:dyDescent="0.25">
      <c r="A775" s="966">
        <v>98331</v>
      </c>
      <c r="B775" s="967" t="s">
        <v>3389</v>
      </c>
      <c r="C775" s="968">
        <v>9.7999999999999993E-6</v>
      </c>
      <c r="D775" s="968">
        <v>1.03E-5</v>
      </c>
      <c r="E775" s="985">
        <v>6281</v>
      </c>
      <c r="F775" s="969">
        <v>14972</v>
      </c>
      <c r="G775" s="969"/>
      <c r="H775" s="970">
        <v>863</v>
      </c>
      <c r="I775" s="971">
        <v>3635</v>
      </c>
      <c r="J775" s="970">
        <v>2138</v>
      </c>
      <c r="K775" s="969">
        <v>3035</v>
      </c>
      <c r="L775" s="971">
        <f t="shared" ref="L775:L838" si="24">H775+I775+J775+K775</f>
        <v>9671</v>
      </c>
      <c r="M775" s="969"/>
      <c r="N775" s="970">
        <v>424</v>
      </c>
      <c r="O775" s="970">
        <v>0</v>
      </c>
      <c r="P775" s="969">
        <v>132</v>
      </c>
      <c r="Q775" s="971">
        <f t="shared" ref="Q775:Q838" si="25">N775+O775+P775</f>
        <v>556</v>
      </c>
      <c r="R775" s="969"/>
      <c r="S775" s="970">
        <v>5045</v>
      </c>
      <c r="T775" s="972">
        <v>972</v>
      </c>
      <c r="U775" s="972">
        <f>6018-1</f>
        <v>6017</v>
      </c>
    </row>
    <row r="776" spans="1:21" x14ac:dyDescent="0.25">
      <c r="A776" s="966">
        <v>98401</v>
      </c>
      <c r="B776" s="967" t="s">
        <v>3390</v>
      </c>
      <c r="C776" s="968">
        <v>2.7655000000000002E-3</v>
      </c>
      <c r="D776" s="968">
        <v>2.7567999999999998E-3</v>
      </c>
      <c r="E776" s="985">
        <v>1399311</v>
      </c>
      <c r="F776" s="969">
        <v>4224918</v>
      </c>
      <c r="G776" s="969"/>
      <c r="H776" s="970">
        <v>243394</v>
      </c>
      <c r="I776" s="971">
        <v>1025815</v>
      </c>
      <c r="J776" s="970">
        <v>603377</v>
      </c>
      <c r="K776" s="969">
        <v>168129</v>
      </c>
      <c r="L776" s="971">
        <f t="shared" si="24"/>
        <v>2040715</v>
      </c>
      <c r="M776" s="969"/>
      <c r="N776" s="970">
        <v>119594</v>
      </c>
      <c r="O776" s="970">
        <v>0</v>
      </c>
      <c r="P776" s="969">
        <v>6292</v>
      </c>
      <c r="Q776" s="971">
        <f t="shared" si="25"/>
        <v>125886</v>
      </c>
      <c r="R776" s="969"/>
      <c r="S776" s="970">
        <v>1423801</v>
      </c>
      <c r="T776" s="972">
        <v>58759</v>
      </c>
      <c r="U776" s="972">
        <v>1482560</v>
      </c>
    </row>
    <row r="777" spans="1:21" x14ac:dyDescent="0.25">
      <c r="A777" s="966">
        <v>98404</v>
      </c>
      <c r="B777" s="967" t="s">
        <v>3677</v>
      </c>
      <c r="C777" s="968">
        <v>1.52E-5</v>
      </c>
      <c r="D777" s="968">
        <v>0</v>
      </c>
      <c r="E777" s="985">
        <v>5852</v>
      </c>
      <c r="F777" s="969">
        <v>23221</v>
      </c>
      <c r="G777" s="969"/>
      <c r="H777" s="970">
        <v>1338</v>
      </c>
      <c r="I777" s="971">
        <v>5638</v>
      </c>
      <c r="J777" s="970">
        <v>3316</v>
      </c>
      <c r="K777" s="969">
        <v>9290</v>
      </c>
      <c r="L777" s="971">
        <f t="shared" si="24"/>
        <v>19582</v>
      </c>
      <c r="M777" s="969"/>
      <c r="N777" s="970">
        <v>657</v>
      </c>
      <c r="O777" s="970">
        <v>0</v>
      </c>
      <c r="P777" s="969">
        <v>0</v>
      </c>
      <c r="Q777" s="971">
        <f t="shared" si="25"/>
        <v>657</v>
      </c>
      <c r="R777" s="969"/>
      <c r="S777" s="970">
        <v>7826</v>
      </c>
      <c r="T777" s="972">
        <v>2323</v>
      </c>
      <c r="U777" s="972">
        <f>10148+1</f>
        <v>10149</v>
      </c>
    </row>
    <row r="778" spans="1:21" x14ac:dyDescent="0.25">
      <c r="A778" s="966">
        <v>98411</v>
      </c>
      <c r="B778" s="967" t="s">
        <v>3391</v>
      </c>
      <c r="C778" s="968">
        <v>1.9816E-3</v>
      </c>
      <c r="D778" s="968">
        <v>2.0076999999999998E-3</v>
      </c>
      <c r="E778" s="985">
        <v>869964</v>
      </c>
      <c r="F778" s="969">
        <v>3027336</v>
      </c>
      <c r="G778" s="969"/>
      <c r="H778" s="970">
        <v>174403</v>
      </c>
      <c r="I778" s="971">
        <v>735040</v>
      </c>
      <c r="J778" s="970">
        <v>432345</v>
      </c>
      <c r="K778" s="969">
        <v>3986</v>
      </c>
      <c r="L778" s="971">
        <f t="shared" si="24"/>
        <v>1345774</v>
      </c>
      <c r="M778" s="969"/>
      <c r="N778" s="970">
        <v>85694</v>
      </c>
      <c r="O778" s="970">
        <v>0</v>
      </c>
      <c r="P778" s="969">
        <v>73699</v>
      </c>
      <c r="Q778" s="971">
        <f t="shared" si="25"/>
        <v>159393</v>
      </c>
      <c r="R778" s="969"/>
      <c r="S778" s="970">
        <v>1020215</v>
      </c>
      <c r="T778" s="972">
        <v>-19116</v>
      </c>
      <c r="U778" s="972">
        <v>1001099</v>
      </c>
    </row>
    <row r="779" spans="1:21" x14ac:dyDescent="0.25">
      <c r="A779" s="966">
        <v>98414</v>
      </c>
      <c r="B779" s="967" t="s">
        <v>2631</v>
      </c>
      <c r="C779" s="974">
        <f>0.00283%+0.00102%</f>
        <v>3.8500000000000001E-5</v>
      </c>
      <c r="D779" s="968">
        <v>4.3600000000000003E-5</v>
      </c>
      <c r="E779" s="985">
        <v>7367</v>
      </c>
      <c r="F779" s="969">
        <f>43235+15583</f>
        <v>58818</v>
      </c>
      <c r="G779" s="969"/>
      <c r="H779" s="970">
        <f>2491+898</f>
        <v>3389</v>
      </c>
      <c r="I779" s="971">
        <v>14282</v>
      </c>
      <c r="J779" s="970">
        <f>6174+2225</f>
        <v>8399</v>
      </c>
      <c r="K779" s="969">
        <v>14474</v>
      </c>
      <c r="L779" s="971">
        <f t="shared" si="24"/>
        <v>40544</v>
      </c>
      <c r="M779" s="969"/>
      <c r="N779" s="970">
        <f>1224+441</f>
        <v>1665</v>
      </c>
      <c r="O779" s="970">
        <v>0</v>
      </c>
      <c r="P779" s="969">
        <f>0+24505</f>
        <v>24505</v>
      </c>
      <c r="Q779" s="971">
        <f t="shared" si="25"/>
        <v>26170</v>
      </c>
      <c r="R779" s="969"/>
      <c r="S779" s="970">
        <f>14570+5251</f>
        <v>19821</v>
      </c>
      <c r="T779" s="972">
        <f>3619-7460</f>
        <v>-3841</v>
      </c>
      <c r="U779" s="972">
        <f>18189-2209</f>
        <v>15980</v>
      </c>
    </row>
    <row r="780" spans="1:21" x14ac:dyDescent="0.25">
      <c r="A780" s="966">
        <v>98417</v>
      </c>
      <c r="B780" s="967" t="s">
        <v>3392</v>
      </c>
      <c r="C780" s="968">
        <v>2.2900000000000001E-5</v>
      </c>
      <c r="D780" s="968">
        <v>2.4899999999999999E-5</v>
      </c>
      <c r="E780" s="985">
        <v>14126</v>
      </c>
      <c r="F780" s="969">
        <v>34985</v>
      </c>
      <c r="G780" s="969"/>
      <c r="H780" s="970">
        <v>2015</v>
      </c>
      <c r="I780" s="971">
        <v>8494</v>
      </c>
      <c r="J780" s="970">
        <v>4996</v>
      </c>
      <c r="K780" s="969">
        <v>2511</v>
      </c>
      <c r="L780" s="971">
        <f t="shared" si="24"/>
        <v>18016</v>
      </c>
      <c r="M780" s="969"/>
      <c r="N780" s="970">
        <v>990</v>
      </c>
      <c r="O780" s="970">
        <v>0</v>
      </c>
      <c r="P780" s="969">
        <v>424</v>
      </c>
      <c r="Q780" s="971">
        <f t="shared" si="25"/>
        <v>1414</v>
      </c>
      <c r="R780" s="969"/>
      <c r="S780" s="970">
        <v>11790</v>
      </c>
      <c r="T780" s="972">
        <v>315</v>
      </c>
      <c r="U780" s="972">
        <v>12105</v>
      </c>
    </row>
    <row r="781" spans="1:21" x14ac:dyDescent="0.25">
      <c r="A781" s="966">
        <v>98421</v>
      </c>
      <c r="B781" s="967" t="s">
        <v>3393</v>
      </c>
      <c r="C781" s="968">
        <v>8.2700000000000004E-5</v>
      </c>
      <c r="D781" s="968">
        <v>1.0840000000000001E-4</v>
      </c>
      <c r="E781" s="985">
        <v>44396</v>
      </c>
      <c r="F781" s="969">
        <v>126343</v>
      </c>
      <c r="G781" s="969"/>
      <c r="H781" s="970">
        <v>7279</v>
      </c>
      <c r="I781" s="971">
        <v>30676</v>
      </c>
      <c r="J781" s="970">
        <v>18043</v>
      </c>
      <c r="K781" s="969">
        <v>5132</v>
      </c>
      <c r="L781" s="971">
        <f t="shared" si="24"/>
        <v>61130</v>
      </c>
      <c r="M781" s="969"/>
      <c r="N781" s="970">
        <v>3576</v>
      </c>
      <c r="O781" s="970">
        <v>0</v>
      </c>
      <c r="P781" s="969">
        <v>12725</v>
      </c>
      <c r="Q781" s="971">
        <f t="shared" si="25"/>
        <v>16301</v>
      </c>
      <c r="R781" s="969"/>
      <c r="S781" s="970">
        <v>42578</v>
      </c>
      <c r="T781" s="972">
        <v>-911</v>
      </c>
      <c r="U781" s="972">
        <v>41667</v>
      </c>
    </row>
    <row r="782" spans="1:21" x14ac:dyDescent="0.25">
      <c r="A782" s="966">
        <v>98427</v>
      </c>
      <c r="B782" s="967" t="s">
        <v>3394</v>
      </c>
      <c r="C782" s="968">
        <v>3.9999999999999998E-6</v>
      </c>
      <c r="D782" s="968">
        <v>4.6E-6</v>
      </c>
      <c r="E782" s="985">
        <v>3231</v>
      </c>
      <c r="F782" s="969">
        <v>6111</v>
      </c>
      <c r="G782" s="969"/>
      <c r="H782" s="970">
        <v>352</v>
      </c>
      <c r="I782" s="971">
        <v>1484</v>
      </c>
      <c r="J782" s="970">
        <v>873</v>
      </c>
      <c r="K782" s="969">
        <v>1351</v>
      </c>
      <c r="L782" s="971">
        <f t="shared" si="24"/>
        <v>4060</v>
      </c>
      <c r="M782" s="969"/>
      <c r="N782" s="970">
        <v>173</v>
      </c>
      <c r="O782" s="970">
        <v>0</v>
      </c>
      <c r="P782" s="969">
        <v>0</v>
      </c>
      <c r="Q782" s="971">
        <f t="shared" si="25"/>
        <v>173</v>
      </c>
      <c r="R782" s="969"/>
      <c r="S782" s="970">
        <v>2059</v>
      </c>
      <c r="T782" s="972">
        <v>487</v>
      </c>
      <c r="U782" s="972">
        <f>2547-1</f>
        <v>2546</v>
      </c>
    </row>
    <row r="783" spans="1:21" x14ac:dyDescent="0.25">
      <c r="A783" s="966">
        <v>98431</v>
      </c>
      <c r="B783" s="967" t="s">
        <v>3395</v>
      </c>
      <c r="C783" s="968">
        <v>2.0589999999999999E-4</v>
      </c>
      <c r="D783" s="968">
        <v>2.0010000000000001E-4</v>
      </c>
      <c r="E783" s="985">
        <v>78482</v>
      </c>
      <c r="F783" s="969">
        <v>314558</v>
      </c>
      <c r="G783" s="969"/>
      <c r="H783" s="970">
        <v>18121</v>
      </c>
      <c r="I783" s="971">
        <v>76375</v>
      </c>
      <c r="J783" s="970">
        <v>44923</v>
      </c>
      <c r="K783" s="969">
        <v>1246</v>
      </c>
      <c r="L783" s="971">
        <f t="shared" si="24"/>
        <v>140665</v>
      </c>
      <c r="M783" s="969"/>
      <c r="N783" s="970">
        <v>8904</v>
      </c>
      <c r="O783" s="970">
        <v>0</v>
      </c>
      <c r="P783" s="969">
        <v>24844</v>
      </c>
      <c r="Q783" s="971">
        <f t="shared" si="25"/>
        <v>33748</v>
      </c>
      <c r="R783" s="969"/>
      <c r="S783" s="970">
        <v>106006</v>
      </c>
      <c r="T783" s="972">
        <v>-7635</v>
      </c>
      <c r="U783" s="972">
        <f>98372-1</f>
        <v>98371</v>
      </c>
    </row>
    <row r="784" spans="1:21" x14ac:dyDescent="0.25">
      <c r="A784" s="966">
        <v>98441</v>
      </c>
      <c r="B784" s="967" t="s">
        <v>3396</v>
      </c>
      <c r="C784" s="968">
        <v>8.2700000000000004E-5</v>
      </c>
      <c r="D784" s="968">
        <v>9.1000000000000003E-5</v>
      </c>
      <c r="E784" s="985">
        <v>35572</v>
      </c>
      <c r="F784" s="969">
        <v>126343</v>
      </c>
      <c r="G784" s="969"/>
      <c r="H784" s="970">
        <v>7279</v>
      </c>
      <c r="I784" s="971">
        <v>30676</v>
      </c>
      <c r="J784" s="970">
        <v>18043</v>
      </c>
      <c r="K784" s="969">
        <v>570</v>
      </c>
      <c r="L784" s="971">
        <f t="shared" si="24"/>
        <v>56568</v>
      </c>
      <c r="M784" s="969"/>
      <c r="N784" s="970">
        <v>3576</v>
      </c>
      <c r="O784" s="970">
        <v>0</v>
      </c>
      <c r="P784" s="969">
        <v>22406</v>
      </c>
      <c r="Q784" s="971">
        <f t="shared" si="25"/>
        <v>25982</v>
      </c>
      <c r="R784" s="969"/>
      <c r="S784" s="970">
        <v>42578</v>
      </c>
      <c r="T784" s="972">
        <v>-8026</v>
      </c>
      <c r="U784" s="972">
        <v>34552</v>
      </c>
    </row>
    <row r="785" spans="1:21" x14ac:dyDescent="0.25">
      <c r="A785" s="966">
        <v>98451</v>
      </c>
      <c r="B785" s="967" t="s">
        <v>3397</v>
      </c>
      <c r="C785" s="968">
        <v>5.7000000000000003E-5</v>
      </c>
      <c r="D785" s="968">
        <v>5.6199999999999997E-5</v>
      </c>
      <c r="E785" s="985">
        <v>26132</v>
      </c>
      <c r="F785" s="969">
        <v>87080</v>
      </c>
      <c r="G785" s="969"/>
      <c r="H785" s="970">
        <v>5017</v>
      </c>
      <c r="I785" s="971">
        <v>21143</v>
      </c>
      <c r="J785" s="970">
        <v>12436</v>
      </c>
      <c r="K785" s="969">
        <v>508</v>
      </c>
      <c r="L785" s="971">
        <f t="shared" si="24"/>
        <v>39104</v>
      </c>
      <c r="M785" s="969"/>
      <c r="N785" s="970">
        <v>2465</v>
      </c>
      <c r="O785" s="970">
        <v>0</v>
      </c>
      <c r="P785" s="969">
        <v>1478</v>
      </c>
      <c r="Q785" s="971">
        <f t="shared" si="25"/>
        <v>3943</v>
      </c>
      <c r="R785" s="969"/>
      <c r="S785" s="970">
        <v>29346</v>
      </c>
      <c r="T785" s="972">
        <v>-530</v>
      </c>
      <c r="U785" s="972">
        <v>28816</v>
      </c>
    </row>
    <row r="786" spans="1:21" x14ac:dyDescent="0.25">
      <c r="A786" s="966">
        <v>98481</v>
      </c>
      <c r="B786" s="967" t="s">
        <v>3398</v>
      </c>
      <c r="C786" s="968">
        <v>6.3899999999999995E-5</v>
      </c>
      <c r="D786" s="968">
        <v>6.7700000000000006E-5</v>
      </c>
      <c r="E786" s="985">
        <v>27198</v>
      </c>
      <c r="F786" s="969">
        <v>97621</v>
      </c>
      <c r="G786" s="969"/>
      <c r="H786" s="970">
        <v>5624</v>
      </c>
      <c r="I786" s="971">
        <v>23703</v>
      </c>
      <c r="J786" s="970">
        <v>13942</v>
      </c>
      <c r="K786" s="969">
        <v>1545</v>
      </c>
      <c r="L786" s="971">
        <f t="shared" si="24"/>
        <v>44814</v>
      </c>
      <c r="M786" s="969"/>
      <c r="N786" s="970">
        <v>2763</v>
      </c>
      <c r="O786" s="970">
        <v>0</v>
      </c>
      <c r="P786" s="969">
        <v>5772</v>
      </c>
      <c r="Q786" s="971">
        <f t="shared" si="25"/>
        <v>8535</v>
      </c>
      <c r="R786" s="969"/>
      <c r="S786" s="970">
        <v>32899</v>
      </c>
      <c r="T786" s="972">
        <v>-35</v>
      </c>
      <c r="U786" s="972">
        <f>32863+1</f>
        <v>32864</v>
      </c>
    </row>
    <row r="787" spans="1:21" x14ac:dyDescent="0.25">
      <c r="A787" s="966">
        <v>98501</v>
      </c>
      <c r="B787" s="967" t="s">
        <v>3399</v>
      </c>
      <c r="C787" s="968">
        <v>1.6022E-3</v>
      </c>
      <c r="D787" s="968">
        <v>1.5690999999999999E-3</v>
      </c>
      <c r="E787" s="985">
        <v>760833</v>
      </c>
      <c r="F787" s="969">
        <v>2447718</v>
      </c>
      <c r="G787" s="969"/>
      <c r="H787" s="970">
        <v>141011</v>
      </c>
      <c r="I787" s="971">
        <v>594309</v>
      </c>
      <c r="J787" s="970">
        <v>349568</v>
      </c>
      <c r="K787" s="969">
        <v>75098</v>
      </c>
      <c r="L787" s="971">
        <f t="shared" si="24"/>
        <v>1159986</v>
      </c>
      <c r="M787" s="969"/>
      <c r="N787" s="970">
        <v>69287</v>
      </c>
      <c r="O787" s="970">
        <v>0</v>
      </c>
      <c r="P787" s="969">
        <v>2932</v>
      </c>
      <c r="Q787" s="971">
        <f t="shared" si="25"/>
        <v>72219</v>
      </c>
      <c r="R787" s="969"/>
      <c r="S787" s="970">
        <v>824883</v>
      </c>
      <c r="T787" s="972">
        <v>19182</v>
      </c>
      <c r="U787" s="972">
        <v>844065</v>
      </c>
    </row>
    <row r="788" spans="1:21" x14ac:dyDescent="0.25">
      <c r="A788" s="966">
        <v>98511</v>
      </c>
      <c r="B788" s="967" t="s">
        <v>3400</v>
      </c>
      <c r="C788" s="968">
        <v>4.8000000000000001E-5</v>
      </c>
      <c r="D788" s="968">
        <v>4.5800000000000002E-5</v>
      </c>
      <c r="E788" s="985">
        <v>23435</v>
      </c>
      <c r="F788" s="969">
        <v>73331</v>
      </c>
      <c r="G788" s="969"/>
      <c r="H788" s="970">
        <v>4225</v>
      </c>
      <c r="I788" s="971">
        <v>17804</v>
      </c>
      <c r="J788" s="970">
        <v>10473</v>
      </c>
      <c r="K788" s="969">
        <v>5918</v>
      </c>
      <c r="L788" s="971">
        <f t="shared" si="24"/>
        <v>38420</v>
      </c>
      <c r="M788" s="969"/>
      <c r="N788" s="970">
        <v>2076</v>
      </c>
      <c r="O788" s="970">
        <v>0</v>
      </c>
      <c r="P788" s="969">
        <v>11919</v>
      </c>
      <c r="Q788" s="971">
        <f t="shared" si="25"/>
        <v>13995</v>
      </c>
      <c r="R788" s="969"/>
      <c r="S788" s="970">
        <v>24713</v>
      </c>
      <c r="T788" s="972">
        <v>-9378</v>
      </c>
      <c r="U788" s="972">
        <f>15334+1</f>
        <v>15335</v>
      </c>
    </row>
    <row r="789" spans="1:21" x14ac:dyDescent="0.25">
      <c r="A789" s="966">
        <v>98517</v>
      </c>
      <c r="B789" s="967" t="s">
        <v>3401</v>
      </c>
      <c r="C789" s="968">
        <v>2.3E-6</v>
      </c>
      <c r="D789" s="968">
        <v>2.6000000000000001E-6</v>
      </c>
      <c r="E789" s="985">
        <v>2484</v>
      </c>
      <c r="F789" s="969">
        <v>3514</v>
      </c>
      <c r="G789" s="969"/>
      <c r="H789" s="970">
        <v>202</v>
      </c>
      <c r="I789" s="971">
        <v>854</v>
      </c>
      <c r="J789" s="970">
        <v>502</v>
      </c>
      <c r="K789" s="969">
        <v>1623</v>
      </c>
      <c r="L789" s="971">
        <f t="shared" si="24"/>
        <v>3181</v>
      </c>
      <c r="M789" s="969"/>
      <c r="N789" s="970">
        <v>99</v>
      </c>
      <c r="O789" s="970">
        <v>0</v>
      </c>
      <c r="P789" s="969">
        <v>0</v>
      </c>
      <c r="Q789" s="971">
        <f t="shared" si="25"/>
        <v>99</v>
      </c>
      <c r="R789" s="969"/>
      <c r="S789" s="970">
        <v>1184</v>
      </c>
      <c r="T789" s="972">
        <v>589</v>
      </c>
      <c r="U789" s="972">
        <v>1773</v>
      </c>
    </row>
    <row r="790" spans="1:21" x14ac:dyDescent="0.25">
      <c r="A790" s="966">
        <v>98521</v>
      </c>
      <c r="B790" s="967" t="s">
        <v>3402</v>
      </c>
      <c r="C790" s="968">
        <v>6.6180000000000004E-4</v>
      </c>
      <c r="D790" s="968">
        <v>5.7059999999999999E-4</v>
      </c>
      <c r="E790" s="985">
        <v>270882</v>
      </c>
      <c r="F790" s="969">
        <v>1011047</v>
      </c>
      <c r="G790" s="969"/>
      <c r="H790" s="970">
        <v>58246</v>
      </c>
      <c r="I790" s="971">
        <v>245484</v>
      </c>
      <c r="J790" s="970">
        <v>144392</v>
      </c>
      <c r="K790" s="969">
        <v>34795</v>
      </c>
      <c r="L790" s="971">
        <f t="shared" si="24"/>
        <v>482917</v>
      </c>
      <c r="M790" s="969"/>
      <c r="N790" s="970">
        <v>28620</v>
      </c>
      <c r="O790" s="970">
        <v>0</v>
      </c>
      <c r="P790" s="969">
        <v>43967</v>
      </c>
      <c r="Q790" s="971">
        <f t="shared" si="25"/>
        <v>72587</v>
      </c>
      <c r="R790" s="969"/>
      <c r="S790" s="970">
        <v>340724</v>
      </c>
      <c r="T790" s="972">
        <v>-10201</v>
      </c>
      <c r="U790" s="972">
        <v>330523</v>
      </c>
    </row>
    <row r="791" spans="1:21" x14ac:dyDescent="0.25">
      <c r="A791" s="966">
        <v>98601</v>
      </c>
      <c r="B791" s="967" t="s">
        <v>3403</v>
      </c>
      <c r="C791" s="968">
        <v>3.4148E-3</v>
      </c>
      <c r="D791" s="968">
        <v>3.5065999999999999E-3</v>
      </c>
      <c r="E791" s="985">
        <v>1494584</v>
      </c>
      <c r="F791" s="969">
        <v>5216869</v>
      </c>
      <c r="G791" s="969"/>
      <c r="H791" s="970">
        <v>300540</v>
      </c>
      <c r="I791" s="971">
        <v>1266662</v>
      </c>
      <c r="J791" s="970">
        <v>745041</v>
      </c>
      <c r="K791" s="969">
        <v>0</v>
      </c>
      <c r="L791" s="971">
        <f t="shared" si="24"/>
        <v>2312243</v>
      </c>
      <c r="M791" s="969"/>
      <c r="N791" s="970">
        <v>147673</v>
      </c>
      <c r="O791" s="970">
        <v>0</v>
      </c>
      <c r="P791" s="969">
        <v>216693</v>
      </c>
      <c r="Q791" s="971">
        <f t="shared" si="25"/>
        <v>364366</v>
      </c>
      <c r="R791" s="969"/>
      <c r="S791" s="970">
        <v>1758089</v>
      </c>
      <c r="T791" s="972">
        <v>-93549</v>
      </c>
      <c r="U791" s="972">
        <v>1664540</v>
      </c>
    </row>
    <row r="792" spans="1:21" x14ac:dyDescent="0.25">
      <c r="A792" s="966">
        <v>98604</v>
      </c>
      <c r="B792" s="967" t="s">
        <v>3404</v>
      </c>
      <c r="C792" s="968">
        <v>1.34E-5</v>
      </c>
      <c r="D792" s="968">
        <v>1.59E-5</v>
      </c>
      <c r="E792" s="985">
        <v>7588</v>
      </c>
      <c r="F792" s="969">
        <v>20471</v>
      </c>
      <c r="G792" s="969"/>
      <c r="H792" s="970">
        <v>1179</v>
      </c>
      <c r="I792" s="971">
        <v>4970</v>
      </c>
      <c r="J792" s="970">
        <v>2924</v>
      </c>
      <c r="K792" s="969">
        <f>5979+2967</f>
        <v>8946</v>
      </c>
      <c r="L792" s="971">
        <f t="shared" si="24"/>
        <v>18019</v>
      </c>
      <c r="M792" s="969"/>
      <c r="N792" s="970">
        <v>579</v>
      </c>
      <c r="O792" s="970">
        <v>0</v>
      </c>
      <c r="P792" s="969">
        <f>527+4977</f>
        <v>5504</v>
      </c>
      <c r="Q792" s="971">
        <f t="shared" si="25"/>
        <v>6083</v>
      </c>
      <c r="R792" s="969"/>
      <c r="S792" s="970">
        <v>6899</v>
      </c>
      <c r="T792" s="972">
        <f>1959+178</f>
        <v>2137</v>
      </c>
      <c r="U792" s="972">
        <f>8857+1+178</f>
        <v>9036</v>
      </c>
    </row>
    <row r="793" spans="1:21" x14ac:dyDescent="0.25">
      <c r="A793" s="966">
        <v>98607</v>
      </c>
      <c r="B793" s="967" t="s">
        <v>3405</v>
      </c>
      <c r="C793" s="968">
        <v>5.9000000000000003E-6</v>
      </c>
      <c r="D793" s="968">
        <v>5.9000000000000003E-6</v>
      </c>
      <c r="E793" s="985">
        <v>2774</v>
      </c>
      <c r="F793" s="969">
        <v>9014</v>
      </c>
      <c r="G793" s="969"/>
      <c r="H793" s="970">
        <v>519</v>
      </c>
      <c r="I793" s="971">
        <v>2188</v>
      </c>
      <c r="J793" s="970">
        <v>1287</v>
      </c>
      <c r="K793" s="969">
        <v>52</v>
      </c>
      <c r="L793" s="971">
        <f t="shared" si="24"/>
        <v>4046</v>
      </c>
      <c r="M793" s="969"/>
      <c r="N793" s="970">
        <v>255</v>
      </c>
      <c r="O793" s="970">
        <v>0</v>
      </c>
      <c r="P793" s="969">
        <v>1474</v>
      </c>
      <c r="Q793" s="971">
        <f t="shared" si="25"/>
        <v>1729</v>
      </c>
      <c r="R793" s="969"/>
      <c r="S793" s="970">
        <v>3038</v>
      </c>
      <c r="T793" s="972">
        <v>-861</v>
      </c>
      <c r="U793" s="972">
        <v>2177</v>
      </c>
    </row>
    <row r="794" spans="1:21" x14ac:dyDescent="0.25">
      <c r="A794" s="966">
        <v>98608</v>
      </c>
      <c r="B794" s="967" t="s">
        <v>3406</v>
      </c>
      <c r="C794" s="968">
        <v>4.9200000000000003E-5</v>
      </c>
      <c r="D794" s="968">
        <v>4.2299999999999998E-5</v>
      </c>
      <c r="E794" s="985">
        <v>20059</v>
      </c>
      <c r="F794" s="969">
        <v>75164</v>
      </c>
      <c r="G794" s="969"/>
      <c r="H794" s="970">
        <v>4330</v>
      </c>
      <c r="I794" s="971">
        <v>18250</v>
      </c>
      <c r="J794" s="970">
        <v>10734</v>
      </c>
      <c r="K794" s="969">
        <v>6529</v>
      </c>
      <c r="L794" s="971">
        <f t="shared" si="24"/>
        <v>39843</v>
      </c>
      <c r="M794" s="969"/>
      <c r="N794" s="970">
        <v>2128</v>
      </c>
      <c r="O794" s="970">
        <v>0</v>
      </c>
      <c r="P794" s="969">
        <v>5369</v>
      </c>
      <c r="Q794" s="971">
        <f t="shared" si="25"/>
        <v>7497</v>
      </c>
      <c r="R794" s="969"/>
      <c r="S794" s="970">
        <v>25330</v>
      </c>
      <c r="T794" s="972">
        <v>1217</v>
      </c>
      <c r="U794" s="972">
        <v>26547</v>
      </c>
    </row>
    <row r="795" spans="1:21" x14ac:dyDescent="0.25">
      <c r="A795" s="966">
        <v>98611</v>
      </c>
      <c r="B795" s="967" t="s">
        <v>3407</v>
      </c>
      <c r="C795" s="968">
        <v>8.6899999999999998E-5</v>
      </c>
      <c r="D795" s="968">
        <v>8.6700000000000007E-5</v>
      </c>
      <c r="E795" s="985">
        <v>49931</v>
      </c>
      <c r="F795" s="969">
        <v>132759</v>
      </c>
      <c r="G795" s="969"/>
      <c r="H795" s="970">
        <v>7648</v>
      </c>
      <c r="I795" s="971">
        <v>32235</v>
      </c>
      <c r="J795" s="970">
        <v>18960</v>
      </c>
      <c r="K795" s="969">
        <v>10690</v>
      </c>
      <c r="L795" s="971">
        <f t="shared" si="24"/>
        <v>69533</v>
      </c>
      <c r="M795" s="969"/>
      <c r="N795" s="970">
        <v>3758</v>
      </c>
      <c r="O795" s="970">
        <v>0</v>
      </c>
      <c r="P795" s="969">
        <v>9519</v>
      </c>
      <c r="Q795" s="971">
        <f t="shared" si="25"/>
        <v>13277</v>
      </c>
      <c r="R795" s="969"/>
      <c r="S795" s="970">
        <v>44740</v>
      </c>
      <c r="T795" s="972">
        <v>910</v>
      </c>
      <c r="U795" s="972">
        <f>45649+1</f>
        <v>45650</v>
      </c>
    </row>
    <row r="796" spans="1:21" x14ac:dyDescent="0.25">
      <c r="A796" s="966">
        <v>98621</v>
      </c>
      <c r="B796" s="967" t="s">
        <v>3408</v>
      </c>
      <c r="C796" s="968">
        <v>1.314E-4</v>
      </c>
      <c r="D796" s="968">
        <v>1.3239999999999999E-4</v>
      </c>
      <c r="E796" s="985">
        <v>55891</v>
      </c>
      <c r="F796" s="969">
        <v>200743</v>
      </c>
      <c r="G796" s="969"/>
      <c r="H796" s="970">
        <v>11565</v>
      </c>
      <c r="I796" s="971">
        <v>48740</v>
      </c>
      <c r="J796" s="970">
        <v>28669</v>
      </c>
      <c r="K796" s="969">
        <v>473</v>
      </c>
      <c r="L796" s="971">
        <f t="shared" si="24"/>
        <v>89447</v>
      </c>
      <c r="M796" s="969"/>
      <c r="N796" s="970">
        <v>5682</v>
      </c>
      <c r="O796" s="970">
        <v>0</v>
      </c>
      <c r="P796" s="969">
        <v>10727</v>
      </c>
      <c r="Q796" s="971">
        <f t="shared" si="25"/>
        <v>16409</v>
      </c>
      <c r="R796" s="969"/>
      <c r="S796" s="970">
        <v>67651</v>
      </c>
      <c r="T796" s="972">
        <v>-3535</v>
      </c>
      <c r="U796" s="972">
        <f>64115+1</f>
        <v>64116</v>
      </c>
    </row>
    <row r="797" spans="1:21" x14ac:dyDescent="0.25">
      <c r="A797" s="966">
        <v>98627</v>
      </c>
      <c r="B797" s="967" t="s">
        <v>3409</v>
      </c>
      <c r="C797" s="968">
        <v>8.6999999999999997E-6</v>
      </c>
      <c r="D797" s="968">
        <v>9.3999999999999998E-6</v>
      </c>
      <c r="E797" s="985">
        <v>3354</v>
      </c>
      <c r="F797" s="969">
        <v>13291</v>
      </c>
      <c r="G797" s="969"/>
      <c r="H797" s="970">
        <v>766</v>
      </c>
      <c r="I797" s="971">
        <v>3227</v>
      </c>
      <c r="J797" s="970">
        <v>1898</v>
      </c>
      <c r="K797" s="969">
        <v>316</v>
      </c>
      <c r="L797" s="971">
        <f t="shared" si="24"/>
        <v>6207</v>
      </c>
      <c r="M797" s="969"/>
      <c r="N797" s="970">
        <v>376</v>
      </c>
      <c r="O797" s="970">
        <v>0</v>
      </c>
      <c r="P797" s="969">
        <v>1098</v>
      </c>
      <c r="Q797" s="971">
        <f t="shared" si="25"/>
        <v>1474</v>
      </c>
      <c r="R797" s="969"/>
      <c r="S797" s="970">
        <v>4479</v>
      </c>
      <c r="T797" s="972">
        <v>-220</v>
      </c>
      <c r="U797" s="972">
        <v>4259</v>
      </c>
    </row>
    <row r="798" spans="1:21" x14ac:dyDescent="0.25">
      <c r="A798" s="966">
        <v>98631</v>
      </c>
      <c r="B798" s="967" t="s">
        <v>3410</v>
      </c>
      <c r="C798" s="968">
        <v>1.0051999999999999E-3</v>
      </c>
      <c r="D798" s="968">
        <v>1.0415000000000001E-3</v>
      </c>
      <c r="E798" s="985">
        <v>466623</v>
      </c>
      <c r="F798" s="969">
        <v>1535667</v>
      </c>
      <c r="G798" s="969"/>
      <c r="H798" s="970">
        <v>88469</v>
      </c>
      <c r="I798" s="971">
        <v>372862</v>
      </c>
      <c r="J798" s="970">
        <v>219315</v>
      </c>
      <c r="K798" s="969">
        <v>0</v>
      </c>
      <c r="L798" s="971">
        <f t="shared" si="24"/>
        <v>680646</v>
      </c>
      <c r="M798" s="969"/>
      <c r="N798" s="970">
        <v>43470</v>
      </c>
      <c r="O798" s="970">
        <v>0</v>
      </c>
      <c r="P798" s="969">
        <v>102113</v>
      </c>
      <c r="Q798" s="971">
        <f t="shared" si="25"/>
        <v>145583</v>
      </c>
      <c r="R798" s="969"/>
      <c r="S798" s="970">
        <v>517521</v>
      </c>
      <c r="T798" s="972">
        <v>-41744</v>
      </c>
      <c r="U798" s="972">
        <v>475777</v>
      </c>
    </row>
    <row r="799" spans="1:21" x14ac:dyDescent="0.25">
      <c r="A799" s="966">
        <v>98637</v>
      </c>
      <c r="B799" s="967" t="s">
        <v>3411</v>
      </c>
      <c r="C799" s="968">
        <v>2.0800000000000001E-5</v>
      </c>
      <c r="D799" s="968">
        <v>2.2200000000000001E-5</v>
      </c>
      <c r="E799" s="985">
        <v>15729</v>
      </c>
      <c r="F799" s="969">
        <v>31777</v>
      </c>
      <c r="G799" s="969"/>
      <c r="H799" s="970">
        <v>1831</v>
      </c>
      <c r="I799" s="971">
        <v>7715</v>
      </c>
      <c r="J799" s="970">
        <v>4538</v>
      </c>
      <c r="K799" s="969">
        <v>8386</v>
      </c>
      <c r="L799" s="971">
        <f t="shared" si="24"/>
        <v>22470</v>
      </c>
      <c r="M799" s="969"/>
      <c r="N799" s="970">
        <v>899</v>
      </c>
      <c r="O799" s="970">
        <v>0</v>
      </c>
      <c r="P799" s="969">
        <v>0</v>
      </c>
      <c r="Q799" s="971">
        <f t="shared" si="25"/>
        <v>899</v>
      </c>
      <c r="R799" s="969"/>
      <c r="S799" s="970">
        <v>10709</v>
      </c>
      <c r="T799" s="972">
        <v>3206</v>
      </c>
      <c r="U799" s="972">
        <f>13914+1</f>
        <v>13915</v>
      </c>
    </row>
    <row r="800" spans="1:21" x14ac:dyDescent="0.25">
      <c r="A800" s="966">
        <v>98641</v>
      </c>
      <c r="B800" s="967" t="s">
        <v>3412</v>
      </c>
      <c r="C800" s="968">
        <v>2.965E-4</v>
      </c>
      <c r="D800" s="968">
        <v>3.0019999999999998E-4</v>
      </c>
      <c r="E800" s="985">
        <v>140670</v>
      </c>
      <c r="F800" s="969">
        <v>452970</v>
      </c>
      <c r="G800" s="969"/>
      <c r="H800" s="970">
        <v>26095</v>
      </c>
      <c r="I800" s="971">
        <v>109981</v>
      </c>
      <c r="J800" s="970">
        <v>64690</v>
      </c>
      <c r="K800" s="969">
        <v>3407</v>
      </c>
      <c r="L800" s="971">
        <f t="shared" si="24"/>
        <v>204173</v>
      </c>
      <c r="M800" s="969"/>
      <c r="N800" s="970">
        <v>12822</v>
      </c>
      <c r="O800" s="970">
        <v>0</v>
      </c>
      <c r="P800" s="969">
        <v>7840</v>
      </c>
      <c r="Q800" s="971">
        <f t="shared" si="25"/>
        <v>20662</v>
      </c>
      <c r="R800" s="969"/>
      <c r="S800" s="970">
        <v>152651</v>
      </c>
      <c r="T800" s="972">
        <v>-183</v>
      </c>
      <c r="U800" s="972">
        <v>152468</v>
      </c>
    </row>
    <row r="801" spans="1:21" x14ac:dyDescent="0.25">
      <c r="A801" s="966">
        <v>98701</v>
      </c>
      <c r="B801" s="967" t="s">
        <v>3414</v>
      </c>
      <c r="C801" s="968">
        <v>1.1333999999999999E-3</v>
      </c>
      <c r="D801" s="968">
        <v>1.1793000000000001E-3</v>
      </c>
      <c r="E801" s="985">
        <v>514113</v>
      </c>
      <c r="F801" s="969">
        <v>1731521</v>
      </c>
      <c r="G801" s="969"/>
      <c r="H801" s="970">
        <v>99752</v>
      </c>
      <c r="I801" s="971">
        <v>420415</v>
      </c>
      <c r="J801" s="970">
        <v>247285</v>
      </c>
      <c r="K801" s="969">
        <v>3431</v>
      </c>
      <c r="L801" s="971">
        <f t="shared" si="24"/>
        <v>770883</v>
      </c>
      <c r="M801" s="969"/>
      <c r="N801" s="970">
        <v>49014</v>
      </c>
      <c r="O801" s="970">
        <v>0</v>
      </c>
      <c r="P801" s="969">
        <v>66380</v>
      </c>
      <c r="Q801" s="971">
        <f t="shared" si="25"/>
        <v>115394</v>
      </c>
      <c r="R801" s="969"/>
      <c r="S801" s="970">
        <v>583524</v>
      </c>
      <c r="T801" s="972">
        <v>-25976</v>
      </c>
      <c r="U801" s="972">
        <v>557548</v>
      </c>
    </row>
    <row r="802" spans="1:21" x14ac:dyDescent="0.25">
      <c r="A802" s="966">
        <v>98711</v>
      </c>
      <c r="B802" s="967" t="s">
        <v>3415</v>
      </c>
      <c r="C802" s="968">
        <v>1.8369999999999999E-4</v>
      </c>
      <c r="D802" s="968">
        <v>1.8039999999999999E-4</v>
      </c>
      <c r="E802" s="985">
        <v>70342</v>
      </c>
      <c r="F802" s="969">
        <v>280643</v>
      </c>
      <c r="G802" s="969"/>
      <c r="H802" s="970">
        <v>16168</v>
      </c>
      <c r="I802" s="971">
        <v>68140</v>
      </c>
      <c r="J802" s="970">
        <v>40080</v>
      </c>
      <c r="K802" s="969">
        <v>1238</v>
      </c>
      <c r="L802" s="971">
        <f t="shared" si="24"/>
        <v>125626</v>
      </c>
      <c r="M802" s="969"/>
      <c r="N802" s="970">
        <v>7944</v>
      </c>
      <c r="O802" s="970">
        <v>0</v>
      </c>
      <c r="P802" s="969">
        <v>16374</v>
      </c>
      <c r="Q802" s="971">
        <f t="shared" si="25"/>
        <v>24318</v>
      </c>
      <c r="R802" s="969"/>
      <c r="S802" s="970">
        <v>94577</v>
      </c>
      <c r="T802" s="972">
        <v>-4053</v>
      </c>
      <c r="U802" s="972">
        <v>90524</v>
      </c>
    </row>
    <row r="803" spans="1:21" x14ac:dyDescent="0.25">
      <c r="A803" s="966">
        <v>98717</v>
      </c>
      <c r="B803" s="967" t="s">
        <v>3416</v>
      </c>
      <c r="C803" s="968">
        <v>2.1100000000000001E-5</v>
      </c>
      <c r="D803" s="968">
        <v>1.8600000000000001E-5</v>
      </c>
      <c r="E803" s="985">
        <v>8759</v>
      </c>
      <c r="F803" s="969">
        <v>32235</v>
      </c>
      <c r="G803" s="969"/>
      <c r="H803" s="970">
        <v>1857</v>
      </c>
      <c r="I803" s="971">
        <v>7827</v>
      </c>
      <c r="J803" s="970">
        <v>4604</v>
      </c>
      <c r="K803" s="969">
        <v>1439</v>
      </c>
      <c r="L803" s="971">
        <f t="shared" si="24"/>
        <v>15727</v>
      </c>
      <c r="M803" s="969"/>
      <c r="N803" s="970">
        <v>912</v>
      </c>
      <c r="O803" s="970">
        <v>0</v>
      </c>
      <c r="P803" s="969">
        <v>534</v>
      </c>
      <c r="Q803" s="971">
        <f t="shared" si="25"/>
        <v>1446</v>
      </c>
      <c r="R803" s="969"/>
      <c r="S803" s="970">
        <v>10863</v>
      </c>
      <c r="T803" s="972">
        <v>247</v>
      </c>
      <c r="U803" s="972">
        <v>11110</v>
      </c>
    </row>
    <row r="804" spans="1:21" x14ac:dyDescent="0.25">
      <c r="A804" s="966">
        <v>98801</v>
      </c>
      <c r="B804" s="967" t="s">
        <v>3417</v>
      </c>
      <c r="C804" s="968">
        <v>2.2859E-3</v>
      </c>
      <c r="D804" s="968">
        <v>2.1771999999999998E-3</v>
      </c>
      <c r="E804" s="985">
        <v>1067051</v>
      </c>
      <c r="F804" s="969">
        <v>3492222</v>
      </c>
      <c r="G804" s="969"/>
      <c r="H804" s="970">
        <v>201184</v>
      </c>
      <c r="I804" s="971">
        <v>847916</v>
      </c>
      <c r="J804" s="970">
        <v>498738</v>
      </c>
      <c r="K804" s="969">
        <v>146068</v>
      </c>
      <c r="L804" s="971">
        <f t="shared" si="24"/>
        <v>1693906</v>
      </c>
      <c r="M804" s="969"/>
      <c r="N804" s="970">
        <v>98854</v>
      </c>
      <c r="O804" s="970">
        <v>0</v>
      </c>
      <c r="P804" s="969">
        <v>0</v>
      </c>
      <c r="Q804" s="971">
        <f t="shared" si="25"/>
        <v>98854</v>
      </c>
      <c r="R804" s="969"/>
      <c r="S804" s="970">
        <v>1176882</v>
      </c>
      <c r="T804" s="972">
        <v>55567</v>
      </c>
      <c r="U804" s="972">
        <v>1232449</v>
      </c>
    </row>
    <row r="805" spans="1:21" x14ac:dyDescent="0.25">
      <c r="A805" s="966">
        <v>98811</v>
      </c>
      <c r="B805" s="967" t="s">
        <v>3418</v>
      </c>
      <c r="C805" s="968">
        <v>6.5160000000000001E-4</v>
      </c>
      <c r="D805" s="968">
        <v>7.1120000000000005E-4</v>
      </c>
      <c r="E805" s="985">
        <v>323262</v>
      </c>
      <c r="F805" s="969">
        <v>995464</v>
      </c>
      <c r="G805" s="969"/>
      <c r="H805" s="970">
        <v>57348</v>
      </c>
      <c r="I805" s="971">
        <v>241700</v>
      </c>
      <c r="J805" s="970">
        <v>142166</v>
      </c>
      <c r="K805" s="969">
        <v>16975</v>
      </c>
      <c r="L805" s="971">
        <f t="shared" si="24"/>
        <v>458189</v>
      </c>
      <c r="M805" s="969"/>
      <c r="N805" s="970">
        <v>28178</v>
      </c>
      <c r="O805" s="970">
        <v>0</v>
      </c>
      <c r="P805" s="969">
        <v>46894</v>
      </c>
      <c r="Q805" s="971">
        <f t="shared" si="25"/>
        <v>75072</v>
      </c>
      <c r="R805" s="969"/>
      <c r="S805" s="970">
        <v>335472</v>
      </c>
      <c r="T805" s="972">
        <v>-312</v>
      </c>
      <c r="U805" s="972">
        <f>335161-1</f>
        <v>335160</v>
      </c>
    </row>
    <row r="806" spans="1:21" x14ac:dyDescent="0.25">
      <c r="A806" s="966">
        <v>98817</v>
      </c>
      <c r="B806" s="967" t="s">
        <v>3419</v>
      </c>
      <c r="C806" s="968">
        <v>2.5199999999999999E-5</v>
      </c>
      <c r="D806" s="968">
        <v>2.34E-5</v>
      </c>
      <c r="E806" s="985">
        <v>14663</v>
      </c>
      <c r="F806" s="969">
        <v>38499</v>
      </c>
      <c r="G806" s="969"/>
      <c r="H806" s="970">
        <v>2218</v>
      </c>
      <c r="I806" s="971">
        <v>9347</v>
      </c>
      <c r="J806" s="970">
        <v>5498</v>
      </c>
      <c r="K806" s="969">
        <v>3862</v>
      </c>
      <c r="L806" s="971">
        <f t="shared" si="24"/>
        <v>20925</v>
      </c>
      <c r="M806" s="969"/>
      <c r="N806" s="970">
        <v>1090</v>
      </c>
      <c r="O806" s="970">
        <v>0</v>
      </c>
      <c r="P806" s="969">
        <v>2179</v>
      </c>
      <c r="Q806" s="971">
        <f t="shared" si="25"/>
        <v>3269</v>
      </c>
      <c r="R806" s="969"/>
      <c r="S806" s="970">
        <v>12974</v>
      </c>
      <c r="T806" s="972">
        <v>-1216</v>
      </c>
      <c r="U806" s="972">
        <v>11758</v>
      </c>
    </row>
    <row r="807" spans="1:21" x14ac:dyDescent="0.25">
      <c r="A807" s="966">
        <v>98901</v>
      </c>
      <c r="B807" s="967" t="s">
        <v>3420</v>
      </c>
      <c r="C807" s="968">
        <v>3.5050000000000001E-4</v>
      </c>
      <c r="D807" s="968">
        <v>3.392E-4</v>
      </c>
      <c r="E807" s="985">
        <v>159126</v>
      </c>
      <c r="F807" s="969">
        <v>535467</v>
      </c>
      <c r="G807" s="969"/>
      <c r="H807" s="970">
        <v>30848</v>
      </c>
      <c r="I807" s="971">
        <v>130012</v>
      </c>
      <c r="J807" s="970">
        <v>76472</v>
      </c>
      <c r="K807" s="969">
        <v>7505</v>
      </c>
      <c r="L807" s="971">
        <f t="shared" si="24"/>
        <v>244837</v>
      </c>
      <c r="M807" s="969"/>
      <c r="N807" s="970">
        <v>15157</v>
      </c>
      <c r="O807" s="970">
        <v>0</v>
      </c>
      <c r="P807" s="969">
        <v>2530</v>
      </c>
      <c r="Q807" s="971">
        <f t="shared" si="25"/>
        <v>17687</v>
      </c>
      <c r="R807" s="969"/>
      <c r="S807" s="970">
        <v>180453</v>
      </c>
      <c r="T807" s="972">
        <v>975</v>
      </c>
      <c r="U807" s="972">
        <v>181428</v>
      </c>
    </row>
    <row r="808" spans="1:21" x14ac:dyDescent="0.25">
      <c r="A808" s="966">
        <v>98904</v>
      </c>
      <c r="B808" s="967" t="s">
        <v>3421</v>
      </c>
      <c r="C808" s="968">
        <v>2.7999999999999999E-6</v>
      </c>
      <c r="D808" s="968">
        <v>5.2000000000000002E-6</v>
      </c>
      <c r="E808" s="985">
        <v>1608</v>
      </c>
      <c r="F808" s="969">
        <v>4278</v>
      </c>
      <c r="G808" s="969"/>
      <c r="H808" s="970">
        <v>246</v>
      </c>
      <c r="I808" s="971">
        <v>1039</v>
      </c>
      <c r="J808" s="970">
        <v>611</v>
      </c>
      <c r="K808" s="969">
        <v>365</v>
      </c>
      <c r="L808" s="971">
        <f t="shared" si="24"/>
        <v>2261</v>
      </c>
      <c r="M808" s="969"/>
      <c r="N808" s="970">
        <v>121</v>
      </c>
      <c r="O808" s="970">
        <v>0</v>
      </c>
      <c r="P808" s="969">
        <v>1887</v>
      </c>
      <c r="Q808" s="971">
        <f t="shared" si="25"/>
        <v>2008</v>
      </c>
      <c r="R808" s="969"/>
      <c r="S808" s="970">
        <v>1442</v>
      </c>
      <c r="T808" s="972">
        <v>-315</v>
      </c>
      <c r="U808" s="972">
        <f>1126+1</f>
        <v>1127</v>
      </c>
    </row>
    <row r="809" spans="1:21" x14ac:dyDescent="0.25">
      <c r="A809" s="966">
        <v>98911</v>
      </c>
      <c r="B809" s="967" t="s">
        <v>3422</v>
      </c>
      <c r="C809" s="968">
        <v>2.7900000000000001E-5</v>
      </c>
      <c r="D809" s="968">
        <v>2.8600000000000001E-5</v>
      </c>
      <c r="E809" s="985">
        <v>17945</v>
      </c>
      <c r="F809" s="969">
        <v>42623</v>
      </c>
      <c r="G809" s="969"/>
      <c r="H809" s="970">
        <v>2456</v>
      </c>
      <c r="I809" s="971">
        <v>10349</v>
      </c>
      <c r="J809" s="970">
        <v>6087</v>
      </c>
      <c r="K809" s="969">
        <v>12780</v>
      </c>
      <c r="L809" s="971">
        <f t="shared" si="24"/>
        <v>31672</v>
      </c>
      <c r="M809" s="969"/>
      <c r="N809" s="970">
        <v>1207</v>
      </c>
      <c r="O809" s="970">
        <v>0</v>
      </c>
      <c r="P809" s="969">
        <v>0</v>
      </c>
      <c r="Q809" s="971">
        <f t="shared" si="25"/>
        <v>1207</v>
      </c>
      <c r="R809" s="969"/>
      <c r="S809" s="970">
        <v>14364</v>
      </c>
      <c r="T809" s="972">
        <v>5565</v>
      </c>
      <c r="U809" s="972">
        <v>19929</v>
      </c>
    </row>
    <row r="810" spans="1:21" x14ac:dyDescent="0.25">
      <c r="A810" s="966">
        <v>99001</v>
      </c>
      <c r="B810" s="967" t="s">
        <v>3423</v>
      </c>
      <c r="C810" s="968">
        <v>8.0949000000000004E-3</v>
      </c>
      <c r="D810" s="968">
        <v>7.8098999999999998E-3</v>
      </c>
      <c r="E810" s="985">
        <v>3574723</v>
      </c>
      <c r="F810" s="969">
        <v>12366765</v>
      </c>
      <c r="G810" s="969"/>
      <c r="H810" s="970">
        <v>712440</v>
      </c>
      <c r="I810" s="971">
        <v>3002666</v>
      </c>
      <c r="J810" s="970">
        <v>1766145</v>
      </c>
      <c r="K810" s="969">
        <v>355732</v>
      </c>
      <c r="L810" s="971">
        <f t="shared" si="24"/>
        <v>5836983</v>
      </c>
      <c r="M810" s="969"/>
      <c r="N810" s="970">
        <v>350064</v>
      </c>
      <c r="O810" s="970">
        <v>0</v>
      </c>
      <c r="P810" s="969">
        <v>0</v>
      </c>
      <c r="Q810" s="971">
        <f t="shared" si="25"/>
        <v>350064</v>
      </c>
      <c r="R810" s="969"/>
      <c r="S810" s="970">
        <v>4167611</v>
      </c>
      <c r="T810" s="972">
        <v>186049</v>
      </c>
      <c r="U810" s="972">
        <v>4353660</v>
      </c>
    </row>
    <row r="811" spans="1:21" x14ac:dyDescent="0.25">
      <c r="A811" s="966">
        <v>99011</v>
      </c>
      <c r="B811" s="967" t="s">
        <v>3424</v>
      </c>
      <c r="C811" s="968">
        <v>3.8736999999999999E-3</v>
      </c>
      <c r="D811" s="968">
        <v>3.9039000000000001E-3</v>
      </c>
      <c r="E811" s="985">
        <v>1767797</v>
      </c>
      <c r="F811" s="969">
        <v>5917941</v>
      </c>
      <c r="G811" s="969"/>
      <c r="H811" s="970">
        <v>340928</v>
      </c>
      <c r="I811" s="971">
        <v>1436883</v>
      </c>
      <c r="J811" s="970">
        <v>845164</v>
      </c>
      <c r="K811" s="969">
        <v>0</v>
      </c>
      <c r="L811" s="971">
        <f t="shared" si="24"/>
        <v>2622975</v>
      </c>
      <c r="M811" s="969"/>
      <c r="N811" s="970">
        <v>167518</v>
      </c>
      <c r="O811" s="970">
        <v>0</v>
      </c>
      <c r="P811" s="969">
        <v>396289</v>
      </c>
      <c r="Q811" s="971">
        <f t="shared" si="25"/>
        <v>563807</v>
      </c>
      <c r="R811" s="969"/>
      <c r="S811" s="970">
        <v>1994351</v>
      </c>
      <c r="T811" s="972">
        <v>-212974</v>
      </c>
      <c r="U811" s="972">
        <v>1781377</v>
      </c>
    </row>
    <row r="812" spans="1:21" x14ac:dyDescent="0.25">
      <c r="A812" s="966">
        <v>99013</v>
      </c>
      <c r="B812" s="967" t="s">
        <v>3425</v>
      </c>
      <c r="C812" s="968">
        <v>5.5999999999999999E-5</v>
      </c>
      <c r="D812" s="968">
        <v>6.02E-5</v>
      </c>
      <c r="E812" s="985">
        <v>27133</v>
      </c>
      <c r="F812" s="969">
        <v>85552</v>
      </c>
      <c r="G812" s="969"/>
      <c r="H812" s="970">
        <v>4929</v>
      </c>
      <c r="I812" s="971">
        <v>20773</v>
      </c>
      <c r="J812" s="970">
        <v>12218</v>
      </c>
      <c r="K812" s="969">
        <v>10</v>
      </c>
      <c r="L812" s="971">
        <f t="shared" si="24"/>
        <v>37930</v>
      </c>
      <c r="M812" s="969"/>
      <c r="N812" s="970">
        <v>2422</v>
      </c>
      <c r="O812" s="970">
        <v>0</v>
      </c>
      <c r="P812" s="969">
        <v>8046</v>
      </c>
      <c r="Q812" s="971">
        <f t="shared" si="25"/>
        <v>10468</v>
      </c>
      <c r="R812" s="969"/>
      <c r="S812" s="970">
        <v>28831</v>
      </c>
      <c r="T812" s="972">
        <v>-2790</v>
      </c>
      <c r="U812" s="972">
        <f>26042-1</f>
        <v>26041</v>
      </c>
    </row>
    <row r="813" spans="1:21" x14ac:dyDescent="0.25">
      <c r="A813" s="966">
        <v>99014</v>
      </c>
      <c r="B813" s="967" t="s">
        <v>3426</v>
      </c>
      <c r="C813" s="968">
        <v>2.0100000000000001E-5</v>
      </c>
      <c r="D813" s="968">
        <v>2.4199999999999999E-5</v>
      </c>
      <c r="E813" s="985">
        <v>13999</v>
      </c>
      <c r="F813" s="969">
        <v>30707</v>
      </c>
      <c r="G813" s="969"/>
      <c r="H813" s="970">
        <v>1769</v>
      </c>
      <c r="I813" s="971">
        <v>7456</v>
      </c>
      <c r="J813" s="970">
        <v>4385</v>
      </c>
      <c r="K813" s="969">
        <v>12703</v>
      </c>
      <c r="L813" s="971">
        <f t="shared" si="24"/>
        <v>26313</v>
      </c>
      <c r="M813" s="969"/>
      <c r="N813" s="970">
        <v>869</v>
      </c>
      <c r="O813" s="970">
        <v>0</v>
      </c>
      <c r="P813" s="969">
        <v>0</v>
      </c>
      <c r="Q813" s="971">
        <f t="shared" si="25"/>
        <v>869</v>
      </c>
      <c r="R813" s="969"/>
      <c r="S813" s="970">
        <v>10348</v>
      </c>
      <c r="T813" s="972">
        <v>4335</v>
      </c>
      <c r="U813" s="972">
        <v>14683</v>
      </c>
    </row>
    <row r="814" spans="1:21" x14ac:dyDescent="0.25">
      <c r="A814" s="966">
        <v>99017</v>
      </c>
      <c r="B814" s="967" t="s">
        <v>3427</v>
      </c>
      <c r="C814" s="968">
        <v>5.13E-5</v>
      </c>
      <c r="D814" s="968">
        <v>4.6999999999999997E-5</v>
      </c>
      <c r="E814" s="985">
        <v>25055</v>
      </c>
      <c r="F814" s="969">
        <v>78372</v>
      </c>
      <c r="G814" s="969"/>
      <c r="H814" s="970">
        <v>4515</v>
      </c>
      <c r="I814" s="971">
        <v>19029</v>
      </c>
      <c r="J814" s="970">
        <v>11193</v>
      </c>
      <c r="K814" s="969">
        <v>8072</v>
      </c>
      <c r="L814" s="971">
        <f t="shared" si="24"/>
        <v>42809</v>
      </c>
      <c r="M814" s="969"/>
      <c r="N814" s="970">
        <v>2218</v>
      </c>
      <c r="O814" s="970">
        <v>0</v>
      </c>
      <c r="P814" s="969">
        <v>3306</v>
      </c>
      <c r="Q814" s="971">
        <f t="shared" si="25"/>
        <v>5524</v>
      </c>
      <c r="R814" s="969"/>
      <c r="S814" s="970">
        <v>26411</v>
      </c>
      <c r="T814" s="972">
        <v>-629</v>
      </c>
      <c r="U814" s="972">
        <v>25782</v>
      </c>
    </row>
    <row r="815" spans="1:21" x14ac:dyDescent="0.25">
      <c r="A815" s="966">
        <v>99021</v>
      </c>
      <c r="B815" s="967" t="s">
        <v>3428</v>
      </c>
      <c r="C815" s="968">
        <v>1.5249999999999999E-4</v>
      </c>
      <c r="D815" s="968">
        <v>1.3420000000000001E-4</v>
      </c>
      <c r="E815" s="985">
        <v>64601</v>
      </c>
      <c r="F815" s="969">
        <v>232978</v>
      </c>
      <c r="G815" s="969"/>
      <c r="H815" s="970">
        <v>13422</v>
      </c>
      <c r="I815" s="971">
        <v>56568</v>
      </c>
      <c r="J815" s="970">
        <v>33272</v>
      </c>
      <c r="K815" s="969">
        <v>11565</v>
      </c>
      <c r="L815" s="971">
        <f t="shared" si="24"/>
        <v>114827</v>
      </c>
      <c r="M815" s="969"/>
      <c r="N815" s="970">
        <v>6595</v>
      </c>
      <c r="O815" s="970">
        <v>0</v>
      </c>
      <c r="P815" s="969">
        <v>728</v>
      </c>
      <c r="Q815" s="971">
        <f t="shared" si="25"/>
        <v>7323</v>
      </c>
      <c r="R815" s="969"/>
      <c r="S815" s="970">
        <v>78514</v>
      </c>
      <c r="T815" s="972">
        <v>3978</v>
      </c>
      <c r="U815" s="972">
        <f>82491+1</f>
        <v>82492</v>
      </c>
    </row>
    <row r="816" spans="1:21" x14ac:dyDescent="0.25">
      <c r="A816" s="966">
        <v>99022</v>
      </c>
      <c r="B816" s="967" t="s">
        <v>1938</v>
      </c>
      <c r="C816" s="968">
        <v>1.08E-5</v>
      </c>
      <c r="D816" s="968">
        <v>1.1800000000000001E-5</v>
      </c>
      <c r="E816" s="985">
        <v>11386</v>
      </c>
      <c r="F816" s="969">
        <v>16499</v>
      </c>
      <c r="G816" s="969"/>
      <c r="H816" s="970">
        <v>951</v>
      </c>
      <c r="I816" s="971">
        <v>4006</v>
      </c>
      <c r="J816" s="970">
        <v>2356</v>
      </c>
      <c r="K816" s="969">
        <v>8944</v>
      </c>
      <c r="L816" s="971">
        <f t="shared" si="24"/>
        <v>16257</v>
      </c>
      <c r="M816" s="969"/>
      <c r="N816" s="970">
        <v>467</v>
      </c>
      <c r="O816" s="970">
        <v>0</v>
      </c>
      <c r="P816" s="969">
        <v>132</v>
      </c>
      <c r="Q816" s="971">
        <f t="shared" si="25"/>
        <v>599</v>
      </c>
      <c r="R816" s="969"/>
      <c r="S816" s="970">
        <v>5560</v>
      </c>
      <c r="T816" s="972">
        <v>2896</v>
      </c>
      <c r="U816" s="972">
        <v>8456</v>
      </c>
    </row>
    <row r="817" spans="1:21" x14ac:dyDescent="0.25">
      <c r="A817" s="966">
        <v>99031</v>
      </c>
      <c r="B817" s="967" t="s">
        <v>3429</v>
      </c>
      <c r="C817" s="968">
        <v>1.518E-4</v>
      </c>
      <c r="D817" s="968">
        <v>1.5970000000000001E-4</v>
      </c>
      <c r="E817" s="985">
        <v>59833</v>
      </c>
      <c r="F817" s="969">
        <v>231908</v>
      </c>
      <c r="G817" s="969"/>
      <c r="H817" s="970">
        <v>13360</v>
      </c>
      <c r="I817" s="971">
        <v>56308</v>
      </c>
      <c r="J817" s="970">
        <v>33120</v>
      </c>
      <c r="K817" s="969">
        <v>2845</v>
      </c>
      <c r="L817" s="971">
        <f t="shared" si="24"/>
        <v>105633</v>
      </c>
      <c r="M817" s="969"/>
      <c r="N817" s="970">
        <v>6565</v>
      </c>
      <c r="O817" s="970">
        <v>0</v>
      </c>
      <c r="P817" s="969">
        <v>23907</v>
      </c>
      <c r="Q817" s="971">
        <f t="shared" si="25"/>
        <v>30472</v>
      </c>
      <c r="R817" s="969"/>
      <c r="S817" s="970">
        <v>78153</v>
      </c>
      <c r="T817" s="972">
        <v>-11727</v>
      </c>
      <c r="U817" s="972">
        <v>66426</v>
      </c>
    </row>
    <row r="818" spans="1:21" x14ac:dyDescent="0.25">
      <c r="A818" s="966">
        <v>99041</v>
      </c>
      <c r="B818" s="967" t="s">
        <v>3430</v>
      </c>
      <c r="C818" s="968">
        <v>6.3500000000000004E-4</v>
      </c>
      <c r="D818" s="968">
        <v>5.6289999999999997E-4</v>
      </c>
      <c r="E818" s="985">
        <v>254000</v>
      </c>
      <c r="F818" s="969">
        <v>970104</v>
      </c>
      <c r="G818" s="969"/>
      <c r="H818" s="970">
        <v>55887</v>
      </c>
      <c r="I818" s="971">
        <v>235543</v>
      </c>
      <c r="J818" s="970">
        <v>138544</v>
      </c>
      <c r="K818" s="969">
        <v>52920</v>
      </c>
      <c r="L818" s="971">
        <f t="shared" si="24"/>
        <v>482894</v>
      </c>
      <c r="M818" s="969"/>
      <c r="N818" s="970">
        <v>27461</v>
      </c>
      <c r="O818" s="970">
        <v>0</v>
      </c>
      <c r="P818" s="969">
        <v>0</v>
      </c>
      <c r="Q818" s="971">
        <f t="shared" si="25"/>
        <v>27461</v>
      </c>
      <c r="R818" s="969"/>
      <c r="S818" s="970">
        <v>326926</v>
      </c>
      <c r="T818" s="972">
        <v>28997</v>
      </c>
      <c r="U818" s="972">
        <v>355923</v>
      </c>
    </row>
    <row r="819" spans="1:21" x14ac:dyDescent="0.25">
      <c r="A819" s="966">
        <v>99047</v>
      </c>
      <c r="B819" s="967" t="s">
        <v>3431</v>
      </c>
      <c r="C819" s="968">
        <v>1.42E-5</v>
      </c>
      <c r="D819" s="968">
        <v>9.2E-6</v>
      </c>
      <c r="E819" s="985">
        <v>7761</v>
      </c>
      <c r="F819" s="969">
        <v>21694</v>
      </c>
      <c r="G819" s="969"/>
      <c r="H819" s="970">
        <v>1250</v>
      </c>
      <c r="I819" s="971">
        <v>5267</v>
      </c>
      <c r="J819" s="970">
        <v>3098</v>
      </c>
      <c r="K819" s="969">
        <v>6410</v>
      </c>
      <c r="L819" s="971">
        <f t="shared" si="24"/>
        <v>16025</v>
      </c>
      <c r="M819" s="969"/>
      <c r="N819" s="970">
        <v>614</v>
      </c>
      <c r="O819" s="970">
        <v>0</v>
      </c>
      <c r="P819" s="969">
        <v>0</v>
      </c>
      <c r="Q819" s="971">
        <f t="shared" si="25"/>
        <v>614</v>
      </c>
      <c r="R819" s="969"/>
      <c r="S819" s="970">
        <v>7311</v>
      </c>
      <c r="T819" s="972">
        <v>2345</v>
      </c>
      <c r="U819" s="972">
        <f>9655+1</f>
        <v>9656</v>
      </c>
    </row>
    <row r="820" spans="1:21" x14ac:dyDescent="0.25">
      <c r="A820" s="966">
        <v>99051</v>
      </c>
      <c r="B820" s="967" t="s">
        <v>3432</v>
      </c>
      <c r="C820" s="968">
        <v>3.5359999999999998E-4</v>
      </c>
      <c r="D820" s="968">
        <v>3.3349999999999997E-4</v>
      </c>
      <c r="E820" s="985">
        <v>142317</v>
      </c>
      <c r="F820" s="969">
        <v>540203</v>
      </c>
      <c r="G820" s="969"/>
      <c r="H820" s="970">
        <v>31121</v>
      </c>
      <c r="I820" s="971">
        <v>131162</v>
      </c>
      <c r="J820" s="970">
        <v>77148</v>
      </c>
      <c r="K820" s="969">
        <v>11433</v>
      </c>
      <c r="L820" s="971">
        <f t="shared" si="24"/>
        <v>250864</v>
      </c>
      <c r="M820" s="969"/>
      <c r="N820" s="970">
        <v>15291</v>
      </c>
      <c r="O820" s="970">
        <v>0</v>
      </c>
      <c r="P820" s="969">
        <v>2536</v>
      </c>
      <c r="Q820" s="971">
        <f t="shared" si="25"/>
        <v>17827</v>
      </c>
      <c r="R820" s="969"/>
      <c r="S820" s="970">
        <v>182049</v>
      </c>
      <c r="T820" s="972">
        <v>4776</v>
      </c>
      <c r="U820" s="972">
        <f>186824+1</f>
        <v>186825</v>
      </c>
    </row>
    <row r="821" spans="1:21" x14ac:dyDescent="0.25">
      <c r="A821" s="966">
        <v>99061</v>
      </c>
      <c r="B821" s="967" t="s">
        <v>3433</v>
      </c>
      <c r="C821" s="968">
        <v>8.1000000000000004E-6</v>
      </c>
      <c r="D821" s="968">
        <v>8.3999999999999992E-6</v>
      </c>
      <c r="E821" s="985">
        <v>7897</v>
      </c>
      <c r="F821" s="969">
        <v>12375</v>
      </c>
      <c r="G821" s="969"/>
      <c r="H821" s="970">
        <v>713</v>
      </c>
      <c r="I821" s="971">
        <v>3005</v>
      </c>
      <c r="J821" s="970">
        <v>1767</v>
      </c>
      <c r="K821" s="969">
        <v>7276</v>
      </c>
      <c r="L821" s="971">
        <f t="shared" si="24"/>
        <v>12761</v>
      </c>
      <c r="M821" s="969"/>
      <c r="N821" s="970">
        <v>350</v>
      </c>
      <c r="O821" s="970">
        <v>0</v>
      </c>
      <c r="P821" s="969">
        <v>0</v>
      </c>
      <c r="Q821" s="971">
        <f t="shared" si="25"/>
        <v>350</v>
      </c>
      <c r="R821" s="969"/>
      <c r="S821" s="970">
        <v>4170</v>
      </c>
      <c r="T821" s="972">
        <v>2674</v>
      </c>
      <c r="U821" s="972">
        <v>6844</v>
      </c>
    </row>
    <row r="822" spans="1:21" x14ac:dyDescent="0.25">
      <c r="A822" s="966">
        <v>99071</v>
      </c>
      <c r="B822" s="967" t="s">
        <v>3434</v>
      </c>
      <c r="C822" s="968">
        <v>3.04E-5</v>
      </c>
      <c r="D822" s="968">
        <v>3.0499999999999999E-5</v>
      </c>
      <c r="E822" s="985">
        <v>15062</v>
      </c>
      <c r="F822" s="969">
        <v>46443</v>
      </c>
      <c r="G822" s="969"/>
      <c r="H822" s="970">
        <v>2676</v>
      </c>
      <c r="I822" s="971">
        <v>11277</v>
      </c>
      <c r="J822" s="970">
        <v>6633</v>
      </c>
      <c r="K822" s="969">
        <v>818</v>
      </c>
      <c r="L822" s="971">
        <f t="shared" si="24"/>
        <v>21404</v>
      </c>
      <c r="M822" s="969"/>
      <c r="N822" s="970">
        <v>1315</v>
      </c>
      <c r="O822" s="970">
        <v>0</v>
      </c>
      <c r="P822" s="969">
        <v>2093</v>
      </c>
      <c r="Q822" s="971">
        <f t="shared" si="25"/>
        <v>3408</v>
      </c>
      <c r="R822" s="969"/>
      <c r="S822" s="970">
        <v>15651</v>
      </c>
      <c r="T822" s="972">
        <v>-1107</v>
      </c>
      <c r="U822" s="972">
        <v>14544</v>
      </c>
    </row>
    <row r="823" spans="1:21" x14ac:dyDescent="0.25">
      <c r="A823" s="966">
        <v>99081</v>
      </c>
      <c r="B823" s="967" t="s">
        <v>3435</v>
      </c>
      <c r="C823" s="968">
        <v>1.1E-5</v>
      </c>
      <c r="D823" s="968">
        <v>2.9600000000000001E-5</v>
      </c>
      <c r="E823" s="985">
        <v>10195</v>
      </c>
      <c r="F823" s="969">
        <v>16805</v>
      </c>
      <c r="G823" s="969"/>
      <c r="H823" s="970">
        <v>968</v>
      </c>
      <c r="I823" s="971">
        <v>4081</v>
      </c>
      <c r="J823" s="970">
        <v>2400</v>
      </c>
      <c r="K823" s="969">
        <v>3587</v>
      </c>
      <c r="L823" s="971">
        <f t="shared" si="24"/>
        <v>11036</v>
      </c>
      <c r="M823" s="969"/>
      <c r="N823" s="970">
        <v>476</v>
      </c>
      <c r="O823" s="970">
        <v>0</v>
      </c>
      <c r="P823" s="969">
        <v>13215</v>
      </c>
      <c r="Q823" s="971">
        <f t="shared" si="25"/>
        <v>13691</v>
      </c>
      <c r="R823" s="969"/>
      <c r="S823" s="970">
        <v>5663</v>
      </c>
      <c r="T823" s="972">
        <v>-2898</v>
      </c>
      <c r="U823" s="972">
        <f>2766-1</f>
        <v>2765</v>
      </c>
    </row>
    <row r="824" spans="1:21" x14ac:dyDescent="0.25">
      <c r="A824" s="966">
        <v>99091</v>
      </c>
      <c r="B824" s="967" t="s">
        <v>3436</v>
      </c>
      <c r="C824" s="968">
        <v>3.9999999999999998E-6</v>
      </c>
      <c r="D824" s="968">
        <v>4.1999999999999996E-6</v>
      </c>
      <c r="E824" s="985">
        <v>4831</v>
      </c>
      <c r="F824" s="969">
        <v>6111</v>
      </c>
      <c r="G824" s="969"/>
      <c r="H824" s="970">
        <v>352</v>
      </c>
      <c r="I824" s="971">
        <v>1484</v>
      </c>
      <c r="J824" s="970">
        <v>873</v>
      </c>
      <c r="K824" s="969">
        <v>4105</v>
      </c>
      <c r="L824" s="971">
        <f t="shared" si="24"/>
        <v>6814</v>
      </c>
      <c r="M824" s="969"/>
      <c r="N824" s="970">
        <v>173</v>
      </c>
      <c r="O824" s="970">
        <v>0</v>
      </c>
      <c r="P824" s="969">
        <v>3232</v>
      </c>
      <c r="Q824" s="971">
        <f t="shared" si="25"/>
        <v>3405</v>
      </c>
      <c r="R824" s="969"/>
      <c r="S824" s="970">
        <v>2059</v>
      </c>
      <c r="T824" s="972">
        <v>-1926</v>
      </c>
      <c r="U824" s="972">
        <f>134-1</f>
        <v>133</v>
      </c>
    </row>
    <row r="825" spans="1:21" x14ac:dyDescent="0.25">
      <c r="A825" s="966">
        <v>99101</v>
      </c>
      <c r="B825" s="967" t="s">
        <v>3437</v>
      </c>
      <c r="C825" s="968">
        <v>2.1724000000000001E-3</v>
      </c>
      <c r="D825" s="968">
        <v>2.0087999999999998E-3</v>
      </c>
      <c r="E825" s="985">
        <v>914274</v>
      </c>
      <c r="F825" s="969">
        <v>3318825</v>
      </c>
      <c r="G825" s="969"/>
      <c r="H825" s="970">
        <v>191195</v>
      </c>
      <c r="I825" s="971">
        <v>805815</v>
      </c>
      <c r="J825" s="970">
        <v>473974</v>
      </c>
      <c r="K825" s="969">
        <v>48335</v>
      </c>
      <c r="L825" s="971">
        <f t="shared" si="24"/>
        <v>1519319</v>
      </c>
      <c r="M825" s="969"/>
      <c r="N825" s="970">
        <v>93945</v>
      </c>
      <c r="O825" s="970">
        <v>0</v>
      </c>
      <c r="P825" s="969">
        <v>44900</v>
      </c>
      <c r="Q825" s="971">
        <f t="shared" si="25"/>
        <v>138845</v>
      </c>
      <c r="R825" s="969"/>
      <c r="S825" s="970">
        <v>1118447</v>
      </c>
      <c r="T825" s="972">
        <v>-14151</v>
      </c>
      <c r="U825" s="972">
        <v>1104296</v>
      </c>
    </row>
    <row r="826" spans="1:21" x14ac:dyDescent="0.25">
      <c r="A826" s="966">
        <v>99104</v>
      </c>
      <c r="B826" s="967" t="s">
        <v>3438</v>
      </c>
      <c r="C826" s="968">
        <v>3.3500000000000001E-5</v>
      </c>
      <c r="D826" s="968">
        <v>3.4799999999999999E-5</v>
      </c>
      <c r="E826" s="985">
        <v>22874</v>
      </c>
      <c r="F826" s="969">
        <v>51179</v>
      </c>
      <c r="G826" s="969"/>
      <c r="H826" s="970">
        <v>2948</v>
      </c>
      <c r="I826" s="971">
        <v>12426</v>
      </c>
      <c r="J826" s="970">
        <v>7309</v>
      </c>
      <c r="K826" s="969">
        <v>15217</v>
      </c>
      <c r="L826" s="971">
        <f t="shared" si="24"/>
        <v>37900</v>
      </c>
      <c r="M826" s="969"/>
      <c r="N826" s="970">
        <v>1449</v>
      </c>
      <c r="O826" s="970">
        <v>0</v>
      </c>
      <c r="P826" s="969">
        <v>0</v>
      </c>
      <c r="Q826" s="971">
        <f t="shared" si="25"/>
        <v>1449</v>
      </c>
      <c r="R826" s="969"/>
      <c r="S826" s="970">
        <v>17247</v>
      </c>
      <c r="T826" s="972">
        <v>6167</v>
      </c>
      <c r="U826" s="972">
        <f>23415-1</f>
        <v>23414</v>
      </c>
    </row>
    <row r="827" spans="1:21" x14ac:dyDescent="0.25">
      <c r="A827" s="966">
        <v>99109</v>
      </c>
      <c r="B827" s="967" t="s">
        <v>3439</v>
      </c>
      <c r="C827" s="968">
        <v>1.2339999999999999E-4</v>
      </c>
      <c r="D827" s="968">
        <v>1.1849999999999999E-4</v>
      </c>
      <c r="E827" s="985">
        <v>56338</v>
      </c>
      <c r="F827" s="969">
        <v>188521</v>
      </c>
      <c r="G827" s="969"/>
      <c r="H827" s="970">
        <v>10861</v>
      </c>
      <c r="I827" s="971">
        <v>45773</v>
      </c>
      <c r="J827" s="970">
        <v>26923</v>
      </c>
      <c r="K827" s="969">
        <v>6454</v>
      </c>
      <c r="L827" s="971">
        <f t="shared" si="24"/>
        <v>90011</v>
      </c>
      <c r="M827" s="969"/>
      <c r="N827" s="970">
        <v>5336</v>
      </c>
      <c r="O827" s="970">
        <v>0</v>
      </c>
      <c r="P827" s="969">
        <v>14208</v>
      </c>
      <c r="Q827" s="971">
        <f t="shared" si="25"/>
        <v>19544</v>
      </c>
      <c r="R827" s="969"/>
      <c r="S827" s="970">
        <v>63532</v>
      </c>
      <c r="T827" s="972">
        <v>-5391</v>
      </c>
      <c r="U827" s="972">
        <f>58140+1</f>
        <v>58141</v>
      </c>
    </row>
    <row r="828" spans="1:21" x14ac:dyDescent="0.25">
      <c r="A828" s="966">
        <v>99110</v>
      </c>
      <c r="B828" s="967" t="s">
        <v>3440</v>
      </c>
      <c r="C828" s="968">
        <v>1.7670000000000001E-4</v>
      </c>
      <c r="D828" s="968">
        <v>1.8369999999999999E-4</v>
      </c>
      <c r="E828" s="985">
        <v>119963</v>
      </c>
      <c r="F828" s="969">
        <v>269949</v>
      </c>
      <c r="G828" s="969"/>
      <c r="H828" s="970">
        <v>15552</v>
      </c>
      <c r="I828" s="971">
        <v>65544</v>
      </c>
      <c r="J828" s="970">
        <v>38552</v>
      </c>
      <c r="K828" s="969">
        <v>69046</v>
      </c>
      <c r="L828" s="971">
        <f t="shared" si="24"/>
        <v>188694</v>
      </c>
      <c r="M828" s="969"/>
      <c r="N828" s="970">
        <v>7641</v>
      </c>
      <c r="O828" s="970">
        <v>0</v>
      </c>
      <c r="P828" s="969">
        <v>0</v>
      </c>
      <c r="Q828" s="971">
        <f t="shared" si="25"/>
        <v>7641</v>
      </c>
      <c r="R828" s="969"/>
      <c r="S828" s="970">
        <v>90973</v>
      </c>
      <c r="T828" s="972">
        <v>27602</v>
      </c>
      <c r="U828" s="972">
        <v>118575</v>
      </c>
    </row>
    <row r="829" spans="1:21" x14ac:dyDescent="0.25">
      <c r="A829" s="966">
        <v>99111</v>
      </c>
      <c r="B829" s="967" t="s">
        <v>3441</v>
      </c>
      <c r="C829" s="968">
        <v>1.2618E-3</v>
      </c>
      <c r="D829" s="968">
        <v>1.2757000000000001E-3</v>
      </c>
      <c r="E829" s="985">
        <v>543583</v>
      </c>
      <c r="F829" s="969">
        <v>1927681</v>
      </c>
      <c r="G829" s="969"/>
      <c r="H829" s="970">
        <v>111052</v>
      </c>
      <c r="I829" s="971">
        <v>468043</v>
      </c>
      <c r="J829" s="970">
        <v>275300</v>
      </c>
      <c r="K829" s="969">
        <v>0</v>
      </c>
      <c r="L829" s="971">
        <f t="shared" si="24"/>
        <v>854395</v>
      </c>
      <c r="M829" s="969"/>
      <c r="N829" s="970">
        <v>54567</v>
      </c>
      <c r="O829" s="970">
        <v>0</v>
      </c>
      <c r="P829" s="969">
        <v>143900</v>
      </c>
      <c r="Q829" s="971">
        <f t="shared" si="25"/>
        <v>198467</v>
      </c>
      <c r="R829" s="969"/>
      <c r="S829" s="970">
        <v>649630</v>
      </c>
      <c r="T829" s="972">
        <v>-68554</v>
      </c>
      <c r="U829" s="972">
        <v>581076</v>
      </c>
    </row>
    <row r="830" spans="1:21" x14ac:dyDescent="0.25">
      <c r="A830" s="966">
        <v>99201</v>
      </c>
      <c r="B830" s="967" t="s">
        <v>3442</v>
      </c>
      <c r="C830" s="968">
        <v>3.3297199999999999E-2</v>
      </c>
      <c r="D830" s="968">
        <v>3.22145E-2</v>
      </c>
      <c r="E830" s="985">
        <v>15084487</v>
      </c>
      <c r="F830" s="969">
        <v>50868898</v>
      </c>
      <c r="G830" s="969"/>
      <c r="H830" s="970">
        <v>2930520</v>
      </c>
      <c r="I830" s="971">
        <v>12351030</v>
      </c>
      <c r="J830" s="970">
        <v>7264783</v>
      </c>
      <c r="K830" s="969">
        <v>1320745</v>
      </c>
      <c r="L830" s="971">
        <f t="shared" si="24"/>
        <v>23867078</v>
      </c>
      <c r="M830" s="969"/>
      <c r="N830" s="970">
        <v>1439937</v>
      </c>
      <c r="O830" s="970">
        <v>0</v>
      </c>
      <c r="P830" s="969">
        <v>241517</v>
      </c>
      <c r="Q830" s="971">
        <f t="shared" si="25"/>
        <v>1681454</v>
      </c>
      <c r="R830" s="969"/>
      <c r="S830" s="970">
        <v>17142864</v>
      </c>
      <c r="T830" s="972">
        <v>242815</v>
      </c>
      <c r="U830" s="972">
        <v>17385679</v>
      </c>
    </row>
    <row r="831" spans="1:21" x14ac:dyDescent="0.25">
      <c r="A831" s="966">
        <v>99202</v>
      </c>
      <c r="B831" s="967" t="s">
        <v>3443</v>
      </c>
      <c r="C831" s="968">
        <v>2.5855000000000001E-3</v>
      </c>
      <c r="D831" s="968">
        <v>2.5138000000000001E-3</v>
      </c>
      <c r="E831" s="985">
        <v>1072068</v>
      </c>
      <c r="F831" s="969">
        <v>3949928</v>
      </c>
      <c r="G831" s="969"/>
      <c r="H831" s="970">
        <v>227552</v>
      </c>
      <c r="I831" s="971">
        <v>959048</v>
      </c>
      <c r="J831" s="970">
        <v>564104</v>
      </c>
      <c r="K831" s="969">
        <v>0</v>
      </c>
      <c r="L831" s="971">
        <f t="shared" si="24"/>
        <v>1750704</v>
      </c>
      <c r="M831" s="969"/>
      <c r="N831" s="970">
        <v>111810</v>
      </c>
      <c r="O831" s="970">
        <v>0</v>
      </c>
      <c r="P831" s="969">
        <v>184130</v>
      </c>
      <c r="Q831" s="971">
        <f t="shared" si="25"/>
        <v>295940</v>
      </c>
      <c r="R831" s="969"/>
      <c r="S831" s="970">
        <v>1331129</v>
      </c>
      <c r="T831" s="972">
        <v>-73084</v>
      </c>
      <c r="U831" s="972">
        <v>1258045</v>
      </c>
    </row>
    <row r="832" spans="1:21" x14ac:dyDescent="0.25">
      <c r="A832" s="966">
        <v>99203</v>
      </c>
      <c r="B832" s="967" t="s">
        <v>3444</v>
      </c>
      <c r="C832" s="968">
        <v>3.0410000000000002E-4</v>
      </c>
      <c r="D832" s="968">
        <v>3.1990000000000002E-4</v>
      </c>
      <c r="E832" s="985">
        <v>126936</v>
      </c>
      <c r="F832" s="969">
        <v>464581</v>
      </c>
      <c r="G832" s="969"/>
      <c r="H832" s="970">
        <v>26764</v>
      </c>
      <c r="I832" s="971">
        <v>112801</v>
      </c>
      <c r="J832" s="970">
        <v>66349</v>
      </c>
      <c r="K832" s="969">
        <v>24433</v>
      </c>
      <c r="L832" s="971">
        <f t="shared" si="24"/>
        <v>230347</v>
      </c>
      <c r="M832" s="969"/>
      <c r="N832" s="970">
        <v>13151</v>
      </c>
      <c r="O832" s="970">
        <v>0</v>
      </c>
      <c r="P832" s="969">
        <v>20730</v>
      </c>
      <c r="Q832" s="971">
        <f t="shared" si="25"/>
        <v>33881</v>
      </c>
      <c r="R832" s="969"/>
      <c r="S832" s="970">
        <v>156564</v>
      </c>
      <c r="T832" s="972">
        <v>11213</v>
      </c>
      <c r="U832" s="972">
        <v>167777</v>
      </c>
    </row>
    <row r="833" spans="1:21" x14ac:dyDescent="0.25">
      <c r="A833" s="966">
        <v>99204</v>
      </c>
      <c r="B833" s="967" t="s">
        <v>3445</v>
      </c>
      <c r="C833" s="968">
        <v>8.3549999999999998E-4</v>
      </c>
      <c r="D833" s="968">
        <v>7.4910000000000005E-4</v>
      </c>
      <c r="E833" s="985">
        <v>375261</v>
      </c>
      <c r="F833" s="969">
        <v>1276413</v>
      </c>
      <c r="G833" s="969"/>
      <c r="H833" s="970">
        <v>73533</v>
      </c>
      <c r="I833" s="971">
        <v>309914</v>
      </c>
      <c r="J833" s="970">
        <v>182289</v>
      </c>
      <c r="K833" s="969">
        <v>108607</v>
      </c>
      <c r="L833" s="971">
        <f t="shared" si="24"/>
        <v>674343</v>
      </c>
      <c r="M833" s="969"/>
      <c r="N833" s="970">
        <v>36131</v>
      </c>
      <c r="O833" s="970">
        <v>0</v>
      </c>
      <c r="P833" s="969">
        <v>0</v>
      </c>
      <c r="Q833" s="971">
        <f t="shared" si="25"/>
        <v>36131</v>
      </c>
      <c r="R833" s="969"/>
      <c r="S833" s="970">
        <v>430152</v>
      </c>
      <c r="T833" s="972">
        <v>37657</v>
      </c>
      <c r="U833" s="972">
        <v>467809</v>
      </c>
    </row>
    <row r="834" spans="1:21" x14ac:dyDescent="0.25">
      <c r="A834" s="966">
        <v>99206</v>
      </c>
      <c r="B834" s="967" t="s">
        <v>3446</v>
      </c>
      <c r="C834" s="968">
        <v>1.6957999999999999E-3</v>
      </c>
      <c r="D834" s="968">
        <v>1.6665E-3</v>
      </c>
      <c r="E834" s="985">
        <v>1210225</v>
      </c>
      <c r="F834" s="969">
        <v>2590713</v>
      </c>
      <c r="G834" s="969"/>
      <c r="H834" s="970">
        <v>149249</v>
      </c>
      <c r="I834" s="971">
        <v>629028</v>
      </c>
      <c r="J834" s="970">
        <v>369990</v>
      </c>
      <c r="K834" s="969">
        <v>641271</v>
      </c>
      <c r="L834" s="971">
        <f t="shared" si="24"/>
        <v>1789538</v>
      </c>
      <c r="M834" s="969"/>
      <c r="N834" s="970">
        <v>73335</v>
      </c>
      <c r="O834" s="970">
        <v>0</v>
      </c>
      <c r="P834" s="969">
        <v>6741</v>
      </c>
      <c r="Q834" s="971">
        <f t="shared" si="25"/>
        <v>80076</v>
      </c>
      <c r="R834" s="969"/>
      <c r="S834" s="970">
        <v>873072</v>
      </c>
      <c r="T834" s="972">
        <v>209066</v>
      </c>
      <c r="U834" s="972">
        <f>1082139-1</f>
        <v>1082138</v>
      </c>
    </row>
    <row r="835" spans="1:21" x14ac:dyDescent="0.25">
      <c r="A835" s="966">
        <v>99207</v>
      </c>
      <c r="B835" s="967" t="s">
        <v>3678</v>
      </c>
      <c r="C835" s="968">
        <v>1.3329999999999999E-4</v>
      </c>
      <c r="D835" s="968">
        <v>1.3430000000000001E-4</v>
      </c>
      <c r="E835" s="985">
        <v>175075</v>
      </c>
      <c r="F835" s="969">
        <v>203645</v>
      </c>
      <c r="G835" s="969"/>
      <c r="H835" s="970">
        <v>11732</v>
      </c>
      <c r="I835" s="971">
        <v>49445</v>
      </c>
      <c r="J835" s="970">
        <v>29083</v>
      </c>
      <c r="K835" s="969">
        <v>145724</v>
      </c>
      <c r="L835" s="971">
        <f t="shared" si="24"/>
        <v>235984</v>
      </c>
      <c r="M835" s="969"/>
      <c r="N835" s="970">
        <v>5765</v>
      </c>
      <c r="O835" s="970">
        <v>0</v>
      </c>
      <c r="P835" s="969">
        <v>0</v>
      </c>
      <c r="Q835" s="971">
        <f t="shared" si="25"/>
        <v>5765</v>
      </c>
      <c r="R835" s="969"/>
      <c r="S835" s="970">
        <v>68629</v>
      </c>
      <c r="T835" s="972">
        <v>46901</v>
      </c>
      <c r="U835" s="972">
        <v>115530</v>
      </c>
    </row>
    <row r="836" spans="1:21" x14ac:dyDescent="0.25">
      <c r="A836" s="966">
        <v>99208</v>
      </c>
      <c r="B836" s="967" t="s">
        <v>3448</v>
      </c>
      <c r="C836" s="968">
        <v>1.4569999999999999E-4</v>
      </c>
      <c r="D836" s="968">
        <v>1.3669999999999999E-4</v>
      </c>
      <c r="E836" s="985">
        <v>57804</v>
      </c>
      <c r="F836" s="969">
        <v>222589</v>
      </c>
      <c r="G836" s="969"/>
      <c r="H836" s="970">
        <v>12823</v>
      </c>
      <c r="I836" s="971">
        <v>54045</v>
      </c>
      <c r="J836" s="970">
        <v>31789</v>
      </c>
      <c r="K836" s="969">
        <v>0</v>
      </c>
      <c r="L836" s="971">
        <f t="shared" si="24"/>
        <v>98657</v>
      </c>
      <c r="M836" s="969"/>
      <c r="N836" s="970">
        <v>6301</v>
      </c>
      <c r="O836" s="970">
        <v>0</v>
      </c>
      <c r="P836" s="969">
        <v>38521</v>
      </c>
      <c r="Q836" s="971">
        <f t="shared" si="25"/>
        <v>44822</v>
      </c>
      <c r="R836" s="969"/>
      <c r="S836" s="970">
        <v>75013</v>
      </c>
      <c r="T836" s="972">
        <v>-20543</v>
      </c>
      <c r="U836" s="972">
        <v>54470</v>
      </c>
    </row>
    <row r="837" spans="1:21" x14ac:dyDescent="0.25">
      <c r="A837" s="966">
        <v>99210</v>
      </c>
      <c r="B837" s="967" t="s">
        <v>3449</v>
      </c>
      <c r="C837" s="968">
        <v>1.5943999999999999E-3</v>
      </c>
      <c r="D837" s="968">
        <v>1.5945E-3</v>
      </c>
      <c r="E837" s="985">
        <v>789521</v>
      </c>
      <c r="F837" s="969">
        <v>2435802</v>
      </c>
      <c r="G837" s="969"/>
      <c r="H837" s="970">
        <v>140325</v>
      </c>
      <c r="I837" s="971">
        <v>591415</v>
      </c>
      <c r="J837" s="970">
        <v>347866</v>
      </c>
      <c r="K837" s="969">
        <v>99237</v>
      </c>
      <c r="L837" s="971">
        <f t="shared" si="24"/>
        <v>1178843</v>
      </c>
      <c r="M837" s="969"/>
      <c r="N837" s="970">
        <v>68950</v>
      </c>
      <c r="O837" s="970">
        <v>0</v>
      </c>
      <c r="P837" s="969">
        <v>0</v>
      </c>
      <c r="Q837" s="971">
        <f t="shared" si="25"/>
        <v>68950</v>
      </c>
      <c r="R837" s="969"/>
      <c r="S837" s="970">
        <v>820867</v>
      </c>
      <c r="T837" s="972">
        <v>39106</v>
      </c>
      <c r="U837" s="972">
        <f>859974-1</f>
        <v>859973</v>
      </c>
    </row>
    <row r="838" spans="1:21" x14ac:dyDescent="0.25">
      <c r="A838" s="966">
        <v>99211</v>
      </c>
      <c r="B838" s="967" t="s">
        <v>3450</v>
      </c>
      <c r="C838" s="968">
        <v>3.7100599999999997E-2</v>
      </c>
      <c r="D838" s="968">
        <v>3.8233999999999997E-2</v>
      </c>
      <c r="E838" s="985">
        <v>16957539</v>
      </c>
      <c r="F838" s="969">
        <v>56679440</v>
      </c>
      <c r="G838" s="969"/>
      <c r="H838" s="970">
        <v>3265261</v>
      </c>
      <c r="I838" s="971">
        <v>13761837</v>
      </c>
      <c r="J838" s="970">
        <v>8094609</v>
      </c>
      <c r="K838" s="969">
        <v>0</v>
      </c>
      <c r="L838" s="971">
        <f t="shared" si="24"/>
        <v>25121707</v>
      </c>
      <c r="M838" s="969"/>
      <c r="N838" s="970">
        <v>1604415</v>
      </c>
      <c r="O838" s="970">
        <v>0</v>
      </c>
      <c r="P838" s="969">
        <v>1838947</v>
      </c>
      <c r="Q838" s="971">
        <f t="shared" si="25"/>
        <v>3443362</v>
      </c>
      <c r="R838" s="969"/>
      <c r="S838" s="970">
        <v>19101021</v>
      </c>
      <c r="T838" s="972">
        <v>-724653</v>
      </c>
      <c r="U838" s="972">
        <f>18376369-1</f>
        <v>18376368</v>
      </c>
    </row>
    <row r="839" spans="1:21" x14ac:dyDescent="0.25">
      <c r="A839" s="966">
        <v>99212</v>
      </c>
      <c r="B839" s="967" t="s">
        <v>3451</v>
      </c>
      <c r="C839" s="968">
        <v>8.14E-5</v>
      </c>
      <c r="D839" s="968">
        <v>7.4400000000000006E-5</v>
      </c>
      <c r="E839" s="985">
        <v>31805</v>
      </c>
      <c r="F839" s="969">
        <v>124357</v>
      </c>
      <c r="G839" s="969"/>
      <c r="H839" s="970">
        <v>7164</v>
      </c>
      <c r="I839" s="971">
        <v>30194</v>
      </c>
      <c r="J839" s="970">
        <v>17760</v>
      </c>
      <c r="K839" s="969">
        <v>242</v>
      </c>
      <c r="L839" s="971">
        <f t="shared" ref="L839:L902" si="26">H839+I839+J839+K839</f>
        <v>55360</v>
      </c>
      <c r="M839" s="969"/>
      <c r="N839" s="970">
        <v>3520</v>
      </c>
      <c r="O839" s="970">
        <v>0</v>
      </c>
      <c r="P839" s="969">
        <v>34044</v>
      </c>
      <c r="Q839" s="971">
        <f t="shared" ref="Q839:Q902" si="27">N839+O839+P839</f>
        <v>37564</v>
      </c>
      <c r="R839" s="969"/>
      <c r="S839" s="970">
        <v>41908</v>
      </c>
      <c r="T839" s="972">
        <v>-15261</v>
      </c>
      <c r="U839" s="972">
        <v>26647</v>
      </c>
    </row>
    <row r="840" spans="1:21" x14ac:dyDescent="0.25">
      <c r="A840" s="966">
        <v>99213</v>
      </c>
      <c r="B840" s="967" t="s">
        <v>3452</v>
      </c>
      <c r="C840" s="968">
        <v>7.5159999999999995E-4</v>
      </c>
      <c r="D840" s="968">
        <v>8.0730000000000005E-4</v>
      </c>
      <c r="E840" s="985">
        <v>353817</v>
      </c>
      <c r="F840" s="969">
        <v>1148237</v>
      </c>
      <c r="G840" s="969"/>
      <c r="H840" s="970">
        <v>66149</v>
      </c>
      <c r="I840" s="971">
        <v>278793</v>
      </c>
      <c r="J840" s="970">
        <v>163984</v>
      </c>
      <c r="K840" s="969">
        <v>6057</v>
      </c>
      <c r="L840" s="971">
        <f t="shared" si="26"/>
        <v>514983</v>
      </c>
      <c r="M840" s="969"/>
      <c r="N840" s="970">
        <v>32503</v>
      </c>
      <c r="O840" s="970">
        <v>0</v>
      </c>
      <c r="P840" s="969">
        <v>45468</v>
      </c>
      <c r="Q840" s="971">
        <f t="shared" si="27"/>
        <v>77971</v>
      </c>
      <c r="R840" s="969"/>
      <c r="S840" s="970">
        <v>386957</v>
      </c>
      <c r="T840" s="972">
        <v>-10310</v>
      </c>
      <c r="U840" s="972">
        <f>376646+1</f>
        <v>376647</v>
      </c>
    </row>
    <row r="841" spans="1:21" x14ac:dyDescent="0.25">
      <c r="A841" s="966">
        <v>99218</v>
      </c>
      <c r="B841" s="967" t="s">
        <v>3453</v>
      </c>
      <c r="C841" s="968">
        <v>3.1162E-3</v>
      </c>
      <c r="D841" s="968">
        <v>3.1227999999999998E-3</v>
      </c>
      <c r="E841" s="985">
        <v>1493014</v>
      </c>
      <c r="F841" s="969">
        <v>4760690</v>
      </c>
      <c r="G841" s="969"/>
      <c r="H841" s="970">
        <v>274260</v>
      </c>
      <c r="I841" s="971">
        <v>1155902</v>
      </c>
      <c r="J841" s="970">
        <v>679893</v>
      </c>
      <c r="K841" s="969">
        <v>179789</v>
      </c>
      <c r="L841" s="971">
        <f t="shared" si="26"/>
        <v>2289844</v>
      </c>
      <c r="M841" s="969"/>
      <c r="N841" s="970">
        <v>134760</v>
      </c>
      <c r="O841" s="970">
        <v>0</v>
      </c>
      <c r="P841" s="969">
        <v>0</v>
      </c>
      <c r="Q841" s="971">
        <f t="shared" si="27"/>
        <v>134760</v>
      </c>
      <c r="R841" s="969"/>
      <c r="S841" s="970">
        <v>1604357</v>
      </c>
      <c r="T841" s="972">
        <v>66860</v>
      </c>
      <c r="U841" s="972">
        <v>1671217</v>
      </c>
    </row>
    <row r="842" spans="1:21" x14ac:dyDescent="0.25">
      <c r="A842" s="966">
        <v>99221</v>
      </c>
      <c r="B842" s="967" t="s">
        <v>3454</v>
      </c>
      <c r="C842" s="968">
        <v>1.27709E-2</v>
      </c>
      <c r="D842" s="968">
        <v>1.3092700000000001E-2</v>
      </c>
      <c r="E842" s="985">
        <v>5876509</v>
      </c>
      <c r="F842" s="969">
        <v>19510398</v>
      </c>
      <c r="G842" s="969"/>
      <c r="H842" s="970">
        <v>1123980</v>
      </c>
      <c r="I842" s="971">
        <v>4737148</v>
      </c>
      <c r="J842" s="970">
        <v>2786355</v>
      </c>
      <c r="K842" s="969">
        <v>0</v>
      </c>
      <c r="L842" s="971">
        <f t="shared" si="26"/>
        <v>8647483</v>
      </c>
      <c r="M842" s="969"/>
      <c r="N842" s="970">
        <v>552278</v>
      </c>
      <c r="O842" s="970">
        <v>0</v>
      </c>
      <c r="P842" s="969">
        <v>687802</v>
      </c>
      <c r="Q842" s="971">
        <f t="shared" si="27"/>
        <v>1240080</v>
      </c>
      <c r="R842" s="969"/>
      <c r="S842" s="970">
        <v>6575021</v>
      </c>
      <c r="T842" s="972">
        <v>-271922</v>
      </c>
      <c r="U842" s="972">
        <v>6303099</v>
      </c>
    </row>
    <row r="843" spans="1:21" x14ac:dyDescent="0.25">
      <c r="A843" s="966">
        <v>99222</v>
      </c>
      <c r="B843" s="967" t="s">
        <v>3455</v>
      </c>
      <c r="C843" s="968">
        <v>3.9100000000000002E-5</v>
      </c>
      <c r="D843" s="968">
        <v>4.0099999999999999E-5</v>
      </c>
      <c r="E843" s="985">
        <v>15446</v>
      </c>
      <c r="F843" s="969">
        <v>59734</v>
      </c>
      <c r="G843" s="969"/>
      <c r="H843" s="970">
        <v>3441</v>
      </c>
      <c r="I843" s="971">
        <v>14504</v>
      </c>
      <c r="J843" s="970">
        <v>8531</v>
      </c>
      <c r="K843" s="969">
        <v>2307</v>
      </c>
      <c r="L843" s="971">
        <f t="shared" si="26"/>
        <v>28783</v>
      </c>
      <c r="M843" s="969"/>
      <c r="N843" s="970">
        <v>1691</v>
      </c>
      <c r="O843" s="970">
        <v>0</v>
      </c>
      <c r="P843" s="969">
        <v>3585</v>
      </c>
      <c r="Q843" s="971">
        <f t="shared" si="27"/>
        <v>5276</v>
      </c>
      <c r="R843" s="969"/>
      <c r="S843" s="970">
        <v>20130</v>
      </c>
      <c r="T843" s="972">
        <v>281</v>
      </c>
      <c r="U843" s="972">
        <v>20411</v>
      </c>
    </row>
    <row r="844" spans="1:21" x14ac:dyDescent="0.25">
      <c r="A844" s="966">
        <v>99231</v>
      </c>
      <c r="B844" s="967" t="s">
        <v>3456</v>
      </c>
      <c r="C844" s="968">
        <v>3.7179999999999998E-4</v>
      </c>
      <c r="D844" s="968">
        <v>3.7869999999999999E-4</v>
      </c>
      <c r="E844" s="985">
        <v>156904</v>
      </c>
      <c r="F844" s="969">
        <v>568007</v>
      </c>
      <c r="G844" s="969"/>
      <c r="H844" s="970">
        <v>32722</v>
      </c>
      <c r="I844" s="971">
        <v>137913</v>
      </c>
      <c r="J844" s="970">
        <v>81119</v>
      </c>
      <c r="K844" s="969">
        <v>0</v>
      </c>
      <c r="L844" s="971">
        <f t="shared" si="26"/>
        <v>251754</v>
      </c>
      <c r="M844" s="969"/>
      <c r="N844" s="970">
        <v>16078</v>
      </c>
      <c r="O844" s="970">
        <v>0</v>
      </c>
      <c r="P844" s="969">
        <v>31773</v>
      </c>
      <c r="Q844" s="971">
        <f t="shared" si="27"/>
        <v>47851</v>
      </c>
      <c r="R844" s="969"/>
      <c r="S844" s="970">
        <v>191419</v>
      </c>
      <c r="T844" s="972">
        <v>-14995</v>
      </c>
      <c r="U844" s="972">
        <v>176424</v>
      </c>
    </row>
    <row r="845" spans="1:21" x14ac:dyDescent="0.25">
      <c r="A845" s="966">
        <v>99241</v>
      </c>
      <c r="B845" s="967" t="s">
        <v>3457</v>
      </c>
      <c r="C845" s="968">
        <v>5.5329999999999995E-4</v>
      </c>
      <c r="D845" s="968">
        <v>5.6039999999999996E-4</v>
      </c>
      <c r="E845" s="985">
        <v>226042</v>
      </c>
      <c r="F845" s="969">
        <v>845289</v>
      </c>
      <c r="G845" s="969"/>
      <c r="H845" s="970">
        <v>48696</v>
      </c>
      <c r="I845" s="971">
        <v>205238</v>
      </c>
      <c r="J845" s="970">
        <v>120719</v>
      </c>
      <c r="K845" s="969">
        <v>0</v>
      </c>
      <c r="L845" s="971">
        <f t="shared" si="26"/>
        <v>374653</v>
      </c>
      <c r="M845" s="969"/>
      <c r="N845" s="970">
        <v>23927</v>
      </c>
      <c r="O845" s="970">
        <v>0</v>
      </c>
      <c r="P845" s="969">
        <v>103885</v>
      </c>
      <c r="Q845" s="971">
        <f t="shared" si="27"/>
        <v>127812</v>
      </c>
      <c r="R845" s="969"/>
      <c r="S845" s="970">
        <v>284863</v>
      </c>
      <c r="T845" s="972">
        <v>-52289</v>
      </c>
      <c r="U845" s="972">
        <f>232575-1</f>
        <v>232574</v>
      </c>
    </row>
    <row r="846" spans="1:21" x14ac:dyDescent="0.25">
      <c r="A846" s="966">
        <v>99251</v>
      </c>
      <c r="B846" s="967" t="s">
        <v>3458</v>
      </c>
      <c r="C846" s="968">
        <v>1.6069000000000001E-3</v>
      </c>
      <c r="D846" s="968">
        <v>1.6521000000000001E-3</v>
      </c>
      <c r="E846" s="985">
        <v>745408</v>
      </c>
      <c r="F846" s="969">
        <v>2454898</v>
      </c>
      <c r="G846" s="969"/>
      <c r="H846" s="970">
        <v>141425</v>
      </c>
      <c r="I846" s="971">
        <v>596053</v>
      </c>
      <c r="J846" s="970">
        <v>350593</v>
      </c>
      <c r="K846" s="969">
        <v>2758</v>
      </c>
      <c r="L846" s="971">
        <f t="shared" si="26"/>
        <v>1090829</v>
      </c>
      <c r="M846" s="969"/>
      <c r="N846" s="970">
        <v>69490</v>
      </c>
      <c r="O846" s="970">
        <v>0</v>
      </c>
      <c r="P846" s="969">
        <v>31200</v>
      </c>
      <c r="Q846" s="971">
        <f t="shared" si="27"/>
        <v>100690</v>
      </c>
      <c r="R846" s="969"/>
      <c r="S846" s="970">
        <v>827303</v>
      </c>
      <c r="T846" s="972">
        <v>-11932</v>
      </c>
      <c r="U846" s="972">
        <v>815371</v>
      </c>
    </row>
    <row r="847" spans="1:21" x14ac:dyDescent="0.25">
      <c r="A847" s="966">
        <v>99252</v>
      </c>
      <c r="B847" s="967" t="s">
        <v>3459</v>
      </c>
      <c r="C847" s="968">
        <v>6.1269999999999999E-4</v>
      </c>
      <c r="D847" s="968">
        <v>5.8279999999999996E-4</v>
      </c>
      <c r="E847" s="985">
        <v>212386</v>
      </c>
      <c r="F847" s="969">
        <v>936036</v>
      </c>
      <c r="G847" s="969"/>
      <c r="H847" s="970">
        <v>53924</v>
      </c>
      <c r="I847" s="971">
        <v>227271</v>
      </c>
      <c r="J847" s="970">
        <v>133679</v>
      </c>
      <c r="K847" s="969">
        <v>0</v>
      </c>
      <c r="L847" s="971">
        <f t="shared" si="26"/>
        <v>414874</v>
      </c>
      <c r="M847" s="969"/>
      <c r="N847" s="970">
        <v>26496</v>
      </c>
      <c r="O847" s="970">
        <v>0</v>
      </c>
      <c r="P847" s="969">
        <v>202059</v>
      </c>
      <c r="Q847" s="971">
        <f t="shared" si="27"/>
        <v>228555</v>
      </c>
      <c r="R847" s="969"/>
      <c r="S847" s="970">
        <v>315445</v>
      </c>
      <c r="T847" s="972">
        <v>-85968</v>
      </c>
      <c r="U847" s="972">
        <v>229477</v>
      </c>
    </row>
    <row r="848" spans="1:21" x14ac:dyDescent="0.25">
      <c r="A848" s="966">
        <v>99261</v>
      </c>
      <c r="B848" s="967" t="s">
        <v>3460</v>
      </c>
      <c r="C848" s="968">
        <v>1.9938E-3</v>
      </c>
      <c r="D848" s="968">
        <v>1.9145E-3</v>
      </c>
      <c r="E848" s="985">
        <v>808835</v>
      </c>
      <c r="F848" s="969">
        <v>3045974</v>
      </c>
      <c r="G848" s="969"/>
      <c r="H848" s="970">
        <v>175476</v>
      </c>
      <c r="I848" s="971">
        <v>739566</v>
      </c>
      <c r="J848" s="970">
        <v>435007</v>
      </c>
      <c r="K848" s="969">
        <v>0</v>
      </c>
      <c r="L848" s="971">
        <f t="shared" si="26"/>
        <v>1350049</v>
      </c>
      <c r="M848" s="969"/>
      <c r="N848" s="970">
        <v>86222</v>
      </c>
      <c r="O848" s="970">
        <v>0</v>
      </c>
      <c r="P848" s="969">
        <v>148472</v>
      </c>
      <c r="Q848" s="971">
        <f t="shared" si="27"/>
        <v>234694</v>
      </c>
      <c r="R848" s="969"/>
      <c r="S848" s="970">
        <v>1026496</v>
      </c>
      <c r="T848" s="972">
        <v>-69364</v>
      </c>
      <c r="U848" s="972">
        <v>957132</v>
      </c>
    </row>
    <row r="849" spans="1:21" x14ac:dyDescent="0.25">
      <c r="A849" s="966">
        <v>99271</v>
      </c>
      <c r="B849" s="967" t="s">
        <v>3461</v>
      </c>
      <c r="C849" s="968">
        <v>4.0137000000000003E-3</v>
      </c>
      <c r="D849" s="968">
        <v>3.9248E-3</v>
      </c>
      <c r="E849" s="985">
        <v>1751675</v>
      </c>
      <c r="F849" s="969">
        <v>6131822</v>
      </c>
      <c r="G849" s="969"/>
      <c r="H849" s="970">
        <v>353250</v>
      </c>
      <c r="I849" s="971">
        <v>1488814</v>
      </c>
      <c r="J849" s="970">
        <v>875709</v>
      </c>
      <c r="K849" s="969">
        <v>0</v>
      </c>
      <c r="L849" s="971">
        <f t="shared" si="26"/>
        <v>2717773</v>
      </c>
      <c r="M849" s="969"/>
      <c r="N849" s="970">
        <v>173572</v>
      </c>
      <c r="O849" s="970">
        <v>0</v>
      </c>
      <c r="P849" s="969">
        <v>122792</v>
      </c>
      <c r="Q849" s="971">
        <f t="shared" si="27"/>
        <v>296364</v>
      </c>
      <c r="R849" s="969"/>
      <c r="S849" s="970">
        <v>2066429</v>
      </c>
      <c r="T849" s="972">
        <v>-45302</v>
      </c>
      <c r="U849" s="972">
        <v>2021127</v>
      </c>
    </row>
    <row r="850" spans="1:21" x14ac:dyDescent="0.25">
      <c r="A850" s="966">
        <v>99281</v>
      </c>
      <c r="B850" s="967" t="s">
        <v>3462</v>
      </c>
      <c r="C850" s="968">
        <v>2.2918999999999999E-3</v>
      </c>
      <c r="D850" s="968">
        <v>2.2824E-3</v>
      </c>
      <c r="E850" s="985">
        <v>984780</v>
      </c>
      <c r="F850" s="969">
        <v>3501388</v>
      </c>
      <c r="G850" s="969"/>
      <c r="H850" s="970">
        <v>201712</v>
      </c>
      <c r="I850" s="971">
        <v>850141</v>
      </c>
      <c r="J850" s="970">
        <v>500047</v>
      </c>
      <c r="K850" s="969">
        <v>6743</v>
      </c>
      <c r="L850" s="971">
        <f t="shared" si="26"/>
        <v>1558643</v>
      </c>
      <c r="M850" s="969"/>
      <c r="N850" s="970">
        <v>99113</v>
      </c>
      <c r="O850" s="970">
        <v>0</v>
      </c>
      <c r="P850" s="969">
        <v>128585</v>
      </c>
      <c r="Q850" s="971">
        <f t="shared" si="27"/>
        <v>227698</v>
      </c>
      <c r="R850" s="969"/>
      <c r="S850" s="970">
        <v>1179971</v>
      </c>
      <c r="T850" s="972">
        <v>-37280</v>
      </c>
      <c r="U850" s="972">
        <v>1142691</v>
      </c>
    </row>
    <row r="851" spans="1:21" x14ac:dyDescent="0.25">
      <c r="A851" s="966">
        <v>99291</v>
      </c>
      <c r="B851" s="967" t="s">
        <v>3463</v>
      </c>
      <c r="C851" s="968">
        <v>7.3499999999999998E-4</v>
      </c>
      <c r="D851" s="968">
        <v>7.7260000000000002E-4</v>
      </c>
      <c r="E851" s="985">
        <v>299576</v>
      </c>
      <c r="F851" s="969">
        <v>1122876</v>
      </c>
      <c r="G851" s="969"/>
      <c r="H851" s="970">
        <v>64688</v>
      </c>
      <c r="I851" s="971">
        <v>272636</v>
      </c>
      <c r="J851" s="970">
        <v>160362</v>
      </c>
      <c r="K851" s="969">
        <v>0</v>
      </c>
      <c r="L851" s="971">
        <f t="shared" si="26"/>
        <v>497686</v>
      </c>
      <c r="M851" s="969"/>
      <c r="N851" s="970">
        <v>31785</v>
      </c>
      <c r="O851" s="970">
        <v>0</v>
      </c>
      <c r="P851" s="969">
        <v>137813</v>
      </c>
      <c r="Q851" s="971">
        <f t="shared" si="27"/>
        <v>169598</v>
      </c>
      <c r="R851" s="969"/>
      <c r="S851" s="970">
        <v>378410</v>
      </c>
      <c r="T851" s="972">
        <v>-55575</v>
      </c>
      <c r="U851" s="972">
        <v>322835</v>
      </c>
    </row>
    <row r="852" spans="1:21" x14ac:dyDescent="0.25">
      <c r="A852" s="966">
        <v>99301</v>
      </c>
      <c r="B852" s="967" t="s">
        <v>3464</v>
      </c>
      <c r="C852" s="968">
        <v>1.7879E-3</v>
      </c>
      <c r="D852" s="968">
        <v>1.8458000000000001E-3</v>
      </c>
      <c r="E852" s="985">
        <v>788880</v>
      </c>
      <c r="F852" s="969">
        <v>2731416</v>
      </c>
      <c r="G852" s="969"/>
      <c r="H852" s="970">
        <v>157355</v>
      </c>
      <c r="I852" s="971">
        <v>663191</v>
      </c>
      <c r="J852" s="970">
        <v>390084</v>
      </c>
      <c r="K852" s="969">
        <v>67408</v>
      </c>
      <c r="L852" s="971">
        <f t="shared" si="26"/>
        <v>1278038</v>
      </c>
      <c r="M852" s="969"/>
      <c r="N852" s="970">
        <v>77318</v>
      </c>
      <c r="O852" s="970">
        <v>0</v>
      </c>
      <c r="P852" s="969">
        <v>65062</v>
      </c>
      <c r="Q852" s="971">
        <f t="shared" si="27"/>
        <v>142380</v>
      </c>
      <c r="R852" s="969"/>
      <c r="S852" s="970">
        <v>920490</v>
      </c>
      <c r="T852" s="972">
        <v>38686</v>
      </c>
      <c r="U852" s="972">
        <f>959175+1</f>
        <v>959176</v>
      </c>
    </row>
    <row r="853" spans="1:21" x14ac:dyDescent="0.25">
      <c r="A853" s="966">
        <v>99304</v>
      </c>
      <c r="B853" s="967" t="s">
        <v>3465</v>
      </c>
      <c r="C853" s="968">
        <v>9.2E-6</v>
      </c>
      <c r="D853" s="968">
        <v>9.9000000000000001E-6</v>
      </c>
      <c r="E853" s="985">
        <v>7554</v>
      </c>
      <c r="F853" s="969">
        <v>14055</v>
      </c>
      <c r="G853" s="969"/>
      <c r="H853" s="970">
        <v>810</v>
      </c>
      <c r="I853" s="971">
        <v>3412</v>
      </c>
      <c r="J853" s="970">
        <v>2007</v>
      </c>
      <c r="K853" s="969">
        <v>4659</v>
      </c>
      <c r="L853" s="971">
        <f t="shared" si="26"/>
        <v>10888</v>
      </c>
      <c r="M853" s="969"/>
      <c r="N853" s="970">
        <v>398</v>
      </c>
      <c r="O853" s="970">
        <v>0</v>
      </c>
      <c r="P853" s="969">
        <v>248</v>
      </c>
      <c r="Q853" s="971">
        <f t="shared" si="27"/>
        <v>646</v>
      </c>
      <c r="R853" s="969"/>
      <c r="S853" s="970">
        <v>4737</v>
      </c>
      <c r="T853" s="972">
        <v>1371</v>
      </c>
      <c r="U853" s="972">
        <f>6107+1</f>
        <v>6108</v>
      </c>
    </row>
    <row r="854" spans="1:21" x14ac:dyDescent="0.25">
      <c r="A854" s="966">
        <v>99311</v>
      </c>
      <c r="B854" s="967" t="s">
        <v>3466</v>
      </c>
      <c r="C854" s="968">
        <v>5.4299999999999998E-5</v>
      </c>
      <c r="D854" s="968">
        <v>5.7599999999999997E-5</v>
      </c>
      <c r="E854" s="985">
        <v>25361</v>
      </c>
      <c r="F854" s="969">
        <v>82955</v>
      </c>
      <c r="G854" s="969"/>
      <c r="H854" s="970">
        <v>4779</v>
      </c>
      <c r="I854" s="971">
        <v>20142</v>
      </c>
      <c r="J854" s="970">
        <v>11847</v>
      </c>
      <c r="K854" s="969">
        <v>0</v>
      </c>
      <c r="L854" s="971">
        <f t="shared" si="26"/>
        <v>36768</v>
      </c>
      <c r="M854" s="969"/>
      <c r="N854" s="970">
        <v>2348</v>
      </c>
      <c r="O854" s="970">
        <v>0</v>
      </c>
      <c r="P854" s="969">
        <v>6758</v>
      </c>
      <c r="Q854" s="971">
        <f t="shared" si="27"/>
        <v>9106</v>
      </c>
      <c r="R854" s="969"/>
      <c r="S854" s="970">
        <v>27956</v>
      </c>
      <c r="T854" s="972">
        <v>-3216</v>
      </c>
      <c r="U854" s="972">
        <v>24740</v>
      </c>
    </row>
    <row r="855" spans="1:21" x14ac:dyDescent="0.25">
      <c r="A855" s="966">
        <v>99321</v>
      </c>
      <c r="B855" s="967" t="s">
        <v>3467</v>
      </c>
      <c r="C855" s="968">
        <v>1.1E-4</v>
      </c>
      <c r="D855" s="968">
        <v>1.1909999999999999E-4</v>
      </c>
      <c r="E855" s="985">
        <v>98498</v>
      </c>
      <c r="F855" s="969">
        <v>168050</v>
      </c>
      <c r="G855" s="969"/>
      <c r="H855" s="970">
        <v>9681</v>
      </c>
      <c r="I855" s="971">
        <v>40803</v>
      </c>
      <c r="J855" s="970">
        <v>24000</v>
      </c>
      <c r="K855" s="969">
        <v>96146</v>
      </c>
      <c r="L855" s="971">
        <f t="shared" si="26"/>
        <v>170630</v>
      </c>
      <c r="M855" s="969"/>
      <c r="N855" s="970">
        <v>4757</v>
      </c>
      <c r="O855" s="970">
        <v>0</v>
      </c>
      <c r="P855" s="969">
        <v>0</v>
      </c>
      <c r="Q855" s="971">
        <f t="shared" si="27"/>
        <v>4757</v>
      </c>
      <c r="R855" s="969"/>
      <c r="S855" s="970">
        <v>56633</v>
      </c>
      <c r="T855" s="972">
        <v>41980</v>
      </c>
      <c r="U855" s="972">
        <v>98613</v>
      </c>
    </row>
    <row r="856" spans="1:21" x14ac:dyDescent="0.25">
      <c r="A856" s="966">
        <v>99401</v>
      </c>
      <c r="B856" s="967" t="s">
        <v>3468</v>
      </c>
      <c r="C856" s="968">
        <v>9.2389999999999996E-4</v>
      </c>
      <c r="D856" s="968">
        <v>9.3869999999999999E-4</v>
      </c>
      <c r="E856" s="985">
        <v>414565</v>
      </c>
      <c r="F856" s="969">
        <v>1411463</v>
      </c>
      <c r="G856" s="969"/>
      <c r="H856" s="970">
        <v>81313</v>
      </c>
      <c r="I856" s="971">
        <v>342705</v>
      </c>
      <c r="J856" s="970">
        <v>201577</v>
      </c>
      <c r="K856" s="969">
        <v>34240</v>
      </c>
      <c r="L856" s="971">
        <f t="shared" si="26"/>
        <v>659835</v>
      </c>
      <c r="M856" s="969"/>
      <c r="N856" s="970">
        <v>39954</v>
      </c>
      <c r="O856" s="970">
        <v>0</v>
      </c>
      <c r="P856" s="969">
        <v>17589</v>
      </c>
      <c r="Q856" s="971">
        <f t="shared" si="27"/>
        <v>57543</v>
      </c>
      <c r="R856" s="969"/>
      <c r="S856" s="970">
        <v>475664</v>
      </c>
      <c r="T856" s="972">
        <v>22297</v>
      </c>
      <c r="U856" s="972">
        <v>497961</v>
      </c>
    </row>
    <row r="857" spans="1:21" x14ac:dyDescent="0.25">
      <c r="A857" s="966">
        <v>99404</v>
      </c>
      <c r="B857" s="967" t="s">
        <v>3469</v>
      </c>
      <c r="C857" s="968">
        <v>9.3999999999999998E-6</v>
      </c>
      <c r="D857" s="968">
        <v>9.5999999999999996E-6</v>
      </c>
      <c r="E857" s="985">
        <v>5393</v>
      </c>
      <c r="F857" s="969">
        <v>14361</v>
      </c>
      <c r="G857" s="969"/>
      <c r="H857" s="970">
        <v>827</v>
      </c>
      <c r="I857" s="971">
        <v>3487</v>
      </c>
      <c r="J857" s="970">
        <v>2051</v>
      </c>
      <c r="K857" s="969">
        <v>1334</v>
      </c>
      <c r="L857" s="971">
        <f t="shared" si="26"/>
        <v>7699</v>
      </c>
      <c r="M857" s="969"/>
      <c r="N857" s="970">
        <v>407</v>
      </c>
      <c r="O857" s="970">
        <v>0</v>
      </c>
      <c r="P857" s="969">
        <v>0</v>
      </c>
      <c r="Q857" s="971">
        <f t="shared" si="27"/>
        <v>407</v>
      </c>
      <c r="R857" s="969"/>
      <c r="S857" s="970">
        <v>4840</v>
      </c>
      <c r="T857" s="972">
        <v>466</v>
      </c>
      <c r="U857" s="972">
        <v>5306</v>
      </c>
    </row>
    <row r="858" spans="1:21" x14ac:dyDescent="0.25">
      <c r="A858" s="966">
        <v>99405</v>
      </c>
      <c r="B858" s="967" t="s">
        <v>3470</v>
      </c>
      <c r="C858" s="968">
        <v>6.2700000000000006E-5</v>
      </c>
      <c r="D858" s="968">
        <v>5.8100000000000003E-5</v>
      </c>
      <c r="E858" s="985">
        <v>37798</v>
      </c>
      <c r="F858" s="969">
        <v>95788</v>
      </c>
      <c r="G858" s="969"/>
      <c r="H858" s="970">
        <v>5518</v>
      </c>
      <c r="I858" s="971">
        <v>23258</v>
      </c>
      <c r="J858" s="970">
        <v>13680</v>
      </c>
      <c r="K858" s="969">
        <v>18380</v>
      </c>
      <c r="L858" s="971">
        <f t="shared" si="26"/>
        <v>60836</v>
      </c>
      <c r="M858" s="969"/>
      <c r="N858" s="970">
        <v>2711</v>
      </c>
      <c r="O858" s="970">
        <v>0</v>
      </c>
      <c r="P858" s="969">
        <v>336</v>
      </c>
      <c r="Q858" s="971">
        <f t="shared" si="27"/>
        <v>3047</v>
      </c>
      <c r="R858" s="969"/>
      <c r="S858" s="970">
        <v>32281</v>
      </c>
      <c r="T858" s="972">
        <v>6084</v>
      </c>
      <c r="U858" s="972">
        <f>38364+1</f>
        <v>38365</v>
      </c>
    </row>
    <row r="859" spans="1:21" x14ac:dyDescent="0.25">
      <c r="A859" s="966">
        <v>99411</v>
      </c>
      <c r="B859" s="967" t="s">
        <v>3471</v>
      </c>
      <c r="C859" s="968">
        <v>1.583E-4</v>
      </c>
      <c r="D859" s="968">
        <v>1.2510000000000001E-4</v>
      </c>
      <c r="E859" s="985">
        <v>75833</v>
      </c>
      <c r="F859" s="969">
        <v>241839</v>
      </c>
      <c r="G859" s="969"/>
      <c r="H859" s="970">
        <v>13932</v>
      </c>
      <c r="I859" s="971">
        <v>58719</v>
      </c>
      <c r="J859" s="970">
        <v>34538</v>
      </c>
      <c r="K859" s="969">
        <v>41924</v>
      </c>
      <c r="L859" s="971">
        <f t="shared" si="26"/>
        <v>149113</v>
      </c>
      <c r="M859" s="969"/>
      <c r="N859" s="970">
        <v>6846</v>
      </c>
      <c r="O859" s="970">
        <v>0</v>
      </c>
      <c r="P859" s="969">
        <v>4400</v>
      </c>
      <c r="Q859" s="971">
        <f t="shared" si="27"/>
        <v>11246</v>
      </c>
      <c r="R859" s="969"/>
      <c r="S859" s="970">
        <v>81500</v>
      </c>
      <c r="T859" s="972">
        <v>8626</v>
      </c>
      <c r="U859" s="972">
        <v>90126</v>
      </c>
    </row>
    <row r="860" spans="1:21" x14ac:dyDescent="0.25">
      <c r="A860" s="966">
        <v>99413</v>
      </c>
      <c r="B860" s="967" t="s">
        <v>3472</v>
      </c>
      <c r="C860" s="968">
        <v>3.1099999999999997E-5</v>
      </c>
      <c r="D860" s="968">
        <v>2.76E-5</v>
      </c>
      <c r="E860" s="985">
        <v>18530</v>
      </c>
      <c r="F860" s="969">
        <v>47512</v>
      </c>
      <c r="G860" s="969"/>
      <c r="H860" s="970">
        <v>2737</v>
      </c>
      <c r="I860" s="971">
        <v>11536</v>
      </c>
      <c r="J860" s="970">
        <v>6785</v>
      </c>
      <c r="K860" s="969">
        <v>5754</v>
      </c>
      <c r="L860" s="971">
        <f t="shared" si="26"/>
        <v>26812</v>
      </c>
      <c r="M860" s="969"/>
      <c r="N860" s="970">
        <v>1345</v>
      </c>
      <c r="O860" s="970">
        <v>0</v>
      </c>
      <c r="P860" s="969">
        <v>3024</v>
      </c>
      <c r="Q860" s="971">
        <f t="shared" si="27"/>
        <v>4369</v>
      </c>
      <c r="R860" s="969"/>
      <c r="S860" s="970">
        <v>16012</v>
      </c>
      <c r="T860" s="972">
        <v>202</v>
      </c>
      <c r="U860" s="972">
        <v>16214</v>
      </c>
    </row>
    <row r="861" spans="1:21" x14ac:dyDescent="0.25">
      <c r="A861" s="966">
        <v>99421</v>
      </c>
      <c r="B861" s="967" t="s">
        <v>3473</v>
      </c>
      <c r="C861" s="968">
        <v>1.04E-5</v>
      </c>
      <c r="D861" s="968">
        <v>1.5E-5</v>
      </c>
      <c r="E861" s="985">
        <v>6211</v>
      </c>
      <c r="F861" s="969">
        <v>15888</v>
      </c>
      <c r="G861" s="969"/>
      <c r="H861" s="970">
        <v>915</v>
      </c>
      <c r="I861" s="971">
        <v>3858</v>
      </c>
      <c r="J861" s="970">
        <v>2269</v>
      </c>
      <c r="K861" s="969">
        <v>764</v>
      </c>
      <c r="L861" s="971">
        <f t="shared" si="26"/>
        <v>7806</v>
      </c>
      <c r="M861" s="969"/>
      <c r="N861" s="970">
        <v>450</v>
      </c>
      <c r="O861" s="970">
        <v>0</v>
      </c>
      <c r="P861" s="969">
        <v>5440</v>
      </c>
      <c r="Q861" s="971">
        <f t="shared" si="27"/>
        <v>5890</v>
      </c>
      <c r="R861" s="969"/>
      <c r="S861" s="970">
        <v>5354</v>
      </c>
      <c r="T861" s="972">
        <v>-1116</v>
      </c>
      <c r="U861" s="972">
        <v>4238</v>
      </c>
    </row>
    <row r="862" spans="1:21" x14ac:dyDescent="0.25">
      <c r="A862" s="966">
        <v>99431</v>
      </c>
      <c r="B862" s="967" t="s">
        <v>3474</v>
      </c>
      <c r="C862" s="968">
        <v>2.2200000000000001E-5</v>
      </c>
      <c r="D862" s="968">
        <v>2.16E-5</v>
      </c>
      <c r="E862" s="985">
        <v>7581</v>
      </c>
      <c r="F862" s="969">
        <v>33915</v>
      </c>
      <c r="G862" s="969"/>
      <c r="H862" s="970">
        <v>1954</v>
      </c>
      <c r="I862" s="971">
        <v>8235</v>
      </c>
      <c r="J862" s="970">
        <v>4844</v>
      </c>
      <c r="K862" s="969">
        <v>1071</v>
      </c>
      <c r="L862" s="971">
        <f t="shared" si="26"/>
        <v>16104</v>
      </c>
      <c r="M862" s="969"/>
      <c r="N862" s="970">
        <v>960</v>
      </c>
      <c r="O862" s="970">
        <v>0</v>
      </c>
      <c r="P862" s="969">
        <v>3001</v>
      </c>
      <c r="Q862" s="971">
        <f t="shared" si="27"/>
        <v>3961</v>
      </c>
      <c r="R862" s="969"/>
      <c r="S862" s="970">
        <v>11430</v>
      </c>
      <c r="T862" s="972">
        <v>119</v>
      </c>
      <c r="U862" s="972">
        <v>11549</v>
      </c>
    </row>
    <row r="863" spans="1:21" x14ac:dyDescent="0.25">
      <c r="A863" s="966">
        <v>99501</v>
      </c>
      <c r="B863" s="967" t="s">
        <v>3475</v>
      </c>
      <c r="C863" s="968">
        <v>1.6785000000000001E-3</v>
      </c>
      <c r="D863" s="968">
        <v>1.7390000000000001E-3</v>
      </c>
      <c r="E863" s="985">
        <v>794395</v>
      </c>
      <c r="F863" s="969">
        <v>2564283</v>
      </c>
      <c r="G863" s="969"/>
      <c r="H863" s="970">
        <v>147726</v>
      </c>
      <c r="I863" s="971">
        <v>622611</v>
      </c>
      <c r="J863" s="970">
        <v>366215</v>
      </c>
      <c r="K863" s="969">
        <v>3764</v>
      </c>
      <c r="L863" s="971">
        <f t="shared" si="26"/>
        <v>1140316</v>
      </c>
      <c r="M863" s="969"/>
      <c r="N863" s="970">
        <v>72587</v>
      </c>
      <c r="O863" s="970">
        <v>0</v>
      </c>
      <c r="P863" s="969">
        <v>21505</v>
      </c>
      <c r="Q863" s="971">
        <f t="shared" si="27"/>
        <v>94092</v>
      </c>
      <c r="R863" s="969"/>
      <c r="S863" s="970">
        <v>864166</v>
      </c>
      <c r="T863" s="972">
        <v>-3415</v>
      </c>
      <c r="U863" s="972">
        <f>860750+1</f>
        <v>860751</v>
      </c>
    </row>
    <row r="864" spans="1:21" x14ac:dyDescent="0.25">
      <c r="A864" s="966">
        <v>99502</v>
      </c>
      <c r="B864" s="967" t="s">
        <v>3476</v>
      </c>
      <c r="C864" s="968">
        <v>1.373E-4</v>
      </c>
      <c r="D864" s="968">
        <v>1.3779999999999999E-4</v>
      </c>
      <c r="E864" s="985">
        <v>65831</v>
      </c>
      <c r="F864" s="969">
        <v>209756</v>
      </c>
      <c r="G864" s="969"/>
      <c r="H864" s="970">
        <v>12084</v>
      </c>
      <c r="I864" s="971">
        <v>50929</v>
      </c>
      <c r="J864" s="970">
        <v>29956</v>
      </c>
      <c r="K864" s="969">
        <v>21393</v>
      </c>
      <c r="L864" s="971">
        <f t="shared" si="26"/>
        <v>114362</v>
      </c>
      <c r="M864" s="969"/>
      <c r="N864" s="970">
        <v>5938</v>
      </c>
      <c r="O864" s="970">
        <v>0</v>
      </c>
      <c r="P864" s="969">
        <v>71</v>
      </c>
      <c r="Q864" s="971">
        <f t="shared" si="27"/>
        <v>6009</v>
      </c>
      <c r="R864" s="969"/>
      <c r="S864" s="970">
        <v>70688</v>
      </c>
      <c r="T864" s="972">
        <v>9456</v>
      </c>
      <c r="U864" s="972">
        <v>80144</v>
      </c>
    </row>
    <row r="865" spans="1:21" x14ac:dyDescent="0.25">
      <c r="A865" s="966">
        <v>99508</v>
      </c>
      <c r="B865" s="967" t="s">
        <v>3477</v>
      </c>
      <c r="C865" s="968">
        <v>2.2099999999999998E-5</v>
      </c>
      <c r="D865" s="968">
        <v>2.1699999999999999E-5</v>
      </c>
      <c r="E865" s="985">
        <v>9857</v>
      </c>
      <c r="F865" s="969">
        <v>33763</v>
      </c>
      <c r="G865" s="969"/>
      <c r="H865" s="970">
        <v>1945</v>
      </c>
      <c r="I865" s="971">
        <v>8198</v>
      </c>
      <c r="J865" s="970">
        <v>4822</v>
      </c>
      <c r="K865" s="969">
        <v>37</v>
      </c>
      <c r="L865" s="971">
        <f t="shared" si="26"/>
        <v>15002</v>
      </c>
      <c r="M865" s="969"/>
      <c r="N865" s="970">
        <v>956</v>
      </c>
      <c r="O865" s="970">
        <v>0</v>
      </c>
      <c r="P865" s="969">
        <v>1571</v>
      </c>
      <c r="Q865" s="971">
        <f t="shared" si="27"/>
        <v>2527</v>
      </c>
      <c r="R865" s="969"/>
      <c r="S865" s="970">
        <v>11378</v>
      </c>
      <c r="T865" s="972">
        <v>-984</v>
      </c>
      <c r="U865" s="972">
        <v>10394</v>
      </c>
    </row>
    <row r="866" spans="1:21" x14ac:dyDescent="0.25">
      <c r="A866" s="966">
        <v>99509</v>
      </c>
      <c r="B866" s="967" t="s">
        <v>3478</v>
      </c>
      <c r="C866" s="968">
        <v>2.76E-5</v>
      </c>
      <c r="D866" s="968">
        <v>2.8900000000000001E-5</v>
      </c>
      <c r="E866" s="985">
        <v>11410</v>
      </c>
      <c r="F866" s="969">
        <v>42165</v>
      </c>
      <c r="G866" s="969"/>
      <c r="H866" s="970">
        <v>2429</v>
      </c>
      <c r="I866" s="971">
        <v>10238</v>
      </c>
      <c r="J866" s="970">
        <v>6022</v>
      </c>
      <c r="K866" s="969">
        <v>0</v>
      </c>
      <c r="L866" s="971">
        <f t="shared" si="26"/>
        <v>18689</v>
      </c>
      <c r="M866" s="969"/>
      <c r="N866" s="970">
        <v>1194</v>
      </c>
      <c r="O866" s="970">
        <v>0</v>
      </c>
      <c r="P866" s="969">
        <v>6512</v>
      </c>
      <c r="Q866" s="971">
        <f t="shared" si="27"/>
        <v>7706</v>
      </c>
      <c r="R866" s="969"/>
      <c r="S866" s="970">
        <v>14210</v>
      </c>
      <c r="T866" s="972">
        <v>-4301</v>
      </c>
      <c r="U866" s="972">
        <v>9909</v>
      </c>
    </row>
    <row r="867" spans="1:21" x14ac:dyDescent="0.25">
      <c r="A867" s="966">
        <v>99511</v>
      </c>
      <c r="B867" s="967" t="s">
        <v>3479</v>
      </c>
      <c r="C867" s="968">
        <v>1.4048999999999999E-3</v>
      </c>
      <c r="D867" s="968">
        <v>1.3638000000000001E-3</v>
      </c>
      <c r="E867" s="985">
        <v>579707</v>
      </c>
      <c r="F867" s="969">
        <v>2146298</v>
      </c>
      <c r="G867" s="969"/>
      <c r="H867" s="970">
        <v>123647</v>
      </c>
      <c r="I867" s="971">
        <v>521124</v>
      </c>
      <c r="J867" s="970">
        <v>306521</v>
      </c>
      <c r="K867" s="969">
        <v>4500</v>
      </c>
      <c r="L867" s="971">
        <f t="shared" si="26"/>
        <v>955792</v>
      </c>
      <c r="M867" s="969"/>
      <c r="N867" s="970">
        <v>60755</v>
      </c>
      <c r="O867" s="970">
        <v>0</v>
      </c>
      <c r="P867" s="969">
        <v>85381</v>
      </c>
      <c r="Q867" s="971">
        <f t="shared" si="27"/>
        <v>146136</v>
      </c>
      <c r="R867" s="969"/>
      <c r="S867" s="970">
        <v>723304</v>
      </c>
      <c r="T867" s="972">
        <v>-30654</v>
      </c>
      <c r="U867" s="972">
        <v>692650</v>
      </c>
    </row>
    <row r="868" spans="1:21" x14ac:dyDescent="0.25">
      <c r="A868" s="966">
        <v>99521</v>
      </c>
      <c r="B868" s="967" t="s">
        <v>3480</v>
      </c>
      <c r="C868" s="968">
        <v>4.2700000000000002E-4</v>
      </c>
      <c r="D868" s="968">
        <v>4.0180000000000001E-4</v>
      </c>
      <c r="E868" s="985">
        <v>176536</v>
      </c>
      <c r="F868" s="969">
        <v>652338</v>
      </c>
      <c r="G868" s="969"/>
      <c r="H868" s="970">
        <v>37581</v>
      </c>
      <c r="I868" s="971">
        <v>158389</v>
      </c>
      <c r="J868" s="970">
        <v>93163</v>
      </c>
      <c r="K868" s="969">
        <v>2015</v>
      </c>
      <c r="L868" s="971">
        <f t="shared" si="26"/>
        <v>291148</v>
      </c>
      <c r="M868" s="969"/>
      <c r="N868" s="970">
        <v>18466</v>
      </c>
      <c r="O868" s="970">
        <v>0</v>
      </c>
      <c r="P868" s="969">
        <v>15563</v>
      </c>
      <c r="Q868" s="971">
        <f t="shared" si="27"/>
        <v>34029</v>
      </c>
      <c r="R868" s="969"/>
      <c r="S868" s="970">
        <v>219838</v>
      </c>
      <c r="T868" s="972">
        <v>-5081</v>
      </c>
      <c r="U868" s="972">
        <v>214757</v>
      </c>
    </row>
    <row r="869" spans="1:21" x14ac:dyDescent="0.25">
      <c r="A869" s="966">
        <v>99527</v>
      </c>
      <c r="B869" s="967" t="s">
        <v>3481</v>
      </c>
      <c r="C869" s="968">
        <v>1.19E-5</v>
      </c>
      <c r="D869" s="968">
        <v>1.2099999999999999E-5</v>
      </c>
      <c r="E869" s="985">
        <v>5941</v>
      </c>
      <c r="F869" s="969">
        <v>18180</v>
      </c>
      <c r="G869" s="969"/>
      <c r="H869" s="970">
        <v>1047</v>
      </c>
      <c r="I869" s="971">
        <v>4414</v>
      </c>
      <c r="J869" s="970">
        <v>2596</v>
      </c>
      <c r="K869" s="969">
        <v>1124</v>
      </c>
      <c r="L869" s="971">
        <f t="shared" si="26"/>
        <v>9181</v>
      </c>
      <c r="M869" s="969"/>
      <c r="N869" s="970">
        <v>515</v>
      </c>
      <c r="O869" s="970">
        <v>0</v>
      </c>
      <c r="P869" s="969">
        <v>0</v>
      </c>
      <c r="Q869" s="971">
        <f t="shared" si="27"/>
        <v>515</v>
      </c>
      <c r="R869" s="969"/>
      <c r="S869" s="970">
        <v>6127</v>
      </c>
      <c r="T869" s="972">
        <v>591</v>
      </c>
      <c r="U869" s="972">
        <v>6718</v>
      </c>
    </row>
    <row r="870" spans="1:21" x14ac:dyDescent="0.25">
      <c r="A870" s="966">
        <v>99531</v>
      </c>
      <c r="B870" s="967" t="s">
        <v>3482</v>
      </c>
      <c r="C870" s="968">
        <v>9.3499999999999996E-5</v>
      </c>
      <c r="D870" s="968">
        <v>8.7600000000000002E-5</v>
      </c>
      <c r="E870" s="985">
        <v>72390</v>
      </c>
      <c r="F870" s="969">
        <v>142842</v>
      </c>
      <c r="G870" s="969"/>
      <c r="H870" s="970">
        <v>8229</v>
      </c>
      <c r="I870" s="971">
        <v>34683</v>
      </c>
      <c r="J870" s="970">
        <v>20400</v>
      </c>
      <c r="K870" s="969">
        <v>55453</v>
      </c>
      <c r="L870" s="971">
        <f t="shared" si="26"/>
        <v>118765</v>
      </c>
      <c r="M870" s="969"/>
      <c r="N870" s="970">
        <v>4043</v>
      </c>
      <c r="O870" s="970">
        <v>0</v>
      </c>
      <c r="P870" s="969">
        <v>0</v>
      </c>
      <c r="Q870" s="971">
        <f t="shared" si="27"/>
        <v>4043</v>
      </c>
      <c r="R870" s="969"/>
      <c r="S870" s="970">
        <v>48138</v>
      </c>
      <c r="T870" s="972">
        <v>18721</v>
      </c>
      <c r="U870" s="972">
        <v>66859</v>
      </c>
    </row>
    <row r="871" spans="1:21" x14ac:dyDescent="0.25">
      <c r="A871" s="966">
        <v>99601</v>
      </c>
      <c r="B871" s="967" t="s">
        <v>3483</v>
      </c>
      <c r="C871" s="968">
        <v>5.7812000000000002E-3</v>
      </c>
      <c r="D871" s="968">
        <v>5.2824999999999999E-3</v>
      </c>
      <c r="E871" s="985">
        <v>2548954</v>
      </c>
      <c r="F871" s="969">
        <v>8832072</v>
      </c>
      <c r="G871" s="969"/>
      <c r="H871" s="970">
        <v>508809</v>
      </c>
      <c r="I871" s="971">
        <v>2144438</v>
      </c>
      <c r="J871" s="970">
        <v>1261342</v>
      </c>
      <c r="K871" s="969">
        <v>289372</v>
      </c>
      <c r="L871" s="971">
        <f t="shared" si="26"/>
        <v>4203961</v>
      </c>
      <c r="M871" s="969"/>
      <c r="N871" s="970">
        <v>250008</v>
      </c>
      <c r="O871" s="970">
        <v>0</v>
      </c>
      <c r="P871" s="969">
        <v>73071</v>
      </c>
      <c r="Q871" s="971">
        <f t="shared" si="27"/>
        <v>323079</v>
      </c>
      <c r="R871" s="969"/>
      <c r="S871" s="970">
        <v>2976416</v>
      </c>
      <c r="T871" s="972">
        <v>55175</v>
      </c>
      <c r="U871" s="972">
        <f>3031592-1</f>
        <v>3031591</v>
      </c>
    </row>
    <row r="872" spans="1:21" x14ac:dyDescent="0.25">
      <c r="A872" s="966">
        <v>99602</v>
      </c>
      <c r="B872" s="967" t="s">
        <v>3484</v>
      </c>
      <c r="C872" s="968">
        <v>6.19E-5</v>
      </c>
      <c r="D872" s="968">
        <v>5.1700000000000003E-5</v>
      </c>
      <c r="E872" s="985">
        <v>28151</v>
      </c>
      <c r="F872" s="969">
        <v>94566</v>
      </c>
      <c r="G872" s="969"/>
      <c r="H872" s="970">
        <v>5448</v>
      </c>
      <c r="I872" s="971">
        <v>22961</v>
      </c>
      <c r="J872" s="970">
        <v>13505</v>
      </c>
      <c r="K872" s="969">
        <v>10306</v>
      </c>
      <c r="L872" s="971">
        <f t="shared" si="26"/>
        <v>52220</v>
      </c>
      <c r="M872" s="969"/>
      <c r="N872" s="970">
        <v>2677</v>
      </c>
      <c r="O872" s="970">
        <v>0</v>
      </c>
      <c r="P872" s="969">
        <v>2067</v>
      </c>
      <c r="Q872" s="971">
        <f t="shared" si="27"/>
        <v>4744</v>
      </c>
      <c r="R872" s="969"/>
      <c r="S872" s="970">
        <v>31869</v>
      </c>
      <c r="T872" s="972">
        <v>1298</v>
      </c>
      <c r="U872" s="972">
        <v>33167</v>
      </c>
    </row>
    <row r="873" spans="1:21" x14ac:dyDescent="0.25">
      <c r="A873" s="966">
        <v>99603</v>
      </c>
      <c r="B873" s="967" t="s">
        <v>3485</v>
      </c>
      <c r="C873" s="968">
        <v>1.615E-4</v>
      </c>
      <c r="D873" s="968">
        <v>1.4219999999999999E-4</v>
      </c>
      <c r="E873" s="985">
        <v>87237</v>
      </c>
      <c r="F873" s="969">
        <v>246727</v>
      </c>
      <c r="G873" s="969"/>
      <c r="H873" s="970">
        <v>14214</v>
      </c>
      <c r="I873" s="971">
        <v>59905</v>
      </c>
      <c r="J873" s="970">
        <v>35236</v>
      </c>
      <c r="K873" s="969">
        <v>95435</v>
      </c>
      <c r="L873" s="971">
        <f t="shared" si="26"/>
        <v>204790</v>
      </c>
      <c r="M873" s="969"/>
      <c r="N873" s="970">
        <v>6984</v>
      </c>
      <c r="O873" s="970">
        <v>0</v>
      </c>
      <c r="P873" s="969">
        <v>0</v>
      </c>
      <c r="Q873" s="971">
        <f t="shared" si="27"/>
        <v>6984</v>
      </c>
      <c r="R873" s="969"/>
      <c r="S873" s="970">
        <v>83147</v>
      </c>
      <c r="T873" s="972">
        <v>37380</v>
      </c>
      <c r="U873" s="972">
        <v>120527</v>
      </c>
    </row>
    <row r="874" spans="1:21" x14ac:dyDescent="0.25">
      <c r="A874" s="966">
        <v>99604</v>
      </c>
      <c r="B874" s="967" t="s">
        <v>3486</v>
      </c>
      <c r="C874" s="968">
        <v>1.009E-4</v>
      </c>
      <c r="D874" s="968">
        <v>9.6899999999999997E-5</v>
      </c>
      <c r="E874" s="985">
        <v>52378</v>
      </c>
      <c r="F874" s="969">
        <v>154147</v>
      </c>
      <c r="G874" s="969"/>
      <c r="H874" s="970">
        <v>8880</v>
      </c>
      <c r="I874" s="971">
        <v>37427</v>
      </c>
      <c r="J874" s="970">
        <v>22014</v>
      </c>
      <c r="K874" s="969">
        <v>20530</v>
      </c>
      <c r="L874" s="971">
        <f t="shared" si="26"/>
        <v>88851</v>
      </c>
      <c r="M874" s="969"/>
      <c r="N874" s="970">
        <v>4363</v>
      </c>
      <c r="O874" s="970">
        <v>0</v>
      </c>
      <c r="P874" s="969">
        <v>0</v>
      </c>
      <c r="Q874" s="971">
        <f t="shared" si="27"/>
        <v>4363</v>
      </c>
      <c r="R874" s="969"/>
      <c r="S874" s="970">
        <v>51948</v>
      </c>
      <c r="T874" s="972">
        <v>9479</v>
      </c>
      <c r="U874" s="972">
        <v>61427</v>
      </c>
    </row>
    <row r="875" spans="1:21" x14ac:dyDescent="0.25">
      <c r="A875" s="966">
        <v>99609</v>
      </c>
      <c r="B875" s="967" t="s">
        <v>3487</v>
      </c>
      <c r="C875" s="968">
        <v>1.52E-5</v>
      </c>
      <c r="D875" s="968">
        <v>2.0999999999999999E-5</v>
      </c>
      <c r="E875" s="985">
        <v>9935</v>
      </c>
      <c r="F875" s="969">
        <v>23221</v>
      </c>
      <c r="G875" s="969"/>
      <c r="H875" s="970">
        <v>1338</v>
      </c>
      <c r="I875" s="971">
        <v>5638</v>
      </c>
      <c r="J875" s="970">
        <v>3316</v>
      </c>
      <c r="K875" s="969">
        <v>3555</v>
      </c>
      <c r="L875" s="971">
        <f t="shared" si="26"/>
        <v>13847</v>
      </c>
      <c r="M875" s="969"/>
      <c r="N875" s="970">
        <v>657</v>
      </c>
      <c r="O875" s="970">
        <v>0</v>
      </c>
      <c r="P875" s="969">
        <v>1523</v>
      </c>
      <c r="Q875" s="971">
        <f t="shared" si="27"/>
        <v>2180</v>
      </c>
      <c r="R875" s="969"/>
      <c r="S875" s="970">
        <v>7826</v>
      </c>
      <c r="T875" s="972">
        <v>1693</v>
      </c>
      <c r="U875" s="972">
        <v>9519</v>
      </c>
    </row>
    <row r="876" spans="1:21" x14ac:dyDescent="0.25">
      <c r="A876" s="966">
        <v>99610</v>
      </c>
      <c r="B876" s="967" t="s">
        <v>3488</v>
      </c>
      <c r="C876" s="968">
        <v>1.9440000000000001E-4</v>
      </c>
      <c r="D876" s="968">
        <v>1.9440000000000001E-4</v>
      </c>
      <c r="E876" s="985">
        <v>85100</v>
      </c>
      <c r="F876" s="969">
        <v>296989</v>
      </c>
      <c r="G876" s="969"/>
      <c r="H876" s="970">
        <v>17109</v>
      </c>
      <c r="I876" s="971">
        <v>72109</v>
      </c>
      <c r="J876" s="970">
        <v>42414</v>
      </c>
      <c r="K876" s="969">
        <v>2712</v>
      </c>
      <c r="L876" s="971">
        <f t="shared" si="26"/>
        <v>134344</v>
      </c>
      <c r="M876" s="969"/>
      <c r="N876" s="970">
        <v>8407</v>
      </c>
      <c r="O876" s="970">
        <v>0</v>
      </c>
      <c r="P876" s="969">
        <v>4164</v>
      </c>
      <c r="Q876" s="971">
        <f t="shared" si="27"/>
        <v>12571</v>
      </c>
      <c r="R876" s="969"/>
      <c r="S876" s="970">
        <v>100086</v>
      </c>
      <c r="T876" s="972">
        <v>576</v>
      </c>
      <c r="U876" s="972">
        <v>100662</v>
      </c>
    </row>
    <row r="877" spans="1:21" x14ac:dyDescent="0.25">
      <c r="A877" s="966">
        <v>99611</v>
      </c>
      <c r="B877" s="967" t="s">
        <v>3489</v>
      </c>
      <c r="C877" s="968">
        <v>3.1959000000000002E-3</v>
      </c>
      <c r="D877" s="968">
        <v>3.1495999999999998E-3</v>
      </c>
      <c r="E877" s="985">
        <v>1474037</v>
      </c>
      <c r="F877" s="969">
        <v>4882450</v>
      </c>
      <c r="G877" s="969"/>
      <c r="H877" s="970">
        <v>281274</v>
      </c>
      <c r="I877" s="971">
        <v>1185465</v>
      </c>
      <c r="J877" s="970">
        <v>697281</v>
      </c>
      <c r="K877" s="969">
        <v>36523</v>
      </c>
      <c r="L877" s="971">
        <f t="shared" si="26"/>
        <v>2200543</v>
      </c>
      <c r="M877" s="969"/>
      <c r="N877" s="970">
        <v>138207</v>
      </c>
      <c r="O877" s="970">
        <v>0</v>
      </c>
      <c r="P877" s="969">
        <v>197702</v>
      </c>
      <c r="Q877" s="971">
        <f t="shared" si="27"/>
        <v>335909</v>
      </c>
      <c r="R877" s="969"/>
      <c r="S877" s="970">
        <v>1645390</v>
      </c>
      <c r="T877" s="972">
        <v>-88518</v>
      </c>
      <c r="U877" s="972">
        <v>1556872</v>
      </c>
    </row>
    <row r="878" spans="1:21" x14ac:dyDescent="0.25">
      <c r="A878" s="966">
        <v>99613</v>
      </c>
      <c r="B878" s="967" t="s">
        <v>3490</v>
      </c>
      <c r="C878" s="968">
        <v>3.2909999999999998E-4</v>
      </c>
      <c r="D878" s="968">
        <v>3.369E-4</v>
      </c>
      <c r="E878" s="985">
        <v>310915</v>
      </c>
      <c r="F878" s="969">
        <v>502774</v>
      </c>
      <c r="G878" s="969"/>
      <c r="H878" s="970">
        <v>28964</v>
      </c>
      <c r="I878" s="971">
        <v>122074</v>
      </c>
      <c r="J878" s="970">
        <v>71803</v>
      </c>
      <c r="K878" s="969">
        <v>283917</v>
      </c>
      <c r="L878" s="971">
        <f t="shared" si="26"/>
        <v>506758</v>
      </c>
      <c r="M878" s="969"/>
      <c r="N878" s="970">
        <v>14232</v>
      </c>
      <c r="O878" s="970">
        <v>0</v>
      </c>
      <c r="P878" s="969">
        <v>0</v>
      </c>
      <c r="Q878" s="971">
        <f t="shared" si="27"/>
        <v>14232</v>
      </c>
      <c r="R878" s="969"/>
      <c r="S878" s="970">
        <v>169435</v>
      </c>
      <c r="T878" s="972">
        <v>96572</v>
      </c>
      <c r="U878" s="972">
        <v>266007</v>
      </c>
    </row>
    <row r="879" spans="1:21" x14ac:dyDescent="0.25">
      <c r="A879" s="966">
        <v>99621</v>
      </c>
      <c r="B879" s="967" t="s">
        <v>3491</v>
      </c>
      <c r="C879" s="968">
        <v>3.7060000000000001E-4</v>
      </c>
      <c r="D879" s="968">
        <v>3.2850000000000002E-4</v>
      </c>
      <c r="E879" s="985">
        <v>166448</v>
      </c>
      <c r="F879" s="969">
        <v>566174</v>
      </c>
      <c r="G879" s="969"/>
      <c r="H879" s="970">
        <v>32617</v>
      </c>
      <c r="I879" s="971">
        <v>137468</v>
      </c>
      <c r="J879" s="970">
        <v>80858</v>
      </c>
      <c r="K879" s="969">
        <v>42182</v>
      </c>
      <c r="L879" s="971">
        <f t="shared" si="26"/>
        <v>293125</v>
      </c>
      <c r="M879" s="969"/>
      <c r="N879" s="970">
        <v>16027</v>
      </c>
      <c r="O879" s="970">
        <v>0</v>
      </c>
      <c r="P879" s="969">
        <v>4670</v>
      </c>
      <c r="Q879" s="971">
        <f t="shared" si="27"/>
        <v>20697</v>
      </c>
      <c r="R879" s="969"/>
      <c r="S879" s="970">
        <v>190801</v>
      </c>
      <c r="T879" s="972">
        <v>12829</v>
      </c>
      <c r="U879" s="972">
        <v>203630</v>
      </c>
    </row>
    <row r="880" spans="1:21" x14ac:dyDescent="0.25">
      <c r="A880" s="966">
        <v>99623</v>
      </c>
      <c r="B880" s="967" t="s">
        <v>3492</v>
      </c>
      <c r="C880" s="968">
        <v>2.6400000000000001E-5</v>
      </c>
      <c r="D880" s="968">
        <v>2.9200000000000002E-5</v>
      </c>
      <c r="E880" s="985">
        <v>11103</v>
      </c>
      <c r="F880" s="969">
        <v>40332</v>
      </c>
      <c r="G880" s="969"/>
      <c r="H880" s="970">
        <v>2323</v>
      </c>
      <c r="I880" s="971">
        <v>9793</v>
      </c>
      <c r="J880" s="970">
        <v>5760</v>
      </c>
      <c r="K880" s="969">
        <v>2450</v>
      </c>
      <c r="L880" s="971">
        <f t="shared" si="26"/>
        <v>20326</v>
      </c>
      <c r="M880" s="969"/>
      <c r="N880" s="970">
        <v>1142</v>
      </c>
      <c r="O880" s="970">
        <v>0</v>
      </c>
      <c r="P880" s="969">
        <v>2848</v>
      </c>
      <c r="Q880" s="971">
        <f t="shared" si="27"/>
        <v>3990</v>
      </c>
      <c r="R880" s="969"/>
      <c r="S880" s="970">
        <v>13592</v>
      </c>
      <c r="T880" s="972">
        <v>317</v>
      </c>
      <c r="U880" s="972">
        <f>13908+1</f>
        <v>13909</v>
      </c>
    </row>
    <row r="881" spans="1:21" x14ac:dyDescent="0.25">
      <c r="A881" s="966">
        <v>99631</v>
      </c>
      <c r="B881" s="967" t="s">
        <v>3493</v>
      </c>
      <c r="C881" s="968">
        <v>1.102E-4</v>
      </c>
      <c r="D881" s="968">
        <v>1.0340000000000001E-4</v>
      </c>
      <c r="E881" s="985">
        <v>46231</v>
      </c>
      <c r="F881" s="969">
        <v>168355</v>
      </c>
      <c r="G881" s="969"/>
      <c r="H881" s="970">
        <v>9699</v>
      </c>
      <c r="I881" s="971">
        <v>40877</v>
      </c>
      <c r="J881" s="970">
        <v>24043</v>
      </c>
      <c r="K881" s="969">
        <v>1071</v>
      </c>
      <c r="L881" s="971">
        <f t="shared" si="26"/>
        <v>75690</v>
      </c>
      <c r="M881" s="969"/>
      <c r="N881" s="970">
        <v>4766</v>
      </c>
      <c r="O881" s="970">
        <v>0</v>
      </c>
      <c r="P881" s="969">
        <v>5159</v>
      </c>
      <c r="Q881" s="971">
        <f t="shared" si="27"/>
        <v>9925</v>
      </c>
      <c r="R881" s="969"/>
      <c r="S881" s="970">
        <v>56736</v>
      </c>
      <c r="T881" s="972">
        <v>-3954</v>
      </c>
      <c r="U881" s="972">
        <f>52781+1</f>
        <v>52782</v>
      </c>
    </row>
    <row r="882" spans="1:21" x14ac:dyDescent="0.25">
      <c r="A882" s="966">
        <v>99651</v>
      </c>
      <c r="B882" s="967" t="s">
        <v>3494</v>
      </c>
      <c r="C882" s="968">
        <v>6.7199999999999994E-5</v>
      </c>
      <c r="D882" s="968">
        <v>6.7100000000000005E-5</v>
      </c>
      <c r="E882" s="985">
        <v>30231</v>
      </c>
      <c r="F882" s="969">
        <v>102663</v>
      </c>
      <c r="G882" s="969"/>
      <c r="H882" s="970">
        <v>5914</v>
      </c>
      <c r="I882" s="971">
        <v>24927</v>
      </c>
      <c r="J882" s="970">
        <v>14662</v>
      </c>
      <c r="K882" s="969">
        <v>5944</v>
      </c>
      <c r="L882" s="971">
        <f t="shared" si="26"/>
        <v>51447</v>
      </c>
      <c r="M882" s="969"/>
      <c r="N882" s="970">
        <v>2906</v>
      </c>
      <c r="O882" s="970">
        <v>0</v>
      </c>
      <c r="P882" s="969">
        <v>1841</v>
      </c>
      <c r="Q882" s="971">
        <f t="shared" si="27"/>
        <v>4747</v>
      </c>
      <c r="R882" s="969"/>
      <c r="S882" s="970">
        <v>34598</v>
      </c>
      <c r="T882" s="972">
        <v>1312</v>
      </c>
      <c r="U882" s="972">
        <v>35910</v>
      </c>
    </row>
    <row r="883" spans="1:21" x14ac:dyDescent="0.25">
      <c r="A883" s="966">
        <v>99661</v>
      </c>
      <c r="B883" s="967" t="s">
        <v>3495</v>
      </c>
      <c r="C883" s="968">
        <v>3.26E-5</v>
      </c>
      <c r="D883" s="968">
        <v>3.5500000000000002E-5</v>
      </c>
      <c r="E883" s="985">
        <v>34513</v>
      </c>
      <c r="F883" s="969">
        <v>49804</v>
      </c>
      <c r="G883" s="969"/>
      <c r="H883" s="970">
        <v>2869</v>
      </c>
      <c r="I883" s="971">
        <v>12092</v>
      </c>
      <c r="J883" s="970">
        <v>7113</v>
      </c>
      <c r="K883" s="969">
        <v>34726</v>
      </c>
      <c r="L883" s="971">
        <f t="shared" si="26"/>
        <v>56800</v>
      </c>
      <c r="M883" s="969"/>
      <c r="N883" s="970">
        <v>1410</v>
      </c>
      <c r="O883" s="970">
        <v>0</v>
      </c>
      <c r="P883" s="969">
        <v>0</v>
      </c>
      <c r="Q883" s="971">
        <f t="shared" si="27"/>
        <v>1410</v>
      </c>
      <c r="R883" s="969"/>
      <c r="S883" s="970">
        <v>16784</v>
      </c>
      <c r="T883" s="972">
        <v>12838</v>
      </c>
      <c r="U883" s="972">
        <v>29622</v>
      </c>
    </row>
    <row r="884" spans="1:21" x14ac:dyDescent="0.25">
      <c r="A884" s="966">
        <v>99701</v>
      </c>
      <c r="B884" s="967" t="s">
        <v>3496</v>
      </c>
      <c r="C884" s="968">
        <v>2.9190000000000002E-3</v>
      </c>
      <c r="D884" s="968">
        <v>2.8774E-3</v>
      </c>
      <c r="E884" s="985">
        <v>1295371</v>
      </c>
      <c r="F884" s="969">
        <v>4459423</v>
      </c>
      <c r="G884" s="969"/>
      <c r="H884" s="970">
        <v>256904</v>
      </c>
      <c r="I884" s="971">
        <v>1082754</v>
      </c>
      <c r="J884" s="970">
        <v>636867</v>
      </c>
      <c r="K884" s="969">
        <v>21162</v>
      </c>
      <c r="L884" s="971">
        <f t="shared" si="26"/>
        <v>1997687</v>
      </c>
      <c r="M884" s="969"/>
      <c r="N884" s="970">
        <v>126232</v>
      </c>
      <c r="O884" s="970">
        <v>0</v>
      </c>
      <c r="P884" s="969">
        <v>17651</v>
      </c>
      <c r="Q884" s="971">
        <f t="shared" si="27"/>
        <v>143883</v>
      </c>
      <c r="R884" s="969"/>
      <c r="S884" s="970">
        <v>1502830</v>
      </c>
      <c r="T884" s="972">
        <v>-1976</v>
      </c>
      <c r="U884" s="972">
        <f>1500853+1</f>
        <v>1500854</v>
      </c>
    </row>
    <row r="885" spans="1:21" x14ac:dyDescent="0.25">
      <c r="A885" s="966">
        <v>99705</v>
      </c>
      <c r="B885" s="967" t="s">
        <v>3497</v>
      </c>
      <c r="C885" s="968">
        <v>1.7229999999999999E-4</v>
      </c>
      <c r="D885" s="968">
        <v>1.7259999999999999E-4</v>
      </c>
      <c r="E885" s="985">
        <v>85451</v>
      </c>
      <c r="F885" s="969">
        <v>263227</v>
      </c>
      <c r="G885" s="969"/>
      <c r="H885" s="970">
        <v>15164</v>
      </c>
      <c r="I885" s="971">
        <v>63911</v>
      </c>
      <c r="J885" s="970">
        <v>37592</v>
      </c>
      <c r="K885" s="969">
        <v>10978</v>
      </c>
      <c r="L885" s="971">
        <f t="shared" si="26"/>
        <v>127645</v>
      </c>
      <c r="M885" s="969"/>
      <c r="N885" s="970">
        <v>7451</v>
      </c>
      <c r="O885" s="970">
        <v>0</v>
      </c>
      <c r="P885" s="969">
        <v>544</v>
      </c>
      <c r="Q885" s="971">
        <f t="shared" si="27"/>
        <v>7995</v>
      </c>
      <c r="R885" s="969"/>
      <c r="S885" s="970">
        <v>88708</v>
      </c>
      <c r="T885" s="972">
        <v>5913</v>
      </c>
      <c r="U885" s="972">
        <v>94621</v>
      </c>
    </row>
    <row r="886" spans="1:21" x14ac:dyDescent="0.25">
      <c r="A886" s="966">
        <v>99711</v>
      </c>
      <c r="B886" s="967" t="s">
        <v>3498</v>
      </c>
      <c r="C886" s="968">
        <v>4.5459999999999999E-4</v>
      </c>
      <c r="D886" s="968">
        <v>4.3540000000000001E-4</v>
      </c>
      <c r="E886" s="985">
        <v>209494</v>
      </c>
      <c r="F886" s="969">
        <v>694503</v>
      </c>
      <c r="G886" s="969"/>
      <c r="H886" s="970">
        <v>40010</v>
      </c>
      <c r="I886" s="971">
        <v>168626</v>
      </c>
      <c r="J886" s="970">
        <v>99185</v>
      </c>
      <c r="K886" s="969">
        <v>14449</v>
      </c>
      <c r="L886" s="971">
        <f t="shared" si="26"/>
        <v>322270</v>
      </c>
      <c r="M886" s="969"/>
      <c r="N886" s="970">
        <v>19659</v>
      </c>
      <c r="O886" s="970">
        <v>0</v>
      </c>
      <c r="P886" s="969">
        <v>10625</v>
      </c>
      <c r="Q886" s="971">
        <f t="shared" si="27"/>
        <v>30284</v>
      </c>
      <c r="R886" s="969"/>
      <c r="S886" s="970">
        <v>234048</v>
      </c>
      <c r="T886" s="972">
        <v>-1042</v>
      </c>
      <c r="U886" s="972">
        <v>233006</v>
      </c>
    </row>
    <row r="887" spans="1:21" x14ac:dyDescent="0.25">
      <c r="A887" s="966">
        <v>99717</v>
      </c>
      <c r="B887" s="967" t="s">
        <v>3499</v>
      </c>
      <c r="C887" s="968">
        <v>2.19E-5</v>
      </c>
      <c r="D887" s="968">
        <v>2.3200000000000001E-5</v>
      </c>
      <c r="E887" s="985">
        <v>8060</v>
      </c>
      <c r="F887" s="969">
        <v>33457</v>
      </c>
      <c r="G887" s="969"/>
      <c r="H887" s="970">
        <v>1927</v>
      </c>
      <c r="I887" s="971">
        <v>8123</v>
      </c>
      <c r="J887" s="970">
        <v>4778</v>
      </c>
      <c r="K887" s="969">
        <v>0</v>
      </c>
      <c r="L887" s="971">
        <f t="shared" si="26"/>
        <v>14828</v>
      </c>
      <c r="M887" s="969"/>
      <c r="N887" s="970">
        <v>947</v>
      </c>
      <c r="O887" s="970">
        <v>0</v>
      </c>
      <c r="P887" s="969">
        <v>3936</v>
      </c>
      <c r="Q887" s="971">
        <f t="shared" si="27"/>
        <v>4883</v>
      </c>
      <c r="R887" s="969"/>
      <c r="S887" s="970">
        <v>11275</v>
      </c>
      <c r="T887" s="972">
        <v>-1270</v>
      </c>
      <c r="U887" s="972">
        <v>10005</v>
      </c>
    </row>
    <row r="888" spans="1:21" x14ac:dyDescent="0.25">
      <c r="A888" s="966">
        <v>99721</v>
      </c>
      <c r="B888" s="967" t="s">
        <v>3500</v>
      </c>
      <c r="C888" s="968">
        <v>5.7779999999999995E-4</v>
      </c>
      <c r="D888" s="968">
        <v>6.2449999999999995E-4</v>
      </c>
      <c r="E888" s="985">
        <v>252725</v>
      </c>
      <c r="F888" s="969">
        <v>882718</v>
      </c>
      <c r="G888" s="969"/>
      <c r="H888" s="970">
        <v>50853</v>
      </c>
      <c r="I888" s="971">
        <v>214325</v>
      </c>
      <c r="J888" s="970">
        <v>126064</v>
      </c>
      <c r="K888" s="969">
        <v>0</v>
      </c>
      <c r="L888" s="971">
        <f t="shared" si="26"/>
        <v>391242</v>
      </c>
      <c r="M888" s="969"/>
      <c r="N888" s="970">
        <v>24987</v>
      </c>
      <c r="O888" s="970">
        <v>0</v>
      </c>
      <c r="P888" s="969">
        <v>48789</v>
      </c>
      <c r="Q888" s="971">
        <f t="shared" si="27"/>
        <v>73776</v>
      </c>
      <c r="R888" s="969"/>
      <c r="S888" s="970">
        <v>297477</v>
      </c>
      <c r="T888" s="972">
        <v>-14223</v>
      </c>
      <c r="U888" s="972">
        <v>283254</v>
      </c>
    </row>
    <row r="889" spans="1:21" x14ac:dyDescent="0.25">
      <c r="A889" s="966">
        <v>99727</v>
      </c>
      <c r="B889" s="967" t="s">
        <v>3501</v>
      </c>
      <c r="C889" s="968">
        <v>2.3900000000000002E-5</v>
      </c>
      <c r="D889" s="968">
        <v>2.5299999999999998E-5</v>
      </c>
      <c r="E889" s="985">
        <v>46315</v>
      </c>
      <c r="F889" s="969">
        <v>36513</v>
      </c>
      <c r="G889" s="969"/>
      <c r="H889" s="970">
        <v>2103</v>
      </c>
      <c r="I889" s="971">
        <v>8865</v>
      </c>
      <c r="J889" s="970">
        <v>5215</v>
      </c>
      <c r="K889" s="969">
        <v>59484</v>
      </c>
      <c r="L889" s="971">
        <f t="shared" si="26"/>
        <v>75667</v>
      </c>
      <c r="M889" s="969"/>
      <c r="N889" s="970">
        <v>1034</v>
      </c>
      <c r="O889" s="970">
        <v>0</v>
      </c>
      <c r="P889" s="969">
        <v>0</v>
      </c>
      <c r="Q889" s="971">
        <f t="shared" si="27"/>
        <v>1034</v>
      </c>
      <c r="R889" s="969"/>
      <c r="S889" s="970">
        <v>12305</v>
      </c>
      <c r="T889" s="972">
        <v>20983</v>
      </c>
      <c r="U889" s="972">
        <v>33288</v>
      </c>
    </row>
    <row r="890" spans="1:21" x14ac:dyDescent="0.25">
      <c r="A890" s="966">
        <v>99801</v>
      </c>
      <c r="B890" s="967" t="s">
        <v>3502</v>
      </c>
      <c r="C890" s="968">
        <v>5.1866000000000004E-3</v>
      </c>
      <c r="D890" s="968">
        <v>5.1954999999999996E-3</v>
      </c>
      <c r="E890" s="985">
        <v>2259452</v>
      </c>
      <c r="F890" s="969">
        <v>7923688</v>
      </c>
      <c r="G890" s="969"/>
      <c r="H890" s="970">
        <v>456478</v>
      </c>
      <c r="I890" s="971">
        <v>1923881</v>
      </c>
      <c r="J890" s="970">
        <v>1131612</v>
      </c>
      <c r="K890" s="969">
        <v>17042</v>
      </c>
      <c r="L890" s="971">
        <f t="shared" si="26"/>
        <v>3529013</v>
      </c>
      <c r="M890" s="969"/>
      <c r="N890" s="970">
        <v>224295</v>
      </c>
      <c r="O890" s="970">
        <v>0</v>
      </c>
      <c r="P890" s="969">
        <v>150042</v>
      </c>
      <c r="Q890" s="971">
        <f t="shared" si="27"/>
        <v>374337</v>
      </c>
      <c r="R890" s="969"/>
      <c r="S890" s="970">
        <v>2670290</v>
      </c>
      <c r="T890" s="972">
        <v>-29556</v>
      </c>
      <c r="U890" s="972">
        <f>2640733+1</f>
        <v>2640734</v>
      </c>
    </row>
    <row r="891" spans="1:21" x14ac:dyDescent="0.25">
      <c r="A891" s="966">
        <v>99802</v>
      </c>
      <c r="B891" s="967" t="s">
        <v>3503</v>
      </c>
      <c r="C891" s="968">
        <v>6.0000000000000002E-6</v>
      </c>
      <c r="D891" s="968">
        <v>6.4999999999999996E-6</v>
      </c>
      <c r="E891" s="985">
        <v>4581</v>
      </c>
      <c r="F891" s="969">
        <v>9166</v>
      </c>
      <c r="G891" s="969"/>
      <c r="H891" s="970">
        <v>528</v>
      </c>
      <c r="I891" s="971">
        <v>2226</v>
      </c>
      <c r="J891" s="970">
        <v>1309</v>
      </c>
      <c r="K891" s="969">
        <v>1378</v>
      </c>
      <c r="L891" s="971">
        <f t="shared" si="26"/>
        <v>5441</v>
      </c>
      <c r="M891" s="969"/>
      <c r="N891" s="970">
        <v>259</v>
      </c>
      <c r="O891" s="970">
        <v>0</v>
      </c>
      <c r="P891" s="969">
        <v>53</v>
      </c>
      <c r="Q891" s="971">
        <f t="shared" si="27"/>
        <v>312</v>
      </c>
      <c r="R891" s="969"/>
      <c r="S891" s="970">
        <v>3089</v>
      </c>
      <c r="T891" s="972">
        <v>334</v>
      </c>
      <c r="U891" s="972">
        <v>3423</v>
      </c>
    </row>
    <row r="892" spans="1:21" x14ac:dyDescent="0.25">
      <c r="A892" s="966">
        <v>99804</v>
      </c>
      <c r="B892" s="967" t="s">
        <v>3504</v>
      </c>
      <c r="C892" s="968">
        <v>9.0500000000000004E-5</v>
      </c>
      <c r="D892" s="968">
        <v>8.6600000000000004E-5</v>
      </c>
      <c r="E892" s="985">
        <v>46756</v>
      </c>
      <c r="F892" s="969">
        <v>138259</v>
      </c>
      <c r="G892" s="969"/>
      <c r="H892" s="970">
        <v>7965</v>
      </c>
      <c r="I892" s="971">
        <v>33569</v>
      </c>
      <c r="J892" s="970">
        <v>19745</v>
      </c>
      <c r="K892" s="969">
        <v>13689</v>
      </c>
      <c r="L892" s="971">
        <f t="shared" si="26"/>
        <v>74968</v>
      </c>
      <c r="M892" s="969"/>
      <c r="N892" s="970">
        <v>3914</v>
      </c>
      <c r="O892" s="970">
        <v>0</v>
      </c>
      <c r="P892" s="969">
        <v>0</v>
      </c>
      <c r="Q892" s="971">
        <f t="shared" si="27"/>
        <v>3914</v>
      </c>
      <c r="R892" s="969"/>
      <c r="S892" s="970">
        <v>46593</v>
      </c>
      <c r="T892" s="972">
        <v>4917</v>
      </c>
      <c r="U892" s="972">
        <v>51510</v>
      </c>
    </row>
    <row r="893" spans="1:21" x14ac:dyDescent="0.25">
      <c r="A893" s="966">
        <v>99811</v>
      </c>
      <c r="B893" s="967" t="s">
        <v>3505</v>
      </c>
      <c r="C893" s="968">
        <v>6.7026999999999998E-3</v>
      </c>
      <c r="D893" s="968">
        <v>6.8415000000000004E-3</v>
      </c>
      <c r="E893" s="985">
        <v>2884356</v>
      </c>
      <c r="F893" s="969">
        <v>10239869</v>
      </c>
      <c r="G893" s="969"/>
      <c r="H893" s="970">
        <v>589911</v>
      </c>
      <c r="I893" s="971">
        <v>2486253</v>
      </c>
      <c r="J893" s="970">
        <v>1462395</v>
      </c>
      <c r="K893" s="969">
        <v>0</v>
      </c>
      <c r="L893" s="971">
        <f t="shared" si="26"/>
        <v>4538559</v>
      </c>
      <c r="M893" s="969"/>
      <c r="N893" s="970">
        <v>289858</v>
      </c>
      <c r="O893" s="970">
        <v>0</v>
      </c>
      <c r="P893" s="969">
        <v>598680</v>
      </c>
      <c r="Q893" s="971">
        <f t="shared" si="27"/>
        <v>888538</v>
      </c>
      <c r="R893" s="969"/>
      <c r="S893" s="970">
        <v>3450845</v>
      </c>
      <c r="T893" s="972">
        <v>-236953</v>
      </c>
      <c r="U893" s="972">
        <f>3213891+1</f>
        <v>3213892</v>
      </c>
    </row>
    <row r="894" spans="1:21" x14ac:dyDescent="0.25">
      <c r="A894" s="966">
        <v>99812</v>
      </c>
      <c r="B894" s="967" t="s">
        <v>3506</v>
      </c>
      <c r="C894" s="968">
        <v>2.2099999999999998E-5</v>
      </c>
      <c r="D894" s="968">
        <v>2.5599999999999999E-5</v>
      </c>
      <c r="E894" s="985">
        <v>20069</v>
      </c>
      <c r="F894" s="969">
        <v>33763</v>
      </c>
      <c r="G894" s="969"/>
      <c r="H894" s="970">
        <v>1945</v>
      </c>
      <c r="I894" s="971">
        <v>8198</v>
      </c>
      <c r="J894" s="970">
        <v>4822</v>
      </c>
      <c r="K894" s="969">
        <v>11652</v>
      </c>
      <c r="L894" s="971">
        <f t="shared" si="26"/>
        <v>26617</v>
      </c>
      <c r="M894" s="969"/>
      <c r="N894" s="970">
        <v>956</v>
      </c>
      <c r="O894" s="970">
        <v>0</v>
      </c>
      <c r="P894" s="969">
        <v>0</v>
      </c>
      <c r="Q894" s="971">
        <f t="shared" si="27"/>
        <v>956</v>
      </c>
      <c r="R894" s="969"/>
      <c r="S894" s="970">
        <v>11378</v>
      </c>
      <c r="T894" s="972">
        <v>4237</v>
      </c>
      <c r="U894" s="972">
        <v>15615</v>
      </c>
    </row>
    <row r="895" spans="1:21" x14ac:dyDescent="0.25">
      <c r="A895" s="966">
        <v>99818</v>
      </c>
      <c r="B895" s="967" t="s">
        <v>3507</v>
      </c>
      <c r="C895" s="968">
        <v>3.1600000000000002E-5</v>
      </c>
      <c r="D895" s="968">
        <v>3.7700000000000002E-5</v>
      </c>
      <c r="E895" s="985">
        <v>14370</v>
      </c>
      <c r="F895" s="969">
        <v>48276</v>
      </c>
      <c r="G895" s="969"/>
      <c r="H895" s="970">
        <v>2781</v>
      </c>
      <c r="I895" s="971">
        <v>11722</v>
      </c>
      <c r="J895" s="970">
        <v>6894</v>
      </c>
      <c r="K895" s="969">
        <v>3054</v>
      </c>
      <c r="L895" s="971">
        <f t="shared" si="26"/>
        <v>24451</v>
      </c>
      <c r="M895" s="969"/>
      <c r="N895" s="970">
        <v>1367</v>
      </c>
      <c r="O895" s="970">
        <v>0</v>
      </c>
      <c r="P895" s="969">
        <v>6414</v>
      </c>
      <c r="Q895" s="971">
        <f t="shared" si="27"/>
        <v>7781</v>
      </c>
      <c r="R895" s="969"/>
      <c r="S895" s="970">
        <v>16269</v>
      </c>
      <c r="T895" s="972">
        <v>695</v>
      </c>
      <c r="U895" s="972">
        <v>16964</v>
      </c>
    </row>
    <row r="896" spans="1:21" x14ac:dyDescent="0.25">
      <c r="A896" s="966">
        <v>99821</v>
      </c>
      <c r="B896" s="967" t="s">
        <v>3508</v>
      </c>
      <c r="C896" s="968">
        <v>9.1100000000000005E-5</v>
      </c>
      <c r="D896" s="968">
        <v>8.2899999999999996E-5</v>
      </c>
      <c r="E896" s="985">
        <v>48801</v>
      </c>
      <c r="F896" s="969">
        <v>139176</v>
      </c>
      <c r="G896" s="969"/>
      <c r="H896" s="970">
        <v>8018</v>
      </c>
      <c r="I896" s="971">
        <v>33792</v>
      </c>
      <c r="J896" s="970">
        <v>19876</v>
      </c>
      <c r="K896" s="969">
        <v>21459</v>
      </c>
      <c r="L896" s="971">
        <f t="shared" si="26"/>
        <v>83145</v>
      </c>
      <c r="M896" s="969"/>
      <c r="N896" s="970">
        <v>3940</v>
      </c>
      <c r="O896" s="970">
        <v>0</v>
      </c>
      <c r="P896" s="969">
        <v>555</v>
      </c>
      <c r="Q896" s="971">
        <f t="shared" si="27"/>
        <v>4495</v>
      </c>
      <c r="R896" s="969"/>
      <c r="S896" s="970">
        <v>46902</v>
      </c>
      <c r="T896" s="972">
        <v>9955</v>
      </c>
      <c r="U896" s="972">
        <v>56857</v>
      </c>
    </row>
    <row r="897" spans="1:21" x14ac:dyDescent="0.25">
      <c r="A897" s="966">
        <v>99831</v>
      </c>
      <c r="B897" s="967" t="s">
        <v>3509</v>
      </c>
      <c r="C897" s="968">
        <v>6.3299999999999994E-5</v>
      </c>
      <c r="D897" s="968">
        <v>5.5899999999999997E-5</v>
      </c>
      <c r="E897" s="985">
        <v>28274</v>
      </c>
      <c r="F897" s="969">
        <v>96705</v>
      </c>
      <c r="G897" s="969"/>
      <c r="H897" s="970">
        <v>5571</v>
      </c>
      <c r="I897" s="971">
        <v>23480</v>
      </c>
      <c r="J897" s="970">
        <v>13811</v>
      </c>
      <c r="K897" s="969">
        <v>7030</v>
      </c>
      <c r="L897" s="971">
        <f t="shared" si="26"/>
        <v>49892</v>
      </c>
      <c r="M897" s="969"/>
      <c r="N897" s="970">
        <v>2737</v>
      </c>
      <c r="O897" s="970">
        <v>0</v>
      </c>
      <c r="P897" s="969">
        <v>564</v>
      </c>
      <c r="Q897" s="971">
        <f t="shared" si="27"/>
        <v>3301</v>
      </c>
      <c r="R897" s="969"/>
      <c r="S897" s="970">
        <v>32590</v>
      </c>
      <c r="T897" s="972">
        <v>1906</v>
      </c>
      <c r="U897" s="972">
        <f>34495+1</f>
        <v>34496</v>
      </c>
    </row>
    <row r="898" spans="1:21" x14ac:dyDescent="0.25">
      <c r="A898" s="966">
        <v>99841</v>
      </c>
      <c r="B898" s="967" t="s">
        <v>3510</v>
      </c>
      <c r="C898" s="968">
        <v>4.3399999999999998E-5</v>
      </c>
      <c r="D898" s="968">
        <v>4.6E-5</v>
      </c>
      <c r="E898" s="985">
        <v>19338</v>
      </c>
      <c r="F898" s="969">
        <v>66303</v>
      </c>
      <c r="G898" s="969"/>
      <c r="H898" s="970">
        <v>3820</v>
      </c>
      <c r="I898" s="971">
        <v>16098</v>
      </c>
      <c r="J898" s="970">
        <v>9469</v>
      </c>
      <c r="K898" s="969">
        <v>1271</v>
      </c>
      <c r="L898" s="971">
        <f t="shared" si="26"/>
        <v>30658</v>
      </c>
      <c r="M898" s="969"/>
      <c r="N898" s="970">
        <v>1877</v>
      </c>
      <c r="O898" s="970">
        <v>0</v>
      </c>
      <c r="P898" s="969">
        <v>4060</v>
      </c>
      <c r="Q898" s="971">
        <f t="shared" si="27"/>
        <v>5937</v>
      </c>
      <c r="R898" s="969"/>
      <c r="S898" s="970">
        <v>22344</v>
      </c>
      <c r="T898" s="972">
        <v>-1214</v>
      </c>
      <c r="U898" s="972">
        <v>21130</v>
      </c>
    </row>
    <row r="899" spans="1:21" x14ac:dyDescent="0.25">
      <c r="A899" s="966">
        <v>99851</v>
      </c>
      <c r="B899" s="967" t="s">
        <v>3511</v>
      </c>
      <c r="C899" s="968">
        <v>2.23E-5</v>
      </c>
      <c r="D899" s="968">
        <v>2.1999999999999999E-5</v>
      </c>
      <c r="E899" s="985">
        <v>7302</v>
      </c>
      <c r="F899" s="969">
        <v>34068</v>
      </c>
      <c r="G899" s="969"/>
      <c r="H899" s="970">
        <v>1963</v>
      </c>
      <c r="I899" s="971">
        <v>8272</v>
      </c>
      <c r="J899" s="970">
        <v>4865</v>
      </c>
      <c r="K899" s="969">
        <v>142</v>
      </c>
      <c r="L899" s="971">
        <f t="shared" si="26"/>
        <v>15242</v>
      </c>
      <c r="M899" s="969"/>
      <c r="N899" s="970">
        <v>964</v>
      </c>
      <c r="O899" s="970">
        <v>0</v>
      </c>
      <c r="P899" s="969">
        <v>3191</v>
      </c>
      <c r="Q899" s="971">
        <f t="shared" si="27"/>
        <v>4155</v>
      </c>
      <c r="R899" s="969"/>
      <c r="S899" s="970">
        <v>11481</v>
      </c>
      <c r="T899" s="972">
        <v>-847</v>
      </c>
      <c r="U899" s="972">
        <v>10634</v>
      </c>
    </row>
    <row r="900" spans="1:21" x14ac:dyDescent="0.25">
      <c r="A900" s="966">
        <v>99901</v>
      </c>
      <c r="B900" s="967" t="s">
        <v>3512</v>
      </c>
      <c r="C900" s="968">
        <v>1.6707E-3</v>
      </c>
      <c r="D900" s="968">
        <v>1.6371999999999999E-3</v>
      </c>
      <c r="E900" s="985">
        <v>760400</v>
      </c>
      <c r="F900" s="969">
        <v>2552367</v>
      </c>
      <c r="G900" s="969"/>
      <c r="H900" s="970">
        <v>147040</v>
      </c>
      <c r="I900" s="971">
        <v>619718</v>
      </c>
      <c r="J900" s="970">
        <v>364513</v>
      </c>
      <c r="K900" s="969">
        <v>63407</v>
      </c>
      <c r="L900" s="971">
        <f t="shared" si="26"/>
        <v>1194678</v>
      </c>
      <c r="M900" s="969"/>
      <c r="N900" s="970">
        <v>72249</v>
      </c>
      <c r="O900" s="970">
        <v>0</v>
      </c>
      <c r="P900" s="969">
        <v>12021</v>
      </c>
      <c r="Q900" s="971">
        <f t="shared" si="27"/>
        <v>84270</v>
      </c>
      <c r="R900" s="969"/>
      <c r="S900" s="970">
        <v>860150</v>
      </c>
      <c r="T900" s="972">
        <v>13114</v>
      </c>
      <c r="U900" s="972">
        <v>873264</v>
      </c>
    </row>
    <row r="901" spans="1:21" x14ac:dyDescent="0.25">
      <c r="A901" s="966">
        <v>99911</v>
      </c>
      <c r="B901" s="967" t="s">
        <v>3513</v>
      </c>
      <c r="C901" s="968">
        <v>2.5980000000000003E-4</v>
      </c>
      <c r="D901" s="968">
        <v>2.5520000000000002E-4</v>
      </c>
      <c r="E901" s="985">
        <v>122066</v>
      </c>
      <c r="F901" s="969">
        <v>396902</v>
      </c>
      <c r="G901" s="969"/>
      <c r="H901" s="970">
        <v>22865</v>
      </c>
      <c r="I901" s="971">
        <v>96368</v>
      </c>
      <c r="J901" s="970">
        <v>56683</v>
      </c>
      <c r="K901" s="969">
        <v>7168</v>
      </c>
      <c r="L901" s="971">
        <f t="shared" si="26"/>
        <v>183084</v>
      </c>
      <c r="M901" s="969"/>
      <c r="N901" s="970">
        <v>11235</v>
      </c>
      <c r="O901" s="970">
        <v>0</v>
      </c>
      <c r="P901" s="969">
        <v>12661</v>
      </c>
      <c r="Q901" s="971">
        <f t="shared" si="27"/>
        <v>23896</v>
      </c>
      <c r="R901" s="969"/>
      <c r="S901" s="970">
        <v>133756</v>
      </c>
      <c r="T901" s="972">
        <v>-5521</v>
      </c>
      <c r="U901" s="972">
        <v>128235</v>
      </c>
    </row>
    <row r="902" spans="1:21" x14ac:dyDescent="0.25">
      <c r="A902" s="966">
        <v>99921</v>
      </c>
      <c r="B902" s="967" t="s">
        <v>3514</v>
      </c>
      <c r="C902" s="968">
        <v>1.506E-4</v>
      </c>
      <c r="D902" s="968">
        <v>1.5129999999999999E-4</v>
      </c>
      <c r="E902" s="985">
        <v>65165</v>
      </c>
      <c r="F902" s="969">
        <v>230075</v>
      </c>
      <c r="G902" s="969"/>
      <c r="H902" s="970">
        <v>13254</v>
      </c>
      <c r="I902" s="971">
        <v>55863</v>
      </c>
      <c r="J902" s="970">
        <v>32858</v>
      </c>
      <c r="K902" s="969">
        <v>3258</v>
      </c>
      <c r="L902" s="971">
        <f t="shared" si="26"/>
        <v>105233</v>
      </c>
      <c r="M902" s="969"/>
      <c r="N902" s="970">
        <v>6513</v>
      </c>
      <c r="O902" s="970">
        <v>0</v>
      </c>
      <c r="P902" s="969">
        <v>7306</v>
      </c>
      <c r="Q902" s="971">
        <f t="shared" si="27"/>
        <v>13819</v>
      </c>
      <c r="R902" s="969"/>
      <c r="S902" s="970">
        <v>77536</v>
      </c>
      <c r="T902" s="972">
        <v>-3057</v>
      </c>
      <c r="U902" s="972">
        <v>74479</v>
      </c>
    </row>
    <row r="903" spans="1:21" x14ac:dyDescent="0.25">
      <c r="A903" s="966">
        <v>99931</v>
      </c>
      <c r="B903" s="967" t="s">
        <v>3515</v>
      </c>
      <c r="C903" s="968">
        <v>1.5800000000000001E-5</v>
      </c>
      <c r="D903" s="968">
        <v>2.51E-5</v>
      </c>
      <c r="E903" s="985">
        <v>8881</v>
      </c>
      <c r="F903" s="969">
        <v>24138</v>
      </c>
      <c r="G903" s="969"/>
      <c r="H903" s="970">
        <v>1391</v>
      </c>
      <c r="I903" s="971">
        <v>5860</v>
      </c>
      <c r="J903" s="970">
        <v>3447</v>
      </c>
      <c r="K903" s="969">
        <v>0</v>
      </c>
      <c r="L903" s="971">
        <f>H903+I903+J903+K903</f>
        <v>10698</v>
      </c>
      <c r="M903" s="969"/>
      <c r="N903" s="970">
        <v>683</v>
      </c>
      <c r="O903" s="970">
        <v>0</v>
      </c>
      <c r="P903" s="969">
        <v>8477</v>
      </c>
      <c r="Q903" s="971">
        <f>N903+O903+P903</f>
        <v>9160</v>
      </c>
      <c r="R903" s="969"/>
      <c r="S903" s="970">
        <v>8135</v>
      </c>
      <c r="T903" s="972">
        <v>-3271</v>
      </c>
      <c r="U903" s="972">
        <v>4864</v>
      </c>
    </row>
    <row r="904" spans="1:21" x14ac:dyDescent="0.25">
      <c r="A904" s="966">
        <v>99941</v>
      </c>
      <c r="B904" s="967" t="s">
        <v>3516</v>
      </c>
      <c r="C904" s="968">
        <v>7.5400000000000003E-5</v>
      </c>
      <c r="D904" s="968">
        <v>7.8200000000000003E-5</v>
      </c>
      <c r="E904" s="985">
        <v>32663</v>
      </c>
      <c r="F904" s="969">
        <v>115190</v>
      </c>
      <c r="G904" s="969"/>
      <c r="H904" s="970">
        <v>6636</v>
      </c>
      <c r="I904" s="971">
        <v>27969</v>
      </c>
      <c r="J904" s="970">
        <v>16451</v>
      </c>
      <c r="K904" s="969">
        <v>0</v>
      </c>
      <c r="L904" s="971">
        <f>H904+I904+J904+K904</f>
        <v>51056</v>
      </c>
      <c r="M904" s="969"/>
      <c r="N904" s="970">
        <v>3261</v>
      </c>
      <c r="O904" s="970">
        <v>0</v>
      </c>
      <c r="P904" s="969">
        <v>11647</v>
      </c>
      <c r="Q904" s="971">
        <f>N904+O904+P904</f>
        <v>14908</v>
      </c>
      <c r="R904" s="969"/>
      <c r="S904" s="970">
        <v>38819</v>
      </c>
      <c r="T904" s="972">
        <v>-4535</v>
      </c>
      <c r="U904" s="972">
        <f>34285-1</f>
        <v>34284</v>
      </c>
    </row>
    <row r="905" spans="1:21" x14ac:dyDescent="0.25">
      <c r="A905" s="966">
        <v>99991</v>
      </c>
      <c r="B905" s="967" t="s">
        <v>3517</v>
      </c>
      <c r="C905" s="968">
        <v>5.3450000000000004E-4</v>
      </c>
      <c r="D905" s="968">
        <v>5.6990000000000003E-4</v>
      </c>
      <c r="E905" s="985">
        <v>239781</v>
      </c>
      <c r="F905" s="969">
        <v>816568</v>
      </c>
      <c r="G905" s="969"/>
      <c r="H905" s="970">
        <v>47042</v>
      </c>
      <c r="I905" s="971">
        <v>198264</v>
      </c>
      <c r="J905" s="970">
        <v>116617</v>
      </c>
      <c r="K905" s="969">
        <v>28891</v>
      </c>
      <c r="L905" s="971">
        <f>H905+I905+J905+K905</f>
        <v>390814</v>
      </c>
      <c r="M905" s="969"/>
      <c r="N905" s="970">
        <v>23114</v>
      </c>
      <c r="O905" s="970">
        <v>0</v>
      </c>
      <c r="P905" s="969">
        <v>28214</v>
      </c>
      <c r="Q905" s="971">
        <f>N905+O905+P905</f>
        <v>51328</v>
      </c>
      <c r="R905" s="969"/>
      <c r="S905" s="970">
        <v>275184</v>
      </c>
      <c r="T905" s="972">
        <v>12361</v>
      </c>
      <c r="U905" s="972">
        <v>287545</v>
      </c>
    </row>
    <row r="906" spans="1:21" x14ac:dyDescent="0.25">
      <c r="A906" s="966">
        <v>99999</v>
      </c>
      <c r="B906" s="967" t="s">
        <v>3518</v>
      </c>
      <c r="C906" s="968">
        <v>8.7509999999999997E-4</v>
      </c>
      <c r="D906" s="968">
        <v>1.0101000000000001E-3</v>
      </c>
      <c r="E906" s="985">
        <v>509176</v>
      </c>
      <c r="F906" s="969">
        <v>1336910</v>
      </c>
      <c r="G906" s="969"/>
      <c r="H906" s="970">
        <v>77018</v>
      </c>
      <c r="I906" s="971">
        <v>324603</v>
      </c>
      <c r="J906" s="970">
        <v>190929</v>
      </c>
      <c r="K906" s="969">
        <v>77711</v>
      </c>
      <c r="L906" s="971">
        <f>H906+I906+J906+K906</f>
        <v>670261</v>
      </c>
      <c r="M906" s="969"/>
      <c r="N906" s="970">
        <v>37844</v>
      </c>
      <c r="O906" s="970">
        <v>0</v>
      </c>
      <c r="P906" s="969">
        <v>26259</v>
      </c>
      <c r="Q906" s="971">
        <f>N906+O906+P906</f>
        <v>64103</v>
      </c>
      <c r="R906" s="969"/>
      <c r="S906" s="970">
        <v>450540</v>
      </c>
      <c r="T906" s="972">
        <v>10651</v>
      </c>
      <c r="U906" s="972">
        <v>461191</v>
      </c>
    </row>
    <row r="907" spans="1:21" x14ac:dyDescent="0.25">
      <c r="A907" s="987" t="s">
        <v>2624</v>
      </c>
      <c r="B907" s="988" t="s">
        <v>2623</v>
      </c>
      <c r="C907" s="989">
        <v>2.6581E-3</v>
      </c>
      <c r="D907" s="989">
        <v>2.3587E-3</v>
      </c>
      <c r="E907" s="990">
        <v>1110621</v>
      </c>
      <c r="F907" s="991">
        <v>4060841</v>
      </c>
      <c r="G907" s="991"/>
      <c r="H907" s="992">
        <v>233942</v>
      </c>
      <c r="I907" s="993">
        <v>985977</v>
      </c>
      <c r="J907" s="992">
        <v>579944</v>
      </c>
      <c r="K907" s="991">
        <v>130818</v>
      </c>
      <c r="L907" s="993">
        <v>1930681</v>
      </c>
      <c r="M907" s="991"/>
      <c r="N907" s="992">
        <v>114950</v>
      </c>
      <c r="O907" s="992" t="s">
        <v>3955</v>
      </c>
      <c r="P907" s="991">
        <v>31847</v>
      </c>
      <c r="Q907" s="993">
        <v>146797</v>
      </c>
      <c r="R907" s="991"/>
      <c r="S907" s="992">
        <v>1368507</v>
      </c>
      <c r="T907" s="991">
        <v>33872</v>
      </c>
      <c r="U907" s="991">
        <v>1402379</v>
      </c>
    </row>
    <row r="908" spans="1:21" s="981" customFormat="1" x14ac:dyDescent="0.25">
      <c r="A908" s="975"/>
      <c r="B908" s="976"/>
      <c r="C908" s="977">
        <v>1</v>
      </c>
      <c r="D908" s="977">
        <v>1</v>
      </c>
      <c r="E908" s="986"/>
      <c r="F908" s="978">
        <f>SUM(F7:F906)</f>
        <v>1527723006</v>
      </c>
      <c r="G908" s="978"/>
      <c r="H908" s="979">
        <f>SUM(H7:H906)</f>
        <v>88010998</v>
      </c>
      <c r="I908" s="980">
        <v>370932998</v>
      </c>
      <c r="J908" s="979">
        <f>SUM(J7:J906)</f>
        <v>218179990</v>
      </c>
      <c r="K908" s="979">
        <f>SUM(K7:K906)</f>
        <v>44399345</v>
      </c>
      <c r="L908" s="980">
        <f>SUM(L7:L906)</f>
        <v>721523331</v>
      </c>
      <c r="M908" s="979"/>
      <c r="N908" s="979">
        <f>SUM(N7:N906)</f>
        <v>43245007</v>
      </c>
      <c r="O908" s="979">
        <f>SUM(O7:O906)</f>
        <v>0</v>
      </c>
      <c r="P908" s="979">
        <f>SUM(P7:P906)</f>
        <v>44399369</v>
      </c>
      <c r="Q908" s="980">
        <f>SUM(Q7:Q906)</f>
        <v>87644376</v>
      </c>
      <c r="R908" s="979"/>
      <c r="S908" s="979">
        <f>SUM(S7:S906)</f>
        <v>514844016</v>
      </c>
      <c r="T908" s="979">
        <f>SUM(T7:T906)</f>
        <v>36</v>
      </c>
      <c r="U908" s="979">
        <f>SUM(U7:U906)</f>
        <v>514844052</v>
      </c>
    </row>
    <row r="909" spans="1:21" s="981" customFormat="1" x14ac:dyDescent="0.25">
      <c r="A909" s="975"/>
      <c r="B909" s="976"/>
      <c r="C909" s="977"/>
      <c r="D909" s="977"/>
      <c r="E909" s="986"/>
      <c r="F909" s="978"/>
      <c r="G909" s="978"/>
      <c r="H909" s="979"/>
      <c r="I909" s="980"/>
      <c r="J909" s="979"/>
      <c r="K909" s="979"/>
      <c r="L909" s="980"/>
      <c r="M909" s="979"/>
      <c r="N909" s="979"/>
      <c r="O909" s="979"/>
      <c r="P909" s="979"/>
      <c r="Q909" s="980"/>
      <c r="R909" s="979"/>
      <c r="S909" s="979"/>
      <c r="T909" s="979"/>
      <c r="U909" s="979"/>
    </row>
    <row r="910" spans="1:21" s="981" customFormat="1" x14ac:dyDescent="0.25">
      <c r="A910" s="975"/>
      <c r="B910" s="976"/>
      <c r="C910" s="977"/>
      <c r="D910" s="977"/>
      <c r="E910" s="986"/>
      <c r="F910" s="978"/>
      <c r="G910" s="978"/>
      <c r="H910" s="979"/>
      <c r="I910" s="980"/>
      <c r="J910" s="979"/>
      <c r="K910" s="979"/>
      <c r="L910" s="980"/>
      <c r="M910" s="979"/>
      <c r="N910" s="979"/>
      <c r="O910" s="979"/>
      <c r="P910" s="979"/>
      <c r="Q910" s="980"/>
      <c r="R910" s="979"/>
      <c r="S910" s="979"/>
      <c r="T910" s="979"/>
      <c r="U910" s="979"/>
    </row>
    <row r="911" spans="1:21" x14ac:dyDescent="0.25">
      <c r="B911" s="982" t="s">
        <v>2089</v>
      </c>
      <c r="C911" s="964" t="s">
        <v>825</v>
      </c>
    </row>
    <row r="912" spans="1:21" x14ac:dyDescent="0.25">
      <c r="B912" s="983" t="s">
        <v>2104</v>
      </c>
      <c r="C912" s="966">
        <v>96331</v>
      </c>
    </row>
    <row r="913" spans="2:3" x14ac:dyDescent="0.25">
      <c r="B913" s="983" t="s">
        <v>2105</v>
      </c>
      <c r="C913" s="966">
        <v>94611</v>
      </c>
    </row>
    <row r="914" spans="2:3" x14ac:dyDescent="0.25">
      <c r="B914" s="983" t="s">
        <v>1465</v>
      </c>
      <c r="C914" s="966">
        <v>93402</v>
      </c>
    </row>
    <row r="915" spans="2:3" x14ac:dyDescent="0.25">
      <c r="B915" s="983" t="s">
        <v>2106</v>
      </c>
      <c r="C915" s="966">
        <v>90151</v>
      </c>
    </row>
    <row r="916" spans="2:3" x14ac:dyDescent="0.25">
      <c r="B916" s="983" t="s">
        <v>3679</v>
      </c>
      <c r="C916" s="966">
        <v>94109</v>
      </c>
    </row>
    <row r="917" spans="2:3" x14ac:dyDescent="0.25">
      <c r="B917" s="983" t="s">
        <v>1170</v>
      </c>
      <c r="C917" s="966">
        <v>90101</v>
      </c>
    </row>
    <row r="918" spans="2:3" x14ac:dyDescent="0.25">
      <c r="B918" s="983" t="s">
        <v>3519</v>
      </c>
      <c r="C918" s="966">
        <v>90117</v>
      </c>
    </row>
    <row r="919" spans="2:3" x14ac:dyDescent="0.25">
      <c r="B919" s="983" t="s">
        <v>2107</v>
      </c>
      <c r="C919" s="966">
        <v>98411</v>
      </c>
    </row>
    <row r="920" spans="2:3" x14ac:dyDescent="0.25">
      <c r="B920" s="983" t="s">
        <v>3680</v>
      </c>
      <c r="C920" s="966">
        <v>98417</v>
      </c>
    </row>
    <row r="921" spans="2:3" x14ac:dyDescent="0.25">
      <c r="B921" s="983" t="s">
        <v>1766</v>
      </c>
      <c r="C921" s="966">
        <v>97008</v>
      </c>
    </row>
    <row r="922" spans="2:3" x14ac:dyDescent="0.25">
      <c r="B922" s="983" t="s">
        <v>1767</v>
      </c>
      <c r="C922" s="966">
        <v>97010</v>
      </c>
    </row>
    <row r="923" spans="2:3" x14ac:dyDescent="0.25">
      <c r="B923" s="983" t="s">
        <v>3520</v>
      </c>
      <c r="C923" s="966">
        <v>90096</v>
      </c>
    </row>
    <row r="924" spans="2:3" x14ac:dyDescent="0.25">
      <c r="B924" s="983" t="s">
        <v>1217</v>
      </c>
      <c r="C924" s="966">
        <v>90805</v>
      </c>
    </row>
    <row r="925" spans="2:3" x14ac:dyDescent="0.25">
      <c r="B925" s="983" t="s">
        <v>3681</v>
      </c>
      <c r="C925" s="966">
        <v>92109</v>
      </c>
    </row>
    <row r="926" spans="2:3" x14ac:dyDescent="0.25">
      <c r="B926" s="983" t="s">
        <v>1178</v>
      </c>
      <c r="C926" s="966">
        <v>90201</v>
      </c>
    </row>
    <row r="927" spans="2:3" x14ac:dyDescent="0.25">
      <c r="B927" s="983" t="s">
        <v>3682</v>
      </c>
      <c r="C927" s="966">
        <v>90206</v>
      </c>
    </row>
    <row r="928" spans="2:3" x14ac:dyDescent="0.25">
      <c r="B928" s="983" t="s">
        <v>3683</v>
      </c>
      <c r="C928" s="966">
        <v>90203</v>
      </c>
    </row>
    <row r="929" spans="2:3" x14ac:dyDescent="0.25">
      <c r="B929" s="983" t="s">
        <v>3684</v>
      </c>
      <c r="C929" s="966">
        <v>90205</v>
      </c>
    </row>
    <row r="930" spans="2:3" x14ac:dyDescent="0.25">
      <c r="B930" s="983" t="s">
        <v>1183</v>
      </c>
      <c r="C930" s="966">
        <v>90301</v>
      </c>
    </row>
    <row r="931" spans="2:3" x14ac:dyDescent="0.25">
      <c r="B931" s="983" t="s">
        <v>3685</v>
      </c>
      <c r="C931" s="966">
        <v>93209</v>
      </c>
    </row>
    <row r="932" spans="2:3" x14ac:dyDescent="0.25">
      <c r="B932" s="983" t="s">
        <v>2108</v>
      </c>
      <c r="C932" s="966">
        <v>92021</v>
      </c>
    </row>
    <row r="933" spans="2:3" x14ac:dyDescent="0.25">
      <c r="B933" s="983" t="s">
        <v>2109</v>
      </c>
      <c r="C933" s="966">
        <v>94351</v>
      </c>
    </row>
    <row r="934" spans="2:3" x14ac:dyDescent="0.25">
      <c r="B934" s="983" t="s">
        <v>3686</v>
      </c>
      <c r="C934" s="966">
        <v>94347</v>
      </c>
    </row>
    <row r="935" spans="2:3" x14ac:dyDescent="0.25">
      <c r="B935" s="983" t="s">
        <v>1186</v>
      </c>
      <c r="C935" s="966">
        <v>90401</v>
      </c>
    </row>
    <row r="936" spans="2:3" x14ac:dyDescent="0.25">
      <c r="B936" s="983" t="s">
        <v>2110</v>
      </c>
      <c r="C936" s="966">
        <v>90451</v>
      </c>
    </row>
    <row r="937" spans="2:3" x14ac:dyDescent="0.25">
      <c r="B937" s="983" t="s">
        <v>2111</v>
      </c>
      <c r="C937" s="966">
        <v>99271</v>
      </c>
    </row>
    <row r="938" spans="2:3" x14ac:dyDescent="0.25">
      <c r="B938" s="983" t="s">
        <v>3687</v>
      </c>
      <c r="C938" s="966">
        <v>90099</v>
      </c>
    </row>
    <row r="939" spans="2:3" x14ac:dyDescent="0.25">
      <c r="B939" s="983" t="s">
        <v>2006</v>
      </c>
      <c r="C939" s="966">
        <v>99705</v>
      </c>
    </row>
    <row r="940" spans="2:3" x14ac:dyDescent="0.25">
      <c r="B940" s="983" t="s">
        <v>2112</v>
      </c>
      <c r="C940" s="966">
        <v>97651</v>
      </c>
    </row>
    <row r="941" spans="2:3" x14ac:dyDescent="0.25">
      <c r="B941" s="983" t="s">
        <v>2113</v>
      </c>
      <c r="C941" s="966">
        <v>95106</v>
      </c>
    </row>
    <row r="942" spans="2:3" x14ac:dyDescent="0.25">
      <c r="B942" s="983" t="s">
        <v>1195</v>
      </c>
      <c r="C942" s="966">
        <v>90501</v>
      </c>
    </row>
    <row r="943" spans="2:3" x14ac:dyDescent="0.25">
      <c r="B943" s="983" t="s">
        <v>2114</v>
      </c>
      <c r="C943" s="966">
        <v>97611</v>
      </c>
    </row>
    <row r="944" spans="2:3" x14ac:dyDescent="0.25">
      <c r="B944" s="983" t="s">
        <v>3688</v>
      </c>
      <c r="C944" s="966">
        <v>97607</v>
      </c>
    </row>
    <row r="945" spans="2:3" x14ac:dyDescent="0.25">
      <c r="B945" s="983" t="s">
        <v>3689</v>
      </c>
      <c r="C945" s="966">
        <v>97613</v>
      </c>
    </row>
    <row r="946" spans="2:3" x14ac:dyDescent="0.25">
      <c r="B946" s="983" t="s">
        <v>2115</v>
      </c>
      <c r="C946" s="966">
        <v>91121</v>
      </c>
    </row>
    <row r="947" spans="2:3" x14ac:dyDescent="0.25">
      <c r="B947" s="983" t="s">
        <v>3690</v>
      </c>
      <c r="C947" s="966">
        <v>91127</v>
      </c>
    </row>
    <row r="948" spans="2:3" x14ac:dyDescent="0.25">
      <c r="B948" s="983" t="s">
        <v>1269</v>
      </c>
      <c r="C948" s="966">
        <v>91128</v>
      </c>
    </row>
    <row r="949" spans="2:3" x14ac:dyDescent="0.25">
      <c r="B949" s="983" t="s">
        <v>2116</v>
      </c>
      <c r="C949" s="966">
        <v>91681</v>
      </c>
    </row>
    <row r="950" spans="2:3" x14ac:dyDescent="0.25">
      <c r="B950" s="983" t="s">
        <v>2117</v>
      </c>
      <c r="C950" s="966">
        <v>90811</v>
      </c>
    </row>
    <row r="951" spans="2:3" x14ac:dyDescent="0.25">
      <c r="B951" s="983" t="s">
        <v>2118</v>
      </c>
      <c r="C951" s="966">
        <v>90721</v>
      </c>
    </row>
    <row r="952" spans="2:3" x14ac:dyDescent="0.25">
      <c r="B952" s="983" t="s">
        <v>2119</v>
      </c>
      <c r="C952" s="966">
        <v>98271</v>
      </c>
    </row>
    <row r="953" spans="2:3" x14ac:dyDescent="0.25">
      <c r="B953" s="983" t="s">
        <v>1199</v>
      </c>
      <c r="C953" s="966">
        <v>90601</v>
      </c>
    </row>
    <row r="954" spans="2:3" x14ac:dyDescent="0.25">
      <c r="B954" s="983" t="s">
        <v>3691</v>
      </c>
      <c r="C954" s="966">
        <v>90602</v>
      </c>
    </row>
    <row r="955" spans="2:3" x14ac:dyDescent="0.25">
      <c r="B955" s="983" t="s">
        <v>3692</v>
      </c>
      <c r="C955" s="966">
        <v>90605</v>
      </c>
    </row>
    <row r="956" spans="2:3" x14ac:dyDescent="0.25">
      <c r="B956" s="983" t="s">
        <v>2120</v>
      </c>
      <c r="C956" s="966">
        <v>97461</v>
      </c>
    </row>
    <row r="957" spans="2:3" x14ac:dyDescent="0.25">
      <c r="B957" s="983" t="s">
        <v>1799</v>
      </c>
      <c r="C957" s="966">
        <v>97463</v>
      </c>
    </row>
    <row r="958" spans="2:3" x14ac:dyDescent="0.25">
      <c r="B958" s="983" t="s">
        <v>3693</v>
      </c>
      <c r="C958" s="966">
        <v>90705</v>
      </c>
    </row>
    <row r="959" spans="2:3" x14ac:dyDescent="0.25">
      <c r="B959" s="983" t="s">
        <v>2121</v>
      </c>
      <c r="C959" s="966">
        <v>98451</v>
      </c>
    </row>
    <row r="960" spans="2:3" x14ac:dyDescent="0.25">
      <c r="B960" s="983" t="s">
        <v>2122</v>
      </c>
      <c r="C960" s="966">
        <v>96451</v>
      </c>
    </row>
    <row r="961" spans="2:3" x14ac:dyDescent="0.25">
      <c r="B961" s="983" t="s">
        <v>2123</v>
      </c>
      <c r="C961" s="966">
        <v>96121</v>
      </c>
    </row>
    <row r="962" spans="2:3" x14ac:dyDescent="0.25">
      <c r="B962" s="983" t="s">
        <v>2124</v>
      </c>
      <c r="C962" s="966">
        <v>91091</v>
      </c>
    </row>
    <row r="963" spans="2:3" x14ac:dyDescent="0.25">
      <c r="B963" s="983" t="s">
        <v>2125</v>
      </c>
      <c r="C963" s="966">
        <v>90611</v>
      </c>
    </row>
    <row r="964" spans="2:3" x14ac:dyDescent="0.25">
      <c r="B964" s="983" t="s">
        <v>1761</v>
      </c>
      <c r="C964" s="966">
        <v>96918</v>
      </c>
    </row>
    <row r="965" spans="2:3" x14ac:dyDescent="0.25">
      <c r="B965" s="983" t="s">
        <v>2126</v>
      </c>
      <c r="C965" s="966">
        <v>96911</v>
      </c>
    </row>
    <row r="966" spans="2:3" x14ac:dyDescent="0.25">
      <c r="B966" s="983" t="s">
        <v>1958</v>
      </c>
      <c r="C966" s="966">
        <v>99208</v>
      </c>
    </row>
    <row r="967" spans="2:3" x14ac:dyDescent="0.25">
      <c r="B967" s="983" t="s">
        <v>2127</v>
      </c>
      <c r="C967" s="966">
        <v>91631</v>
      </c>
    </row>
    <row r="968" spans="2:3" x14ac:dyDescent="0.25">
      <c r="B968" s="983" t="s">
        <v>1207</v>
      </c>
      <c r="C968" s="966">
        <v>90701</v>
      </c>
    </row>
    <row r="969" spans="2:3" x14ac:dyDescent="0.25">
      <c r="B969" s="983" t="s">
        <v>3694</v>
      </c>
      <c r="C969" s="966">
        <v>90704</v>
      </c>
    </row>
    <row r="970" spans="2:3" x14ac:dyDescent="0.25">
      <c r="B970" s="983" t="s">
        <v>3695</v>
      </c>
      <c r="C970" s="966">
        <v>91633</v>
      </c>
    </row>
    <row r="971" spans="2:3" x14ac:dyDescent="0.25">
      <c r="B971" s="983" t="s">
        <v>2128</v>
      </c>
      <c r="C971" s="966">
        <v>90631</v>
      </c>
    </row>
    <row r="972" spans="2:3" x14ac:dyDescent="0.25">
      <c r="B972" s="983" t="s">
        <v>2129</v>
      </c>
      <c r="C972" s="966">
        <v>90731</v>
      </c>
    </row>
    <row r="973" spans="2:3" x14ac:dyDescent="0.25">
      <c r="B973" s="983" t="s">
        <v>2130</v>
      </c>
      <c r="C973" s="966">
        <v>93621</v>
      </c>
    </row>
    <row r="974" spans="2:3" x14ac:dyDescent="0.25">
      <c r="B974" s="983" t="s">
        <v>1491</v>
      </c>
      <c r="C974" s="966">
        <v>93623</v>
      </c>
    </row>
    <row r="975" spans="2:3" x14ac:dyDescent="0.25">
      <c r="B975" s="983" t="s">
        <v>2131</v>
      </c>
      <c r="C975" s="966">
        <v>91020</v>
      </c>
    </row>
    <row r="976" spans="2:3" x14ac:dyDescent="0.25">
      <c r="B976" s="983" t="s">
        <v>2132</v>
      </c>
      <c r="C976" s="966">
        <v>95141</v>
      </c>
    </row>
    <row r="977" spans="2:3" x14ac:dyDescent="0.25">
      <c r="B977" s="983" t="s">
        <v>1609</v>
      </c>
      <c r="C977" s="966">
        <v>95103</v>
      </c>
    </row>
    <row r="978" spans="2:3" x14ac:dyDescent="0.25">
      <c r="B978" s="983" t="s">
        <v>2133</v>
      </c>
      <c r="C978" s="966">
        <v>93021</v>
      </c>
    </row>
    <row r="979" spans="2:3" x14ac:dyDescent="0.25">
      <c r="B979" s="983" t="s">
        <v>1215</v>
      </c>
      <c r="C979" s="966">
        <v>90801</v>
      </c>
    </row>
    <row r="980" spans="2:3" x14ac:dyDescent="0.25">
      <c r="B980" s="983" t="s">
        <v>3696</v>
      </c>
      <c r="C980" s="966">
        <v>90804</v>
      </c>
    </row>
    <row r="981" spans="2:3" x14ac:dyDescent="0.25">
      <c r="B981" s="983" t="s">
        <v>1218</v>
      </c>
      <c r="C981" s="966">
        <v>90808</v>
      </c>
    </row>
    <row r="982" spans="2:3" x14ac:dyDescent="0.25">
      <c r="B982" s="983" t="s">
        <v>2134</v>
      </c>
      <c r="C982" s="966">
        <v>93671</v>
      </c>
    </row>
    <row r="983" spans="2:3" x14ac:dyDescent="0.25">
      <c r="B983" s="983" t="s">
        <v>2135</v>
      </c>
      <c r="C983" s="966">
        <v>93677</v>
      </c>
    </row>
    <row r="984" spans="2:3" x14ac:dyDescent="0.25">
      <c r="B984" s="983" t="s">
        <v>2136</v>
      </c>
      <c r="C984" s="966">
        <v>97441</v>
      </c>
    </row>
    <row r="985" spans="2:3" x14ac:dyDescent="0.25">
      <c r="B985" s="983" t="s">
        <v>2137</v>
      </c>
      <c r="C985" s="966">
        <v>93111</v>
      </c>
    </row>
    <row r="986" spans="2:3" x14ac:dyDescent="0.25">
      <c r="B986" s="983" t="s">
        <v>2138</v>
      </c>
      <c r="C986" s="966">
        <v>91111</v>
      </c>
    </row>
    <row r="987" spans="2:3" x14ac:dyDescent="0.25">
      <c r="B987" s="983" t="s">
        <v>2139</v>
      </c>
      <c r="C987" s="966">
        <v>96231</v>
      </c>
    </row>
    <row r="988" spans="2:3" x14ac:dyDescent="0.25">
      <c r="B988" s="983" t="s">
        <v>2140</v>
      </c>
      <c r="C988" s="966">
        <v>99831</v>
      </c>
    </row>
    <row r="989" spans="2:3" x14ac:dyDescent="0.25">
      <c r="B989" s="983" t="s">
        <v>2141</v>
      </c>
      <c r="C989" s="966">
        <v>91151</v>
      </c>
    </row>
    <row r="990" spans="2:3" x14ac:dyDescent="0.25">
      <c r="B990" s="983" t="s">
        <v>3697</v>
      </c>
      <c r="C990" s="966">
        <v>91154</v>
      </c>
    </row>
    <row r="991" spans="2:3" x14ac:dyDescent="0.25">
      <c r="B991" s="983" t="s">
        <v>1223</v>
      </c>
      <c r="C991" s="966">
        <v>90901</v>
      </c>
    </row>
    <row r="992" spans="2:3" x14ac:dyDescent="0.25">
      <c r="B992" s="983" t="s">
        <v>2142</v>
      </c>
      <c r="C992" s="966">
        <v>90941</v>
      </c>
    </row>
    <row r="993" spans="2:3" x14ac:dyDescent="0.25">
      <c r="B993" s="983" t="s">
        <v>2143</v>
      </c>
      <c r="C993" s="966">
        <v>99521</v>
      </c>
    </row>
    <row r="994" spans="2:3" x14ac:dyDescent="0.25">
      <c r="B994" s="983" t="s">
        <v>3698</v>
      </c>
      <c r="C994" s="966">
        <v>99527</v>
      </c>
    </row>
    <row r="995" spans="2:3" x14ac:dyDescent="0.25">
      <c r="B995" s="983" t="s">
        <v>1987</v>
      </c>
      <c r="C995" s="966">
        <v>99508</v>
      </c>
    </row>
    <row r="996" spans="2:3" x14ac:dyDescent="0.25">
      <c r="B996" s="983" t="s">
        <v>1576</v>
      </c>
      <c r="C996" s="966">
        <v>94532</v>
      </c>
    </row>
    <row r="997" spans="2:3" x14ac:dyDescent="0.25">
      <c r="B997" s="983" t="s">
        <v>3699</v>
      </c>
      <c r="C997" s="966">
        <v>91071</v>
      </c>
    </row>
    <row r="998" spans="2:3" x14ac:dyDescent="0.25">
      <c r="B998" s="983" t="s">
        <v>3700</v>
      </c>
      <c r="C998" s="966">
        <v>91077</v>
      </c>
    </row>
    <row r="999" spans="2:3" x14ac:dyDescent="0.25">
      <c r="B999" s="983" t="s">
        <v>2144</v>
      </c>
      <c r="C999" s="966">
        <v>92331</v>
      </c>
    </row>
    <row r="1000" spans="2:3" x14ac:dyDescent="0.25">
      <c r="B1000" s="983" t="s">
        <v>2145</v>
      </c>
      <c r="C1000" s="966">
        <v>92414</v>
      </c>
    </row>
    <row r="1001" spans="2:3" x14ac:dyDescent="0.25">
      <c r="B1001" s="983" t="s">
        <v>2146</v>
      </c>
      <c r="C1001" s="966">
        <v>99511</v>
      </c>
    </row>
    <row r="1002" spans="2:3" x14ac:dyDescent="0.25">
      <c r="B1002" s="983" t="s">
        <v>2147</v>
      </c>
      <c r="C1002" s="966">
        <v>99941</v>
      </c>
    </row>
    <row r="1003" spans="2:3" x14ac:dyDescent="0.25">
      <c r="B1003" s="983" t="s">
        <v>1713</v>
      </c>
      <c r="C1003" s="966">
        <v>96405</v>
      </c>
    </row>
    <row r="1004" spans="2:3" x14ac:dyDescent="0.25">
      <c r="B1004" s="983" t="s">
        <v>2148</v>
      </c>
      <c r="C1004" s="966">
        <v>98811</v>
      </c>
    </row>
    <row r="1005" spans="2:3" x14ac:dyDescent="0.25">
      <c r="B1005" s="983" t="s">
        <v>3701</v>
      </c>
      <c r="C1005" s="966">
        <v>98817</v>
      </c>
    </row>
    <row r="1006" spans="2:3" x14ac:dyDescent="0.25">
      <c r="B1006" s="983" t="s">
        <v>2149</v>
      </c>
      <c r="C1006" s="966">
        <v>92561</v>
      </c>
    </row>
    <row r="1007" spans="2:3" x14ac:dyDescent="0.25">
      <c r="B1007" s="983" t="s">
        <v>1872</v>
      </c>
      <c r="C1007" s="966">
        <v>98102</v>
      </c>
    </row>
    <row r="1008" spans="2:3" x14ac:dyDescent="0.25">
      <c r="B1008" s="983" t="s">
        <v>2150</v>
      </c>
      <c r="C1008" s="966">
        <v>95321</v>
      </c>
    </row>
    <row r="1009" spans="2:3" x14ac:dyDescent="0.25">
      <c r="B1009" s="983" t="s">
        <v>2151</v>
      </c>
      <c r="C1009" s="966">
        <v>91861</v>
      </c>
    </row>
    <row r="1010" spans="2:3" x14ac:dyDescent="0.25">
      <c r="B1010" s="983" t="s">
        <v>2152</v>
      </c>
      <c r="C1010" s="966">
        <v>92421</v>
      </c>
    </row>
    <row r="1011" spans="2:3" x14ac:dyDescent="0.25">
      <c r="B1011" s="983" t="s">
        <v>3702</v>
      </c>
      <c r="C1011" s="966">
        <v>91006</v>
      </c>
    </row>
    <row r="1012" spans="2:3" x14ac:dyDescent="0.25">
      <c r="B1012" s="983" t="s">
        <v>3703</v>
      </c>
      <c r="C1012" s="966">
        <v>91003</v>
      </c>
    </row>
    <row r="1013" spans="2:3" x14ac:dyDescent="0.25">
      <c r="B1013" s="983" t="s">
        <v>1230</v>
      </c>
      <c r="C1013" s="966">
        <v>91001</v>
      </c>
    </row>
    <row r="1014" spans="2:3" x14ac:dyDescent="0.25">
      <c r="B1014" s="983" t="s">
        <v>3704</v>
      </c>
      <c r="C1014" s="966">
        <v>91004</v>
      </c>
    </row>
    <row r="1015" spans="2:3" x14ac:dyDescent="0.25">
      <c r="B1015" s="983" t="s">
        <v>3705</v>
      </c>
      <c r="C1015" s="966">
        <v>91009</v>
      </c>
    </row>
    <row r="1016" spans="2:3" x14ac:dyDescent="0.25">
      <c r="B1016" s="983" t="s">
        <v>3706</v>
      </c>
      <c r="C1016" s="966">
        <v>91042</v>
      </c>
    </row>
    <row r="1017" spans="2:3" x14ac:dyDescent="0.25">
      <c r="B1017" s="983" t="s">
        <v>2153</v>
      </c>
      <c r="C1017" s="966">
        <v>98711</v>
      </c>
    </row>
    <row r="1018" spans="2:3" x14ac:dyDescent="0.25">
      <c r="B1018" s="983" t="s">
        <v>3707</v>
      </c>
      <c r="C1018" s="966">
        <v>98717</v>
      </c>
    </row>
    <row r="1019" spans="2:3" x14ac:dyDescent="0.25">
      <c r="B1019" s="983" t="s">
        <v>1258</v>
      </c>
      <c r="C1019" s="966">
        <v>91101</v>
      </c>
    </row>
    <row r="1020" spans="2:3" x14ac:dyDescent="0.25">
      <c r="B1020" s="983" t="s">
        <v>2154</v>
      </c>
      <c r="C1020" s="966">
        <v>93531</v>
      </c>
    </row>
    <row r="1021" spans="2:3" x14ac:dyDescent="0.25">
      <c r="B1021" s="983" t="s">
        <v>3708</v>
      </c>
      <c r="C1021" s="966">
        <v>93537</v>
      </c>
    </row>
    <row r="1022" spans="2:3" x14ac:dyDescent="0.25">
      <c r="B1022" s="983" t="s">
        <v>2155</v>
      </c>
      <c r="C1022" s="966">
        <v>97111</v>
      </c>
    </row>
    <row r="1023" spans="2:3" x14ac:dyDescent="0.25">
      <c r="B1023" s="983" t="s">
        <v>3709</v>
      </c>
      <c r="C1023" s="966">
        <v>91206</v>
      </c>
    </row>
    <row r="1024" spans="2:3" x14ac:dyDescent="0.25">
      <c r="B1024" s="983" t="s">
        <v>3710</v>
      </c>
      <c r="C1024" s="966">
        <v>91203</v>
      </c>
    </row>
    <row r="1025" spans="2:3" x14ac:dyDescent="0.25">
      <c r="B1025" s="983" t="s">
        <v>1277</v>
      </c>
      <c r="C1025" s="966">
        <v>91201</v>
      </c>
    </row>
    <row r="1026" spans="2:3" x14ac:dyDescent="0.25">
      <c r="B1026" s="983" t="s">
        <v>3711</v>
      </c>
      <c r="C1026" s="966">
        <v>91208</v>
      </c>
    </row>
    <row r="1027" spans="2:3" x14ac:dyDescent="0.25">
      <c r="B1027" s="983" t="s">
        <v>3712</v>
      </c>
      <c r="C1027" s="966">
        <v>91202</v>
      </c>
    </row>
    <row r="1028" spans="2:3" x14ac:dyDescent="0.25">
      <c r="B1028" s="983" t="s">
        <v>2156</v>
      </c>
      <c r="C1028" s="966">
        <v>90111</v>
      </c>
    </row>
    <row r="1029" spans="2:3" x14ac:dyDescent="0.25">
      <c r="B1029" s="983" t="s">
        <v>2157</v>
      </c>
      <c r="C1029" s="966">
        <v>90011</v>
      </c>
    </row>
    <row r="1030" spans="2:3" x14ac:dyDescent="0.25">
      <c r="B1030" s="983" t="s">
        <v>2158</v>
      </c>
      <c r="C1030" s="966">
        <v>93931</v>
      </c>
    </row>
    <row r="1031" spans="2:3" x14ac:dyDescent="0.25">
      <c r="B1031" s="983" t="s">
        <v>3713</v>
      </c>
      <c r="C1031" s="973">
        <v>91306</v>
      </c>
    </row>
    <row r="1032" spans="2:3" x14ac:dyDescent="0.25">
      <c r="B1032" s="983" t="s">
        <v>1291</v>
      </c>
      <c r="C1032" s="966">
        <v>91301</v>
      </c>
    </row>
    <row r="1033" spans="2:3" x14ac:dyDescent="0.25">
      <c r="B1033" s="983" t="s">
        <v>3714</v>
      </c>
      <c r="C1033" s="973">
        <v>91308</v>
      </c>
    </row>
    <row r="1034" spans="2:3" x14ac:dyDescent="0.25">
      <c r="B1034" s="983" t="s">
        <v>3715</v>
      </c>
      <c r="C1034" s="966">
        <v>91461</v>
      </c>
    </row>
    <row r="1035" spans="2:3" x14ac:dyDescent="0.25">
      <c r="B1035" s="983" t="s">
        <v>2159</v>
      </c>
      <c r="C1035" s="966">
        <v>91010</v>
      </c>
    </row>
    <row r="1036" spans="2:3" x14ac:dyDescent="0.25">
      <c r="B1036" s="983" t="s">
        <v>3716</v>
      </c>
      <c r="C1036" s="966">
        <v>91007</v>
      </c>
    </row>
    <row r="1037" spans="2:3" x14ac:dyDescent="0.25">
      <c r="B1037" s="983" t="s">
        <v>1301</v>
      </c>
      <c r="C1037" s="966">
        <v>91401</v>
      </c>
    </row>
    <row r="1038" spans="2:3" x14ac:dyDescent="0.25">
      <c r="B1038" s="983" t="s">
        <v>2160</v>
      </c>
      <c r="C1038" s="966">
        <v>93171</v>
      </c>
    </row>
    <row r="1039" spans="2:3" x14ac:dyDescent="0.25">
      <c r="B1039" s="983" t="s">
        <v>1311</v>
      </c>
      <c r="C1039" s="966">
        <v>91501</v>
      </c>
    </row>
    <row r="1040" spans="2:3" x14ac:dyDescent="0.25">
      <c r="B1040" s="983" t="s">
        <v>3717</v>
      </c>
      <c r="C1040" s="966">
        <v>91504</v>
      </c>
    </row>
    <row r="1041" spans="2:3" x14ac:dyDescent="0.25">
      <c r="B1041" s="983" t="s">
        <v>2161</v>
      </c>
      <c r="C1041" s="966">
        <v>96312</v>
      </c>
    </row>
    <row r="1042" spans="2:3" x14ac:dyDescent="0.25">
      <c r="B1042" s="983" t="s">
        <v>2162</v>
      </c>
      <c r="C1042" s="966">
        <v>96241</v>
      </c>
    </row>
    <row r="1043" spans="2:3" x14ac:dyDescent="0.25">
      <c r="B1043" s="983" t="s">
        <v>2163</v>
      </c>
      <c r="C1043" s="966">
        <v>94431</v>
      </c>
    </row>
    <row r="1044" spans="2:3" x14ac:dyDescent="0.25">
      <c r="B1044" s="983" t="s">
        <v>3718</v>
      </c>
      <c r="C1044" s="966">
        <v>94437</v>
      </c>
    </row>
    <row r="1045" spans="2:3" x14ac:dyDescent="0.25">
      <c r="B1045" s="983" t="s">
        <v>2164</v>
      </c>
      <c r="C1045" s="966">
        <v>91671</v>
      </c>
    </row>
    <row r="1046" spans="2:3" x14ac:dyDescent="0.25">
      <c r="B1046" s="983" t="s">
        <v>1235</v>
      </c>
      <c r="C1046" s="966">
        <v>91008</v>
      </c>
    </row>
    <row r="1047" spans="2:3" x14ac:dyDescent="0.25">
      <c r="B1047" s="983" t="s">
        <v>1727</v>
      </c>
      <c r="C1047" s="966">
        <v>96512</v>
      </c>
    </row>
    <row r="1048" spans="2:3" x14ac:dyDescent="0.25">
      <c r="B1048" s="983" t="s">
        <v>1724</v>
      </c>
      <c r="C1048" s="966">
        <v>96507</v>
      </c>
    </row>
    <row r="1049" spans="2:3" x14ac:dyDescent="0.25">
      <c r="B1049" s="983" t="s">
        <v>2165</v>
      </c>
      <c r="C1049" s="966">
        <v>96521</v>
      </c>
    </row>
    <row r="1050" spans="2:3" x14ac:dyDescent="0.25">
      <c r="B1050" s="983" t="s">
        <v>2166</v>
      </c>
      <c r="C1050" s="966">
        <v>91024</v>
      </c>
    </row>
    <row r="1051" spans="2:3" x14ac:dyDescent="0.25">
      <c r="B1051" s="983" t="s">
        <v>2167</v>
      </c>
      <c r="C1051" s="966">
        <v>96821</v>
      </c>
    </row>
    <row r="1052" spans="2:3" x14ac:dyDescent="0.25">
      <c r="B1052" s="983" t="s">
        <v>1313</v>
      </c>
      <c r="C1052" s="966">
        <v>91601</v>
      </c>
    </row>
    <row r="1053" spans="2:3" x14ac:dyDescent="0.25">
      <c r="B1053" s="983" t="s">
        <v>3719</v>
      </c>
      <c r="C1053" s="966">
        <v>91604</v>
      </c>
    </row>
    <row r="1054" spans="2:3" x14ac:dyDescent="0.25">
      <c r="B1054" s="983" t="s">
        <v>2168</v>
      </c>
      <c r="C1054" s="966">
        <v>96391</v>
      </c>
    </row>
    <row r="1055" spans="2:3" x14ac:dyDescent="0.25">
      <c r="B1055" s="983" t="s">
        <v>2169</v>
      </c>
      <c r="C1055" s="966">
        <v>99221</v>
      </c>
    </row>
    <row r="1056" spans="2:3" x14ac:dyDescent="0.25">
      <c r="B1056" s="983" t="s">
        <v>2170</v>
      </c>
      <c r="C1056" s="966">
        <v>91051</v>
      </c>
    </row>
    <row r="1057" spans="2:3" x14ac:dyDescent="0.25">
      <c r="B1057" s="983" t="s">
        <v>3720</v>
      </c>
      <c r="C1057" s="966">
        <v>91706</v>
      </c>
    </row>
    <row r="1058" spans="2:3" x14ac:dyDescent="0.25">
      <c r="B1058" s="983" t="s">
        <v>1326</v>
      </c>
      <c r="C1058" s="966">
        <v>91701</v>
      </c>
    </row>
    <row r="1059" spans="2:3" x14ac:dyDescent="0.25">
      <c r="B1059" s="983" t="s">
        <v>3721</v>
      </c>
      <c r="C1059" s="966">
        <v>91704</v>
      </c>
    </row>
    <row r="1060" spans="2:3" x14ac:dyDescent="0.25">
      <c r="B1060" s="983" t="s">
        <v>2171</v>
      </c>
      <c r="C1060" s="966">
        <v>91881</v>
      </c>
    </row>
    <row r="1061" spans="2:3" x14ac:dyDescent="0.25">
      <c r="B1061" s="983" t="s">
        <v>1329</v>
      </c>
      <c r="C1061" s="966">
        <v>91801</v>
      </c>
    </row>
    <row r="1062" spans="2:3" x14ac:dyDescent="0.25">
      <c r="B1062" s="983" t="s">
        <v>3722</v>
      </c>
      <c r="C1062" s="966">
        <v>91804</v>
      </c>
    </row>
    <row r="1063" spans="2:3" x14ac:dyDescent="0.25">
      <c r="B1063" s="983" t="s">
        <v>2172</v>
      </c>
      <c r="C1063" s="966">
        <v>91691</v>
      </c>
    </row>
    <row r="1064" spans="2:3" x14ac:dyDescent="0.25">
      <c r="B1064" s="983" t="s">
        <v>3723</v>
      </c>
      <c r="C1064" s="966">
        <v>99222</v>
      </c>
    </row>
    <row r="1065" spans="2:3" x14ac:dyDescent="0.25">
      <c r="B1065" s="983" t="s">
        <v>3525</v>
      </c>
      <c r="C1065" s="966">
        <v>93408</v>
      </c>
    </row>
    <row r="1066" spans="2:3" x14ac:dyDescent="0.25">
      <c r="B1066" s="983" t="s">
        <v>1675</v>
      </c>
      <c r="C1066" s="966">
        <v>96009</v>
      </c>
    </row>
    <row r="1067" spans="2:3" x14ac:dyDescent="0.25">
      <c r="B1067" s="983" t="s">
        <v>2173</v>
      </c>
      <c r="C1067" s="966">
        <v>92441</v>
      </c>
    </row>
    <row r="1068" spans="2:3" x14ac:dyDescent="0.25">
      <c r="B1068" s="983" t="s">
        <v>2174</v>
      </c>
      <c r="C1068" s="966">
        <v>96811</v>
      </c>
    </row>
    <row r="1069" spans="2:3" x14ac:dyDescent="0.25">
      <c r="B1069" s="983" t="s">
        <v>2175</v>
      </c>
      <c r="C1069" s="966">
        <v>96011</v>
      </c>
    </row>
    <row r="1070" spans="2:3" x14ac:dyDescent="0.25">
      <c r="B1070" s="983" t="s">
        <v>3724</v>
      </c>
      <c r="C1070" s="966">
        <v>96018</v>
      </c>
    </row>
    <row r="1071" spans="2:3" x14ac:dyDescent="0.25">
      <c r="B1071" s="983" t="s">
        <v>3725</v>
      </c>
      <c r="C1071" s="966">
        <v>96003</v>
      </c>
    </row>
    <row r="1072" spans="2:3" x14ac:dyDescent="0.25">
      <c r="B1072" s="983" t="s">
        <v>3726</v>
      </c>
      <c r="C1072" s="966">
        <v>96005</v>
      </c>
    </row>
    <row r="1073" spans="2:3" x14ac:dyDescent="0.25">
      <c r="B1073" s="983" t="s">
        <v>3526</v>
      </c>
      <c r="C1073" s="966">
        <v>96012</v>
      </c>
    </row>
    <row r="1074" spans="2:3" x14ac:dyDescent="0.25">
      <c r="B1074" s="983" t="s">
        <v>3727</v>
      </c>
      <c r="C1074" s="966">
        <v>91903</v>
      </c>
    </row>
    <row r="1075" spans="2:3" x14ac:dyDescent="0.25">
      <c r="B1075" s="983" t="s">
        <v>1343</v>
      </c>
      <c r="C1075" s="966">
        <v>91901</v>
      </c>
    </row>
    <row r="1076" spans="2:3" x14ac:dyDescent="0.25">
      <c r="B1076" s="983" t="s">
        <v>3728</v>
      </c>
      <c r="C1076" s="966">
        <v>91904</v>
      </c>
    </row>
    <row r="1077" spans="2:3" x14ac:dyDescent="0.25">
      <c r="B1077" s="983" t="s">
        <v>1350</v>
      </c>
      <c r="C1077" s="966">
        <v>92001</v>
      </c>
    </row>
    <row r="1078" spans="2:3" x14ac:dyDescent="0.25">
      <c r="B1078" s="983" t="s">
        <v>2176</v>
      </c>
      <c r="C1078" s="966">
        <v>93641</v>
      </c>
    </row>
    <row r="1079" spans="2:3" x14ac:dyDescent="0.25">
      <c r="B1079" s="983" t="s">
        <v>3729</v>
      </c>
      <c r="C1079" s="966">
        <v>93647</v>
      </c>
    </row>
    <row r="1080" spans="2:3" x14ac:dyDescent="0.25">
      <c r="B1080" s="983" t="s">
        <v>2177</v>
      </c>
      <c r="C1080" s="966">
        <v>98041</v>
      </c>
    </row>
    <row r="1081" spans="2:3" x14ac:dyDescent="0.25">
      <c r="B1081" s="983" t="s">
        <v>3730</v>
      </c>
      <c r="C1081" s="966">
        <v>96612</v>
      </c>
    </row>
    <row r="1082" spans="2:3" x14ac:dyDescent="0.25">
      <c r="B1082" s="983" t="s">
        <v>2178</v>
      </c>
      <c r="C1082" s="966">
        <v>90751</v>
      </c>
    </row>
    <row r="1083" spans="2:3" x14ac:dyDescent="0.25">
      <c r="B1083" s="983" t="s">
        <v>1355</v>
      </c>
      <c r="C1083" s="966">
        <v>92101</v>
      </c>
    </row>
    <row r="1084" spans="2:3" x14ac:dyDescent="0.25">
      <c r="B1084" s="983" t="s">
        <v>3731</v>
      </c>
      <c r="C1084" s="966">
        <v>92104</v>
      </c>
    </row>
    <row r="1085" spans="2:3" x14ac:dyDescent="0.25">
      <c r="B1085" s="983" t="s">
        <v>2179</v>
      </c>
      <c r="C1085" s="966">
        <v>91821</v>
      </c>
    </row>
    <row r="1086" spans="2:3" x14ac:dyDescent="0.25">
      <c r="B1086" s="983" t="s">
        <v>2180</v>
      </c>
      <c r="C1086" s="966">
        <v>90931</v>
      </c>
    </row>
    <row r="1087" spans="2:3" x14ac:dyDescent="0.25">
      <c r="B1087" s="983" t="s">
        <v>1360</v>
      </c>
      <c r="C1087" s="966">
        <v>92201</v>
      </c>
    </row>
    <row r="1088" spans="2:3" x14ac:dyDescent="0.25">
      <c r="B1088" s="983" t="s">
        <v>2181</v>
      </c>
      <c r="C1088" s="966">
        <v>95131</v>
      </c>
    </row>
    <row r="1089" spans="2:3" x14ac:dyDescent="0.25">
      <c r="B1089" s="983" t="s">
        <v>2182</v>
      </c>
      <c r="C1089" s="966">
        <v>93441</v>
      </c>
    </row>
    <row r="1090" spans="2:3" x14ac:dyDescent="0.25">
      <c r="B1090" s="983" t="s">
        <v>1472</v>
      </c>
      <c r="C1090" s="966">
        <v>93442</v>
      </c>
    </row>
    <row r="1091" spans="2:3" x14ac:dyDescent="0.25">
      <c r="B1091" s="983" t="s">
        <v>2183</v>
      </c>
      <c r="C1091" s="966">
        <v>98091</v>
      </c>
    </row>
    <row r="1092" spans="2:3" x14ac:dyDescent="0.25">
      <c r="B1092" s="983" t="s">
        <v>1361</v>
      </c>
      <c r="C1092" s="966">
        <v>92301</v>
      </c>
    </row>
    <row r="1093" spans="2:3" x14ac:dyDescent="0.25">
      <c r="B1093" s="983" t="s">
        <v>3732</v>
      </c>
      <c r="C1093" s="966">
        <v>92302</v>
      </c>
    </row>
    <row r="1094" spans="2:3" x14ac:dyDescent="0.25">
      <c r="B1094" s="983" t="s">
        <v>2184</v>
      </c>
      <c r="C1094" s="966">
        <v>98211</v>
      </c>
    </row>
    <row r="1095" spans="2:3" x14ac:dyDescent="0.25">
      <c r="B1095" s="983" t="s">
        <v>3733</v>
      </c>
      <c r="C1095" s="966">
        <v>98218</v>
      </c>
    </row>
    <row r="1096" spans="2:3" x14ac:dyDescent="0.25">
      <c r="B1096" s="983" t="s">
        <v>3734</v>
      </c>
      <c r="C1096" s="966">
        <v>92506</v>
      </c>
    </row>
    <row r="1097" spans="2:3" x14ac:dyDescent="0.25">
      <c r="B1097" s="983" t="s">
        <v>3735</v>
      </c>
      <c r="C1097" s="966">
        <v>92508</v>
      </c>
    </row>
    <row r="1098" spans="2:3" x14ac:dyDescent="0.25">
      <c r="B1098" s="983" t="s">
        <v>2185</v>
      </c>
      <c r="C1098" s="966">
        <v>94341</v>
      </c>
    </row>
    <row r="1099" spans="2:3" x14ac:dyDescent="0.25">
      <c r="B1099" s="983" t="s">
        <v>2186</v>
      </c>
      <c r="C1099" s="966">
        <v>94641</v>
      </c>
    </row>
    <row r="1100" spans="2:3" x14ac:dyDescent="0.25">
      <c r="B1100" s="983" t="s">
        <v>2187</v>
      </c>
      <c r="C1100" s="966">
        <v>90813</v>
      </c>
    </row>
    <row r="1101" spans="2:3" x14ac:dyDescent="0.25">
      <c r="B1101" s="983" t="s">
        <v>1537</v>
      </c>
      <c r="C1101" s="966">
        <v>94168</v>
      </c>
    </row>
    <row r="1102" spans="2:3" x14ac:dyDescent="0.25">
      <c r="B1102" s="983" t="s">
        <v>2188</v>
      </c>
      <c r="C1102" s="966">
        <v>98911</v>
      </c>
    </row>
    <row r="1103" spans="2:3" x14ac:dyDescent="0.25">
      <c r="B1103" s="983" t="s">
        <v>2189</v>
      </c>
      <c r="C1103" s="966">
        <v>97521</v>
      </c>
    </row>
    <row r="1104" spans="2:3" x14ac:dyDescent="0.25">
      <c r="B1104" s="983" t="s">
        <v>1370</v>
      </c>
      <c r="C1104" s="966">
        <v>92401</v>
      </c>
    </row>
    <row r="1105" spans="2:3" x14ac:dyDescent="0.25">
      <c r="B1105" s="983" t="s">
        <v>2190</v>
      </c>
      <c r="C1105" s="966">
        <v>91311</v>
      </c>
    </row>
    <row r="1106" spans="2:3" x14ac:dyDescent="0.25">
      <c r="B1106" s="983" t="s">
        <v>3736</v>
      </c>
      <c r="C1106" s="966">
        <v>91317</v>
      </c>
    </row>
    <row r="1107" spans="2:3" x14ac:dyDescent="0.25">
      <c r="B1107" s="983" t="s">
        <v>2191</v>
      </c>
      <c r="C1107" s="966">
        <v>91261</v>
      </c>
    </row>
    <row r="1108" spans="2:3" x14ac:dyDescent="0.25">
      <c r="B1108" s="983" t="s">
        <v>2192</v>
      </c>
      <c r="C1108" s="966">
        <v>91851</v>
      </c>
    </row>
    <row r="1109" spans="2:3" x14ac:dyDescent="0.25">
      <c r="B1109" s="983" t="s">
        <v>3737</v>
      </c>
      <c r="C1109" s="966">
        <v>97408</v>
      </c>
    </row>
    <row r="1110" spans="2:3" x14ac:dyDescent="0.25">
      <c r="B1110" s="983" t="s">
        <v>2193</v>
      </c>
      <c r="C1110" s="966">
        <v>96641</v>
      </c>
    </row>
    <row r="1111" spans="2:3" x14ac:dyDescent="0.25">
      <c r="B1111" s="983" t="s">
        <v>2194</v>
      </c>
      <c r="C1111" s="966">
        <v>93031</v>
      </c>
    </row>
    <row r="1112" spans="2:3" x14ac:dyDescent="0.25">
      <c r="B1112" s="983" t="s">
        <v>3738</v>
      </c>
      <c r="C1112" s="966">
        <v>93027</v>
      </c>
    </row>
    <row r="1113" spans="2:3" x14ac:dyDescent="0.25">
      <c r="B1113" s="983" t="s">
        <v>2195</v>
      </c>
      <c r="C1113" s="966">
        <v>96051</v>
      </c>
    </row>
    <row r="1114" spans="2:3" x14ac:dyDescent="0.25">
      <c r="B1114" s="983" t="s">
        <v>3739</v>
      </c>
      <c r="C1114" s="966">
        <v>94501</v>
      </c>
    </row>
    <row r="1115" spans="2:3" x14ac:dyDescent="0.25">
      <c r="B1115" s="983" t="s">
        <v>2196</v>
      </c>
      <c r="C1115" s="966">
        <v>92571</v>
      </c>
    </row>
    <row r="1116" spans="2:3" x14ac:dyDescent="0.25">
      <c r="B1116" s="983" t="s">
        <v>2197</v>
      </c>
      <c r="C1116" s="966">
        <v>93631</v>
      </c>
    </row>
    <row r="1117" spans="2:3" x14ac:dyDescent="0.25">
      <c r="B1117" s="983" t="s">
        <v>3740</v>
      </c>
      <c r="C1117" s="966">
        <v>92504</v>
      </c>
    </row>
    <row r="1118" spans="2:3" x14ac:dyDescent="0.25">
      <c r="B1118" s="983" t="s">
        <v>1381</v>
      </c>
      <c r="C1118" s="966">
        <v>92501</v>
      </c>
    </row>
    <row r="1119" spans="2:3" x14ac:dyDescent="0.25">
      <c r="B1119" s="983" t="s">
        <v>1384</v>
      </c>
      <c r="C1119" s="966">
        <v>92505</v>
      </c>
    </row>
    <row r="1120" spans="2:3" x14ac:dyDescent="0.25">
      <c r="B1120" s="983" t="s">
        <v>2198</v>
      </c>
      <c r="C1120" s="966">
        <v>93921</v>
      </c>
    </row>
    <row r="1121" spans="2:3" x14ac:dyDescent="0.25">
      <c r="B1121" s="983" t="s">
        <v>2199</v>
      </c>
      <c r="C1121" s="966">
        <v>99431</v>
      </c>
    </row>
    <row r="1122" spans="2:3" x14ac:dyDescent="0.25">
      <c r="B1122" s="983" t="s">
        <v>3741</v>
      </c>
      <c r="C1122" s="966">
        <v>92604</v>
      </c>
    </row>
    <row r="1123" spans="2:3" x14ac:dyDescent="0.25">
      <c r="B1123" s="983" t="s">
        <v>1395</v>
      </c>
      <c r="C1123" s="966">
        <v>92601</v>
      </c>
    </row>
    <row r="1124" spans="2:3" x14ac:dyDescent="0.25">
      <c r="B1124" s="983" t="s">
        <v>1398</v>
      </c>
      <c r="C1124" s="966">
        <v>92608</v>
      </c>
    </row>
    <row r="1125" spans="2:3" x14ac:dyDescent="0.25">
      <c r="B1125" s="983" t="s">
        <v>3742</v>
      </c>
      <c r="C1125" s="966">
        <v>92704</v>
      </c>
    </row>
    <row r="1126" spans="2:3" x14ac:dyDescent="0.25">
      <c r="B1126" s="983" t="s">
        <v>1409</v>
      </c>
      <c r="C1126" s="966">
        <v>92701</v>
      </c>
    </row>
    <row r="1127" spans="2:3" x14ac:dyDescent="0.25">
      <c r="B1127" s="983" t="s">
        <v>2200</v>
      </c>
      <c r="C1127" s="966">
        <v>93651</v>
      </c>
    </row>
    <row r="1128" spans="2:3" x14ac:dyDescent="0.25">
      <c r="B1128" s="983" t="s">
        <v>1411</v>
      </c>
      <c r="C1128" s="966">
        <v>92801</v>
      </c>
    </row>
    <row r="1129" spans="2:3" x14ac:dyDescent="0.25">
      <c r="B1129" s="983" t="s">
        <v>3743</v>
      </c>
      <c r="C1129" s="966">
        <v>92804</v>
      </c>
    </row>
    <row r="1130" spans="2:3" x14ac:dyDescent="0.25">
      <c r="B1130" s="983" t="s">
        <v>1412</v>
      </c>
      <c r="C1130" s="966">
        <v>92802</v>
      </c>
    </row>
    <row r="1131" spans="2:3" x14ac:dyDescent="0.25">
      <c r="B1131" s="983" t="s">
        <v>2201</v>
      </c>
      <c r="C1131" s="966">
        <v>96081</v>
      </c>
    </row>
    <row r="1132" spans="2:3" x14ac:dyDescent="0.25">
      <c r="B1132" s="983" t="s">
        <v>1420</v>
      </c>
      <c r="C1132" s="966">
        <v>92901</v>
      </c>
    </row>
    <row r="1133" spans="2:3" x14ac:dyDescent="0.25">
      <c r="B1133" s="983" t="s">
        <v>1427</v>
      </c>
      <c r="C1133" s="966">
        <v>93001</v>
      </c>
    </row>
    <row r="1134" spans="2:3" x14ac:dyDescent="0.25">
      <c r="B1134" s="983" t="s">
        <v>3744</v>
      </c>
      <c r="C1134" s="966">
        <v>93009</v>
      </c>
    </row>
    <row r="1135" spans="2:3" x14ac:dyDescent="0.25">
      <c r="B1135" s="983" t="s">
        <v>2202</v>
      </c>
      <c r="C1135" s="966">
        <v>92921</v>
      </c>
    </row>
    <row r="1136" spans="2:3" x14ac:dyDescent="0.25">
      <c r="B1136" s="983" t="s">
        <v>2203</v>
      </c>
      <c r="C1136" s="966">
        <v>98621</v>
      </c>
    </row>
    <row r="1137" spans="2:3" x14ac:dyDescent="0.25">
      <c r="B1137" s="983" t="s">
        <v>3745</v>
      </c>
      <c r="C1137" s="966">
        <v>98627</v>
      </c>
    </row>
    <row r="1138" spans="2:3" x14ac:dyDescent="0.25">
      <c r="B1138" s="983" t="s">
        <v>2204</v>
      </c>
      <c r="C1138" s="966">
        <v>91221</v>
      </c>
    </row>
    <row r="1139" spans="2:3" x14ac:dyDescent="0.25">
      <c r="B1139" s="983" t="s">
        <v>2205</v>
      </c>
      <c r="C1139" s="966">
        <v>92861</v>
      </c>
    </row>
    <row r="1140" spans="2:3" x14ac:dyDescent="0.25">
      <c r="B1140" s="983" t="s">
        <v>2206</v>
      </c>
      <c r="C1140" s="966">
        <v>94311</v>
      </c>
    </row>
    <row r="1141" spans="2:3" x14ac:dyDescent="0.25">
      <c r="B1141" s="983" t="s">
        <v>3746</v>
      </c>
      <c r="C1141" s="966">
        <v>94317</v>
      </c>
    </row>
    <row r="1142" spans="2:3" x14ac:dyDescent="0.25">
      <c r="B1142" s="983" t="s">
        <v>1552</v>
      </c>
      <c r="C1142" s="966">
        <v>94313</v>
      </c>
    </row>
    <row r="1143" spans="2:3" x14ac:dyDescent="0.25">
      <c r="B1143" s="983" t="s">
        <v>1433</v>
      </c>
      <c r="C1143" s="966">
        <v>93101</v>
      </c>
    </row>
    <row r="1144" spans="2:3" x14ac:dyDescent="0.25">
      <c r="B1144" s="983" t="s">
        <v>2207</v>
      </c>
      <c r="C1144" s="966">
        <v>93103</v>
      </c>
    </row>
    <row r="1145" spans="2:3" x14ac:dyDescent="0.25">
      <c r="B1145" s="983" t="s">
        <v>2208</v>
      </c>
      <c r="C1145" s="966">
        <v>93211</v>
      </c>
    </row>
    <row r="1146" spans="2:3" x14ac:dyDescent="0.25">
      <c r="B1146" s="983" t="s">
        <v>3747</v>
      </c>
      <c r="C1146" s="966">
        <v>93212</v>
      </c>
    </row>
    <row r="1147" spans="2:3" x14ac:dyDescent="0.25">
      <c r="B1147" s="983" t="s">
        <v>1446</v>
      </c>
      <c r="C1147" s="966">
        <v>93201</v>
      </c>
    </row>
    <row r="1148" spans="2:3" x14ac:dyDescent="0.25">
      <c r="B1148" s="983" t="s">
        <v>3748</v>
      </c>
      <c r="C1148" s="966">
        <v>93204</v>
      </c>
    </row>
    <row r="1149" spans="2:3" x14ac:dyDescent="0.25">
      <c r="B1149" s="983" t="s">
        <v>3749</v>
      </c>
      <c r="C1149" s="966">
        <v>99212</v>
      </c>
    </row>
    <row r="1150" spans="2:3" x14ac:dyDescent="0.25">
      <c r="B1150" s="983" t="s">
        <v>1765</v>
      </c>
      <c r="C1150" s="966">
        <v>97005</v>
      </c>
    </row>
    <row r="1151" spans="2:3" x14ac:dyDescent="0.25">
      <c r="B1151" s="983" t="s">
        <v>2209</v>
      </c>
      <c r="C1151" s="966">
        <v>99931</v>
      </c>
    </row>
    <row r="1152" spans="2:3" x14ac:dyDescent="0.25">
      <c r="B1152" s="983" t="s">
        <v>2210</v>
      </c>
      <c r="C1152" s="966">
        <v>98021</v>
      </c>
    </row>
    <row r="1153" spans="2:3" x14ac:dyDescent="0.25">
      <c r="B1153" s="983" t="s">
        <v>1863</v>
      </c>
      <c r="C1153" s="966">
        <v>98023</v>
      </c>
    </row>
    <row r="1154" spans="2:3" x14ac:dyDescent="0.25">
      <c r="B1154" s="983" t="s">
        <v>1160</v>
      </c>
      <c r="C1154" s="966">
        <v>70505</v>
      </c>
    </row>
    <row r="1155" spans="2:3" x14ac:dyDescent="0.25">
      <c r="B1155" s="983" t="s">
        <v>3750</v>
      </c>
      <c r="C1155" s="966">
        <v>99603</v>
      </c>
    </row>
    <row r="1156" spans="2:3" x14ac:dyDescent="0.25">
      <c r="B1156" s="983" t="s">
        <v>3751</v>
      </c>
      <c r="C1156" s="966">
        <v>99610</v>
      </c>
    </row>
    <row r="1157" spans="2:3" x14ac:dyDescent="0.25">
      <c r="B1157" s="983" t="s">
        <v>2211</v>
      </c>
      <c r="C1157" s="966">
        <v>92681</v>
      </c>
    </row>
    <row r="1158" spans="2:3" x14ac:dyDescent="0.25">
      <c r="B1158" s="983" t="s">
        <v>3529</v>
      </c>
      <c r="C1158" s="966">
        <v>93108</v>
      </c>
    </row>
    <row r="1159" spans="2:3" x14ac:dyDescent="0.25">
      <c r="B1159" s="983" t="s">
        <v>2212</v>
      </c>
      <c r="C1159" s="966">
        <v>97951</v>
      </c>
    </row>
    <row r="1160" spans="2:3" x14ac:dyDescent="0.25">
      <c r="B1160" s="983" t="s">
        <v>3752</v>
      </c>
      <c r="C1160" s="966">
        <v>97957</v>
      </c>
    </row>
    <row r="1161" spans="2:3" x14ac:dyDescent="0.25">
      <c r="B1161" s="983" t="s">
        <v>2213</v>
      </c>
      <c r="C1161" s="966">
        <v>92111</v>
      </c>
    </row>
    <row r="1162" spans="2:3" x14ac:dyDescent="0.25">
      <c r="B1162" s="983" t="s">
        <v>1453</v>
      </c>
      <c r="C1162" s="966">
        <v>93301</v>
      </c>
    </row>
    <row r="1163" spans="2:3" x14ac:dyDescent="0.25">
      <c r="B1163" s="983" t="s">
        <v>3753</v>
      </c>
      <c r="C1163" s="966">
        <v>93304</v>
      </c>
    </row>
    <row r="1164" spans="2:3" x14ac:dyDescent="0.25">
      <c r="B1164" s="983" t="s">
        <v>3754</v>
      </c>
      <c r="C1164" s="966">
        <v>93305</v>
      </c>
    </row>
    <row r="1165" spans="2:3" x14ac:dyDescent="0.25">
      <c r="B1165" s="983" t="s">
        <v>3755</v>
      </c>
      <c r="C1165" s="966">
        <v>99210</v>
      </c>
    </row>
    <row r="1166" spans="2:3" x14ac:dyDescent="0.25">
      <c r="B1166" s="983" t="s">
        <v>1768</v>
      </c>
      <c r="C1166" s="966">
        <v>97011</v>
      </c>
    </row>
    <row r="1167" spans="2:3" x14ac:dyDescent="0.25">
      <c r="B1167" s="983" t="s">
        <v>3756</v>
      </c>
      <c r="C1167" s="966">
        <v>97013</v>
      </c>
    </row>
    <row r="1168" spans="2:3" x14ac:dyDescent="0.25">
      <c r="B1168" s="983" t="s">
        <v>3757</v>
      </c>
      <c r="C1168" s="966">
        <v>97012</v>
      </c>
    </row>
    <row r="1169" spans="2:3" x14ac:dyDescent="0.25">
      <c r="B1169" s="983" t="s">
        <v>3758</v>
      </c>
      <c r="C1169" s="966">
        <v>97018</v>
      </c>
    </row>
    <row r="1170" spans="2:3" x14ac:dyDescent="0.25">
      <c r="B1170" s="983" t="s">
        <v>2214</v>
      </c>
      <c r="C1170" s="966">
        <v>90911</v>
      </c>
    </row>
    <row r="1171" spans="2:3" x14ac:dyDescent="0.25">
      <c r="B1171" s="983" t="s">
        <v>3759</v>
      </c>
      <c r="C1171" s="966">
        <v>90917</v>
      </c>
    </row>
    <row r="1172" spans="2:3" x14ac:dyDescent="0.25">
      <c r="B1172" s="983" t="s">
        <v>2215</v>
      </c>
      <c r="C1172" s="966">
        <v>90641</v>
      </c>
    </row>
    <row r="1173" spans="2:3" x14ac:dyDescent="0.25">
      <c r="B1173" s="983" t="s">
        <v>2216</v>
      </c>
      <c r="C1173" s="966">
        <v>98641</v>
      </c>
    </row>
    <row r="1174" spans="2:3" x14ac:dyDescent="0.25">
      <c r="B1174" s="983" t="s">
        <v>2217</v>
      </c>
      <c r="C1174" s="966">
        <v>98161</v>
      </c>
    </row>
    <row r="1175" spans="2:3" x14ac:dyDescent="0.25">
      <c r="B1175" s="983" t="s">
        <v>2218</v>
      </c>
      <c r="C1175" s="966">
        <v>97731</v>
      </c>
    </row>
    <row r="1176" spans="2:3" x14ac:dyDescent="0.25">
      <c r="B1176" s="983" t="s">
        <v>2219</v>
      </c>
      <c r="C1176" s="966">
        <v>99851</v>
      </c>
    </row>
    <row r="1177" spans="2:3" x14ac:dyDescent="0.25">
      <c r="B1177" s="983" t="s">
        <v>3760</v>
      </c>
      <c r="C1177" s="966">
        <v>90131</v>
      </c>
    </row>
    <row r="1178" spans="2:3" x14ac:dyDescent="0.25">
      <c r="B1178" s="983" t="s">
        <v>2220</v>
      </c>
      <c r="C1178" s="966">
        <v>91651</v>
      </c>
    </row>
    <row r="1179" spans="2:3" x14ac:dyDescent="0.25">
      <c r="B1179" s="983" t="s">
        <v>2221</v>
      </c>
      <c r="C1179" s="966">
        <v>94211</v>
      </c>
    </row>
    <row r="1180" spans="2:3" x14ac:dyDescent="0.25">
      <c r="B1180" s="983" t="s">
        <v>2222</v>
      </c>
      <c r="C1180" s="966">
        <v>94331</v>
      </c>
    </row>
    <row r="1181" spans="2:3" x14ac:dyDescent="0.25">
      <c r="B1181" s="983" t="s">
        <v>2223</v>
      </c>
      <c r="C1181" s="966">
        <v>92431</v>
      </c>
    </row>
    <row r="1182" spans="2:3" x14ac:dyDescent="0.25">
      <c r="B1182" s="983" t="s">
        <v>2224</v>
      </c>
      <c r="C1182" s="966">
        <v>97821</v>
      </c>
    </row>
    <row r="1183" spans="2:3" x14ac:dyDescent="0.25">
      <c r="B1183" s="983" t="s">
        <v>1835</v>
      </c>
      <c r="C1183" s="966">
        <v>97823</v>
      </c>
    </row>
    <row r="1184" spans="2:3" x14ac:dyDescent="0.25">
      <c r="B1184" s="983" t="s">
        <v>2225</v>
      </c>
      <c r="C1184" s="966">
        <v>93141</v>
      </c>
    </row>
    <row r="1185" spans="2:3" x14ac:dyDescent="0.25">
      <c r="B1185" s="983" t="s">
        <v>2226</v>
      </c>
      <c r="C1185" s="966">
        <v>98081</v>
      </c>
    </row>
    <row r="1186" spans="2:3" x14ac:dyDescent="0.25">
      <c r="B1186" s="983" t="s">
        <v>2227</v>
      </c>
      <c r="C1186" s="966">
        <v>92671</v>
      </c>
    </row>
    <row r="1187" spans="2:3" x14ac:dyDescent="0.25">
      <c r="B1187" s="983" t="s">
        <v>2228</v>
      </c>
      <c r="C1187" s="966">
        <v>97421</v>
      </c>
    </row>
    <row r="1188" spans="2:3" x14ac:dyDescent="0.25">
      <c r="B1188" s="983" t="s">
        <v>1794</v>
      </c>
      <c r="C1188" s="966">
        <v>97423</v>
      </c>
    </row>
    <row r="1189" spans="2:3" x14ac:dyDescent="0.25">
      <c r="B1189" s="983" t="s">
        <v>2229</v>
      </c>
      <c r="C1189" s="966">
        <v>92611</v>
      </c>
    </row>
    <row r="1190" spans="2:3" x14ac:dyDescent="0.25">
      <c r="B1190" s="983" t="s">
        <v>3761</v>
      </c>
      <c r="C1190" s="966">
        <v>92613</v>
      </c>
    </row>
    <row r="1191" spans="2:3" x14ac:dyDescent="0.25">
      <c r="B1191" s="983" t="s">
        <v>3762</v>
      </c>
      <c r="C1191" s="966">
        <v>92502</v>
      </c>
    </row>
    <row r="1192" spans="2:3" x14ac:dyDescent="0.25">
      <c r="B1192" s="983" t="s">
        <v>2230</v>
      </c>
      <c r="C1192" s="966">
        <v>94531</v>
      </c>
    </row>
    <row r="1193" spans="2:3" x14ac:dyDescent="0.25">
      <c r="B1193" s="983" t="s">
        <v>2231</v>
      </c>
      <c r="C1193" s="966">
        <v>94541</v>
      </c>
    </row>
    <row r="1194" spans="2:3" x14ac:dyDescent="0.25">
      <c r="B1194" s="983" t="s">
        <v>3763</v>
      </c>
      <c r="C1194" s="966">
        <v>94547</v>
      </c>
    </row>
    <row r="1195" spans="2:3" x14ac:dyDescent="0.25">
      <c r="B1195" s="983" t="s">
        <v>1604</v>
      </c>
      <c r="C1195" s="966">
        <v>95005</v>
      </c>
    </row>
    <row r="1196" spans="2:3" x14ac:dyDescent="0.25">
      <c r="B1196" s="983" t="s">
        <v>1876</v>
      </c>
      <c r="C1196" s="966">
        <v>98111</v>
      </c>
    </row>
    <row r="1197" spans="2:3" x14ac:dyDescent="0.25">
      <c r="B1197" s="983" t="s">
        <v>3764</v>
      </c>
      <c r="C1197" s="966">
        <v>98107</v>
      </c>
    </row>
    <row r="1198" spans="2:3" x14ac:dyDescent="0.25">
      <c r="B1198" s="983" t="s">
        <v>1877</v>
      </c>
      <c r="C1198" s="966">
        <v>98113</v>
      </c>
    </row>
    <row r="1199" spans="2:3" x14ac:dyDescent="0.25">
      <c r="B1199" s="983" t="s">
        <v>3765</v>
      </c>
      <c r="C1199" s="966">
        <v>99602</v>
      </c>
    </row>
    <row r="1200" spans="2:3" x14ac:dyDescent="0.25">
      <c r="B1200" s="983" t="s">
        <v>1464</v>
      </c>
      <c r="C1200" s="966">
        <v>93401</v>
      </c>
    </row>
    <row r="1201" spans="2:3" x14ac:dyDescent="0.25">
      <c r="B1201" s="983" t="s">
        <v>3766</v>
      </c>
      <c r="C1201" s="966">
        <v>97491</v>
      </c>
    </row>
    <row r="1202" spans="2:3" x14ac:dyDescent="0.25">
      <c r="B1202" s="983" t="s">
        <v>2232</v>
      </c>
      <c r="C1202" s="966">
        <v>95151</v>
      </c>
    </row>
    <row r="1203" spans="2:3" x14ac:dyDescent="0.25">
      <c r="B1203" s="983" t="s">
        <v>1709</v>
      </c>
      <c r="C1203" s="966">
        <v>96381</v>
      </c>
    </row>
    <row r="1204" spans="2:3" x14ac:dyDescent="0.25">
      <c r="B1204" s="983" t="s">
        <v>2233</v>
      </c>
      <c r="C1204" s="966">
        <v>95611</v>
      </c>
    </row>
    <row r="1205" spans="2:3" x14ac:dyDescent="0.25">
      <c r="B1205" s="983" t="s">
        <v>1476</v>
      </c>
      <c r="C1205" s="966">
        <v>93501</v>
      </c>
    </row>
    <row r="1206" spans="2:3" x14ac:dyDescent="0.25">
      <c r="B1206" s="983" t="s">
        <v>2234</v>
      </c>
      <c r="C1206" s="966">
        <v>93511</v>
      </c>
    </row>
    <row r="1207" spans="2:3" x14ac:dyDescent="0.25">
      <c r="B1207" s="983" t="s">
        <v>3767</v>
      </c>
      <c r="C1207" s="966">
        <v>93517</v>
      </c>
    </row>
    <row r="1208" spans="2:3" x14ac:dyDescent="0.25">
      <c r="B1208" s="983" t="s">
        <v>2235</v>
      </c>
      <c r="C1208" s="966">
        <v>99631</v>
      </c>
    </row>
    <row r="1209" spans="2:3" x14ac:dyDescent="0.25">
      <c r="B1209" s="983" t="s">
        <v>2236</v>
      </c>
      <c r="C1209" s="966">
        <v>99261</v>
      </c>
    </row>
    <row r="1210" spans="2:3" x14ac:dyDescent="0.25">
      <c r="B1210" s="983" t="s">
        <v>2237</v>
      </c>
      <c r="C1210" s="966">
        <v>98241</v>
      </c>
    </row>
    <row r="1211" spans="2:3" x14ac:dyDescent="0.25">
      <c r="B1211" s="983" t="s">
        <v>2238</v>
      </c>
      <c r="C1211" s="966">
        <v>99251</v>
      </c>
    </row>
    <row r="1212" spans="2:3" x14ac:dyDescent="0.25">
      <c r="B1212" s="983" t="s">
        <v>3768</v>
      </c>
      <c r="C1212" s="966">
        <v>99252</v>
      </c>
    </row>
    <row r="1213" spans="2:3" x14ac:dyDescent="0.25">
      <c r="B1213" s="983" t="s">
        <v>2239</v>
      </c>
      <c r="C1213" s="966">
        <v>96631</v>
      </c>
    </row>
    <row r="1214" spans="2:3" x14ac:dyDescent="0.25">
      <c r="B1214" s="983" t="s">
        <v>2240</v>
      </c>
      <c r="C1214" s="966">
        <v>96651</v>
      </c>
    </row>
    <row r="1215" spans="2:3" x14ac:dyDescent="0.25">
      <c r="B1215" s="983" t="s">
        <v>1484</v>
      </c>
      <c r="C1215" s="966">
        <v>93601</v>
      </c>
    </row>
    <row r="1216" spans="2:3" x14ac:dyDescent="0.25">
      <c r="B1216" s="983" t="s">
        <v>3769</v>
      </c>
      <c r="C1216" s="966">
        <v>93618</v>
      </c>
    </row>
    <row r="1217" spans="2:3" x14ac:dyDescent="0.25">
      <c r="B1217" s="983" t="s">
        <v>2241</v>
      </c>
      <c r="C1217" s="966">
        <v>93611</v>
      </c>
    </row>
    <row r="1218" spans="2:3" x14ac:dyDescent="0.25">
      <c r="B1218" s="983" t="s">
        <v>3770</v>
      </c>
      <c r="C1218" s="966">
        <v>93617</v>
      </c>
    </row>
    <row r="1219" spans="2:3" x14ac:dyDescent="0.25">
      <c r="B1219" s="983" t="s">
        <v>1501</v>
      </c>
      <c r="C1219" s="966">
        <v>93701</v>
      </c>
    </row>
    <row r="1220" spans="2:3" x14ac:dyDescent="0.25">
      <c r="B1220" s="983" t="s">
        <v>3771</v>
      </c>
      <c r="C1220" s="966">
        <v>93704</v>
      </c>
    </row>
    <row r="1221" spans="2:3" x14ac:dyDescent="0.25">
      <c r="B1221" s="983" t="s">
        <v>2242</v>
      </c>
      <c r="C1221" s="966">
        <v>98331</v>
      </c>
    </row>
    <row r="1222" spans="2:3" x14ac:dyDescent="0.25">
      <c r="B1222" s="983" t="s">
        <v>2243</v>
      </c>
      <c r="C1222" s="966">
        <v>94151</v>
      </c>
    </row>
    <row r="1223" spans="2:3" x14ac:dyDescent="0.25">
      <c r="B1223" s="983" t="s">
        <v>3772</v>
      </c>
      <c r="C1223" s="966">
        <v>94157</v>
      </c>
    </row>
    <row r="1224" spans="2:3" x14ac:dyDescent="0.25">
      <c r="B1224" s="983" t="s">
        <v>2244</v>
      </c>
      <c r="C1224" s="966">
        <v>91241</v>
      </c>
    </row>
    <row r="1225" spans="2:3" x14ac:dyDescent="0.25">
      <c r="B1225" s="983" t="s">
        <v>1638</v>
      </c>
      <c r="C1225" s="966">
        <v>95412</v>
      </c>
    </row>
    <row r="1226" spans="2:3" x14ac:dyDescent="0.25">
      <c r="B1226" s="983" t="s">
        <v>2245</v>
      </c>
      <c r="C1226" s="966">
        <v>99611</v>
      </c>
    </row>
    <row r="1227" spans="2:3" x14ac:dyDescent="0.25">
      <c r="B1227" s="983" t="s">
        <v>1346</v>
      </c>
      <c r="C1227" s="966">
        <v>91908</v>
      </c>
    </row>
    <row r="1228" spans="2:3" x14ac:dyDescent="0.25">
      <c r="B1228" s="983" t="s">
        <v>2246</v>
      </c>
      <c r="C1228" s="966">
        <v>90121</v>
      </c>
    </row>
    <row r="1229" spans="2:3" x14ac:dyDescent="0.25">
      <c r="B1229" s="983" t="s">
        <v>3773</v>
      </c>
      <c r="C1229" s="966">
        <v>93803</v>
      </c>
    </row>
    <row r="1230" spans="2:3" x14ac:dyDescent="0.25">
      <c r="B1230" s="983" t="s">
        <v>1503</v>
      </c>
      <c r="C1230" s="966">
        <v>93801</v>
      </c>
    </row>
    <row r="1231" spans="2:3" x14ac:dyDescent="0.25">
      <c r="B1231" s="983" t="s">
        <v>3774</v>
      </c>
      <c r="C1231" s="966">
        <v>93806</v>
      </c>
    </row>
    <row r="1232" spans="2:3" x14ac:dyDescent="0.25">
      <c r="B1232" s="983" t="s">
        <v>2247</v>
      </c>
      <c r="C1232" s="966">
        <v>91411</v>
      </c>
    </row>
    <row r="1233" spans="2:3" x14ac:dyDescent="0.25">
      <c r="B1233" s="983" t="s">
        <v>3775</v>
      </c>
      <c r="C1233" s="966">
        <v>91417</v>
      </c>
    </row>
    <row r="1234" spans="2:3" x14ac:dyDescent="0.25">
      <c r="B1234" s="983" t="s">
        <v>2248</v>
      </c>
      <c r="C1234" s="966">
        <v>98061</v>
      </c>
    </row>
    <row r="1235" spans="2:3" x14ac:dyDescent="0.25">
      <c r="B1235" s="983" t="s">
        <v>3776</v>
      </c>
      <c r="C1235" s="966">
        <v>93904</v>
      </c>
    </row>
    <row r="1236" spans="2:3" x14ac:dyDescent="0.25">
      <c r="B1236" s="983" t="s">
        <v>1506</v>
      </c>
      <c r="C1236" s="966">
        <v>93901</v>
      </c>
    </row>
    <row r="1237" spans="2:3" x14ac:dyDescent="0.25">
      <c r="B1237" s="983" t="s">
        <v>1508</v>
      </c>
      <c r="C1237" s="966">
        <v>93906</v>
      </c>
    </row>
    <row r="1238" spans="2:3" x14ac:dyDescent="0.25">
      <c r="B1238" s="983" t="s">
        <v>3777</v>
      </c>
      <c r="C1238" s="966">
        <v>93908</v>
      </c>
    </row>
    <row r="1239" spans="2:3" x14ac:dyDescent="0.25">
      <c r="B1239" s="983" t="s">
        <v>3778</v>
      </c>
      <c r="C1239" s="966">
        <v>94908</v>
      </c>
    </row>
    <row r="1240" spans="2:3" x14ac:dyDescent="0.25">
      <c r="B1240" s="983" t="s">
        <v>2249</v>
      </c>
      <c r="C1240" s="966">
        <v>90161</v>
      </c>
    </row>
    <row r="1241" spans="2:3" x14ac:dyDescent="0.25">
      <c r="B1241" s="983" t="s">
        <v>1516</v>
      </c>
      <c r="C1241" s="966">
        <v>94001</v>
      </c>
    </row>
    <row r="1242" spans="2:3" x14ac:dyDescent="0.25">
      <c r="B1242" s="983" t="s">
        <v>3779</v>
      </c>
      <c r="C1242" s="966">
        <v>94004</v>
      </c>
    </row>
    <row r="1243" spans="2:3" x14ac:dyDescent="0.25">
      <c r="B1243" s="983" t="s">
        <v>2250</v>
      </c>
      <c r="C1243" s="966">
        <v>94111</v>
      </c>
    </row>
    <row r="1244" spans="2:3" x14ac:dyDescent="0.25">
      <c r="B1244" s="983" t="s">
        <v>3780</v>
      </c>
      <c r="C1244" s="966">
        <v>94117</v>
      </c>
    </row>
    <row r="1245" spans="2:3" x14ac:dyDescent="0.25">
      <c r="B1245" s="983" t="s">
        <v>2251</v>
      </c>
      <c r="C1245" s="966">
        <v>97411</v>
      </c>
    </row>
    <row r="1246" spans="2:3" x14ac:dyDescent="0.25">
      <c r="B1246" s="983" t="s">
        <v>1792</v>
      </c>
      <c r="C1246" s="966">
        <v>97413</v>
      </c>
    </row>
    <row r="1247" spans="2:3" x14ac:dyDescent="0.25">
      <c r="B1247" s="983" t="s">
        <v>1791</v>
      </c>
      <c r="C1247" s="966">
        <v>97412</v>
      </c>
    </row>
    <row r="1248" spans="2:3" x14ac:dyDescent="0.25">
      <c r="B1248" s="983" t="s">
        <v>2252</v>
      </c>
      <c r="C1248" s="966">
        <v>97431</v>
      </c>
    </row>
    <row r="1249" spans="2:3" x14ac:dyDescent="0.25">
      <c r="B1249" s="983" t="s">
        <v>2253</v>
      </c>
      <c r="C1249" s="966">
        <v>97471</v>
      </c>
    </row>
    <row r="1250" spans="2:3" x14ac:dyDescent="0.25">
      <c r="B1250" s="983" t="s">
        <v>2254</v>
      </c>
      <c r="C1250" s="966">
        <v>92351</v>
      </c>
    </row>
    <row r="1251" spans="2:3" x14ac:dyDescent="0.25">
      <c r="B1251" s="983" t="s">
        <v>2255</v>
      </c>
      <c r="C1251" s="966">
        <v>94101</v>
      </c>
    </row>
    <row r="1252" spans="2:3" x14ac:dyDescent="0.25">
      <c r="B1252" s="983" t="s">
        <v>3781</v>
      </c>
      <c r="C1252" s="966">
        <v>94118</v>
      </c>
    </row>
    <row r="1253" spans="2:3" x14ac:dyDescent="0.25">
      <c r="B1253" s="983" t="s">
        <v>1524</v>
      </c>
      <c r="C1253" s="966">
        <v>94102</v>
      </c>
    </row>
    <row r="1254" spans="2:3" x14ac:dyDescent="0.25">
      <c r="B1254" s="983" t="s">
        <v>1540</v>
      </c>
      <c r="C1254" s="966">
        <v>94201</v>
      </c>
    </row>
    <row r="1255" spans="2:3" x14ac:dyDescent="0.25">
      <c r="B1255" s="983" t="s">
        <v>3782</v>
      </c>
      <c r="C1255" s="966">
        <v>94204</v>
      </c>
    </row>
    <row r="1256" spans="2:3" x14ac:dyDescent="0.25">
      <c r="B1256" s="983" t="s">
        <v>1542</v>
      </c>
      <c r="C1256" s="966">
        <v>94205</v>
      </c>
    </row>
    <row r="1257" spans="2:3" x14ac:dyDescent="0.25">
      <c r="B1257" s="983" t="s">
        <v>2256</v>
      </c>
      <c r="C1257" s="966">
        <v>95831</v>
      </c>
    </row>
    <row r="1258" spans="2:3" x14ac:dyDescent="0.25">
      <c r="B1258" s="983" t="s">
        <v>2257</v>
      </c>
      <c r="C1258" s="966">
        <v>97721</v>
      </c>
    </row>
    <row r="1259" spans="2:3" x14ac:dyDescent="0.25">
      <c r="B1259" s="983" t="s">
        <v>3783</v>
      </c>
      <c r="C1259" s="966">
        <v>97717</v>
      </c>
    </row>
    <row r="1260" spans="2:3" x14ac:dyDescent="0.25">
      <c r="B1260" s="983" t="s">
        <v>1550</v>
      </c>
      <c r="C1260" s="966">
        <v>94301</v>
      </c>
    </row>
    <row r="1261" spans="2:3" x14ac:dyDescent="0.25">
      <c r="B1261" s="983" t="s">
        <v>2258</v>
      </c>
      <c r="C1261" s="966">
        <v>91441</v>
      </c>
    </row>
    <row r="1262" spans="2:3" x14ac:dyDescent="0.25">
      <c r="B1262" s="983" t="s">
        <v>2259</v>
      </c>
      <c r="C1262" s="966">
        <v>92531</v>
      </c>
    </row>
    <row r="1263" spans="2:3" x14ac:dyDescent="0.25">
      <c r="B1263" s="983" t="s">
        <v>2260</v>
      </c>
      <c r="C1263" s="966">
        <v>90141</v>
      </c>
    </row>
    <row r="1264" spans="2:3" x14ac:dyDescent="0.25">
      <c r="B1264" s="983" t="s">
        <v>1559</v>
      </c>
      <c r="C1264" s="966">
        <v>94401</v>
      </c>
    </row>
    <row r="1265" spans="2:3" x14ac:dyDescent="0.25">
      <c r="B1265" s="983" t="s">
        <v>3784</v>
      </c>
      <c r="C1265" s="966">
        <v>94403</v>
      </c>
    </row>
    <row r="1266" spans="2:3" x14ac:dyDescent="0.25">
      <c r="B1266" s="983" t="s">
        <v>1560</v>
      </c>
      <c r="C1266" s="966">
        <v>94402</v>
      </c>
    </row>
    <row r="1267" spans="2:3" x14ac:dyDescent="0.25">
      <c r="B1267" s="983" t="s">
        <v>2261</v>
      </c>
      <c r="C1267" s="966">
        <v>99111</v>
      </c>
    </row>
    <row r="1268" spans="2:3" x14ac:dyDescent="0.25">
      <c r="B1268" s="983" t="s">
        <v>2262</v>
      </c>
      <c r="C1268" s="966">
        <v>94511</v>
      </c>
    </row>
    <row r="1269" spans="2:3" x14ac:dyDescent="0.25">
      <c r="B1269" s="983" t="s">
        <v>3785</v>
      </c>
      <c r="C1269" s="966">
        <v>94517</v>
      </c>
    </row>
    <row r="1270" spans="2:3" x14ac:dyDescent="0.25">
      <c r="B1270" s="983" t="s">
        <v>1571</v>
      </c>
      <c r="C1270" s="966">
        <v>94512</v>
      </c>
    </row>
    <row r="1271" spans="2:3" x14ac:dyDescent="0.25">
      <c r="B1271" s="983" t="s">
        <v>2263</v>
      </c>
      <c r="C1271" s="966">
        <v>97211</v>
      </c>
    </row>
    <row r="1272" spans="2:3" x14ac:dyDescent="0.25">
      <c r="B1272" s="983" t="s">
        <v>3786</v>
      </c>
      <c r="C1272" s="966">
        <v>97217</v>
      </c>
    </row>
    <row r="1273" spans="2:3" x14ac:dyDescent="0.25">
      <c r="B1273" s="983" t="s">
        <v>1580</v>
      </c>
      <c r="C1273" s="966">
        <v>94601</v>
      </c>
    </row>
    <row r="1274" spans="2:3" x14ac:dyDescent="0.25">
      <c r="B1274" s="983" t="s">
        <v>3787</v>
      </c>
      <c r="C1274" s="966">
        <v>94604</v>
      </c>
    </row>
    <row r="1275" spans="2:3" x14ac:dyDescent="0.25">
      <c r="B1275" s="983" t="s">
        <v>1582</v>
      </c>
      <c r="C1275" s="966">
        <v>94606</v>
      </c>
    </row>
    <row r="1276" spans="2:3" x14ac:dyDescent="0.25">
      <c r="B1276" s="983" t="s">
        <v>3788</v>
      </c>
      <c r="C1276" s="966">
        <v>97213</v>
      </c>
    </row>
    <row r="1277" spans="2:3" x14ac:dyDescent="0.25">
      <c r="B1277" s="983" t="s">
        <v>2264</v>
      </c>
      <c r="C1277" s="966">
        <v>91811</v>
      </c>
    </row>
    <row r="1278" spans="2:3" x14ac:dyDescent="0.25">
      <c r="B1278" s="983" t="s">
        <v>3789</v>
      </c>
      <c r="C1278" s="966">
        <v>91812</v>
      </c>
    </row>
    <row r="1279" spans="2:3" x14ac:dyDescent="0.25">
      <c r="B1279" s="983" t="s">
        <v>3790</v>
      </c>
      <c r="C1279" s="966">
        <v>91813</v>
      </c>
    </row>
    <row r="1280" spans="2:3" x14ac:dyDescent="0.25">
      <c r="B1280" s="983" t="s">
        <v>3791</v>
      </c>
      <c r="C1280" s="966">
        <v>90617</v>
      </c>
    </row>
    <row r="1281" spans="2:3" x14ac:dyDescent="0.25">
      <c r="B1281" s="983" t="s">
        <v>3792</v>
      </c>
      <c r="C1281" s="966">
        <v>94127</v>
      </c>
    </row>
    <row r="1282" spans="2:3" x14ac:dyDescent="0.25">
      <c r="B1282" s="983" t="s">
        <v>2265</v>
      </c>
      <c r="C1282" s="966">
        <v>95621</v>
      </c>
    </row>
    <row r="1283" spans="2:3" x14ac:dyDescent="0.25">
      <c r="B1283" s="983" t="s">
        <v>3793</v>
      </c>
      <c r="C1283" s="966">
        <v>95617</v>
      </c>
    </row>
    <row r="1284" spans="2:3" x14ac:dyDescent="0.25">
      <c r="B1284" s="983" t="s">
        <v>3794</v>
      </c>
      <c r="C1284" s="966">
        <v>94121</v>
      </c>
    </row>
    <row r="1285" spans="2:3" x14ac:dyDescent="0.25">
      <c r="B1285" s="983" t="s">
        <v>3795</v>
      </c>
      <c r="C1285" s="966">
        <v>91251</v>
      </c>
    </row>
    <row r="1286" spans="2:3" x14ac:dyDescent="0.25">
      <c r="B1286" s="983" t="s">
        <v>2266</v>
      </c>
      <c r="C1286" s="966">
        <v>96831</v>
      </c>
    </row>
    <row r="1287" spans="2:3" x14ac:dyDescent="0.25">
      <c r="B1287" s="983" t="s">
        <v>2267</v>
      </c>
      <c r="C1287" s="966">
        <v>94251</v>
      </c>
    </row>
    <row r="1288" spans="2:3" x14ac:dyDescent="0.25">
      <c r="B1288" s="983" t="s">
        <v>1587</v>
      </c>
      <c r="C1288" s="966">
        <v>94701</v>
      </c>
    </row>
    <row r="1289" spans="2:3" x14ac:dyDescent="0.25">
      <c r="B1289" s="983" t="s">
        <v>3796</v>
      </c>
      <c r="C1289" s="966">
        <v>94704</v>
      </c>
    </row>
    <row r="1290" spans="2:3" x14ac:dyDescent="0.25">
      <c r="B1290" s="983" t="s">
        <v>2268</v>
      </c>
      <c r="C1290" s="966">
        <v>91014</v>
      </c>
    </row>
    <row r="1291" spans="2:3" x14ac:dyDescent="0.25">
      <c r="B1291" s="983" t="s">
        <v>2269</v>
      </c>
      <c r="C1291" s="966">
        <v>96731</v>
      </c>
    </row>
    <row r="1292" spans="2:3" x14ac:dyDescent="0.25">
      <c r="B1292" s="983" t="s">
        <v>1749</v>
      </c>
      <c r="C1292" s="966">
        <v>96733</v>
      </c>
    </row>
    <row r="1293" spans="2:3" x14ac:dyDescent="0.25">
      <c r="B1293" s="983" t="s">
        <v>2270</v>
      </c>
      <c r="C1293" s="966">
        <v>99202</v>
      </c>
    </row>
    <row r="1294" spans="2:3" x14ac:dyDescent="0.25">
      <c r="B1294" s="983" t="s">
        <v>2271</v>
      </c>
      <c r="C1294" s="966">
        <v>94011</v>
      </c>
    </row>
    <row r="1295" spans="2:3" x14ac:dyDescent="0.25">
      <c r="B1295" s="983" t="s">
        <v>2272</v>
      </c>
      <c r="C1295" s="966">
        <v>92631</v>
      </c>
    </row>
    <row r="1296" spans="2:3" x14ac:dyDescent="0.25">
      <c r="B1296" s="983" t="s">
        <v>1655</v>
      </c>
      <c r="C1296" s="966">
        <v>95733</v>
      </c>
    </row>
    <row r="1297" spans="2:3" x14ac:dyDescent="0.25">
      <c r="B1297" s="983" t="s">
        <v>3797</v>
      </c>
      <c r="C1297" s="966">
        <v>95413</v>
      </c>
    </row>
    <row r="1298" spans="2:3" x14ac:dyDescent="0.25">
      <c r="B1298" s="983" t="s">
        <v>3798</v>
      </c>
      <c r="C1298" s="966">
        <v>98013</v>
      </c>
    </row>
    <row r="1299" spans="2:3" x14ac:dyDescent="0.25">
      <c r="B1299" s="983" t="s">
        <v>3799</v>
      </c>
      <c r="C1299" s="966">
        <v>99613</v>
      </c>
    </row>
    <row r="1300" spans="2:3" x14ac:dyDescent="0.25">
      <c r="B1300" s="983" t="s">
        <v>2273</v>
      </c>
      <c r="C1300" s="966">
        <v>91431</v>
      </c>
    </row>
    <row r="1301" spans="2:3" x14ac:dyDescent="0.25">
      <c r="B1301" s="983" t="s">
        <v>2274</v>
      </c>
      <c r="C1301" s="966">
        <v>96041</v>
      </c>
    </row>
    <row r="1302" spans="2:3" x14ac:dyDescent="0.25">
      <c r="B1302" s="983" t="s">
        <v>1590</v>
      </c>
      <c r="C1302" s="966">
        <v>94801</v>
      </c>
    </row>
    <row r="1303" spans="2:3" x14ac:dyDescent="0.25">
      <c r="B1303" s="983" t="s">
        <v>3800</v>
      </c>
      <c r="C1303" s="966">
        <v>94804</v>
      </c>
    </row>
    <row r="1304" spans="2:3" x14ac:dyDescent="0.25">
      <c r="B1304" s="983" t="s">
        <v>2275</v>
      </c>
      <c r="C1304" s="966">
        <v>91661</v>
      </c>
    </row>
    <row r="1305" spans="2:3" x14ac:dyDescent="0.25">
      <c r="B1305" s="983" t="s">
        <v>2276</v>
      </c>
      <c r="C1305" s="966">
        <v>99051</v>
      </c>
    </row>
    <row r="1306" spans="2:3" x14ac:dyDescent="0.25">
      <c r="B1306" s="983" t="s">
        <v>3532</v>
      </c>
      <c r="C1306" s="966">
        <v>99014</v>
      </c>
    </row>
    <row r="1307" spans="2:3" x14ac:dyDescent="0.25">
      <c r="B1307" s="983" t="s">
        <v>1593</v>
      </c>
      <c r="C1307" s="966">
        <v>94901</v>
      </c>
    </row>
    <row r="1308" spans="2:3" x14ac:dyDescent="0.25">
      <c r="B1308" s="983" t="s">
        <v>3801</v>
      </c>
      <c r="C1308" s="966">
        <v>98109</v>
      </c>
    </row>
    <row r="1309" spans="2:3" x14ac:dyDescent="0.25">
      <c r="B1309" s="983" t="s">
        <v>3802</v>
      </c>
      <c r="C1309" s="966">
        <v>98205</v>
      </c>
    </row>
    <row r="1310" spans="2:3" x14ac:dyDescent="0.25">
      <c r="B1310" s="983" t="s">
        <v>2277</v>
      </c>
      <c r="C1310" s="966">
        <v>96661</v>
      </c>
    </row>
    <row r="1311" spans="2:3" x14ac:dyDescent="0.25">
      <c r="B1311" s="983" t="s">
        <v>1602</v>
      </c>
      <c r="C1311" s="966">
        <v>95001</v>
      </c>
    </row>
    <row r="1312" spans="2:3" x14ac:dyDescent="0.25">
      <c r="B1312" s="983" t="s">
        <v>3533</v>
      </c>
      <c r="C1312" s="966">
        <v>95017</v>
      </c>
    </row>
    <row r="1313" spans="2:3" x14ac:dyDescent="0.25">
      <c r="B1313" s="983" t="s">
        <v>2278</v>
      </c>
      <c r="C1313" s="966">
        <v>96711</v>
      </c>
    </row>
    <row r="1314" spans="2:3" x14ac:dyDescent="0.25">
      <c r="B1314" s="983" t="s">
        <v>2279</v>
      </c>
      <c r="C1314" s="966">
        <v>94131</v>
      </c>
    </row>
    <row r="1315" spans="2:3" x14ac:dyDescent="0.25">
      <c r="B1315" s="983" t="s">
        <v>2280</v>
      </c>
      <c r="C1315" s="966">
        <v>95841</v>
      </c>
    </row>
    <row r="1316" spans="2:3" x14ac:dyDescent="0.25">
      <c r="B1316" s="983" t="s">
        <v>2281</v>
      </c>
      <c r="C1316" s="966">
        <v>90511</v>
      </c>
    </row>
    <row r="1317" spans="2:3" x14ac:dyDescent="0.25">
      <c r="B1317" s="983" t="s">
        <v>1608</v>
      </c>
      <c r="C1317" s="966">
        <v>95101</v>
      </c>
    </row>
    <row r="1318" spans="2:3" x14ac:dyDescent="0.25">
      <c r="B1318" s="983" t="s">
        <v>3803</v>
      </c>
      <c r="C1318" s="966">
        <v>95104</v>
      </c>
    </row>
    <row r="1319" spans="2:3" x14ac:dyDescent="0.25">
      <c r="B1319" s="983" t="s">
        <v>3534</v>
      </c>
      <c r="C1319" s="966">
        <v>95110</v>
      </c>
    </row>
    <row r="1320" spans="2:3" x14ac:dyDescent="0.25">
      <c r="B1320" s="983" t="s">
        <v>1625</v>
      </c>
      <c r="C1320" s="966">
        <v>95201</v>
      </c>
    </row>
    <row r="1321" spans="2:3" x14ac:dyDescent="0.25">
      <c r="B1321" s="983" t="s">
        <v>3804</v>
      </c>
      <c r="C1321" s="966">
        <v>95204</v>
      </c>
    </row>
    <row r="1322" spans="2:3" x14ac:dyDescent="0.25">
      <c r="B1322" s="983" t="s">
        <v>2282</v>
      </c>
      <c r="C1322" s="966">
        <v>99921</v>
      </c>
    </row>
    <row r="1323" spans="2:3" x14ac:dyDescent="0.25">
      <c r="B1323" s="983" t="s">
        <v>1561</v>
      </c>
      <c r="C1323" s="966">
        <v>94408</v>
      </c>
    </row>
    <row r="1324" spans="2:3" x14ac:dyDescent="0.25">
      <c r="B1324" s="983" t="s">
        <v>2283</v>
      </c>
      <c r="C1324" s="966">
        <v>91331</v>
      </c>
    </row>
    <row r="1325" spans="2:3" x14ac:dyDescent="0.25">
      <c r="B1325" s="983" t="s">
        <v>2284</v>
      </c>
      <c r="C1325" s="966">
        <v>93121</v>
      </c>
    </row>
    <row r="1326" spans="2:3" x14ac:dyDescent="0.25">
      <c r="B1326" s="983" t="s">
        <v>3805</v>
      </c>
      <c r="C1326" s="966">
        <v>93127</v>
      </c>
    </row>
    <row r="1327" spans="2:3" x14ac:dyDescent="0.25">
      <c r="B1327" s="983" t="s">
        <v>2285</v>
      </c>
      <c r="C1327" s="966">
        <v>95171</v>
      </c>
    </row>
    <row r="1328" spans="2:3" x14ac:dyDescent="0.25">
      <c r="B1328" s="983" t="s">
        <v>2286</v>
      </c>
      <c r="C1328" s="966">
        <v>93421</v>
      </c>
    </row>
    <row r="1329" spans="2:3" x14ac:dyDescent="0.25">
      <c r="B1329" s="983" t="s">
        <v>3806</v>
      </c>
      <c r="C1329" s="966">
        <v>99110</v>
      </c>
    </row>
    <row r="1330" spans="2:3" x14ac:dyDescent="0.25">
      <c r="B1330" s="983" t="s">
        <v>3807</v>
      </c>
      <c r="C1330" s="966">
        <v>99109</v>
      </c>
    </row>
    <row r="1331" spans="2:3" x14ac:dyDescent="0.25">
      <c r="B1331" s="983" t="s">
        <v>2287</v>
      </c>
      <c r="C1331" s="966">
        <v>92821</v>
      </c>
    </row>
    <row r="1332" spans="2:3" x14ac:dyDescent="0.25">
      <c r="B1332" s="983" t="s">
        <v>2288</v>
      </c>
      <c r="C1332" s="966">
        <v>98521</v>
      </c>
    </row>
    <row r="1333" spans="2:3" x14ac:dyDescent="0.25">
      <c r="B1333" s="983" t="s">
        <v>3808</v>
      </c>
      <c r="C1333" s="966">
        <v>92327</v>
      </c>
    </row>
    <row r="1334" spans="2:3" x14ac:dyDescent="0.25">
      <c r="B1334" s="983" t="s">
        <v>3809</v>
      </c>
      <c r="C1334" s="966">
        <v>92321</v>
      </c>
    </row>
    <row r="1335" spans="2:3" x14ac:dyDescent="0.25">
      <c r="B1335" s="983" t="s">
        <v>2289</v>
      </c>
      <c r="C1335" s="966">
        <v>95411</v>
      </c>
    </row>
    <row r="1336" spans="2:3" x14ac:dyDescent="0.25">
      <c r="B1336" s="983" t="s">
        <v>3810</v>
      </c>
      <c r="C1336" s="966">
        <v>95415</v>
      </c>
    </row>
    <row r="1337" spans="2:3" x14ac:dyDescent="0.25">
      <c r="B1337" s="983" t="s">
        <v>2290</v>
      </c>
      <c r="C1337" s="966">
        <v>92851</v>
      </c>
    </row>
    <row r="1338" spans="2:3" x14ac:dyDescent="0.25">
      <c r="B1338" s="983" t="s">
        <v>2291</v>
      </c>
      <c r="C1338" s="966">
        <v>99291</v>
      </c>
    </row>
    <row r="1339" spans="2:3" x14ac:dyDescent="0.25">
      <c r="B1339" s="983" t="s">
        <v>2292</v>
      </c>
      <c r="C1339" s="966">
        <v>96541</v>
      </c>
    </row>
    <row r="1340" spans="2:3" x14ac:dyDescent="0.25">
      <c r="B1340" s="983" t="s">
        <v>2293</v>
      </c>
      <c r="C1340" s="966">
        <v>95431</v>
      </c>
    </row>
    <row r="1341" spans="2:3" x14ac:dyDescent="0.25">
      <c r="B1341" s="983" t="s">
        <v>2294</v>
      </c>
      <c r="C1341" s="966">
        <v>98131</v>
      </c>
    </row>
    <row r="1342" spans="2:3" x14ac:dyDescent="0.25">
      <c r="B1342" s="983" t="s">
        <v>3811</v>
      </c>
      <c r="C1342" s="966">
        <v>92461</v>
      </c>
    </row>
    <row r="1343" spans="2:3" x14ac:dyDescent="0.25">
      <c r="B1343" s="983" t="s">
        <v>3812</v>
      </c>
      <c r="C1343" s="966">
        <v>92427</v>
      </c>
    </row>
    <row r="1344" spans="2:3" x14ac:dyDescent="0.25">
      <c r="B1344" s="983" t="s">
        <v>2295</v>
      </c>
      <c r="C1344" s="966">
        <v>98051</v>
      </c>
    </row>
    <row r="1345" spans="2:3" x14ac:dyDescent="0.25">
      <c r="B1345" s="983" t="s">
        <v>1259</v>
      </c>
      <c r="C1345" s="966">
        <v>91102</v>
      </c>
    </row>
    <row r="1346" spans="2:3" x14ac:dyDescent="0.25">
      <c r="B1346" s="983" t="s">
        <v>2296</v>
      </c>
      <c r="C1346" s="966">
        <v>94521</v>
      </c>
    </row>
    <row r="1347" spans="2:3" x14ac:dyDescent="0.25">
      <c r="B1347" s="983" t="s">
        <v>3813</v>
      </c>
      <c r="C1347" s="966">
        <v>94527</v>
      </c>
    </row>
    <row r="1348" spans="2:3" x14ac:dyDescent="0.25">
      <c r="B1348" s="983" t="s">
        <v>2297</v>
      </c>
      <c r="C1348" s="966">
        <v>98311</v>
      </c>
    </row>
    <row r="1349" spans="2:3" x14ac:dyDescent="0.25">
      <c r="B1349" s="983" t="s">
        <v>3814</v>
      </c>
      <c r="C1349" s="966">
        <v>98313</v>
      </c>
    </row>
    <row r="1350" spans="2:3" x14ac:dyDescent="0.25">
      <c r="B1350" s="983" t="s">
        <v>1896</v>
      </c>
      <c r="C1350" s="966">
        <v>98308</v>
      </c>
    </row>
    <row r="1351" spans="2:3" x14ac:dyDescent="0.25">
      <c r="B1351" s="983" t="s">
        <v>2298</v>
      </c>
      <c r="C1351" s="966">
        <v>92341</v>
      </c>
    </row>
    <row r="1352" spans="2:3" x14ac:dyDescent="0.25">
      <c r="B1352" s="983" t="s">
        <v>1630</v>
      </c>
      <c r="C1352" s="966">
        <v>95301</v>
      </c>
    </row>
    <row r="1353" spans="2:3" x14ac:dyDescent="0.25">
      <c r="B1353" s="983" t="s">
        <v>2299</v>
      </c>
      <c r="C1353" s="966">
        <v>91002</v>
      </c>
    </row>
    <row r="1354" spans="2:3" x14ac:dyDescent="0.25">
      <c r="B1354" s="983" t="s">
        <v>2300</v>
      </c>
      <c r="C1354" s="966">
        <v>91451</v>
      </c>
    </row>
    <row r="1355" spans="2:3" x14ac:dyDescent="0.25">
      <c r="B1355" s="983" t="s">
        <v>1634</v>
      </c>
      <c r="C1355" s="966">
        <v>95401</v>
      </c>
    </row>
    <row r="1356" spans="2:3" x14ac:dyDescent="0.25">
      <c r="B1356" s="983" t="s">
        <v>3815</v>
      </c>
      <c r="C1356" s="966">
        <v>95404</v>
      </c>
    </row>
    <row r="1357" spans="2:3" x14ac:dyDescent="0.25">
      <c r="B1357" s="983" t="s">
        <v>1305</v>
      </c>
      <c r="C1357" s="966">
        <v>91423</v>
      </c>
    </row>
    <row r="1358" spans="2:3" x14ac:dyDescent="0.25">
      <c r="B1358" s="983" t="s">
        <v>3816</v>
      </c>
      <c r="C1358" s="966">
        <v>91457</v>
      </c>
    </row>
    <row r="1359" spans="2:3" x14ac:dyDescent="0.25">
      <c r="B1359" s="983" t="s">
        <v>3817</v>
      </c>
      <c r="C1359" s="966">
        <v>90861</v>
      </c>
    </row>
    <row r="1360" spans="2:3" x14ac:dyDescent="0.25">
      <c r="B1360" s="983" t="s">
        <v>2301</v>
      </c>
      <c r="C1360" s="966">
        <v>93451</v>
      </c>
    </row>
    <row r="1361" spans="2:3" x14ac:dyDescent="0.25">
      <c r="B1361" s="983" t="s">
        <v>2302</v>
      </c>
      <c r="C1361" s="966">
        <v>92931</v>
      </c>
    </row>
    <row r="1362" spans="2:3" x14ac:dyDescent="0.25">
      <c r="B1362" s="983" t="s">
        <v>3818</v>
      </c>
      <c r="C1362" s="966">
        <v>92917</v>
      </c>
    </row>
    <row r="1363" spans="2:3" x14ac:dyDescent="0.25">
      <c r="B1363" s="983" t="s">
        <v>2303</v>
      </c>
      <c r="C1363" s="966">
        <v>97631</v>
      </c>
    </row>
    <row r="1364" spans="2:3" x14ac:dyDescent="0.25">
      <c r="B1364" s="983" t="s">
        <v>3819</v>
      </c>
      <c r="C1364" s="966">
        <v>97637</v>
      </c>
    </row>
    <row r="1365" spans="2:3" x14ac:dyDescent="0.25">
      <c r="B1365" s="983" t="s">
        <v>2304</v>
      </c>
      <c r="C1365" s="966">
        <v>90421</v>
      </c>
    </row>
    <row r="1366" spans="2:3" x14ac:dyDescent="0.25">
      <c r="B1366" s="983" t="s">
        <v>2305</v>
      </c>
      <c r="C1366" s="966">
        <v>94321</v>
      </c>
    </row>
    <row r="1367" spans="2:3" x14ac:dyDescent="0.25">
      <c r="B1367" s="983" t="s">
        <v>1643</v>
      </c>
      <c r="C1367" s="966">
        <v>95501</v>
      </c>
    </row>
    <row r="1368" spans="2:3" x14ac:dyDescent="0.25">
      <c r="B1368" s="983" t="s">
        <v>3820</v>
      </c>
      <c r="C1368" s="966">
        <v>95504</v>
      </c>
    </row>
    <row r="1369" spans="2:3" x14ac:dyDescent="0.25">
      <c r="B1369" s="983" t="s">
        <v>2306</v>
      </c>
      <c r="C1369" s="966">
        <v>95511</v>
      </c>
    </row>
    <row r="1370" spans="2:3" x14ac:dyDescent="0.25">
      <c r="B1370" s="983" t="s">
        <v>3821</v>
      </c>
      <c r="C1370" s="966">
        <v>95517</v>
      </c>
    </row>
    <row r="1371" spans="2:3" x14ac:dyDescent="0.25">
      <c r="B1371" s="983" t="s">
        <v>1646</v>
      </c>
      <c r="C1371" s="966">
        <v>95513</v>
      </c>
    </row>
    <row r="1372" spans="2:3" x14ac:dyDescent="0.25">
      <c r="B1372" s="983" t="s">
        <v>2307</v>
      </c>
      <c r="C1372" s="966">
        <v>92651</v>
      </c>
    </row>
    <row r="1373" spans="2:3" x14ac:dyDescent="0.25">
      <c r="B1373" s="983" t="s">
        <v>2308</v>
      </c>
      <c r="C1373" s="966">
        <v>94261</v>
      </c>
    </row>
    <row r="1374" spans="2:3" x14ac:dyDescent="0.25">
      <c r="B1374" s="983" t="s">
        <v>2309</v>
      </c>
      <c r="C1374" s="966">
        <v>98431</v>
      </c>
    </row>
    <row r="1375" spans="2:3" x14ac:dyDescent="0.25">
      <c r="B1375" s="983" t="s">
        <v>3822</v>
      </c>
      <c r="C1375" s="966">
        <v>98404</v>
      </c>
    </row>
    <row r="1376" spans="2:3" x14ac:dyDescent="0.25">
      <c r="B1376" s="983" t="s">
        <v>3823</v>
      </c>
      <c r="C1376" s="966">
        <v>91841</v>
      </c>
    </row>
    <row r="1377" spans="2:3" x14ac:dyDescent="0.25">
      <c r="B1377" s="983" t="s">
        <v>2310</v>
      </c>
      <c r="C1377" s="966">
        <v>93521</v>
      </c>
    </row>
    <row r="1378" spans="2:3" x14ac:dyDescent="0.25">
      <c r="B1378" s="983" t="s">
        <v>3824</v>
      </c>
      <c r="C1378" s="966">
        <v>93527</v>
      </c>
    </row>
    <row r="1379" spans="2:3" x14ac:dyDescent="0.25">
      <c r="B1379" s="983" t="s">
        <v>2311</v>
      </c>
      <c r="C1379" s="966">
        <v>93661</v>
      </c>
    </row>
    <row r="1380" spans="2:3" x14ac:dyDescent="0.25">
      <c r="B1380" s="983" t="s">
        <v>1725</v>
      </c>
      <c r="C1380" s="966">
        <v>96508</v>
      </c>
    </row>
    <row r="1381" spans="2:3" x14ac:dyDescent="0.25">
      <c r="B1381" s="983" t="s">
        <v>2312</v>
      </c>
      <c r="C1381" s="966">
        <v>99841</v>
      </c>
    </row>
    <row r="1382" spans="2:3" x14ac:dyDescent="0.25">
      <c r="B1382" s="983" t="s">
        <v>1828</v>
      </c>
      <c r="C1382" s="966">
        <v>97802</v>
      </c>
    </row>
    <row r="1383" spans="2:3" x14ac:dyDescent="0.25">
      <c r="B1383" s="983" t="s">
        <v>2313</v>
      </c>
      <c r="C1383" s="966">
        <v>97811</v>
      </c>
    </row>
    <row r="1384" spans="2:3" x14ac:dyDescent="0.25">
      <c r="B1384" s="983" t="s">
        <v>3825</v>
      </c>
      <c r="C1384" s="966">
        <v>97817</v>
      </c>
    </row>
    <row r="1385" spans="2:3" x14ac:dyDescent="0.25">
      <c r="B1385" s="983" t="s">
        <v>3826</v>
      </c>
      <c r="C1385" s="966">
        <v>97818</v>
      </c>
    </row>
    <row r="1386" spans="2:3" x14ac:dyDescent="0.25">
      <c r="B1386" s="983" t="s">
        <v>2314</v>
      </c>
      <c r="C1386" s="966">
        <v>93341</v>
      </c>
    </row>
    <row r="1387" spans="2:3" x14ac:dyDescent="0.25">
      <c r="B1387" s="983" t="s">
        <v>1648</v>
      </c>
      <c r="C1387" s="966">
        <v>95601</v>
      </c>
    </row>
    <row r="1388" spans="2:3" x14ac:dyDescent="0.25">
      <c r="B1388" s="983" t="s">
        <v>2315</v>
      </c>
      <c r="C1388" s="966">
        <v>97941</v>
      </c>
    </row>
    <row r="1389" spans="2:3" x14ac:dyDescent="0.25">
      <c r="B1389" s="983" t="s">
        <v>3827</v>
      </c>
      <c r="C1389" s="966">
        <v>97947</v>
      </c>
    </row>
    <row r="1390" spans="2:3" x14ac:dyDescent="0.25">
      <c r="B1390" s="983" t="s">
        <v>1652</v>
      </c>
      <c r="C1390" s="966">
        <v>95701</v>
      </c>
    </row>
    <row r="1391" spans="2:3" x14ac:dyDescent="0.25">
      <c r="B1391" s="983" t="s">
        <v>1853</v>
      </c>
      <c r="C1391" s="966">
        <v>97948</v>
      </c>
    </row>
    <row r="1392" spans="2:3" x14ac:dyDescent="0.25">
      <c r="B1392" s="983" t="s">
        <v>2316</v>
      </c>
      <c r="C1392" s="966">
        <v>94421</v>
      </c>
    </row>
    <row r="1393" spans="2:3" x14ac:dyDescent="0.25">
      <c r="B1393" s="983" t="s">
        <v>3828</v>
      </c>
      <c r="C1393" s="966">
        <v>94427</v>
      </c>
    </row>
    <row r="1394" spans="2:3" x14ac:dyDescent="0.25">
      <c r="B1394" s="983" t="s">
        <v>3829</v>
      </c>
      <c r="C1394" s="966">
        <v>94428</v>
      </c>
    </row>
    <row r="1395" spans="2:3" x14ac:dyDescent="0.25">
      <c r="B1395" s="983" t="s">
        <v>2317</v>
      </c>
      <c r="C1395" s="966">
        <v>93191</v>
      </c>
    </row>
    <row r="1396" spans="2:3" x14ac:dyDescent="0.25">
      <c r="B1396" s="983" t="s">
        <v>2318</v>
      </c>
      <c r="C1396" s="966">
        <v>91831</v>
      </c>
    </row>
    <row r="1397" spans="2:3" x14ac:dyDescent="0.25">
      <c r="B1397" s="983" t="s">
        <v>2319</v>
      </c>
      <c r="C1397" s="966">
        <v>92831</v>
      </c>
    </row>
    <row r="1398" spans="2:3" x14ac:dyDescent="0.25">
      <c r="B1398" s="983" t="s">
        <v>2320</v>
      </c>
      <c r="C1398" s="966">
        <v>95911</v>
      </c>
    </row>
    <row r="1399" spans="2:3" x14ac:dyDescent="0.25">
      <c r="B1399" s="983" t="s">
        <v>3830</v>
      </c>
      <c r="C1399" s="966">
        <v>95917</v>
      </c>
    </row>
    <row r="1400" spans="2:3" x14ac:dyDescent="0.25">
      <c r="B1400" s="983" t="s">
        <v>2321</v>
      </c>
      <c r="C1400" s="966">
        <v>95711</v>
      </c>
    </row>
    <row r="1401" spans="2:3" x14ac:dyDescent="0.25">
      <c r="B1401" s="983" t="s">
        <v>2322</v>
      </c>
      <c r="C1401" s="966">
        <v>95721</v>
      </c>
    </row>
    <row r="1402" spans="2:3" x14ac:dyDescent="0.25">
      <c r="B1402" s="983" t="s">
        <v>2323</v>
      </c>
      <c r="C1402" s="966">
        <v>99021</v>
      </c>
    </row>
    <row r="1403" spans="2:3" x14ac:dyDescent="0.25">
      <c r="B1403" s="983" t="s">
        <v>3831</v>
      </c>
      <c r="C1403" s="966">
        <v>95802</v>
      </c>
    </row>
    <row r="1404" spans="2:3" x14ac:dyDescent="0.25">
      <c r="B1404" s="983" t="s">
        <v>1656</v>
      </c>
      <c r="C1404" s="966">
        <v>95801</v>
      </c>
    </row>
    <row r="1405" spans="2:3" x14ac:dyDescent="0.25">
      <c r="B1405" s="983" t="s">
        <v>3832</v>
      </c>
      <c r="C1405" s="966">
        <v>95804</v>
      </c>
    </row>
    <row r="1406" spans="2:3" x14ac:dyDescent="0.25">
      <c r="B1406" s="983" t="s">
        <v>3833</v>
      </c>
      <c r="C1406" s="966">
        <v>90092</v>
      </c>
    </row>
    <row r="1407" spans="2:3" x14ac:dyDescent="0.25">
      <c r="B1407" s="983" t="s">
        <v>2324</v>
      </c>
      <c r="C1407" s="966">
        <v>99081</v>
      </c>
    </row>
    <row r="1408" spans="2:3" x14ac:dyDescent="0.25">
      <c r="B1408" s="983" t="s">
        <v>2325</v>
      </c>
      <c r="C1408" s="966">
        <v>96071</v>
      </c>
    </row>
    <row r="1409" spans="2:3" x14ac:dyDescent="0.25">
      <c r="B1409" s="983" t="s">
        <v>1517</v>
      </c>
      <c r="C1409" s="966">
        <v>94002</v>
      </c>
    </row>
    <row r="1410" spans="2:3" x14ac:dyDescent="0.25">
      <c r="B1410" s="983" t="s">
        <v>2326</v>
      </c>
      <c r="C1410" s="966">
        <v>97840</v>
      </c>
    </row>
    <row r="1411" spans="2:3" x14ac:dyDescent="0.25">
      <c r="B1411" s="983" t="s">
        <v>3834</v>
      </c>
      <c r="C1411" s="966">
        <v>97847</v>
      </c>
    </row>
    <row r="1412" spans="2:3" x14ac:dyDescent="0.25">
      <c r="B1412" s="983" t="s">
        <v>2327</v>
      </c>
      <c r="C1412" s="966">
        <v>97921</v>
      </c>
    </row>
    <row r="1413" spans="2:3" x14ac:dyDescent="0.25">
      <c r="B1413" s="983" t="s">
        <v>2328</v>
      </c>
      <c r="C1413" s="966">
        <v>95221</v>
      </c>
    </row>
    <row r="1414" spans="2:3" x14ac:dyDescent="0.25">
      <c r="B1414" s="983" t="s">
        <v>2329</v>
      </c>
      <c r="C1414" s="966">
        <v>93610</v>
      </c>
    </row>
    <row r="1415" spans="2:3" x14ac:dyDescent="0.25">
      <c r="B1415" s="983" t="s">
        <v>3835</v>
      </c>
      <c r="C1415" s="966">
        <v>95901</v>
      </c>
    </row>
    <row r="1416" spans="2:3" x14ac:dyDescent="0.25">
      <c r="B1416" s="983" t="s">
        <v>2087</v>
      </c>
      <c r="C1416" s="966">
        <v>90114</v>
      </c>
    </row>
    <row r="1417" spans="2:3" x14ac:dyDescent="0.25">
      <c r="B1417" s="983" t="s">
        <v>1670</v>
      </c>
      <c r="C1417" s="966">
        <v>96001</v>
      </c>
    </row>
    <row r="1418" spans="2:3" x14ac:dyDescent="0.25">
      <c r="B1418" s="983" t="s">
        <v>3836</v>
      </c>
      <c r="C1418" s="966">
        <v>96004</v>
      </c>
    </row>
    <row r="1419" spans="2:3" x14ac:dyDescent="0.25">
      <c r="B1419" s="983" t="s">
        <v>3837</v>
      </c>
      <c r="C1419" s="966">
        <v>96008</v>
      </c>
    </row>
    <row r="1420" spans="2:3" x14ac:dyDescent="0.25">
      <c r="B1420" s="983" t="s">
        <v>1262</v>
      </c>
      <c r="C1420" s="966">
        <v>91108</v>
      </c>
    </row>
    <row r="1421" spans="2:3" x14ac:dyDescent="0.25">
      <c r="B1421" s="983" t="s">
        <v>3838</v>
      </c>
      <c r="C1421" s="966">
        <v>94941</v>
      </c>
    </row>
    <row r="1422" spans="2:3" x14ac:dyDescent="0.25">
      <c r="B1422" s="983" t="s">
        <v>2330</v>
      </c>
      <c r="C1422" s="966">
        <v>95122</v>
      </c>
    </row>
    <row r="1423" spans="2:3" x14ac:dyDescent="0.25">
      <c r="B1423" s="983" t="s">
        <v>3839</v>
      </c>
      <c r="C1423" s="966">
        <v>92607</v>
      </c>
    </row>
    <row r="1424" spans="2:3" x14ac:dyDescent="0.25">
      <c r="B1424" s="983" t="s">
        <v>2331</v>
      </c>
      <c r="C1424" s="966">
        <v>96431</v>
      </c>
    </row>
    <row r="1425" spans="2:3" x14ac:dyDescent="0.25">
      <c r="B1425" s="983" t="s">
        <v>3537</v>
      </c>
      <c r="C1425" s="966">
        <v>90709</v>
      </c>
    </row>
    <row r="1426" spans="2:3" x14ac:dyDescent="0.25">
      <c r="B1426" s="983" t="s">
        <v>2332</v>
      </c>
      <c r="C1426" s="966">
        <v>91341</v>
      </c>
    </row>
    <row r="1427" spans="2:3" x14ac:dyDescent="0.25">
      <c r="B1427" s="983" t="s">
        <v>2333</v>
      </c>
      <c r="C1427" s="966">
        <v>92941</v>
      </c>
    </row>
    <row r="1428" spans="2:3" x14ac:dyDescent="0.25">
      <c r="B1428" s="983" t="s">
        <v>2334</v>
      </c>
      <c r="C1428" s="966">
        <v>94551</v>
      </c>
    </row>
    <row r="1429" spans="2:3" x14ac:dyDescent="0.25">
      <c r="B1429" s="983" t="s">
        <v>2335</v>
      </c>
      <c r="C1429" s="966">
        <v>99022</v>
      </c>
    </row>
    <row r="1430" spans="2:3" x14ac:dyDescent="0.25">
      <c r="B1430" s="983" t="s">
        <v>2336</v>
      </c>
      <c r="C1430" s="966">
        <v>96031</v>
      </c>
    </row>
    <row r="1431" spans="2:3" x14ac:dyDescent="0.25">
      <c r="B1431" s="983" t="s">
        <v>2337</v>
      </c>
      <c r="C1431" s="966">
        <v>98414</v>
      </c>
    </row>
    <row r="1432" spans="2:3" x14ac:dyDescent="0.25">
      <c r="B1432" s="983" t="s">
        <v>1685</v>
      </c>
      <c r="C1432" s="966">
        <v>96101</v>
      </c>
    </row>
    <row r="1433" spans="2:3" x14ac:dyDescent="0.25">
      <c r="B1433" s="983" t="s">
        <v>3840</v>
      </c>
      <c r="C1433" s="966">
        <v>96102</v>
      </c>
    </row>
    <row r="1434" spans="2:3" x14ac:dyDescent="0.25">
      <c r="B1434" s="983" t="s">
        <v>2338</v>
      </c>
      <c r="C1434" s="966">
        <v>93011</v>
      </c>
    </row>
    <row r="1435" spans="2:3" x14ac:dyDescent="0.25">
      <c r="B1435" s="983" t="s">
        <v>2339</v>
      </c>
      <c r="C1435" s="966">
        <v>99011</v>
      </c>
    </row>
    <row r="1436" spans="2:3" x14ac:dyDescent="0.25">
      <c r="B1436" s="983" t="s">
        <v>3841</v>
      </c>
      <c r="C1436" s="966">
        <v>99017</v>
      </c>
    </row>
    <row r="1437" spans="2:3" x14ac:dyDescent="0.25">
      <c r="B1437" s="983" t="s">
        <v>3842</v>
      </c>
      <c r="C1437" s="966">
        <v>99013</v>
      </c>
    </row>
    <row r="1438" spans="2:3" x14ac:dyDescent="0.25">
      <c r="B1438" s="983" t="s">
        <v>1689</v>
      </c>
      <c r="C1438" s="966">
        <v>96201</v>
      </c>
    </row>
    <row r="1439" spans="2:3" x14ac:dyDescent="0.25">
      <c r="B1439" s="983" t="s">
        <v>3843</v>
      </c>
      <c r="C1439" s="966">
        <v>96204</v>
      </c>
    </row>
    <row r="1440" spans="2:3" x14ac:dyDescent="0.25">
      <c r="B1440" s="983" t="s">
        <v>2340</v>
      </c>
      <c r="C1440" s="966">
        <v>91161</v>
      </c>
    </row>
    <row r="1441" spans="2:3" x14ac:dyDescent="0.25">
      <c r="B1441" s="983" t="s">
        <v>1696</v>
      </c>
      <c r="C1441" s="966">
        <v>96301</v>
      </c>
    </row>
    <row r="1442" spans="2:3" x14ac:dyDescent="0.25">
      <c r="B1442" s="983" t="s">
        <v>3844</v>
      </c>
      <c r="C1442" s="966">
        <v>96304</v>
      </c>
    </row>
    <row r="1443" spans="2:3" x14ac:dyDescent="0.25">
      <c r="B1443" s="983" t="s">
        <v>1700</v>
      </c>
      <c r="C1443" s="966">
        <v>96310</v>
      </c>
    </row>
    <row r="1444" spans="2:3" x14ac:dyDescent="0.25">
      <c r="B1444" s="983" t="s">
        <v>3845</v>
      </c>
      <c r="C1444" s="966">
        <v>96305</v>
      </c>
    </row>
    <row r="1445" spans="2:3" x14ac:dyDescent="0.25">
      <c r="B1445" s="983" t="s">
        <v>2341</v>
      </c>
      <c r="C1445" s="966">
        <v>94921</v>
      </c>
    </row>
    <row r="1446" spans="2:3" x14ac:dyDescent="0.25">
      <c r="B1446" s="983" t="s">
        <v>3846</v>
      </c>
      <c r="C1446" s="966">
        <v>94927</v>
      </c>
    </row>
    <row r="1447" spans="2:3" x14ac:dyDescent="0.25">
      <c r="B1447" s="983" t="s">
        <v>1598</v>
      </c>
      <c r="C1447" s="966">
        <v>94923</v>
      </c>
    </row>
    <row r="1448" spans="2:3" x14ac:dyDescent="0.25">
      <c r="B1448" s="983" t="s">
        <v>2342</v>
      </c>
      <c r="C1448" s="966">
        <v>91611</v>
      </c>
    </row>
    <row r="1449" spans="2:3" x14ac:dyDescent="0.25">
      <c r="B1449" s="983" t="s">
        <v>2343</v>
      </c>
      <c r="C1449" s="966">
        <v>91231</v>
      </c>
    </row>
    <row r="1450" spans="2:3" x14ac:dyDescent="0.25">
      <c r="B1450" s="983" t="s">
        <v>3847</v>
      </c>
      <c r="C1450" s="966">
        <v>91217</v>
      </c>
    </row>
    <row r="1451" spans="2:3" x14ac:dyDescent="0.25">
      <c r="B1451" s="983" t="s">
        <v>1287</v>
      </c>
      <c r="C1451" s="966">
        <v>91233</v>
      </c>
    </row>
    <row r="1452" spans="2:3" x14ac:dyDescent="0.25">
      <c r="B1452" s="983" t="s">
        <v>2344</v>
      </c>
      <c r="C1452" s="966">
        <v>99206</v>
      </c>
    </row>
    <row r="1453" spans="2:3" x14ac:dyDescent="0.25">
      <c r="B1453" s="983" t="s">
        <v>2345</v>
      </c>
      <c r="C1453" s="966">
        <v>90461</v>
      </c>
    </row>
    <row r="1454" spans="2:3" x14ac:dyDescent="0.25">
      <c r="B1454" s="983" t="s">
        <v>3848</v>
      </c>
      <c r="C1454" s="966">
        <v>98637</v>
      </c>
    </row>
    <row r="1455" spans="2:3" x14ac:dyDescent="0.25">
      <c r="B1455" s="983" t="s">
        <v>2346</v>
      </c>
      <c r="C1455" s="966">
        <v>96251</v>
      </c>
    </row>
    <row r="1456" spans="2:3" x14ac:dyDescent="0.25">
      <c r="B1456" s="983" t="s">
        <v>2347</v>
      </c>
      <c r="C1456" s="966">
        <v>99621</v>
      </c>
    </row>
    <row r="1457" spans="2:3" x14ac:dyDescent="0.25">
      <c r="B1457" s="983" t="s">
        <v>2348</v>
      </c>
      <c r="C1457" s="966">
        <v>91321</v>
      </c>
    </row>
    <row r="1458" spans="2:3" x14ac:dyDescent="0.25">
      <c r="B1458" s="983" t="s">
        <v>3849</v>
      </c>
      <c r="C1458" s="966">
        <v>98631</v>
      </c>
    </row>
    <row r="1459" spans="2:3" x14ac:dyDescent="0.25">
      <c r="B1459" s="983" t="s">
        <v>3850</v>
      </c>
      <c r="C1459" s="966">
        <v>93691</v>
      </c>
    </row>
    <row r="1460" spans="2:3" x14ac:dyDescent="0.25">
      <c r="B1460" s="983" t="s">
        <v>3851</v>
      </c>
      <c r="C1460" s="966">
        <v>99623</v>
      </c>
    </row>
    <row r="1461" spans="2:3" x14ac:dyDescent="0.25">
      <c r="B1461" s="983" t="s">
        <v>3852</v>
      </c>
      <c r="C1461" s="966">
        <v>91327</v>
      </c>
    </row>
    <row r="1462" spans="2:3" x14ac:dyDescent="0.25">
      <c r="B1462" s="983" t="s">
        <v>2349</v>
      </c>
      <c r="C1462" s="966">
        <v>94621</v>
      </c>
    </row>
    <row r="1463" spans="2:3" x14ac:dyDescent="0.25">
      <c r="B1463" s="983" t="s">
        <v>2350</v>
      </c>
      <c r="C1463" s="966">
        <v>92011</v>
      </c>
    </row>
    <row r="1464" spans="2:3" x14ac:dyDescent="0.25">
      <c r="B1464" s="983" t="s">
        <v>3853</v>
      </c>
      <c r="C1464" s="966">
        <v>92017</v>
      </c>
    </row>
    <row r="1465" spans="2:3" x14ac:dyDescent="0.25">
      <c r="B1465" s="983" t="s">
        <v>3854</v>
      </c>
      <c r="C1465" s="966">
        <v>99991</v>
      </c>
    </row>
    <row r="1466" spans="2:3" x14ac:dyDescent="0.25">
      <c r="B1466" s="983" t="s">
        <v>3855</v>
      </c>
      <c r="C1466" s="966">
        <v>99999</v>
      </c>
    </row>
    <row r="1467" spans="2:3" x14ac:dyDescent="0.25">
      <c r="B1467" s="983" t="s">
        <v>2351</v>
      </c>
      <c r="C1467" s="966">
        <v>92811</v>
      </c>
    </row>
    <row r="1468" spans="2:3" x14ac:dyDescent="0.25">
      <c r="B1468" s="983" t="s">
        <v>1351</v>
      </c>
      <c r="C1468" s="966">
        <v>92005</v>
      </c>
    </row>
    <row r="1469" spans="2:3" x14ac:dyDescent="0.25">
      <c r="B1469" s="983" t="s">
        <v>1711</v>
      </c>
      <c r="C1469" s="966">
        <v>96401</v>
      </c>
    </row>
    <row r="1470" spans="2:3" x14ac:dyDescent="0.25">
      <c r="B1470" s="983" t="s">
        <v>3856</v>
      </c>
      <c r="C1470" s="966">
        <v>96404</v>
      </c>
    </row>
    <row r="1471" spans="2:3" x14ac:dyDescent="0.25">
      <c r="B1471" s="983" t="s">
        <v>2352</v>
      </c>
      <c r="C1471" s="966">
        <v>96421</v>
      </c>
    </row>
    <row r="1472" spans="2:3" x14ac:dyDescent="0.25">
      <c r="B1472" s="983" t="s">
        <v>2353</v>
      </c>
      <c r="C1472" s="966">
        <v>91026</v>
      </c>
    </row>
    <row r="1473" spans="2:3" x14ac:dyDescent="0.25">
      <c r="B1473" s="983" t="s">
        <v>1636</v>
      </c>
      <c r="C1473" s="966">
        <v>95405</v>
      </c>
    </row>
    <row r="1474" spans="2:3" x14ac:dyDescent="0.25">
      <c r="B1474" s="983" t="s">
        <v>3857</v>
      </c>
      <c r="C1474" s="966">
        <v>94005</v>
      </c>
    </row>
    <row r="1475" spans="2:3" x14ac:dyDescent="0.25">
      <c r="B1475" s="983" t="s">
        <v>3858</v>
      </c>
      <c r="C1475" s="966">
        <v>95205</v>
      </c>
    </row>
    <row r="1476" spans="2:3" x14ac:dyDescent="0.25">
      <c r="B1476" s="983" t="s">
        <v>1386</v>
      </c>
      <c r="C1476" s="966">
        <v>92507</v>
      </c>
    </row>
    <row r="1477" spans="2:3" x14ac:dyDescent="0.25">
      <c r="B1477" s="983" t="s">
        <v>3859</v>
      </c>
      <c r="C1477" s="966">
        <v>92113</v>
      </c>
    </row>
    <row r="1478" spans="2:3" x14ac:dyDescent="0.25">
      <c r="B1478" s="983" t="s">
        <v>3860</v>
      </c>
      <c r="C1478" s="966">
        <v>96502</v>
      </c>
    </row>
    <row r="1479" spans="2:3" x14ac:dyDescent="0.25">
      <c r="B1479" s="983" t="s">
        <v>1720</v>
      </c>
      <c r="C1479" s="966">
        <v>96501</v>
      </c>
    </row>
    <row r="1480" spans="2:3" x14ac:dyDescent="0.25">
      <c r="B1480" s="983" t="s">
        <v>3861</v>
      </c>
      <c r="C1480" s="966">
        <v>96504</v>
      </c>
    </row>
    <row r="1481" spans="2:3" x14ac:dyDescent="0.25">
      <c r="B1481" s="983" t="s">
        <v>3862</v>
      </c>
      <c r="C1481" s="966">
        <v>97913</v>
      </c>
    </row>
    <row r="1482" spans="2:3" x14ac:dyDescent="0.25">
      <c r="B1482" s="983" t="s">
        <v>3863</v>
      </c>
      <c r="C1482" s="966">
        <v>92511</v>
      </c>
    </row>
    <row r="1483" spans="2:3" x14ac:dyDescent="0.25">
      <c r="B1483" s="983" t="s">
        <v>2354</v>
      </c>
      <c r="C1483" s="966">
        <v>90621</v>
      </c>
    </row>
    <row r="1484" spans="2:3" x14ac:dyDescent="0.25">
      <c r="B1484" s="983" t="s">
        <v>2355</v>
      </c>
      <c r="C1484" s="966">
        <v>91621</v>
      </c>
    </row>
    <row r="1485" spans="2:3" x14ac:dyDescent="0.25">
      <c r="B1485" s="983" t="s">
        <v>2356</v>
      </c>
      <c r="C1485" s="966">
        <v>91871</v>
      </c>
    </row>
    <row r="1486" spans="2:3" x14ac:dyDescent="0.25">
      <c r="B1486" s="983" t="s">
        <v>2357</v>
      </c>
      <c r="C1486" s="966">
        <v>98231</v>
      </c>
    </row>
    <row r="1487" spans="2:3" x14ac:dyDescent="0.25">
      <c r="B1487" s="983" t="s">
        <v>2358</v>
      </c>
      <c r="C1487" s="966">
        <v>99311</v>
      </c>
    </row>
    <row r="1488" spans="2:3" x14ac:dyDescent="0.25">
      <c r="B1488" s="983" t="s">
        <v>2359</v>
      </c>
      <c r="C1488" s="966">
        <v>96751</v>
      </c>
    </row>
    <row r="1489" spans="2:3" x14ac:dyDescent="0.25">
      <c r="B1489" s="983" t="s">
        <v>2360</v>
      </c>
      <c r="C1489" s="966">
        <v>99711</v>
      </c>
    </row>
    <row r="1490" spans="2:3" x14ac:dyDescent="0.25">
      <c r="B1490" s="983" t="s">
        <v>3864</v>
      </c>
      <c r="C1490" s="966">
        <v>99717</v>
      </c>
    </row>
    <row r="1491" spans="2:3" x14ac:dyDescent="0.25">
      <c r="B1491" s="983" t="s">
        <v>1732</v>
      </c>
      <c r="C1491" s="966">
        <v>96601</v>
      </c>
    </row>
    <row r="1492" spans="2:3" x14ac:dyDescent="0.25">
      <c r="B1492" s="983" t="s">
        <v>3865</v>
      </c>
      <c r="C1492" s="966">
        <v>96604</v>
      </c>
    </row>
    <row r="1493" spans="2:3" x14ac:dyDescent="0.25">
      <c r="B1493" s="983" t="s">
        <v>2361</v>
      </c>
      <c r="C1493" s="966">
        <v>91012</v>
      </c>
    </row>
    <row r="1494" spans="2:3" x14ac:dyDescent="0.25">
      <c r="B1494" s="983" t="s">
        <v>1184</v>
      </c>
      <c r="C1494" s="966">
        <v>90305</v>
      </c>
    </row>
    <row r="1495" spans="2:3" x14ac:dyDescent="0.25">
      <c r="B1495" s="983" t="s">
        <v>2362</v>
      </c>
      <c r="C1495" s="966">
        <v>98421</v>
      </c>
    </row>
    <row r="1496" spans="2:3" x14ac:dyDescent="0.25">
      <c r="B1496" s="983" t="s">
        <v>3866</v>
      </c>
      <c r="C1496" s="966">
        <v>98427</v>
      </c>
    </row>
    <row r="1497" spans="2:3" x14ac:dyDescent="0.25">
      <c r="B1497" s="983" t="s">
        <v>2363</v>
      </c>
      <c r="C1497" s="966">
        <v>95821</v>
      </c>
    </row>
    <row r="1498" spans="2:3" x14ac:dyDescent="0.25">
      <c r="B1498" s="983" t="s">
        <v>2364</v>
      </c>
      <c r="C1498" s="966">
        <v>91021</v>
      </c>
    </row>
    <row r="1499" spans="2:3" x14ac:dyDescent="0.25">
      <c r="B1499" s="983" t="s">
        <v>3867</v>
      </c>
      <c r="C1499" s="966">
        <v>91027</v>
      </c>
    </row>
    <row r="1500" spans="2:3" x14ac:dyDescent="0.25">
      <c r="B1500" s="983" t="s">
        <v>2365</v>
      </c>
      <c r="C1500" s="966">
        <v>94161</v>
      </c>
    </row>
    <row r="1501" spans="2:3" x14ac:dyDescent="0.25">
      <c r="B1501" s="983" t="s">
        <v>2366</v>
      </c>
      <c r="C1501" s="966">
        <v>98441</v>
      </c>
    </row>
    <row r="1502" spans="2:3" x14ac:dyDescent="0.25">
      <c r="B1502" s="983" t="s">
        <v>2367</v>
      </c>
      <c r="C1502" s="966">
        <v>91061</v>
      </c>
    </row>
    <row r="1503" spans="2:3" x14ac:dyDescent="0.25">
      <c r="B1503" s="983" t="s">
        <v>3868</v>
      </c>
      <c r="C1503" s="966">
        <v>91067</v>
      </c>
    </row>
    <row r="1504" spans="2:3" x14ac:dyDescent="0.25">
      <c r="B1504" s="983" t="s">
        <v>3869</v>
      </c>
      <c r="C1504" s="966">
        <v>94812</v>
      </c>
    </row>
    <row r="1505" spans="2:3" x14ac:dyDescent="0.25">
      <c r="B1505" s="983" t="s">
        <v>2368</v>
      </c>
      <c r="C1505" s="966">
        <v>95921</v>
      </c>
    </row>
    <row r="1506" spans="2:3" x14ac:dyDescent="0.25">
      <c r="B1506" s="983" t="s">
        <v>1743</v>
      </c>
      <c r="C1506" s="966">
        <v>96701</v>
      </c>
    </row>
    <row r="1507" spans="2:3" x14ac:dyDescent="0.25">
      <c r="B1507" s="983" t="s">
        <v>3870</v>
      </c>
      <c r="C1507" s="966">
        <v>96704</v>
      </c>
    </row>
    <row r="1508" spans="2:3" x14ac:dyDescent="0.25">
      <c r="B1508" s="983" t="s">
        <v>3871</v>
      </c>
      <c r="C1508" s="966">
        <v>96708</v>
      </c>
    </row>
    <row r="1509" spans="2:3" x14ac:dyDescent="0.25">
      <c r="B1509" s="983" t="s">
        <v>1752</v>
      </c>
      <c r="C1509" s="966">
        <v>96801</v>
      </c>
    </row>
    <row r="1510" spans="2:3" x14ac:dyDescent="0.25">
      <c r="B1510" s="983" t="s">
        <v>3872</v>
      </c>
      <c r="C1510" s="966">
        <v>96804</v>
      </c>
    </row>
    <row r="1511" spans="2:3" x14ac:dyDescent="0.25">
      <c r="B1511" s="983" t="s">
        <v>3873</v>
      </c>
      <c r="C1511" s="966">
        <v>96808</v>
      </c>
    </row>
    <row r="1512" spans="2:3" x14ac:dyDescent="0.25">
      <c r="B1512" s="983" t="s">
        <v>2369</v>
      </c>
      <c r="C1512" s="966">
        <v>96912</v>
      </c>
    </row>
    <row r="1513" spans="2:3" x14ac:dyDescent="0.25">
      <c r="B1513" s="983" t="s">
        <v>2370</v>
      </c>
      <c r="C1513" s="966">
        <v>93911</v>
      </c>
    </row>
    <row r="1514" spans="2:3" x14ac:dyDescent="0.25">
      <c r="B1514" s="983" t="s">
        <v>1512</v>
      </c>
      <c r="C1514" s="966">
        <v>93913</v>
      </c>
    </row>
    <row r="1515" spans="2:3" x14ac:dyDescent="0.25">
      <c r="B1515" s="983" t="s">
        <v>1758</v>
      </c>
      <c r="C1515" s="966">
        <v>96901</v>
      </c>
    </row>
    <row r="1516" spans="2:3" x14ac:dyDescent="0.25">
      <c r="B1516" s="983" t="s">
        <v>3874</v>
      </c>
      <c r="C1516" s="966">
        <v>97841</v>
      </c>
    </row>
    <row r="1517" spans="2:3" x14ac:dyDescent="0.25">
      <c r="B1517" s="983" t="s">
        <v>1447</v>
      </c>
      <c r="C1517" s="966">
        <v>93202</v>
      </c>
    </row>
    <row r="1518" spans="2:3" x14ac:dyDescent="0.25">
      <c r="B1518" s="983" t="s">
        <v>3540</v>
      </c>
      <c r="C1518" s="966">
        <v>93609</v>
      </c>
    </row>
    <row r="1519" spans="2:3" x14ac:dyDescent="0.25">
      <c r="B1519" s="983" t="s">
        <v>3875</v>
      </c>
      <c r="C1519" s="966">
        <v>97004</v>
      </c>
    </row>
    <row r="1520" spans="2:3" x14ac:dyDescent="0.25">
      <c r="B1520" s="983" t="s">
        <v>1762</v>
      </c>
      <c r="C1520" s="966">
        <v>97001</v>
      </c>
    </row>
    <row r="1521" spans="2:3" x14ac:dyDescent="0.25">
      <c r="B1521" s="983" t="s">
        <v>1763</v>
      </c>
      <c r="C1521" s="966">
        <v>97002</v>
      </c>
    </row>
    <row r="1522" spans="2:3" x14ac:dyDescent="0.25">
      <c r="B1522" s="983" t="s">
        <v>1771</v>
      </c>
      <c r="C1522" s="966">
        <v>97015</v>
      </c>
    </row>
    <row r="1523" spans="2:3" x14ac:dyDescent="0.25">
      <c r="B1523" s="983" t="s">
        <v>2371</v>
      </c>
      <c r="C1523" s="966">
        <v>90441</v>
      </c>
    </row>
    <row r="1524" spans="2:3" x14ac:dyDescent="0.25">
      <c r="B1524" s="983" t="s">
        <v>2372</v>
      </c>
      <c r="C1524" s="966">
        <v>97851</v>
      </c>
    </row>
    <row r="1525" spans="2:3" x14ac:dyDescent="0.25">
      <c r="B1525" s="983" t="s">
        <v>1841</v>
      </c>
      <c r="C1525" s="966">
        <v>97853</v>
      </c>
    </row>
    <row r="1526" spans="2:3" x14ac:dyDescent="0.25">
      <c r="B1526" s="983" t="s">
        <v>1773</v>
      </c>
      <c r="C1526" s="966">
        <v>97101</v>
      </c>
    </row>
    <row r="1527" spans="2:3" x14ac:dyDescent="0.25">
      <c r="B1527" s="983" t="s">
        <v>3876</v>
      </c>
      <c r="C1527" s="966">
        <v>97104</v>
      </c>
    </row>
    <row r="1528" spans="2:3" x14ac:dyDescent="0.25">
      <c r="B1528" s="983" t="s">
        <v>1778</v>
      </c>
      <c r="C1528" s="966">
        <v>97201</v>
      </c>
    </row>
    <row r="1529" spans="2:3" x14ac:dyDescent="0.25">
      <c r="B1529" s="983" t="s">
        <v>3877</v>
      </c>
      <c r="C1529" s="966">
        <v>97304</v>
      </c>
    </row>
    <row r="1530" spans="2:3" x14ac:dyDescent="0.25">
      <c r="B1530" s="983" t="s">
        <v>1783</v>
      </c>
      <c r="C1530" s="966">
        <v>97301</v>
      </c>
    </row>
    <row r="1531" spans="2:3" x14ac:dyDescent="0.25">
      <c r="B1531" s="983" t="s">
        <v>1980</v>
      </c>
      <c r="C1531" s="966">
        <v>99405</v>
      </c>
    </row>
    <row r="1532" spans="2:3" x14ac:dyDescent="0.25">
      <c r="B1532" s="983" t="s">
        <v>1162</v>
      </c>
      <c r="C1532" s="966">
        <v>72265</v>
      </c>
    </row>
    <row r="1533" spans="2:3" x14ac:dyDescent="0.25">
      <c r="B1533" s="983" t="s">
        <v>3878</v>
      </c>
      <c r="C1533" s="966">
        <v>94112</v>
      </c>
    </row>
    <row r="1534" spans="2:3" x14ac:dyDescent="0.25">
      <c r="B1534" s="983" t="s">
        <v>1466</v>
      </c>
      <c r="C1534" s="966">
        <v>93406</v>
      </c>
    </row>
    <row r="1535" spans="2:3" x14ac:dyDescent="0.25">
      <c r="B1535" s="983" t="s">
        <v>2373</v>
      </c>
      <c r="C1535" s="966">
        <v>99651</v>
      </c>
    </row>
    <row r="1536" spans="2:3" x14ac:dyDescent="0.25">
      <c r="B1536" s="983" t="s">
        <v>2374</v>
      </c>
      <c r="C1536" s="966">
        <v>98611</v>
      </c>
    </row>
    <row r="1537" spans="2:3" x14ac:dyDescent="0.25">
      <c r="B1537" s="983" t="s">
        <v>3879</v>
      </c>
      <c r="C1537" s="966">
        <v>98607</v>
      </c>
    </row>
    <row r="1538" spans="2:3" x14ac:dyDescent="0.25">
      <c r="B1538" s="983" t="s">
        <v>2375</v>
      </c>
      <c r="C1538" s="966">
        <v>91641</v>
      </c>
    </row>
    <row r="1539" spans="2:3" x14ac:dyDescent="0.25">
      <c r="B1539" s="983" t="s">
        <v>2376</v>
      </c>
      <c r="C1539" s="966">
        <v>95161</v>
      </c>
    </row>
    <row r="1540" spans="2:3" x14ac:dyDescent="0.25">
      <c r="B1540" s="983" t="s">
        <v>2377</v>
      </c>
      <c r="C1540" s="966">
        <v>96361</v>
      </c>
    </row>
    <row r="1541" spans="2:3" x14ac:dyDescent="0.25">
      <c r="B1541" s="983" t="s">
        <v>3880</v>
      </c>
      <c r="C1541" s="966">
        <v>94108</v>
      </c>
    </row>
    <row r="1542" spans="2:3" x14ac:dyDescent="0.25">
      <c r="B1542" s="983" t="s">
        <v>2378</v>
      </c>
      <c r="C1542" s="966">
        <v>96351</v>
      </c>
    </row>
    <row r="1543" spans="2:3" x14ac:dyDescent="0.25">
      <c r="B1543" s="983" t="s">
        <v>2379</v>
      </c>
      <c r="C1543" s="966">
        <v>93331</v>
      </c>
    </row>
    <row r="1544" spans="2:3" x14ac:dyDescent="0.25">
      <c r="B1544" s="983" t="s">
        <v>2380</v>
      </c>
      <c r="C1544" s="966">
        <v>96021</v>
      </c>
    </row>
    <row r="1545" spans="2:3" x14ac:dyDescent="0.25">
      <c r="B1545" s="983" t="s">
        <v>2381</v>
      </c>
      <c r="C1545" s="966">
        <v>95421</v>
      </c>
    </row>
    <row r="1546" spans="2:3" x14ac:dyDescent="0.25">
      <c r="B1546" s="983" t="s">
        <v>1786</v>
      </c>
      <c r="C1546" s="966">
        <v>97401</v>
      </c>
    </row>
    <row r="1547" spans="2:3" x14ac:dyDescent="0.25">
      <c r="B1547" s="983" t="s">
        <v>3881</v>
      </c>
      <c r="C1547" s="966">
        <v>97404</v>
      </c>
    </row>
    <row r="1548" spans="2:3" x14ac:dyDescent="0.25">
      <c r="B1548" s="983" t="s">
        <v>3882</v>
      </c>
      <c r="C1548" s="966">
        <v>97402</v>
      </c>
    </row>
    <row r="1549" spans="2:3" x14ac:dyDescent="0.25">
      <c r="B1549" s="983" t="s">
        <v>2382</v>
      </c>
      <c r="C1549" s="966">
        <v>91921</v>
      </c>
    </row>
    <row r="1550" spans="2:3" x14ac:dyDescent="0.25">
      <c r="B1550" s="983" t="s">
        <v>3883</v>
      </c>
      <c r="C1550" s="966">
        <v>95908</v>
      </c>
    </row>
    <row r="1551" spans="2:3" x14ac:dyDescent="0.25">
      <c r="B1551" s="983" t="s">
        <v>2383</v>
      </c>
      <c r="C1551" s="966">
        <v>99411</v>
      </c>
    </row>
    <row r="1552" spans="2:3" x14ac:dyDescent="0.25">
      <c r="B1552" s="983" t="s">
        <v>1982</v>
      </c>
      <c r="C1552" s="966">
        <v>99413</v>
      </c>
    </row>
    <row r="1553" spans="2:3" x14ac:dyDescent="0.25">
      <c r="B1553" s="983" t="s">
        <v>1803</v>
      </c>
      <c r="C1553" s="966">
        <v>97501</v>
      </c>
    </row>
    <row r="1554" spans="2:3" x14ac:dyDescent="0.25">
      <c r="B1554" s="983" t="s">
        <v>2384</v>
      </c>
      <c r="C1554" s="966">
        <v>90431</v>
      </c>
    </row>
    <row r="1555" spans="2:3" x14ac:dyDescent="0.25">
      <c r="B1555" s="983" t="s">
        <v>2385</v>
      </c>
      <c r="C1555" s="966">
        <v>95211</v>
      </c>
    </row>
    <row r="1556" spans="2:3" x14ac:dyDescent="0.25">
      <c r="B1556" s="983" t="s">
        <v>2386</v>
      </c>
      <c r="C1556" s="966">
        <v>95181</v>
      </c>
    </row>
    <row r="1557" spans="2:3" x14ac:dyDescent="0.25">
      <c r="B1557" s="983" t="s">
        <v>2387</v>
      </c>
      <c r="C1557" s="966">
        <v>93351</v>
      </c>
    </row>
    <row r="1558" spans="2:3" x14ac:dyDescent="0.25">
      <c r="B1558" s="983" t="s">
        <v>3884</v>
      </c>
      <c r="C1558" s="966">
        <v>95105</v>
      </c>
    </row>
    <row r="1559" spans="2:3" x14ac:dyDescent="0.25">
      <c r="B1559" s="983" t="s">
        <v>3885</v>
      </c>
      <c r="C1559" s="966">
        <v>92614</v>
      </c>
    </row>
    <row r="1560" spans="2:3" x14ac:dyDescent="0.25">
      <c r="B1560" s="983" t="s">
        <v>2388</v>
      </c>
      <c r="C1560" s="966">
        <v>94711</v>
      </c>
    </row>
    <row r="1561" spans="2:3" x14ac:dyDescent="0.25">
      <c r="B1561" s="983" t="s">
        <v>2389</v>
      </c>
      <c r="C1561" s="966">
        <v>99211</v>
      </c>
    </row>
    <row r="1562" spans="2:3" x14ac:dyDescent="0.25">
      <c r="B1562" s="983" t="s">
        <v>1963</v>
      </c>
      <c r="C1562" s="966">
        <v>99218</v>
      </c>
    </row>
    <row r="1563" spans="2:3" x14ac:dyDescent="0.25">
      <c r="B1563" s="983" t="s">
        <v>3886</v>
      </c>
      <c r="C1563" s="966">
        <v>99213</v>
      </c>
    </row>
    <row r="1564" spans="2:3" x14ac:dyDescent="0.25">
      <c r="B1564" s="983" t="s">
        <v>2390</v>
      </c>
      <c r="C1564" s="966">
        <v>97641</v>
      </c>
    </row>
    <row r="1565" spans="2:3" x14ac:dyDescent="0.25">
      <c r="B1565" s="983" t="s">
        <v>2391</v>
      </c>
      <c r="C1565" s="966">
        <v>97621</v>
      </c>
    </row>
    <row r="1566" spans="2:3" x14ac:dyDescent="0.25">
      <c r="B1566" s="983" t="s">
        <v>3887</v>
      </c>
      <c r="C1566" s="966">
        <v>97627</v>
      </c>
    </row>
    <row r="1567" spans="2:3" x14ac:dyDescent="0.25">
      <c r="B1567" s="983" t="s">
        <v>3888</v>
      </c>
      <c r="C1567" s="966">
        <v>97623</v>
      </c>
    </row>
    <row r="1568" spans="2:3" x14ac:dyDescent="0.25">
      <c r="B1568" s="983" t="s">
        <v>1807</v>
      </c>
      <c r="C1568" s="966">
        <v>97601</v>
      </c>
    </row>
    <row r="1569" spans="2:3" x14ac:dyDescent="0.25">
      <c r="B1569" s="983" t="s">
        <v>2392</v>
      </c>
      <c r="C1569" s="966">
        <v>93681</v>
      </c>
    </row>
    <row r="1570" spans="2:3" x14ac:dyDescent="0.25">
      <c r="B1570" s="983" t="s">
        <v>2393</v>
      </c>
      <c r="C1570" s="966">
        <v>97871</v>
      </c>
    </row>
    <row r="1571" spans="2:3" x14ac:dyDescent="0.25">
      <c r="B1571" s="983" t="s">
        <v>3889</v>
      </c>
      <c r="C1571" s="966">
        <v>97877</v>
      </c>
    </row>
    <row r="1572" spans="2:3" x14ac:dyDescent="0.25">
      <c r="B1572" s="983" t="s">
        <v>1986</v>
      </c>
      <c r="C1572" s="966">
        <v>99502</v>
      </c>
    </row>
    <row r="1573" spans="2:3" x14ac:dyDescent="0.25">
      <c r="B1573" s="983" t="s">
        <v>2394</v>
      </c>
      <c r="C1573" s="966">
        <v>97911</v>
      </c>
    </row>
    <row r="1574" spans="2:3" x14ac:dyDescent="0.25">
      <c r="B1574" s="983" t="s">
        <v>3890</v>
      </c>
      <c r="C1574" s="966">
        <v>97917</v>
      </c>
    </row>
    <row r="1575" spans="2:3" x14ac:dyDescent="0.25">
      <c r="B1575" s="983" t="s">
        <v>2395</v>
      </c>
      <c r="C1575" s="966">
        <v>96611</v>
      </c>
    </row>
    <row r="1576" spans="2:3" x14ac:dyDescent="0.25">
      <c r="B1576" s="983" t="s">
        <v>2396</v>
      </c>
      <c r="C1576" s="966">
        <v>96741</v>
      </c>
    </row>
    <row r="1577" spans="2:3" x14ac:dyDescent="0.25">
      <c r="B1577" s="983" t="s">
        <v>1819</v>
      </c>
      <c r="C1577" s="966">
        <v>97701</v>
      </c>
    </row>
    <row r="1578" spans="2:3" x14ac:dyDescent="0.25">
      <c r="B1578" s="983" t="s">
        <v>2397</v>
      </c>
      <c r="C1578" s="966">
        <v>92541</v>
      </c>
    </row>
    <row r="1579" spans="2:3" x14ac:dyDescent="0.25">
      <c r="B1579" s="983" t="s">
        <v>1543</v>
      </c>
      <c r="C1579" s="966">
        <v>94209</v>
      </c>
    </row>
    <row r="1580" spans="2:3" x14ac:dyDescent="0.25">
      <c r="B1580" s="983" t="s">
        <v>3891</v>
      </c>
      <c r="C1580" s="966">
        <v>94221</v>
      </c>
    </row>
    <row r="1581" spans="2:3" x14ac:dyDescent="0.25">
      <c r="B1581" s="983" t="s">
        <v>2398</v>
      </c>
      <c r="C1581" s="966">
        <v>96341</v>
      </c>
    </row>
    <row r="1582" spans="2:3" x14ac:dyDescent="0.25">
      <c r="B1582" s="983" t="s">
        <v>2399</v>
      </c>
      <c r="C1582" s="966">
        <v>93821</v>
      </c>
    </row>
    <row r="1583" spans="2:3" x14ac:dyDescent="0.25">
      <c r="B1583" s="983" t="s">
        <v>2400</v>
      </c>
      <c r="C1583" s="966">
        <v>95851</v>
      </c>
    </row>
    <row r="1584" spans="2:3" x14ac:dyDescent="0.25">
      <c r="B1584" s="983" t="s">
        <v>1665</v>
      </c>
      <c r="C1584" s="966">
        <v>95853</v>
      </c>
    </row>
    <row r="1585" spans="2:3" x14ac:dyDescent="0.25">
      <c r="B1585" s="983" t="s">
        <v>1827</v>
      </c>
      <c r="C1585" s="966">
        <v>97801</v>
      </c>
    </row>
    <row r="1586" spans="2:3" x14ac:dyDescent="0.25">
      <c r="B1586" s="983" t="s">
        <v>1829</v>
      </c>
      <c r="C1586" s="966">
        <v>97803</v>
      </c>
    </row>
    <row r="1587" spans="2:3" x14ac:dyDescent="0.25">
      <c r="B1587" s="983" t="s">
        <v>1830</v>
      </c>
      <c r="C1587" s="966">
        <v>97805</v>
      </c>
    </row>
    <row r="1588" spans="2:3" x14ac:dyDescent="0.25">
      <c r="B1588" s="983" t="s">
        <v>2401</v>
      </c>
      <c r="C1588" s="966">
        <v>97711</v>
      </c>
    </row>
    <row r="1589" spans="2:3" x14ac:dyDescent="0.25">
      <c r="B1589" s="983" t="s">
        <v>1845</v>
      </c>
      <c r="C1589" s="966">
        <v>97901</v>
      </c>
    </row>
    <row r="1590" spans="2:3" x14ac:dyDescent="0.25">
      <c r="B1590" s="983" t="s">
        <v>1822</v>
      </c>
      <c r="C1590" s="966">
        <v>97713</v>
      </c>
    </row>
    <row r="1591" spans="2:3" x14ac:dyDescent="0.25">
      <c r="B1591" s="983" t="s">
        <v>3892</v>
      </c>
      <c r="C1591" s="966">
        <v>97727</v>
      </c>
    </row>
    <row r="1592" spans="2:3" x14ac:dyDescent="0.25">
      <c r="B1592" s="983" t="s">
        <v>2402</v>
      </c>
      <c r="C1592" s="966">
        <v>98071</v>
      </c>
    </row>
    <row r="1593" spans="2:3" x14ac:dyDescent="0.25">
      <c r="B1593" s="983" t="s">
        <v>1459</v>
      </c>
      <c r="C1593" s="966">
        <v>93323</v>
      </c>
    </row>
    <row r="1594" spans="2:3" x14ac:dyDescent="0.25">
      <c r="B1594" s="983" t="s">
        <v>3893</v>
      </c>
      <c r="C1594" s="966">
        <v>93333</v>
      </c>
    </row>
    <row r="1595" spans="2:3" x14ac:dyDescent="0.25">
      <c r="B1595" s="983" t="s">
        <v>3894</v>
      </c>
      <c r="C1595" s="966">
        <v>93321</v>
      </c>
    </row>
    <row r="1596" spans="2:3" x14ac:dyDescent="0.25">
      <c r="B1596" s="983" t="s">
        <v>2403</v>
      </c>
      <c r="C1596" s="966">
        <v>99203</v>
      </c>
    </row>
    <row r="1597" spans="2:3" x14ac:dyDescent="0.25">
      <c r="B1597" s="983" t="s">
        <v>2404</v>
      </c>
      <c r="C1597" s="966">
        <v>99421</v>
      </c>
    </row>
    <row r="1598" spans="2:3" x14ac:dyDescent="0.25">
      <c r="B1598" s="983" t="s">
        <v>2405</v>
      </c>
      <c r="C1598" s="966">
        <v>93161</v>
      </c>
    </row>
    <row r="1599" spans="2:3" x14ac:dyDescent="0.25">
      <c r="B1599" s="983" t="s">
        <v>2406</v>
      </c>
      <c r="C1599" s="966">
        <v>98261</v>
      </c>
    </row>
    <row r="1600" spans="2:3" x14ac:dyDescent="0.25">
      <c r="B1600" s="983" t="s">
        <v>3895</v>
      </c>
      <c r="C1600" s="966">
        <v>98237</v>
      </c>
    </row>
    <row r="1601" spans="2:3" x14ac:dyDescent="0.25">
      <c r="B1601" s="983" t="s">
        <v>3896</v>
      </c>
      <c r="C1601" s="966">
        <v>98003</v>
      </c>
    </row>
    <row r="1602" spans="2:3" x14ac:dyDescent="0.25">
      <c r="B1602" s="983" t="s">
        <v>3897</v>
      </c>
      <c r="C1602" s="966">
        <v>98008</v>
      </c>
    </row>
    <row r="1603" spans="2:3" x14ac:dyDescent="0.25">
      <c r="B1603" s="983" t="s">
        <v>3898</v>
      </c>
      <c r="C1603" s="966">
        <v>98002</v>
      </c>
    </row>
    <row r="1604" spans="2:3" x14ac:dyDescent="0.25">
      <c r="B1604" s="983" t="s">
        <v>1856</v>
      </c>
      <c r="C1604" s="966">
        <v>98001</v>
      </c>
    </row>
    <row r="1605" spans="2:3" x14ac:dyDescent="0.25">
      <c r="B1605" s="983" t="s">
        <v>3899</v>
      </c>
      <c r="C1605" s="966">
        <v>98004</v>
      </c>
    </row>
    <row r="1606" spans="2:3" x14ac:dyDescent="0.25">
      <c r="B1606" s="983" t="s">
        <v>2407</v>
      </c>
      <c r="C1606" s="966">
        <v>97861</v>
      </c>
    </row>
    <row r="1607" spans="2:3" x14ac:dyDescent="0.25">
      <c r="B1607" s="983" t="s">
        <v>2408</v>
      </c>
      <c r="C1607" s="966">
        <v>97311</v>
      </c>
    </row>
    <row r="1608" spans="2:3" x14ac:dyDescent="0.25">
      <c r="B1608" s="983" t="s">
        <v>2409</v>
      </c>
      <c r="C1608" s="966">
        <v>93431</v>
      </c>
    </row>
    <row r="1609" spans="2:3" x14ac:dyDescent="0.25">
      <c r="B1609" s="983" t="s">
        <v>2410</v>
      </c>
      <c r="C1609" s="966">
        <v>91214</v>
      </c>
    </row>
    <row r="1610" spans="2:3" x14ac:dyDescent="0.25">
      <c r="B1610" s="983" t="s">
        <v>1871</v>
      </c>
      <c r="C1610" s="966">
        <v>98101</v>
      </c>
    </row>
    <row r="1611" spans="2:3" x14ac:dyDescent="0.25">
      <c r="B1611" s="983" t="s">
        <v>3900</v>
      </c>
      <c r="C1611" s="966">
        <v>98103</v>
      </c>
    </row>
    <row r="1612" spans="2:3" x14ac:dyDescent="0.25">
      <c r="B1612" s="983" t="s">
        <v>2411</v>
      </c>
      <c r="C1612" s="966">
        <v>98141</v>
      </c>
    </row>
    <row r="1613" spans="2:3" x14ac:dyDescent="0.25">
      <c r="B1613" s="983" t="s">
        <v>3901</v>
      </c>
      <c r="C1613" s="966">
        <v>98147</v>
      </c>
    </row>
    <row r="1614" spans="2:3" x14ac:dyDescent="0.25">
      <c r="B1614" s="983" t="s">
        <v>2412</v>
      </c>
      <c r="C1614" s="966">
        <v>98221</v>
      </c>
    </row>
    <row r="1615" spans="2:3" x14ac:dyDescent="0.25">
      <c r="B1615" s="983" t="s">
        <v>2413</v>
      </c>
      <c r="C1615" s="966">
        <v>98011</v>
      </c>
    </row>
    <row r="1616" spans="2:3" x14ac:dyDescent="0.25">
      <c r="B1616" s="983" t="s">
        <v>2414</v>
      </c>
      <c r="C1616" s="966">
        <v>97531</v>
      </c>
    </row>
    <row r="1617" spans="2:3" x14ac:dyDescent="0.25">
      <c r="B1617" s="983" t="s">
        <v>1883</v>
      </c>
      <c r="C1617" s="966">
        <v>98201</v>
      </c>
    </row>
    <row r="1618" spans="2:3" x14ac:dyDescent="0.25">
      <c r="B1618" s="983" t="s">
        <v>1820</v>
      </c>
      <c r="C1618" s="966">
        <v>97705</v>
      </c>
    </row>
    <row r="1619" spans="2:3" x14ac:dyDescent="0.25">
      <c r="B1619" s="983" t="s">
        <v>3542</v>
      </c>
      <c r="C1619" s="966">
        <v>96318</v>
      </c>
    </row>
    <row r="1620" spans="2:3" x14ac:dyDescent="0.25">
      <c r="B1620" s="983" t="s">
        <v>2415</v>
      </c>
      <c r="C1620" s="966">
        <v>95311</v>
      </c>
    </row>
    <row r="1621" spans="2:3" x14ac:dyDescent="0.25">
      <c r="B1621" s="983" t="s">
        <v>3902</v>
      </c>
      <c r="C1621" s="966">
        <v>95317</v>
      </c>
    </row>
    <row r="1622" spans="2:3" x14ac:dyDescent="0.25">
      <c r="B1622" s="983" t="s">
        <v>2416</v>
      </c>
      <c r="C1622" s="966">
        <v>91421</v>
      </c>
    </row>
    <row r="1623" spans="2:3" x14ac:dyDescent="0.25">
      <c r="B1623" s="983" t="s">
        <v>1894</v>
      </c>
      <c r="C1623" s="966">
        <v>98301</v>
      </c>
    </row>
    <row r="1624" spans="2:3" x14ac:dyDescent="0.25">
      <c r="B1624" s="983" t="s">
        <v>3903</v>
      </c>
      <c r="C1624" s="966">
        <v>98304</v>
      </c>
    </row>
    <row r="1625" spans="2:3" x14ac:dyDescent="0.25">
      <c r="B1625" s="983" t="s">
        <v>2417</v>
      </c>
      <c r="C1625" s="966">
        <v>94241</v>
      </c>
    </row>
    <row r="1626" spans="2:3" x14ac:dyDescent="0.25">
      <c r="B1626" s="983" t="s">
        <v>2418</v>
      </c>
      <c r="C1626" s="966">
        <v>96681</v>
      </c>
    </row>
    <row r="1627" spans="2:3" x14ac:dyDescent="0.25">
      <c r="B1627" s="983" t="s">
        <v>3904</v>
      </c>
      <c r="C1627" s="966">
        <v>72593</v>
      </c>
    </row>
    <row r="1628" spans="2:3" x14ac:dyDescent="0.25">
      <c r="B1628" s="983" t="s">
        <v>2419</v>
      </c>
      <c r="C1628" s="966">
        <v>95121</v>
      </c>
    </row>
    <row r="1629" spans="2:3" x14ac:dyDescent="0.25">
      <c r="B1629" s="983" t="s">
        <v>1617</v>
      </c>
      <c r="C1629" s="966">
        <v>95123</v>
      </c>
    </row>
    <row r="1630" spans="2:3" x14ac:dyDescent="0.25">
      <c r="B1630" s="983" t="s">
        <v>2420</v>
      </c>
      <c r="C1630" s="966">
        <v>99531</v>
      </c>
    </row>
    <row r="1631" spans="2:3" x14ac:dyDescent="0.25">
      <c r="B1631" s="983" t="s">
        <v>2421</v>
      </c>
      <c r="C1631" s="966">
        <v>96671</v>
      </c>
    </row>
    <row r="1632" spans="2:3" x14ac:dyDescent="0.25">
      <c r="B1632" s="983" t="s">
        <v>2422</v>
      </c>
      <c r="C1632" s="966">
        <v>91081</v>
      </c>
    </row>
    <row r="1633" spans="2:3" x14ac:dyDescent="0.25">
      <c r="B1633" s="983" t="s">
        <v>3905</v>
      </c>
      <c r="C1633" s="966">
        <v>91057</v>
      </c>
    </row>
    <row r="1634" spans="2:3" x14ac:dyDescent="0.25">
      <c r="B1634" s="983" t="s">
        <v>2423</v>
      </c>
      <c r="C1634" s="966">
        <v>96461</v>
      </c>
    </row>
    <row r="1635" spans="2:3" x14ac:dyDescent="0.25">
      <c r="B1635" s="983" t="s">
        <v>2424</v>
      </c>
      <c r="C1635" s="966">
        <v>92311</v>
      </c>
    </row>
    <row r="1636" spans="2:3" x14ac:dyDescent="0.25">
      <c r="B1636" s="983" t="s">
        <v>3906</v>
      </c>
      <c r="C1636" s="966">
        <v>92317</v>
      </c>
    </row>
    <row r="1637" spans="2:3" x14ac:dyDescent="0.25">
      <c r="B1637" s="983" t="s">
        <v>1789</v>
      </c>
      <c r="C1637" s="966">
        <v>97405</v>
      </c>
    </row>
    <row r="1638" spans="2:3" x14ac:dyDescent="0.25">
      <c r="B1638" s="983" t="s">
        <v>2425</v>
      </c>
      <c r="C1638" s="966">
        <v>91911</v>
      </c>
    </row>
    <row r="1639" spans="2:3" x14ac:dyDescent="0.25">
      <c r="B1639" s="983" t="s">
        <v>3907</v>
      </c>
      <c r="C1639" s="966">
        <v>91917</v>
      </c>
    </row>
    <row r="1640" spans="2:3" x14ac:dyDescent="0.25">
      <c r="B1640" s="983" t="s">
        <v>2426</v>
      </c>
      <c r="C1640" s="966">
        <v>97481</v>
      </c>
    </row>
    <row r="1641" spans="2:3" x14ac:dyDescent="0.25">
      <c r="B1641" s="983" t="s">
        <v>3908</v>
      </c>
      <c r="C1641" s="966">
        <v>91138</v>
      </c>
    </row>
    <row r="1642" spans="2:3" x14ac:dyDescent="0.25">
      <c r="B1642" s="983" t="s">
        <v>2427</v>
      </c>
      <c r="C1642" s="966">
        <v>95111</v>
      </c>
    </row>
    <row r="1643" spans="2:3" x14ac:dyDescent="0.25">
      <c r="B1643" s="983" t="s">
        <v>1614</v>
      </c>
      <c r="C1643" s="966">
        <v>95113</v>
      </c>
    </row>
    <row r="1644" spans="2:3" x14ac:dyDescent="0.25">
      <c r="B1644" s="983" t="s">
        <v>2428</v>
      </c>
      <c r="C1644" s="966">
        <v>94021</v>
      </c>
    </row>
    <row r="1645" spans="2:3" x14ac:dyDescent="0.25">
      <c r="B1645" s="983" t="s">
        <v>3909</v>
      </c>
      <c r="C1645" s="966">
        <v>90918</v>
      </c>
    </row>
    <row r="1646" spans="2:3" x14ac:dyDescent="0.25">
      <c r="B1646" s="983" t="s">
        <v>3910</v>
      </c>
      <c r="C1646" s="966">
        <v>93910</v>
      </c>
    </row>
    <row r="1647" spans="2:3" x14ac:dyDescent="0.25">
      <c r="B1647" s="983" t="s">
        <v>3543</v>
      </c>
      <c r="C1647" s="966">
        <v>91013</v>
      </c>
    </row>
    <row r="1648" spans="2:3" x14ac:dyDescent="0.25">
      <c r="B1648" s="983" t="s">
        <v>2429</v>
      </c>
      <c r="C1648" s="966">
        <v>96311</v>
      </c>
    </row>
    <row r="1649" spans="2:3" x14ac:dyDescent="0.25">
      <c r="B1649" s="983" t="s">
        <v>2430</v>
      </c>
      <c r="C1649" s="966">
        <v>92841</v>
      </c>
    </row>
    <row r="1650" spans="2:3" x14ac:dyDescent="0.25">
      <c r="B1650" s="983" t="s">
        <v>1997</v>
      </c>
      <c r="C1650" s="966">
        <v>99609</v>
      </c>
    </row>
    <row r="1651" spans="2:3" x14ac:dyDescent="0.25">
      <c r="B1651" s="983" t="s">
        <v>2431</v>
      </c>
      <c r="C1651" s="966">
        <v>91011</v>
      </c>
    </row>
    <row r="1652" spans="2:3" x14ac:dyDescent="0.25">
      <c r="B1652" s="983" t="s">
        <v>3911</v>
      </c>
      <c r="C1652" s="966">
        <v>91017</v>
      </c>
    </row>
    <row r="1653" spans="2:3" x14ac:dyDescent="0.25">
      <c r="B1653" s="983" t="s">
        <v>3912</v>
      </c>
      <c r="C1653" s="966">
        <v>95008</v>
      </c>
    </row>
    <row r="1654" spans="2:3" x14ac:dyDescent="0.25">
      <c r="B1654" s="983" t="s">
        <v>2432</v>
      </c>
      <c r="C1654" s="966">
        <v>72657</v>
      </c>
    </row>
    <row r="1655" spans="2:3" x14ac:dyDescent="0.25">
      <c r="B1655" s="983" t="s">
        <v>3913</v>
      </c>
      <c r="C1655" s="966">
        <v>90307</v>
      </c>
    </row>
    <row r="1656" spans="2:3" x14ac:dyDescent="0.25">
      <c r="B1656" s="983" t="s">
        <v>2433</v>
      </c>
      <c r="C1656" s="966">
        <v>98031</v>
      </c>
    </row>
    <row r="1657" spans="2:3" x14ac:dyDescent="0.25">
      <c r="B1657" s="983" t="s">
        <v>2434</v>
      </c>
      <c r="C1657" s="966">
        <v>98121</v>
      </c>
    </row>
    <row r="1658" spans="2:3" x14ac:dyDescent="0.25">
      <c r="B1658" s="983" t="s">
        <v>2435</v>
      </c>
      <c r="C1658" s="966">
        <v>96411</v>
      </c>
    </row>
    <row r="1659" spans="2:3" x14ac:dyDescent="0.25">
      <c r="B1659" s="983" t="s">
        <v>2436</v>
      </c>
      <c r="C1659" s="966">
        <v>92661</v>
      </c>
    </row>
    <row r="1660" spans="2:3" x14ac:dyDescent="0.25">
      <c r="B1660" s="983" t="s">
        <v>2437</v>
      </c>
      <c r="C1660" s="966">
        <v>96111</v>
      </c>
    </row>
    <row r="1661" spans="2:3" x14ac:dyDescent="0.25">
      <c r="B1661" s="983" t="s">
        <v>3914</v>
      </c>
      <c r="C1661" s="966">
        <v>91032</v>
      </c>
    </row>
    <row r="1662" spans="2:3" x14ac:dyDescent="0.25">
      <c r="B1662" s="983" t="s">
        <v>3915</v>
      </c>
      <c r="C1662" s="966">
        <v>97831</v>
      </c>
    </row>
    <row r="1663" spans="2:3" x14ac:dyDescent="0.25">
      <c r="B1663" s="983" t="s">
        <v>3916</v>
      </c>
      <c r="C1663" s="966">
        <v>97837</v>
      </c>
    </row>
    <row r="1664" spans="2:3" x14ac:dyDescent="0.25">
      <c r="B1664" s="983" t="s">
        <v>2438</v>
      </c>
      <c r="C1664" s="966">
        <v>96061</v>
      </c>
    </row>
    <row r="1665" spans="2:3" x14ac:dyDescent="0.25">
      <c r="B1665" s="983" t="s">
        <v>2439</v>
      </c>
      <c r="C1665" s="966">
        <v>98481</v>
      </c>
    </row>
    <row r="1666" spans="2:3" x14ac:dyDescent="0.25">
      <c r="B1666" s="983" t="s">
        <v>2440</v>
      </c>
      <c r="C1666" s="966">
        <v>93602</v>
      </c>
    </row>
    <row r="1667" spans="2:3" x14ac:dyDescent="0.25">
      <c r="B1667" s="983" t="s">
        <v>1901</v>
      </c>
      <c r="C1667" s="966">
        <v>98401</v>
      </c>
    </row>
    <row r="1668" spans="2:3" x14ac:dyDescent="0.25">
      <c r="B1668" s="983" t="s">
        <v>2441</v>
      </c>
      <c r="C1668" s="966">
        <v>99821</v>
      </c>
    </row>
    <row r="1669" spans="2:3" x14ac:dyDescent="0.25">
      <c r="B1669" s="983" t="s">
        <v>2442</v>
      </c>
      <c r="C1669" s="966">
        <v>96211</v>
      </c>
    </row>
    <row r="1670" spans="2:3" x14ac:dyDescent="0.25">
      <c r="B1670" s="983" t="s">
        <v>2443</v>
      </c>
      <c r="C1670" s="966">
        <v>94911</v>
      </c>
    </row>
    <row r="1671" spans="2:3" x14ac:dyDescent="0.25">
      <c r="B1671" s="983" t="s">
        <v>3917</v>
      </c>
      <c r="C1671" s="966">
        <v>94917</v>
      </c>
    </row>
    <row r="1672" spans="2:3" x14ac:dyDescent="0.25">
      <c r="B1672" s="983" t="s">
        <v>2444</v>
      </c>
      <c r="C1672" s="966">
        <v>92621</v>
      </c>
    </row>
    <row r="1673" spans="2:3" x14ac:dyDescent="0.25">
      <c r="B1673" s="983" t="s">
        <v>1910</v>
      </c>
      <c r="C1673" s="966">
        <v>98501</v>
      </c>
    </row>
    <row r="1674" spans="2:3" x14ac:dyDescent="0.25">
      <c r="B1674" s="983" t="s">
        <v>2445</v>
      </c>
      <c r="C1674" s="966">
        <v>97931</v>
      </c>
    </row>
    <row r="1675" spans="2:3" x14ac:dyDescent="0.25">
      <c r="B1675" s="983" t="s">
        <v>2446</v>
      </c>
      <c r="C1675" s="966">
        <v>93914</v>
      </c>
    </row>
    <row r="1676" spans="2:3" x14ac:dyDescent="0.25">
      <c r="B1676" s="983" t="s">
        <v>2447</v>
      </c>
      <c r="C1676" s="966">
        <v>90651</v>
      </c>
    </row>
    <row r="1677" spans="2:3" x14ac:dyDescent="0.25">
      <c r="B1677" s="983" t="s">
        <v>2448</v>
      </c>
      <c r="C1677" s="966">
        <v>94171</v>
      </c>
    </row>
    <row r="1678" spans="2:3" x14ac:dyDescent="0.25">
      <c r="B1678" s="983" t="s">
        <v>1539</v>
      </c>
      <c r="C1678" s="966">
        <v>94172</v>
      </c>
    </row>
    <row r="1679" spans="2:3" x14ac:dyDescent="0.25">
      <c r="B1679" s="983" t="s">
        <v>2449</v>
      </c>
      <c r="C1679" s="966">
        <v>91041</v>
      </c>
    </row>
    <row r="1680" spans="2:3" x14ac:dyDescent="0.25">
      <c r="B1680" s="983" t="s">
        <v>3918</v>
      </c>
      <c r="C1680" s="966">
        <v>91047</v>
      </c>
    </row>
    <row r="1681" spans="2:3" x14ac:dyDescent="0.25">
      <c r="B1681" s="983" t="s">
        <v>1777</v>
      </c>
      <c r="C1681" s="966">
        <v>97131</v>
      </c>
    </row>
    <row r="1682" spans="2:3" x14ac:dyDescent="0.25">
      <c r="B1682" s="983" t="s">
        <v>1914</v>
      </c>
      <c r="C1682" s="966">
        <v>98601</v>
      </c>
    </row>
    <row r="1683" spans="2:3" x14ac:dyDescent="0.25">
      <c r="B1683" s="983" t="s">
        <v>1924</v>
      </c>
      <c r="C1683" s="966">
        <v>98701</v>
      </c>
    </row>
    <row r="1684" spans="2:3" x14ac:dyDescent="0.25">
      <c r="B1684" s="983" t="s">
        <v>2450</v>
      </c>
      <c r="C1684" s="966">
        <v>96721</v>
      </c>
    </row>
    <row r="1685" spans="2:3" x14ac:dyDescent="0.25">
      <c r="B1685" s="983" t="s">
        <v>2451</v>
      </c>
      <c r="C1685" s="966">
        <v>95011</v>
      </c>
    </row>
    <row r="1686" spans="2:3" x14ac:dyDescent="0.25">
      <c r="B1686" s="983" t="s">
        <v>2452</v>
      </c>
      <c r="C1686" s="966">
        <v>92451</v>
      </c>
    </row>
    <row r="1687" spans="2:3" x14ac:dyDescent="0.25">
      <c r="B1687" s="983" t="s">
        <v>2453</v>
      </c>
      <c r="C1687" s="966">
        <v>93311</v>
      </c>
    </row>
    <row r="1688" spans="2:3" x14ac:dyDescent="0.25">
      <c r="B1688" s="983" t="s">
        <v>1457</v>
      </c>
      <c r="C1688" s="966">
        <v>93317</v>
      </c>
    </row>
    <row r="1689" spans="2:3" x14ac:dyDescent="0.25">
      <c r="B1689" s="983" t="s">
        <v>2454</v>
      </c>
      <c r="C1689" s="966">
        <v>90211</v>
      </c>
    </row>
    <row r="1690" spans="2:3" x14ac:dyDescent="0.25">
      <c r="B1690" s="983" t="s">
        <v>2455</v>
      </c>
      <c r="C1690" s="966">
        <v>96302</v>
      </c>
    </row>
    <row r="1691" spans="2:3" x14ac:dyDescent="0.25">
      <c r="B1691" s="983" t="s">
        <v>2456</v>
      </c>
      <c r="C1691" s="966">
        <v>93181</v>
      </c>
    </row>
    <row r="1692" spans="2:3" x14ac:dyDescent="0.25">
      <c r="B1692" s="983" t="s">
        <v>2457</v>
      </c>
      <c r="C1692" s="966">
        <v>92911</v>
      </c>
    </row>
    <row r="1693" spans="2:3" x14ac:dyDescent="0.25">
      <c r="B1693" s="983" t="s">
        <v>3919</v>
      </c>
      <c r="C1693" s="966">
        <v>92914</v>
      </c>
    </row>
    <row r="1694" spans="2:3" x14ac:dyDescent="0.25">
      <c r="B1694" s="983" t="s">
        <v>1422</v>
      </c>
      <c r="C1694" s="966">
        <v>92913</v>
      </c>
    </row>
    <row r="1695" spans="2:3" x14ac:dyDescent="0.25">
      <c r="B1695" s="983" t="s">
        <v>2458</v>
      </c>
      <c r="C1695" s="966">
        <v>93471</v>
      </c>
    </row>
    <row r="1696" spans="2:3" x14ac:dyDescent="0.25">
      <c r="B1696" s="983" t="s">
        <v>3920</v>
      </c>
      <c r="C1696" s="966">
        <v>90098</v>
      </c>
    </row>
    <row r="1697" spans="2:3" x14ac:dyDescent="0.25">
      <c r="B1697" s="983" t="s">
        <v>2459</v>
      </c>
      <c r="C1697" s="966">
        <v>97121</v>
      </c>
    </row>
    <row r="1698" spans="2:3" x14ac:dyDescent="0.25">
      <c r="B1698" s="983" t="s">
        <v>1927</v>
      </c>
      <c r="C1698" s="966">
        <v>98801</v>
      </c>
    </row>
    <row r="1699" spans="2:3" x14ac:dyDescent="0.25">
      <c r="B1699" s="983" t="s">
        <v>2460</v>
      </c>
      <c r="C1699" s="966">
        <v>92521</v>
      </c>
    </row>
    <row r="1700" spans="2:3" x14ac:dyDescent="0.25">
      <c r="B1700" s="983" t="s">
        <v>3544</v>
      </c>
      <c r="C1700" s="966">
        <v>93417</v>
      </c>
    </row>
    <row r="1701" spans="2:3" x14ac:dyDescent="0.25">
      <c r="B1701" s="983" t="s">
        <v>1452</v>
      </c>
      <c r="C1701" s="966">
        <v>93219</v>
      </c>
    </row>
    <row r="1702" spans="2:3" x14ac:dyDescent="0.25">
      <c r="B1702" s="983" t="s">
        <v>3545</v>
      </c>
      <c r="C1702" s="966">
        <v>92513</v>
      </c>
    </row>
    <row r="1703" spans="2:3" x14ac:dyDescent="0.25">
      <c r="B1703" s="983" t="s">
        <v>2461</v>
      </c>
      <c r="C1703" s="966">
        <v>97661</v>
      </c>
    </row>
    <row r="1704" spans="2:3" x14ac:dyDescent="0.25">
      <c r="B1704" s="983" t="s">
        <v>2462</v>
      </c>
      <c r="C1704" s="966">
        <v>94931</v>
      </c>
    </row>
    <row r="1705" spans="2:3" x14ac:dyDescent="0.25">
      <c r="B1705" s="983" t="s">
        <v>2463</v>
      </c>
      <c r="C1705" s="966">
        <v>96221</v>
      </c>
    </row>
    <row r="1706" spans="2:3" x14ac:dyDescent="0.25">
      <c r="B1706" s="983" t="s">
        <v>2464</v>
      </c>
      <c r="C1706" s="966">
        <v>97511</v>
      </c>
    </row>
    <row r="1707" spans="2:3" x14ac:dyDescent="0.25">
      <c r="B1707" s="983" t="s">
        <v>3921</v>
      </c>
      <c r="C1707" s="966">
        <v>95002</v>
      </c>
    </row>
    <row r="1708" spans="2:3" x14ac:dyDescent="0.25">
      <c r="B1708" s="983" t="s">
        <v>2465</v>
      </c>
      <c r="C1708" s="966">
        <v>98251</v>
      </c>
    </row>
    <row r="1709" spans="2:3" x14ac:dyDescent="0.25">
      <c r="B1709" s="983" t="s">
        <v>3922</v>
      </c>
      <c r="C1709" s="966">
        <v>98904</v>
      </c>
    </row>
    <row r="1710" spans="2:3" x14ac:dyDescent="0.25">
      <c r="B1710" s="983" t="s">
        <v>1930</v>
      </c>
      <c r="C1710" s="966">
        <v>98901</v>
      </c>
    </row>
    <row r="1711" spans="2:3" x14ac:dyDescent="0.25">
      <c r="B1711" s="983" t="s">
        <v>1933</v>
      </c>
      <c r="C1711" s="966">
        <v>99001</v>
      </c>
    </row>
    <row r="1712" spans="2:3" x14ac:dyDescent="0.25">
      <c r="B1712" s="983" t="s">
        <v>2466</v>
      </c>
      <c r="C1712" s="966">
        <v>99061</v>
      </c>
    </row>
    <row r="1713" spans="2:3" x14ac:dyDescent="0.25">
      <c r="B1713" s="983" t="s">
        <v>3923</v>
      </c>
      <c r="C1713" s="966">
        <v>93309</v>
      </c>
    </row>
    <row r="1714" spans="2:3" x14ac:dyDescent="0.25">
      <c r="B1714" s="983" t="s">
        <v>2467</v>
      </c>
      <c r="C1714" s="966">
        <v>91211</v>
      </c>
    </row>
    <row r="1715" spans="2:3" x14ac:dyDescent="0.25">
      <c r="B1715" s="983" t="s">
        <v>1282</v>
      </c>
      <c r="C1715" s="966">
        <v>91213</v>
      </c>
    </row>
    <row r="1716" spans="2:3" x14ac:dyDescent="0.25">
      <c r="B1716" s="983" t="s">
        <v>1947</v>
      </c>
      <c r="C1716" s="966">
        <v>99101</v>
      </c>
    </row>
    <row r="1717" spans="2:3" x14ac:dyDescent="0.25">
      <c r="B1717" s="983" t="s">
        <v>3924</v>
      </c>
      <c r="C1717" s="966">
        <v>99104</v>
      </c>
    </row>
    <row r="1718" spans="2:3" x14ac:dyDescent="0.25">
      <c r="B1718" s="983" t="s">
        <v>2468</v>
      </c>
      <c r="C1718" s="966">
        <v>92551</v>
      </c>
    </row>
    <row r="1719" spans="2:3" x14ac:dyDescent="0.25">
      <c r="B1719" s="983" t="s">
        <v>2469</v>
      </c>
      <c r="C1719" s="966">
        <v>96321</v>
      </c>
    </row>
    <row r="1720" spans="2:3" x14ac:dyDescent="0.25">
      <c r="B1720" s="983" t="s">
        <v>3925</v>
      </c>
      <c r="C1720" s="966">
        <v>95009</v>
      </c>
    </row>
    <row r="1721" spans="2:3" x14ac:dyDescent="0.25">
      <c r="B1721" s="983" t="s">
        <v>2470</v>
      </c>
      <c r="C1721" s="966">
        <v>92641</v>
      </c>
    </row>
    <row r="1722" spans="2:3" x14ac:dyDescent="0.25">
      <c r="B1722" s="983" t="s">
        <v>2471</v>
      </c>
      <c r="C1722" s="966">
        <v>90411</v>
      </c>
    </row>
    <row r="1723" spans="2:3" x14ac:dyDescent="0.25">
      <c r="B1723" s="983" t="s">
        <v>3926</v>
      </c>
      <c r="C1723" s="966">
        <v>90417</v>
      </c>
    </row>
    <row r="1724" spans="2:3" x14ac:dyDescent="0.25">
      <c r="B1724" s="983" t="s">
        <v>1188</v>
      </c>
      <c r="C1724" s="966">
        <v>90413</v>
      </c>
    </row>
    <row r="1725" spans="2:3" x14ac:dyDescent="0.25">
      <c r="B1725" s="983" t="s">
        <v>2472</v>
      </c>
      <c r="C1725" s="966">
        <v>98321</v>
      </c>
    </row>
    <row r="1726" spans="2:3" x14ac:dyDescent="0.25">
      <c r="B1726" s="983" t="s">
        <v>1952</v>
      </c>
      <c r="C1726" s="966">
        <v>99201</v>
      </c>
    </row>
    <row r="1727" spans="2:3" x14ac:dyDescent="0.25">
      <c r="B1727" s="983" t="s">
        <v>3927</v>
      </c>
      <c r="C1727" s="966">
        <v>99204</v>
      </c>
    </row>
    <row r="1728" spans="2:3" x14ac:dyDescent="0.25">
      <c r="B1728" s="983" t="s">
        <v>1957</v>
      </c>
      <c r="C1728" s="966">
        <v>99207</v>
      </c>
    </row>
    <row r="1729" spans="2:3" x14ac:dyDescent="0.25">
      <c r="B1729" s="983" t="s">
        <v>2473</v>
      </c>
      <c r="C1729" s="966">
        <v>99281</v>
      </c>
    </row>
    <row r="1730" spans="2:3" x14ac:dyDescent="0.25">
      <c r="B1730" s="983" t="s">
        <v>2474</v>
      </c>
      <c r="C1730" s="966">
        <v>93461</v>
      </c>
    </row>
    <row r="1731" spans="2:3" x14ac:dyDescent="0.25">
      <c r="B1731" s="983" t="s">
        <v>2475</v>
      </c>
      <c r="C1731" s="966">
        <v>93151</v>
      </c>
    </row>
    <row r="1732" spans="2:3" x14ac:dyDescent="0.25">
      <c r="B1732" s="983" t="s">
        <v>3928</v>
      </c>
      <c r="C1732" s="966">
        <v>93157</v>
      </c>
    </row>
    <row r="1733" spans="2:3" x14ac:dyDescent="0.25">
      <c r="B1733" s="983" t="s">
        <v>2476</v>
      </c>
      <c r="C1733" s="966">
        <v>98511</v>
      </c>
    </row>
    <row r="1734" spans="2:3" x14ac:dyDescent="0.25">
      <c r="B1734" s="983" t="s">
        <v>3929</v>
      </c>
      <c r="C1734" s="966">
        <v>98517</v>
      </c>
    </row>
    <row r="1735" spans="2:3" x14ac:dyDescent="0.25">
      <c r="B1735" s="983" t="s">
        <v>2477</v>
      </c>
      <c r="C1735" s="966">
        <v>99661</v>
      </c>
    </row>
    <row r="1736" spans="2:3" x14ac:dyDescent="0.25">
      <c r="B1736" s="983" t="s">
        <v>2478</v>
      </c>
      <c r="C1736" s="966">
        <v>94031</v>
      </c>
    </row>
    <row r="1737" spans="2:3" x14ac:dyDescent="0.25">
      <c r="B1737" s="983" t="s">
        <v>1974</v>
      </c>
      <c r="C1737" s="966">
        <v>99301</v>
      </c>
    </row>
    <row r="1738" spans="2:3" x14ac:dyDescent="0.25">
      <c r="B1738" s="983" t="s">
        <v>3930</v>
      </c>
      <c r="C1738" s="966">
        <v>99304</v>
      </c>
    </row>
    <row r="1739" spans="2:3" x14ac:dyDescent="0.25">
      <c r="B1739" s="983" t="s">
        <v>2479</v>
      </c>
      <c r="C1739" s="966">
        <v>99321</v>
      </c>
    </row>
    <row r="1740" spans="2:3" x14ac:dyDescent="0.25">
      <c r="B1740" s="983" t="s">
        <v>2480</v>
      </c>
      <c r="C1740" s="966">
        <v>93131</v>
      </c>
    </row>
    <row r="1741" spans="2:3" x14ac:dyDescent="0.25">
      <c r="B1741" s="983" t="s">
        <v>3931</v>
      </c>
      <c r="C1741" s="966">
        <v>93137</v>
      </c>
    </row>
    <row r="1742" spans="2:3" x14ac:dyDescent="0.25">
      <c r="B1742" s="983" t="s">
        <v>2481</v>
      </c>
      <c r="C1742" s="966">
        <v>90711</v>
      </c>
    </row>
    <row r="1743" spans="2:3" x14ac:dyDescent="0.25">
      <c r="B1743" s="983" t="s">
        <v>1978</v>
      </c>
      <c r="C1743" s="966">
        <v>99401</v>
      </c>
    </row>
    <row r="1744" spans="2:3" x14ac:dyDescent="0.25">
      <c r="B1744" s="983" t="s">
        <v>3932</v>
      </c>
      <c r="C1744" s="966">
        <v>99404</v>
      </c>
    </row>
    <row r="1745" spans="2:3" x14ac:dyDescent="0.25">
      <c r="B1745" s="983" t="s">
        <v>2482</v>
      </c>
      <c r="C1745" s="966">
        <v>90741</v>
      </c>
    </row>
    <row r="1746" spans="2:3" x14ac:dyDescent="0.25">
      <c r="B1746" s="983" t="s">
        <v>1985</v>
      </c>
      <c r="C1746" s="966">
        <v>99501</v>
      </c>
    </row>
    <row r="1747" spans="2:3" x14ac:dyDescent="0.25">
      <c r="B1747" s="983" t="s">
        <v>3933</v>
      </c>
      <c r="C1747" s="966">
        <v>99509</v>
      </c>
    </row>
    <row r="1748" spans="2:3" x14ac:dyDescent="0.25">
      <c r="B1748" s="983" t="s">
        <v>3934</v>
      </c>
      <c r="C1748" s="973">
        <v>91302</v>
      </c>
    </row>
    <row r="1749" spans="2:3" x14ac:dyDescent="0.25">
      <c r="B1749" s="983" t="s">
        <v>2483</v>
      </c>
      <c r="C1749" s="966">
        <v>99041</v>
      </c>
    </row>
    <row r="1750" spans="2:3" x14ac:dyDescent="0.25">
      <c r="B1750" s="983" t="s">
        <v>3935</v>
      </c>
      <c r="C1750" s="966">
        <v>99047</v>
      </c>
    </row>
    <row r="1751" spans="2:3" x14ac:dyDescent="0.25">
      <c r="B1751" s="983" t="s">
        <v>1993</v>
      </c>
      <c r="C1751" s="966">
        <v>99601</v>
      </c>
    </row>
    <row r="1752" spans="2:3" x14ac:dyDescent="0.25">
      <c r="B1752" s="983" t="s">
        <v>3936</v>
      </c>
      <c r="C1752" s="966">
        <v>99604</v>
      </c>
    </row>
    <row r="1753" spans="2:3" x14ac:dyDescent="0.25">
      <c r="B1753" s="983" t="s">
        <v>2484</v>
      </c>
      <c r="C1753" s="966">
        <v>94411</v>
      </c>
    </row>
    <row r="1754" spans="2:3" x14ac:dyDescent="0.25">
      <c r="B1754" s="983" t="s">
        <v>3937</v>
      </c>
      <c r="C1754" s="966">
        <v>94412</v>
      </c>
    </row>
    <row r="1755" spans="2:3" x14ac:dyDescent="0.25">
      <c r="B1755" s="983" t="s">
        <v>2485</v>
      </c>
      <c r="C1755" s="966">
        <v>91141</v>
      </c>
    </row>
    <row r="1756" spans="2:3" x14ac:dyDescent="0.25">
      <c r="B1756" s="983" t="s">
        <v>3938</v>
      </c>
      <c r="C1756" s="966">
        <v>91147</v>
      </c>
    </row>
    <row r="1757" spans="2:3" x14ac:dyDescent="0.25">
      <c r="B1757" s="983" t="s">
        <v>2486</v>
      </c>
      <c r="C1757" s="966">
        <v>99071</v>
      </c>
    </row>
    <row r="1758" spans="2:3" x14ac:dyDescent="0.25">
      <c r="B1758" s="983" t="s">
        <v>2487</v>
      </c>
      <c r="C1758" s="966">
        <v>94231</v>
      </c>
    </row>
    <row r="1759" spans="2:3" x14ac:dyDescent="0.25">
      <c r="B1759" s="983" t="s">
        <v>2488</v>
      </c>
      <c r="C1759" s="966">
        <v>99231</v>
      </c>
    </row>
    <row r="1760" spans="2:3" x14ac:dyDescent="0.25">
      <c r="B1760" s="983" t="s">
        <v>2489</v>
      </c>
      <c r="C1760" s="966">
        <v>99091</v>
      </c>
    </row>
    <row r="1761" spans="2:3" x14ac:dyDescent="0.25">
      <c r="B1761" s="983" t="s">
        <v>3939</v>
      </c>
      <c r="C1761" s="966">
        <v>91120</v>
      </c>
    </row>
    <row r="1762" spans="2:3" x14ac:dyDescent="0.25">
      <c r="B1762" s="983" t="s">
        <v>3547</v>
      </c>
      <c r="C1762" s="966">
        <v>92444</v>
      </c>
    </row>
    <row r="1763" spans="2:3" x14ac:dyDescent="0.25">
      <c r="B1763" s="983" t="s">
        <v>2490</v>
      </c>
      <c r="C1763" s="966">
        <v>90521</v>
      </c>
    </row>
    <row r="1764" spans="2:3" x14ac:dyDescent="0.25">
      <c r="B1764" s="983" t="s">
        <v>3940</v>
      </c>
      <c r="C1764" s="966">
        <v>90507</v>
      </c>
    </row>
    <row r="1765" spans="2:3" x14ac:dyDescent="0.25">
      <c r="B1765" s="983" t="s">
        <v>3941</v>
      </c>
      <c r="C1765" s="966">
        <v>92602</v>
      </c>
    </row>
    <row r="1766" spans="2:3" x14ac:dyDescent="0.25">
      <c r="B1766" s="983" t="s">
        <v>3942</v>
      </c>
      <c r="C1766" s="966">
        <v>91608</v>
      </c>
    </row>
    <row r="1767" spans="2:3" x14ac:dyDescent="0.25">
      <c r="B1767" s="983" t="s">
        <v>2491</v>
      </c>
      <c r="C1767" s="966">
        <v>91119</v>
      </c>
    </row>
    <row r="1768" spans="2:3" x14ac:dyDescent="0.25">
      <c r="B1768" s="983" t="s">
        <v>3943</v>
      </c>
      <c r="C1768" s="966">
        <v>91107</v>
      </c>
    </row>
    <row r="1769" spans="2:3" x14ac:dyDescent="0.25">
      <c r="B1769" s="983" t="s">
        <v>3944</v>
      </c>
      <c r="C1769" s="966">
        <v>91818</v>
      </c>
    </row>
    <row r="1770" spans="2:3" x14ac:dyDescent="0.25">
      <c r="B1770" s="983" t="s">
        <v>1335</v>
      </c>
      <c r="C1770" s="966">
        <v>91819</v>
      </c>
    </row>
    <row r="1771" spans="2:3" x14ac:dyDescent="0.25">
      <c r="B1771" s="983" t="s">
        <v>2492</v>
      </c>
      <c r="C1771" s="966">
        <v>96371</v>
      </c>
    </row>
    <row r="1772" spans="2:3" x14ac:dyDescent="0.25">
      <c r="B1772" s="983" t="s">
        <v>2493</v>
      </c>
      <c r="C1772" s="966">
        <v>96441</v>
      </c>
    </row>
    <row r="1773" spans="2:3" x14ac:dyDescent="0.25">
      <c r="B1773" s="983" t="s">
        <v>2494</v>
      </c>
      <c r="C1773" s="966">
        <v>90921</v>
      </c>
    </row>
    <row r="1774" spans="2:3" x14ac:dyDescent="0.25">
      <c r="B1774" s="983" t="s">
        <v>2495</v>
      </c>
      <c r="C1774" s="966">
        <v>92411</v>
      </c>
    </row>
    <row r="1775" spans="2:3" x14ac:dyDescent="0.25">
      <c r="B1775" s="983" t="s">
        <v>3945</v>
      </c>
      <c r="C1775" s="966">
        <v>92417</v>
      </c>
    </row>
    <row r="1776" spans="2:3" x14ac:dyDescent="0.25">
      <c r="B1776" s="983" t="s">
        <v>1371</v>
      </c>
      <c r="C1776" s="966">
        <v>92403</v>
      </c>
    </row>
    <row r="1777" spans="2:3" x14ac:dyDescent="0.25">
      <c r="B1777" s="983" t="s">
        <v>2005</v>
      </c>
      <c r="C1777" s="966">
        <v>99701</v>
      </c>
    </row>
    <row r="1778" spans="2:3" x14ac:dyDescent="0.25">
      <c r="B1778" s="983" t="s">
        <v>2496</v>
      </c>
      <c r="C1778" s="966">
        <v>99721</v>
      </c>
    </row>
    <row r="1779" spans="2:3" x14ac:dyDescent="0.25">
      <c r="B1779" s="983" t="s">
        <v>3946</v>
      </c>
      <c r="C1779" s="966">
        <v>99727</v>
      </c>
    </row>
    <row r="1780" spans="2:3" x14ac:dyDescent="0.25">
      <c r="B1780" s="983" t="s">
        <v>2497</v>
      </c>
      <c r="C1780" s="966">
        <v>95811</v>
      </c>
    </row>
    <row r="1781" spans="2:3" x14ac:dyDescent="0.25">
      <c r="B1781" s="983" t="s">
        <v>1660</v>
      </c>
      <c r="C1781" s="966">
        <v>95813</v>
      </c>
    </row>
    <row r="1782" spans="2:3" x14ac:dyDescent="0.25">
      <c r="B1782" s="983" t="s">
        <v>2498</v>
      </c>
      <c r="C1782" s="966">
        <v>96531</v>
      </c>
    </row>
    <row r="1783" spans="2:3" x14ac:dyDescent="0.25">
      <c r="B1783" s="983" t="s">
        <v>1722</v>
      </c>
      <c r="C1783" s="966">
        <v>96503</v>
      </c>
    </row>
    <row r="1784" spans="2:3" x14ac:dyDescent="0.25">
      <c r="B1784" s="983" t="s">
        <v>2499</v>
      </c>
      <c r="C1784" s="966">
        <v>99811</v>
      </c>
    </row>
    <row r="1785" spans="2:3" x14ac:dyDescent="0.25">
      <c r="B1785" s="983" t="s">
        <v>3947</v>
      </c>
      <c r="C1785" s="966">
        <v>99818</v>
      </c>
    </row>
    <row r="1786" spans="2:3" x14ac:dyDescent="0.25">
      <c r="B1786" s="983" t="s">
        <v>2011</v>
      </c>
      <c r="C1786" s="966">
        <v>99801</v>
      </c>
    </row>
    <row r="1787" spans="2:3" x14ac:dyDescent="0.25">
      <c r="B1787" s="983" t="s">
        <v>3948</v>
      </c>
      <c r="C1787" s="966">
        <v>99804</v>
      </c>
    </row>
    <row r="1788" spans="2:3" x14ac:dyDescent="0.25">
      <c r="B1788" s="983" t="s">
        <v>3949</v>
      </c>
      <c r="C1788" s="966">
        <v>99802</v>
      </c>
    </row>
    <row r="1789" spans="2:3" x14ac:dyDescent="0.25">
      <c r="B1789" s="983" t="s">
        <v>3950</v>
      </c>
      <c r="C1789" s="966">
        <v>99812</v>
      </c>
    </row>
    <row r="1790" spans="2:3" x14ac:dyDescent="0.25">
      <c r="B1790" s="983" t="s">
        <v>3951</v>
      </c>
      <c r="C1790" s="966">
        <v>95191</v>
      </c>
    </row>
    <row r="1791" spans="2:3" x14ac:dyDescent="0.25">
      <c r="B1791" s="983" t="s">
        <v>2500</v>
      </c>
      <c r="C1791" s="966">
        <v>90812</v>
      </c>
    </row>
    <row r="1792" spans="2:3" x14ac:dyDescent="0.25">
      <c r="B1792" s="983" t="s">
        <v>2501</v>
      </c>
      <c r="C1792" s="966">
        <v>97221</v>
      </c>
    </row>
    <row r="1793" spans="2:3" x14ac:dyDescent="0.25">
      <c r="B1793" s="983" t="s">
        <v>2502</v>
      </c>
      <c r="C1793" s="966">
        <v>99031</v>
      </c>
    </row>
    <row r="1794" spans="2:3" x14ac:dyDescent="0.25">
      <c r="B1794" s="983" t="s">
        <v>2503</v>
      </c>
      <c r="C1794" s="966">
        <v>93411</v>
      </c>
    </row>
    <row r="1795" spans="2:3" x14ac:dyDescent="0.25">
      <c r="B1795" s="983" t="s">
        <v>1468</v>
      </c>
      <c r="C1795" s="966">
        <v>93413</v>
      </c>
    </row>
    <row r="1796" spans="2:3" x14ac:dyDescent="0.25">
      <c r="B1796" s="983" t="s">
        <v>2504</v>
      </c>
      <c r="C1796" s="966">
        <v>97451</v>
      </c>
    </row>
    <row r="1797" spans="2:3" x14ac:dyDescent="0.25">
      <c r="B1797" s="983" t="s">
        <v>2505</v>
      </c>
      <c r="C1797" s="966">
        <v>94631</v>
      </c>
    </row>
    <row r="1798" spans="2:3" x14ac:dyDescent="0.25">
      <c r="B1798" s="983" t="s">
        <v>2506</v>
      </c>
      <c r="C1798" s="966">
        <v>91171</v>
      </c>
    </row>
    <row r="1799" spans="2:3" x14ac:dyDescent="0.25">
      <c r="B1799" s="983" t="s">
        <v>1260</v>
      </c>
      <c r="C1799" s="966">
        <v>91104</v>
      </c>
    </row>
    <row r="1800" spans="2:3" x14ac:dyDescent="0.25">
      <c r="B1800" s="983" t="s">
        <v>3952</v>
      </c>
      <c r="C1800" s="966">
        <v>91109</v>
      </c>
    </row>
    <row r="1801" spans="2:3" x14ac:dyDescent="0.25">
      <c r="B1801" s="983" t="s">
        <v>2507</v>
      </c>
      <c r="C1801" s="966">
        <v>96621</v>
      </c>
    </row>
    <row r="1802" spans="2:3" x14ac:dyDescent="0.25">
      <c r="B1802" s="983" t="s">
        <v>2508</v>
      </c>
      <c r="C1802" s="966">
        <v>96511</v>
      </c>
    </row>
    <row r="1803" spans="2:3" x14ac:dyDescent="0.25">
      <c r="B1803" s="983" t="s">
        <v>2021</v>
      </c>
      <c r="C1803" s="966">
        <v>99901</v>
      </c>
    </row>
    <row r="1804" spans="2:3" x14ac:dyDescent="0.25">
      <c r="B1804" s="983" t="s">
        <v>3548</v>
      </c>
      <c r="C1804" s="966">
        <v>98604</v>
      </c>
    </row>
    <row r="1805" spans="2:3" x14ac:dyDescent="0.25">
      <c r="B1805" s="983" t="s">
        <v>1916</v>
      </c>
      <c r="C1805" s="966">
        <v>98608</v>
      </c>
    </row>
    <row r="1806" spans="2:3" x14ac:dyDescent="0.25">
      <c r="B1806" s="983" t="s">
        <v>2509</v>
      </c>
      <c r="C1806" s="966">
        <v>99911</v>
      </c>
    </row>
    <row r="1807" spans="2:3" x14ac:dyDescent="0.25">
      <c r="B1807" s="983" t="s">
        <v>1164</v>
      </c>
      <c r="C1807" s="966">
        <v>90001</v>
      </c>
    </row>
    <row r="1808" spans="2:3" x14ac:dyDescent="0.25">
      <c r="B1808" s="983" t="s">
        <v>3953</v>
      </c>
      <c r="C1808" s="966">
        <v>90002</v>
      </c>
    </row>
    <row r="1809" spans="2:3" x14ac:dyDescent="0.25">
      <c r="B1809" s="983" t="s">
        <v>2510</v>
      </c>
      <c r="C1809" s="966">
        <v>91719</v>
      </c>
    </row>
    <row r="1810" spans="2:3" x14ac:dyDescent="0.25">
      <c r="B1810" s="983" t="s">
        <v>2511</v>
      </c>
      <c r="C1810" s="966">
        <v>93541</v>
      </c>
    </row>
    <row r="1811" spans="2:3" x14ac:dyDescent="0.25">
      <c r="B1811" s="983" t="s">
        <v>2512</v>
      </c>
      <c r="C1811" s="966">
        <v>99241</v>
      </c>
    </row>
  </sheetData>
  <customSheetViews>
    <customSheetView guid="{C1197650-3ED8-49E4-8E4C-0D1D4B503FC0}" fitToPage="1" state="hidden">
      <selection activeCell="B6" sqref="B6"/>
      <pageMargins left="0.7" right="0.7" top="0.75" bottom="0.75" header="0.3" footer="0.3"/>
      <pageSetup paperSize="5" scale="40" fitToHeight="0" orientation="landscape" r:id="rId1"/>
    </customSheetView>
    <customSheetView guid="{D2B860EA-92EC-4999-9A59-C624E1F8C7FB}" fitToPage="1" state="hidden">
      <selection activeCell="B6" sqref="B6"/>
      <pageMargins left="0.7" right="0.7" top="0.75" bottom="0.75" header="0.3" footer="0.3"/>
      <pageSetup paperSize="5" scale="40" fitToHeight="0" orientation="landscape" r:id="rId2"/>
    </customSheetView>
  </customSheetViews>
  <pageMargins left="0.7" right="0.7" top="0.75" bottom="0.75" header="0.3" footer="0.3"/>
  <pageSetup paperSize="5" scale="40" fitToHeight="0" orientation="landscape"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U1813"/>
  <sheetViews>
    <sheetView workbookViewId="0"/>
  </sheetViews>
  <sheetFormatPr defaultColWidth="9.140625" defaultRowHeight="15" x14ac:dyDescent="0.25"/>
  <cols>
    <col min="1" max="1" width="10.5703125" style="958" customWidth="1"/>
    <col min="2" max="2" width="43.7109375" style="958" customWidth="1"/>
    <col min="3" max="4" width="13.85546875" style="958" customWidth="1"/>
    <col min="5" max="5" width="13.85546875" style="1006" customWidth="1"/>
    <col min="6" max="6" width="15.42578125" style="984" bestFit="1" customWidth="1"/>
    <col min="7" max="7" width="18.28515625" style="958" customWidth="1"/>
    <col min="8" max="8" width="3.85546875" style="958" customWidth="1"/>
    <col min="9" max="9" width="18.28515625" style="958" customWidth="1"/>
    <col min="10" max="10" width="20" style="959" customWidth="1"/>
    <col min="11" max="11" width="14.42578125" style="958" customWidth="1"/>
    <col min="12" max="12" width="19.42578125" style="958" customWidth="1"/>
    <col min="13" max="13" width="3.85546875" style="958" customWidth="1"/>
    <col min="14" max="15" width="18.28515625" style="958" customWidth="1"/>
    <col min="16" max="16" width="11.85546875" style="958" customWidth="1"/>
    <col min="17" max="17" width="19.42578125" style="958" customWidth="1"/>
    <col min="18" max="18" width="3.85546875" style="958" customWidth="1"/>
    <col min="19" max="19" width="13.85546875" style="958" customWidth="1"/>
    <col min="20" max="20" width="22.42578125" style="958" customWidth="1"/>
    <col min="21" max="21" width="14.85546875" style="958" bestFit="1" customWidth="1"/>
    <col min="22" max="16384" width="9.140625" style="958"/>
  </cols>
  <sheetData>
    <row r="1" spans="1:21" x14ac:dyDescent="0.25">
      <c r="A1" s="958" t="s">
        <v>3660</v>
      </c>
      <c r="J1" s="958"/>
    </row>
    <row r="2" spans="1:21" x14ac:dyDescent="0.25">
      <c r="A2" s="958" t="s">
        <v>3661</v>
      </c>
      <c r="J2" s="958"/>
    </row>
    <row r="3" spans="1:21" x14ac:dyDescent="0.25">
      <c r="C3" s="1005">
        <v>3</v>
      </c>
      <c r="D3" s="1005">
        <v>4</v>
      </c>
      <c r="E3" s="1005">
        <v>5</v>
      </c>
      <c r="F3" s="1005">
        <v>6</v>
      </c>
      <c r="G3" s="1005">
        <v>7</v>
      </c>
      <c r="H3" s="1005">
        <v>8</v>
      </c>
      <c r="I3" s="1005">
        <v>9</v>
      </c>
      <c r="J3" s="1005">
        <v>10</v>
      </c>
      <c r="K3" s="1005">
        <v>11</v>
      </c>
      <c r="L3" s="1005">
        <v>12</v>
      </c>
      <c r="M3" s="1005">
        <v>13</v>
      </c>
      <c r="N3" s="1005">
        <v>14</v>
      </c>
      <c r="O3" s="1005">
        <v>15</v>
      </c>
      <c r="P3" s="1005">
        <v>16</v>
      </c>
      <c r="Q3" s="1005">
        <v>17</v>
      </c>
      <c r="R3" s="1005">
        <v>18</v>
      </c>
      <c r="S3" s="1005">
        <v>19</v>
      </c>
      <c r="T3" s="1005">
        <v>20</v>
      </c>
      <c r="U3" s="1005">
        <v>21</v>
      </c>
    </row>
    <row r="4" spans="1:21" x14ac:dyDescent="0.25">
      <c r="I4" s="960" t="s">
        <v>1147</v>
      </c>
      <c r="J4" s="960"/>
      <c r="K4" s="960"/>
      <c r="L4" s="960"/>
      <c r="N4" s="960" t="s">
        <v>1148</v>
      </c>
      <c r="O4" s="960"/>
      <c r="P4" s="960"/>
      <c r="Q4" s="960"/>
      <c r="S4" s="960" t="s">
        <v>1149</v>
      </c>
      <c r="T4" s="960"/>
      <c r="U4" s="960"/>
    </row>
    <row r="5" spans="1:21" ht="120" x14ac:dyDescent="0.25">
      <c r="A5" s="962" t="s">
        <v>1150</v>
      </c>
      <c r="B5" s="962" t="s">
        <v>1151</v>
      </c>
      <c r="C5" s="962" t="s">
        <v>2090</v>
      </c>
      <c r="D5" s="962" t="s">
        <v>2091</v>
      </c>
      <c r="E5" s="1007" t="s">
        <v>3954</v>
      </c>
      <c r="F5" s="797" t="s">
        <v>2629</v>
      </c>
      <c r="G5" s="797" t="s">
        <v>1152</v>
      </c>
      <c r="H5" s="962"/>
      <c r="I5" s="962" t="s">
        <v>1153</v>
      </c>
      <c r="J5" s="963" t="s">
        <v>1154</v>
      </c>
      <c r="K5" s="962" t="s">
        <v>1155</v>
      </c>
      <c r="L5" s="962" t="s">
        <v>1156</v>
      </c>
      <c r="M5" s="962"/>
      <c r="N5" s="962" t="s">
        <v>1153</v>
      </c>
      <c r="O5" s="676" t="s">
        <v>1154</v>
      </c>
      <c r="P5" s="962" t="s">
        <v>1155</v>
      </c>
      <c r="Q5" s="962" t="s">
        <v>1156</v>
      </c>
      <c r="R5" s="962"/>
      <c r="S5" s="962" t="s">
        <v>1157</v>
      </c>
      <c r="T5" s="962" t="s">
        <v>1158</v>
      </c>
      <c r="U5" s="962" t="s">
        <v>1159</v>
      </c>
    </row>
    <row r="6" spans="1:21" x14ac:dyDescent="0.25">
      <c r="A6" s="964" t="s">
        <v>825</v>
      </c>
      <c r="B6" s="965" t="s">
        <v>2089</v>
      </c>
      <c r="C6" s="962"/>
      <c r="D6" s="962"/>
      <c r="E6" s="1007">
        <v>0</v>
      </c>
      <c r="F6" s="985"/>
      <c r="G6" s="962"/>
      <c r="H6" s="962"/>
      <c r="I6" s="962"/>
      <c r="J6" s="963"/>
      <c r="K6" s="962"/>
      <c r="L6" s="962"/>
      <c r="M6" s="962"/>
      <c r="N6" s="962"/>
      <c r="O6" s="962"/>
      <c r="P6" s="962"/>
      <c r="Q6" s="962"/>
      <c r="R6" s="962"/>
      <c r="S6" s="962"/>
      <c r="T6" s="962"/>
      <c r="U6" s="962"/>
    </row>
    <row r="7" spans="1:21" x14ac:dyDescent="0.25">
      <c r="A7" s="966">
        <v>70505</v>
      </c>
      <c r="B7" s="967" t="s">
        <v>2630</v>
      </c>
      <c r="C7" s="968">
        <v>4.147E-4</v>
      </c>
      <c r="D7" s="968">
        <v>4.6880000000000001E-4</v>
      </c>
      <c r="E7" s="1007">
        <v>195765</v>
      </c>
      <c r="F7" s="1010">
        <v>994951</v>
      </c>
      <c r="G7" s="969">
        <v>633547</v>
      </c>
      <c r="H7" s="969"/>
      <c r="I7" s="970">
        <v>36498</v>
      </c>
      <c r="J7" s="971">
        <v>153826</v>
      </c>
      <c r="K7" s="970">
        <v>90479</v>
      </c>
      <c r="L7" s="969">
        <v>0</v>
      </c>
      <c r="M7" s="969"/>
      <c r="N7" s="970">
        <v>17934</v>
      </c>
      <c r="O7" s="970">
        <v>0</v>
      </c>
      <c r="P7" s="970">
        <v>0</v>
      </c>
      <c r="Q7" s="969">
        <v>53472</v>
      </c>
      <c r="R7" s="969"/>
      <c r="S7" s="970">
        <v>213506</v>
      </c>
      <c r="T7" s="972">
        <v>-18259</v>
      </c>
      <c r="U7" s="972">
        <v>195247</v>
      </c>
    </row>
    <row r="8" spans="1:21" x14ac:dyDescent="0.25">
      <c r="A8" s="966">
        <v>72265</v>
      </c>
      <c r="B8" s="967" t="s">
        <v>2632</v>
      </c>
      <c r="C8" s="968">
        <v>1.4009999999999999E-4</v>
      </c>
      <c r="D8" s="968">
        <v>1.327E-4</v>
      </c>
      <c r="E8" s="1007">
        <v>61817</v>
      </c>
      <c r="F8" s="1010">
        <v>281634</v>
      </c>
      <c r="G8" s="969">
        <v>214034</v>
      </c>
      <c r="H8" s="969"/>
      <c r="I8" s="970">
        <v>12330</v>
      </c>
      <c r="J8" s="971">
        <v>51967</v>
      </c>
      <c r="K8" s="970">
        <v>30567</v>
      </c>
      <c r="L8" s="969">
        <v>6550</v>
      </c>
      <c r="M8" s="969"/>
      <c r="N8" s="970">
        <v>6059</v>
      </c>
      <c r="O8" s="970">
        <v>0</v>
      </c>
      <c r="P8" s="970">
        <v>0</v>
      </c>
      <c r="Q8" s="969">
        <v>3729</v>
      </c>
      <c r="R8" s="969"/>
      <c r="S8" s="970">
        <v>72130</v>
      </c>
      <c r="T8" s="972">
        <v>3031</v>
      </c>
      <c r="U8" s="972">
        <v>75161</v>
      </c>
    </row>
    <row r="9" spans="1:21" x14ac:dyDescent="0.25">
      <c r="A9" s="966">
        <v>72593</v>
      </c>
      <c r="B9" s="967" t="s">
        <v>3664</v>
      </c>
      <c r="C9" s="968">
        <v>5.9000000000000003E-6</v>
      </c>
      <c r="D9" s="968">
        <v>0</v>
      </c>
      <c r="E9" s="1007">
        <v>1531</v>
      </c>
      <c r="F9" s="1010">
        <v>0</v>
      </c>
      <c r="G9" s="969">
        <v>9014</v>
      </c>
      <c r="H9" s="969"/>
      <c r="I9" s="970">
        <v>519</v>
      </c>
      <c r="J9" s="971">
        <v>2188</v>
      </c>
      <c r="K9" s="970">
        <v>1287</v>
      </c>
      <c r="L9" s="969">
        <v>3014</v>
      </c>
      <c r="M9" s="969"/>
      <c r="N9" s="970">
        <v>255</v>
      </c>
      <c r="O9" s="970">
        <v>0</v>
      </c>
      <c r="P9" s="970">
        <v>0</v>
      </c>
      <c r="Q9" s="969">
        <v>0</v>
      </c>
      <c r="R9" s="969"/>
      <c r="S9" s="970">
        <v>3038</v>
      </c>
      <c r="T9" s="972">
        <v>753</v>
      </c>
      <c r="U9" s="972">
        <v>3791</v>
      </c>
    </row>
    <row r="10" spans="1:21" x14ac:dyDescent="0.25">
      <c r="A10" s="966">
        <v>72657</v>
      </c>
      <c r="B10" s="967" t="s">
        <v>2633</v>
      </c>
      <c r="C10" s="968">
        <v>3.9900000000000001E-5</v>
      </c>
      <c r="D10" s="968">
        <v>4.2799999999999997E-5</v>
      </c>
      <c r="E10" s="1007">
        <v>16620</v>
      </c>
      <c r="F10" s="1010">
        <v>90836</v>
      </c>
      <c r="G10" s="969">
        <v>60956</v>
      </c>
      <c r="H10" s="969"/>
      <c r="I10" s="970">
        <v>3512</v>
      </c>
      <c r="J10" s="971">
        <v>14801</v>
      </c>
      <c r="K10" s="970">
        <v>8705</v>
      </c>
      <c r="L10" s="969">
        <v>3272</v>
      </c>
      <c r="M10" s="969"/>
      <c r="N10" s="970">
        <v>1725</v>
      </c>
      <c r="O10" s="970">
        <v>0</v>
      </c>
      <c r="P10" s="970">
        <v>0</v>
      </c>
      <c r="Q10" s="969">
        <v>6366</v>
      </c>
      <c r="R10" s="969"/>
      <c r="S10" s="970">
        <v>20542</v>
      </c>
      <c r="T10" s="972">
        <v>900</v>
      </c>
      <c r="U10" s="972">
        <v>21442</v>
      </c>
    </row>
    <row r="11" spans="1:21" x14ac:dyDescent="0.25">
      <c r="A11" s="966">
        <v>90001</v>
      </c>
      <c r="B11" s="967" t="s">
        <v>2634</v>
      </c>
      <c r="C11" s="968">
        <v>8.6030000000000004E-4</v>
      </c>
      <c r="D11" s="968">
        <v>8.6910000000000004E-4</v>
      </c>
      <c r="E11" s="1007">
        <v>386652</v>
      </c>
      <c r="F11" s="1010">
        <v>1844521</v>
      </c>
      <c r="G11" s="969">
        <v>1314300</v>
      </c>
      <c r="H11" s="969"/>
      <c r="I11" s="970">
        <v>75716</v>
      </c>
      <c r="J11" s="971">
        <v>319114</v>
      </c>
      <c r="K11" s="970">
        <v>187700</v>
      </c>
      <c r="L11" s="969">
        <v>11972</v>
      </c>
      <c r="M11" s="969"/>
      <c r="N11" s="970">
        <v>37204</v>
      </c>
      <c r="O11" s="970">
        <v>0</v>
      </c>
      <c r="P11" s="970">
        <v>0</v>
      </c>
      <c r="Q11" s="969">
        <v>15474</v>
      </c>
      <c r="R11" s="969"/>
      <c r="S11" s="970">
        <v>442920</v>
      </c>
      <c r="T11" s="972">
        <v>891</v>
      </c>
      <c r="U11" s="972">
        <f>443812-1</f>
        <v>443811</v>
      </c>
    </row>
    <row r="12" spans="1:21" x14ac:dyDescent="0.25">
      <c r="A12" s="966">
        <v>90002</v>
      </c>
      <c r="B12" s="967" t="s">
        <v>2635</v>
      </c>
      <c r="C12" s="968">
        <v>1.06E-5</v>
      </c>
      <c r="D12" s="968">
        <v>1.15E-5</v>
      </c>
      <c r="E12" s="1007">
        <v>6253</v>
      </c>
      <c r="F12" s="1010">
        <v>24407</v>
      </c>
      <c r="G12" s="969">
        <v>16194</v>
      </c>
      <c r="H12" s="969"/>
      <c r="I12" s="970">
        <v>933</v>
      </c>
      <c r="J12" s="971">
        <v>3932</v>
      </c>
      <c r="K12" s="970">
        <v>2313</v>
      </c>
      <c r="L12" s="969">
        <v>1497</v>
      </c>
      <c r="M12" s="969"/>
      <c r="N12" s="970">
        <v>458</v>
      </c>
      <c r="O12" s="970">
        <v>0</v>
      </c>
      <c r="P12" s="970">
        <v>0</v>
      </c>
      <c r="Q12" s="969">
        <v>0</v>
      </c>
      <c r="R12" s="969"/>
      <c r="S12" s="970">
        <v>5457</v>
      </c>
      <c r="T12" s="972">
        <v>563</v>
      </c>
      <c r="U12" s="972">
        <v>6020</v>
      </c>
    </row>
    <row r="13" spans="1:21" x14ac:dyDescent="0.25">
      <c r="A13" s="966">
        <v>90011</v>
      </c>
      <c r="B13" s="967" t="s">
        <v>2636</v>
      </c>
      <c r="C13" s="968">
        <v>1.974E-4</v>
      </c>
      <c r="D13" s="968">
        <v>2.0819999999999999E-4</v>
      </c>
      <c r="E13" s="1007">
        <v>84205</v>
      </c>
      <c r="F13" s="1010">
        <v>441870</v>
      </c>
      <c r="G13" s="969">
        <v>301573</v>
      </c>
      <c r="H13" s="969"/>
      <c r="I13" s="970">
        <v>17373</v>
      </c>
      <c r="J13" s="971">
        <v>73222</v>
      </c>
      <c r="K13" s="970">
        <v>43069</v>
      </c>
      <c r="L13" s="969">
        <v>2300</v>
      </c>
      <c r="M13" s="969"/>
      <c r="N13" s="970">
        <v>8537</v>
      </c>
      <c r="O13" s="970">
        <v>0</v>
      </c>
      <c r="P13" s="970">
        <v>0</v>
      </c>
      <c r="Q13" s="969">
        <v>30094</v>
      </c>
      <c r="R13" s="969"/>
      <c r="S13" s="970">
        <v>101630</v>
      </c>
      <c r="T13" s="972">
        <v>-7615</v>
      </c>
      <c r="U13" s="972">
        <v>94015</v>
      </c>
    </row>
    <row r="14" spans="1:21" x14ac:dyDescent="0.25">
      <c r="A14" s="966">
        <v>90092</v>
      </c>
      <c r="B14" s="967" t="s">
        <v>2637</v>
      </c>
      <c r="C14" s="968">
        <v>3.5349999999999997E-4</v>
      </c>
      <c r="D14" s="968">
        <v>3.946E-4</v>
      </c>
      <c r="E14" s="1007">
        <v>186641</v>
      </c>
      <c r="F14" s="1010">
        <v>837473</v>
      </c>
      <c r="G14" s="969">
        <v>540050</v>
      </c>
      <c r="H14" s="969"/>
      <c r="I14" s="970">
        <v>31112</v>
      </c>
      <c r="J14" s="971">
        <v>131125</v>
      </c>
      <c r="K14" s="970">
        <v>77127</v>
      </c>
      <c r="L14" s="969">
        <v>0</v>
      </c>
      <c r="M14" s="969"/>
      <c r="N14" s="970">
        <v>15287</v>
      </c>
      <c r="O14" s="970">
        <v>0</v>
      </c>
      <c r="P14" s="970">
        <v>0</v>
      </c>
      <c r="Q14" s="969">
        <v>83168</v>
      </c>
      <c r="R14" s="969"/>
      <c r="S14" s="970">
        <v>181997</v>
      </c>
      <c r="T14" s="972">
        <v>-42793</v>
      </c>
      <c r="U14" s="972">
        <f>139205-1</f>
        <v>139204</v>
      </c>
    </row>
    <row r="15" spans="1:21" x14ac:dyDescent="0.25">
      <c r="A15" s="966">
        <v>90096</v>
      </c>
      <c r="B15" s="967" t="s">
        <v>2638</v>
      </c>
      <c r="C15" s="968">
        <v>9.7559999999999997E-4</v>
      </c>
      <c r="D15" s="968">
        <v>1.3860999999999999E-3</v>
      </c>
      <c r="E15" s="1007">
        <v>535127</v>
      </c>
      <c r="F15" s="1010">
        <v>2941769</v>
      </c>
      <c r="G15" s="969">
        <v>1490447</v>
      </c>
      <c r="H15" s="969"/>
      <c r="I15" s="970">
        <v>85864</v>
      </c>
      <c r="J15" s="971">
        <v>361882</v>
      </c>
      <c r="K15" s="970">
        <v>212856</v>
      </c>
      <c r="L15" s="969">
        <v>43597</v>
      </c>
      <c r="M15" s="969"/>
      <c r="N15" s="970">
        <v>42190</v>
      </c>
      <c r="O15" s="970">
        <v>0</v>
      </c>
      <c r="P15" s="970">
        <v>0</v>
      </c>
      <c r="Q15" s="969">
        <v>238564</v>
      </c>
      <c r="R15" s="969"/>
      <c r="S15" s="970">
        <v>502282</v>
      </c>
      <c r="T15" s="972">
        <v>-27538</v>
      </c>
      <c r="U15" s="972">
        <v>474744</v>
      </c>
    </row>
    <row r="16" spans="1:21" x14ac:dyDescent="0.25">
      <c r="A16" s="966">
        <v>90098</v>
      </c>
      <c r="B16" s="967" t="s">
        <v>2639</v>
      </c>
      <c r="C16" s="968">
        <v>2.9599999999999998E-4</v>
      </c>
      <c r="D16" s="968">
        <v>2.9280000000000002E-4</v>
      </c>
      <c r="E16" s="1007">
        <v>140184</v>
      </c>
      <c r="F16" s="1010">
        <v>621420</v>
      </c>
      <c r="G16" s="969">
        <v>452206</v>
      </c>
      <c r="H16" s="969"/>
      <c r="I16" s="970">
        <v>26051</v>
      </c>
      <c r="J16" s="971">
        <v>109796</v>
      </c>
      <c r="K16" s="970">
        <v>64581</v>
      </c>
      <c r="L16" s="969">
        <v>5581</v>
      </c>
      <c r="M16" s="969"/>
      <c r="N16" s="970">
        <v>12801</v>
      </c>
      <c r="O16" s="970">
        <v>0</v>
      </c>
      <c r="P16" s="970">
        <v>0</v>
      </c>
      <c r="Q16" s="969">
        <v>110893</v>
      </c>
      <c r="R16" s="969"/>
      <c r="S16" s="970">
        <v>152394</v>
      </c>
      <c r="T16" s="972">
        <v>-51374</v>
      </c>
      <c r="U16" s="972">
        <v>101020</v>
      </c>
    </row>
    <row r="17" spans="1:21" x14ac:dyDescent="0.25">
      <c r="A17" s="966">
        <v>90099</v>
      </c>
      <c r="B17" s="967" t="s">
        <v>2640</v>
      </c>
      <c r="C17" s="968">
        <v>6.6330000000000002E-4</v>
      </c>
      <c r="D17" s="968">
        <v>4.9330000000000001E-4</v>
      </c>
      <c r="E17" s="1007">
        <v>271208</v>
      </c>
      <c r="F17" s="1010">
        <v>1046948</v>
      </c>
      <c r="G17" s="969">
        <v>1013339</v>
      </c>
      <c r="H17" s="969"/>
      <c r="I17" s="970">
        <v>58378</v>
      </c>
      <c r="J17" s="971">
        <v>246040</v>
      </c>
      <c r="K17" s="970">
        <v>144719</v>
      </c>
      <c r="L17" s="969">
        <v>89744</v>
      </c>
      <c r="M17" s="969"/>
      <c r="N17" s="970">
        <v>28684</v>
      </c>
      <c r="O17" s="970">
        <v>0</v>
      </c>
      <c r="P17" s="970">
        <v>0</v>
      </c>
      <c r="Q17" s="969">
        <v>44006</v>
      </c>
      <c r="R17" s="969"/>
      <c r="S17" s="970">
        <v>341496</v>
      </c>
      <c r="T17" s="972">
        <v>7780</v>
      </c>
      <c r="U17" s="972">
        <v>349276</v>
      </c>
    </row>
    <row r="18" spans="1:21" x14ac:dyDescent="0.25">
      <c r="A18" s="966">
        <v>90101</v>
      </c>
      <c r="B18" s="967" t="s">
        <v>2641</v>
      </c>
      <c r="C18" s="968">
        <v>6.6312000000000003E-3</v>
      </c>
      <c r="D18" s="968">
        <v>6.3996000000000001E-3</v>
      </c>
      <c r="E18" s="1007">
        <v>2960721</v>
      </c>
      <c r="F18" s="1010">
        <v>13582095</v>
      </c>
      <c r="G18" s="969">
        <v>10130637</v>
      </c>
      <c r="H18" s="969"/>
      <c r="I18" s="970">
        <v>583619</v>
      </c>
      <c r="J18" s="971">
        <v>2459731</v>
      </c>
      <c r="K18" s="970">
        <v>1446795</v>
      </c>
      <c r="L18" s="969">
        <v>245836</v>
      </c>
      <c r="M18" s="969"/>
      <c r="N18" s="970">
        <v>286766</v>
      </c>
      <c r="O18" s="970">
        <v>0</v>
      </c>
      <c r="P18" s="970">
        <v>0</v>
      </c>
      <c r="Q18" s="969">
        <v>25616</v>
      </c>
      <c r="R18" s="969"/>
      <c r="S18" s="970">
        <v>3414034</v>
      </c>
      <c r="T18" s="972">
        <v>67895</v>
      </c>
      <c r="U18" s="972">
        <f>3481928+1</f>
        <v>3481929</v>
      </c>
    </row>
    <row r="19" spans="1:21" x14ac:dyDescent="0.25">
      <c r="A19" s="966">
        <v>90111</v>
      </c>
      <c r="B19" s="967" t="s">
        <v>2642</v>
      </c>
      <c r="C19" s="968">
        <v>4.9740000000000001E-3</v>
      </c>
      <c r="D19" s="968">
        <v>4.8874000000000001E-3</v>
      </c>
      <c r="E19" s="1007">
        <v>2229766</v>
      </c>
      <c r="F19" s="1010">
        <v>10372700</v>
      </c>
      <c r="G19" s="969">
        <v>7598894</v>
      </c>
      <c r="H19" s="969"/>
      <c r="I19" s="970">
        <v>437767</v>
      </c>
      <c r="J19" s="971">
        <v>1845021</v>
      </c>
      <c r="K19" s="970">
        <v>1085227</v>
      </c>
      <c r="L19" s="969">
        <v>15088</v>
      </c>
      <c r="M19" s="969"/>
      <c r="N19" s="970">
        <v>215101</v>
      </c>
      <c r="O19" s="970">
        <v>0</v>
      </c>
      <c r="P19" s="970">
        <v>0</v>
      </c>
      <c r="Q19" s="969">
        <v>106602</v>
      </c>
      <c r="R19" s="969"/>
      <c r="S19" s="970">
        <v>2560834</v>
      </c>
      <c r="T19" s="972">
        <v>-53609</v>
      </c>
      <c r="U19" s="972">
        <v>2507225</v>
      </c>
    </row>
    <row r="20" spans="1:21" x14ac:dyDescent="0.25">
      <c r="A20" s="966">
        <v>90114</v>
      </c>
      <c r="B20" s="967" t="s">
        <v>2643</v>
      </c>
      <c r="C20" s="968">
        <v>1.0919E-3</v>
      </c>
      <c r="D20" s="968">
        <v>1.0681E-3</v>
      </c>
      <c r="E20" s="1007">
        <v>1108464</v>
      </c>
      <c r="F20" s="1010">
        <v>2266866</v>
      </c>
      <c r="G20" s="969">
        <v>1668121</v>
      </c>
      <c r="H20" s="969"/>
      <c r="I20" s="970">
        <v>96099</v>
      </c>
      <c r="J20" s="971">
        <v>405022</v>
      </c>
      <c r="K20" s="970">
        <v>238231</v>
      </c>
      <c r="L20" s="969">
        <v>1077044</v>
      </c>
      <c r="M20" s="969"/>
      <c r="N20" s="970">
        <v>47219</v>
      </c>
      <c r="O20" s="970">
        <v>0</v>
      </c>
      <c r="P20" s="970">
        <v>0</v>
      </c>
      <c r="Q20" s="969">
        <v>0</v>
      </c>
      <c r="R20" s="969"/>
      <c r="S20" s="970">
        <v>562158</v>
      </c>
      <c r="T20" s="972">
        <v>371192</v>
      </c>
      <c r="U20" s="972">
        <v>933350</v>
      </c>
    </row>
    <row r="21" spans="1:21" x14ac:dyDescent="0.25">
      <c r="A21" s="966">
        <v>90117</v>
      </c>
      <c r="B21" s="967" t="s">
        <v>2644</v>
      </c>
      <c r="C21" s="968">
        <v>1.407E-4</v>
      </c>
      <c r="D21" s="968">
        <v>1.35E-4</v>
      </c>
      <c r="E21" s="1007">
        <v>80147</v>
      </c>
      <c r="F21" s="1010">
        <v>286515</v>
      </c>
      <c r="G21" s="969">
        <v>214951</v>
      </c>
      <c r="H21" s="969"/>
      <c r="I21" s="970">
        <v>12383</v>
      </c>
      <c r="J21" s="971">
        <v>52190</v>
      </c>
      <c r="K21" s="970">
        <v>30698</v>
      </c>
      <c r="L21" s="969">
        <v>44526</v>
      </c>
      <c r="M21" s="969"/>
      <c r="N21" s="970">
        <v>6085</v>
      </c>
      <c r="O21" s="970">
        <v>0</v>
      </c>
      <c r="P21" s="970">
        <v>0</v>
      </c>
      <c r="Q21" s="969">
        <v>0</v>
      </c>
      <c r="R21" s="969"/>
      <c r="S21" s="970">
        <v>72439</v>
      </c>
      <c r="T21" s="972">
        <v>18359</v>
      </c>
      <c r="U21" s="972">
        <f>90797+1</f>
        <v>90798</v>
      </c>
    </row>
    <row r="22" spans="1:21" x14ac:dyDescent="0.25">
      <c r="A22" s="966">
        <v>90121</v>
      </c>
      <c r="B22" s="967" t="s">
        <v>2645</v>
      </c>
      <c r="C22" s="968">
        <v>1.0991E-3</v>
      </c>
      <c r="D22" s="968">
        <v>1.0789E-3</v>
      </c>
      <c r="E22" s="1007">
        <v>452142</v>
      </c>
      <c r="F22" s="1010">
        <v>2289787</v>
      </c>
      <c r="G22" s="969">
        <v>1679120</v>
      </c>
      <c r="H22" s="969"/>
      <c r="I22" s="970">
        <v>96733</v>
      </c>
      <c r="J22" s="971">
        <v>407692</v>
      </c>
      <c r="K22" s="970">
        <v>239802</v>
      </c>
      <c r="L22" s="969">
        <v>3244</v>
      </c>
      <c r="M22" s="969"/>
      <c r="N22" s="970">
        <v>47531</v>
      </c>
      <c r="O22" s="970">
        <v>0</v>
      </c>
      <c r="P22" s="970">
        <v>0</v>
      </c>
      <c r="Q22" s="969">
        <v>81552</v>
      </c>
      <c r="R22" s="969"/>
      <c r="S22" s="970">
        <v>565865</v>
      </c>
      <c r="T22" s="972">
        <v>-25049</v>
      </c>
      <c r="U22" s="972">
        <v>540816</v>
      </c>
    </row>
    <row r="23" spans="1:21" x14ac:dyDescent="0.25">
      <c r="A23" s="966">
        <v>90131</v>
      </c>
      <c r="B23" s="967" t="s">
        <v>2646</v>
      </c>
      <c r="C23" s="968">
        <v>4.7639999999999998E-4</v>
      </c>
      <c r="D23" s="968">
        <v>5.0440000000000001E-4</v>
      </c>
      <c r="E23" s="1007">
        <v>207243</v>
      </c>
      <c r="F23" s="1010">
        <v>1070506</v>
      </c>
      <c r="G23" s="969">
        <v>727807</v>
      </c>
      <c r="H23" s="969"/>
      <c r="I23" s="970">
        <v>41928</v>
      </c>
      <c r="J23" s="971">
        <v>176712</v>
      </c>
      <c r="K23" s="970">
        <v>103941</v>
      </c>
      <c r="L23" s="969">
        <v>0</v>
      </c>
      <c r="M23" s="969"/>
      <c r="N23" s="970">
        <v>20602</v>
      </c>
      <c r="O23" s="970">
        <v>0</v>
      </c>
      <c r="P23" s="970">
        <v>0</v>
      </c>
      <c r="Q23" s="969">
        <v>42066</v>
      </c>
      <c r="R23" s="969"/>
      <c r="S23" s="970">
        <v>245272</v>
      </c>
      <c r="T23" s="972">
        <v>-15937</v>
      </c>
      <c r="U23" s="972">
        <v>229335</v>
      </c>
    </row>
    <row r="24" spans="1:21" x14ac:dyDescent="0.25">
      <c r="A24" s="966">
        <v>90141</v>
      </c>
      <c r="B24" s="967" t="s">
        <v>2647</v>
      </c>
      <c r="C24" s="968">
        <v>1.4779999999999999E-4</v>
      </c>
      <c r="D24" s="968">
        <v>1.306E-4</v>
      </c>
      <c r="E24" s="1007">
        <v>62655</v>
      </c>
      <c r="F24" s="1010">
        <v>277177</v>
      </c>
      <c r="G24" s="969">
        <v>225797</v>
      </c>
      <c r="H24" s="969"/>
      <c r="I24" s="970">
        <v>13008</v>
      </c>
      <c r="J24" s="971">
        <v>54824</v>
      </c>
      <c r="K24" s="970">
        <v>32247</v>
      </c>
      <c r="L24" s="969">
        <v>8660</v>
      </c>
      <c r="M24" s="969"/>
      <c r="N24" s="970">
        <v>6392</v>
      </c>
      <c r="O24" s="970">
        <v>0</v>
      </c>
      <c r="P24" s="970">
        <v>0</v>
      </c>
      <c r="Q24" s="969">
        <v>10174</v>
      </c>
      <c r="R24" s="969"/>
      <c r="S24" s="970">
        <v>76094</v>
      </c>
      <c r="T24" s="972">
        <v>-857</v>
      </c>
      <c r="U24" s="972">
        <v>75237</v>
      </c>
    </row>
    <row r="25" spans="1:21" x14ac:dyDescent="0.25">
      <c r="A25" s="966">
        <v>90151</v>
      </c>
      <c r="B25" s="967" t="s">
        <v>2648</v>
      </c>
      <c r="C25" s="968">
        <v>9.9000000000000001E-6</v>
      </c>
      <c r="D25" s="968">
        <v>1.0000000000000001E-5</v>
      </c>
      <c r="E25" s="1007">
        <v>3085</v>
      </c>
      <c r="F25" s="1010">
        <v>21223</v>
      </c>
      <c r="G25" s="969">
        <v>15124</v>
      </c>
      <c r="H25" s="969"/>
      <c r="I25" s="970">
        <v>871</v>
      </c>
      <c r="J25" s="971">
        <v>3672</v>
      </c>
      <c r="K25" s="970">
        <v>2160</v>
      </c>
      <c r="L25" s="969">
        <v>0</v>
      </c>
      <c r="M25" s="969"/>
      <c r="N25" s="970">
        <v>428</v>
      </c>
      <c r="O25" s="970">
        <v>0</v>
      </c>
      <c r="P25" s="970">
        <v>0</v>
      </c>
      <c r="Q25" s="969">
        <v>2719</v>
      </c>
      <c r="R25" s="969"/>
      <c r="S25" s="970">
        <v>5097</v>
      </c>
      <c r="T25" s="972">
        <v>-1090</v>
      </c>
      <c r="U25" s="972">
        <v>4007</v>
      </c>
    </row>
    <row r="26" spans="1:21" x14ac:dyDescent="0.25">
      <c r="A26" s="966">
        <v>90161</v>
      </c>
      <c r="B26" s="967" t="s">
        <v>2649</v>
      </c>
      <c r="C26" s="968">
        <v>3.4199999999999998E-5</v>
      </c>
      <c r="D26" s="968">
        <v>3.4799999999999999E-5</v>
      </c>
      <c r="E26" s="1007">
        <v>15627</v>
      </c>
      <c r="F26" s="1010">
        <v>73857</v>
      </c>
      <c r="G26" s="969">
        <v>52248</v>
      </c>
      <c r="H26" s="969"/>
      <c r="I26" s="970">
        <v>3010</v>
      </c>
      <c r="J26" s="971">
        <v>12686</v>
      </c>
      <c r="K26" s="970">
        <v>7462</v>
      </c>
      <c r="L26" s="969">
        <v>4022</v>
      </c>
      <c r="M26" s="969"/>
      <c r="N26" s="970">
        <v>1479</v>
      </c>
      <c r="O26" s="970">
        <v>0</v>
      </c>
      <c r="P26" s="970">
        <v>0</v>
      </c>
      <c r="Q26" s="969">
        <v>462</v>
      </c>
      <c r="R26" s="969"/>
      <c r="S26" s="970">
        <v>17608</v>
      </c>
      <c r="T26" s="972">
        <v>1591</v>
      </c>
      <c r="U26" s="972">
        <v>19199</v>
      </c>
    </row>
    <row r="27" spans="1:21" x14ac:dyDescent="0.25">
      <c r="A27" s="966">
        <v>90201</v>
      </c>
      <c r="B27" s="967" t="s">
        <v>2650</v>
      </c>
      <c r="C27" s="968">
        <v>1.2126999999999999E-3</v>
      </c>
      <c r="D27" s="968">
        <v>1.2419E-3</v>
      </c>
      <c r="E27" s="1007">
        <v>536124</v>
      </c>
      <c r="F27" s="1010">
        <v>2635728</v>
      </c>
      <c r="G27" s="969">
        <v>1852670</v>
      </c>
      <c r="H27" s="969"/>
      <c r="I27" s="970">
        <v>106731</v>
      </c>
      <c r="J27" s="971">
        <v>449830</v>
      </c>
      <c r="K27" s="970">
        <v>264587</v>
      </c>
      <c r="L27" s="969">
        <v>36621</v>
      </c>
      <c r="M27" s="969"/>
      <c r="N27" s="970">
        <v>52443</v>
      </c>
      <c r="O27" s="970">
        <v>0</v>
      </c>
      <c r="P27" s="970">
        <v>0</v>
      </c>
      <c r="Q27" s="969">
        <v>36396</v>
      </c>
      <c r="R27" s="969"/>
      <c r="S27" s="970">
        <v>624351</v>
      </c>
      <c r="T27" s="972">
        <v>24941</v>
      </c>
      <c r="U27" s="972">
        <v>649292</v>
      </c>
    </row>
    <row r="28" spans="1:21" x14ac:dyDescent="0.25">
      <c r="A28" s="966">
        <v>90203</v>
      </c>
      <c r="B28" s="967" t="s">
        <v>2651</v>
      </c>
      <c r="C28" s="968">
        <v>1.994E-4</v>
      </c>
      <c r="D28" s="968">
        <v>2.3680000000000001E-4</v>
      </c>
      <c r="E28" s="1007">
        <v>91056</v>
      </c>
      <c r="F28" s="1010">
        <v>502569</v>
      </c>
      <c r="G28" s="969">
        <v>304628</v>
      </c>
      <c r="H28" s="969"/>
      <c r="I28" s="970">
        <v>17549</v>
      </c>
      <c r="J28" s="971">
        <v>73964</v>
      </c>
      <c r="K28" s="970">
        <v>43505</v>
      </c>
      <c r="L28" s="969">
        <v>2154</v>
      </c>
      <c r="M28" s="969"/>
      <c r="N28" s="970">
        <v>8623</v>
      </c>
      <c r="O28" s="970">
        <v>0</v>
      </c>
      <c r="P28" s="970">
        <v>0</v>
      </c>
      <c r="Q28" s="969">
        <v>49077</v>
      </c>
      <c r="R28" s="969"/>
      <c r="S28" s="970">
        <v>102660</v>
      </c>
      <c r="T28" s="972">
        <v>-18026</v>
      </c>
      <c r="U28" s="972">
        <v>84634</v>
      </c>
    </row>
    <row r="29" spans="1:21" x14ac:dyDescent="0.25">
      <c r="A29" s="966">
        <v>90205</v>
      </c>
      <c r="B29" s="967" t="s">
        <v>2652</v>
      </c>
      <c r="C29" s="968">
        <v>3.0000000000000001E-5</v>
      </c>
      <c r="D29" s="968">
        <v>3.3599999999999997E-5</v>
      </c>
      <c r="E29" s="1007">
        <v>14233</v>
      </c>
      <c r="F29" s="1010">
        <v>71310</v>
      </c>
      <c r="G29" s="969">
        <v>45832</v>
      </c>
      <c r="H29" s="969"/>
      <c r="I29" s="970">
        <v>2640</v>
      </c>
      <c r="J29" s="971">
        <v>11128</v>
      </c>
      <c r="K29" s="970">
        <v>6545</v>
      </c>
      <c r="L29" s="969">
        <v>769</v>
      </c>
      <c r="M29" s="969"/>
      <c r="N29" s="970">
        <v>1297</v>
      </c>
      <c r="O29" s="970">
        <v>0</v>
      </c>
      <c r="P29" s="970">
        <v>0</v>
      </c>
      <c r="Q29" s="969">
        <v>2625</v>
      </c>
      <c r="R29" s="969"/>
      <c r="S29" s="970">
        <v>15445</v>
      </c>
      <c r="T29" s="972">
        <v>-105</v>
      </c>
      <c r="U29" s="972">
        <v>15340</v>
      </c>
    </row>
    <row r="30" spans="1:21" x14ac:dyDescent="0.25">
      <c r="A30" s="966">
        <v>90206</v>
      </c>
      <c r="B30" s="967" t="s">
        <v>2653</v>
      </c>
      <c r="C30" s="968">
        <v>4.2069999999999998E-4</v>
      </c>
      <c r="D30" s="968">
        <v>4.347E-4</v>
      </c>
      <c r="E30" s="1007">
        <v>184249</v>
      </c>
      <c r="F30" s="1010">
        <v>922579</v>
      </c>
      <c r="G30" s="969">
        <v>642713</v>
      </c>
      <c r="H30" s="969"/>
      <c r="I30" s="970">
        <v>37026</v>
      </c>
      <c r="J30" s="971">
        <v>156051</v>
      </c>
      <c r="K30" s="970">
        <v>91788</v>
      </c>
      <c r="L30" s="969">
        <v>8978</v>
      </c>
      <c r="M30" s="969"/>
      <c r="N30" s="970">
        <v>18193</v>
      </c>
      <c r="O30" s="970">
        <v>0</v>
      </c>
      <c r="P30" s="970">
        <v>0</v>
      </c>
      <c r="Q30" s="969">
        <v>25382</v>
      </c>
      <c r="R30" s="969"/>
      <c r="S30" s="970">
        <v>216595</v>
      </c>
      <c r="T30" s="972">
        <v>1315</v>
      </c>
      <c r="U30" s="972">
        <v>217910</v>
      </c>
    </row>
    <row r="31" spans="1:21" x14ac:dyDescent="0.25">
      <c r="A31" s="966">
        <v>90211</v>
      </c>
      <c r="B31" s="967" t="s">
        <v>2654</v>
      </c>
      <c r="C31" s="968">
        <v>1.4799999999999999E-4</v>
      </c>
      <c r="D31" s="968">
        <v>1.5689999999999999E-4</v>
      </c>
      <c r="E31" s="1007">
        <v>71260</v>
      </c>
      <c r="F31" s="1010">
        <v>332994</v>
      </c>
      <c r="G31" s="969">
        <v>226103</v>
      </c>
      <c r="H31" s="969"/>
      <c r="I31" s="970">
        <v>13026</v>
      </c>
      <c r="J31" s="971">
        <v>54898</v>
      </c>
      <c r="K31" s="970">
        <v>32291</v>
      </c>
      <c r="L31" s="969">
        <v>0</v>
      </c>
      <c r="M31" s="969"/>
      <c r="N31" s="970">
        <v>6400</v>
      </c>
      <c r="O31" s="970">
        <v>0</v>
      </c>
      <c r="P31" s="970">
        <v>0</v>
      </c>
      <c r="Q31" s="969">
        <v>15344</v>
      </c>
      <c r="R31" s="969"/>
      <c r="S31" s="970">
        <v>76197</v>
      </c>
      <c r="T31" s="972">
        <v>-6134</v>
      </c>
      <c r="U31" s="972">
        <v>70063</v>
      </c>
    </row>
    <row r="32" spans="1:21" x14ac:dyDescent="0.25">
      <c r="A32" s="966">
        <v>90301</v>
      </c>
      <c r="B32" s="967" t="s">
        <v>2655</v>
      </c>
      <c r="C32" s="968">
        <v>6.7040000000000003E-4</v>
      </c>
      <c r="D32" s="968">
        <v>6.4000000000000005E-4</v>
      </c>
      <c r="E32" s="1007">
        <v>280575</v>
      </c>
      <c r="F32" s="1010">
        <v>1358294</v>
      </c>
      <c r="G32" s="969">
        <v>1024185</v>
      </c>
      <c r="H32" s="969"/>
      <c r="I32" s="970">
        <v>59003</v>
      </c>
      <c r="J32" s="971">
        <v>248673</v>
      </c>
      <c r="K32" s="970">
        <v>146268</v>
      </c>
      <c r="L32" s="969">
        <v>4314</v>
      </c>
      <c r="M32" s="969"/>
      <c r="N32" s="970">
        <v>28991</v>
      </c>
      <c r="O32" s="970">
        <v>0</v>
      </c>
      <c r="P32" s="970">
        <v>0</v>
      </c>
      <c r="Q32" s="969">
        <v>13341</v>
      </c>
      <c r="R32" s="969"/>
      <c r="S32" s="970">
        <v>345151</v>
      </c>
      <c r="T32" s="972">
        <v>-5567</v>
      </c>
      <c r="U32" s="972">
        <v>339584</v>
      </c>
    </row>
    <row r="33" spans="1:21" x14ac:dyDescent="0.25">
      <c r="A33" s="966">
        <v>90305</v>
      </c>
      <c r="B33" s="967" t="s">
        <v>2656</v>
      </c>
      <c r="C33" s="968">
        <v>1.617E-4</v>
      </c>
      <c r="D33" s="968">
        <v>1.7009999999999999E-4</v>
      </c>
      <c r="E33" s="1007">
        <v>85892</v>
      </c>
      <c r="F33" s="1010">
        <v>361009</v>
      </c>
      <c r="G33" s="969">
        <v>247033</v>
      </c>
      <c r="H33" s="969"/>
      <c r="I33" s="970">
        <v>14231</v>
      </c>
      <c r="J33" s="971">
        <v>59980</v>
      </c>
      <c r="K33" s="970">
        <v>35280</v>
      </c>
      <c r="L33" s="969">
        <v>20715</v>
      </c>
      <c r="M33" s="969"/>
      <c r="N33" s="970">
        <v>6993</v>
      </c>
      <c r="O33" s="970">
        <v>0</v>
      </c>
      <c r="P33" s="970">
        <v>0</v>
      </c>
      <c r="Q33" s="969">
        <v>0</v>
      </c>
      <c r="R33" s="969"/>
      <c r="S33" s="970">
        <v>83250</v>
      </c>
      <c r="T33" s="972">
        <v>10025</v>
      </c>
      <c r="U33" s="972">
        <v>93275</v>
      </c>
    </row>
    <row r="34" spans="1:21" x14ac:dyDescent="0.25">
      <c r="A34" s="966">
        <v>90307</v>
      </c>
      <c r="B34" s="967" t="s">
        <v>2657</v>
      </c>
      <c r="C34" s="968">
        <v>7.7999999999999999E-6</v>
      </c>
      <c r="D34" s="968">
        <v>7.7000000000000008E-6</v>
      </c>
      <c r="E34" s="1007">
        <v>4130</v>
      </c>
      <c r="F34" s="1010">
        <v>16342</v>
      </c>
      <c r="G34" s="969">
        <v>11916</v>
      </c>
      <c r="H34" s="969"/>
      <c r="I34" s="970">
        <v>686</v>
      </c>
      <c r="J34" s="971">
        <v>2893</v>
      </c>
      <c r="K34" s="970">
        <v>1702</v>
      </c>
      <c r="L34" s="969">
        <v>647</v>
      </c>
      <c r="M34" s="969"/>
      <c r="N34" s="970">
        <v>337</v>
      </c>
      <c r="O34" s="970">
        <v>0</v>
      </c>
      <c r="P34" s="970">
        <v>0</v>
      </c>
      <c r="Q34" s="969">
        <v>40</v>
      </c>
      <c r="R34" s="969"/>
      <c r="S34" s="970">
        <v>4016</v>
      </c>
      <c r="T34" s="972">
        <v>160</v>
      </c>
      <c r="U34" s="972">
        <v>4176</v>
      </c>
    </row>
    <row r="35" spans="1:21" x14ac:dyDescent="0.25">
      <c r="A35" s="966">
        <v>90401</v>
      </c>
      <c r="B35" s="967" t="s">
        <v>2658</v>
      </c>
      <c r="C35" s="968">
        <v>1.3270999999999999E-3</v>
      </c>
      <c r="D35" s="968">
        <v>1.3626999999999999E-3</v>
      </c>
      <c r="E35" s="1007">
        <v>624955</v>
      </c>
      <c r="F35" s="1010">
        <v>2892106</v>
      </c>
      <c r="G35" s="969">
        <v>2027441</v>
      </c>
      <c r="H35" s="969"/>
      <c r="I35" s="970">
        <v>116799</v>
      </c>
      <c r="J35" s="971">
        <v>492266</v>
      </c>
      <c r="K35" s="970">
        <v>289547</v>
      </c>
      <c r="L35" s="969">
        <v>44019</v>
      </c>
      <c r="M35" s="969"/>
      <c r="N35" s="970">
        <v>57390</v>
      </c>
      <c r="O35" s="970">
        <v>0</v>
      </c>
      <c r="P35" s="970">
        <v>0</v>
      </c>
      <c r="Q35" s="969">
        <v>11305</v>
      </c>
      <c r="R35" s="969"/>
      <c r="S35" s="970">
        <v>683249</v>
      </c>
      <c r="T35" s="972">
        <v>23981</v>
      </c>
      <c r="U35" s="972">
        <v>707230</v>
      </c>
    </row>
    <row r="36" spans="1:21" x14ac:dyDescent="0.25">
      <c r="A36" s="966">
        <v>90411</v>
      </c>
      <c r="B36" s="967" t="s">
        <v>2659</v>
      </c>
      <c r="C36" s="968">
        <v>3.5100000000000002E-4</v>
      </c>
      <c r="D36" s="968">
        <v>3.5490000000000001E-4</v>
      </c>
      <c r="E36" s="1007">
        <v>152317</v>
      </c>
      <c r="F36" s="1010">
        <v>753217</v>
      </c>
      <c r="G36" s="969">
        <v>536231</v>
      </c>
      <c r="H36" s="969"/>
      <c r="I36" s="970">
        <v>30892</v>
      </c>
      <c r="J36" s="971">
        <v>130197</v>
      </c>
      <c r="K36" s="970">
        <v>76581</v>
      </c>
      <c r="L36" s="969">
        <v>0</v>
      </c>
      <c r="M36" s="969"/>
      <c r="N36" s="970">
        <v>15179</v>
      </c>
      <c r="O36" s="970">
        <v>0</v>
      </c>
      <c r="P36" s="970">
        <v>0</v>
      </c>
      <c r="Q36" s="969">
        <v>41985</v>
      </c>
      <c r="R36" s="969"/>
      <c r="S36" s="970">
        <v>180710</v>
      </c>
      <c r="T36" s="972">
        <v>-15971</v>
      </c>
      <c r="U36" s="972">
        <v>164739</v>
      </c>
    </row>
    <row r="37" spans="1:21" x14ac:dyDescent="0.25">
      <c r="A37" s="966">
        <v>90413</v>
      </c>
      <c r="B37" s="967" t="s">
        <v>2660</v>
      </c>
      <c r="C37" s="968">
        <v>3.4600000000000001E-5</v>
      </c>
      <c r="D37" s="968">
        <v>3.7299999999999999E-5</v>
      </c>
      <c r="E37" s="1007">
        <v>17002</v>
      </c>
      <c r="F37" s="1010">
        <v>79163</v>
      </c>
      <c r="G37" s="969">
        <v>52859</v>
      </c>
      <c r="H37" s="969"/>
      <c r="I37" s="970">
        <v>3045</v>
      </c>
      <c r="J37" s="971">
        <v>12834</v>
      </c>
      <c r="K37" s="970">
        <v>7549</v>
      </c>
      <c r="L37" s="969">
        <v>5923</v>
      </c>
      <c r="M37" s="969"/>
      <c r="N37" s="970">
        <v>1496</v>
      </c>
      <c r="O37" s="970">
        <v>0</v>
      </c>
      <c r="P37" s="970">
        <v>0</v>
      </c>
      <c r="Q37" s="969">
        <v>916</v>
      </c>
      <c r="R37" s="969"/>
      <c r="S37" s="970">
        <v>17814</v>
      </c>
      <c r="T37" s="972">
        <v>3416</v>
      </c>
      <c r="U37" s="972">
        <v>21230</v>
      </c>
    </row>
    <row r="38" spans="1:21" x14ac:dyDescent="0.25">
      <c r="A38" s="966">
        <v>90417</v>
      </c>
      <c r="B38" s="967" t="s">
        <v>2661</v>
      </c>
      <c r="C38" s="968">
        <v>1.17E-5</v>
      </c>
      <c r="D38" s="968">
        <v>1.2099999999999999E-5</v>
      </c>
      <c r="E38" s="1007">
        <v>8372</v>
      </c>
      <c r="F38" s="1010">
        <v>25680</v>
      </c>
      <c r="G38" s="969">
        <v>17874</v>
      </c>
      <c r="H38" s="969"/>
      <c r="I38" s="970">
        <v>1030</v>
      </c>
      <c r="J38" s="971">
        <v>4340</v>
      </c>
      <c r="K38" s="970">
        <v>2553</v>
      </c>
      <c r="L38" s="969">
        <v>3477</v>
      </c>
      <c r="M38" s="969"/>
      <c r="N38" s="970">
        <v>506</v>
      </c>
      <c r="O38" s="970">
        <v>0</v>
      </c>
      <c r="P38" s="970">
        <v>0</v>
      </c>
      <c r="Q38" s="969">
        <v>0</v>
      </c>
      <c r="R38" s="969"/>
      <c r="S38" s="970">
        <v>6024</v>
      </c>
      <c r="T38" s="972">
        <v>1221</v>
      </c>
      <c r="U38" s="972">
        <f>7244+1</f>
        <v>7245</v>
      </c>
    </row>
    <row r="39" spans="1:21" x14ac:dyDescent="0.25">
      <c r="A39" s="966">
        <v>90421</v>
      </c>
      <c r="B39" s="967" t="s">
        <v>2662</v>
      </c>
      <c r="C39" s="968">
        <v>2.19E-5</v>
      </c>
      <c r="D39" s="968">
        <v>2.3600000000000001E-5</v>
      </c>
      <c r="E39" s="1007">
        <v>8534</v>
      </c>
      <c r="F39" s="1010">
        <v>50087</v>
      </c>
      <c r="G39" s="969">
        <v>33457</v>
      </c>
      <c r="H39" s="969"/>
      <c r="I39" s="970">
        <v>1927</v>
      </c>
      <c r="J39" s="971">
        <v>8123</v>
      </c>
      <c r="K39" s="970">
        <v>4778</v>
      </c>
      <c r="L39" s="969">
        <v>0</v>
      </c>
      <c r="M39" s="969"/>
      <c r="N39" s="970">
        <v>947</v>
      </c>
      <c r="O39" s="970">
        <v>0</v>
      </c>
      <c r="P39" s="970">
        <v>0</v>
      </c>
      <c r="Q39" s="969">
        <v>4721</v>
      </c>
      <c r="R39" s="969"/>
      <c r="S39" s="970">
        <v>11275</v>
      </c>
      <c r="T39" s="972">
        <v>-1814</v>
      </c>
      <c r="U39" s="972">
        <v>9461</v>
      </c>
    </row>
    <row r="40" spans="1:21" x14ac:dyDescent="0.25">
      <c r="A40" s="966">
        <v>90431</v>
      </c>
      <c r="B40" s="967" t="s">
        <v>2663</v>
      </c>
      <c r="C40" s="968">
        <v>4.8300000000000002E-5</v>
      </c>
      <c r="D40" s="968">
        <v>4.2799999999999997E-5</v>
      </c>
      <c r="E40" s="1007">
        <v>21844</v>
      </c>
      <c r="F40" s="1010">
        <v>90836</v>
      </c>
      <c r="G40" s="969">
        <v>73789</v>
      </c>
      <c r="H40" s="969"/>
      <c r="I40" s="970">
        <v>4251</v>
      </c>
      <c r="J40" s="971">
        <v>17916</v>
      </c>
      <c r="K40" s="970">
        <v>10538</v>
      </c>
      <c r="L40" s="969">
        <v>8663</v>
      </c>
      <c r="M40" s="969"/>
      <c r="N40" s="970">
        <v>2089</v>
      </c>
      <c r="O40" s="970">
        <v>0</v>
      </c>
      <c r="P40" s="970">
        <v>0</v>
      </c>
      <c r="Q40" s="969">
        <v>1273</v>
      </c>
      <c r="R40" s="969"/>
      <c r="S40" s="970">
        <v>24867</v>
      </c>
      <c r="T40" s="972">
        <v>3649</v>
      </c>
      <c r="U40" s="972">
        <v>28516</v>
      </c>
    </row>
    <row r="41" spans="1:21" x14ac:dyDescent="0.25">
      <c r="A41" s="966">
        <v>90441</v>
      </c>
      <c r="B41" s="967" t="s">
        <v>2664</v>
      </c>
      <c r="C41" s="968">
        <v>8.3999999999999992E-6</v>
      </c>
      <c r="D41" s="968">
        <v>9.3999999999999998E-6</v>
      </c>
      <c r="E41" s="1007">
        <v>4910</v>
      </c>
      <c r="F41" s="1010">
        <v>19950</v>
      </c>
      <c r="G41" s="969">
        <v>12833</v>
      </c>
      <c r="H41" s="969"/>
      <c r="I41" s="970">
        <v>739</v>
      </c>
      <c r="J41" s="971">
        <v>3115</v>
      </c>
      <c r="K41" s="970">
        <v>1833</v>
      </c>
      <c r="L41" s="969">
        <v>890</v>
      </c>
      <c r="M41" s="969"/>
      <c r="N41" s="970">
        <v>363</v>
      </c>
      <c r="O41" s="970">
        <v>0</v>
      </c>
      <c r="P41" s="970">
        <v>0</v>
      </c>
      <c r="Q41" s="969">
        <v>129</v>
      </c>
      <c r="R41" s="969"/>
      <c r="S41" s="970">
        <v>4325</v>
      </c>
      <c r="T41" s="972">
        <v>621</v>
      </c>
      <c r="U41" s="972">
        <v>4946</v>
      </c>
    </row>
    <row r="42" spans="1:21" x14ac:dyDescent="0.25">
      <c r="A42" s="966">
        <v>90451</v>
      </c>
      <c r="B42" s="967" t="s">
        <v>2665</v>
      </c>
      <c r="C42" s="968">
        <v>1.6699999999999999E-5</v>
      </c>
      <c r="D42" s="968">
        <v>1.7900000000000001E-5</v>
      </c>
      <c r="E42" s="1007">
        <v>7776</v>
      </c>
      <c r="F42" s="1010">
        <v>37990</v>
      </c>
      <c r="G42" s="969">
        <v>25513</v>
      </c>
      <c r="H42" s="969"/>
      <c r="I42" s="970">
        <v>1470</v>
      </c>
      <c r="J42" s="971">
        <v>6194</v>
      </c>
      <c r="K42" s="970">
        <v>3644</v>
      </c>
      <c r="L42" s="969">
        <v>2202</v>
      </c>
      <c r="M42" s="969"/>
      <c r="N42" s="970">
        <v>722</v>
      </c>
      <c r="O42" s="970">
        <v>0</v>
      </c>
      <c r="P42" s="970">
        <v>0</v>
      </c>
      <c r="Q42" s="969">
        <v>903</v>
      </c>
      <c r="R42" s="969"/>
      <c r="S42" s="970">
        <v>8598</v>
      </c>
      <c r="T42" s="972">
        <v>635</v>
      </c>
      <c r="U42" s="972">
        <f>9232+1</f>
        <v>9233</v>
      </c>
    </row>
    <row r="43" spans="1:21" x14ac:dyDescent="0.25">
      <c r="A43" s="966">
        <v>90461</v>
      </c>
      <c r="B43" s="967" t="s">
        <v>2666</v>
      </c>
      <c r="C43" s="968">
        <v>7.4000000000000003E-6</v>
      </c>
      <c r="D43" s="968">
        <v>1.7200000000000001E-5</v>
      </c>
      <c r="E43" s="1007">
        <v>3691</v>
      </c>
      <c r="F43" s="1010">
        <v>36504</v>
      </c>
      <c r="G43" s="969">
        <v>11305</v>
      </c>
      <c r="H43" s="969"/>
      <c r="I43" s="970">
        <v>651</v>
      </c>
      <c r="J43" s="971">
        <v>2745</v>
      </c>
      <c r="K43" s="970">
        <v>1615</v>
      </c>
      <c r="L43" s="969">
        <v>3066</v>
      </c>
      <c r="M43" s="969"/>
      <c r="N43" s="970">
        <v>320</v>
      </c>
      <c r="O43" s="970">
        <v>0</v>
      </c>
      <c r="P43" s="970">
        <v>0</v>
      </c>
      <c r="Q43" s="969">
        <v>7660</v>
      </c>
      <c r="R43" s="969"/>
      <c r="S43" s="970">
        <v>3810</v>
      </c>
      <c r="T43" s="972">
        <v>-1001</v>
      </c>
      <c r="U43" s="972">
        <f>2808+1</f>
        <v>2809</v>
      </c>
    </row>
    <row r="44" spans="1:21" x14ac:dyDescent="0.25">
      <c r="A44" s="966">
        <v>90501</v>
      </c>
      <c r="B44" s="967" t="s">
        <v>2667</v>
      </c>
      <c r="C44" s="968">
        <v>1.4176E-3</v>
      </c>
      <c r="D44" s="968">
        <v>1.4001E-3</v>
      </c>
      <c r="E44" s="1007">
        <v>670210</v>
      </c>
      <c r="F44" s="1010">
        <v>2971481</v>
      </c>
      <c r="G44" s="969">
        <v>2165700</v>
      </c>
      <c r="H44" s="969"/>
      <c r="I44" s="970">
        <v>124764</v>
      </c>
      <c r="J44" s="971">
        <v>525835</v>
      </c>
      <c r="K44" s="970">
        <v>309292</v>
      </c>
      <c r="L44" s="969">
        <v>53925</v>
      </c>
      <c r="M44" s="969"/>
      <c r="N44" s="970">
        <v>61304</v>
      </c>
      <c r="O44" s="970">
        <v>0</v>
      </c>
      <c r="P44" s="970">
        <v>0</v>
      </c>
      <c r="Q44" s="969">
        <v>0</v>
      </c>
      <c r="R44" s="969"/>
      <c r="S44" s="970">
        <v>729843</v>
      </c>
      <c r="T44" s="972">
        <v>27148</v>
      </c>
      <c r="U44" s="972">
        <v>756991</v>
      </c>
    </row>
    <row r="45" spans="1:21" x14ac:dyDescent="0.25">
      <c r="A45" s="966">
        <v>90507</v>
      </c>
      <c r="B45" s="967" t="s">
        <v>1196</v>
      </c>
      <c r="C45" s="968">
        <v>6.6000000000000003E-6</v>
      </c>
      <c r="D45" s="968">
        <v>7.3000000000000004E-6</v>
      </c>
      <c r="E45" s="1007">
        <v>10408</v>
      </c>
      <c r="F45" s="1010">
        <v>15493</v>
      </c>
      <c r="G45" s="969">
        <v>10083</v>
      </c>
      <c r="H45" s="969"/>
      <c r="I45" s="970">
        <v>581</v>
      </c>
      <c r="J45" s="971">
        <v>2448</v>
      </c>
      <c r="K45" s="970">
        <v>1440</v>
      </c>
      <c r="L45" s="969">
        <v>11545</v>
      </c>
      <c r="M45" s="969"/>
      <c r="N45" s="970">
        <v>285</v>
      </c>
      <c r="O45" s="970">
        <v>0</v>
      </c>
      <c r="P45" s="970">
        <v>0</v>
      </c>
      <c r="Q45" s="969">
        <v>0</v>
      </c>
      <c r="R45" s="969"/>
      <c r="S45" s="970">
        <v>3398</v>
      </c>
      <c r="T45" s="972">
        <v>4117</v>
      </c>
      <c r="U45" s="972">
        <v>7515</v>
      </c>
    </row>
    <row r="46" spans="1:21" x14ac:dyDescent="0.25">
      <c r="A46" s="966">
        <v>90511</v>
      </c>
      <c r="B46" s="967" t="s">
        <v>2668</v>
      </c>
      <c r="C46" s="968">
        <v>8.7000000000000001E-5</v>
      </c>
      <c r="D46" s="968">
        <v>9.5500000000000004E-5</v>
      </c>
      <c r="E46" s="1007">
        <v>52403</v>
      </c>
      <c r="F46" s="1010">
        <v>202683</v>
      </c>
      <c r="G46" s="969">
        <v>132912</v>
      </c>
      <c r="H46" s="969"/>
      <c r="I46" s="970">
        <v>7657</v>
      </c>
      <c r="J46" s="971">
        <v>32271</v>
      </c>
      <c r="K46" s="970">
        <v>18982</v>
      </c>
      <c r="L46" s="969">
        <v>14433</v>
      </c>
      <c r="M46" s="969"/>
      <c r="N46" s="970">
        <v>3762</v>
      </c>
      <c r="O46" s="970">
        <v>0</v>
      </c>
      <c r="P46" s="970">
        <v>0</v>
      </c>
      <c r="Q46" s="969">
        <v>0</v>
      </c>
      <c r="R46" s="969"/>
      <c r="S46" s="970">
        <v>44791</v>
      </c>
      <c r="T46" s="972">
        <v>6485</v>
      </c>
      <c r="U46" s="972">
        <f>51277-1</f>
        <v>51276</v>
      </c>
    </row>
    <row r="47" spans="1:21" x14ac:dyDescent="0.25">
      <c r="A47" s="966">
        <v>90521</v>
      </c>
      <c r="B47" s="967" t="s">
        <v>2669</v>
      </c>
      <c r="C47" s="968">
        <v>1.3880000000000001E-4</v>
      </c>
      <c r="D47" s="968">
        <v>1.395E-4</v>
      </c>
      <c r="E47" s="1007">
        <v>56198</v>
      </c>
      <c r="F47" s="1010">
        <v>296066</v>
      </c>
      <c r="G47" s="969">
        <v>212048</v>
      </c>
      <c r="H47" s="969"/>
      <c r="I47" s="970">
        <v>12216</v>
      </c>
      <c r="J47" s="971">
        <v>51485</v>
      </c>
      <c r="K47" s="970">
        <v>30283</v>
      </c>
      <c r="L47" s="969">
        <v>0</v>
      </c>
      <c r="M47" s="969"/>
      <c r="N47" s="970">
        <v>6002</v>
      </c>
      <c r="O47" s="970">
        <v>0</v>
      </c>
      <c r="P47" s="970">
        <v>0</v>
      </c>
      <c r="Q47" s="969">
        <v>18446</v>
      </c>
      <c r="R47" s="969"/>
      <c r="S47" s="970">
        <v>71460</v>
      </c>
      <c r="T47" s="972">
        <v>-7131</v>
      </c>
      <c r="U47" s="972">
        <v>64329</v>
      </c>
    </row>
    <row r="48" spans="1:21" x14ac:dyDescent="0.25">
      <c r="A48" s="966">
        <v>90601</v>
      </c>
      <c r="B48" s="967" t="s">
        <v>2670</v>
      </c>
      <c r="C48" s="968">
        <v>1.1888000000000001E-3</v>
      </c>
      <c r="D48" s="968">
        <v>1.1785999999999999E-3</v>
      </c>
      <c r="E48" s="1007">
        <v>540985</v>
      </c>
      <c r="F48" s="1010">
        <v>2501384</v>
      </c>
      <c r="G48" s="969">
        <v>1816157</v>
      </c>
      <c r="H48" s="969"/>
      <c r="I48" s="970">
        <v>104627</v>
      </c>
      <c r="J48" s="971">
        <v>440965</v>
      </c>
      <c r="K48" s="970">
        <v>259372</v>
      </c>
      <c r="L48" s="969">
        <v>20795</v>
      </c>
      <c r="M48" s="969"/>
      <c r="N48" s="970">
        <v>51410</v>
      </c>
      <c r="O48" s="970">
        <v>0</v>
      </c>
      <c r="P48" s="970">
        <v>0</v>
      </c>
      <c r="Q48" s="969">
        <v>19784</v>
      </c>
      <c r="R48" s="969"/>
      <c r="S48" s="970">
        <v>612047</v>
      </c>
      <c r="T48" s="972">
        <v>8359</v>
      </c>
      <c r="U48" s="972">
        <v>620406</v>
      </c>
    </row>
    <row r="49" spans="1:21" x14ac:dyDescent="0.25">
      <c r="A49" s="966">
        <v>90602</v>
      </c>
      <c r="B49" s="967" t="s">
        <v>2102</v>
      </c>
      <c r="C49" s="968">
        <v>6.3899999999999995E-5</v>
      </c>
      <c r="D49" s="968">
        <v>6.3299999999999994E-5</v>
      </c>
      <c r="E49" s="1007">
        <v>34828</v>
      </c>
      <c r="F49" s="1010">
        <v>134344</v>
      </c>
      <c r="G49" s="969">
        <v>97621</v>
      </c>
      <c r="H49" s="969"/>
      <c r="I49" s="970">
        <v>5624</v>
      </c>
      <c r="J49" s="971">
        <v>23703</v>
      </c>
      <c r="K49" s="970">
        <v>13942</v>
      </c>
      <c r="L49" s="969">
        <v>38810</v>
      </c>
      <c r="M49" s="969"/>
      <c r="N49" s="970">
        <v>2763</v>
      </c>
      <c r="O49" s="970">
        <v>0</v>
      </c>
      <c r="P49" s="970">
        <v>0</v>
      </c>
      <c r="Q49" s="969">
        <v>0</v>
      </c>
      <c r="R49" s="969"/>
      <c r="S49" s="970">
        <v>32899</v>
      </c>
      <c r="T49" s="972">
        <v>14161</v>
      </c>
      <c r="U49" s="972">
        <f>47059+1</f>
        <v>47060</v>
      </c>
    </row>
    <row r="50" spans="1:21" x14ac:dyDescent="0.25">
      <c r="A50" s="966">
        <v>90605</v>
      </c>
      <c r="B50" s="967" t="s">
        <v>2671</v>
      </c>
      <c r="C50" s="968">
        <v>4.1999999999999998E-5</v>
      </c>
      <c r="D50" s="968">
        <v>3.8399999999999998E-5</v>
      </c>
      <c r="E50" s="1007">
        <v>25461</v>
      </c>
      <c r="F50" s="1010">
        <v>81498</v>
      </c>
      <c r="G50" s="969">
        <v>64164</v>
      </c>
      <c r="H50" s="969"/>
      <c r="I50" s="970">
        <v>3696</v>
      </c>
      <c r="J50" s="971">
        <v>15579</v>
      </c>
      <c r="K50" s="970">
        <v>9164</v>
      </c>
      <c r="L50" s="969">
        <v>15425</v>
      </c>
      <c r="M50" s="969"/>
      <c r="N50" s="970">
        <v>1816</v>
      </c>
      <c r="O50" s="970">
        <v>0</v>
      </c>
      <c r="P50" s="970">
        <v>0</v>
      </c>
      <c r="Q50" s="969">
        <v>0</v>
      </c>
      <c r="R50" s="969"/>
      <c r="S50" s="970">
        <v>21623</v>
      </c>
      <c r="T50" s="972">
        <v>5623</v>
      </c>
      <c r="U50" s="972">
        <f>27247-1</f>
        <v>27246</v>
      </c>
    </row>
    <row r="51" spans="1:21" x14ac:dyDescent="0.25">
      <c r="A51" s="966">
        <v>90611</v>
      </c>
      <c r="B51" s="967" t="s">
        <v>2672</v>
      </c>
      <c r="C51" s="968">
        <v>1.4880000000000001E-4</v>
      </c>
      <c r="D51" s="968">
        <v>1.5669999999999999E-4</v>
      </c>
      <c r="E51" s="1007">
        <v>64371</v>
      </c>
      <c r="F51" s="1010">
        <v>332570</v>
      </c>
      <c r="G51" s="969">
        <v>227325</v>
      </c>
      <c r="H51" s="969"/>
      <c r="I51" s="970">
        <v>13096</v>
      </c>
      <c r="J51" s="971">
        <v>55195</v>
      </c>
      <c r="K51" s="970">
        <v>32465</v>
      </c>
      <c r="L51" s="969">
        <v>2524</v>
      </c>
      <c r="M51" s="969"/>
      <c r="N51" s="970">
        <v>6435</v>
      </c>
      <c r="O51" s="970">
        <v>0</v>
      </c>
      <c r="P51" s="970">
        <v>0</v>
      </c>
      <c r="Q51" s="969">
        <v>18006</v>
      </c>
      <c r="R51" s="969"/>
      <c r="S51" s="970">
        <v>76609</v>
      </c>
      <c r="T51" s="972">
        <v>-3082</v>
      </c>
      <c r="U51" s="972">
        <v>73527</v>
      </c>
    </row>
    <row r="52" spans="1:21" x14ac:dyDescent="0.25">
      <c r="A52" s="966">
        <v>90617</v>
      </c>
      <c r="B52" s="967" t="s">
        <v>2673</v>
      </c>
      <c r="C52" s="968">
        <v>2.5999999999999998E-5</v>
      </c>
      <c r="D52" s="968">
        <v>2.6800000000000001E-5</v>
      </c>
      <c r="E52" s="1007">
        <v>15821</v>
      </c>
      <c r="F52" s="1010">
        <v>56879</v>
      </c>
      <c r="G52" s="969">
        <v>39721</v>
      </c>
      <c r="H52" s="969"/>
      <c r="I52" s="970">
        <v>2288</v>
      </c>
      <c r="J52" s="971">
        <v>9644</v>
      </c>
      <c r="K52" s="970">
        <v>5673</v>
      </c>
      <c r="L52" s="969">
        <v>7632</v>
      </c>
      <c r="M52" s="969"/>
      <c r="N52" s="970">
        <v>1124</v>
      </c>
      <c r="O52" s="970">
        <v>0</v>
      </c>
      <c r="P52" s="970">
        <v>0</v>
      </c>
      <c r="Q52" s="969">
        <v>0</v>
      </c>
      <c r="R52" s="969"/>
      <c r="S52" s="970">
        <v>13386</v>
      </c>
      <c r="T52" s="972">
        <v>4087</v>
      </c>
      <c r="U52" s="972">
        <v>17473</v>
      </c>
    </row>
    <row r="53" spans="1:21" x14ac:dyDescent="0.25">
      <c r="A53" s="966">
        <v>90621</v>
      </c>
      <c r="B53" s="967" t="s">
        <v>2674</v>
      </c>
      <c r="C53" s="968">
        <v>6.3999999999999997E-5</v>
      </c>
      <c r="D53" s="968">
        <v>8.2100000000000003E-5</v>
      </c>
      <c r="E53" s="1007">
        <v>27532</v>
      </c>
      <c r="F53" s="1010">
        <v>174244</v>
      </c>
      <c r="G53" s="969">
        <v>97774</v>
      </c>
      <c r="H53" s="969"/>
      <c r="I53" s="970">
        <v>5633</v>
      </c>
      <c r="J53" s="971">
        <v>23740</v>
      </c>
      <c r="K53" s="970">
        <v>13964</v>
      </c>
      <c r="L53" s="969">
        <v>588</v>
      </c>
      <c r="M53" s="969"/>
      <c r="N53" s="970">
        <v>2768</v>
      </c>
      <c r="O53" s="970">
        <v>0</v>
      </c>
      <c r="P53" s="970">
        <v>0</v>
      </c>
      <c r="Q53" s="969">
        <v>19000</v>
      </c>
      <c r="R53" s="969"/>
      <c r="S53" s="970">
        <v>32950</v>
      </c>
      <c r="T53" s="972">
        <v>-5337</v>
      </c>
      <c r="U53" s="972">
        <v>27613</v>
      </c>
    </row>
    <row r="54" spans="1:21" x14ac:dyDescent="0.25">
      <c r="A54" s="966">
        <v>90631</v>
      </c>
      <c r="B54" s="967" t="s">
        <v>2675</v>
      </c>
      <c r="C54" s="968">
        <v>3.9560000000000002E-4</v>
      </c>
      <c r="D54" s="968">
        <v>3.8000000000000002E-4</v>
      </c>
      <c r="E54" s="1007">
        <v>175402</v>
      </c>
      <c r="F54" s="1010">
        <v>806487</v>
      </c>
      <c r="G54" s="969">
        <v>604367</v>
      </c>
      <c r="H54" s="969"/>
      <c r="I54" s="970">
        <v>34817</v>
      </c>
      <c r="J54" s="971">
        <v>146742</v>
      </c>
      <c r="K54" s="970">
        <v>86312</v>
      </c>
      <c r="L54" s="969">
        <v>17764</v>
      </c>
      <c r="M54" s="969"/>
      <c r="N54" s="970">
        <v>17108</v>
      </c>
      <c r="O54" s="970">
        <v>0</v>
      </c>
      <c r="P54" s="970">
        <v>0</v>
      </c>
      <c r="Q54" s="969">
        <v>8233</v>
      </c>
      <c r="R54" s="969"/>
      <c r="S54" s="970">
        <v>203672</v>
      </c>
      <c r="T54" s="972">
        <v>-484</v>
      </c>
      <c r="U54" s="972">
        <f>203189-1</f>
        <v>203188</v>
      </c>
    </row>
    <row r="55" spans="1:21" x14ac:dyDescent="0.25">
      <c r="A55" s="966">
        <v>90641</v>
      </c>
      <c r="B55" s="967" t="s">
        <v>2676</v>
      </c>
      <c r="C55" s="968">
        <v>1.38E-5</v>
      </c>
      <c r="D55" s="968">
        <v>1.4399999999999999E-5</v>
      </c>
      <c r="E55" s="1007">
        <v>6944</v>
      </c>
      <c r="F55" s="1010">
        <v>30562</v>
      </c>
      <c r="G55" s="969">
        <v>21083</v>
      </c>
      <c r="H55" s="969"/>
      <c r="I55" s="970">
        <v>1215</v>
      </c>
      <c r="J55" s="971">
        <v>5118</v>
      </c>
      <c r="K55" s="970">
        <v>3011</v>
      </c>
      <c r="L55" s="969">
        <v>304</v>
      </c>
      <c r="M55" s="969"/>
      <c r="N55" s="970">
        <v>597</v>
      </c>
      <c r="O55" s="970">
        <v>0</v>
      </c>
      <c r="P55" s="970">
        <v>0</v>
      </c>
      <c r="Q55" s="969">
        <v>517</v>
      </c>
      <c r="R55" s="969"/>
      <c r="S55" s="970">
        <v>7105</v>
      </c>
      <c r="T55" s="972">
        <v>-123</v>
      </c>
      <c r="U55" s="972">
        <v>6982</v>
      </c>
    </row>
    <row r="56" spans="1:21" x14ac:dyDescent="0.25">
      <c r="A56" s="966">
        <v>90651</v>
      </c>
      <c r="B56" s="967" t="s">
        <v>2677</v>
      </c>
      <c r="C56" s="968">
        <v>1E-4</v>
      </c>
      <c r="D56" s="968">
        <v>1.108E-4</v>
      </c>
      <c r="E56" s="1007">
        <v>98054</v>
      </c>
      <c r="F56" s="1010">
        <v>235155</v>
      </c>
      <c r="G56" s="969">
        <v>152772</v>
      </c>
      <c r="H56" s="969"/>
      <c r="I56" s="970">
        <v>8801</v>
      </c>
      <c r="J56" s="971">
        <v>37093</v>
      </c>
      <c r="K56" s="970">
        <v>21818</v>
      </c>
      <c r="L56" s="969">
        <v>85885</v>
      </c>
      <c r="M56" s="969"/>
      <c r="N56" s="970">
        <v>4325</v>
      </c>
      <c r="O56" s="970">
        <v>0</v>
      </c>
      <c r="P56" s="970">
        <v>0</v>
      </c>
      <c r="Q56" s="969">
        <v>4659</v>
      </c>
      <c r="R56" s="969"/>
      <c r="S56" s="970">
        <v>51484</v>
      </c>
      <c r="T56" s="972">
        <v>25671</v>
      </c>
      <c r="U56" s="972">
        <f>77156-1</f>
        <v>77155</v>
      </c>
    </row>
    <row r="57" spans="1:21" x14ac:dyDescent="0.25">
      <c r="A57" s="966">
        <v>90701</v>
      </c>
      <c r="B57" s="967" t="s">
        <v>3665</v>
      </c>
      <c r="C57" s="968">
        <v>2.6581E-3</v>
      </c>
      <c r="D57" s="968">
        <v>2.3587E-3</v>
      </c>
      <c r="E57" s="1007">
        <v>1110621</v>
      </c>
      <c r="F57" s="1010">
        <v>0</v>
      </c>
      <c r="G57" s="969">
        <v>4060841</v>
      </c>
      <c r="H57" s="969"/>
      <c r="I57" s="970">
        <v>233942</v>
      </c>
      <c r="J57" s="971">
        <v>985977</v>
      </c>
      <c r="K57" s="970">
        <v>579944</v>
      </c>
      <c r="L57" s="969">
        <v>130818</v>
      </c>
      <c r="M57" s="969"/>
      <c r="N57" s="970">
        <v>114950</v>
      </c>
      <c r="O57" s="970">
        <v>0</v>
      </c>
      <c r="P57" s="970">
        <v>0</v>
      </c>
      <c r="Q57" s="969">
        <v>31847</v>
      </c>
      <c r="R57" s="969"/>
      <c r="S57" s="970">
        <v>1368507</v>
      </c>
      <c r="T57" s="972">
        <v>33872</v>
      </c>
      <c r="U57" s="972">
        <v>1402379</v>
      </c>
    </row>
    <row r="58" spans="1:21" x14ac:dyDescent="0.25">
      <c r="A58" s="966">
        <v>90704</v>
      </c>
      <c r="B58" s="967" t="s">
        <v>2679</v>
      </c>
      <c r="C58" s="968">
        <v>3.3300000000000003E-5</v>
      </c>
      <c r="D58" s="968">
        <v>3.4900000000000001E-5</v>
      </c>
      <c r="E58" s="1007">
        <v>23859</v>
      </c>
      <c r="F58" s="1010">
        <v>74069</v>
      </c>
      <c r="G58" s="969">
        <v>50873</v>
      </c>
      <c r="H58" s="969"/>
      <c r="I58" s="970">
        <v>2931</v>
      </c>
      <c r="J58" s="971">
        <v>12352</v>
      </c>
      <c r="K58" s="970">
        <v>7265</v>
      </c>
      <c r="L58" s="969">
        <v>14629</v>
      </c>
      <c r="M58" s="969"/>
      <c r="N58" s="970">
        <v>1440</v>
      </c>
      <c r="O58" s="970">
        <v>0</v>
      </c>
      <c r="P58" s="970">
        <v>0</v>
      </c>
      <c r="Q58" s="969">
        <v>0</v>
      </c>
      <c r="R58" s="969"/>
      <c r="S58" s="970">
        <v>17144</v>
      </c>
      <c r="T58" s="972">
        <v>5643</v>
      </c>
      <c r="U58" s="972">
        <f>22788-1</f>
        <v>22787</v>
      </c>
    </row>
    <row r="59" spans="1:21" x14ac:dyDescent="0.25">
      <c r="A59" s="966">
        <v>90705</v>
      </c>
      <c r="B59" s="967" t="s">
        <v>2680</v>
      </c>
      <c r="C59" s="968">
        <v>5.3000000000000001E-5</v>
      </c>
      <c r="D59" s="968">
        <v>3.3899999999999997E-5</v>
      </c>
      <c r="E59" s="1007">
        <v>23100</v>
      </c>
      <c r="F59" s="1010">
        <v>71947</v>
      </c>
      <c r="G59" s="969">
        <v>80969</v>
      </c>
      <c r="H59" s="969"/>
      <c r="I59" s="970">
        <v>4665</v>
      </c>
      <c r="J59" s="971">
        <v>19659</v>
      </c>
      <c r="K59" s="970">
        <v>11564</v>
      </c>
      <c r="L59" s="969">
        <v>18366</v>
      </c>
      <c r="M59" s="969"/>
      <c r="N59" s="970">
        <v>2292</v>
      </c>
      <c r="O59" s="970">
        <v>0</v>
      </c>
      <c r="P59" s="970">
        <v>0</v>
      </c>
      <c r="Q59" s="969">
        <v>0</v>
      </c>
      <c r="R59" s="969"/>
      <c r="S59" s="970">
        <v>27287</v>
      </c>
      <c r="T59" s="972">
        <v>6194</v>
      </c>
      <c r="U59" s="972">
        <v>33481</v>
      </c>
    </row>
    <row r="60" spans="1:21" x14ac:dyDescent="0.25">
      <c r="A60" s="966">
        <v>90709</v>
      </c>
      <c r="B60" s="967" t="s">
        <v>2681</v>
      </c>
      <c r="C60" s="968">
        <v>1.2650000000000001E-4</v>
      </c>
      <c r="D60" s="968">
        <v>1.4569999999999999E-4</v>
      </c>
      <c r="E60" s="1007">
        <v>61710</v>
      </c>
      <c r="F60" s="1010">
        <v>309224</v>
      </c>
      <c r="G60" s="969">
        <v>193257</v>
      </c>
      <c r="H60" s="969"/>
      <c r="I60" s="970">
        <v>11133</v>
      </c>
      <c r="J60" s="971">
        <v>46924</v>
      </c>
      <c r="K60" s="970">
        <v>27600</v>
      </c>
      <c r="L60" s="969">
        <v>5085</v>
      </c>
      <c r="M60" s="969"/>
      <c r="N60" s="970">
        <v>5470</v>
      </c>
      <c r="O60" s="970">
        <v>0</v>
      </c>
      <c r="P60" s="970">
        <v>0</v>
      </c>
      <c r="Q60" s="969">
        <v>42511</v>
      </c>
      <c r="R60" s="969"/>
      <c r="S60" s="970">
        <v>65128</v>
      </c>
      <c r="T60" s="972">
        <v>-9374</v>
      </c>
      <c r="U60" s="972">
        <v>55754</v>
      </c>
    </row>
    <row r="61" spans="1:21" x14ac:dyDescent="0.25">
      <c r="A61" s="966">
        <v>90711</v>
      </c>
      <c r="B61" s="967" t="s">
        <v>2682</v>
      </c>
      <c r="C61" s="968">
        <v>1.6877000000000001E-3</v>
      </c>
      <c r="D61" s="968">
        <v>1.7302000000000001E-3</v>
      </c>
      <c r="E61" s="1007">
        <v>774256</v>
      </c>
      <c r="F61" s="1010">
        <v>3672064</v>
      </c>
      <c r="G61" s="969">
        <v>2578338</v>
      </c>
      <c r="H61" s="969"/>
      <c r="I61" s="970">
        <v>148536</v>
      </c>
      <c r="J61" s="971">
        <v>626023</v>
      </c>
      <c r="K61" s="970">
        <v>368222</v>
      </c>
      <c r="L61" s="969">
        <v>0</v>
      </c>
      <c r="M61" s="969"/>
      <c r="N61" s="970">
        <v>72985</v>
      </c>
      <c r="O61" s="970">
        <v>0</v>
      </c>
      <c r="P61" s="970">
        <v>0</v>
      </c>
      <c r="Q61" s="969">
        <v>160849</v>
      </c>
      <c r="R61" s="969"/>
      <c r="S61" s="970">
        <v>868902</v>
      </c>
      <c r="T61" s="972">
        <v>-68798</v>
      </c>
      <c r="U61" s="972">
        <v>800104</v>
      </c>
    </row>
    <row r="62" spans="1:21" x14ac:dyDescent="0.25">
      <c r="A62" s="966">
        <v>90721</v>
      </c>
      <c r="B62" s="967" t="s">
        <v>2683</v>
      </c>
      <c r="C62" s="968">
        <v>2.8600000000000001E-5</v>
      </c>
      <c r="D62" s="968">
        <v>3.7299999999999999E-5</v>
      </c>
      <c r="E62" s="1007">
        <v>15289</v>
      </c>
      <c r="F62" s="1010">
        <v>79163</v>
      </c>
      <c r="G62" s="969">
        <v>43693</v>
      </c>
      <c r="H62" s="969"/>
      <c r="I62" s="970">
        <v>2517</v>
      </c>
      <c r="J62" s="971">
        <v>10608</v>
      </c>
      <c r="K62" s="970">
        <v>6240</v>
      </c>
      <c r="L62" s="969">
        <v>2956</v>
      </c>
      <c r="M62" s="969"/>
      <c r="N62" s="970">
        <v>1237</v>
      </c>
      <c r="O62" s="970">
        <v>0</v>
      </c>
      <c r="P62" s="970">
        <v>0</v>
      </c>
      <c r="Q62" s="969">
        <v>4943</v>
      </c>
      <c r="R62" s="969"/>
      <c r="S62" s="970">
        <v>14725</v>
      </c>
      <c r="T62" s="972">
        <v>1072</v>
      </c>
      <c r="U62" s="972">
        <f>15796+1</f>
        <v>15797</v>
      </c>
    </row>
    <row r="63" spans="1:21" x14ac:dyDescent="0.25">
      <c r="A63" s="966">
        <v>90731</v>
      </c>
      <c r="B63" s="967" t="s">
        <v>2684</v>
      </c>
      <c r="C63" s="968">
        <v>1.741E-4</v>
      </c>
      <c r="D63" s="968">
        <v>1.917E-4</v>
      </c>
      <c r="E63" s="1007">
        <v>79540</v>
      </c>
      <c r="F63" s="1010">
        <v>406852</v>
      </c>
      <c r="G63" s="969">
        <v>265977</v>
      </c>
      <c r="H63" s="969"/>
      <c r="I63" s="970">
        <v>15323</v>
      </c>
      <c r="J63" s="971">
        <v>64580</v>
      </c>
      <c r="K63" s="970">
        <v>37985</v>
      </c>
      <c r="L63" s="969">
        <v>0</v>
      </c>
      <c r="M63" s="969"/>
      <c r="N63" s="970">
        <v>7529</v>
      </c>
      <c r="O63" s="970">
        <v>0</v>
      </c>
      <c r="P63" s="970">
        <v>0</v>
      </c>
      <c r="Q63" s="969">
        <v>18148</v>
      </c>
      <c r="R63" s="969"/>
      <c r="S63" s="970">
        <v>89634</v>
      </c>
      <c r="T63" s="972">
        <v>-7025</v>
      </c>
      <c r="U63" s="972">
        <v>82609</v>
      </c>
    </row>
    <row r="64" spans="1:21" x14ac:dyDescent="0.25">
      <c r="A64" s="966">
        <v>90741</v>
      </c>
      <c r="B64" s="967" t="s">
        <v>2685</v>
      </c>
      <c r="C64" s="968">
        <v>9.0999999999999993E-6</v>
      </c>
      <c r="D64" s="968">
        <v>1.2099999999999999E-5</v>
      </c>
      <c r="E64" s="1007">
        <v>6433</v>
      </c>
      <c r="F64" s="1010">
        <v>25680</v>
      </c>
      <c r="G64" s="969">
        <v>13902</v>
      </c>
      <c r="H64" s="969"/>
      <c r="I64" s="970">
        <v>801</v>
      </c>
      <c r="J64" s="971">
        <v>3375</v>
      </c>
      <c r="K64" s="970">
        <v>1985</v>
      </c>
      <c r="L64" s="969">
        <v>2169</v>
      </c>
      <c r="M64" s="969"/>
      <c r="N64" s="970">
        <v>394</v>
      </c>
      <c r="O64" s="970">
        <v>0</v>
      </c>
      <c r="P64" s="970">
        <v>0</v>
      </c>
      <c r="Q64" s="969">
        <v>952</v>
      </c>
      <c r="R64" s="969"/>
      <c r="S64" s="970">
        <v>4685</v>
      </c>
      <c r="T64" s="972">
        <v>235</v>
      </c>
      <c r="U64" s="972">
        <v>4920</v>
      </c>
    </row>
    <row r="65" spans="1:21" x14ac:dyDescent="0.25">
      <c r="A65" s="966">
        <v>90751</v>
      </c>
      <c r="B65" s="967" t="s">
        <v>2686</v>
      </c>
      <c r="C65" s="968">
        <v>6.8700000000000003E-5</v>
      </c>
      <c r="D65" s="968">
        <v>6.5599999999999995E-5</v>
      </c>
      <c r="E65" s="1007">
        <v>27591</v>
      </c>
      <c r="F65" s="1010">
        <v>139225</v>
      </c>
      <c r="G65" s="969">
        <v>104955</v>
      </c>
      <c r="H65" s="969"/>
      <c r="I65" s="970">
        <v>6046</v>
      </c>
      <c r="J65" s="971">
        <v>25483</v>
      </c>
      <c r="K65" s="970">
        <v>14989</v>
      </c>
      <c r="L65" s="969">
        <v>4940</v>
      </c>
      <c r="M65" s="969"/>
      <c r="N65" s="970">
        <v>2971</v>
      </c>
      <c r="O65" s="970">
        <v>0</v>
      </c>
      <c r="P65" s="970">
        <v>0</v>
      </c>
      <c r="Q65" s="969">
        <v>1080</v>
      </c>
      <c r="R65" s="969"/>
      <c r="S65" s="970">
        <v>35370</v>
      </c>
      <c r="T65" s="972">
        <v>3400</v>
      </c>
      <c r="U65" s="972">
        <v>38770</v>
      </c>
    </row>
    <row r="66" spans="1:21" x14ac:dyDescent="0.25">
      <c r="A66" s="966">
        <v>90801</v>
      </c>
      <c r="B66" s="967" t="s">
        <v>2687</v>
      </c>
      <c r="C66" s="968">
        <v>1.3064000000000001E-3</v>
      </c>
      <c r="D66" s="968">
        <v>1.1404E-3</v>
      </c>
      <c r="E66" s="1007">
        <v>521156</v>
      </c>
      <c r="F66" s="1010">
        <v>2420311</v>
      </c>
      <c r="G66" s="969">
        <v>1995817</v>
      </c>
      <c r="H66" s="969"/>
      <c r="I66" s="970">
        <v>114978</v>
      </c>
      <c r="J66" s="971">
        <v>484586</v>
      </c>
      <c r="K66" s="970">
        <v>285030</v>
      </c>
      <c r="L66" s="969">
        <v>151641</v>
      </c>
      <c r="M66" s="969"/>
      <c r="N66" s="970">
        <v>56495</v>
      </c>
      <c r="O66" s="970">
        <v>0</v>
      </c>
      <c r="P66" s="970">
        <v>0</v>
      </c>
      <c r="Q66" s="969">
        <v>0</v>
      </c>
      <c r="R66" s="969"/>
      <c r="S66" s="970">
        <v>672592</v>
      </c>
      <c r="T66" s="972">
        <v>65370</v>
      </c>
      <c r="U66" s="972">
        <v>737962</v>
      </c>
    </row>
    <row r="67" spans="1:21" x14ac:dyDescent="0.25">
      <c r="A67" s="966">
        <v>90804</v>
      </c>
      <c r="B67" s="967" t="s">
        <v>2688</v>
      </c>
      <c r="C67" s="968">
        <v>6.1999999999999999E-6</v>
      </c>
      <c r="D67" s="968">
        <v>6.0000000000000002E-6</v>
      </c>
      <c r="E67" s="1007">
        <v>2751</v>
      </c>
      <c r="F67" s="1010">
        <v>12734</v>
      </c>
      <c r="G67" s="969">
        <v>9472</v>
      </c>
      <c r="H67" s="969"/>
      <c r="I67" s="970">
        <v>546</v>
      </c>
      <c r="J67" s="971">
        <v>2300</v>
      </c>
      <c r="K67" s="970">
        <v>1353</v>
      </c>
      <c r="L67" s="969">
        <v>1462</v>
      </c>
      <c r="M67" s="969"/>
      <c r="N67" s="970">
        <v>268</v>
      </c>
      <c r="O67" s="970">
        <v>0</v>
      </c>
      <c r="P67" s="970">
        <v>0</v>
      </c>
      <c r="Q67" s="969">
        <v>0</v>
      </c>
      <c r="R67" s="969"/>
      <c r="S67" s="970">
        <v>3192</v>
      </c>
      <c r="T67" s="972">
        <v>893</v>
      </c>
      <c r="U67" s="972">
        <v>4085</v>
      </c>
    </row>
    <row r="68" spans="1:21" x14ac:dyDescent="0.25">
      <c r="A68" s="966">
        <v>90805</v>
      </c>
      <c r="B68" s="967" t="s">
        <v>2689</v>
      </c>
      <c r="C68" s="968">
        <v>5.1900000000000001E-5</v>
      </c>
      <c r="D68" s="968">
        <v>5.5099999999999998E-5</v>
      </c>
      <c r="E68" s="1007">
        <v>35600</v>
      </c>
      <c r="F68" s="1010">
        <v>116941</v>
      </c>
      <c r="G68" s="969">
        <v>79289</v>
      </c>
      <c r="H68" s="969"/>
      <c r="I68" s="970">
        <v>4568</v>
      </c>
      <c r="J68" s="971">
        <v>19252</v>
      </c>
      <c r="K68" s="970">
        <v>11324</v>
      </c>
      <c r="L68" s="969">
        <v>22022</v>
      </c>
      <c r="M68" s="969"/>
      <c r="N68" s="970">
        <v>2244</v>
      </c>
      <c r="O68" s="970">
        <v>0</v>
      </c>
      <c r="P68" s="970">
        <v>0</v>
      </c>
      <c r="Q68" s="969">
        <v>0</v>
      </c>
      <c r="R68" s="969"/>
      <c r="S68" s="970">
        <v>26720</v>
      </c>
      <c r="T68" s="972">
        <v>9443</v>
      </c>
      <c r="U68" s="972">
        <v>36163</v>
      </c>
    </row>
    <row r="69" spans="1:21" x14ac:dyDescent="0.25">
      <c r="A69" s="966">
        <v>90808</v>
      </c>
      <c r="B69" s="967" t="s">
        <v>2690</v>
      </c>
      <c r="C69" s="968">
        <v>1.131E-4</v>
      </c>
      <c r="D69" s="968">
        <v>1.109E-4</v>
      </c>
      <c r="E69" s="1007">
        <v>56029</v>
      </c>
      <c r="F69" s="1010">
        <v>235367</v>
      </c>
      <c r="G69" s="969">
        <v>172785</v>
      </c>
      <c r="H69" s="969"/>
      <c r="I69" s="970">
        <v>9954</v>
      </c>
      <c r="J69" s="971">
        <v>41952</v>
      </c>
      <c r="K69" s="970">
        <v>24676</v>
      </c>
      <c r="L69" s="969">
        <v>5678</v>
      </c>
      <c r="M69" s="969"/>
      <c r="N69" s="970">
        <v>4891</v>
      </c>
      <c r="O69" s="970">
        <v>0</v>
      </c>
      <c r="P69" s="970">
        <v>0</v>
      </c>
      <c r="Q69" s="969">
        <v>2008</v>
      </c>
      <c r="R69" s="969"/>
      <c r="S69" s="970">
        <v>58229</v>
      </c>
      <c r="T69" s="972">
        <v>731</v>
      </c>
      <c r="U69" s="972">
        <f>58959+1</f>
        <v>58960</v>
      </c>
    </row>
    <row r="70" spans="1:21" x14ac:dyDescent="0.25">
      <c r="A70" s="966">
        <v>90811</v>
      </c>
      <c r="B70" s="967" t="s">
        <v>2691</v>
      </c>
      <c r="C70" s="968">
        <v>3.3599999999999997E-5</v>
      </c>
      <c r="D70" s="968">
        <v>4.0000000000000003E-5</v>
      </c>
      <c r="E70" s="1007">
        <v>11655</v>
      </c>
      <c r="F70" s="1010">
        <v>84893</v>
      </c>
      <c r="G70" s="969">
        <v>51331</v>
      </c>
      <c r="H70" s="969"/>
      <c r="I70" s="970">
        <v>2957</v>
      </c>
      <c r="J70" s="971">
        <v>12463</v>
      </c>
      <c r="K70" s="970">
        <v>7331</v>
      </c>
      <c r="L70" s="969">
        <v>471</v>
      </c>
      <c r="M70" s="969"/>
      <c r="N70" s="970">
        <v>1453</v>
      </c>
      <c r="O70" s="970">
        <v>0</v>
      </c>
      <c r="P70" s="970">
        <v>0</v>
      </c>
      <c r="Q70" s="969">
        <v>8846</v>
      </c>
      <c r="R70" s="969"/>
      <c r="S70" s="970">
        <v>17299</v>
      </c>
      <c r="T70" s="972">
        <v>-1986</v>
      </c>
      <c r="U70" s="972">
        <v>15313</v>
      </c>
    </row>
    <row r="71" spans="1:21" x14ac:dyDescent="0.25">
      <c r="A71" s="966">
        <v>90812</v>
      </c>
      <c r="B71" s="967" t="s">
        <v>2692</v>
      </c>
      <c r="C71" s="968">
        <v>2.2900000000000001E-4</v>
      </c>
      <c r="D71" s="968">
        <v>2.13E-4</v>
      </c>
      <c r="E71" s="1007">
        <v>105040</v>
      </c>
      <c r="F71" s="1010">
        <v>452057</v>
      </c>
      <c r="G71" s="969">
        <v>349849</v>
      </c>
      <c r="H71" s="969"/>
      <c r="I71" s="970">
        <v>20155</v>
      </c>
      <c r="J71" s="971">
        <v>84944</v>
      </c>
      <c r="K71" s="970">
        <v>49963</v>
      </c>
      <c r="L71" s="969">
        <v>15087</v>
      </c>
      <c r="M71" s="969"/>
      <c r="N71" s="970">
        <v>9903</v>
      </c>
      <c r="O71" s="970">
        <v>0</v>
      </c>
      <c r="P71" s="970">
        <v>0</v>
      </c>
      <c r="Q71" s="969">
        <v>10549</v>
      </c>
      <c r="R71" s="969"/>
      <c r="S71" s="970">
        <v>117899</v>
      </c>
      <c r="T71" s="972">
        <v>3117</v>
      </c>
      <c r="U71" s="972">
        <v>121016</v>
      </c>
    </row>
    <row r="72" spans="1:21" x14ac:dyDescent="0.25">
      <c r="A72" s="966">
        <v>90813</v>
      </c>
      <c r="B72" s="967" t="s">
        <v>2693</v>
      </c>
      <c r="C72" s="968">
        <v>5.3000000000000001E-6</v>
      </c>
      <c r="D72" s="968">
        <v>5.4999999999999999E-6</v>
      </c>
      <c r="E72" s="1007">
        <v>2061</v>
      </c>
      <c r="F72" s="1010">
        <v>11673</v>
      </c>
      <c r="G72" s="969">
        <v>8097</v>
      </c>
      <c r="H72" s="969"/>
      <c r="I72" s="970">
        <v>466</v>
      </c>
      <c r="J72" s="971">
        <v>1966</v>
      </c>
      <c r="K72" s="970">
        <v>1156</v>
      </c>
      <c r="L72" s="969">
        <v>0</v>
      </c>
      <c r="M72" s="969"/>
      <c r="N72" s="970">
        <v>229</v>
      </c>
      <c r="O72" s="970">
        <v>0</v>
      </c>
      <c r="P72" s="970">
        <v>0</v>
      </c>
      <c r="Q72" s="969">
        <v>1124</v>
      </c>
      <c r="R72" s="969"/>
      <c r="S72" s="970">
        <v>2729</v>
      </c>
      <c r="T72" s="972">
        <v>-505</v>
      </c>
      <c r="U72" s="972">
        <f>2223+1</f>
        <v>2224</v>
      </c>
    </row>
    <row r="73" spans="1:21" x14ac:dyDescent="0.25">
      <c r="A73" s="966">
        <v>90861</v>
      </c>
      <c r="B73" s="967" t="s">
        <v>2694</v>
      </c>
      <c r="C73" s="968">
        <v>4.1999999999999996E-6</v>
      </c>
      <c r="D73" s="968">
        <v>4.7999999999999998E-6</v>
      </c>
      <c r="E73" s="1007">
        <v>3703</v>
      </c>
      <c r="F73" s="1010">
        <v>10187</v>
      </c>
      <c r="G73" s="969">
        <v>6416</v>
      </c>
      <c r="H73" s="969"/>
      <c r="I73" s="970">
        <v>370</v>
      </c>
      <c r="J73" s="971">
        <v>1558</v>
      </c>
      <c r="K73" s="970">
        <v>916</v>
      </c>
      <c r="L73" s="969">
        <v>3211</v>
      </c>
      <c r="M73" s="969"/>
      <c r="N73" s="970">
        <v>182</v>
      </c>
      <c r="O73" s="970">
        <v>0</v>
      </c>
      <c r="P73" s="970">
        <v>0</v>
      </c>
      <c r="Q73" s="969">
        <v>1117</v>
      </c>
      <c r="R73" s="969"/>
      <c r="S73" s="970">
        <v>2162</v>
      </c>
      <c r="T73" s="972">
        <v>191</v>
      </c>
      <c r="U73" s="972">
        <v>2353</v>
      </c>
    </row>
    <row r="74" spans="1:21" x14ac:dyDescent="0.25">
      <c r="A74" s="966">
        <v>90901</v>
      </c>
      <c r="B74" s="967" t="s">
        <v>2695</v>
      </c>
      <c r="C74" s="968">
        <v>2.1814999999999998E-3</v>
      </c>
      <c r="D74" s="968">
        <v>2.1302999999999999E-3</v>
      </c>
      <c r="E74" s="1007">
        <v>980897</v>
      </c>
      <c r="F74" s="1010">
        <v>4521210</v>
      </c>
      <c r="G74" s="969">
        <v>3332728</v>
      </c>
      <c r="H74" s="969"/>
      <c r="I74" s="970">
        <v>191996</v>
      </c>
      <c r="J74" s="971">
        <v>809191</v>
      </c>
      <c r="K74" s="970">
        <v>475960</v>
      </c>
      <c r="L74" s="969">
        <v>22389</v>
      </c>
      <c r="M74" s="969"/>
      <c r="N74" s="970">
        <v>94339</v>
      </c>
      <c r="O74" s="970">
        <v>0</v>
      </c>
      <c r="P74" s="970">
        <v>0</v>
      </c>
      <c r="Q74" s="969">
        <v>38005</v>
      </c>
      <c r="R74" s="969"/>
      <c r="S74" s="970">
        <v>1123132</v>
      </c>
      <c r="T74" s="972">
        <v>-5969</v>
      </c>
      <c r="U74" s="972">
        <v>1117163</v>
      </c>
    </row>
    <row r="75" spans="1:21" x14ac:dyDescent="0.25">
      <c r="A75" s="966">
        <v>90911</v>
      </c>
      <c r="B75" s="967" t="s">
        <v>2696</v>
      </c>
      <c r="C75" s="968">
        <v>3.9780000000000002E-4</v>
      </c>
      <c r="D75" s="968">
        <v>3.6010000000000003E-4</v>
      </c>
      <c r="E75" s="1007">
        <v>159535</v>
      </c>
      <c r="F75" s="1010">
        <v>764253</v>
      </c>
      <c r="G75" s="969">
        <v>607728</v>
      </c>
      <c r="H75" s="969"/>
      <c r="I75" s="970">
        <v>35011</v>
      </c>
      <c r="J75" s="971">
        <v>147557</v>
      </c>
      <c r="K75" s="970">
        <v>86792</v>
      </c>
      <c r="L75" s="969">
        <v>6806</v>
      </c>
      <c r="M75" s="969"/>
      <c r="N75" s="970">
        <v>17203</v>
      </c>
      <c r="O75" s="970">
        <v>0</v>
      </c>
      <c r="P75" s="970">
        <v>0</v>
      </c>
      <c r="Q75" s="969">
        <v>31482</v>
      </c>
      <c r="R75" s="969"/>
      <c r="S75" s="970">
        <v>204805</v>
      </c>
      <c r="T75" s="972">
        <v>-18326</v>
      </c>
      <c r="U75" s="972">
        <v>186479</v>
      </c>
    </row>
    <row r="76" spans="1:21" x14ac:dyDescent="0.25">
      <c r="A76" s="966">
        <v>90917</v>
      </c>
      <c r="B76" s="967" t="s">
        <v>2697</v>
      </c>
      <c r="C76" s="968">
        <v>1.4399999999999999E-5</v>
      </c>
      <c r="D76" s="968">
        <v>1.42E-5</v>
      </c>
      <c r="E76" s="1007">
        <v>5784</v>
      </c>
      <c r="F76" s="1010">
        <v>30137</v>
      </c>
      <c r="G76" s="969">
        <v>21999</v>
      </c>
      <c r="H76" s="969"/>
      <c r="I76" s="970">
        <v>1267</v>
      </c>
      <c r="J76" s="971">
        <v>5342</v>
      </c>
      <c r="K76" s="970">
        <v>3142</v>
      </c>
      <c r="L76" s="969">
        <v>1461</v>
      </c>
      <c r="M76" s="969"/>
      <c r="N76" s="970">
        <v>623</v>
      </c>
      <c r="O76" s="970">
        <v>0</v>
      </c>
      <c r="P76" s="970">
        <v>0</v>
      </c>
      <c r="Q76" s="969">
        <v>966</v>
      </c>
      <c r="R76" s="969"/>
      <c r="S76" s="970">
        <v>7414</v>
      </c>
      <c r="T76" s="972">
        <v>-22</v>
      </c>
      <c r="U76" s="972">
        <v>7392</v>
      </c>
    </row>
    <row r="77" spans="1:21" x14ac:dyDescent="0.25">
      <c r="A77" s="966">
        <v>90918</v>
      </c>
      <c r="B77" s="967" t="s">
        <v>2698</v>
      </c>
      <c r="C77" s="968">
        <v>1.19E-5</v>
      </c>
      <c r="D77" s="968">
        <v>1.24E-5</v>
      </c>
      <c r="E77" s="1007">
        <v>4773</v>
      </c>
      <c r="F77" s="1010">
        <v>26317</v>
      </c>
      <c r="G77" s="969">
        <v>18180</v>
      </c>
      <c r="H77" s="969"/>
      <c r="I77" s="970">
        <v>1047</v>
      </c>
      <c r="J77" s="971">
        <v>4414</v>
      </c>
      <c r="K77" s="970">
        <v>2596</v>
      </c>
      <c r="L77" s="969">
        <v>0</v>
      </c>
      <c r="M77" s="969"/>
      <c r="N77" s="970">
        <v>515</v>
      </c>
      <c r="O77" s="970">
        <v>0</v>
      </c>
      <c r="P77" s="970">
        <v>0</v>
      </c>
      <c r="Q77" s="969">
        <v>2553</v>
      </c>
      <c r="R77" s="969"/>
      <c r="S77" s="970">
        <v>6127</v>
      </c>
      <c r="T77" s="972">
        <v>-1087</v>
      </c>
      <c r="U77" s="972">
        <f>5039+1</f>
        <v>5040</v>
      </c>
    </row>
    <row r="78" spans="1:21" x14ac:dyDescent="0.25">
      <c r="A78" s="966">
        <v>90921</v>
      </c>
      <c r="B78" s="967" t="s">
        <v>2699</v>
      </c>
      <c r="C78" s="968">
        <v>1.2970000000000001E-4</v>
      </c>
      <c r="D78" s="968">
        <v>8.7399999999999997E-5</v>
      </c>
      <c r="E78" s="1007">
        <v>59486</v>
      </c>
      <c r="F78" s="1010">
        <v>185492</v>
      </c>
      <c r="G78" s="969">
        <v>198146</v>
      </c>
      <c r="H78" s="969"/>
      <c r="I78" s="970">
        <v>11415</v>
      </c>
      <c r="J78" s="971">
        <v>48110</v>
      </c>
      <c r="K78" s="970">
        <v>28298</v>
      </c>
      <c r="L78" s="969">
        <v>31212</v>
      </c>
      <c r="M78" s="969"/>
      <c r="N78" s="970">
        <v>5609</v>
      </c>
      <c r="O78" s="970">
        <v>0</v>
      </c>
      <c r="P78" s="970">
        <v>0</v>
      </c>
      <c r="Q78" s="969">
        <v>7007</v>
      </c>
      <c r="R78" s="969"/>
      <c r="S78" s="970">
        <v>66775</v>
      </c>
      <c r="T78" s="972">
        <v>5102</v>
      </c>
      <c r="U78" s="972">
        <v>71877</v>
      </c>
    </row>
    <row r="79" spans="1:21" x14ac:dyDescent="0.25">
      <c r="A79" s="966">
        <v>90931</v>
      </c>
      <c r="B79" s="967" t="s">
        <v>2700</v>
      </c>
      <c r="C79" s="968">
        <v>4.07E-5</v>
      </c>
      <c r="D79" s="968">
        <v>5.1900000000000001E-5</v>
      </c>
      <c r="E79" s="1007">
        <v>16168</v>
      </c>
      <c r="F79" s="1010">
        <v>110149</v>
      </c>
      <c r="G79" s="969">
        <v>62178</v>
      </c>
      <c r="H79" s="969"/>
      <c r="I79" s="970">
        <v>3582</v>
      </c>
      <c r="J79" s="971">
        <v>15097</v>
      </c>
      <c r="K79" s="970">
        <v>8880</v>
      </c>
      <c r="L79" s="969">
        <v>3743</v>
      </c>
      <c r="M79" s="969"/>
      <c r="N79" s="970">
        <v>1760</v>
      </c>
      <c r="O79" s="970">
        <v>0</v>
      </c>
      <c r="P79" s="970">
        <v>0</v>
      </c>
      <c r="Q79" s="969">
        <v>14137</v>
      </c>
      <c r="R79" s="969"/>
      <c r="S79" s="970">
        <v>20954</v>
      </c>
      <c r="T79" s="972">
        <v>-1298</v>
      </c>
      <c r="U79" s="972">
        <v>19656</v>
      </c>
    </row>
    <row r="80" spans="1:21" x14ac:dyDescent="0.25">
      <c r="A80" s="966">
        <v>90941</v>
      </c>
      <c r="B80" s="967" t="s">
        <v>2701</v>
      </c>
      <c r="C80" s="968">
        <v>7.0300000000000001E-5</v>
      </c>
      <c r="D80" s="968">
        <v>9.0799999999999998E-5</v>
      </c>
      <c r="E80" s="1007">
        <v>35455</v>
      </c>
      <c r="F80" s="1010">
        <v>192708</v>
      </c>
      <c r="G80" s="969">
        <v>107399</v>
      </c>
      <c r="H80" s="969"/>
      <c r="I80" s="970">
        <v>6187</v>
      </c>
      <c r="J80" s="971">
        <v>26076</v>
      </c>
      <c r="K80" s="970">
        <v>15338</v>
      </c>
      <c r="L80" s="969">
        <v>1686</v>
      </c>
      <c r="M80" s="969"/>
      <c r="N80" s="970">
        <v>3040</v>
      </c>
      <c r="O80" s="970">
        <v>0</v>
      </c>
      <c r="P80" s="970">
        <v>0</v>
      </c>
      <c r="Q80" s="969">
        <v>16031</v>
      </c>
      <c r="R80" s="969"/>
      <c r="S80" s="970">
        <v>36194</v>
      </c>
      <c r="T80" s="972">
        <v>-4988</v>
      </c>
      <c r="U80" s="972">
        <f>31205+1</f>
        <v>31206</v>
      </c>
    </row>
    <row r="81" spans="1:21" x14ac:dyDescent="0.25">
      <c r="A81" s="966">
        <v>91001</v>
      </c>
      <c r="B81" s="967" t="s">
        <v>2702</v>
      </c>
      <c r="C81" s="968">
        <v>6.6703999999999999E-3</v>
      </c>
      <c r="D81" s="968">
        <v>6.6189999999999999E-3</v>
      </c>
      <c r="E81" s="1007">
        <v>2867178</v>
      </c>
      <c r="F81" s="1010">
        <v>14047735</v>
      </c>
      <c r="G81" s="969">
        <v>10190523</v>
      </c>
      <c r="H81" s="969"/>
      <c r="I81" s="970">
        <v>587069</v>
      </c>
      <c r="J81" s="971">
        <v>2474271</v>
      </c>
      <c r="K81" s="970">
        <v>1455348</v>
      </c>
      <c r="L81" s="969">
        <v>35831</v>
      </c>
      <c r="M81" s="969"/>
      <c r="N81" s="970">
        <v>288461</v>
      </c>
      <c r="O81" s="970">
        <v>0</v>
      </c>
      <c r="P81" s="970">
        <v>0</v>
      </c>
      <c r="Q81" s="969">
        <v>269013</v>
      </c>
      <c r="R81" s="969"/>
      <c r="S81" s="970">
        <v>3434215</v>
      </c>
      <c r="T81" s="972">
        <v>-50061</v>
      </c>
      <c r="U81" s="972">
        <v>3384154</v>
      </c>
    </row>
    <row r="82" spans="1:21" x14ac:dyDescent="0.25">
      <c r="A82" s="966">
        <v>91002</v>
      </c>
      <c r="B82" s="967" t="s">
        <v>2703</v>
      </c>
      <c r="C82" s="968">
        <v>6.8860000000000004E-4</v>
      </c>
      <c r="D82" s="968">
        <v>5.6360000000000004E-4</v>
      </c>
      <c r="E82" s="1007">
        <v>257315</v>
      </c>
      <c r="F82" s="1010">
        <v>1196148</v>
      </c>
      <c r="G82" s="969">
        <v>1051990</v>
      </c>
      <c r="H82" s="969"/>
      <c r="I82" s="970">
        <v>60604</v>
      </c>
      <c r="J82" s="971">
        <v>255424</v>
      </c>
      <c r="K82" s="970">
        <v>150239</v>
      </c>
      <c r="L82" s="969">
        <v>39390</v>
      </c>
      <c r="M82" s="969"/>
      <c r="N82" s="970">
        <v>29779</v>
      </c>
      <c r="O82" s="970">
        <v>0</v>
      </c>
      <c r="P82" s="970">
        <v>0</v>
      </c>
      <c r="Q82" s="969">
        <v>48600</v>
      </c>
      <c r="R82" s="969"/>
      <c r="S82" s="970">
        <v>354522</v>
      </c>
      <c r="T82" s="972">
        <v>-8849</v>
      </c>
      <c r="U82" s="972">
        <v>345673</v>
      </c>
    </row>
    <row r="83" spans="1:21" x14ac:dyDescent="0.25">
      <c r="A83" s="966">
        <v>91003</v>
      </c>
      <c r="B83" s="967" t="s">
        <v>2704</v>
      </c>
      <c r="C83" s="968">
        <v>5.7260000000000004E-4</v>
      </c>
      <c r="D83" s="968">
        <v>5.6550000000000003E-4</v>
      </c>
      <c r="E83" s="1007">
        <v>268789</v>
      </c>
      <c r="F83" s="1010">
        <v>1200180</v>
      </c>
      <c r="G83" s="969">
        <v>874774</v>
      </c>
      <c r="H83" s="969"/>
      <c r="I83" s="970">
        <v>50395</v>
      </c>
      <c r="J83" s="971">
        <v>212396</v>
      </c>
      <c r="K83" s="970">
        <v>124930</v>
      </c>
      <c r="L83" s="969">
        <v>27734</v>
      </c>
      <c r="M83" s="969"/>
      <c r="N83" s="970">
        <v>24762</v>
      </c>
      <c r="O83" s="970">
        <v>0</v>
      </c>
      <c r="P83" s="970">
        <v>0</v>
      </c>
      <c r="Q83" s="969">
        <v>28524</v>
      </c>
      <c r="R83" s="969"/>
      <c r="S83" s="970">
        <v>294800</v>
      </c>
      <c r="T83" s="972">
        <v>7266</v>
      </c>
      <c r="U83" s="972">
        <v>302066</v>
      </c>
    </row>
    <row r="84" spans="1:21" x14ac:dyDescent="0.25">
      <c r="A84" s="966">
        <v>91004</v>
      </c>
      <c r="B84" s="967" t="s">
        <v>2705</v>
      </c>
      <c r="C84" s="968">
        <v>2.58E-5</v>
      </c>
      <c r="D84" s="968">
        <v>1.7499999999999998E-5</v>
      </c>
      <c r="E84" s="1007">
        <v>13568</v>
      </c>
      <c r="F84" s="1010">
        <v>37141</v>
      </c>
      <c r="G84" s="969">
        <v>39415</v>
      </c>
      <c r="H84" s="969"/>
      <c r="I84" s="970">
        <v>2271</v>
      </c>
      <c r="J84" s="971">
        <v>9571</v>
      </c>
      <c r="K84" s="970">
        <v>5629</v>
      </c>
      <c r="L84" s="969">
        <v>12153</v>
      </c>
      <c r="M84" s="969"/>
      <c r="N84" s="970">
        <v>1116</v>
      </c>
      <c r="O84" s="970">
        <v>0</v>
      </c>
      <c r="P84" s="970">
        <v>0</v>
      </c>
      <c r="Q84" s="969">
        <v>108</v>
      </c>
      <c r="R84" s="969"/>
      <c r="S84" s="970">
        <v>13283</v>
      </c>
      <c r="T84" s="972">
        <v>4277</v>
      </c>
      <c r="U84" s="972">
        <v>17560</v>
      </c>
    </row>
    <row r="85" spans="1:21" x14ac:dyDescent="0.25">
      <c r="A85" s="966">
        <v>91006</v>
      </c>
      <c r="B85" s="967" t="s">
        <v>2706</v>
      </c>
      <c r="C85" s="968">
        <v>1.0317E-3</v>
      </c>
      <c r="D85" s="968">
        <v>1.0096E-3</v>
      </c>
      <c r="E85" s="1007">
        <v>446629</v>
      </c>
      <c r="F85" s="1010">
        <v>2142709</v>
      </c>
      <c r="G85" s="969">
        <v>1576152</v>
      </c>
      <c r="H85" s="969"/>
      <c r="I85" s="970">
        <v>90801</v>
      </c>
      <c r="J85" s="971">
        <v>382692</v>
      </c>
      <c r="K85" s="970">
        <v>225096</v>
      </c>
      <c r="L85" s="969">
        <v>18199</v>
      </c>
      <c r="M85" s="969"/>
      <c r="N85" s="970">
        <v>44616</v>
      </c>
      <c r="O85" s="970">
        <v>0</v>
      </c>
      <c r="P85" s="970">
        <v>0</v>
      </c>
      <c r="Q85" s="969">
        <v>22958</v>
      </c>
      <c r="R85" s="969"/>
      <c r="S85" s="970">
        <v>531165</v>
      </c>
      <c r="T85" s="972">
        <v>3230</v>
      </c>
      <c r="U85" s="972">
        <v>534395</v>
      </c>
    </row>
    <row r="86" spans="1:21" x14ac:dyDescent="0.25">
      <c r="A86" s="966">
        <v>91007</v>
      </c>
      <c r="B86" s="967" t="s">
        <v>2707</v>
      </c>
      <c r="C86" s="968">
        <v>9.5000000000000005E-6</v>
      </c>
      <c r="D86" s="968">
        <v>1.2500000000000001E-5</v>
      </c>
      <c r="E86" s="1007">
        <v>9502</v>
      </c>
      <c r="F86" s="1010">
        <v>26529</v>
      </c>
      <c r="G86" s="969">
        <v>14513</v>
      </c>
      <c r="H86" s="969"/>
      <c r="I86" s="970">
        <v>836</v>
      </c>
      <c r="J86" s="971">
        <v>3524</v>
      </c>
      <c r="K86" s="970">
        <v>2073</v>
      </c>
      <c r="L86" s="969">
        <v>7476</v>
      </c>
      <c r="M86" s="969"/>
      <c r="N86" s="970">
        <v>411</v>
      </c>
      <c r="O86" s="970">
        <v>0</v>
      </c>
      <c r="P86" s="970">
        <v>0</v>
      </c>
      <c r="Q86" s="969">
        <v>507</v>
      </c>
      <c r="R86" s="969"/>
      <c r="S86" s="970">
        <v>4891</v>
      </c>
      <c r="T86" s="972">
        <v>2150</v>
      </c>
      <c r="U86" s="972">
        <v>7041</v>
      </c>
    </row>
    <row r="87" spans="1:21" x14ac:dyDescent="0.25">
      <c r="A87" s="966">
        <v>91008</v>
      </c>
      <c r="B87" s="967" t="s">
        <v>2708</v>
      </c>
      <c r="C87" s="968">
        <v>1.236E-4</v>
      </c>
      <c r="D87" s="968">
        <v>1.273E-4</v>
      </c>
      <c r="E87" s="1007">
        <v>68974</v>
      </c>
      <c r="F87" s="1010">
        <v>270173</v>
      </c>
      <c r="G87" s="969">
        <v>188827</v>
      </c>
      <c r="H87" s="969"/>
      <c r="I87" s="970">
        <v>10878</v>
      </c>
      <c r="J87" s="971">
        <v>45847</v>
      </c>
      <c r="K87" s="970">
        <v>26967</v>
      </c>
      <c r="L87" s="969">
        <v>37042</v>
      </c>
      <c r="M87" s="969"/>
      <c r="N87" s="970">
        <v>5345</v>
      </c>
      <c r="O87" s="970">
        <v>0</v>
      </c>
      <c r="P87" s="970">
        <v>0</v>
      </c>
      <c r="Q87" s="969">
        <v>0</v>
      </c>
      <c r="R87" s="969"/>
      <c r="S87" s="970">
        <v>63635</v>
      </c>
      <c r="T87" s="972">
        <v>17548</v>
      </c>
      <c r="U87" s="972">
        <v>81183</v>
      </c>
    </row>
    <row r="88" spans="1:21" x14ac:dyDescent="0.25">
      <c r="A88" s="966">
        <v>91009</v>
      </c>
      <c r="B88" s="967" t="s">
        <v>2709</v>
      </c>
      <c r="C88" s="968">
        <v>1.7499999999999998E-5</v>
      </c>
      <c r="D88" s="968">
        <v>1.8700000000000001E-5</v>
      </c>
      <c r="E88" s="1007">
        <v>11392</v>
      </c>
      <c r="F88" s="1010">
        <v>39688</v>
      </c>
      <c r="G88" s="969">
        <v>26735</v>
      </c>
      <c r="H88" s="969"/>
      <c r="I88" s="970">
        <v>1540</v>
      </c>
      <c r="J88" s="971">
        <v>6491</v>
      </c>
      <c r="K88" s="970">
        <v>3818</v>
      </c>
      <c r="L88" s="969">
        <v>4951</v>
      </c>
      <c r="M88" s="969"/>
      <c r="N88" s="970">
        <v>757</v>
      </c>
      <c r="O88" s="970">
        <v>0</v>
      </c>
      <c r="P88" s="970">
        <v>0</v>
      </c>
      <c r="Q88" s="969">
        <v>2458</v>
      </c>
      <c r="R88" s="969"/>
      <c r="S88" s="970">
        <v>9010</v>
      </c>
      <c r="T88" s="972">
        <v>187</v>
      </c>
      <c r="U88" s="972">
        <v>9197</v>
      </c>
    </row>
    <row r="89" spans="1:21" x14ac:dyDescent="0.25">
      <c r="A89" s="966">
        <v>91010</v>
      </c>
      <c r="B89" s="967" t="s">
        <v>2710</v>
      </c>
      <c r="C89" s="968">
        <v>7.0099999999999996E-5</v>
      </c>
      <c r="D89" s="968">
        <v>6.8399999999999996E-5</v>
      </c>
      <c r="E89" s="1007">
        <v>32517</v>
      </c>
      <c r="F89" s="1010">
        <v>145168</v>
      </c>
      <c r="G89" s="969">
        <v>107093</v>
      </c>
      <c r="H89" s="969"/>
      <c r="I89" s="970">
        <v>6170</v>
      </c>
      <c r="J89" s="971">
        <v>26003</v>
      </c>
      <c r="K89" s="970">
        <v>15294</v>
      </c>
      <c r="L89" s="969">
        <v>7603</v>
      </c>
      <c r="M89" s="969"/>
      <c r="N89" s="970">
        <v>3031</v>
      </c>
      <c r="O89" s="970">
        <v>0</v>
      </c>
      <c r="P89" s="970">
        <v>0</v>
      </c>
      <c r="Q89" s="969">
        <v>296</v>
      </c>
      <c r="R89" s="969"/>
      <c r="S89" s="970">
        <v>36091</v>
      </c>
      <c r="T89" s="972">
        <v>4736</v>
      </c>
      <c r="U89" s="972">
        <v>40827</v>
      </c>
    </row>
    <row r="90" spans="1:21" x14ac:dyDescent="0.25">
      <c r="A90" s="966">
        <v>91011</v>
      </c>
      <c r="B90" s="967" t="s">
        <v>2711</v>
      </c>
      <c r="C90" s="968">
        <v>3.5760000000000002E-4</v>
      </c>
      <c r="D90" s="968">
        <v>3.1789999999999998E-4</v>
      </c>
      <c r="E90" s="1007">
        <v>159847</v>
      </c>
      <c r="F90" s="1010">
        <v>674690</v>
      </c>
      <c r="G90" s="969">
        <v>546314</v>
      </c>
      <c r="H90" s="969"/>
      <c r="I90" s="970">
        <v>31473</v>
      </c>
      <c r="J90" s="971">
        <v>132645</v>
      </c>
      <c r="K90" s="970">
        <v>78021</v>
      </c>
      <c r="L90" s="969">
        <v>43643</v>
      </c>
      <c r="M90" s="969"/>
      <c r="N90" s="970">
        <v>15464</v>
      </c>
      <c r="O90" s="970">
        <v>0</v>
      </c>
      <c r="P90" s="970">
        <v>0</v>
      </c>
      <c r="Q90" s="969">
        <v>0</v>
      </c>
      <c r="R90" s="969"/>
      <c r="S90" s="970">
        <v>184108</v>
      </c>
      <c r="T90" s="972">
        <v>16126</v>
      </c>
      <c r="U90" s="972">
        <v>200234</v>
      </c>
    </row>
    <row r="91" spans="1:21" x14ac:dyDescent="0.25">
      <c r="A91" s="966">
        <v>91012</v>
      </c>
      <c r="B91" s="967" t="s">
        <v>2712</v>
      </c>
      <c r="C91" s="968">
        <v>1.9300000000000002E-5</v>
      </c>
      <c r="D91" s="968">
        <v>1.49E-5</v>
      </c>
      <c r="E91" s="1007">
        <v>8623</v>
      </c>
      <c r="F91" s="1010">
        <v>31623</v>
      </c>
      <c r="G91" s="969">
        <v>29485</v>
      </c>
      <c r="H91" s="969"/>
      <c r="I91" s="970">
        <v>1699</v>
      </c>
      <c r="J91" s="971">
        <v>7159</v>
      </c>
      <c r="K91" s="970">
        <v>4211</v>
      </c>
      <c r="L91" s="969">
        <v>5400</v>
      </c>
      <c r="M91" s="969"/>
      <c r="N91" s="970">
        <v>835</v>
      </c>
      <c r="O91" s="970">
        <v>0</v>
      </c>
      <c r="P91" s="970">
        <v>0</v>
      </c>
      <c r="Q91" s="969">
        <v>2458</v>
      </c>
      <c r="R91" s="969"/>
      <c r="S91" s="970">
        <v>9936</v>
      </c>
      <c r="T91" s="972">
        <v>-662</v>
      </c>
      <c r="U91" s="972">
        <f>9275-1</f>
        <v>9274</v>
      </c>
    </row>
    <row r="92" spans="1:21" x14ac:dyDescent="0.25">
      <c r="A92" s="966">
        <v>91013</v>
      </c>
      <c r="B92" s="967" t="s">
        <v>2713</v>
      </c>
      <c r="C92" s="968">
        <v>2.34E-5</v>
      </c>
      <c r="D92" s="968">
        <v>2.1800000000000001E-5</v>
      </c>
      <c r="E92" s="1007">
        <v>29322</v>
      </c>
      <c r="F92" s="1010">
        <v>46267</v>
      </c>
      <c r="G92" s="969">
        <v>35749</v>
      </c>
      <c r="H92" s="969"/>
      <c r="I92" s="970">
        <v>2059</v>
      </c>
      <c r="J92" s="971">
        <v>8680</v>
      </c>
      <c r="K92" s="970">
        <v>5105</v>
      </c>
      <c r="L92" s="969">
        <v>31764</v>
      </c>
      <c r="M92" s="969"/>
      <c r="N92" s="970">
        <v>1012</v>
      </c>
      <c r="O92" s="970">
        <v>0</v>
      </c>
      <c r="P92" s="970">
        <v>0</v>
      </c>
      <c r="Q92" s="969">
        <v>0</v>
      </c>
      <c r="R92" s="969"/>
      <c r="S92" s="970">
        <v>12047</v>
      </c>
      <c r="T92" s="972">
        <v>9518</v>
      </c>
      <c r="U92" s="972">
        <v>21565</v>
      </c>
    </row>
    <row r="93" spans="1:21" x14ac:dyDescent="0.25">
      <c r="A93" s="966">
        <v>91014</v>
      </c>
      <c r="B93" s="967" t="s">
        <v>2714</v>
      </c>
      <c r="C93" s="968">
        <v>2.22E-4</v>
      </c>
      <c r="D93" s="968">
        <v>2.1499999999999999E-4</v>
      </c>
      <c r="E93" s="1007">
        <v>97692</v>
      </c>
      <c r="F93" s="1010">
        <v>456302</v>
      </c>
      <c r="G93" s="969">
        <v>339155</v>
      </c>
      <c r="H93" s="969"/>
      <c r="I93" s="970">
        <v>19538</v>
      </c>
      <c r="J93" s="971">
        <v>82347</v>
      </c>
      <c r="K93" s="970">
        <v>48436</v>
      </c>
      <c r="L93" s="969">
        <v>1313</v>
      </c>
      <c r="M93" s="969"/>
      <c r="N93" s="970">
        <v>9600</v>
      </c>
      <c r="O93" s="970">
        <v>0</v>
      </c>
      <c r="P93" s="970">
        <v>0</v>
      </c>
      <c r="Q93" s="969">
        <v>11287</v>
      </c>
      <c r="R93" s="969"/>
      <c r="S93" s="970">
        <v>114295</v>
      </c>
      <c r="T93" s="972">
        <v>-6129</v>
      </c>
      <c r="U93" s="972">
        <f>108167-1</f>
        <v>108166</v>
      </c>
    </row>
    <row r="94" spans="1:21" x14ac:dyDescent="0.25">
      <c r="A94" s="966">
        <v>91017</v>
      </c>
      <c r="B94" s="967" t="s">
        <v>2715</v>
      </c>
      <c r="C94" s="968">
        <v>2.4300000000000001E-5</v>
      </c>
      <c r="D94" s="968">
        <v>2.3E-5</v>
      </c>
      <c r="E94" s="1007">
        <v>12462</v>
      </c>
      <c r="F94" s="1010">
        <v>48814</v>
      </c>
      <c r="G94" s="969">
        <v>37124</v>
      </c>
      <c r="H94" s="969"/>
      <c r="I94" s="970">
        <v>2139</v>
      </c>
      <c r="J94" s="971">
        <v>9014</v>
      </c>
      <c r="K94" s="970">
        <v>5302</v>
      </c>
      <c r="L94" s="969">
        <v>10242</v>
      </c>
      <c r="M94" s="969"/>
      <c r="N94" s="970">
        <v>1051</v>
      </c>
      <c r="O94" s="970">
        <v>0</v>
      </c>
      <c r="P94" s="970">
        <v>0</v>
      </c>
      <c r="Q94" s="969">
        <v>0</v>
      </c>
      <c r="R94" s="969"/>
      <c r="S94" s="970">
        <v>12511</v>
      </c>
      <c r="T94" s="972">
        <v>4025</v>
      </c>
      <c r="U94" s="972">
        <v>16536</v>
      </c>
    </row>
    <row r="95" spans="1:21" x14ac:dyDescent="0.25">
      <c r="A95" s="966">
        <v>91020</v>
      </c>
      <c r="B95" s="967" t="s">
        <v>2716</v>
      </c>
      <c r="C95" s="968">
        <v>2.27E-5</v>
      </c>
      <c r="D95" s="968">
        <v>1.9899999999999999E-5</v>
      </c>
      <c r="E95" s="1007">
        <v>10949</v>
      </c>
      <c r="F95" s="1010">
        <v>42234</v>
      </c>
      <c r="G95" s="969">
        <v>34679</v>
      </c>
      <c r="H95" s="969"/>
      <c r="I95" s="970">
        <v>1998</v>
      </c>
      <c r="J95" s="971">
        <v>8420</v>
      </c>
      <c r="K95" s="970">
        <v>4953</v>
      </c>
      <c r="L95" s="969">
        <v>4064</v>
      </c>
      <c r="M95" s="969"/>
      <c r="N95" s="970">
        <v>982</v>
      </c>
      <c r="O95" s="970">
        <v>0</v>
      </c>
      <c r="P95" s="970">
        <v>0</v>
      </c>
      <c r="Q95" s="969">
        <v>376</v>
      </c>
      <c r="R95" s="969"/>
      <c r="S95" s="970">
        <v>11687</v>
      </c>
      <c r="T95" s="972">
        <v>1259</v>
      </c>
      <c r="U95" s="972">
        <v>12946</v>
      </c>
    </row>
    <row r="96" spans="1:21" x14ac:dyDescent="0.25">
      <c r="A96" s="966">
        <v>91021</v>
      </c>
      <c r="B96" s="967" t="s">
        <v>2717</v>
      </c>
      <c r="C96" s="968">
        <v>8.6450000000000003E-4</v>
      </c>
      <c r="D96" s="968">
        <v>8.6989999999999995E-4</v>
      </c>
      <c r="E96" s="1007">
        <v>387782</v>
      </c>
      <c r="F96" s="1010">
        <v>1846219</v>
      </c>
      <c r="G96" s="969">
        <v>1320717</v>
      </c>
      <c r="H96" s="969"/>
      <c r="I96" s="970">
        <v>76086</v>
      </c>
      <c r="J96" s="971">
        <v>320672</v>
      </c>
      <c r="K96" s="970">
        <v>188617</v>
      </c>
      <c r="L96" s="969">
        <v>0</v>
      </c>
      <c r="M96" s="969"/>
      <c r="N96" s="970">
        <v>37385</v>
      </c>
      <c r="O96" s="970">
        <v>0</v>
      </c>
      <c r="P96" s="970">
        <v>0</v>
      </c>
      <c r="Q96" s="969">
        <v>82677</v>
      </c>
      <c r="R96" s="969"/>
      <c r="S96" s="970">
        <v>445083</v>
      </c>
      <c r="T96" s="972">
        <v>-48679</v>
      </c>
      <c r="U96" s="972">
        <v>396404</v>
      </c>
    </row>
    <row r="97" spans="1:21" x14ac:dyDescent="0.25">
      <c r="A97" s="966">
        <v>91024</v>
      </c>
      <c r="B97" s="967" t="s">
        <v>2718</v>
      </c>
      <c r="C97" s="968">
        <v>7.2999999999999999E-5</v>
      </c>
      <c r="D97" s="968">
        <v>6.6299999999999999E-5</v>
      </c>
      <c r="E97" s="1007">
        <v>34458</v>
      </c>
      <c r="F97" s="1010">
        <v>140711</v>
      </c>
      <c r="G97" s="969">
        <v>111524</v>
      </c>
      <c r="H97" s="969"/>
      <c r="I97" s="970">
        <v>6425</v>
      </c>
      <c r="J97" s="971">
        <v>27078</v>
      </c>
      <c r="K97" s="970">
        <v>15927</v>
      </c>
      <c r="L97" s="969">
        <v>24081</v>
      </c>
      <c r="M97" s="969"/>
      <c r="N97" s="970">
        <v>3157</v>
      </c>
      <c r="O97" s="970">
        <v>0</v>
      </c>
      <c r="P97" s="970">
        <v>0</v>
      </c>
      <c r="Q97" s="969">
        <v>0</v>
      </c>
      <c r="R97" s="969"/>
      <c r="S97" s="970">
        <v>37584</v>
      </c>
      <c r="T97" s="972">
        <v>10843</v>
      </c>
      <c r="U97" s="972">
        <f>48426+1</f>
        <v>48427</v>
      </c>
    </row>
    <row r="98" spans="1:21" x14ac:dyDescent="0.25">
      <c r="A98" s="966">
        <v>91026</v>
      </c>
      <c r="B98" s="967" t="s">
        <v>1245</v>
      </c>
      <c r="C98" s="968">
        <v>4.18E-5</v>
      </c>
      <c r="D98" s="968">
        <v>6.0900000000000003E-5</v>
      </c>
      <c r="E98" s="1007">
        <v>40781</v>
      </c>
      <c r="F98" s="1010">
        <v>129250</v>
      </c>
      <c r="G98" s="969">
        <v>63859</v>
      </c>
      <c r="H98" s="969"/>
      <c r="I98" s="970">
        <v>3679</v>
      </c>
      <c r="J98" s="971">
        <v>15505</v>
      </c>
      <c r="K98" s="970">
        <v>9120</v>
      </c>
      <c r="L98" s="969">
        <v>34468</v>
      </c>
      <c r="M98" s="969"/>
      <c r="N98" s="970">
        <v>1808</v>
      </c>
      <c r="O98" s="970">
        <v>0</v>
      </c>
      <c r="P98" s="970">
        <v>0</v>
      </c>
      <c r="Q98" s="969">
        <v>3103</v>
      </c>
      <c r="R98" s="969"/>
      <c r="S98" s="970">
        <v>21520</v>
      </c>
      <c r="T98" s="972">
        <v>11546</v>
      </c>
      <c r="U98" s="972">
        <v>33066</v>
      </c>
    </row>
    <row r="99" spans="1:21" x14ac:dyDescent="0.25">
      <c r="A99" s="966">
        <v>91027</v>
      </c>
      <c r="B99" s="967" t="s">
        <v>2719</v>
      </c>
      <c r="C99" s="968">
        <v>1.4E-5</v>
      </c>
      <c r="D99" s="968">
        <v>1.6099999999999998E-5</v>
      </c>
      <c r="E99" s="1007">
        <v>15968</v>
      </c>
      <c r="F99" s="1010">
        <v>34170</v>
      </c>
      <c r="G99" s="969">
        <v>21388</v>
      </c>
      <c r="H99" s="969"/>
      <c r="I99" s="970">
        <v>1232</v>
      </c>
      <c r="J99" s="971">
        <v>5193</v>
      </c>
      <c r="K99" s="970">
        <v>3055</v>
      </c>
      <c r="L99" s="969">
        <v>16343</v>
      </c>
      <c r="M99" s="969"/>
      <c r="N99" s="970">
        <v>605</v>
      </c>
      <c r="O99" s="970">
        <v>0</v>
      </c>
      <c r="P99" s="970">
        <v>0</v>
      </c>
      <c r="Q99" s="969">
        <v>0</v>
      </c>
      <c r="R99" s="969"/>
      <c r="S99" s="970">
        <v>7208</v>
      </c>
      <c r="T99" s="972">
        <v>6601</v>
      </c>
      <c r="U99" s="972">
        <f>13808+1</f>
        <v>13809</v>
      </c>
    </row>
    <row r="100" spans="1:21" x14ac:dyDescent="0.25">
      <c r="A100" s="966">
        <v>91032</v>
      </c>
      <c r="B100" s="967" t="s">
        <v>2720</v>
      </c>
      <c r="C100" s="968">
        <v>1.8E-5</v>
      </c>
      <c r="D100" s="968">
        <v>1.8600000000000001E-5</v>
      </c>
      <c r="E100" s="1007">
        <v>16168</v>
      </c>
      <c r="F100" s="1010">
        <v>39475</v>
      </c>
      <c r="G100" s="969">
        <v>27499</v>
      </c>
      <c r="H100" s="969"/>
      <c r="I100" s="970">
        <v>1584</v>
      </c>
      <c r="J100" s="971">
        <v>6677</v>
      </c>
      <c r="K100" s="970">
        <v>3927</v>
      </c>
      <c r="L100" s="969">
        <v>14996</v>
      </c>
      <c r="M100" s="969"/>
      <c r="N100" s="970">
        <v>778</v>
      </c>
      <c r="O100" s="970">
        <v>0</v>
      </c>
      <c r="P100" s="970">
        <v>0</v>
      </c>
      <c r="Q100" s="969">
        <v>0</v>
      </c>
      <c r="R100" s="969"/>
      <c r="S100" s="970">
        <v>9267</v>
      </c>
      <c r="T100" s="972">
        <v>6458</v>
      </c>
      <c r="U100" s="972">
        <v>15725</v>
      </c>
    </row>
    <row r="101" spans="1:21" x14ac:dyDescent="0.25">
      <c r="A101" s="966">
        <v>91041</v>
      </c>
      <c r="B101" s="967" t="s">
        <v>2721</v>
      </c>
      <c r="C101" s="968">
        <v>4.0400000000000001E-4</v>
      </c>
      <c r="D101" s="968">
        <v>4.3609999999999998E-4</v>
      </c>
      <c r="E101" s="1007">
        <v>157511</v>
      </c>
      <c r="F101" s="1010">
        <v>925550</v>
      </c>
      <c r="G101" s="969">
        <v>617200</v>
      </c>
      <c r="H101" s="969"/>
      <c r="I101" s="970">
        <v>35556</v>
      </c>
      <c r="J101" s="971">
        <v>149857</v>
      </c>
      <c r="K101" s="970">
        <v>88145</v>
      </c>
      <c r="L101" s="969">
        <v>0</v>
      </c>
      <c r="M101" s="969"/>
      <c r="N101" s="970">
        <v>17471</v>
      </c>
      <c r="O101" s="970">
        <v>0</v>
      </c>
      <c r="P101" s="970">
        <v>0</v>
      </c>
      <c r="Q101" s="969">
        <v>109443</v>
      </c>
      <c r="R101" s="969"/>
      <c r="S101" s="970">
        <v>207997</v>
      </c>
      <c r="T101" s="972">
        <v>-39088</v>
      </c>
      <c r="U101" s="972">
        <v>168909</v>
      </c>
    </row>
    <row r="102" spans="1:21" x14ac:dyDescent="0.25">
      <c r="A102" s="966">
        <v>91042</v>
      </c>
      <c r="B102" s="967" t="s">
        <v>2722</v>
      </c>
      <c r="C102" s="968">
        <v>2.3360000000000001E-4</v>
      </c>
      <c r="D102" s="968">
        <v>2.062E-4</v>
      </c>
      <c r="E102" s="1007">
        <v>99551</v>
      </c>
      <c r="F102" s="1010">
        <v>437625</v>
      </c>
      <c r="G102" s="969">
        <v>356876</v>
      </c>
      <c r="H102" s="969"/>
      <c r="I102" s="970">
        <v>20559</v>
      </c>
      <c r="J102" s="971">
        <v>86650</v>
      </c>
      <c r="K102" s="970">
        <v>50967</v>
      </c>
      <c r="L102" s="969">
        <v>12354</v>
      </c>
      <c r="M102" s="969"/>
      <c r="N102" s="970">
        <v>10102</v>
      </c>
      <c r="O102" s="970">
        <v>0</v>
      </c>
      <c r="P102" s="970">
        <v>0</v>
      </c>
      <c r="Q102" s="969">
        <v>6985</v>
      </c>
      <c r="R102" s="969"/>
      <c r="S102" s="970">
        <v>120268</v>
      </c>
      <c r="T102" s="972">
        <v>717</v>
      </c>
      <c r="U102" s="972">
        <f>120984+1</f>
        <v>120985</v>
      </c>
    </row>
    <row r="103" spans="1:21" x14ac:dyDescent="0.25">
      <c r="A103" s="966">
        <v>91047</v>
      </c>
      <c r="B103" s="967" t="s">
        <v>2723</v>
      </c>
      <c r="C103" s="968">
        <v>1.31E-5</v>
      </c>
      <c r="D103" s="968">
        <v>1.3200000000000001E-5</v>
      </c>
      <c r="E103" s="1007">
        <v>16396</v>
      </c>
      <c r="F103" s="1010">
        <v>28015</v>
      </c>
      <c r="G103" s="969">
        <v>20013</v>
      </c>
      <c r="H103" s="969"/>
      <c r="I103" s="970">
        <v>1153</v>
      </c>
      <c r="J103" s="971">
        <v>4859</v>
      </c>
      <c r="K103" s="970">
        <v>2858</v>
      </c>
      <c r="L103" s="969">
        <v>20507</v>
      </c>
      <c r="M103" s="969"/>
      <c r="N103" s="970">
        <v>567</v>
      </c>
      <c r="O103" s="970">
        <v>0</v>
      </c>
      <c r="P103" s="970">
        <v>0</v>
      </c>
      <c r="Q103" s="969">
        <v>0</v>
      </c>
      <c r="R103" s="969"/>
      <c r="S103" s="970">
        <v>6744</v>
      </c>
      <c r="T103" s="972">
        <v>7559</v>
      </c>
      <c r="U103" s="972">
        <v>14303</v>
      </c>
    </row>
    <row r="104" spans="1:21" x14ac:dyDescent="0.25">
      <c r="A104" s="966">
        <v>91051</v>
      </c>
      <c r="B104" s="967" t="s">
        <v>2724</v>
      </c>
      <c r="C104" s="968">
        <v>6.6400000000000001E-5</v>
      </c>
      <c r="D104" s="968">
        <v>7.6600000000000005E-5</v>
      </c>
      <c r="E104" s="1007">
        <v>30964</v>
      </c>
      <c r="F104" s="1010">
        <v>162571</v>
      </c>
      <c r="G104" s="969">
        <v>101441</v>
      </c>
      <c r="H104" s="969"/>
      <c r="I104" s="970">
        <v>5844</v>
      </c>
      <c r="J104" s="971">
        <v>24630</v>
      </c>
      <c r="K104" s="970">
        <v>14487</v>
      </c>
      <c r="L104" s="969">
        <v>1619</v>
      </c>
      <c r="M104" s="969"/>
      <c r="N104" s="970">
        <v>2871</v>
      </c>
      <c r="O104" s="970">
        <v>0</v>
      </c>
      <c r="P104" s="970">
        <v>0</v>
      </c>
      <c r="Q104" s="969">
        <v>8430</v>
      </c>
      <c r="R104" s="969"/>
      <c r="S104" s="970">
        <v>34186</v>
      </c>
      <c r="T104" s="972">
        <v>-1576</v>
      </c>
      <c r="U104" s="972">
        <f>32609+1</f>
        <v>32610</v>
      </c>
    </row>
    <row r="105" spans="1:21" x14ac:dyDescent="0.25">
      <c r="A105" s="966">
        <v>91057</v>
      </c>
      <c r="B105" s="967" t="s">
        <v>2725</v>
      </c>
      <c r="C105" s="968">
        <v>1.4399999999999999E-5</v>
      </c>
      <c r="D105" s="968">
        <v>1.5E-5</v>
      </c>
      <c r="E105" s="1007">
        <v>9616</v>
      </c>
      <c r="F105" s="1010">
        <v>31835</v>
      </c>
      <c r="G105" s="969">
        <v>21999</v>
      </c>
      <c r="H105" s="969"/>
      <c r="I105" s="970">
        <v>1267</v>
      </c>
      <c r="J105" s="971">
        <v>5342</v>
      </c>
      <c r="K105" s="970">
        <v>3142</v>
      </c>
      <c r="L105" s="969">
        <v>5805</v>
      </c>
      <c r="M105" s="969"/>
      <c r="N105" s="970">
        <v>623</v>
      </c>
      <c r="O105" s="970">
        <v>0</v>
      </c>
      <c r="P105" s="970">
        <v>0</v>
      </c>
      <c r="Q105" s="969">
        <v>0</v>
      </c>
      <c r="R105" s="969"/>
      <c r="S105" s="970">
        <v>7414</v>
      </c>
      <c r="T105" s="972">
        <v>2191</v>
      </c>
      <c r="U105" s="972">
        <v>9605</v>
      </c>
    </row>
    <row r="106" spans="1:21" x14ac:dyDescent="0.25">
      <c r="A106" s="966">
        <v>91061</v>
      </c>
      <c r="B106" s="967" t="s">
        <v>2726</v>
      </c>
      <c r="C106" s="968">
        <v>4.104E-4</v>
      </c>
      <c r="D106" s="968">
        <v>3.7730000000000001E-4</v>
      </c>
      <c r="E106" s="1007">
        <v>172504</v>
      </c>
      <c r="F106" s="1010">
        <v>800757</v>
      </c>
      <c r="G106" s="969">
        <v>626978</v>
      </c>
      <c r="H106" s="969"/>
      <c r="I106" s="970">
        <v>36120</v>
      </c>
      <c r="J106" s="971">
        <v>152231</v>
      </c>
      <c r="K106" s="970">
        <v>89541</v>
      </c>
      <c r="L106" s="969">
        <v>19267</v>
      </c>
      <c r="M106" s="969"/>
      <c r="N106" s="970">
        <v>17748</v>
      </c>
      <c r="O106" s="970">
        <v>0</v>
      </c>
      <c r="P106" s="970">
        <v>0</v>
      </c>
      <c r="Q106" s="969">
        <v>27800</v>
      </c>
      <c r="R106" s="969"/>
      <c r="S106" s="970">
        <v>211292</v>
      </c>
      <c r="T106" s="972">
        <v>-13384</v>
      </c>
      <c r="U106" s="972">
        <v>197908</v>
      </c>
    </row>
    <row r="107" spans="1:21" x14ac:dyDescent="0.25">
      <c r="A107" s="966">
        <v>91067</v>
      </c>
      <c r="B107" s="967" t="s">
        <v>2727</v>
      </c>
      <c r="C107" s="968">
        <v>1.5699999999999999E-5</v>
      </c>
      <c r="D107" s="968">
        <v>1.8499999999999999E-5</v>
      </c>
      <c r="E107" s="1007">
        <v>9046</v>
      </c>
      <c r="F107" s="1010">
        <v>39263</v>
      </c>
      <c r="G107" s="969">
        <v>23985</v>
      </c>
      <c r="H107" s="969"/>
      <c r="I107" s="970">
        <v>1382</v>
      </c>
      <c r="J107" s="971">
        <v>5824</v>
      </c>
      <c r="K107" s="970">
        <v>3425</v>
      </c>
      <c r="L107" s="969">
        <v>2413</v>
      </c>
      <c r="M107" s="969"/>
      <c r="N107" s="970">
        <v>679</v>
      </c>
      <c r="O107" s="970">
        <v>0</v>
      </c>
      <c r="P107" s="970">
        <v>0</v>
      </c>
      <c r="Q107" s="969">
        <v>406</v>
      </c>
      <c r="R107" s="969"/>
      <c r="S107" s="970">
        <v>8083</v>
      </c>
      <c r="T107" s="972">
        <v>1156</v>
      </c>
      <c r="U107" s="972">
        <v>9239</v>
      </c>
    </row>
    <row r="108" spans="1:21" x14ac:dyDescent="0.25">
      <c r="A108" s="966">
        <v>91071</v>
      </c>
      <c r="B108" s="967" t="s">
        <v>2728</v>
      </c>
      <c r="C108" s="968">
        <v>2.2770000000000001E-4</v>
      </c>
      <c r="D108" s="968">
        <v>2.4379999999999999E-4</v>
      </c>
      <c r="E108" s="1007">
        <v>93245</v>
      </c>
      <c r="F108" s="1010">
        <v>517425</v>
      </c>
      <c r="G108" s="969">
        <v>347863</v>
      </c>
      <c r="H108" s="969"/>
      <c r="I108" s="970">
        <v>20040</v>
      </c>
      <c r="J108" s="971">
        <v>84462</v>
      </c>
      <c r="K108" s="970">
        <v>49680</v>
      </c>
      <c r="L108" s="969">
        <v>8372</v>
      </c>
      <c r="M108" s="969"/>
      <c r="N108" s="970">
        <v>9847</v>
      </c>
      <c r="O108" s="970">
        <v>0</v>
      </c>
      <c r="P108" s="970">
        <v>0</v>
      </c>
      <c r="Q108" s="969">
        <v>22478</v>
      </c>
      <c r="R108" s="969"/>
      <c r="S108" s="970">
        <v>117230</v>
      </c>
      <c r="T108" s="972">
        <v>2353</v>
      </c>
      <c r="U108" s="972">
        <v>119583</v>
      </c>
    </row>
    <row r="109" spans="1:21" x14ac:dyDescent="0.25">
      <c r="A109" s="966">
        <v>91077</v>
      </c>
      <c r="B109" s="967" t="s">
        <v>2729</v>
      </c>
      <c r="C109" s="968">
        <v>3.5999999999999998E-6</v>
      </c>
      <c r="D109" s="968">
        <v>3.9999999999999998E-6</v>
      </c>
      <c r="E109" s="1007">
        <v>3277</v>
      </c>
      <c r="F109" s="1010">
        <v>8489</v>
      </c>
      <c r="G109" s="969">
        <v>5500</v>
      </c>
      <c r="H109" s="969"/>
      <c r="I109" s="970">
        <v>317</v>
      </c>
      <c r="J109" s="971">
        <v>1336</v>
      </c>
      <c r="K109" s="970">
        <v>785</v>
      </c>
      <c r="L109" s="969">
        <v>1826</v>
      </c>
      <c r="M109" s="969"/>
      <c r="N109" s="970">
        <v>156</v>
      </c>
      <c r="O109" s="970">
        <v>0</v>
      </c>
      <c r="P109" s="970">
        <v>0</v>
      </c>
      <c r="Q109" s="969">
        <v>51</v>
      </c>
      <c r="R109" s="969"/>
      <c r="S109" s="970">
        <v>1853</v>
      </c>
      <c r="T109" s="972">
        <v>551</v>
      </c>
      <c r="U109" s="972">
        <f>2405-1</f>
        <v>2404</v>
      </c>
    </row>
    <row r="110" spans="1:21" x14ac:dyDescent="0.25">
      <c r="A110" s="966">
        <v>91081</v>
      </c>
      <c r="B110" s="967" t="s">
        <v>2730</v>
      </c>
      <c r="C110" s="968">
        <v>3.6240000000000003E-4</v>
      </c>
      <c r="D110" s="968">
        <v>3.6499999999999998E-4</v>
      </c>
      <c r="E110" s="1007">
        <v>169112</v>
      </c>
      <c r="F110" s="1010">
        <v>774652</v>
      </c>
      <c r="G110" s="969">
        <v>553647</v>
      </c>
      <c r="H110" s="969"/>
      <c r="I110" s="970">
        <v>31895</v>
      </c>
      <c r="J110" s="971">
        <v>134426</v>
      </c>
      <c r="K110" s="970">
        <v>79068</v>
      </c>
      <c r="L110" s="969">
        <v>1618</v>
      </c>
      <c r="M110" s="969"/>
      <c r="N110" s="970">
        <v>15672</v>
      </c>
      <c r="O110" s="970">
        <v>0</v>
      </c>
      <c r="P110" s="970">
        <v>0</v>
      </c>
      <c r="Q110" s="969">
        <v>13549</v>
      </c>
      <c r="R110" s="969"/>
      <c r="S110" s="970">
        <v>186579</v>
      </c>
      <c r="T110" s="972">
        <v>-13101</v>
      </c>
      <c r="U110" s="972">
        <v>173478</v>
      </c>
    </row>
    <row r="111" spans="1:21" x14ac:dyDescent="0.25">
      <c r="A111" s="966">
        <v>91091</v>
      </c>
      <c r="B111" s="967" t="s">
        <v>2731</v>
      </c>
      <c r="C111" s="968">
        <v>5.3790000000000001E-4</v>
      </c>
      <c r="D111" s="968">
        <v>5.6380000000000004E-4</v>
      </c>
      <c r="E111" s="1007">
        <v>225749</v>
      </c>
      <c r="F111" s="1010">
        <v>1196572</v>
      </c>
      <c r="G111" s="969">
        <v>821762</v>
      </c>
      <c r="H111" s="969"/>
      <c r="I111" s="970">
        <v>47341</v>
      </c>
      <c r="J111" s="971">
        <v>199525</v>
      </c>
      <c r="K111" s="970">
        <v>117359</v>
      </c>
      <c r="L111" s="969">
        <v>0</v>
      </c>
      <c r="M111" s="969"/>
      <c r="N111" s="970">
        <v>23261</v>
      </c>
      <c r="O111" s="970">
        <v>0</v>
      </c>
      <c r="P111" s="970">
        <v>0</v>
      </c>
      <c r="Q111" s="969">
        <v>66212</v>
      </c>
      <c r="R111" s="969"/>
      <c r="S111" s="970">
        <v>276935</v>
      </c>
      <c r="T111" s="972">
        <v>-30835</v>
      </c>
      <c r="U111" s="972">
        <f>246099+1</f>
        <v>246100</v>
      </c>
    </row>
    <row r="112" spans="1:21" x14ac:dyDescent="0.25">
      <c r="A112" s="966">
        <v>91101</v>
      </c>
      <c r="B112" s="967" t="s">
        <v>2732</v>
      </c>
      <c r="C112" s="968">
        <v>1.35581E-2</v>
      </c>
      <c r="D112" s="968">
        <v>1.36685E-2</v>
      </c>
      <c r="E112" s="1007">
        <v>5894551</v>
      </c>
      <c r="F112" s="1010">
        <v>29009136</v>
      </c>
      <c r="G112" s="969">
        <v>20713021</v>
      </c>
      <c r="H112" s="969"/>
      <c r="I112" s="970">
        <v>1193262</v>
      </c>
      <c r="J112" s="971">
        <v>5029146</v>
      </c>
      <c r="K112" s="970">
        <v>2958106</v>
      </c>
      <c r="L112" s="969">
        <v>471609</v>
      </c>
      <c r="M112" s="969"/>
      <c r="N112" s="970">
        <v>586320</v>
      </c>
      <c r="O112" s="970">
        <v>0</v>
      </c>
      <c r="P112" s="970">
        <v>0</v>
      </c>
      <c r="Q112" s="969">
        <v>587664</v>
      </c>
      <c r="R112" s="969"/>
      <c r="S112" s="970">
        <v>6980306</v>
      </c>
      <c r="T112" s="972">
        <v>147859</v>
      </c>
      <c r="U112" s="972">
        <v>7128165</v>
      </c>
    </row>
    <row r="113" spans="1:21" x14ac:dyDescent="0.25">
      <c r="A113" s="966">
        <v>91102</v>
      </c>
      <c r="B113" s="967" t="s">
        <v>2733</v>
      </c>
      <c r="C113" s="968">
        <v>3.2919999999999998E-4</v>
      </c>
      <c r="D113" s="968">
        <v>3.034E-4</v>
      </c>
      <c r="E113" s="1007">
        <v>156560</v>
      </c>
      <c r="F113" s="1010">
        <v>643916</v>
      </c>
      <c r="G113" s="969">
        <v>502926</v>
      </c>
      <c r="H113" s="969"/>
      <c r="I113" s="970">
        <v>28973</v>
      </c>
      <c r="J113" s="971">
        <v>122111</v>
      </c>
      <c r="K113" s="970">
        <v>71825</v>
      </c>
      <c r="L113" s="969">
        <v>35240</v>
      </c>
      <c r="M113" s="969"/>
      <c r="N113" s="970">
        <v>14236</v>
      </c>
      <c r="O113" s="970">
        <v>0</v>
      </c>
      <c r="P113" s="970">
        <v>0</v>
      </c>
      <c r="Q113" s="969">
        <v>33978</v>
      </c>
      <c r="R113" s="969"/>
      <c r="S113" s="970">
        <v>169487</v>
      </c>
      <c r="T113" s="972">
        <v>-8323</v>
      </c>
      <c r="U113" s="972">
        <f>161163+1</f>
        <v>161164</v>
      </c>
    </row>
    <row r="114" spans="1:21" x14ac:dyDescent="0.25">
      <c r="A114" s="966">
        <v>91104</v>
      </c>
      <c r="B114" s="967" t="s">
        <v>2734</v>
      </c>
      <c r="C114" s="968">
        <v>7.9000000000000006E-6</v>
      </c>
      <c r="D114" s="968">
        <v>8.1999999999999994E-6</v>
      </c>
      <c r="E114" s="1007">
        <v>5628</v>
      </c>
      <c r="F114" s="1010">
        <v>17403</v>
      </c>
      <c r="G114" s="969">
        <v>12069</v>
      </c>
      <c r="H114" s="969"/>
      <c r="I114" s="970">
        <v>695</v>
      </c>
      <c r="J114" s="971">
        <v>2930</v>
      </c>
      <c r="K114" s="970">
        <v>1724</v>
      </c>
      <c r="L114" s="969">
        <v>2115</v>
      </c>
      <c r="M114" s="969"/>
      <c r="N114" s="970">
        <v>342</v>
      </c>
      <c r="O114" s="970">
        <v>0</v>
      </c>
      <c r="P114" s="970">
        <v>0</v>
      </c>
      <c r="Q114" s="969">
        <v>39</v>
      </c>
      <c r="R114" s="969"/>
      <c r="S114" s="970">
        <v>4067</v>
      </c>
      <c r="T114" s="972">
        <v>589</v>
      </c>
      <c r="U114" s="972">
        <v>4656</v>
      </c>
    </row>
    <row r="115" spans="1:21" x14ac:dyDescent="0.25">
      <c r="A115" s="966">
        <v>91107</v>
      </c>
      <c r="B115" s="967" t="s">
        <v>3666</v>
      </c>
      <c r="C115" s="968">
        <v>7.08E-5</v>
      </c>
      <c r="D115" s="968">
        <v>6.7899999999999997E-5</v>
      </c>
      <c r="E115" s="1007">
        <v>36616</v>
      </c>
      <c r="F115" s="1010">
        <v>0</v>
      </c>
      <c r="G115" s="969">
        <v>108163</v>
      </c>
      <c r="H115" s="969"/>
      <c r="I115" s="970">
        <v>6231</v>
      </c>
      <c r="J115" s="971">
        <v>26263</v>
      </c>
      <c r="K115" s="970">
        <v>15447</v>
      </c>
      <c r="L115" s="969">
        <v>13143</v>
      </c>
      <c r="M115" s="969"/>
      <c r="N115" s="970">
        <v>3062</v>
      </c>
      <c r="O115" s="970">
        <v>0</v>
      </c>
      <c r="P115" s="970">
        <v>0</v>
      </c>
      <c r="Q115" s="969">
        <v>0</v>
      </c>
      <c r="R115" s="969"/>
      <c r="S115" s="970">
        <v>36451</v>
      </c>
      <c r="T115" s="972">
        <v>5162</v>
      </c>
      <c r="U115" s="972">
        <v>41613</v>
      </c>
    </row>
    <row r="116" spans="1:21" x14ac:dyDescent="0.25">
      <c r="A116" s="966">
        <v>91108</v>
      </c>
      <c r="B116" s="967" t="s">
        <v>2736</v>
      </c>
      <c r="C116" s="968">
        <v>1.2413999999999999E-3</v>
      </c>
      <c r="D116" s="968">
        <v>1.2622E-3</v>
      </c>
      <c r="E116" s="1007">
        <v>613476</v>
      </c>
      <c r="F116" s="1010">
        <v>2678811</v>
      </c>
      <c r="G116" s="969">
        <v>1896515</v>
      </c>
      <c r="H116" s="969"/>
      <c r="I116" s="970">
        <v>109257</v>
      </c>
      <c r="J116" s="971">
        <v>460476</v>
      </c>
      <c r="K116" s="970">
        <v>270849</v>
      </c>
      <c r="L116" s="969">
        <v>74887</v>
      </c>
      <c r="M116" s="969"/>
      <c r="N116" s="970">
        <v>53684</v>
      </c>
      <c r="O116" s="970">
        <v>0</v>
      </c>
      <c r="P116" s="970">
        <v>0</v>
      </c>
      <c r="Q116" s="969">
        <v>0</v>
      </c>
      <c r="R116" s="969"/>
      <c r="S116" s="970">
        <v>639127</v>
      </c>
      <c r="T116" s="972">
        <v>34876</v>
      </c>
      <c r="U116" s="972">
        <v>674003</v>
      </c>
    </row>
    <row r="117" spans="1:21" x14ac:dyDescent="0.25">
      <c r="A117" s="966">
        <v>91109</v>
      </c>
      <c r="B117" s="967" t="s">
        <v>2737</v>
      </c>
      <c r="C117" s="968">
        <v>9.9599999999999995E-5</v>
      </c>
      <c r="D117" s="968">
        <v>9.2100000000000003E-5</v>
      </c>
      <c r="E117" s="1007">
        <v>45066</v>
      </c>
      <c r="F117" s="1010">
        <v>195467</v>
      </c>
      <c r="G117" s="969">
        <v>152161</v>
      </c>
      <c r="H117" s="969"/>
      <c r="I117" s="970">
        <v>8766</v>
      </c>
      <c r="J117" s="971">
        <v>36945</v>
      </c>
      <c r="K117" s="970">
        <v>21731</v>
      </c>
      <c r="L117" s="969">
        <v>5921</v>
      </c>
      <c r="M117" s="969"/>
      <c r="N117" s="970">
        <v>4307</v>
      </c>
      <c r="O117" s="970">
        <v>0</v>
      </c>
      <c r="P117" s="970">
        <v>0</v>
      </c>
      <c r="Q117" s="969">
        <v>920</v>
      </c>
      <c r="R117" s="969"/>
      <c r="S117" s="970">
        <v>51278</v>
      </c>
      <c r="T117" s="972">
        <v>1215</v>
      </c>
      <c r="U117" s="972">
        <v>52493</v>
      </c>
    </row>
    <row r="118" spans="1:21" x14ac:dyDescent="0.25">
      <c r="A118" s="966">
        <v>91111</v>
      </c>
      <c r="B118" s="967" t="s">
        <v>2738</v>
      </c>
      <c r="C118" s="968">
        <v>2.2719999999999999E-4</v>
      </c>
      <c r="D118" s="968">
        <v>2.2359999999999999E-4</v>
      </c>
      <c r="E118" s="1007">
        <v>110903</v>
      </c>
      <c r="F118" s="1010">
        <v>474554</v>
      </c>
      <c r="G118" s="969">
        <v>347099</v>
      </c>
      <c r="H118" s="969"/>
      <c r="I118" s="970">
        <v>19996</v>
      </c>
      <c r="J118" s="971">
        <v>84276</v>
      </c>
      <c r="K118" s="970">
        <v>49570</v>
      </c>
      <c r="L118" s="969">
        <v>25492</v>
      </c>
      <c r="M118" s="969"/>
      <c r="N118" s="970">
        <v>9825</v>
      </c>
      <c r="O118" s="970">
        <v>0</v>
      </c>
      <c r="P118" s="970">
        <v>0</v>
      </c>
      <c r="Q118" s="969">
        <v>0</v>
      </c>
      <c r="R118" s="969"/>
      <c r="S118" s="970">
        <v>116973</v>
      </c>
      <c r="T118" s="972">
        <v>10793</v>
      </c>
      <c r="U118" s="972">
        <v>127766</v>
      </c>
    </row>
    <row r="119" spans="1:21" x14ac:dyDescent="0.25">
      <c r="A119" s="966">
        <v>91119</v>
      </c>
      <c r="B119" s="967" t="s">
        <v>1265</v>
      </c>
      <c r="C119" s="968">
        <v>0</v>
      </c>
      <c r="D119" s="968">
        <v>0</v>
      </c>
      <c r="E119" s="1007">
        <v>0</v>
      </c>
      <c r="F119" s="1010">
        <v>0</v>
      </c>
      <c r="G119" s="969">
        <v>0</v>
      </c>
      <c r="H119" s="969"/>
      <c r="I119" s="970">
        <v>0</v>
      </c>
      <c r="J119" s="971">
        <v>0</v>
      </c>
      <c r="K119" s="970">
        <v>0</v>
      </c>
      <c r="L119" s="969">
        <v>0</v>
      </c>
      <c r="M119" s="969"/>
      <c r="N119" s="970">
        <v>0</v>
      </c>
      <c r="O119" s="970">
        <v>0</v>
      </c>
      <c r="P119" s="970">
        <v>0</v>
      </c>
      <c r="Q119" s="969">
        <v>321091</v>
      </c>
      <c r="R119" s="969"/>
      <c r="S119" s="970">
        <v>0</v>
      </c>
      <c r="T119" s="972">
        <v>-324334</v>
      </c>
      <c r="U119" s="972">
        <v>-324334</v>
      </c>
    </row>
    <row r="120" spans="1:21" x14ac:dyDescent="0.25">
      <c r="A120" s="966">
        <v>91120</v>
      </c>
      <c r="B120" s="967" t="s">
        <v>2739</v>
      </c>
      <c r="C120" s="968">
        <v>1.3019999999999999E-4</v>
      </c>
      <c r="D120" s="968">
        <v>1.184E-4</v>
      </c>
      <c r="E120" s="1007">
        <v>45449</v>
      </c>
      <c r="F120" s="1010">
        <v>251284</v>
      </c>
      <c r="G120" s="969">
        <v>198910</v>
      </c>
      <c r="H120" s="969"/>
      <c r="I120" s="970">
        <v>11459</v>
      </c>
      <c r="J120" s="971">
        <v>48295</v>
      </c>
      <c r="K120" s="970">
        <v>28407</v>
      </c>
      <c r="L120" s="969">
        <v>0</v>
      </c>
      <c r="M120" s="969"/>
      <c r="N120" s="970">
        <v>5630</v>
      </c>
      <c r="O120" s="970">
        <v>0</v>
      </c>
      <c r="P120" s="970">
        <v>0</v>
      </c>
      <c r="Q120" s="969">
        <v>21939</v>
      </c>
      <c r="R120" s="969"/>
      <c r="S120" s="970">
        <v>67033</v>
      </c>
      <c r="T120" s="972">
        <v>-12131</v>
      </c>
      <c r="U120" s="972">
        <v>54902</v>
      </c>
    </row>
    <row r="121" spans="1:21" x14ac:dyDescent="0.25">
      <c r="A121" s="966">
        <v>91121</v>
      </c>
      <c r="B121" s="967" t="s">
        <v>2740</v>
      </c>
      <c r="C121" s="968">
        <v>9.9927999999999996E-3</v>
      </c>
      <c r="D121" s="968">
        <v>9.7842999999999992E-3</v>
      </c>
      <c r="E121" s="1007">
        <v>4272051</v>
      </c>
      <c r="F121" s="1010">
        <v>20765562</v>
      </c>
      <c r="G121" s="969">
        <v>15266230</v>
      </c>
      <c r="H121" s="969"/>
      <c r="I121" s="970">
        <v>879476</v>
      </c>
      <c r="J121" s="971">
        <v>3706660</v>
      </c>
      <c r="K121" s="970">
        <v>2180229</v>
      </c>
      <c r="L121" s="969">
        <v>0</v>
      </c>
      <c r="M121" s="969"/>
      <c r="N121" s="970">
        <v>432139</v>
      </c>
      <c r="O121" s="970">
        <v>0</v>
      </c>
      <c r="P121" s="970">
        <v>0</v>
      </c>
      <c r="Q121" s="969">
        <v>650994</v>
      </c>
      <c r="R121" s="969"/>
      <c r="S121" s="970">
        <v>5144733</v>
      </c>
      <c r="T121" s="972">
        <v>-324255</v>
      </c>
      <c r="U121" s="972">
        <f>4820479-1</f>
        <v>4820478</v>
      </c>
    </row>
    <row r="122" spans="1:21" x14ac:dyDescent="0.25">
      <c r="A122" s="966">
        <v>91127</v>
      </c>
      <c r="B122" s="967" t="s">
        <v>2741</v>
      </c>
      <c r="C122" s="968">
        <v>2.6879999999999997E-4</v>
      </c>
      <c r="D122" s="968">
        <v>2.8229999999999998E-4</v>
      </c>
      <c r="E122" s="1007">
        <v>146935</v>
      </c>
      <c r="F122" s="1010">
        <v>599135</v>
      </c>
      <c r="G122" s="969">
        <v>410652</v>
      </c>
      <c r="H122" s="969"/>
      <c r="I122" s="970">
        <v>23657</v>
      </c>
      <c r="J122" s="971">
        <v>99706</v>
      </c>
      <c r="K122" s="970">
        <v>58647</v>
      </c>
      <c r="L122" s="969">
        <v>46863</v>
      </c>
      <c r="M122" s="969"/>
      <c r="N122" s="970">
        <v>11624</v>
      </c>
      <c r="O122" s="970">
        <v>0</v>
      </c>
      <c r="P122" s="970">
        <v>0</v>
      </c>
      <c r="Q122" s="969">
        <v>0</v>
      </c>
      <c r="R122" s="969"/>
      <c r="S122" s="970">
        <v>138390</v>
      </c>
      <c r="T122" s="972">
        <v>25061</v>
      </c>
      <c r="U122" s="972">
        <v>163451</v>
      </c>
    </row>
    <row r="123" spans="1:21" x14ac:dyDescent="0.25">
      <c r="A123" s="966">
        <v>91128</v>
      </c>
      <c r="B123" s="967" t="s">
        <v>2742</v>
      </c>
      <c r="C123" s="968">
        <v>5.2380000000000005E-4</v>
      </c>
      <c r="D123" s="968">
        <v>5.0929999999999997E-4</v>
      </c>
      <c r="E123" s="1007">
        <v>238305</v>
      </c>
      <c r="F123" s="1010">
        <v>1080905</v>
      </c>
      <c r="G123" s="969">
        <v>800221</v>
      </c>
      <c r="H123" s="969"/>
      <c r="I123" s="970">
        <v>46100</v>
      </c>
      <c r="J123" s="971">
        <v>194295</v>
      </c>
      <c r="K123" s="970">
        <v>114283</v>
      </c>
      <c r="L123" s="969">
        <v>15169</v>
      </c>
      <c r="M123" s="969"/>
      <c r="N123" s="970">
        <v>22652</v>
      </c>
      <c r="O123" s="970">
        <v>0</v>
      </c>
      <c r="P123" s="970">
        <v>0</v>
      </c>
      <c r="Q123" s="969">
        <v>6263</v>
      </c>
      <c r="R123" s="969"/>
      <c r="S123" s="970">
        <v>269675</v>
      </c>
      <c r="T123" s="972">
        <v>-679</v>
      </c>
      <c r="U123" s="972">
        <v>268996</v>
      </c>
    </row>
    <row r="124" spans="1:21" x14ac:dyDescent="0.25">
      <c r="A124" s="966">
        <v>91138</v>
      </c>
      <c r="B124" s="967" t="s">
        <v>2743</v>
      </c>
      <c r="C124" s="968">
        <v>6.2629999999999999E-4</v>
      </c>
      <c r="D124" s="968">
        <v>6.2350000000000003E-4</v>
      </c>
      <c r="E124" s="1007">
        <v>220646</v>
      </c>
      <c r="F124" s="1010">
        <v>1323276</v>
      </c>
      <c r="G124" s="969">
        <v>956813</v>
      </c>
      <c r="H124" s="969"/>
      <c r="I124" s="970">
        <v>55121</v>
      </c>
      <c r="J124" s="971">
        <v>232316</v>
      </c>
      <c r="K124" s="970">
        <v>136646</v>
      </c>
      <c r="L124" s="969">
        <v>0</v>
      </c>
      <c r="M124" s="969"/>
      <c r="N124" s="970">
        <v>27084</v>
      </c>
      <c r="O124" s="970">
        <v>0</v>
      </c>
      <c r="P124" s="970">
        <v>0</v>
      </c>
      <c r="Q124" s="969">
        <v>127984</v>
      </c>
      <c r="R124" s="969"/>
      <c r="S124" s="970">
        <v>322447</v>
      </c>
      <c r="T124" s="972">
        <v>-48531</v>
      </c>
      <c r="U124" s="972">
        <v>273916</v>
      </c>
    </row>
    <row r="125" spans="1:21" x14ac:dyDescent="0.25">
      <c r="A125" s="966">
        <v>91141</v>
      </c>
      <c r="B125" s="967" t="s">
        <v>2744</v>
      </c>
      <c r="C125" s="968">
        <v>5.7569999999999995E-4</v>
      </c>
      <c r="D125" s="968">
        <v>5.5679999999999998E-4</v>
      </c>
      <c r="E125" s="1007">
        <v>236315</v>
      </c>
      <c r="F125" s="1010">
        <v>1181716</v>
      </c>
      <c r="G125" s="969">
        <v>879510</v>
      </c>
      <c r="H125" s="969"/>
      <c r="I125" s="970">
        <v>50668</v>
      </c>
      <c r="J125" s="971">
        <v>213546</v>
      </c>
      <c r="K125" s="970">
        <v>125606</v>
      </c>
      <c r="L125" s="969">
        <v>0</v>
      </c>
      <c r="M125" s="969"/>
      <c r="N125" s="970">
        <v>24896</v>
      </c>
      <c r="O125" s="970">
        <v>0</v>
      </c>
      <c r="P125" s="970">
        <v>0</v>
      </c>
      <c r="Q125" s="969">
        <v>80393</v>
      </c>
      <c r="R125" s="969"/>
      <c r="S125" s="970">
        <v>296396</v>
      </c>
      <c r="T125" s="972">
        <v>-38126</v>
      </c>
      <c r="U125" s="972">
        <v>258270</v>
      </c>
    </row>
    <row r="126" spans="1:21" x14ac:dyDescent="0.25">
      <c r="A126" s="966">
        <v>91147</v>
      </c>
      <c r="B126" s="967" t="s">
        <v>2745</v>
      </c>
      <c r="C126" s="968">
        <v>2.6699999999999998E-5</v>
      </c>
      <c r="D126" s="968">
        <v>2.4199999999999999E-5</v>
      </c>
      <c r="E126" s="1007">
        <v>12125</v>
      </c>
      <c r="F126" s="1010">
        <v>51361</v>
      </c>
      <c r="G126" s="969">
        <v>40790</v>
      </c>
      <c r="H126" s="969"/>
      <c r="I126" s="970">
        <v>2350</v>
      </c>
      <c r="J126" s="971">
        <v>9904</v>
      </c>
      <c r="K126" s="970">
        <v>5825</v>
      </c>
      <c r="L126" s="969">
        <v>8489</v>
      </c>
      <c r="M126" s="969"/>
      <c r="N126" s="970">
        <v>1155</v>
      </c>
      <c r="O126" s="970">
        <v>0</v>
      </c>
      <c r="P126" s="970">
        <v>0</v>
      </c>
      <c r="Q126" s="969">
        <v>0</v>
      </c>
      <c r="R126" s="969"/>
      <c r="S126" s="970">
        <v>13746</v>
      </c>
      <c r="T126" s="972">
        <v>4333</v>
      </c>
      <c r="U126" s="972">
        <f>18080-1</f>
        <v>18079</v>
      </c>
    </row>
    <row r="127" spans="1:21" x14ac:dyDescent="0.25">
      <c r="A127" s="966">
        <v>91151</v>
      </c>
      <c r="B127" s="967" t="s">
        <v>2746</v>
      </c>
      <c r="C127" s="968">
        <v>6.3409999999999996E-4</v>
      </c>
      <c r="D127" s="968">
        <v>6.1180000000000002E-4</v>
      </c>
      <c r="E127" s="1007">
        <v>254760</v>
      </c>
      <c r="F127" s="1010">
        <v>1298445</v>
      </c>
      <c r="G127" s="969">
        <v>968729</v>
      </c>
      <c r="H127" s="969"/>
      <c r="I127" s="970">
        <v>55808</v>
      </c>
      <c r="J127" s="971">
        <v>235208</v>
      </c>
      <c r="K127" s="970">
        <v>138348</v>
      </c>
      <c r="L127" s="969">
        <v>6907</v>
      </c>
      <c r="M127" s="969"/>
      <c r="N127" s="970">
        <v>27422</v>
      </c>
      <c r="O127" s="970">
        <v>0</v>
      </c>
      <c r="P127" s="970">
        <v>0</v>
      </c>
      <c r="Q127" s="969">
        <v>49311</v>
      </c>
      <c r="R127" s="969"/>
      <c r="S127" s="970">
        <v>326463</v>
      </c>
      <c r="T127" s="972">
        <v>-15290</v>
      </c>
      <c r="U127" s="972">
        <f>311172+1</f>
        <v>311173</v>
      </c>
    </row>
    <row r="128" spans="1:21" x14ac:dyDescent="0.25">
      <c r="A128" s="966">
        <v>91154</v>
      </c>
      <c r="B128" s="967" t="s">
        <v>2747</v>
      </c>
      <c r="C128" s="968">
        <v>2.6299999999999999E-5</v>
      </c>
      <c r="D128" s="968">
        <v>1.9599999999999999E-5</v>
      </c>
      <c r="E128" s="1007">
        <v>10902</v>
      </c>
      <c r="F128" s="1010">
        <v>41598</v>
      </c>
      <c r="G128" s="969">
        <v>40179</v>
      </c>
      <c r="H128" s="969"/>
      <c r="I128" s="970">
        <v>2315</v>
      </c>
      <c r="J128" s="971">
        <v>9756</v>
      </c>
      <c r="K128" s="970">
        <v>5738</v>
      </c>
      <c r="L128" s="969">
        <v>7326</v>
      </c>
      <c r="M128" s="969"/>
      <c r="N128" s="970">
        <v>1137</v>
      </c>
      <c r="O128" s="970">
        <v>0</v>
      </c>
      <c r="P128" s="970">
        <v>0</v>
      </c>
      <c r="Q128" s="969">
        <v>0</v>
      </c>
      <c r="R128" s="969"/>
      <c r="S128" s="970">
        <v>13540</v>
      </c>
      <c r="T128" s="972">
        <v>2962</v>
      </c>
      <c r="U128" s="972">
        <f>16503-1</f>
        <v>16502</v>
      </c>
    </row>
    <row r="129" spans="1:21" x14ac:dyDescent="0.25">
      <c r="A129" s="966">
        <v>91161</v>
      </c>
      <c r="B129" s="967" t="s">
        <v>2748</v>
      </c>
      <c r="C129" s="968">
        <v>9.2600000000000001E-5</v>
      </c>
      <c r="D129" s="968">
        <v>9.4599999999999996E-5</v>
      </c>
      <c r="E129" s="1007">
        <v>44457</v>
      </c>
      <c r="F129" s="1010">
        <v>200773</v>
      </c>
      <c r="G129" s="969">
        <v>141467</v>
      </c>
      <c r="H129" s="969"/>
      <c r="I129" s="970">
        <v>8150</v>
      </c>
      <c r="J129" s="971">
        <v>34348</v>
      </c>
      <c r="K129" s="970">
        <v>20203</v>
      </c>
      <c r="L129" s="969">
        <v>5327</v>
      </c>
      <c r="M129" s="969"/>
      <c r="N129" s="970">
        <v>4004</v>
      </c>
      <c r="O129" s="970">
        <v>0</v>
      </c>
      <c r="P129" s="970">
        <v>0</v>
      </c>
      <c r="Q129" s="969">
        <v>3079</v>
      </c>
      <c r="R129" s="969"/>
      <c r="S129" s="970">
        <v>47675</v>
      </c>
      <c r="T129" s="972">
        <v>935</v>
      </c>
      <c r="U129" s="972">
        <v>48610</v>
      </c>
    </row>
    <row r="130" spans="1:21" x14ac:dyDescent="0.25">
      <c r="A130" s="966">
        <v>91171</v>
      </c>
      <c r="B130" s="967" t="s">
        <v>2749</v>
      </c>
      <c r="C130" s="968">
        <v>1.95E-4</v>
      </c>
      <c r="D130" s="968">
        <v>2.5589999999999999E-4</v>
      </c>
      <c r="E130" s="1007">
        <v>93651</v>
      </c>
      <c r="F130" s="1010">
        <v>543106</v>
      </c>
      <c r="G130" s="969">
        <v>297906</v>
      </c>
      <c r="H130" s="969"/>
      <c r="I130" s="970">
        <v>17162</v>
      </c>
      <c r="J130" s="971">
        <v>72331</v>
      </c>
      <c r="K130" s="970">
        <v>42545</v>
      </c>
      <c r="L130" s="969">
        <v>0</v>
      </c>
      <c r="M130" s="969"/>
      <c r="N130" s="970">
        <v>8433</v>
      </c>
      <c r="O130" s="970">
        <v>0</v>
      </c>
      <c r="P130" s="970">
        <v>0</v>
      </c>
      <c r="Q130" s="969">
        <v>58020</v>
      </c>
      <c r="R130" s="969"/>
      <c r="S130" s="970">
        <v>100395</v>
      </c>
      <c r="T130" s="972">
        <v>-21400</v>
      </c>
      <c r="U130" s="972">
        <f>78994+1</f>
        <v>78995</v>
      </c>
    </row>
    <row r="131" spans="1:21" x14ac:dyDescent="0.25">
      <c r="A131" s="966">
        <v>91201</v>
      </c>
      <c r="B131" s="967" t="s">
        <v>2750</v>
      </c>
      <c r="C131" s="968">
        <v>2.2878E-3</v>
      </c>
      <c r="D131" s="968">
        <v>2.3127999999999998E-3</v>
      </c>
      <c r="E131" s="1007">
        <v>970291</v>
      </c>
      <c r="F131" s="1010">
        <v>4908536</v>
      </c>
      <c r="G131" s="969">
        <v>3495125</v>
      </c>
      <c r="H131" s="969"/>
      <c r="I131" s="970">
        <v>201352</v>
      </c>
      <c r="J131" s="971">
        <v>848620</v>
      </c>
      <c r="K131" s="970">
        <v>499152</v>
      </c>
      <c r="L131" s="969">
        <v>40348</v>
      </c>
      <c r="M131" s="969"/>
      <c r="N131" s="970">
        <v>98936</v>
      </c>
      <c r="O131" s="970">
        <v>0</v>
      </c>
      <c r="P131" s="970">
        <v>0</v>
      </c>
      <c r="Q131" s="969">
        <v>96428</v>
      </c>
      <c r="R131" s="969"/>
      <c r="S131" s="970">
        <v>1177860</v>
      </c>
      <c r="T131" s="972">
        <v>-568</v>
      </c>
      <c r="U131" s="972">
        <v>1177292</v>
      </c>
    </row>
    <row r="132" spans="1:21" x14ac:dyDescent="0.25">
      <c r="A132" s="966">
        <v>91202</v>
      </c>
      <c r="B132" s="967" t="s">
        <v>2751</v>
      </c>
      <c r="C132" s="968">
        <v>1.9330000000000001E-4</v>
      </c>
      <c r="D132" s="968">
        <v>1.897E-4</v>
      </c>
      <c r="E132" s="1007">
        <v>96479</v>
      </c>
      <c r="F132" s="1010">
        <v>402607</v>
      </c>
      <c r="G132" s="969">
        <v>295309</v>
      </c>
      <c r="H132" s="969"/>
      <c r="I132" s="970">
        <v>17013</v>
      </c>
      <c r="J132" s="971">
        <v>71701</v>
      </c>
      <c r="K132" s="970">
        <v>42174</v>
      </c>
      <c r="L132" s="969">
        <v>27893</v>
      </c>
      <c r="M132" s="969"/>
      <c r="N132" s="970">
        <v>8359</v>
      </c>
      <c r="O132" s="970">
        <v>0</v>
      </c>
      <c r="P132" s="970">
        <v>0</v>
      </c>
      <c r="Q132" s="969">
        <v>0</v>
      </c>
      <c r="R132" s="969"/>
      <c r="S132" s="970">
        <v>99519</v>
      </c>
      <c r="T132" s="972">
        <v>12367</v>
      </c>
      <c r="U132" s="972">
        <v>111886</v>
      </c>
    </row>
    <row r="133" spans="1:21" x14ac:dyDescent="0.25">
      <c r="A133" s="966">
        <v>91203</v>
      </c>
      <c r="B133" s="967" t="s">
        <v>2752</v>
      </c>
      <c r="C133" s="968">
        <v>2.1939999999999999E-4</v>
      </c>
      <c r="D133" s="968">
        <v>2.4479999999999999E-4</v>
      </c>
      <c r="E133" s="1007">
        <v>127249</v>
      </c>
      <c r="F133" s="1010">
        <v>519548</v>
      </c>
      <c r="G133" s="969">
        <v>335182</v>
      </c>
      <c r="H133" s="969"/>
      <c r="I133" s="970">
        <v>19310</v>
      </c>
      <c r="J133" s="971">
        <v>81383</v>
      </c>
      <c r="K133" s="970">
        <v>47869</v>
      </c>
      <c r="L133" s="969">
        <v>25236</v>
      </c>
      <c r="M133" s="969"/>
      <c r="N133" s="970">
        <v>9488</v>
      </c>
      <c r="O133" s="970">
        <v>0</v>
      </c>
      <c r="P133" s="970">
        <v>0</v>
      </c>
      <c r="Q133" s="969">
        <v>0</v>
      </c>
      <c r="R133" s="969"/>
      <c r="S133" s="970">
        <v>112957</v>
      </c>
      <c r="T133" s="972">
        <v>12508</v>
      </c>
      <c r="U133" s="972">
        <f>125464+1</f>
        <v>125465</v>
      </c>
    </row>
    <row r="134" spans="1:21" x14ac:dyDescent="0.25">
      <c r="A134" s="966">
        <v>91206</v>
      </c>
      <c r="B134" s="967" t="s">
        <v>2753</v>
      </c>
      <c r="C134" s="968">
        <v>8.6450000000000003E-4</v>
      </c>
      <c r="D134" s="968">
        <v>8.2129999999999996E-4</v>
      </c>
      <c r="E134" s="1007">
        <v>388200</v>
      </c>
      <c r="F134" s="1010">
        <v>1743074</v>
      </c>
      <c r="G134" s="969">
        <v>1320717</v>
      </c>
      <c r="H134" s="969"/>
      <c r="I134" s="970">
        <v>76086</v>
      </c>
      <c r="J134" s="971">
        <v>320672</v>
      </c>
      <c r="K134" s="970">
        <v>188617</v>
      </c>
      <c r="L134" s="969">
        <v>32943</v>
      </c>
      <c r="M134" s="969"/>
      <c r="N134" s="970">
        <v>37385</v>
      </c>
      <c r="O134" s="970">
        <v>0</v>
      </c>
      <c r="P134" s="970">
        <v>0</v>
      </c>
      <c r="Q134" s="969">
        <v>1131</v>
      </c>
      <c r="R134" s="969"/>
      <c r="S134" s="970">
        <v>445083</v>
      </c>
      <c r="T134" s="972">
        <v>15708</v>
      </c>
      <c r="U134" s="972">
        <v>460791</v>
      </c>
    </row>
    <row r="135" spans="1:21" x14ac:dyDescent="0.25">
      <c r="A135" s="966">
        <v>91208</v>
      </c>
      <c r="B135" s="967" t="s">
        <v>2754</v>
      </c>
      <c r="C135" s="968">
        <v>1.42E-5</v>
      </c>
      <c r="D135" s="968">
        <v>1.3699999999999999E-5</v>
      </c>
      <c r="E135" s="1007">
        <v>6398</v>
      </c>
      <c r="F135" s="1010">
        <v>29076</v>
      </c>
      <c r="G135" s="969">
        <v>21694</v>
      </c>
      <c r="H135" s="969"/>
      <c r="I135" s="970">
        <v>1250</v>
      </c>
      <c r="J135" s="971">
        <v>5267</v>
      </c>
      <c r="K135" s="970">
        <v>3098</v>
      </c>
      <c r="L135" s="969">
        <v>3961</v>
      </c>
      <c r="M135" s="969"/>
      <c r="N135" s="970">
        <v>614</v>
      </c>
      <c r="O135" s="970">
        <v>0</v>
      </c>
      <c r="P135" s="970">
        <v>0</v>
      </c>
      <c r="Q135" s="969">
        <v>0</v>
      </c>
      <c r="R135" s="969"/>
      <c r="S135" s="970">
        <v>7311</v>
      </c>
      <c r="T135" s="972">
        <v>3460</v>
      </c>
      <c r="U135" s="972">
        <v>10771</v>
      </c>
    </row>
    <row r="136" spans="1:21" x14ac:dyDescent="0.25">
      <c r="A136" s="966">
        <v>91211</v>
      </c>
      <c r="B136" s="967" t="s">
        <v>2755</v>
      </c>
      <c r="C136" s="968">
        <v>4.5530000000000001E-4</v>
      </c>
      <c r="D136" s="968">
        <v>4.6789999999999999E-4</v>
      </c>
      <c r="E136" s="1007">
        <v>223513</v>
      </c>
      <c r="F136" s="1010">
        <v>993041</v>
      </c>
      <c r="G136" s="969">
        <v>695572</v>
      </c>
      <c r="H136" s="969"/>
      <c r="I136" s="970">
        <v>40071</v>
      </c>
      <c r="J136" s="971">
        <v>168886</v>
      </c>
      <c r="K136" s="970">
        <v>99337</v>
      </c>
      <c r="L136" s="969">
        <v>6745</v>
      </c>
      <c r="M136" s="969"/>
      <c r="N136" s="970">
        <v>19689</v>
      </c>
      <c r="O136" s="970">
        <v>0</v>
      </c>
      <c r="P136" s="970">
        <v>0</v>
      </c>
      <c r="Q136" s="969">
        <v>3315</v>
      </c>
      <c r="R136" s="969"/>
      <c r="S136" s="970">
        <v>234408</v>
      </c>
      <c r="T136" s="972">
        <v>1355</v>
      </c>
      <c r="U136" s="972">
        <v>235763</v>
      </c>
    </row>
    <row r="137" spans="1:21" x14ac:dyDescent="0.25">
      <c r="A137" s="966">
        <v>91213</v>
      </c>
      <c r="B137" s="967" t="s">
        <v>2756</v>
      </c>
      <c r="C137" s="968">
        <v>3.2499999999999997E-5</v>
      </c>
      <c r="D137" s="968">
        <v>3.57E-5</v>
      </c>
      <c r="E137" s="1007">
        <v>12090</v>
      </c>
      <c r="F137" s="1010">
        <v>75767</v>
      </c>
      <c r="G137" s="969">
        <v>49651</v>
      </c>
      <c r="H137" s="969"/>
      <c r="I137" s="970">
        <v>2860</v>
      </c>
      <c r="J137" s="971">
        <v>12056</v>
      </c>
      <c r="K137" s="970">
        <v>7091</v>
      </c>
      <c r="L137" s="969">
        <v>0</v>
      </c>
      <c r="M137" s="969"/>
      <c r="N137" s="970">
        <v>1405</v>
      </c>
      <c r="O137" s="970">
        <v>0</v>
      </c>
      <c r="P137" s="970">
        <v>0</v>
      </c>
      <c r="Q137" s="969">
        <v>7680</v>
      </c>
      <c r="R137" s="969"/>
      <c r="S137" s="970">
        <v>16732</v>
      </c>
      <c r="T137" s="972">
        <v>-2660</v>
      </c>
      <c r="U137" s="972">
        <v>14072</v>
      </c>
    </row>
    <row r="138" spans="1:21" x14ac:dyDescent="0.25">
      <c r="A138" s="966">
        <v>91214</v>
      </c>
      <c r="B138" s="967" t="s">
        <v>2757</v>
      </c>
      <c r="C138" s="968">
        <v>2.9300000000000001E-5</v>
      </c>
      <c r="D138" s="968">
        <v>2.8200000000000001E-5</v>
      </c>
      <c r="E138" s="1007">
        <v>9669</v>
      </c>
      <c r="F138" s="1010">
        <v>59850</v>
      </c>
      <c r="G138" s="969">
        <v>44762</v>
      </c>
      <c r="H138" s="969"/>
      <c r="I138" s="970">
        <v>2579</v>
      </c>
      <c r="J138" s="971">
        <v>10868</v>
      </c>
      <c r="K138" s="970">
        <v>6393</v>
      </c>
      <c r="L138" s="969">
        <v>1300</v>
      </c>
      <c r="M138" s="969"/>
      <c r="N138" s="970">
        <v>1267</v>
      </c>
      <c r="O138" s="970">
        <v>0</v>
      </c>
      <c r="P138" s="970">
        <v>0</v>
      </c>
      <c r="Q138" s="969">
        <v>3669</v>
      </c>
      <c r="R138" s="969"/>
      <c r="S138" s="970">
        <v>15085</v>
      </c>
      <c r="T138" s="972">
        <v>-283</v>
      </c>
      <c r="U138" s="972">
        <v>14802</v>
      </c>
    </row>
    <row r="139" spans="1:21" x14ac:dyDescent="0.25">
      <c r="A139" s="966">
        <v>91217</v>
      </c>
      <c r="B139" s="967" t="s">
        <v>2758</v>
      </c>
      <c r="C139" s="968">
        <v>2.8799999999999999E-5</v>
      </c>
      <c r="D139" s="968">
        <v>2.6699999999999998E-5</v>
      </c>
      <c r="E139" s="1007">
        <v>14934</v>
      </c>
      <c r="F139" s="1010">
        <v>56666</v>
      </c>
      <c r="G139" s="969">
        <v>43998</v>
      </c>
      <c r="H139" s="969"/>
      <c r="I139" s="970">
        <v>2535</v>
      </c>
      <c r="J139" s="971">
        <v>10683</v>
      </c>
      <c r="K139" s="970">
        <v>6284</v>
      </c>
      <c r="L139" s="969">
        <v>10784</v>
      </c>
      <c r="M139" s="969"/>
      <c r="N139" s="970">
        <v>1245</v>
      </c>
      <c r="O139" s="970">
        <v>0</v>
      </c>
      <c r="P139" s="970">
        <v>0</v>
      </c>
      <c r="Q139" s="969">
        <v>0</v>
      </c>
      <c r="R139" s="969"/>
      <c r="S139" s="970">
        <v>14828</v>
      </c>
      <c r="T139" s="972">
        <v>4311</v>
      </c>
      <c r="U139" s="972">
        <v>19139</v>
      </c>
    </row>
    <row r="140" spans="1:21" x14ac:dyDescent="0.25">
      <c r="A140" s="966">
        <v>91221</v>
      </c>
      <c r="B140" s="967" t="s">
        <v>2759</v>
      </c>
      <c r="C140" s="968">
        <v>1.3359999999999999E-4</v>
      </c>
      <c r="D140" s="968">
        <v>1.294E-4</v>
      </c>
      <c r="E140" s="1007">
        <v>59449</v>
      </c>
      <c r="F140" s="1010">
        <v>274630</v>
      </c>
      <c r="G140" s="969">
        <v>204104</v>
      </c>
      <c r="H140" s="969"/>
      <c r="I140" s="970">
        <v>11758</v>
      </c>
      <c r="J140" s="971">
        <v>49557</v>
      </c>
      <c r="K140" s="970">
        <v>29149</v>
      </c>
      <c r="L140" s="969">
        <v>5038</v>
      </c>
      <c r="M140" s="969"/>
      <c r="N140" s="970">
        <v>5778</v>
      </c>
      <c r="O140" s="970">
        <v>0</v>
      </c>
      <c r="P140" s="970">
        <v>0</v>
      </c>
      <c r="Q140" s="969">
        <v>7113</v>
      </c>
      <c r="R140" s="969"/>
      <c r="S140" s="970">
        <v>68783</v>
      </c>
      <c r="T140" s="972">
        <v>1397</v>
      </c>
      <c r="U140" s="972">
        <v>70180</v>
      </c>
    </row>
    <row r="141" spans="1:21" x14ac:dyDescent="0.25">
      <c r="A141" s="966">
        <v>91231</v>
      </c>
      <c r="B141" s="967" t="s">
        <v>2760</v>
      </c>
      <c r="C141" s="968">
        <v>1.8856000000000001E-3</v>
      </c>
      <c r="D141" s="968">
        <v>1.9957E-3</v>
      </c>
      <c r="E141" s="1007">
        <v>867955</v>
      </c>
      <c r="F141" s="1010">
        <v>4235544</v>
      </c>
      <c r="G141" s="969">
        <v>2880674</v>
      </c>
      <c r="H141" s="969"/>
      <c r="I141" s="970">
        <v>165954</v>
      </c>
      <c r="J141" s="971">
        <v>699431</v>
      </c>
      <c r="K141" s="970">
        <v>411400</v>
      </c>
      <c r="L141" s="969">
        <v>10587</v>
      </c>
      <c r="M141" s="969"/>
      <c r="N141" s="970">
        <v>81543</v>
      </c>
      <c r="O141" s="970">
        <v>0</v>
      </c>
      <c r="P141" s="970">
        <v>0</v>
      </c>
      <c r="Q141" s="969">
        <v>132995</v>
      </c>
      <c r="R141" s="969"/>
      <c r="S141" s="970">
        <v>970790</v>
      </c>
      <c r="T141" s="972">
        <v>-32073</v>
      </c>
      <c r="U141" s="972">
        <v>938717</v>
      </c>
    </row>
    <row r="142" spans="1:21" x14ac:dyDescent="0.25">
      <c r="A142" s="966">
        <v>91233</v>
      </c>
      <c r="B142" s="967" t="s">
        <v>2761</v>
      </c>
      <c r="C142" s="968">
        <v>5.8100000000000003E-5</v>
      </c>
      <c r="D142" s="968">
        <v>4.5599999999999997E-5</v>
      </c>
      <c r="E142" s="1007">
        <v>21828</v>
      </c>
      <c r="F142" s="1010">
        <v>96778</v>
      </c>
      <c r="G142" s="969">
        <v>88761</v>
      </c>
      <c r="H142" s="969"/>
      <c r="I142" s="970">
        <v>5113</v>
      </c>
      <c r="J142" s="971">
        <v>21551</v>
      </c>
      <c r="K142" s="970">
        <v>12676</v>
      </c>
      <c r="L142" s="969">
        <v>9544</v>
      </c>
      <c r="M142" s="969"/>
      <c r="N142" s="970">
        <v>2513</v>
      </c>
      <c r="O142" s="970">
        <v>0</v>
      </c>
      <c r="P142" s="970">
        <v>0</v>
      </c>
      <c r="Q142" s="969">
        <v>117</v>
      </c>
      <c r="R142" s="969"/>
      <c r="S142" s="970">
        <v>29912</v>
      </c>
      <c r="T142" s="972">
        <v>4289</v>
      </c>
      <c r="U142" s="972">
        <f>34202-1</f>
        <v>34201</v>
      </c>
    </row>
    <row r="143" spans="1:21" x14ac:dyDescent="0.25">
      <c r="A143" s="966">
        <v>91241</v>
      </c>
      <c r="B143" s="967" t="s">
        <v>2762</v>
      </c>
      <c r="C143" s="968">
        <v>3.5500000000000002E-5</v>
      </c>
      <c r="D143" s="968">
        <v>3.68E-5</v>
      </c>
      <c r="E143" s="1007">
        <v>17216</v>
      </c>
      <c r="F143" s="1010">
        <v>78102</v>
      </c>
      <c r="G143" s="969">
        <v>54234</v>
      </c>
      <c r="H143" s="969"/>
      <c r="I143" s="970">
        <v>3124</v>
      </c>
      <c r="J143" s="971">
        <v>13168</v>
      </c>
      <c r="K143" s="970">
        <v>7745</v>
      </c>
      <c r="L143" s="969">
        <v>0</v>
      </c>
      <c r="M143" s="969"/>
      <c r="N143" s="970">
        <v>1535</v>
      </c>
      <c r="O143" s="970">
        <v>0</v>
      </c>
      <c r="P143" s="970">
        <v>0</v>
      </c>
      <c r="Q143" s="969">
        <v>4391</v>
      </c>
      <c r="R143" s="969"/>
      <c r="S143" s="970">
        <v>18277</v>
      </c>
      <c r="T143" s="972">
        <v>-2564</v>
      </c>
      <c r="U143" s="972">
        <v>15713</v>
      </c>
    </row>
    <row r="144" spans="1:21" x14ac:dyDescent="0.25">
      <c r="A144" s="966">
        <v>91251</v>
      </c>
      <c r="B144" s="967" t="s">
        <v>2763</v>
      </c>
      <c r="C144" s="968">
        <v>1.9899999999999999E-5</v>
      </c>
      <c r="D144" s="968">
        <v>2.65E-5</v>
      </c>
      <c r="E144" s="1007">
        <v>11339</v>
      </c>
      <c r="F144" s="1010">
        <v>56242</v>
      </c>
      <c r="G144" s="969">
        <v>30402</v>
      </c>
      <c r="H144" s="969"/>
      <c r="I144" s="970">
        <v>1751</v>
      </c>
      <c r="J144" s="971">
        <v>7381</v>
      </c>
      <c r="K144" s="970">
        <v>4342</v>
      </c>
      <c r="L144" s="969">
        <v>2341</v>
      </c>
      <c r="M144" s="969"/>
      <c r="N144" s="970">
        <v>861</v>
      </c>
      <c r="O144" s="970">
        <v>0</v>
      </c>
      <c r="P144" s="970">
        <v>0</v>
      </c>
      <c r="Q144" s="969">
        <v>3540</v>
      </c>
      <c r="R144" s="969"/>
      <c r="S144" s="970">
        <v>10245</v>
      </c>
      <c r="T144" s="972">
        <v>1340</v>
      </c>
      <c r="U144" s="972">
        <f>11586-1</f>
        <v>11585</v>
      </c>
    </row>
    <row r="145" spans="1:21" x14ac:dyDescent="0.25">
      <c r="A145" s="966">
        <v>91261</v>
      </c>
      <c r="B145" s="967" t="s">
        <v>2764</v>
      </c>
      <c r="C145" s="968">
        <v>1.03E-5</v>
      </c>
      <c r="D145" s="968">
        <v>9.5000000000000005E-6</v>
      </c>
      <c r="E145" s="1007">
        <v>4666</v>
      </c>
      <c r="F145" s="1010">
        <v>20162</v>
      </c>
      <c r="G145" s="969">
        <v>15736</v>
      </c>
      <c r="H145" s="969"/>
      <c r="I145" s="970">
        <v>907</v>
      </c>
      <c r="J145" s="971">
        <v>3821</v>
      </c>
      <c r="K145" s="970">
        <v>2247</v>
      </c>
      <c r="L145" s="969">
        <v>1784</v>
      </c>
      <c r="M145" s="969"/>
      <c r="N145" s="970">
        <v>445</v>
      </c>
      <c r="O145" s="970">
        <v>0</v>
      </c>
      <c r="P145" s="970">
        <v>0</v>
      </c>
      <c r="Q145" s="969">
        <v>0</v>
      </c>
      <c r="R145" s="969"/>
      <c r="S145" s="970">
        <v>5303</v>
      </c>
      <c r="T145" s="972">
        <v>850</v>
      </c>
      <c r="U145" s="972">
        <v>6153</v>
      </c>
    </row>
    <row r="146" spans="1:21" x14ac:dyDescent="0.25">
      <c r="A146" s="966">
        <v>91301</v>
      </c>
      <c r="B146" s="967" t="s">
        <v>2765</v>
      </c>
      <c r="C146" s="968">
        <v>7.6985999999999999E-3</v>
      </c>
      <c r="D146" s="968">
        <v>7.7765000000000004E-3</v>
      </c>
      <c r="E146" s="1007">
        <v>3428603</v>
      </c>
      <c r="F146" s="1010">
        <v>16504338</v>
      </c>
      <c r="G146" s="969">
        <v>11761328</v>
      </c>
      <c r="H146" s="969"/>
      <c r="I146" s="970">
        <v>677561</v>
      </c>
      <c r="J146" s="971">
        <v>2855665</v>
      </c>
      <c r="K146" s="970">
        <v>1679681</v>
      </c>
      <c r="L146" s="969">
        <v>19915</v>
      </c>
      <c r="M146" s="969"/>
      <c r="N146" s="970">
        <v>332926</v>
      </c>
      <c r="O146" s="970">
        <v>0</v>
      </c>
      <c r="P146" s="970">
        <v>0</v>
      </c>
      <c r="Q146" s="969">
        <v>249856</v>
      </c>
      <c r="R146" s="969"/>
      <c r="S146" s="970">
        <v>3963578</v>
      </c>
      <c r="T146" s="972">
        <v>-98741</v>
      </c>
      <c r="U146" s="972">
        <v>3864837</v>
      </c>
    </row>
    <row r="147" spans="1:21" x14ac:dyDescent="0.25">
      <c r="A147" s="973">
        <v>91302</v>
      </c>
      <c r="B147" s="967" t="s">
        <v>3667</v>
      </c>
      <c r="C147" s="968">
        <v>6.0300000000000002E-4</v>
      </c>
      <c r="D147" s="968">
        <v>5.9190000000000002E-4</v>
      </c>
      <c r="E147" s="1007">
        <v>259187</v>
      </c>
      <c r="F147" s="1010">
        <v>0</v>
      </c>
      <c r="G147" s="969">
        <v>921217</v>
      </c>
      <c r="H147" s="969"/>
      <c r="I147" s="970">
        <v>53071</v>
      </c>
      <c r="J147" s="971">
        <v>223673</v>
      </c>
      <c r="K147" s="970">
        <v>131563</v>
      </c>
      <c r="L147" s="969">
        <v>32897</v>
      </c>
      <c r="M147" s="969"/>
      <c r="N147" s="970">
        <v>26077</v>
      </c>
      <c r="O147" s="970">
        <v>0</v>
      </c>
      <c r="P147" s="970">
        <v>0</v>
      </c>
      <c r="Q147" s="969">
        <v>6670</v>
      </c>
      <c r="R147" s="969"/>
      <c r="S147" s="970">
        <v>310451</v>
      </c>
      <c r="T147" s="972">
        <v>18435</v>
      </c>
      <c r="U147" s="972">
        <v>328886</v>
      </c>
    </row>
    <row r="148" spans="1:21" x14ac:dyDescent="0.25">
      <c r="A148" s="973">
        <v>91306</v>
      </c>
      <c r="B148" s="967" t="s">
        <v>2767</v>
      </c>
      <c r="C148" s="968">
        <v>1.6412E-3</v>
      </c>
      <c r="D148" s="968">
        <v>1.6676E-3</v>
      </c>
      <c r="E148" s="1007">
        <v>766698</v>
      </c>
      <c r="F148" s="1010">
        <v>3539206</v>
      </c>
      <c r="G148" s="969">
        <v>2507299</v>
      </c>
      <c r="H148" s="969"/>
      <c r="I148" s="970">
        <v>144444</v>
      </c>
      <c r="J148" s="971">
        <v>608776</v>
      </c>
      <c r="K148" s="970">
        <v>358077</v>
      </c>
      <c r="L148" s="969">
        <v>113707</v>
      </c>
      <c r="M148" s="969"/>
      <c r="N148" s="970">
        <v>70974</v>
      </c>
      <c r="O148" s="970">
        <v>0</v>
      </c>
      <c r="P148" s="970">
        <v>0</v>
      </c>
      <c r="Q148" s="969">
        <v>7101</v>
      </c>
      <c r="R148" s="969"/>
      <c r="S148" s="970">
        <v>844962</v>
      </c>
      <c r="T148" s="972">
        <v>59215</v>
      </c>
      <c r="U148" s="972">
        <v>904177</v>
      </c>
    </row>
    <row r="149" spans="1:21" x14ac:dyDescent="0.25">
      <c r="A149" s="973">
        <v>91308</v>
      </c>
      <c r="B149" s="967" t="s">
        <v>2768</v>
      </c>
      <c r="C149" s="968">
        <v>1.8009999999999999E-4</v>
      </c>
      <c r="D149" s="968">
        <v>2.05E-4</v>
      </c>
      <c r="E149" s="1007">
        <v>80232</v>
      </c>
      <c r="F149" s="1010">
        <v>435079</v>
      </c>
      <c r="G149" s="969">
        <v>275143</v>
      </c>
      <c r="H149" s="969"/>
      <c r="I149" s="970">
        <v>15851</v>
      </c>
      <c r="J149" s="971">
        <v>66805</v>
      </c>
      <c r="K149" s="970">
        <v>39294</v>
      </c>
      <c r="L149" s="969">
        <v>2442</v>
      </c>
      <c r="M149" s="969"/>
      <c r="N149" s="970">
        <v>7788</v>
      </c>
      <c r="O149" s="970">
        <v>0</v>
      </c>
      <c r="P149" s="970">
        <v>0</v>
      </c>
      <c r="Q149" s="969">
        <v>21144</v>
      </c>
      <c r="R149" s="969"/>
      <c r="S149" s="970">
        <v>92723</v>
      </c>
      <c r="T149" s="972">
        <v>-3684</v>
      </c>
      <c r="U149" s="972">
        <f>89040-1</f>
        <v>89039</v>
      </c>
    </row>
    <row r="150" spans="1:21" x14ac:dyDescent="0.25">
      <c r="A150" s="966">
        <v>91311</v>
      </c>
      <c r="B150" s="967" t="s">
        <v>2769</v>
      </c>
      <c r="C150" s="968">
        <v>7.6685E-3</v>
      </c>
      <c r="D150" s="968">
        <v>7.6649999999999999E-3</v>
      </c>
      <c r="E150" s="1007">
        <v>3305761</v>
      </c>
      <c r="F150" s="1010">
        <v>16267698</v>
      </c>
      <c r="G150" s="969">
        <v>11715344</v>
      </c>
      <c r="H150" s="969"/>
      <c r="I150" s="970">
        <v>674912</v>
      </c>
      <c r="J150" s="971">
        <v>2844500</v>
      </c>
      <c r="K150" s="970">
        <v>1673113</v>
      </c>
      <c r="L150" s="969">
        <v>78345</v>
      </c>
      <c r="M150" s="969"/>
      <c r="N150" s="970">
        <v>331624</v>
      </c>
      <c r="O150" s="970">
        <v>0</v>
      </c>
      <c r="P150" s="970">
        <v>0</v>
      </c>
      <c r="Q150" s="969">
        <v>516736</v>
      </c>
      <c r="R150" s="969"/>
      <c r="S150" s="970">
        <v>3948081</v>
      </c>
      <c r="T150" s="972">
        <v>-187514</v>
      </c>
      <c r="U150" s="972">
        <v>3760567</v>
      </c>
    </row>
    <row r="151" spans="1:21" x14ac:dyDescent="0.25">
      <c r="A151" s="966">
        <v>91317</v>
      </c>
      <c r="B151" s="967" t="s">
        <v>2770</v>
      </c>
      <c r="C151" s="968">
        <v>1.016E-4</v>
      </c>
      <c r="D151" s="968">
        <v>9.0500000000000004E-5</v>
      </c>
      <c r="E151" s="1007">
        <v>50865</v>
      </c>
      <c r="F151" s="1010">
        <v>192071</v>
      </c>
      <c r="G151" s="969">
        <v>155217</v>
      </c>
      <c r="H151" s="969"/>
      <c r="I151" s="970">
        <v>8942</v>
      </c>
      <c r="J151" s="971">
        <v>37687</v>
      </c>
      <c r="K151" s="970">
        <v>22167</v>
      </c>
      <c r="L151" s="969">
        <v>13159</v>
      </c>
      <c r="M151" s="969"/>
      <c r="N151" s="970">
        <v>4394</v>
      </c>
      <c r="O151" s="970">
        <v>0</v>
      </c>
      <c r="P151" s="970">
        <v>0</v>
      </c>
      <c r="Q151" s="969">
        <v>1760</v>
      </c>
      <c r="R151" s="969"/>
      <c r="S151" s="970">
        <v>52308</v>
      </c>
      <c r="T151" s="972">
        <v>2823</v>
      </c>
      <c r="U151" s="972">
        <f>55132-1</f>
        <v>55131</v>
      </c>
    </row>
    <row r="152" spans="1:21" x14ac:dyDescent="0.25">
      <c r="A152" s="966">
        <v>91321</v>
      </c>
      <c r="B152" s="967" t="s">
        <v>2771</v>
      </c>
      <c r="C152" s="968">
        <v>4.2799999999999997E-5</v>
      </c>
      <c r="D152" s="968">
        <v>4.1999999999999998E-5</v>
      </c>
      <c r="E152" s="1007">
        <v>37213</v>
      </c>
      <c r="F152" s="1010">
        <v>89138</v>
      </c>
      <c r="G152" s="969">
        <v>65387</v>
      </c>
      <c r="H152" s="969"/>
      <c r="I152" s="970">
        <v>3767</v>
      </c>
      <c r="J152" s="971">
        <v>15876</v>
      </c>
      <c r="K152" s="970">
        <v>9338</v>
      </c>
      <c r="L152" s="969">
        <v>18992</v>
      </c>
      <c r="M152" s="969"/>
      <c r="N152" s="970">
        <v>1851</v>
      </c>
      <c r="O152" s="970">
        <v>0</v>
      </c>
      <c r="P152" s="970">
        <v>0</v>
      </c>
      <c r="Q152" s="969">
        <v>3760</v>
      </c>
      <c r="R152" s="969"/>
      <c r="S152" s="970">
        <v>22035</v>
      </c>
      <c r="T152" s="972">
        <v>3437</v>
      </c>
      <c r="U152" s="972">
        <v>25472</v>
      </c>
    </row>
    <row r="153" spans="1:21" x14ac:dyDescent="0.25">
      <c r="A153" s="966">
        <v>91327</v>
      </c>
      <c r="B153" s="967" t="s">
        <v>2772</v>
      </c>
      <c r="C153" s="968">
        <v>8.1999999999999994E-6</v>
      </c>
      <c r="D153" s="968">
        <v>1.03E-5</v>
      </c>
      <c r="E153" s="1007">
        <v>4495</v>
      </c>
      <c r="F153" s="1010">
        <v>21860</v>
      </c>
      <c r="G153" s="969">
        <v>12527</v>
      </c>
      <c r="H153" s="969"/>
      <c r="I153" s="970">
        <v>722</v>
      </c>
      <c r="J153" s="971">
        <v>3042</v>
      </c>
      <c r="K153" s="970">
        <v>1789</v>
      </c>
      <c r="L153" s="969">
        <v>36</v>
      </c>
      <c r="M153" s="969"/>
      <c r="N153" s="970">
        <v>355</v>
      </c>
      <c r="O153" s="970">
        <v>0</v>
      </c>
      <c r="P153" s="970">
        <v>0</v>
      </c>
      <c r="Q153" s="969">
        <v>1563</v>
      </c>
      <c r="R153" s="969"/>
      <c r="S153" s="970">
        <v>4222</v>
      </c>
      <c r="T153" s="972">
        <v>-481</v>
      </c>
      <c r="U153" s="972">
        <v>3741</v>
      </c>
    </row>
    <row r="154" spans="1:21" x14ac:dyDescent="0.25">
      <c r="A154" s="966">
        <v>91331</v>
      </c>
      <c r="B154" s="967" t="s">
        <v>2773</v>
      </c>
      <c r="C154" s="968">
        <v>3.0033E-3</v>
      </c>
      <c r="D154" s="968">
        <v>2.8509999999999998E-3</v>
      </c>
      <c r="E154" s="1007">
        <v>1190887</v>
      </c>
      <c r="F154" s="1010">
        <v>6050777</v>
      </c>
      <c r="G154" s="969">
        <v>4588210</v>
      </c>
      <c r="H154" s="969"/>
      <c r="I154" s="970">
        <v>264323</v>
      </c>
      <c r="J154" s="971">
        <v>1114023</v>
      </c>
      <c r="K154" s="970">
        <v>655260</v>
      </c>
      <c r="L154" s="969">
        <v>0</v>
      </c>
      <c r="M154" s="969"/>
      <c r="N154" s="970">
        <v>129878</v>
      </c>
      <c r="O154" s="970">
        <v>0</v>
      </c>
      <c r="P154" s="970">
        <v>0</v>
      </c>
      <c r="Q154" s="969">
        <v>342951</v>
      </c>
      <c r="R154" s="969"/>
      <c r="S154" s="970">
        <v>1546231</v>
      </c>
      <c r="T154" s="972">
        <v>-176510</v>
      </c>
      <c r="U154" s="972">
        <v>1369721</v>
      </c>
    </row>
    <row r="155" spans="1:21" x14ac:dyDescent="0.25">
      <c r="A155" s="966">
        <v>91341</v>
      </c>
      <c r="B155" s="967" t="s">
        <v>2774</v>
      </c>
      <c r="C155" s="968">
        <v>2.51E-5</v>
      </c>
      <c r="D155" s="968">
        <v>1.4399999999999999E-5</v>
      </c>
      <c r="E155" s="1007">
        <v>9161</v>
      </c>
      <c r="F155" s="1010">
        <v>30562</v>
      </c>
      <c r="G155" s="969">
        <v>38346</v>
      </c>
      <c r="H155" s="969"/>
      <c r="I155" s="970">
        <v>2209</v>
      </c>
      <c r="J155" s="971">
        <v>9311</v>
      </c>
      <c r="K155" s="970">
        <v>5476</v>
      </c>
      <c r="L155" s="969">
        <v>5566</v>
      </c>
      <c r="M155" s="969"/>
      <c r="N155" s="970">
        <v>1085</v>
      </c>
      <c r="O155" s="970">
        <v>0</v>
      </c>
      <c r="P155" s="970">
        <v>0</v>
      </c>
      <c r="Q155" s="969">
        <v>1759</v>
      </c>
      <c r="R155" s="969"/>
      <c r="S155" s="970">
        <v>12923</v>
      </c>
      <c r="T155" s="972">
        <v>939</v>
      </c>
      <c r="U155" s="972">
        <f>13861+1</f>
        <v>13862</v>
      </c>
    </row>
    <row r="156" spans="1:21" x14ac:dyDescent="0.25">
      <c r="A156" s="966">
        <v>91401</v>
      </c>
      <c r="B156" s="967" t="s">
        <v>2775</v>
      </c>
      <c r="C156" s="968">
        <v>3.5885000000000001E-3</v>
      </c>
      <c r="D156" s="968">
        <v>3.6841E-3</v>
      </c>
      <c r="E156" s="1007">
        <v>1559430</v>
      </c>
      <c r="F156" s="1010">
        <v>7818894</v>
      </c>
      <c r="G156" s="969">
        <v>5482234</v>
      </c>
      <c r="H156" s="969"/>
      <c r="I156" s="970">
        <v>315827</v>
      </c>
      <c r="J156" s="971">
        <v>1331093</v>
      </c>
      <c r="K156" s="970">
        <v>782939</v>
      </c>
      <c r="L156" s="969">
        <v>17446</v>
      </c>
      <c r="M156" s="969"/>
      <c r="N156" s="970">
        <v>155185</v>
      </c>
      <c r="O156" s="970">
        <v>0</v>
      </c>
      <c r="P156" s="970">
        <v>0</v>
      </c>
      <c r="Q156" s="969">
        <v>142927</v>
      </c>
      <c r="R156" s="969"/>
      <c r="S156" s="970">
        <v>1847518</v>
      </c>
      <c r="T156" s="972">
        <v>-23160</v>
      </c>
      <c r="U156" s="972">
        <v>1824358</v>
      </c>
    </row>
    <row r="157" spans="1:21" x14ac:dyDescent="0.25">
      <c r="A157" s="966">
        <v>91411</v>
      </c>
      <c r="B157" s="967" t="s">
        <v>2776</v>
      </c>
      <c r="C157" s="968">
        <v>3.7829999999999998E-4</v>
      </c>
      <c r="D157" s="968">
        <v>3.5379999999999998E-4</v>
      </c>
      <c r="E157" s="1007">
        <v>168365</v>
      </c>
      <c r="F157" s="1010">
        <v>750882</v>
      </c>
      <c r="G157" s="969">
        <v>577938</v>
      </c>
      <c r="H157" s="969"/>
      <c r="I157" s="970">
        <v>33295</v>
      </c>
      <c r="J157" s="971">
        <v>140324</v>
      </c>
      <c r="K157" s="970">
        <v>82537</v>
      </c>
      <c r="L157" s="969">
        <v>28581</v>
      </c>
      <c r="M157" s="969"/>
      <c r="N157" s="970">
        <v>16360</v>
      </c>
      <c r="O157" s="970">
        <v>0</v>
      </c>
      <c r="P157" s="970">
        <v>0</v>
      </c>
      <c r="Q157" s="969">
        <v>1394</v>
      </c>
      <c r="R157" s="969"/>
      <c r="S157" s="970">
        <v>194765</v>
      </c>
      <c r="T157" s="972">
        <v>7766</v>
      </c>
      <c r="U157" s="972">
        <v>202531</v>
      </c>
    </row>
    <row r="158" spans="1:21" x14ac:dyDescent="0.25">
      <c r="A158" s="966">
        <v>91417</v>
      </c>
      <c r="B158" s="967" t="s">
        <v>2777</v>
      </c>
      <c r="C158" s="968">
        <v>9.3000000000000007E-6</v>
      </c>
      <c r="D158" s="968">
        <v>9.9000000000000001E-6</v>
      </c>
      <c r="E158" s="1007">
        <v>5289</v>
      </c>
      <c r="F158" s="1010">
        <v>21011</v>
      </c>
      <c r="G158" s="969">
        <v>14208</v>
      </c>
      <c r="H158" s="969"/>
      <c r="I158" s="970">
        <v>819</v>
      </c>
      <c r="J158" s="971">
        <v>3450</v>
      </c>
      <c r="K158" s="970">
        <v>2029</v>
      </c>
      <c r="L158" s="969">
        <v>2388</v>
      </c>
      <c r="M158" s="969"/>
      <c r="N158" s="970">
        <v>402</v>
      </c>
      <c r="O158" s="970">
        <v>0</v>
      </c>
      <c r="P158" s="970">
        <v>0</v>
      </c>
      <c r="Q158" s="969">
        <v>0</v>
      </c>
      <c r="R158" s="969"/>
      <c r="S158" s="970">
        <v>4788</v>
      </c>
      <c r="T158" s="972">
        <v>1814</v>
      </c>
      <c r="U158" s="972">
        <v>6602</v>
      </c>
    </row>
    <row r="159" spans="1:21" x14ac:dyDescent="0.25">
      <c r="A159" s="966">
        <v>91421</v>
      </c>
      <c r="B159" s="967" t="s">
        <v>2778</v>
      </c>
      <c r="C159" s="968">
        <v>6.9499999999999995E-5</v>
      </c>
      <c r="D159" s="968">
        <v>7.0400000000000004E-5</v>
      </c>
      <c r="E159" s="1007">
        <v>36488</v>
      </c>
      <c r="F159" s="1010">
        <v>149412</v>
      </c>
      <c r="G159" s="969">
        <v>106177</v>
      </c>
      <c r="H159" s="969"/>
      <c r="I159" s="970">
        <v>6117</v>
      </c>
      <c r="J159" s="971">
        <v>25779</v>
      </c>
      <c r="K159" s="970">
        <v>15164</v>
      </c>
      <c r="L159" s="969">
        <v>4339</v>
      </c>
      <c r="M159" s="969"/>
      <c r="N159" s="970">
        <v>3006</v>
      </c>
      <c r="O159" s="970">
        <v>0</v>
      </c>
      <c r="P159" s="970">
        <v>0</v>
      </c>
      <c r="Q159" s="969">
        <v>3143</v>
      </c>
      <c r="R159" s="969"/>
      <c r="S159" s="970">
        <v>35782</v>
      </c>
      <c r="T159" s="972">
        <v>365</v>
      </c>
      <c r="U159" s="972">
        <v>36147</v>
      </c>
    </row>
    <row r="160" spans="1:21" x14ac:dyDescent="0.25">
      <c r="A160" s="966">
        <v>91423</v>
      </c>
      <c r="B160" s="967" t="s">
        <v>2779</v>
      </c>
      <c r="C160" s="968">
        <v>5.38E-5</v>
      </c>
      <c r="D160" s="968">
        <v>3.8699999999999999E-5</v>
      </c>
      <c r="E160" s="1007">
        <v>20620</v>
      </c>
      <c r="F160" s="1010">
        <v>82134</v>
      </c>
      <c r="G160" s="969">
        <v>82191</v>
      </c>
      <c r="H160" s="969"/>
      <c r="I160" s="970">
        <v>4735</v>
      </c>
      <c r="J160" s="971">
        <v>19956</v>
      </c>
      <c r="K160" s="970">
        <v>11738</v>
      </c>
      <c r="L160" s="969">
        <v>13454</v>
      </c>
      <c r="M160" s="969"/>
      <c r="N160" s="970">
        <v>2327</v>
      </c>
      <c r="O160" s="970">
        <v>0</v>
      </c>
      <c r="P160" s="970">
        <v>0</v>
      </c>
      <c r="Q160" s="969">
        <v>2026</v>
      </c>
      <c r="R160" s="969"/>
      <c r="S160" s="970">
        <v>27699</v>
      </c>
      <c r="T160" s="972">
        <v>3208</v>
      </c>
      <c r="U160" s="972">
        <f>30906+1</f>
        <v>30907</v>
      </c>
    </row>
    <row r="161" spans="1:21" x14ac:dyDescent="0.25">
      <c r="A161" s="966">
        <v>91431</v>
      </c>
      <c r="B161" s="967" t="s">
        <v>2780</v>
      </c>
      <c r="C161" s="968">
        <v>1.562E-4</v>
      </c>
      <c r="D161" s="968">
        <v>1.417E-4</v>
      </c>
      <c r="E161" s="1007">
        <v>80270</v>
      </c>
      <c r="F161" s="1010">
        <v>300735</v>
      </c>
      <c r="G161" s="969">
        <v>238630</v>
      </c>
      <c r="H161" s="969"/>
      <c r="I161" s="970">
        <v>13747</v>
      </c>
      <c r="J161" s="971">
        <v>57939</v>
      </c>
      <c r="K161" s="970">
        <v>34080</v>
      </c>
      <c r="L161" s="969">
        <v>17694</v>
      </c>
      <c r="M161" s="969"/>
      <c r="N161" s="970">
        <v>6755</v>
      </c>
      <c r="O161" s="970">
        <v>0</v>
      </c>
      <c r="P161" s="970">
        <v>0</v>
      </c>
      <c r="Q161" s="969">
        <v>1767</v>
      </c>
      <c r="R161" s="969"/>
      <c r="S161" s="970">
        <v>80419</v>
      </c>
      <c r="T161" s="972">
        <v>4026</v>
      </c>
      <c r="U161" s="972">
        <v>84445</v>
      </c>
    </row>
    <row r="162" spans="1:21" x14ac:dyDescent="0.25">
      <c r="A162" s="966">
        <v>91441</v>
      </c>
      <c r="B162" s="967" t="s">
        <v>2781</v>
      </c>
      <c r="C162" s="968">
        <v>9.5140000000000003E-4</v>
      </c>
      <c r="D162" s="968">
        <v>7.3800000000000005E-4</v>
      </c>
      <c r="E162" s="1007">
        <v>316618</v>
      </c>
      <c r="F162" s="1010">
        <v>1566283</v>
      </c>
      <c r="G162" s="969">
        <v>1453476</v>
      </c>
      <c r="H162" s="969"/>
      <c r="I162" s="970">
        <v>83734</v>
      </c>
      <c r="J162" s="971">
        <v>352905</v>
      </c>
      <c r="K162" s="970">
        <v>207576</v>
      </c>
      <c r="L162" s="969">
        <v>46954</v>
      </c>
      <c r="M162" s="969"/>
      <c r="N162" s="970">
        <v>41143</v>
      </c>
      <c r="O162" s="970">
        <v>0</v>
      </c>
      <c r="P162" s="970">
        <v>0</v>
      </c>
      <c r="Q162" s="969">
        <v>103301</v>
      </c>
      <c r="R162" s="969"/>
      <c r="S162" s="970">
        <v>489823</v>
      </c>
      <c r="T162" s="972">
        <v>-39929</v>
      </c>
      <c r="U162" s="972">
        <v>449894</v>
      </c>
    </row>
    <row r="163" spans="1:21" x14ac:dyDescent="0.25">
      <c r="A163" s="966">
        <v>91451</v>
      </c>
      <c r="B163" s="967" t="s">
        <v>2782</v>
      </c>
      <c r="C163" s="968">
        <v>1.4760000000000001E-3</v>
      </c>
      <c r="D163" s="968">
        <v>1.5629000000000001E-3</v>
      </c>
      <c r="E163" s="1007">
        <v>670223</v>
      </c>
      <c r="F163" s="1010">
        <v>3316997</v>
      </c>
      <c r="G163" s="969">
        <v>2254919</v>
      </c>
      <c r="H163" s="969"/>
      <c r="I163" s="970">
        <v>129904</v>
      </c>
      <c r="J163" s="971">
        <v>547497</v>
      </c>
      <c r="K163" s="970">
        <v>322034</v>
      </c>
      <c r="L163" s="969">
        <v>0</v>
      </c>
      <c r="M163" s="969"/>
      <c r="N163" s="970">
        <v>63830</v>
      </c>
      <c r="O163" s="970">
        <v>0</v>
      </c>
      <c r="P163" s="970">
        <v>0</v>
      </c>
      <c r="Q163" s="969">
        <v>199933</v>
      </c>
      <c r="R163" s="969"/>
      <c r="S163" s="970">
        <v>759910</v>
      </c>
      <c r="T163" s="972">
        <v>-85072</v>
      </c>
      <c r="U163" s="972">
        <v>674838</v>
      </c>
    </row>
    <row r="164" spans="1:21" x14ac:dyDescent="0.25">
      <c r="A164" s="966">
        <v>91457</v>
      </c>
      <c r="B164" s="967" t="s">
        <v>2783</v>
      </c>
      <c r="C164" s="968">
        <v>2.23E-5</v>
      </c>
      <c r="D164" s="968">
        <v>2.58E-5</v>
      </c>
      <c r="E164" s="1007">
        <v>30670</v>
      </c>
      <c r="F164" s="1010">
        <v>54756</v>
      </c>
      <c r="G164" s="969">
        <v>34068</v>
      </c>
      <c r="H164" s="969"/>
      <c r="I164" s="970">
        <v>1963</v>
      </c>
      <c r="J164" s="971">
        <v>8272</v>
      </c>
      <c r="K164" s="970">
        <v>4865</v>
      </c>
      <c r="L164" s="969">
        <v>30858</v>
      </c>
      <c r="M164" s="969"/>
      <c r="N164" s="970">
        <v>964</v>
      </c>
      <c r="O164" s="970">
        <v>0</v>
      </c>
      <c r="P164" s="970">
        <v>0</v>
      </c>
      <c r="Q164" s="969">
        <v>0</v>
      </c>
      <c r="R164" s="969"/>
      <c r="S164" s="970">
        <v>11481</v>
      </c>
      <c r="T164" s="972">
        <v>10929</v>
      </c>
      <c r="U164" s="972">
        <v>22410</v>
      </c>
    </row>
    <row r="165" spans="1:21" x14ac:dyDescent="0.25">
      <c r="A165" s="966">
        <v>91461</v>
      </c>
      <c r="B165" s="967" t="s">
        <v>2784</v>
      </c>
      <c r="C165" s="968">
        <v>9.3999999999999998E-6</v>
      </c>
      <c r="D165" s="968">
        <v>8.6999999999999997E-6</v>
      </c>
      <c r="E165" s="1007">
        <v>2932</v>
      </c>
      <c r="F165" s="1010">
        <v>18464</v>
      </c>
      <c r="G165" s="969">
        <v>14361</v>
      </c>
      <c r="H165" s="969"/>
      <c r="I165" s="970">
        <v>827</v>
      </c>
      <c r="J165" s="971">
        <v>3487</v>
      </c>
      <c r="K165" s="970">
        <v>2051</v>
      </c>
      <c r="L165" s="969">
        <v>2052</v>
      </c>
      <c r="M165" s="969"/>
      <c r="N165" s="970">
        <v>407</v>
      </c>
      <c r="O165" s="970">
        <v>0</v>
      </c>
      <c r="P165" s="970">
        <v>0</v>
      </c>
      <c r="Q165" s="969">
        <v>637</v>
      </c>
      <c r="R165" s="969"/>
      <c r="S165" s="970">
        <v>4840</v>
      </c>
      <c r="T165" s="972">
        <v>945</v>
      </c>
      <c r="U165" s="972">
        <f>5784+1</f>
        <v>5785</v>
      </c>
    </row>
    <row r="166" spans="1:21" x14ac:dyDescent="0.25">
      <c r="A166" s="966">
        <v>91501</v>
      </c>
      <c r="B166" s="967" t="s">
        <v>2785</v>
      </c>
      <c r="C166" s="968">
        <v>4.9700000000000005E-4</v>
      </c>
      <c r="D166" s="968">
        <v>5.1099999999999995E-4</v>
      </c>
      <c r="E166" s="1007">
        <v>231246</v>
      </c>
      <c r="F166" s="1010">
        <v>1084513</v>
      </c>
      <c r="G166" s="969">
        <v>759278</v>
      </c>
      <c r="H166" s="969"/>
      <c r="I166" s="970">
        <v>43741</v>
      </c>
      <c r="J166" s="971">
        <v>184353</v>
      </c>
      <c r="K166" s="970">
        <v>108435</v>
      </c>
      <c r="L166" s="969">
        <v>24430</v>
      </c>
      <c r="M166" s="969"/>
      <c r="N166" s="970">
        <v>21493</v>
      </c>
      <c r="O166" s="970">
        <v>0</v>
      </c>
      <c r="P166" s="970">
        <v>0</v>
      </c>
      <c r="Q166" s="969">
        <v>6922</v>
      </c>
      <c r="R166" s="969"/>
      <c r="S166" s="970">
        <v>255877</v>
      </c>
      <c r="T166" s="972">
        <v>15592</v>
      </c>
      <c r="U166" s="972">
        <v>271469</v>
      </c>
    </row>
    <row r="167" spans="1:21" x14ac:dyDescent="0.25">
      <c r="A167" s="966">
        <v>91504</v>
      </c>
      <c r="B167" s="967" t="s">
        <v>2786</v>
      </c>
      <c r="C167" s="968">
        <v>9.7000000000000003E-6</v>
      </c>
      <c r="D167" s="968">
        <v>1.0200000000000001E-5</v>
      </c>
      <c r="E167" s="1007">
        <v>6531</v>
      </c>
      <c r="F167" s="1010">
        <v>21648</v>
      </c>
      <c r="G167" s="969">
        <v>14819</v>
      </c>
      <c r="H167" s="969"/>
      <c r="I167" s="970">
        <v>854</v>
      </c>
      <c r="J167" s="971">
        <v>3599</v>
      </c>
      <c r="K167" s="970">
        <v>2116</v>
      </c>
      <c r="L167" s="969">
        <v>5620</v>
      </c>
      <c r="M167" s="969"/>
      <c r="N167" s="970">
        <v>419</v>
      </c>
      <c r="O167" s="970">
        <v>0</v>
      </c>
      <c r="P167" s="970">
        <v>0</v>
      </c>
      <c r="Q167" s="969">
        <v>0</v>
      </c>
      <c r="R167" s="969"/>
      <c r="S167" s="970">
        <v>4994</v>
      </c>
      <c r="T167" s="972">
        <v>2602</v>
      </c>
      <c r="U167" s="972">
        <v>7596</v>
      </c>
    </row>
    <row r="168" spans="1:21" x14ac:dyDescent="0.25">
      <c r="A168" s="966">
        <v>91601</v>
      </c>
      <c r="B168" s="967" t="s">
        <v>2787</v>
      </c>
      <c r="C168" s="968">
        <v>2.8040000000000001E-3</v>
      </c>
      <c r="D168" s="968">
        <v>2.9077999999999999E-3</v>
      </c>
      <c r="E168" s="1007">
        <v>1323806</v>
      </c>
      <c r="F168" s="1010">
        <v>6171326</v>
      </c>
      <c r="G168" s="969">
        <v>4283735</v>
      </c>
      <c r="H168" s="969"/>
      <c r="I168" s="970">
        <v>246783</v>
      </c>
      <c r="J168" s="971">
        <v>1040096</v>
      </c>
      <c r="K168" s="970">
        <v>611777</v>
      </c>
      <c r="L168" s="969">
        <v>168530</v>
      </c>
      <c r="M168" s="969"/>
      <c r="N168" s="970">
        <v>121259</v>
      </c>
      <c r="O168" s="970">
        <v>0</v>
      </c>
      <c r="P168" s="970">
        <v>0</v>
      </c>
      <c r="Q168" s="969">
        <v>40367</v>
      </c>
      <c r="R168" s="969"/>
      <c r="S168" s="970">
        <v>1443623</v>
      </c>
      <c r="T168" s="972">
        <v>76132</v>
      </c>
      <c r="U168" s="972">
        <v>1519755</v>
      </c>
    </row>
    <row r="169" spans="1:21" x14ac:dyDescent="0.25">
      <c r="A169" s="966">
        <v>91604</v>
      </c>
      <c r="B169" s="967" t="s">
        <v>2788</v>
      </c>
      <c r="C169" s="968">
        <v>8.8499999999999996E-5</v>
      </c>
      <c r="D169" s="968">
        <v>8.6799999999999996E-5</v>
      </c>
      <c r="E169" s="1007">
        <v>50507</v>
      </c>
      <c r="F169" s="1010">
        <v>184219</v>
      </c>
      <c r="G169" s="969">
        <v>135203</v>
      </c>
      <c r="H169" s="969"/>
      <c r="I169" s="970">
        <v>7789</v>
      </c>
      <c r="J169" s="971">
        <v>32827</v>
      </c>
      <c r="K169" s="970">
        <v>19309</v>
      </c>
      <c r="L169" s="969">
        <v>20977</v>
      </c>
      <c r="M169" s="969"/>
      <c r="N169" s="970">
        <v>3827</v>
      </c>
      <c r="O169" s="970">
        <v>0</v>
      </c>
      <c r="P169" s="970">
        <v>0</v>
      </c>
      <c r="Q169" s="969">
        <v>0</v>
      </c>
      <c r="R169" s="969"/>
      <c r="S169" s="970">
        <v>45564</v>
      </c>
      <c r="T169" s="972">
        <v>7680</v>
      </c>
      <c r="U169" s="972">
        <v>53244</v>
      </c>
    </row>
    <row r="170" spans="1:21" x14ac:dyDescent="0.25">
      <c r="A170" s="966">
        <v>91608</v>
      </c>
      <c r="B170" s="967" t="s">
        <v>2789</v>
      </c>
      <c r="C170" s="968">
        <v>1.5349999999999999E-4</v>
      </c>
      <c r="D170" s="968">
        <v>1.208E-4</v>
      </c>
      <c r="E170" s="1007">
        <v>45013</v>
      </c>
      <c r="F170" s="1010">
        <v>256378</v>
      </c>
      <c r="G170" s="969">
        <v>234505</v>
      </c>
      <c r="H170" s="969"/>
      <c r="I170" s="970">
        <v>13510</v>
      </c>
      <c r="J170" s="971">
        <v>56938</v>
      </c>
      <c r="K170" s="970">
        <v>33491</v>
      </c>
      <c r="L170" s="969">
        <v>2430</v>
      </c>
      <c r="M170" s="969"/>
      <c r="N170" s="970">
        <v>6638</v>
      </c>
      <c r="O170" s="970">
        <v>0</v>
      </c>
      <c r="P170" s="970">
        <v>0</v>
      </c>
      <c r="Q170" s="969">
        <v>28763</v>
      </c>
      <c r="R170" s="969"/>
      <c r="S170" s="970">
        <v>79029</v>
      </c>
      <c r="T170" s="972">
        <v>-12888</v>
      </c>
      <c r="U170" s="972">
        <f>66140+1</f>
        <v>66141</v>
      </c>
    </row>
    <row r="171" spans="1:21" x14ac:dyDescent="0.25">
      <c r="A171" s="966">
        <v>91611</v>
      </c>
      <c r="B171" s="967" t="s">
        <v>2790</v>
      </c>
      <c r="C171" s="968">
        <v>1.4708E-3</v>
      </c>
      <c r="D171" s="968">
        <v>1.4345E-3</v>
      </c>
      <c r="E171" s="1007">
        <v>598449</v>
      </c>
      <c r="F171" s="1010">
        <v>3044490</v>
      </c>
      <c r="G171" s="969">
        <v>2246975</v>
      </c>
      <c r="H171" s="969"/>
      <c r="I171" s="970">
        <v>129447</v>
      </c>
      <c r="J171" s="971">
        <v>545569</v>
      </c>
      <c r="K171" s="970">
        <v>320899</v>
      </c>
      <c r="L171" s="969">
        <v>19333</v>
      </c>
      <c r="M171" s="969"/>
      <c r="N171" s="970">
        <v>63605</v>
      </c>
      <c r="O171" s="970">
        <v>0</v>
      </c>
      <c r="P171" s="970">
        <v>0</v>
      </c>
      <c r="Q171" s="969">
        <v>53335</v>
      </c>
      <c r="R171" s="969"/>
      <c r="S171" s="970">
        <v>757233</v>
      </c>
      <c r="T171" s="972">
        <v>2483</v>
      </c>
      <c r="U171" s="972">
        <f>759715+1</f>
        <v>759716</v>
      </c>
    </row>
    <row r="172" spans="1:21" x14ac:dyDescent="0.25">
      <c r="A172" s="966">
        <v>91621</v>
      </c>
      <c r="B172" s="967" t="s">
        <v>2791</v>
      </c>
      <c r="C172" s="968">
        <v>2.7050000000000002E-4</v>
      </c>
      <c r="D172" s="968">
        <v>2.5240000000000001E-4</v>
      </c>
      <c r="E172" s="1007">
        <v>108514</v>
      </c>
      <c r="F172" s="1010">
        <v>535677</v>
      </c>
      <c r="G172" s="969">
        <v>413249</v>
      </c>
      <c r="H172" s="969"/>
      <c r="I172" s="970">
        <v>23807</v>
      </c>
      <c r="J172" s="971">
        <v>100337</v>
      </c>
      <c r="K172" s="970">
        <v>59018</v>
      </c>
      <c r="L172" s="969">
        <v>13260</v>
      </c>
      <c r="M172" s="969"/>
      <c r="N172" s="970">
        <v>11698</v>
      </c>
      <c r="O172" s="970">
        <v>0</v>
      </c>
      <c r="P172" s="970">
        <v>0</v>
      </c>
      <c r="Q172" s="969">
        <v>14620</v>
      </c>
      <c r="R172" s="969"/>
      <c r="S172" s="970">
        <v>139265</v>
      </c>
      <c r="T172" s="972">
        <v>-4185</v>
      </c>
      <c r="U172" s="972">
        <v>135080</v>
      </c>
    </row>
    <row r="173" spans="1:21" x14ac:dyDescent="0.25">
      <c r="A173" s="966">
        <v>91631</v>
      </c>
      <c r="B173" s="967" t="s">
        <v>2792</v>
      </c>
      <c r="C173" s="968">
        <v>5.2249999999999996E-4</v>
      </c>
      <c r="D173" s="968">
        <v>5.3870000000000003E-4</v>
      </c>
      <c r="E173" s="1007">
        <v>219722</v>
      </c>
      <c r="F173" s="1010">
        <v>1143302</v>
      </c>
      <c r="G173" s="969">
        <v>798235</v>
      </c>
      <c r="H173" s="969"/>
      <c r="I173" s="970">
        <v>45986</v>
      </c>
      <c r="J173" s="971">
        <v>193812</v>
      </c>
      <c r="K173" s="970">
        <v>113999</v>
      </c>
      <c r="L173" s="969">
        <v>0</v>
      </c>
      <c r="M173" s="969"/>
      <c r="N173" s="970">
        <v>22596</v>
      </c>
      <c r="O173" s="970">
        <v>0</v>
      </c>
      <c r="P173" s="970">
        <v>0</v>
      </c>
      <c r="Q173" s="969">
        <v>52272</v>
      </c>
      <c r="R173" s="969"/>
      <c r="S173" s="970">
        <v>269006</v>
      </c>
      <c r="T173" s="972">
        <v>-16747</v>
      </c>
      <c r="U173" s="972">
        <v>252259</v>
      </c>
    </row>
    <row r="174" spans="1:21" x14ac:dyDescent="0.25">
      <c r="A174" s="966">
        <v>91633</v>
      </c>
      <c r="B174" s="967" t="s">
        <v>2793</v>
      </c>
      <c r="C174" s="968">
        <v>2.51E-5</v>
      </c>
      <c r="D174" s="968">
        <v>2.3799999999999999E-5</v>
      </c>
      <c r="E174" s="1007">
        <v>11022</v>
      </c>
      <c r="F174" s="1010">
        <v>50512</v>
      </c>
      <c r="G174" s="969">
        <v>38346</v>
      </c>
      <c r="H174" s="969"/>
      <c r="I174" s="970">
        <v>2209</v>
      </c>
      <c r="J174" s="971">
        <v>9311</v>
      </c>
      <c r="K174" s="970">
        <v>5476</v>
      </c>
      <c r="L174" s="969">
        <v>1513</v>
      </c>
      <c r="M174" s="969"/>
      <c r="N174" s="970">
        <v>1085</v>
      </c>
      <c r="O174" s="970">
        <v>0</v>
      </c>
      <c r="P174" s="970">
        <v>0</v>
      </c>
      <c r="Q174" s="969">
        <v>3215</v>
      </c>
      <c r="R174" s="969"/>
      <c r="S174" s="970">
        <v>12923</v>
      </c>
      <c r="T174" s="972">
        <v>-1367</v>
      </c>
      <c r="U174" s="972">
        <f>11555+1</f>
        <v>11556</v>
      </c>
    </row>
    <row r="175" spans="1:21" x14ac:dyDescent="0.25">
      <c r="A175" s="966">
        <v>91641</v>
      </c>
      <c r="B175" s="967" t="s">
        <v>2794</v>
      </c>
      <c r="C175" s="968">
        <v>3.1139999999999998E-4</v>
      </c>
      <c r="D175" s="968">
        <v>2.742E-4</v>
      </c>
      <c r="E175" s="1007">
        <v>104379</v>
      </c>
      <c r="F175" s="1010">
        <v>581944</v>
      </c>
      <c r="G175" s="969">
        <v>475733</v>
      </c>
      <c r="H175" s="969"/>
      <c r="I175" s="970">
        <v>27407</v>
      </c>
      <c r="J175" s="971">
        <v>115509</v>
      </c>
      <c r="K175" s="970">
        <v>67941</v>
      </c>
      <c r="L175" s="969">
        <v>0</v>
      </c>
      <c r="M175" s="969"/>
      <c r="N175" s="970">
        <v>13466</v>
      </c>
      <c r="O175" s="970">
        <v>0</v>
      </c>
      <c r="P175" s="970">
        <v>0</v>
      </c>
      <c r="Q175" s="969">
        <v>55139</v>
      </c>
      <c r="R175" s="969"/>
      <c r="S175" s="970">
        <v>160322</v>
      </c>
      <c r="T175" s="972">
        <v>-25877</v>
      </c>
      <c r="U175" s="972">
        <v>134445</v>
      </c>
    </row>
    <row r="176" spans="1:21" x14ac:dyDescent="0.25">
      <c r="A176" s="966">
        <v>91651</v>
      </c>
      <c r="B176" s="967" t="s">
        <v>2795</v>
      </c>
      <c r="C176" s="968">
        <v>4.4440000000000001E-4</v>
      </c>
      <c r="D176" s="968">
        <v>4.6099999999999998E-4</v>
      </c>
      <c r="E176" s="1007">
        <v>205102</v>
      </c>
      <c r="F176" s="1010">
        <v>978396</v>
      </c>
      <c r="G176" s="969">
        <v>678920</v>
      </c>
      <c r="H176" s="969"/>
      <c r="I176" s="970">
        <v>39112</v>
      </c>
      <c r="J176" s="971">
        <v>164843</v>
      </c>
      <c r="K176" s="970">
        <v>96959</v>
      </c>
      <c r="L176" s="969">
        <v>0</v>
      </c>
      <c r="M176" s="969"/>
      <c r="N176" s="970">
        <v>19218</v>
      </c>
      <c r="O176" s="970">
        <v>0</v>
      </c>
      <c r="P176" s="970">
        <v>0</v>
      </c>
      <c r="Q176" s="969">
        <v>30696</v>
      </c>
      <c r="R176" s="969"/>
      <c r="S176" s="970">
        <v>228797</v>
      </c>
      <c r="T176" s="972">
        <v>-12407</v>
      </c>
      <c r="U176" s="972">
        <v>216390</v>
      </c>
    </row>
    <row r="177" spans="1:21" x14ac:dyDescent="0.25">
      <c r="A177" s="966">
        <v>91661</v>
      </c>
      <c r="B177" s="967" t="s">
        <v>2796</v>
      </c>
      <c r="C177" s="968">
        <v>1.673E-4</v>
      </c>
      <c r="D177" s="968">
        <v>1.6750000000000001E-4</v>
      </c>
      <c r="E177" s="1007">
        <v>56241</v>
      </c>
      <c r="F177" s="1010">
        <v>355491</v>
      </c>
      <c r="G177" s="969">
        <v>255588</v>
      </c>
      <c r="H177" s="969"/>
      <c r="I177" s="970">
        <v>14724</v>
      </c>
      <c r="J177" s="971">
        <v>62057</v>
      </c>
      <c r="K177" s="970">
        <v>36502</v>
      </c>
      <c r="L177" s="969">
        <v>0</v>
      </c>
      <c r="M177" s="969"/>
      <c r="N177" s="970">
        <v>7235</v>
      </c>
      <c r="O177" s="970">
        <v>0</v>
      </c>
      <c r="P177" s="970">
        <v>0</v>
      </c>
      <c r="Q177" s="969">
        <v>45519</v>
      </c>
      <c r="R177" s="969"/>
      <c r="S177" s="970">
        <v>86133</v>
      </c>
      <c r="T177" s="972">
        <v>-16188</v>
      </c>
      <c r="U177" s="972">
        <v>69945</v>
      </c>
    </row>
    <row r="178" spans="1:21" x14ac:dyDescent="0.25">
      <c r="A178" s="966">
        <v>91671</v>
      </c>
      <c r="B178" s="967" t="s">
        <v>2797</v>
      </c>
      <c r="C178" s="968">
        <v>9.6700000000000006E-5</v>
      </c>
      <c r="D178" s="968">
        <v>9.7600000000000001E-5</v>
      </c>
      <c r="E178" s="1007">
        <v>43651</v>
      </c>
      <c r="F178" s="1010">
        <v>207140</v>
      </c>
      <c r="G178" s="969">
        <v>147731</v>
      </c>
      <c r="H178" s="969"/>
      <c r="I178" s="970">
        <v>8511</v>
      </c>
      <c r="J178" s="971">
        <v>35869</v>
      </c>
      <c r="K178" s="970">
        <v>21098</v>
      </c>
      <c r="L178" s="969">
        <v>11497</v>
      </c>
      <c r="M178" s="969"/>
      <c r="N178" s="970">
        <v>4182</v>
      </c>
      <c r="O178" s="970">
        <v>0</v>
      </c>
      <c r="P178" s="970">
        <v>0</v>
      </c>
      <c r="Q178" s="969">
        <v>1197</v>
      </c>
      <c r="R178" s="969"/>
      <c r="S178" s="970">
        <v>49785</v>
      </c>
      <c r="T178" s="972">
        <v>5725</v>
      </c>
      <c r="U178" s="972">
        <v>55510</v>
      </c>
    </row>
    <row r="179" spans="1:21" x14ac:dyDescent="0.25">
      <c r="A179" s="966">
        <v>91681</v>
      </c>
      <c r="B179" s="967" t="s">
        <v>2798</v>
      </c>
      <c r="C179" s="968">
        <v>4.728E-4</v>
      </c>
      <c r="D179" s="968">
        <v>4.7130000000000002E-4</v>
      </c>
      <c r="E179" s="1007">
        <v>387832</v>
      </c>
      <c r="F179" s="1010">
        <v>1000256</v>
      </c>
      <c r="G179" s="969">
        <v>722307</v>
      </c>
      <c r="H179" s="969"/>
      <c r="I179" s="970">
        <v>41612</v>
      </c>
      <c r="J179" s="971">
        <v>175378</v>
      </c>
      <c r="K179" s="970">
        <v>103156</v>
      </c>
      <c r="L179" s="969">
        <v>274278</v>
      </c>
      <c r="M179" s="969"/>
      <c r="N179" s="970">
        <v>20446</v>
      </c>
      <c r="O179" s="970">
        <v>0</v>
      </c>
      <c r="P179" s="970">
        <v>0</v>
      </c>
      <c r="Q179" s="969">
        <v>4516</v>
      </c>
      <c r="R179" s="969"/>
      <c r="S179" s="970">
        <v>243418</v>
      </c>
      <c r="T179" s="972">
        <v>89641</v>
      </c>
      <c r="U179" s="972">
        <v>333059</v>
      </c>
    </row>
    <row r="180" spans="1:21" x14ac:dyDescent="0.25">
      <c r="A180" s="966">
        <v>91691</v>
      </c>
      <c r="B180" s="967" t="s">
        <v>2799</v>
      </c>
      <c r="C180" s="968">
        <v>2.3200000000000001E-5</v>
      </c>
      <c r="D180" s="968">
        <v>2.4199999999999999E-5</v>
      </c>
      <c r="E180" s="1007">
        <v>10219</v>
      </c>
      <c r="F180" s="1010">
        <v>51361</v>
      </c>
      <c r="G180" s="969">
        <v>35443</v>
      </c>
      <c r="H180" s="969"/>
      <c r="I180" s="970">
        <v>2042</v>
      </c>
      <c r="J180" s="971">
        <v>8605</v>
      </c>
      <c r="K180" s="970">
        <v>5062</v>
      </c>
      <c r="L180" s="969">
        <v>1782</v>
      </c>
      <c r="M180" s="969"/>
      <c r="N180" s="970">
        <v>1003</v>
      </c>
      <c r="O180" s="970">
        <v>0</v>
      </c>
      <c r="P180" s="970">
        <v>0</v>
      </c>
      <c r="Q180" s="969">
        <v>1533</v>
      </c>
      <c r="R180" s="969"/>
      <c r="S180" s="970">
        <v>11944</v>
      </c>
      <c r="T180" s="972">
        <v>129</v>
      </c>
      <c r="U180" s="972">
        <f>12074-1</f>
        <v>12073</v>
      </c>
    </row>
    <row r="181" spans="1:21" x14ac:dyDescent="0.25">
      <c r="A181" s="966">
        <v>91701</v>
      </c>
      <c r="B181" s="967" t="s">
        <v>2800</v>
      </c>
      <c r="C181" s="968">
        <v>1.2451999999999999E-3</v>
      </c>
      <c r="D181" s="968">
        <v>1.0897000000000001E-3</v>
      </c>
      <c r="E181" s="1007">
        <v>542906</v>
      </c>
      <c r="F181" s="1010">
        <v>2312708</v>
      </c>
      <c r="G181" s="969">
        <v>1902321</v>
      </c>
      <c r="H181" s="969"/>
      <c r="I181" s="970">
        <v>109591</v>
      </c>
      <c r="J181" s="971">
        <v>461886</v>
      </c>
      <c r="K181" s="970">
        <v>271678</v>
      </c>
      <c r="L181" s="969">
        <v>95964</v>
      </c>
      <c r="M181" s="969"/>
      <c r="N181" s="970">
        <v>53849</v>
      </c>
      <c r="O181" s="970">
        <v>0</v>
      </c>
      <c r="P181" s="970">
        <v>0</v>
      </c>
      <c r="Q181" s="969">
        <v>6949</v>
      </c>
      <c r="R181" s="969"/>
      <c r="S181" s="970">
        <v>641084</v>
      </c>
      <c r="T181" s="972">
        <v>18725</v>
      </c>
      <c r="U181" s="972">
        <v>659809</v>
      </c>
    </row>
    <row r="182" spans="1:21" x14ac:dyDescent="0.25">
      <c r="A182" s="966">
        <v>91704</v>
      </c>
      <c r="B182" s="967" t="s">
        <v>2801</v>
      </c>
      <c r="C182" s="968">
        <v>1.73E-5</v>
      </c>
      <c r="D182" s="968">
        <v>1.6699999999999999E-5</v>
      </c>
      <c r="E182" s="1007">
        <v>7506</v>
      </c>
      <c r="F182" s="1010">
        <v>35443</v>
      </c>
      <c r="G182" s="969">
        <v>26430</v>
      </c>
      <c r="H182" s="969"/>
      <c r="I182" s="970">
        <v>1523</v>
      </c>
      <c r="J182" s="971">
        <v>6417</v>
      </c>
      <c r="K182" s="970">
        <v>3775</v>
      </c>
      <c r="L182" s="969">
        <v>1084</v>
      </c>
      <c r="M182" s="969"/>
      <c r="N182" s="970">
        <v>748</v>
      </c>
      <c r="O182" s="970">
        <v>0</v>
      </c>
      <c r="P182" s="970">
        <v>0</v>
      </c>
      <c r="Q182" s="969">
        <v>0</v>
      </c>
      <c r="R182" s="969"/>
      <c r="S182" s="970">
        <v>8907</v>
      </c>
      <c r="T182" s="972">
        <v>641</v>
      </c>
      <c r="U182" s="972">
        <v>9548</v>
      </c>
    </row>
    <row r="183" spans="1:21" x14ac:dyDescent="0.25">
      <c r="A183" s="966">
        <v>91706</v>
      </c>
      <c r="B183" s="967" t="s">
        <v>2802</v>
      </c>
      <c r="C183" s="968">
        <v>2.4340000000000001E-4</v>
      </c>
      <c r="D183" s="968">
        <v>2.4279999999999999E-4</v>
      </c>
      <c r="E183" s="1007">
        <v>121963</v>
      </c>
      <c r="F183" s="1010">
        <v>515303</v>
      </c>
      <c r="G183" s="969">
        <v>371848</v>
      </c>
      <c r="H183" s="969"/>
      <c r="I183" s="970">
        <v>21422</v>
      </c>
      <c r="J183" s="971">
        <v>90285</v>
      </c>
      <c r="K183" s="970">
        <v>53105</v>
      </c>
      <c r="L183" s="969">
        <v>9101</v>
      </c>
      <c r="M183" s="969"/>
      <c r="N183" s="970">
        <v>10526</v>
      </c>
      <c r="O183" s="970">
        <v>0</v>
      </c>
      <c r="P183" s="970">
        <v>0</v>
      </c>
      <c r="Q183" s="969">
        <v>8271</v>
      </c>
      <c r="R183" s="969"/>
      <c r="S183" s="970">
        <v>125313</v>
      </c>
      <c r="T183" s="972">
        <v>-4120</v>
      </c>
      <c r="U183" s="972">
        <v>121193</v>
      </c>
    </row>
    <row r="184" spans="1:21" x14ac:dyDescent="0.25">
      <c r="A184" s="966">
        <v>91719</v>
      </c>
      <c r="B184" s="967" t="s">
        <v>2803</v>
      </c>
      <c r="C184" s="968">
        <v>4.9700000000000002E-5</v>
      </c>
      <c r="D184" s="968">
        <v>4.9299999999999999E-5</v>
      </c>
      <c r="E184" s="1007">
        <v>19656</v>
      </c>
      <c r="F184" s="1010">
        <v>104631</v>
      </c>
      <c r="G184" s="969">
        <v>75928</v>
      </c>
      <c r="H184" s="969"/>
      <c r="I184" s="970">
        <v>4374</v>
      </c>
      <c r="J184" s="971">
        <v>18435</v>
      </c>
      <c r="K184" s="970">
        <v>10844</v>
      </c>
      <c r="L184" s="969">
        <v>4395</v>
      </c>
      <c r="M184" s="969"/>
      <c r="N184" s="970">
        <v>2149</v>
      </c>
      <c r="O184" s="970">
        <v>0</v>
      </c>
      <c r="P184" s="970">
        <v>0</v>
      </c>
      <c r="Q184" s="969">
        <v>4419</v>
      </c>
      <c r="R184" s="969"/>
      <c r="S184" s="970">
        <v>25588</v>
      </c>
      <c r="T184" s="972">
        <v>37</v>
      </c>
      <c r="U184" s="972">
        <v>25625</v>
      </c>
    </row>
    <row r="185" spans="1:21" x14ac:dyDescent="0.25">
      <c r="A185" s="966">
        <v>91801</v>
      </c>
      <c r="B185" s="967" t="s">
        <v>2804</v>
      </c>
      <c r="C185" s="968">
        <v>8.0961000000000002E-3</v>
      </c>
      <c r="D185" s="968">
        <v>8.3853999999999995E-3</v>
      </c>
      <c r="E185" s="1007">
        <v>3752769</v>
      </c>
      <c r="F185" s="1010">
        <v>17796628</v>
      </c>
      <c r="G185" s="969">
        <v>12368598</v>
      </c>
      <c r="H185" s="969"/>
      <c r="I185" s="970">
        <v>712546</v>
      </c>
      <c r="J185" s="971">
        <v>3003111</v>
      </c>
      <c r="K185" s="970">
        <v>1766407</v>
      </c>
      <c r="L185" s="969">
        <v>0</v>
      </c>
      <c r="M185" s="969"/>
      <c r="N185" s="970">
        <v>350116</v>
      </c>
      <c r="O185" s="970">
        <v>0</v>
      </c>
      <c r="P185" s="970">
        <v>0</v>
      </c>
      <c r="Q185" s="969">
        <v>242225</v>
      </c>
      <c r="R185" s="969"/>
      <c r="S185" s="970">
        <v>4168229</v>
      </c>
      <c r="T185" s="972">
        <v>-87031</v>
      </c>
      <c r="U185" s="972">
        <f>4081197+1</f>
        <v>4081198</v>
      </c>
    </row>
    <row r="186" spans="1:21" x14ac:dyDescent="0.25">
      <c r="A186" s="966">
        <v>91804</v>
      </c>
      <c r="B186" s="967" t="s">
        <v>2805</v>
      </c>
      <c r="C186" s="968">
        <v>1.3439999999999999E-4</v>
      </c>
      <c r="D186" s="968">
        <v>1.462E-4</v>
      </c>
      <c r="E186" s="1007">
        <v>95886</v>
      </c>
      <c r="F186" s="1010">
        <v>310285</v>
      </c>
      <c r="G186" s="969">
        <v>205326</v>
      </c>
      <c r="H186" s="969"/>
      <c r="I186" s="970">
        <v>11829</v>
      </c>
      <c r="J186" s="971">
        <v>49854</v>
      </c>
      <c r="K186" s="970">
        <v>29323</v>
      </c>
      <c r="L186" s="969">
        <v>55699</v>
      </c>
      <c r="M186" s="969"/>
      <c r="N186" s="970">
        <v>5812</v>
      </c>
      <c r="O186" s="970">
        <v>0</v>
      </c>
      <c r="P186" s="970">
        <v>0</v>
      </c>
      <c r="Q186" s="969">
        <v>0</v>
      </c>
      <c r="R186" s="969"/>
      <c r="S186" s="970">
        <v>69195</v>
      </c>
      <c r="T186" s="972">
        <v>23621</v>
      </c>
      <c r="U186" s="972">
        <v>92816</v>
      </c>
    </row>
    <row r="187" spans="1:21" x14ac:dyDescent="0.25">
      <c r="A187" s="966">
        <v>91811</v>
      </c>
      <c r="B187" s="967" t="s">
        <v>2806</v>
      </c>
      <c r="C187" s="968">
        <v>4.5555999999999999E-3</v>
      </c>
      <c r="D187" s="968">
        <v>4.6454000000000001E-3</v>
      </c>
      <c r="E187" s="1007">
        <v>1964158</v>
      </c>
      <c r="F187" s="1010">
        <v>9859095</v>
      </c>
      <c r="G187" s="969">
        <v>6959695</v>
      </c>
      <c r="H187" s="969"/>
      <c r="I187" s="970">
        <v>400943</v>
      </c>
      <c r="J187" s="971">
        <v>1689822</v>
      </c>
      <c r="K187" s="970">
        <v>993941</v>
      </c>
      <c r="L187" s="969">
        <v>0</v>
      </c>
      <c r="M187" s="969"/>
      <c r="N187" s="970">
        <v>197007</v>
      </c>
      <c r="O187" s="970">
        <v>0</v>
      </c>
      <c r="P187" s="970">
        <v>0</v>
      </c>
      <c r="Q187" s="969">
        <v>519421</v>
      </c>
      <c r="R187" s="969"/>
      <c r="S187" s="970">
        <v>2345423</v>
      </c>
      <c r="T187" s="972">
        <v>-197590</v>
      </c>
      <c r="U187" s="972">
        <v>2147833</v>
      </c>
    </row>
    <row r="188" spans="1:21" x14ac:dyDescent="0.25">
      <c r="A188" s="966">
        <v>91812</v>
      </c>
      <c r="B188" s="967" t="s">
        <v>2807</v>
      </c>
      <c r="C188" s="968">
        <v>5.0800000000000002E-5</v>
      </c>
      <c r="D188" s="968">
        <v>5.8199999999999998E-5</v>
      </c>
      <c r="E188" s="1007">
        <v>26136</v>
      </c>
      <c r="F188" s="1010">
        <v>123520</v>
      </c>
      <c r="G188" s="969">
        <v>77608</v>
      </c>
      <c r="H188" s="969"/>
      <c r="I188" s="970">
        <v>4471</v>
      </c>
      <c r="J188" s="971">
        <v>18843</v>
      </c>
      <c r="K188" s="970">
        <v>11084</v>
      </c>
      <c r="L188" s="969">
        <v>11326</v>
      </c>
      <c r="M188" s="969"/>
      <c r="N188" s="970">
        <v>2197</v>
      </c>
      <c r="O188" s="970">
        <v>0</v>
      </c>
      <c r="P188" s="970">
        <v>0</v>
      </c>
      <c r="Q188" s="969">
        <v>2710</v>
      </c>
      <c r="R188" s="969"/>
      <c r="S188" s="970">
        <v>26154</v>
      </c>
      <c r="T188" s="972">
        <v>4584</v>
      </c>
      <c r="U188" s="972">
        <v>30738</v>
      </c>
    </row>
    <row r="189" spans="1:21" x14ac:dyDescent="0.25">
      <c r="A189" s="966">
        <v>91813</v>
      </c>
      <c r="B189" s="967" t="s">
        <v>2808</v>
      </c>
      <c r="C189" s="968">
        <v>8.6100000000000006E-5</v>
      </c>
      <c r="D189" s="968">
        <v>1.083E-4</v>
      </c>
      <c r="E189" s="1007">
        <v>44452</v>
      </c>
      <c r="F189" s="1010">
        <v>229849</v>
      </c>
      <c r="G189" s="969">
        <v>131537</v>
      </c>
      <c r="H189" s="969"/>
      <c r="I189" s="970">
        <v>7578</v>
      </c>
      <c r="J189" s="971">
        <v>31938</v>
      </c>
      <c r="K189" s="970">
        <v>18785</v>
      </c>
      <c r="L189" s="969">
        <v>10986</v>
      </c>
      <c r="M189" s="969"/>
      <c r="N189" s="970">
        <v>3723</v>
      </c>
      <c r="O189" s="970">
        <v>0</v>
      </c>
      <c r="P189" s="970">
        <v>0</v>
      </c>
      <c r="Q189" s="969">
        <v>13565</v>
      </c>
      <c r="R189" s="969"/>
      <c r="S189" s="970">
        <v>44328</v>
      </c>
      <c r="T189" s="972">
        <v>-155</v>
      </c>
      <c r="U189" s="972">
        <v>44173</v>
      </c>
    </row>
    <row r="190" spans="1:21" x14ac:dyDescent="0.25">
      <c r="A190" s="966">
        <v>91818</v>
      </c>
      <c r="B190" s="967" t="s">
        <v>2809</v>
      </c>
      <c r="C190" s="968">
        <v>4.0079999999999998E-4</v>
      </c>
      <c r="D190" s="968">
        <v>3.8559999999999999E-4</v>
      </c>
      <c r="E190" s="1007">
        <v>453409</v>
      </c>
      <c r="F190" s="1010">
        <v>818372</v>
      </c>
      <c r="G190" s="969">
        <v>612311</v>
      </c>
      <c r="H190" s="969"/>
      <c r="I190" s="970">
        <v>35275</v>
      </c>
      <c r="J190" s="971">
        <v>148670</v>
      </c>
      <c r="K190" s="970">
        <v>87447</v>
      </c>
      <c r="L190" s="969">
        <v>469231</v>
      </c>
      <c r="M190" s="969"/>
      <c r="N190" s="970">
        <v>17333</v>
      </c>
      <c r="O190" s="970">
        <v>0</v>
      </c>
      <c r="P190" s="970">
        <v>0</v>
      </c>
      <c r="Q190" s="969">
        <v>5024</v>
      </c>
      <c r="R190" s="969"/>
      <c r="S190" s="970">
        <v>206349</v>
      </c>
      <c r="T190" s="972">
        <v>155106</v>
      </c>
      <c r="U190" s="972">
        <f>361456-1</f>
        <v>361455</v>
      </c>
    </row>
    <row r="191" spans="1:21" x14ac:dyDescent="0.25">
      <c r="A191" s="966">
        <v>91819</v>
      </c>
      <c r="B191" s="967" t="s">
        <v>2810</v>
      </c>
      <c r="C191" s="968">
        <v>2.8489999999999999E-4</v>
      </c>
      <c r="D191" s="968">
        <v>2.8200000000000002E-4</v>
      </c>
      <c r="E191" s="1007">
        <v>138657</v>
      </c>
      <c r="F191" s="1010">
        <v>598498</v>
      </c>
      <c r="G191" s="969">
        <v>435248</v>
      </c>
      <c r="H191" s="969"/>
      <c r="I191" s="970">
        <v>25074</v>
      </c>
      <c r="J191" s="971">
        <v>105678</v>
      </c>
      <c r="K191" s="970">
        <v>62159</v>
      </c>
      <c r="L191" s="969">
        <v>15073</v>
      </c>
      <c r="M191" s="969"/>
      <c r="N191" s="970">
        <v>12321</v>
      </c>
      <c r="O191" s="970">
        <v>0</v>
      </c>
      <c r="P191" s="970">
        <v>0</v>
      </c>
      <c r="Q191" s="969">
        <v>8276</v>
      </c>
      <c r="R191" s="969"/>
      <c r="S191" s="970">
        <v>146679</v>
      </c>
      <c r="T191" s="972">
        <v>5278</v>
      </c>
      <c r="U191" s="972">
        <v>151957</v>
      </c>
    </row>
    <row r="192" spans="1:21" x14ac:dyDescent="0.25">
      <c r="A192" s="966">
        <v>91821</v>
      </c>
      <c r="B192" s="967" t="s">
        <v>2811</v>
      </c>
      <c r="C192" s="968">
        <v>1.7330000000000001E-4</v>
      </c>
      <c r="D192" s="968">
        <v>1.63E-4</v>
      </c>
      <c r="E192" s="1007">
        <v>71126</v>
      </c>
      <c r="F192" s="1010">
        <v>345941</v>
      </c>
      <c r="G192" s="969">
        <v>264754</v>
      </c>
      <c r="H192" s="969"/>
      <c r="I192" s="970">
        <v>15252</v>
      </c>
      <c r="J192" s="971">
        <v>64283</v>
      </c>
      <c r="K192" s="970">
        <v>37811</v>
      </c>
      <c r="L192" s="969">
        <v>2434</v>
      </c>
      <c r="M192" s="969"/>
      <c r="N192" s="970">
        <v>7494</v>
      </c>
      <c r="O192" s="970">
        <v>0</v>
      </c>
      <c r="P192" s="970">
        <v>0</v>
      </c>
      <c r="Q192" s="969">
        <v>1112</v>
      </c>
      <c r="R192" s="969"/>
      <c r="S192" s="970">
        <v>89222</v>
      </c>
      <c r="T192" s="972">
        <v>1572</v>
      </c>
      <c r="U192" s="972">
        <f>90795-1</f>
        <v>90794</v>
      </c>
    </row>
    <row r="193" spans="1:21" x14ac:dyDescent="0.25">
      <c r="A193" s="966">
        <v>91831</v>
      </c>
      <c r="B193" s="967" t="s">
        <v>2812</v>
      </c>
      <c r="C193" s="968">
        <v>3.366E-4</v>
      </c>
      <c r="D193" s="968">
        <v>3.414E-4</v>
      </c>
      <c r="E193" s="1007">
        <v>150178</v>
      </c>
      <c r="F193" s="1010">
        <v>724565</v>
      </c>
      <c r="G193" s="969">
        <v>514232</v>
      </c>
      <c r="H193" s="969"/>
      <c r="I193" s="970">
        <v>29625</v>
      </c>
      <c r="J193" s="971">
        <v>124856</v>
      </c>
      <c r="K193" s="970">
        <v>73439</v>
      </c>
      <c r="L193" s="969">
        <v>7847</v>
      </c>
      <c r="M193" s="969"/>
      <c r="N193" s="970">
        <v>14556</v>
      </c>
      <c r="O193" s="970">
        <v>0</v>
      </c>
      <c r="P193" s="970">
        <v>0</v>
      </c>
      <c r="Q193" s="969">
        <v>13475</v>
      </c>
      <c r="R193" s="969"/>
      <c r="S193" s="970">
        <v>173296</v>
      </c>
      <c r="T193" s="972">
        <v>520</v>
      </c>
      <c r="U193" s="972">
        <v>173816</v>
      </c>
    </row>
    <row r="194" spans="1:21" x14ac:dyDescent="0.25">
      <c r="A194" s="966">
        <v>91841</v>
      </c>
      <c r="B194" s="967" t="s">
        <v>2813</v>
      </c>
      <c r="C194" s="968">
        <v>2.5339999999999998E-4</v>
      </c>
      <c r="D194" s="968">
        <v>2.63E-4</v>
      </c>
      <c r="E194" s="1007">
        <v>126479</v>
      </c>
      <c r="F194" s="1010">
        <v>558174</v>
      </c>
      <c r="G194" s="969">
        <v>387125</v>
      </c>
      <c r="H194" s="969"/>
      <c r="I194" s="970">
        <v>22302</v>
      </c>
      <c r="J194" s="971">
        <v>93994</v>
      </c>
      <c r="K194" s="970">
        <v>55287</v>
      </c>
      <c r="L194" s="969">
        <v>1681</v>
      </c>
      <c r="M194" s="969"/>
      <c r="N194" s="970">
        <v>10958</v>
      </c>
      <c r="O194" s="970">
        <v>0</v>
      </c>
      <c r="P194" s="970">
        <v>0</v>
      </c>
      <c r="Q194" s="969">
        <v>14711</v>
      </c>
      <c r="R194" s="969"/>
      <c r="S194" s="970">
        <v>130461</v>
      </c>
      <c r="T194" s="972">
        <v>-9727</v>
      </c>
      <c r="U194" s="972">
        <v>120734</v>
      </c>
    </row>
    <row r="195" spans="1:21" x14ac:dyDescent="0.25">
      <c r="A195" s="966">
        <v>91851</v>
      </c>
      <c r="B195" s="967" t="s">
        <v>2814</v>
      </c>
      <c r="C195" s="968">
        <v>7.4910000000000005E-4</v>
      </c>
      <c r="D195" s="968">
        <v>7.2059999999999995E-4</v>
      </c>
      <c r="E195" s="1007">
        <v>326836</v>
      </c>
      <c r="F195" s="1010">
        <v>1529355</v>
      </c>
      <c r="G195" s="969">
        <v>1144417</v>
      </c>
      <c r="H195" s="969"/>
      <c r="I195" s="970">
        <v>65929</v>
      </c>
      <c r="J195" s="971">
        <v>277866</v>
      </c>
      <c r="K195" s="970">
        <v>163439</v>
      </c>
      <c r="L195" s="969">
        <v>9030</v>
      </c>
      <c r="M195" s="969"/>
      <c r="N195" s="970">
        <v>32395</v>
      </c>
      <c r="O195" s="970">
        <v>0</v>
      </c>
      <c r="P195" s="970">
        <v>0</v>
      </c>
      <c r="Q195" s="969">
        <v>44287</v>
      </c>
      <c r="R195" s="969"/>
      <c r="S195" s="970">
        <v>385670</v>
      </c>
      <c r="T195" s="972">
        <v>-13424</v>
      </c>
      <c r="U195" s="972">
        <v>372246</v>
      </c>
    </row>
    <row r="196" spans="1:21" x14ac:dyDescent="0.25">
      <c r="A196" s="966">
        <v>91861</v>
      </c>
      <c r="B196" s="967" t="s">
        <v>2815</v>
      </c>
      <c r="C196" s="968">
        <v>1.9700000000000001E-5</v>
      </c>
      <c r="D196" s="968">
        <v>1.9899999999999999E-5</v>
      </c>
      <c r="E196" s="1007">
        <v>8023</v>
      </c>
      <c r="F196" s="1010">
        <v>42234</v>
      </c>
      <c r="G196" s="969">
        <v>30096</v>
      </c>
      <c r="H196" s="969"/>
      <c r="I196" s="970">
        <v>1734</v>
      </c>
      <c r="J196" s="971">
        <v>7308</v>
      </c>
      <c r="K196" s="970">
        <v>4298</v>
      </c>
      <c r="L196" s="969">
        <v>2050</v>
      </c>
      <c r="M196" s="969"/>
      <c r="N196" s="970">
        <v>852</v>
      </c>
      <c r="O196" s="970">
        <v>0</v>
      </c>
      <c r="P196" s="970">
        <v>0</v>
      </c>
      <c r="Q196" s="969">
        <v>1061</v>
      </c>
      <c r="R196" s="969"/>
      <c r="S196" s="970">
        <v>10142</v>
      </c>
      <c r="T196" s="972">
        <v>692</v>
      </c>
      <c r="U196" s="972">
        <f>10835-1</f>
        <v>10834</v>
      </c>
    </row>
    <row r="197" spans="1:21" x14ac:dyDescent="0.25">
      <c r="A197" s="966">
        <v>91871</v>
      </c>
      <c r="B197" s="967" t="s">
        <v>2816</v>
      </c>
      <c r="C197" s="968">
        <v>1.3319E-3</v>
      </c>
      <c r="D197" s="968">
        <v>1.2712000000000001E-3</v>
      </c>
      <c r="E197" s="1007">
        <v>588755</v>
      </c>
      <c r="F197" s="1010">
        <v>2697912</v>
      </c>
      <c r="G197" s="969">
        <v>2034774</v>
      </c>
      <c r="H197" s="969"/>
      <c r="I197" s="970">
        <v>117222</v>
      </c>
      <c r="J197" s="971">
        <v>494045</v>
      </c>
      <c r="K197" s="970">
        <v>290594</v>
      </c>
      <c r="L197" s="969">
        <v>22538</v>
      </c>
      <c r="M197" s="969"/>
      <c r="N197" s="970">
        <v>57598</v>
      </c>
      <c r="O197" s="970">
        <v>0</v>
      </c>
      <c r="P197" s="970">
        <v>0</v>
      </c>
      <c r="Q197" s="969">
        <v>73797</v>
      </c>
      <c r="R197" s="969"/>
      <c r="S197" s="970">
        <v>685721</v>
      </c>
      <c r="T197" s="972">
        <v>-28802</v>
      </c>
      <c r="U197" s="972">
        <v>656919</v>
      </c>
    </row>
    <row r="198" spans="1:21" x14ac:dyDescent="0.25">
      <c r="A198" s="966">
        <v>91881</v>
      </c>
      <c r="B198" s="967" t="s">
        <v>2817</v>
      </c>
      <c r="C198" s="968">
        <v>9.3000000000000007E-6</v>
      </c>
      <c r="D198" s="968">
        <v>1.01E-5</v>
      </c>
      <c r="E198" s="1007">
        <v>6384</v>
      </c>
      <c r="F198" s="1010">
        <v>21436</v>
      </c>
      <c r="G198" s="969">
        <v>14208</v>
      </c>
      <c r="H198" s="969"/>
      <c r="I198" s="970">
        <v>819</v>
      </c>
      <c r="J198" s="971">
        <v>3450</v>
      </c>
      <c r="K198" s="970">
        <v>2029</v>
      </c>
      <c r="L198" s="969">
        <v>1155</v>
      </c>
      <c r="M198" s="969"/>
      <c r="N198" s="970">
        <v>402</v>
      </c>
      <c r="O198" s="970">
        <v>0</v>
      </c>
      <c r="P198" s="970">
        <v>0</v>
      </c>
      <c r="Q198" s="969">
        <v>8809</v>
      </c>
      <c r="R198" s="969"/>
      <c r="S198" s="970">
        <v>4788</v>
      </c>
      <c r="T198" s="972">
        <v>-5615</v>
      </c>
      <c r="U198" s="972">
        <v>-827</v>
      </c>
    </row>
    <row r="199" spans="1:21" x14ac:dyDescent="0.25">
      <c r="A199" s="966">
        <v>91901</v>
      </c>
      <c r="B199" s="967" t="s">
        <v>2818</v>
      </c>
      <c r="C199" s="968">
        <v>3.6706999999999998E-3</v>
      </c>
      <c r="D199" s="968">
        <v>3.6564000000000002E-3</v>
      </c>
      <c r="E199" s="1007">
        <v>1652493</v>
      </c>
      <c r="F199" s="1010">
        <v>7760106</v>
      </c>
      <c r="G199" s="969">
        <v>5607813</v>
      </c>
      <c r="H199" s="969"/>
      <c r="I199" s="970">
        <v>323062</v>
      </c>
      <c r="J199" s="971">
        <v>1361584</v>
      </c>
      <c r="K199" s="970">
        <v>800873</v>
      </c>
      <c r="L199" s="969">
        <v>89719</v>
      </c>
      <c r="M199" s="969"/>
      <c r="N199" s="970">
        <v>158739</v>
      </c>
      <c r="O199" s="970">
        <v>0</v>
      </c>
      <c r="P199" s="970">
        <v>0</v>
      </c>
      <c r="Q199" s="969">
        <v>16546</v>
      </c>
      <c r="R199" s="969"/>
      <c r="S199" s="970">
        <v>1889838</v>
      </c>
      <c r="T199" s="972">
        <v>53714</v>
      </c>
      <c r="U199" s="972">
        <v>1943552</v>
      </c>
    </row>
    <row r="200" spans="1:21" x14ac:dyDescent="0.25">
      <c r="A200" s="966">
        <v>91903</v>
      </c>
      <c r="B200" s="967" t="s">
        <v>2819</v>
      </c>
      <c r="C200" s="968">
        <v>8.6999999999999997E-6</v>
      </c>
      <c r="D200" s="968">
        <v>8.3999999999999992E-6</v>
      </c>
      <c r="E200" s="1007">
        <v>5739</v>
      </c>
      <c r="F200" s="1010">
        <v>17828</v>
      </c>
      <c r="G200" s="969">
        <v>13291</v>
      </c>
      <c r="H200" s="969"/>
      <c r="I200" s="970">
        <v>766</v>
      </c>
      <c r="J200" s="971">
        <v>3227</v>
      </c>
      <c r="K200" s="970">
        <v>1898</v>
      </c>
      <c r="L200" s="969">
        <v>2037</v>
      </c>
      <c r="M200" s="969"/>
      <c r="N200" s="970">
        <v>376</v>
      </c>
      <c r="O200" s="970">
        <v>0</v>
      </c>
      <c r="P200" s="970">
        <v>0</v>
      </c>
      <c r="Q200" s="969">
        <v>3011</v>
      </c>
      <c r="R200" s="969"/>
      <c r="S200" s="970">
        <v>4479</v>
      </c>
      <c r="T200" s="972">
        <v>-2426</v>
      </c>
      <c r="U200" s="972">
        <v>2053</v>
      </c>
    </row>
    <row r="201" spans="1:21" x14ac:dyDescent="0.25">
      <c r="A201" s="966">
        <v>91904</v>
      </c>
      <c r="B201" s="967" t="s">
        <v>2820</v>
      </c>
      <c r="C201" s="968">
        <v>3.3399999999999999E-5</v>
      </c>
      <c r="D201" s="968">
        <v>2.3300000000000001E-5</v>
      </c>
      <c r="E201" s="1007">
        <v>13231</v>
      </c>
      <c r="F201" s="1010">
        <v>49450</v>
      </c>
      <c r="G201" s="969">
        <v>51026</v>
      </c>
      <c r="H201" s="969"/>
      <c r="I201" s="970">
        <v>2940</v>
      </c>
      <c r="J201" s="971">
        <v>12389</v>
      </c>
      <c r="K201" s="970">
        <v>7287</v>
      </c>
      <c r="L201" s="969">
        <v>11190</v>
      </c>
      <c r="M201" s="969"/>
      <c r="N201" s="970">
        <v>1444</v>
      </c>
      <c r="O201" s="970">
        <v>0</v>
      </c>
      <c r="P201" s="970">
        <v>0</v>
      </c>
      <c r="Q201" s="969">
        <v>0</v>
      </c>
      <c r="R201" s="969"/>
      <c r="S201" s="970">
        <v>17196</v>
      </c>
      <c r="T201" s="972">
        <v>4334</v>
      </c>
      <c r="U201" s="972">
        <v>21530</v>
      </c>
    </row>
    <row r="202" spans="1:21" x14ac:dyDescent="0.25">
      <c r="A202" s="966">
        <v>91908</v>
      </c>
      <c r="B202" s="967" t="s">
        <v>2821</v>
      </c>
      <c r="C202" s="968">
        <v>1.6900000000000001E-5</v>
      </c>
      <c r="D202" s="968">
        <v>1.3699999999999999E-5</v>
      </c>
      <c r="E202" s="1007">
        <v>5211</v>
      </c>
      <c r="F202" s="1010">
        <v>29076</v>
      </c>
      <c r="G202" s="969">
        <v>25819</v>
      </c>
      <c r="H202" s="969"/>
      <c r="I202" s="970">
        <v>1487</v>
      </c>
      <c r="J202" s="971">
        <v>6269</v>
      </c>
      <c r="K202" s="970">
        <v>3687</v>
      </c>
      <c r="L202" s="969">
        <v>935</v>
      </c>
      <c r="M202" s="969"/>
      <c r="N202" s="970">
        <v>731</v>
      </c>
      <c r="O202" s="970">
        <v>0</v>
      </c>
      <c r="P202" s="970">
        <v>0</v>
      </c>
      <c r="Q202" s="969">
        <v>2553</v>
      </c>
      <c r="R202" s="969"/>
      <c r="S202" s="970">
        <v>8701</v>
      </c>
      <c r="T202" s="972">
        <v>-56</v>
      </c>
      <c r="U202" s="972">
        <v>8645</v>
      </c>
    </row>
    <row r="203" spans="1:21" x14ac:dyDescent="0.25">
      <c r="A203" s="966">
        <v>91911</v>
      </c>
      <c r="B203" s="967" t="s">
        <v>2822</v>
      </c>
      <c r="C203" s="968">
        <v>4.5580000000000002E-4</v>
      </c>
      <c r="D203" s="968">
        <v>4.639E-4</v>
      </c>
      <c r="E203" s="1007">
        <v>224257</v>
      </c>
      <c r="F203" s="1010">
        <v>984551</v>
      </c>
      <c r="G203" s="969">
        <v>696336</v>
      </c>
      <c r="H203" s="969"/>
      <c r="I203" s="970">
        <v>40115</v>
      </c>
      <c r="J203" s="971">
        <v>169071</v>
      </c>
      <c r="K203" s="970">
        <v>99446</v>
      </c>
      <c r="L203" s="969">
        <v>13510</v>
      </c>
      <c r="M203" s="969"/>
      <c r="N203" s="970">
        <v>19711</v>
      </c>
      <c r="O203" s="970">
        <v>0</v>
      </c>
      <c r="P203" s="970">
        <v>0</v>
      </c>
      <c r="Q203" s="969">
        <v>5011</v>
      </c>
      <c r="R203" s="969"/>
      <c r="S203" s="970">
        <v>234666</v>
      </c>
      <c r="T203" s="972">
        <v>598</v>
      </c>
      <c r="U203" s="972">
        <v>235264</v>
      </c>
    </row>
    <row r="204" spans="1:21" x14ac:dyDescent="0.25">
      <c r="A204" s="966">
        <v>91917</v>
      </c>
      <c r="B204" s="967" t="s">
        <v>2823</v>
      </c>
      <c r="C204" s="968">
        <v>1.22E-5</v>
      </c>
      <c r="D204" s="968">
        <v>1.36E-5</v>
      </c>
      <c r="E204" s="1007">
        <v>6387</v>
      </c>
      <c r="F204" s="1010">
        <v>28864</v>
      </c>
      <c r="G204" s="969">
        <v>18638</v>
      </c>
      <c r="H204" s="969"/>
      <c r="I204" s="970">
        <v>1074</v>
      </c>
      <c r="J204" s="971">
        <v>4526</v>
      </c>
      <c r="K204" s="970">
        <v>2662</v>
      </c>
      <c r="L204" s="969">
        <v>527</v>
      </c>
      <c r="M204" s="969"/>
      <c r="N204" s="970">
        <v>528</v>
      </c>
      <c r="O204" s="970">
        <v>0</v>
      </c>
      <c r="P204" s="970">
        <v>0</v>
      </c>
      <c r="Q204" s="969">
        <v>310</v>
      </c>
      <c r="R204" s="969"/>
      <c r="S204" s="970">
        <v>6281</v>
      </c>
      <c r="T204" s="972">
        <v>126</v>
      </c>
      <c r="U204" s="972">
        <v>6407</v>
      </c>
    </row>
    <row r="205" spans="1:21" x14ac:dyDescent="0.25">
      <c r="A205" s="966">
        <v>91921</v>
      </c>
      <c r="B205" s="967" t="s">
        <v>2824</v>
      </c>
      <c r="C205" s="968">
        <v>3.769E-4</v>
      </c>
      <c r="D205" s="968">
        <v>3.6600000000000001E-4</v>
      </c>
      <c r="E205" s="1007">
        <v>160505</v>
      </c>
      <c r="F205" s="1010">
        <v>776775</v>
      </c>
      <c r="G205" s="969">
        <v>575799</v>
      </c>
      <c r="H205" s="969"/>
      <c r="I205" s="970">
        <v>33171</v>
      </c>
      <c r="J205" s="971">
        <v>139804</v>
      </c>
      <c r="K205" s="970">
        <v>82232</v>
      </c>
      <c r="L205" s="969">
        <v>0</v>
      </c>
      <c r="M205" s="969"/>
      <c r="N205" s="970">
        <v>16299</v>
      </c>
      <c r="O205" s="970">
        <v>0</v>
      </c>
      <c r="P205" s="970">
        <v>0</v>
      </c>
      <c r="Q205" s="969">
        <v>10651</v>
      </c>
      <c r="R205" s="969"/>
      <c r="S205" s="970">
        <v>194045</v>
      </c>
      <c r="T205" s="972">
        <v>-5316</v>
      </c>
      <c r="U205" s="972">
        <v>188729</v>
      </c>
    </row>
    <row r="206" spans="1:21" x14ac:dyDescent="0.25">
      <c r="A206" s="966">
        <v>92001</v>
      </c>
      <c r="B206" s="967" t="s">
        <v>2825</v>
      </c>
      <c r="C206" s="968">
        <v>1.8143E-3</v>
      </c>
      <c r="D206" s="968">
        <v>1.9604000000000002E-3</v>
      </c>
      <c r="E206" s="1007">
        <v>790603</v>
      </c>
      <c r="F206" s="1010">
        <v>4160626</v>
      </c>
      <c r="G206" s="969">
        <v>2771748</v>
      </c>
      <c r="H206" s="969"/>
      <c r="I206" s="970">
        <v>159678</v>
      </c>
      <c r="J206" s="971">
        <v>672984</v>
      </c>
      <c r="K206" s="970">
        <v>395844</v>
      </c>
      <c r="L206" s="969">
        <v>48219</v>
      </c>
      <c r="M206" s="969"/>
      <c r="N206" s="970">
        <v>78459</v>
      </c>
      <c r="O206" s="970">
        <v>0</v>
      </c>
      <c r="P206" s="970">
        <v>0</v>
      </c>
      <c r="Q206" s="969">
        <v>157894</v>
      </c>
      <c r="R206" s="969"/>
      <c r="S206" s="970">
        <v>934081</v>
      </c>
      <c r="T206" s="972">
        <v>-42009</v>
      </c>
      <c r="U206" s="972">
        <f>892073-1</f>
        <v>892072</v>
      </c>
    </row>
    <row r="207" spans="1:21" x14ac:dyDescent="0.25">
      <c r="A207" s="966">
        <v>92005</v>
      </c>
      <c r="B207" s="967" t="s">
        <v>2826</v>
      </c>
      <c r="C207" s="968">
        <v>4.1399999999999997E-5</v>
      </c>
      <c r="D207" s="968">
        <v>4.6499999999999999E-5</v>
      </c>
      <c r="E207" s="1007">
        <v>20947</v>
      </c>
      <c r="F207" s="1010">
        <v>98689</v>
      </c>
      <c r="G207" s="969">
        <v>63248</v>
      </c>
      <c r="H207" s="969"/>
      <c r="I207" s="970">
        <v>3644</v>
      </c>
      <c r="J207" s="971">
        <v>15356</v>
      </c>
      <c r="K207" s="970">
        <v>9033</v>
      </c>
      <c r="L207" s="969">
        <v>1741</v>
      </c>
      <c r="M207" s="969"/>
      <c r="N207" s="970">
        <v>1790</v>
      </c>
      <c r="O207" s="970">
        <v>0</v>
      </c>
      <c r="P207" s="970">
        <v>0</v>
      </c>
      <c r="Q207" s="969">
        <v>2252</v>
      </c>
      <c r="R207" s="969"/>
      <c r="S207" s="970">
        <v>21315</v>
      </c>
      <c r="T207" s="972">
        <v>208</v>
      </c>
      <c r="U207" s="972">
        <f>21522+1</f>
        <v>21523</v>
      </c>
    </row>
    <row r="208" spans="1:21" x14ac:dyDescent="0.25">
      <c r="A208" s="966">
        <v>92011</v>
      </c>
      <c r="B208" s="967" t="s">
        <v>2827</v>
      </c>
      <c r="C208" s="968">
        <v>2.0049999999999999E-4</v>
      </c>
      <c r="D208" s="968">
        <v>1.8660000000000001E-4</v>
      </c>
      <c r="E208" s="1007">
        <v>90383</v>
      </c>
      <c r="F208" s="1010">
        <v>396028</v>
      </c>
      <c r="G208" s="969">
        <v>306308</v>
      </c>
      <c r="H208" s="969"/>
      <c r="I208" s="970">
        <v>17646</v>
      </c>
      <c r="J208" s="971">
        <v>74372</v>
      </c>
      <c r="K208" s="970">
        <v>43745</v>
      </c>
      <c r="L208" s="969">
        <v>17614</v>
      </c>
      <c r="M208" s="969"/>
      <c r="N208" s="970">
        <v>8671</v>
      </c>
      <c r="O208" s="970">
        <v>0</v>
      </c>
      <c r="P208" s="970">
        <v>0</v>
      </c>
      <c r="Q208" s="969">
        <v>0</v>
      </c>
      <c r="R208" s="969"/>
      <c r="S208" s="970">
        <v>103226</v>
      </c>
      <c r="T208" s="972">
        <v>9780</v>
      </c>
      <c r="U208" s="972">
        <v>113006</v>
      </c>
    </row>
    <row r="209" spans="1:21" x14ac:dyDescent="0.25">
      <c r="A209" s="966">
        <v>92017</v>
      </c>
      <c r="B209" s="967" t="s">
        <v>2828</v>
      </c>
      <c r="C209" s="968">
        <v>3.4199999999999998E-5</v>
      </c>
      <c r="D209" s="968">
        <v>3.5099999999999999E-5</v>
      </c>
      <c r="E209" s="1007">
        <v>16941</v>
      </c>
      <c r="F209" s="1010">
        <v>74494</v>
      </c>
      <c r="G209" s="969">
        <v>52248</v>
      </c>
      <c r="H209" s="969"/>
      <c r="I209" s="970">
        <v>3010</v>
      </c>
      <c r="J209" s="971">
        <v>12686</v>
      </c>
      <c r="K209" s="970">
        <v>7462</v>
      </c>
      <c r="L209" s="969">
        <v>639</v>
      </c>
      <c r="M209" s="969"/>
      <c r="N209" s="970">
        <v>1479</v>
      </c>
      <c r="O209" s="970">
        <v>0</v>
      </c>
      <c r="P209" s="970">
        <v>0</v>
      </c>
      <c r="Q209" s="969">
        <v>1257</v>
      </c>
      <c r="R209" s="969"/>
      <c r="S209" s="970">
        <v>17608</v>
      </c>
      <c r="T209" s="972">
        <v>-668</v>
      </c>
      <c r="U209" s="972">
        <f>16939+1</f>
        <v>16940</v>
      </c>
    </row>
    <row r="210" spans="1:21" x14ac:dyDescent="0.25">
      <c r="A210" s="966">
        <v>92021</v>
      </c>
      <c r="B210" s="967" t="s">
        <v>2829</v>
      </c>
      <c r="C210" s="968">
        <v>1.5779999999999999E-4</v>
      </c>
      <c r="D210" s="968">
        <v>1.4249999999999999E-4</v>
      </c>
      <c r="E210" s="1007">
        <v>72635</v>
      </c>
      <c r="F210" s="1010">
        <v>302433</v>
      </c>
      <c r="G210" s="969">
        <v>241075</v>
      </c>
      <c r="H210" s="969"/>
      <c r="I210" s="970">
        <v>13888</v>
      </c>
      <c r="J210" s="971">
        <v>58533</v>
      </c>
      <c r="K210" s="970">
        <v>34429</v>
      </c>
      <c r="L210" s="969">
        <v>30504</v>
      </c>
      <c r="M210" s="969"/>
      <c r="N210" s="970">
        <v>6824</v>
      </c>
      <c r="O210" s="970">
        <v>0</v>
      </c>
      <c r="P210" s="970">
        <v>0</v>
      </c>
      <c r="Q210" s="969">
        <v>11142</v>
      </c>
      <c r="R210" s="969"/>
      <c r="S210" s="970">
        <v>81242</v>
      </c>
      <c r="T210" s="972">
        <v>1771</v>
      </c>
      <c r="U210" s="972">
        <f>83014-1</f>
        <v>83013</v>
      </c>
    </row>
    <row r="211" spans="1:21" x14ac:dyDescent="0.25">
      <c r="A211" s="966">
        <v>92101</v>
      </c>
      <c r="B211" s="967" t="s">
        <v>2830</v>
      </c>
      <c r="C211" s="968">
        <v>8.5209999999999995E-4</v>
      </c>
      <c r="D211" s="968">
        <v>8.6870000000000003E-4</v>
      </c>
      <c r="E211" s="1007">
        <v>368519</v>
      </c>
      <c r="F211" s="1010">
        <v>1843672</v>
      </c>
      <c r="G211" s="969">
        <v>1301773</v>
      </c>
      <c r="H211" s="969"/>
      <c r="I211" s="970">
        <v>74994</v>
      </c>
      <c r="J211" s="971">
        <v>316072</v>
      </c>
      <c r="K211" s="970">
        <v>185911</v>
      </c>
      <c r="L211" s="969">
        <v>9505</v>
      </c>
      <c r="M211" s="969"/>
      <c r="N211" s="970">
        <v>36849</v>
      </c>
      <c r="O211" s="970">
        <v>0</v>
      </c>
      <c r="P211" s="970">
        <v>0</v>
      </c>
      <c r="Q211" s="969">
        <v>63189</v>
      </c>
      <c r="R211" s="969"/>
      <c r="S211" s="970">
        <v>438699</v>
      </c>
      <c r="T211" s="972">
        <v>-10164</v>
      </c>
      <c r="U211" s="972">
        <v>428535</v>
      </c>
    </row>
    <row r="212" spans="1:21" x14ac:dyDescent="0.25">
      <c r="A212" s="966">
        <v>92104</v>
      </c>
      <c r="B212" s="967" t="s">
        <v>2831</v>
      </c>
      <c r="C212" s="968">
        <v>8.6000000000000007E-6</v>
      </c>
      <c r="D212" s="968">
        <v>8.8000000000000004E-6</v>
      </c>
      <c r="E212" s="1007">
        <v>5180</v>
      </c>
      <c r="F212" s="1010">
        <v>18677</v>
      </c>
      <c r="G212" s="969">
        <v>13138</v>
      </c>
      <c r="H212" s="969"/>
      <c r="I212" s="970">
        <v>757</v>
      </c>
      <c r="J212" s="971">
        <v>3190</v>
      </c>
      <c r="K212" s="970">
        <v>1876</v>
      </c>
      <c r="L212" s="969">
        <v>3377</v>
      </c>
      <c r="M212" s="969"/>
      <c r="N212" s="970">
        <v>372</v>
      </c>
      <c r="O212" s="970">
        <v>0</v>
      </c>
      <c r="P212" s="970">
        <v>0</v>
      </c>
      <c r="Q212" s="969">
        <v>0</v>
      </c>
      <c r="R212" s="969"/>
      <c r="S212" s="970">
        <v>4428</v>
      </c>
      <c r="T212" s="972">
        <v>1850</v>
      </c>
      <c r="U212" s="972">
        <f>6277+1</f>
        <v>6278</v>
      </c>
    </row>
    <row r="213" spans="1:21" x14ac:dyDescent="0.25">
      <c r="A213" s="966">
        <v>92109</v>
      </c>
      <c r="B213" s="967" t="s">
        <v>2832</v>
      </c>
      <c r="C213" s="968">
        <v>1.8809999999999999E-4</v>
      </c>
      <c r="D213" s="968">
        <v>1.7909999999999999E-4</v>
      </c>
      <c r="E213" s="1007">
        <v>79223</v>
      </c>
      <c r="F213" s="1010">
        <v>380110</v>
      </c>
      <c r="G213" s="969">
        <v>287365</v>
      </c>
      <c r="H213" s="969"/>
      <c r="I213" s="970">
        <v>16555</v>
      </c>
      <c r="J213" s="971">
        <v>69773</v>
      </c>
      <c r="K213" s="970">
        <v>41040</v>
      </c>
      <c r="L213" s="969">
        <v>2067</v>
      </c>
      <c r="M213" s="969"/>
      <c r="N213" s="970">
        <v>8134</v>
      </c>
      <c r="O213" s="970">
        <v>0</v>
      </c>
      <c r="P213" s="970">
        <v>0</v>
      </c>
      <c r="Q213" s="969">
        <v>12612</v>
      </c>
      <c r="R213" s="969"/>
      <c r="S213" s="970">
        <v>96842</v>
      </c>
      <c r="T213" s="972">
        <v>-5396</v>
      </c>
      <c r="U213" s="972">
        <v>91446</v>
      </c>
    </row>
    <row r="214" spans="1:21" x14ac:dyDescent="0.25">
      <c r="A214" s="966">
        <v>92111</v>
      </c>
      <c r="B214" s="967" t="s">
        <v>2833</v>
      </c>
      <c r="C214" s="968">
        <v>5.0460000000000001E-4</v>
      </c>
      <c r="D214" s="968">
        <v>5.0009999999999996E-4</v>
      </c>
      <c r="E214" s="1007">
        <v>231049</v>
      </c>
      <c r="F214" s="1010">
        <v>1061380</v>
      </c>
      <c r="G214" s="969">
        <v>770889</v>
      </c>
      <c r="H214" s="969"/>
      <c r="I214" s="970">
        <v>44410</v>
      </c>
      <c r="J214" s="971">
        <v>187173</v>
      </c>
      <c r="K214" s="970">
        <v>110094</v>
      </c>
      <c r="L214" s="969">
        <v>10602</v>
      </c>
      <c r="M214" s="969"/>
      <c r="N214" s="970">
        <v>21821</v>
      </c>
      <c r="O214" s="970">
        <v>0</v>
      </c>
      <c r="P214" s="970">
        <v>0</v>
      </c>
      <c r="Q214" s="969">
        <v>13269</v>
      </c>
      <c r="R214" s="969"/>
      <c r="S214" s="970">
        <v>259790</v>
      </c>
      <c r="T214" s="972">
        <v>2449</v>
      </c>
      <c r="U214" s="972">
        <v>262239</v>
      </c>
    </row>
    <row r="215" spans="1:21" x14ac:dyDescent="0.25">
      <c r="A215" s="966">
        <v>92113</v>
      </c>
      <c r="B215" s="967" t="s">
        <v>2834</v>
      </c>
      <c r="C215" s="968">
        <v>1.4399999999999999E-5</v>
      </c>
      <c r="D215" s="968">
        <v>2.2099999999999998E-5</v>
      </c>
      <c r="E215" s="1007">
        <v>10341</v>
      </c>
      <c r="F215" s="1010">
        <v>46904</v>
      </c>
      <c r="G215" s="969">
        <v>21999</v>
      </c>
      <c r="H215" s="969"/>
      <c r="I215" s="970">
        <v>1267</v>
      </c>
      <c r="J215" s="971">
        <v>5342</v>
      </c>
      <c r="K215" s="970">
        <v>3142</v>
      </c>
      <c r="L215" s="969">
        <v>17604</v>
      </c>
      <c r="M215" s="969"/>
      <c r="N215" s="970">
        <v>623</v>
      </c>
      <c r="O215" s="970">
        <v>0</v>
      </c>
      <c r="P215" s="970">
        <v>0</v>
      </c>
      <c r="Q215" s="969">
        <v>2179</v>
      </c>
      <c r="R215" s="969"/>
      <c r="S215" s="970">
        <v>7414</v>
      </c>
      <c r="T215" s="972">
        <v>7173</v>
      </c>
      <c r="U215" s="972">
        <v>14587</v>
      </c>
    </row>
    <row r="216" spans="1:21" x14ac:dyDescent="0.25">
      <c r="A216" s="966">
        <v>92201</v>
      </c>
      <c r="B216" s="967" t="s">
        <v>2835</v>
      </c>
      <c r="C216" s="968">
        <v>9.3389999999999999E-4</v>
      </c>
      <c r="D216" s="968">
        <v>1.0267E-3</v>
      </c>
      <c r="E216" s="1007">
        <v>452318</v>
      </c>
      <c r="F216" s="1010">
        <v>2179001</v>
      </c>
      <c r="G216" s="969">
        <v>1426741</v>
      </c>
      <c r="H216" s="969"/>
      <c r="I216" s="970">
        <v>82193</v>
      </c>
      <c r="J216" s="971">
        <v>346414</v>
      </c>
      <c r="K216" s="970">
        <v>203758</v>
      </c>
      <c r="L216" s="969">
        <v>36804</v>
      </c>
      <c r="M216" s="969"/>
      <c r="N216" s="970">
        <v>40387</v>
      </c>
      <c r="O216" s="970">
        <v>0</v>
      </c>
      <c r="P216" s="970">
        <v>0</v>
      </c>
      <c r="Q216" s="969">
        <v>43356</v>
      </c>
      <c r="R216" s="969"/>
      <c r="S216" s="970">
        <v>480813</v>
      </c>
      <c r="T216" s="972">
        <v>13056</v>
      </c>
      <c r="U216" s="972">
        <v>493869</v>
      </c>
    </row>
    <row r="217" spans="1:21" x14ac:dyDescent="0.25">
      <c r="A217" s="966">
        <v>92301</v>
      </c>
      <c r="B217" s="967" t="s">
        <v>2836</v>
      </c>
      <c r="C217" s="968">
        <v>5.2129999999999998E-3</v>
      </c>
      <c r="D217" s="968">
        <v>5.2411000000000003E-3</v>
      </c>
      <c r="E217" s="1007">
        <v>2376668</v>
      </c>
      <c r="F217" s="1010">
        <v>11123370</v>
      </c>
      <c r="G217" s="969">
        <v>7964020</v>
      </c>
      <c r="H217" s="969"/>
      <c r="I217" s="970">
        <v>458801</v>
      </c>
      <c r="J217" s="971">
        <v>1933674</v>
      </c>
      <c r="K217" s="970">
        <v>1137372</v>
      </c>
      <c r="L217" s="969">
        <v>53669</v>
      </c>
      <c r="M217" s="969"/>
      <c r="N217" s="970">
        <v>225436</v>
      </c>
      <c r="O217" s="970">
        <v>0</v>
      </c>
      <c r="P217" s="970">
        <v>0</v>
      </c>
      <c r="Q217" s="969">
        <v>40357</v>
      </c>
      <c r="R217" s="969"/>
      <c r="S217" s="970">
        <v>2683882</v>
      </c>
      <c r="T217" s="972">
        <v>7360</v>
      </c>
      <c r="U217" s="972">
        <v>2691242</v>
      </c>
    </row>
    <row r="218" spans="1:21" x14ac:dyDescent="0.25">
      <c r="A218" s="966">
        <v>92302</v>
      </c>
      <c r="B218" s="967" t="s">
        <v>3668</v>
      </c>
      <c r="C218" s="968">
        <v>2.9740000000000002E-4</v>
      </c>
      <c r="D218" s="968">
        <v>3.168E-4</v>
      </c>
      <c r="E218" s="1007">
        <v>124071</v>
      </c>
      <c r="F218" s="1010">
        <v>0</v>
      </c>
      <c r="G218" s="969">
        <v>454345</v>
      </c>
      <c r="H218" s="969"/>
      <c r="I218" s="970">
        <v>26174</v>
      </c>
      <c r="J218" s="971">
        <v>110316</v>
      </c>
      <c r="K218" s="970">
        <v>64887</v>
      </c>
      <c r="L218" s="969">
        <v>0</v>
      </c>
      <c r="M218" s="969"/>
      <c r="N218" s="970">
        <v>12861</v>
      </c>
      <c r="O218" s="970">
        <v>0</v>
      </c>
      <c r="P218" s="970">
        <v>0</v>
      </c>
      <c r="Q218" s="969">
        <v>28639</v>
      </c>
      <c r="R218" s="969"/>
      <c r="S218" s="970">
        <v>153115</v>
      </c>
      <c r="T218" s="972">
        <v>-9739</v>
      </c>
      <c r="U218" s="972">
        <v>143376</v>
      </c>
    </row>
    <row r="219" spans="1:21" x14ac:dyDescent="0.25">
      <c r="A219" s="966">
        <v>92311</v>
      </c>
      <c r="B219" s="967" t="s">
        <v>2838</v>
      </c>
      <c r="C219" s="968">
        <v>2.2504999999999999E-3</v>
      </c>
      <c r="D219" s="968">
        <v>2.1857000000000001E-3</v>
      </c>
      <c r="E219" s="1007">
        <v>989308</v>
      </c>
      <c r="F219" s="1010">
        <v>4638788</v>
      </c>
      <c r="G219" s="969">
        <v>3438141</v>
      </c>
      <c r="H219" s="969"/>
      <c r="I219" s="970">
        <v>198069</v>
      </c>
      <c r="J219" s="971">
        <v>834785</v>
      </c>
      <c r="K219" s="970">
        <v>491014</v>
      </c>
      <c r="L219" s="969">
        <v>8358</v>
      </c>
      <c r="M219" s="969"/>
      <c r="N219" s="970">
        <v>97323</v>
      </c>
      <c r="O219" s="970">
        <v>0</v>
      </c>
      <c r="P219" s="970">
        <v>0</v>
      </c>
      <c r="Q219" s="969">
        <v>54246</v>
      </c>
      <c r="R219" s="969"/>
      <c r="S219" s="970">
        <v>1158656</v>
      </c>
      <c r="T219" s="972">
        <v>-36529</v>
      </c>
      <c r="U219" s="972">
        <v>1122127</v>
      </c>
    </row>
    <row r="220" spans="1:21" x14ac:dyDescent="0.25">
      <c r="A220" s="966">
        <v>92317</v>
      </c>
      <c r="B220" s="967" t="s">
        <v>2839</v>
      </c>
      <c r="C220" s="968">
        <v>2.94E-5</v>
      </c>
      <c r="D220" s="968">
        <v>2.9600000000000001E-5</v>
      </c>
      <c r="E220" s="1007">
        <v>22749</v>
      </c>
      <c r="F220" s="1010">
        <v>62821</v>
      </c>
      <c r="G220" s="969">
        <v>44915</v>
      </c>
      <c r="H220" s="969"/>
      <c r="I220" s="970">
        <v>2588</v>
      </c>
      <c r="J220" s="971">
        <v>10905</v>
      </c>
      <c r="K220" s="970">
        <v>6414</v>
      </c>
      <c r="L220" s="969">
        <v>15615</v>
      </c>
      <c r="M220" s="969"/>
      <c r="N220" s="970">
        <v>1271</v>
      </c>
      <c r="O220" s="970">
        <v>0</v>
      </c>
      <c r="P220" s="970">
        <v>0</v>
      </c>
      <c r="Q220" s="969">
        <v>0</v>
      </c>
      <c r="R220" s="969"/>
      <c r="S220" s="970">
        <v>15136</v>
      </c>
      <c r="T220" s="972">
        <v>6218</v>
      </c>
      <c r="U220" s="972">
        <v>21354</v>
      </c>
    </row>
    <row r="221" spans="1:21" x14ac:dyDescent="0.25">
      <c r="A221" s="966">
        <v>92321</v>
      </c>
      <c r="B221" s="967" t="s">
        <v>2840</v>
      </c>
      <c r="C221" s="968">
        <v>1.1773E-3</v>
      </c>
      <c r="D221" s="968">
        <v>1.2218999999999999E-3</v>
      </c>
      <c r="E221" s="1007">
        <v>553266</v>
      </c>
      <c r="F221" s="1010">
        <v>2593281</v>
      </c>
      <c r="G221" s="969">
        <v>1798588</v>
      </c>
      <c r="H221" s="969"/>
      <c r="I221" s="970">
        <v>103615</v>
      </c>
      <c r="J221" s="971">
        <v>436700</v>
      </c>
      <c r="K221" s="970">
        <v>256863</v>
      </c>
      <c r="L221" s="969">
        <v>35464</v>
      </c>
      <c r="M221" s="969"/>
      <c r="N221" s="970">
        <v>50912</v>
      </c>
      <c r="O221" s="970">
        <v>0</v>
      </c>
      <c r="P221" s="970">
        <v>0</v>
      </c>
      <c r="Q221" s="969">
        <v>20669</v>
      </c>
      <c r="R221" s="969"/>
      <c r="S221" s="970">
        <v>606126</v>
      </c>
      <c r="T221" s="972">
        <v>20498</v>
      </c>
      <c r="U221" s="972">
        <v>626624</v>
      </c>
    </row>
    <row r="222" spans="1:21" x14ac:dyDescent="0.25">
      <c r="A222" s="966">
        <v>92327</v>
      </c>
      <c r="B222" s="967" t="s">
        <v>2841</v>
      </c>
      <c r="C222" s="968">
        <v>5.6999999999999996E-6</v>
      </c>
      <c r="D222" s="968">
        <v>7.6000000000000001E-6</v>
      </c>
      <c r="E222" s="1007">
        <v>5653</v>
      </c>
      <c r="F222" s="1010">
        <v>16130</v>
      </c>
      <c r="G222" s="969">
        <v>8708</v>
      </c>
      <c r="H222" s="969"/>
      <c r="I222" s="970">
        <v>502</v>
      </c>
      <c r="J222" s="971">
        <v>2115</v>
      </c>
      <c r="K222" s="970">
        <v>1244</v>
      </c>
      <c r="L222" s="969">
        <v>2932</v>
      </c>
      <c r="M222" s="969"/>
      <c r="N222" s="970">
        <v>246</v>
      </c>
      <c r="O222" s="970">
        <v>0</v>
      </c>
      <c r="P222" s="970">
        <v>0</v>
      </c>
      <c r="Q222" s="969">
        <v>0</v>
      </c>
      <c r="R222" s="969"/>
      <c r="S222" s="970">
        <v>2935</v>
      </c>
      <c r="T222" s="972">
        <v>1142</v>
      </c>
      <c r="U222" s="972">
        <v>4077</v>
      </c>
    </row>
    <row r="223" spans="1:21" x14ac:dyDescent="0.25">
      <c r="A223" s="966">
        <v>92331</v>
      </c>
      <c r="B223" s="967" t="s">
        <v>2842</v>
      </c>
      <c r="C223" s="968">
        <v>1.3970000000000001E-4</v>
      </c>
      <c r="D223" s="968">
        <v>1.393E-4</v>
      </c>
      <c r="E223" s="1007">
        <v>60878</v>
      </c>
      <c r="F223" s="1010">
        <v>295641</v>
      </c>
      <c r="G223" s="969">
        <v>213423</v>
      </c>
      <c r="H223" s="969"/>
      <c r="I223" s="970">
        <v>12295</v>
      </c>
      <c r="J223" s="971">
        <v>51819</v>
      </c>
      <c r="K223" s="970">
        <v>30480</v>
      </c>
      <c r="L223" s="969">
        <v>2070</v>
      </c>
      <c r="M223" s="969"/>
      <c r="N223" s="970">
        <v>6041</v>
      </c>
      <c r="O223" s="970">
        <v>0</v>
      </c>
      <c r="P223" s="970">
        <v>0</v>
      </c>
      <c r="Q223" s="969">
        <v>7559</v>
      </c>
      <c r="R223" s="969"/>
      <c r="S223" s="970">
        <v>71924</v>
      </c>
      <c r="T223" s="972">
        <v>-755</v>
      </c>
      <c r="U223" s="972">
        <v>71169</v>
      </c>
    </row>
    <row r="224" spans="1:21" x14ac:dyDescent="0.25">
      <c r="A224" s="966">
        <v>92341</v>
      </c>
      <c r="B224" s="967" t="s">
        <v>2843</v>
      </c>
      <c r="C224" s="968">
        <v>9.7999999999999993E-6</v>
      </c>
      <c r="D224" s="968">
        <v>7.9000000000000006E-6</v>
      </c>
      <c r="E224" s="1007">
        <v>3179</v>
      </c>
      <c r="F224" s="1010">
        <v>16766</v>
      </c>
      <c r="G224" s="969">
        <v>14972</v>
      </c>
      <c r="H224" s="969"/>
      <c r="I224" s="970">
        <v>863</v>
      </c>
      <c r="J224" s="971">
        <v>3635</v>
      </c>
      <c r="K224" s="970">
        <v>2138</v>
      </c>
      <c r="L224" s="969">
        <v>523</v>
      </c>
      <c r="M224" s="969"/>
      <c r="N224" s="970">
        <v>424</v>
      </c>
      <c r="O224" s="970">
        <v>0</v>
      </c>
      <c r="P224" s="970">
        <v>0</v>
      </c>
      <c r="Q224" s="969">
        <v>1977</v>
      </c>
      <c r="R224" s="969"/>
      <c r="S224" s="970">
        <v>5045</v>
      </c>
      <c r="T224" s="972">
        <v>-859</v>
      </c>
      <c r="U224" s="972">
        <f>4187-1</f>
        <v>4186</v>
      </c>
    </row>
    <row r="225" spans="1:21" x14ac:dyDescent="0.25">
      <c r="A225" s="966">
        <v>92351</v>
      </c>
      <c r="B225" s="967" t="s">
        <v>2844</v>
      </c>
      <c r="C225" s="968">
        <v>1.8600000000000001E-5</v>
      </c>
      <c r="D225" s="968">
        <v>1.95E-5</v>
      </c>
      <c r="E225" s="1007">
        <v>9507</v>
      </c>
      <c r="F225" s="1010">
        <v>41386</v>
      </c>
      <c r="G225" s="969">
        <v>28416</v>
      </c>
      <c r="H225" s="969"/>
      <c r="I225" s="970">
        <v>1637</v>
      </c>
      <c r="J225" s="971">
        <v>6899</v>
      </c>
      <c r="K225" s="970">
        <v>4058</v>
      </c>
      <c r="L225" s="969">
        <v>746</v>
      </c>
      <c r="M225" s="969"/>
      <c r="N225" s="970">
        <v>804</v>
      </c>
      <c r="O225" s="970">
        <v>0</v>
      </c>
      <c r="P225" s="970">
        <v>0</v>
      </c>
      <c r="Q225" s="969">
        <v>4166</v>
      </c>
      <c r="R225" s="969"/>
      <c r="S225" s="970">
        <v>9576</v>
      </c>
      <c r="T225" s="972">
        <v>-1010</v>
      </c>
      <c r="U225" s="972">
        <f>8567-1</f>
        <v>8566</v>
      </c>
    </row>
    <row r="226" spans="1:21" x14ac:dyDescent="0.25">
      <c r="A226" s="966">
        <v>92401</v>
      </c>
      <c r="B226" s="967" t="s">
        <v>2845</v>
      </c>
      <c r="C226" s="968">
        <v>2.6890999999999998E-3</v>
      </c>
      <c r="D226" s="968">
        <v>2.7449000000000002E-3</v>
      </c>
      <c r="E226" s="1007">
        <v>1303903</v>
      </c>
      <c r="F226" s="1010">
        <v>5825597</v>
      </c>
      <c r="G226" s="969">
        <v>4108200</v>
      </c>
      <c r="H226" s="969"/>
      <c r="I226" s="970">
        <v>236670</v>
      </c>
      <c r="J226" s="971">
        <v>997476</v>
      </c>
      <c r="K226" s="970">
        <v>586708</v>
      </c>
      <c r="L226" s="969">
        <v>34938</v>
      </c>
      <c r="M226" s="969"/>
      <c r="N226" s="970">
        <v>116290</v>
      </c>
      <c r="O226" s="970">
        <v>0</v>
      </c>
      <c r="P226" s="970">
        <v>0</v>
      </c>
      <c r="Q226" s="969">
        <v>3448</v>
      </c>
      <c r="R226" s="969"/>
      <c r="S226" s="970">
        <v>1384467</v>
      </c>
      <c r="T226" s="972">
        <v>19009</v>
      </c>
      <c r="U226" s="972">
        <v>1403476</v>
      </c>
    </row>
    <row r="227" spans="1:21" x14ac:dyDescent="0.25">
      <c r="A227" s="966">
        <v>92403</v>
      </c>
      <c r="B227" s="967" t="s">
        <v>2846</v>
      </c>
      <c r="C227" s="968">
        <v>1.11E-5</v>
      </c>
      <c r="D227" s="968">
        <v>9.7999999999999993E-6</v>
      </c>
      <c r="E227" s="1007">
        <v>5892</v>
      </c>
      <c r="F227" s="1010">
        <v>20799</v>
      </c>
      <c r="G227" s="969">
        <v>16958</v>
      </c>
      <c r="H227" s="969"/>
      <c r="I227" s="970">
        <v>977</v>
      </c>
      <c r="J227" s="971">
        <v>4117</v>
      </c>
      <c r="K227" s="970">
        <v>2422</v>
      </c>
      <c r="L227" s="969">
        <v>1858</v>
      </c>
      <c r="M227" s="969"/>
      <c r="N227" s="970">
        <v>480</v>
      </c>
      <c r="O227" s="970">
        <v>0</v>
      </c>
      <c r="P227" s="970">
        <v>0</v>
      </c>
      <c r="Q227" s="969">
        <v>1307</v>
      </c>
      <c r="R227" s="969"/>
      <c r="S227" s="970">
        <v>5715</v>
      </c>
      <c r="T227" s="972">
        <v>135</v>
      </c>
      <c r="U227" s="972">
        <f>5849+1</f>
        <v>5850</v>
      </c>
    </row>
    <row r="228" spans="1:21" x14ac:dyDescent="0.25">
      <c r="A228" s="966">
        <v>92411</v>
      </c>
      <c r="B228" s="967" t="s">
        <v>2847</v>
      </c>
      <c r="C228" s="968">
        <v>5.0469999999999996E-4</v>
      </c>
      <c r="D228" s="968">
        <v>4.8030000000000002E-4</v>
      </c>
      <c r="E228" s="1007">
        <v>203732</v>
      </c>
      <c r="F228" s="1010">
        <v>1019358</v>
      </c>
      <c r="G228" s="969">
        <v>771042</v>
      </c>
      <c r="H228" s="969"/>
      <c r="I228" s="970">
        <v>44419</v>
      </c>
      <c r="J228" s="971">
        <v>187210</v>
      </c>
      <c r="K228" s="970">
        <v>110115</v>
      </c>
      <c r="L228" s="969">
        <v>369</v>
      </c>
      <c r="M228" s="969"/>
      <c r="N228" s="970">
        <v>21826</v>
      </c>
      <c r="O228" s="970">
        <v>0</v>
      </c>
      <c r="P228" s="970">
        <v>0</v>
      </c>
      <c r="Q228" s="969">
        <v>44165</v>
      </c>
      <c r="R228" s="969"/>
      <c r="S228" s="970">
        <v>259842</v>
      </c>
      <c r="T228" s="972">
        <v>-17900</v>
      </c>
      <c r="U228" s="972">
        <v>241942</v>
      </c>
    </row>
    <row r="229" spans="1:21" x14ac:dyDescent="0.25">
      <c r="A229" s="966">
        <v>92414</v>
      </c>
      <c r="B229" s="967" t="s">
        <v>1373</v>
      </c>
      <c r="C229" s="968">
        <v>0</v>
      </c>
      <c r="D229" s="968">
        <v>0</v>
      </c>
      <c r="E229" s="1007">
        <v>0</v>
      </c>
      <c r="F229" s="1010">
        <v>0</v>
      </c>
      <c r="G229" s="969">
        <v>0</v>
      </c>
      <c r="H229" s="969"/>
      <c r="I229" s="970">
        <v>0</v>
      </c>
      <c r="J229" s="971">
        <v>0</v>
      </c>
      <c r="K229" s="970">
        <v>0</v>
      </c>
      <c r="L229" s="969">
        <v>0</v>
      </c>
      <c r="M229" s="969"/>
      <c r="N229" s="970">
        <v>0</v>
      </c>
      <c r="O229" s="970">
        <v>0</v>
      </c>
      <c r="P229" s="970">
        <v>0</v>
      </c>
      <c r="Q229" s="969">
        <v>5712</v>
      </c>
      <c r="R229" s="969"/>
      <c r="S229" s="970">
        <v>0</v>
      </c>
      <c r="T229" s="972">
        <v>-2445</v>
      </c>
      <c r="U229" s="972">
        <v>-2445</v>
      </c>
    </row>
    <row r="230" spans="1:21" x14ac:dyDescent="0.25">
      <c r="A230" s="966">
        <v>92417</v>
      </c>
      <c r="B230" s="967" t="s">
        <v>2848</v>
      </c>
      <c r="C230" s="968">
        <v>1.8300000000000001E-5</v>
      </c>
      <c r="D230" s="968">
        <v>1.77E-5</v>
      </c>
      <c r="E230" s="1007">
        <v>5972</v>
      </c>
      <c r="F230" s="1010">
        <v>37565</v>
      </c>
      <c r="G230" s="969">
        <v>27957</v>
      </c>
      <c r="H230" s="969"/>
      <c r="I230" s="970">
        <v>1611</v>
      </c>
      <c r="J230" s="971">
        <v>6788</v>
      </c>
      <c r="K230" s="970">
        <v>3993</v>
      </c>
      <c r="L230" s="969">
        <v>0</v>
      </c>
      <c r="M230" s="969"/>
      <c r="N230" s="970">
        <v>791</v>
      </c>
      <c r="O230" s="970">
        <v>0</v>
      </c>
      <c r="P230" s="970">
        <v>0</v>
      </c>
      <c r="Q230" s="969">
        <v>2726</v>
      </c>
      <c r="R230" s="969"/>
      <c r="S230" s="970">
        <v>9422</v>
      </c>
      <c r="T230" s="972">
        <v>-895</v>
      </c>
      <c r="U230" s="972">
        <v>8527</v>
      </c>
    </row>
    <row r="231" spans="1:21" x14ac:dyDescent="0.25">
      <c r="A231" s="966">
        <v>92421</v>
      </c>
      <c r="B231" s="967" t="s">
        <v>2849</v>
      </c>
      <c r="C231" s="968">
        <v>8.8000000000000004E-6</v>
      </c>
      <c r="D231" s="968">
        <v>9.0000000000000002E-6</v>
      </c>
      <c r="E231" s="1007">
        <v>7580</v>
      </c>
      <c r="F231" s="1010">
        <v>19101</v>
      </c>
      <c r="G231" s="969">
        <v>13444</v>
      </c>
      <c r="H231" s="969"/>
      <c r="I231" s="970">
        <v>774</v>
      </c>
      <c r="J231" s="971">
        <v>3264</v>
      </c>
      <c r="K231" s="970">
        <v>1920</v>
      </c>
      <c r="L231" s="969">
        <v>3546</v>
      </c>
      <c r="M231" s="969"/>
      <c r="N231" s="970">
        <v>381</v>
      </c>
      <c r="O231" s="970">
        <v>0</v>
      </c>
      <c r="P231" s="970">
        <v>0</v>
      </c>
      <c r="Q231" s="969">
        <v>1149</v>
      </c>
      <c r="R231" s="969"/>
      <c r="S231" s="970">
        <v>4531</v>
      </c>
      <c r="T231" s="972">
        <v>935</v>
      </c>
      <c r="U231" s="972">
        <v>5466</v>
      </c>
    </row>
    <row r="232" spans="1:21" x14ac:dyDescent="0.25">
      <c r="A232" s="966">
        <v>92427</v>
      </c>
      <c r="B232" s="967" t="s">
        <v>2850</v>
      </c>
      <c r="C232" s="968">
        <v>3.9999999999999998E-7</v>
      </c>
      <c r="D232" s="968">
        <v>6.9999999999999997E-7</v>
      </c>
      <c r="E232" s="1007">
        <v>1463</v>
      </c>
      <c r="F232" s="1010">
        <v>1486</v>
      </c>
      <c r="G232" s="969">
        <v>611</v>
      </c>
      <c r="H232" s="969"/>
      <c r="I232" s="970">
        <v>35</v>
      </c>
      <c r="J232" s="971">
        <v>148</v>
      </c>
      <c r="K232" s="970">
        <v>87</v>
      </c>
      <c r="L232" s="969">
        <v>1998</v>
      </c>
      <c r="M232" s="969"/>
      <c r="N232" s="970">
        <v>17</v>
      </c>
      <c r="O232" s="970">
        <v>0</v>
      </c>
      <c r="P232" s="970">
        <v>0</v>
      </c>
      <c r="Q232" s="969">
        <v>0</v>
      </c>
      <c r="R232" s="969"/>
      <c r="S232" s="970">
        <v>206</v>
      </c>
      <c r="T232" s="972">
        <v>841</v>
      </c>
      <c r="U232" s="972">
        <v>1047</v>
      </c>
    </row>
    <row r="233" spans="1:21" x14ac:dyDescent="0.25">
      <c r="A233" s="966">
        <v>92431</v>
      </c>
      <c r="B233" s="967" t="s">
        <v>2851</v>
      </c>
      <c r="C233" s="968">
        <v>3.0800000000000003E-5</v>
      </c>
      <c r="D233" s="968">
        <v>1.8499999999999999E-5</v>
      </c>
      <c r="E233" s="1007">
        <v>22456</v>
      </c>
      <c r="F233" s="1010">
        <v>39263</v>
      </c>
      <c r="G233" s="969">
        <v>47054</v>
      </c>
      <c r="H233" s="969"/>
      <c r="I233" s="970">
        <v>2711</v>
      </c>
      <c r="J233" s="971">
        <v>11425</v>
      </c>
      <c r="K233" s="970">
        <v>6720</v>
      </c>
      <c r="L233" s="969">
        <v>18832</v>
      </c>
      <c r="M233" s="969"/>
      <c r="N233" s="970">
        <v>1332</v>
      </c>
      <c r="O233" s="970">
        <v>0</v>
      </c>
      <c r="P233" s="970">
        <v>0</v>
      </c>
      <c r="Q233" s="969">
        <v>3766</v>
      </c>
      <c r="R233" s="969"/>
      <c r="S233" s="970">
        <v>15857</v>
      </c>
      <c r="T233" s="972">
        <v>4147</v>
      </c>
      <c r="U233" s="972">
        <v>20004</v>
      </c>
    </row>
    <row r="234" spans="1:21" x14ac:dyDescent="0.25">
      <c r="A234" s="966">
        <v>92441</v>
      </c>
      <c r="B234" s="967" t="s">
        <v>2852</v>
      </c>
      <c r="C234" s="968">
        <v>7.7999999999999999E-5</v>
      </c>
      <c r="D234" s="968">
        <v>9.2299999999999994E-5</v>
      </c>
      <c r="E234" s="1007">
        <v>38185</v>
      </c>
      <c r="F234" s="1010">
        <v>195892</v>
      </c>
      <c r="G234" s="969">
        <v>119162</v>
      </c>
      <c r="H234" s="969"/>
      <c r="I234" s="970">
        <v>6865</v>
      </c>
      <c r="J234" s="971">
        <v>28933</v>
      </c>
      <c r="K234" s="970">
        <v>17018</v>
      </c>
      <c r="L234" s="969">
        <v>0</v>
      </c>
      <c r="M234" s="969"/>
      <c r="N234" s="970">
        <v>3373</v>
      </c>
      <c r="O234" s="970">
        <v>0</v>
      </c>
      <c r="P234" s="970">
        <v>0</v>
      </c>
      <c r="Q234" s="969">
        <v>15306</v>
      </c>
      <c r="R234" s="969"/>
      <c r="S234" s="970">
        <v>40158</v>
      </c>
      <c r="T234" s="972">
        <v>-6990</v>
      </c>
      <c r="U234" s="972">
        <f>33167+1</f>
        <v>33168</v>
      </c>
    </row>
    <row r="235" spans="1:21" x14ac:dyDescent="0.25">
      <c r="A235" s="966">
        <v>92444</v>
      </c>
      <c r="B235" s="967" t="s">
        <v>2853</v>
      </c>
      <c r="C235" s="968">
        <v>1.7999999999999999E-6</v>
      </c>
      <c r="D235" s="968">
        <v>1.9999999999999999E-6</v>
      </c>
      <c r="E235" s="1007">
        <v>2108</v>
      </c>
      <c r="F235" s="1010">
        <v>4245</v>
      </c>
      <c r="G235" s="969">
        <v>2750</v>
      </c>
      <c r="H235" s="969"/>
      <c r="I235" s="970">
        <v>158</v>
      </c>
      <c r="J235" s="971">
        <v>667</v>
      </c>
      <c r="K235" s="970">
        <v>393</v>
      </c>
      <c r="L235" s="969">
        <v>2573</v>
      </c>
      <c r="M235" s="969"/>
      <c r="N235" s="970">
        <v>78</v>
      </c>
      <c r="O235" s="970">
        <v>0</v>
      </c>
      <c r="P235" s="970">
        <v>0</v>
      </c>
      <c r="Q235" s="969">
        <v>0</v>
      </c>
      <c r="R235" s="969"/>
      <c r="S235" s="970">
        <v>927</v>
      </c>
      <c r="T235" s="972">
        <v>1194</v>
      </c>
      <c r="U235" s="972">
        <v>2121</v>
      </c>
    </row>
    <row r="236" spans="1:21" x14ac:dyDescent="0.25">
      <c r="A236" s="966">
        <v>92451</v>
      </c>
      <c r="B236" s="967" t="s">
        <v>2854</v>
      </c>
      <c r="C236" s="968">
        <v>1.3070000000000001E-4</v>
      </c>
      <c r="D236" s="968">
        <v>1.4559999999999999E-4</v>
      </c>
      <c r="E236" s="1007">
        <v>77938</v>
      </c>
      <c r="F236" s="1010">
        <v>309012</v>
      </c>
      <c r="G236" s="969">
        <v>199673</v>
      </c>
      <c r="H236" s="969"/>
      <c r="I236" s="970">
        <v>11503</v>
      </c>
      <c r="J236" s="971">
        <v>48481</v>
      </c>
      <c r="K236" s="970">
        <v>28516</v>
      </c>
      <c r="L236" s="969">
        <v>29255</v>
      </c>
      <c r="M236" s="969"/>
      <c r="N236" s="970">
        <v>5652</v>
      </c>
      <c r="O236" s="970">
        <v>0</v>
      </c>
      <c r="P236" s="970">
        <v>0</v>
      </c>
      <c r="Q236" s="969">
        <v>0</v>
      </c>
      <c r="R236" s="969"/>
      <c r="S236" s="970">
        <v>67290</v>
      </c>
      <c r="T236" s="972">
        <v>12363</v>
      </c>
      <c r="U236" s="972">
        <v>79653</v>
      </c>
    </row>
    <row r="237" spans="1:21" x14ac:dyDescent="0.25">
      <c r="A237" s="966">
        <v>92461</v>
      </c>
      <c r="B237" s="967" t="s">
        <v>2855</v>
      </c>
      <c r="C237" s="968">
        <v>7.1099999999999994E-5</v>
      </c>
      <c r="D237" s="968">
        <v>7.2999999999999999E-5</v>
      </c>
      <c r="E237" s="1007">
        <v>40872</v>
      </c>
      <c r="F237" s="1010">
        <v>154930</v>
      </c>
      <c r="G237" s="969">
        <v>108621</v>
      </c>
      <c r="H237" s="969"/>
      <c r="I237" s="970">
        <v>6258</v>
      </c>
      <c r="J237" s="971">
        <v>26373</v>
      </c>
      <c r="K237" s="970">
        <v>15513</v>
      </c>
      <c r="L237" s="969">
        <v>12982</v>
      </c>
      <c r="M237" s="969"/>
      <c r="N237" s="970">
        <v>3075</v>
      </c>
      <c r="O237" s="970">
        <v>0</v>
      </c>
      <c r="P237" s="970">
        <v>0</v>
      </c>
      <c r="Q237" s="969">
        <v>4965</v>
      </c>
      <c r="R237" s="969"/>
      <c r="S237" s="970">
        <v>36605</v>
      </c>
      <c r="T237" s="972">
        <v>1157</v>
      </c>
      <c r="U237" s="972">
        <f>37763-1</f>
        <v>37762</v>
      </c>
    </row>
    <row r="238" spans="1:21" x14ac:dyDescent="0.25">
      <c r="A238" s="966">
        <v>92501</v>
      </c>
      <c r="B238" s="967" t="s">
        <v>2856</v>
      </c>
      <c r="C238" s="968">
        <v>3.8252E-3</v>
      </c>
      <c r="D238" s="968">
        <v>3.8141E-3</v>
      </c>
      <c r="E238" s="1007">
        <v>1869584</v>
      </c>
      <c r="F238" s="1010">
        <v>8094798</v>
      </c>
      <c r="G238" s="969">
        <v>5843846</v>
      </c>
      <c r="H238" s="969"/>
      <c r="I238" s="970">
        <v>336660</v>
      </c>
      <c r="J238" s="971">
        <v>1418892</v>
      </c>
      <c r="K238" s="970">
        <v>834582</v>
      </c>
      <c r="L238" s="969">
        <v>137822</v>
      </c>
      <c r="M238" s="969"/>
      <c r="N238" s="970">
        <v>165421</v>
      </c>
      <c r="O238" s="970">
        <v>0</v>
      </c>
      <c r="P238" s="970">
        <v>0</v>
      </c>
      <c r="Q238" s="969">
        <v>9032</v>
      </c>
      <c r="R238" s="969"/>
      <c r="S238" s="970">
        <v>1969381</v>
      </c>
      <c r="T238" s="972">
        <v>45362</v>
      </c>
      <c r="U238" s="972">
        <v>2014743</v>
      </c>
    </row>
    <row r="239" spans="1:21" x14ac:dyDescent="0.25">
      <c r="A239" s="966">
        <v>92502</v>
      </c>
      <c r="B239" s="967" t="s">
        <v>2857</v>
      </c>
      <c r="C239" s="968">
        <v>2.7500000000000001E-5</v>
      </c>
      <c r="D239" s="968">
        <v>2.8799999999999999E-5</v>
      </c>
      <c r="E239" s="1007">
        <v>14164</v>
      </c>
      <c r="F239" s="1010">
        <v>61123</v>
      </c>
      <c r="G239" s="969">
        <v>42012</v>
      </c>
      <c r="H239" s="969"/>
      <c r="I239" s="970">
        <v>2420</v>
      </c>
      <c r="J239" s="971">
        <v>10201</v>
      </c>
      <c r="K239" s="970">
        <v>6000</v>
      </c>
      <c r="L239" s="969">
        <v>3940</v>
      </c>
      <c r="M239" s="969"/>
      <c r="N239" s="970">
        <v>1189</v>
      </c>
      <c r="O239" s="970">
        <v>0</v>
      </c>
      <c r="P239" s="970">
        <v>0</v>
      </c>
      <c r="Q239" s="969">
        <v>2154</v>
      </c>
      <c r="R239" s="969"/>
      <c r="S239" s="970">
        <v>14158</v>
      </c>
      <c r="T239" s="972">
        <v>-13</v>
      </c>
      <c r="U239" s="972">
        <v>14145</v>
      </c>
    </row>
    <row r="240" spans="1:21" x14ac:dyDescent="0.25">
      <c r="A240" s="966">
        <v>92504</v>
      </c>
      <c r="B240" s="967" t="s">
        <v>2858</v>
      </c>
      <c r="C240" s="968">
        <v>8.4300000000000003E-5</v>
      </c>
      <c r="D240" s="968">
        <v>7.2799999999999994E-5</v>
      </c>
      <c r="E240" s="1007">
        <v>49664</v>
      </c>
      <c r="F240" s="1010">
        <v>154506</v>
      </c>
      <c r="G240" s="969">
        <v>128787</v>
      </c>
      <c r="H240" s="969"/>
      <c r="I240" s="970">
        <v>7419</v>
      </c>
      <c r="J240" s="971">
        <v>31269</v>
      </c>
      <c r="K240" s="970">
        <v>18393</v>
      </c>
      <c r="L240" s="969">
        <v>29049</v>
      </c>
      <c r="M240" s="969"/>
      <c r="N240" s="970">
        <v>3646</v>
      </c>
      <c r="O240" s="970">
        <v>0</v>
      </c>
      <c r="P240" s="970">
        <v>0</v>
      </c>
      <c r="Q240" s="969">
        <v>27</v>
      </c>
      <c r="R240" s="969"/>
      <c r="S240" s="970">
        <v>43401</v>
      </c>
      <c r="T240" s="972">
        <v>10026</v>
      </c>
      <c r="U240" s="972">
        <v>53427</v>
      </c>
    </row>
    <row r="241" spans="1:21" x14ac:dyDescent="0.25">
      <c r="A241" s="966">
        <v>92505</v>
      </c>
      <c r="B241" s="967" t="s">
        <v>2859</v>
      </c>
      <c r="C241" s="968">
        <v>1.9239999999999999E-4</v>
      </c>
      <c r="D241" s="968">
        <v>1.8709999999999999E-4</v>
      </c>
      <c r="E241" s="1007">
        <v>119136</v>
      </c>
      <c r="F241" s="1010">
        <v>397089</v>
      </c>
      <c r="G241" s="969">
        <v>293934</v>
      </c>
      <c r="H241" s="969"/>
      <c r="I241" s="970">
        <v>16933</v>
      </c>
      <c r="J241" s="971">
        <v>71367</v>
      </c>
      <c r="K241" s="970">
        <v>41978</v>
      </c>
      <c r="L241" s="969">
        <v>59108</v>
      </c>
      <c r="M241" s="969"/>
      <c r="N241" s="970">
        <v>8320</v>
      </c>
      <c r="O241" s="970">
        <v>0</v>
      </c>
      <c r="P241" s="970">
        <v>0</v>
      </c>
      <c r="Q241" s="969">
        <v>0</v>
      </c>
      <c r="R241" s="969"/>
      <c r="S241" s="970">
        <v>99056</v>
      </c>
      <c r="T241" s="972">
        <v>23320</v>
      </c>
      <c r="U241" s="972">
        <v>122376</v>
      </c>
    </row>
    <row r="242" spans="1:21" x14ac:dyDescent="0.25">
      <c r="A242" s="966">
        <v>92506</v>
      </c>
      <c r="B242" s="967" t="s">
        <v>2860</v>
      </c>
      <c r="C242" s="968">
        <v>4.7500000000000003E-5</v>
      </c>
      <c r="D242" s="968">
        <v>4.3699999999999998E-5</v>
      </c>
      <c r="E242" s="1007">
        <v>26570</v>
      </c>
      <c r="F242" s="1010">
        <v>92746</v>
      </c>
      <c r="G242" s="969">
        <v>72567</v>
      </c>
      <c r="H242" s="969"/>
      <c r="I242" s="970">
        <v>4181</v>
      </c>
      <c r="J242" s="971">
        <v>17619</v>
      </c>
      <c r="K242" s="970">
        <v>10364</v>
      </c>
      <c r="L242" s="969">
        <v>17893</v>
      </c>
      <c r="M242" s="969"/>
      <c r="N242" s="970">
        <v>2054</v>
      </c>
      <c r="O242" s="970">
        <v>0</v>
      </c>
      <c r="P242" s="970">
        <v>0</v>
      </c>
      <c r="Q242" s="969">
        <v>0</v>
      </c>
      <c r="R242" s="969"/>
      <c r="S242" s="970">
        <v>24455</v>
      </c>
      <c r="T242" s="972">
        <v>7399</v>
      </c>
      <c r="U242" s="972">
        <v>31854</v>
      </c>
    </row>
    <row r="243" spans="1:21" x14ac:dyDescent="0.25">
      <c r="A243" s="966">
        <v>92507</v>
      </c>
      <c r="B243" s="967" t="s">
        <v>2861</v>
      </c>
      <c r="C243" s="968">
        <v>9.5699999999999995E-5</v>
      </c>
      <c r="D243" s="968">
        <v>7.6799999999999997E-5</v>
      </c>
      <c r="E243" s="1007">
        <v>40750</v>
      </c>
      <c r="F243" s="1010">
        <v>162995</v>
      </c>
      <c r="G243" s="969">
        <v>146203</v>
      </c>
      <c r="H243" s="969"/>
      <c r="I243" s="970">
        <v>8423</v>
      </c>
      <c r="J243" s="971">
        <v>35498</v>
      </c>
      <c r="K243" s="970">
        <v>20880</v>
      </c>
      <c r="L243" s="969">
        <v>10349</v>
      </c>
      <c r="M243" s="969"/>
      <c r="N243" s="970">
        <v>4139</v>
      </c>
      <c r="O243" s="970">
        <v>0</v>
      </c>
      <c r="P243" s="970">
        <v>0</v>
      </c>
      <c r="Q243" s="969">
        <v>14283</v>
      </c>
      <c r="R243" s="969"/>
      <c r="S243" s="970">
        <v>49271</v>
      </c>
      <c r="T243" s="972">
        <v>-5512</v>
      </c>
      <c r="U243" s="972">
        <f>43758+1</f>
        <v>43759</v>
      </c>
    </row>
    <row r="244" spans="1:21" x14ac:dyDescent="0.25">
      <c r="A244" s="966">
        <v>92508</v>
      </c>
      <c r="B244" s="967" t="s">
        <v>2862</v>
      </c>
      <c r="C244" s="968">
        <v>3.1E-4</v>
      </c>
      <c r="D244" s="968">
        <v>3.1930000000000001E-4</v>
      </c>
      <c r="E244" s="1007">
        <v>152021</v>
      </c>
      <c r="F244" s="1010">
        <v>677662</v>
      </c>
      <c r="G244" s="969">
        <v>473594</v>
      </c>
      <c r="H244" s="969"/>
      <c r="I244" s="970">
        <v>27283</v>
      </c>
      <c r="J244" s="971">
        <v>114989</v>
      </c>
      <c r="K244" s="970">
        <v>67636</v>
      </c>
      <c r="L244" s="969">
        <v>5884</v>
      </c>
      <c r="M244" s="969"/>
      <c r="N244" s="970">
        <v>13406</v>
      </c>
      <c r="O244" s="970">
        <v>0</v>
      </c>
      <c r="P244" s="970">
        <v>0</v>
      </c>
      <c r="Q244" s="969">
        <v>1407</v>
      </c>
      <c r="R244" s="969"/>
      <c r="S244" s="970">
        <v>159602</v>
      </c>
      <c r="T244" s="972">
        <v>3411</v>
      </c>
      <c r="U244" s="972">
        <v>163013</v>
      </c>
    </row>
    <row r="245" spans="1:21" x14ac:dyDescent="0.25">
      <c r="A245" s="966">
        <v>92511</v>
      </c>
      <c r="B245" s="967" t="s">
        <v>2864</v>
      </c>
      <c r="C245" s="968">
        <v>3.3240000000000001E-3</v>
      </c>
      <c r="D245" s="968">
        <v>3.4164E-3</v>
      </c>
      <c r="E245" s="1007">
        <v>1524503</v>
      </c>
      <c r="F245" s="1010">
        <v>7250745</v>
      </c>
      <c r="G245" s="969">
        <v>5078151</v>
      </c>
      <c r="H245" s="969"/>
      <c r="I245" s="970">
        <v>292549</v>
      </c>
      <c r="J245" s="971">
        <v>1232981</v>
      </c>
      <c r="K245" s="970">
        <v>725230</v>
      </c>
      <c r="L245" s="969">
        <v>12146</v>
      </c>
      <c r="M245" s="969"/>
      <c r="N245" s="970">
        <v>143746</v>
      </c>
      <c r="O245" s="970">
        <v>0</v>
      </c>
      <c r="P245" s="970">
        <v>0</v>
      </c>
      <c r="Q245" s="969">
        <v>237633</v>
      </c>
      <c r="R245" s="969"/>
      <c r="S245" s="970">
        <v>1711341</v>
      </c>
      <c r="T245" s="972">
        <v>-72839</v>
      </c>
      <c r="U245" s="972">
        <f>1638503-1</f>
        <v>1638502</v>
      </c>
    </row>
    <row r="246" spans="1:21" x14ac:dyDescent="0.25">
      <c r="A246" s="966">
        <v>92513</v>
      </c>
      <c r="B246" s="967" t="s">
        <v>2865</v>
      </c>
      <c r="C246" s="968">
        <v>4.0328999999999999E-3</v>
      </c>
      <c r="D246" s="968">
        <v>3.9753000000000002E-3</v>
      </c>
      <c r="E246" s="1007">
        <v>1669954</v>
      </c>
      <c r="F246" s="1010">
        <v>8436918</v>
      </c>
      <c r="G246" s="969">
        <v>6161154</v>
      </c>
      <c r="H246" s="969"/>
      <c r="I246" s="970">
        <v>354940</v>
      </c>
      <c r="J246" s="971">
        <v>1495936</v>
      </c>
      <c r="K246" s="970">
        <v>879898</v>
      </c>
      <c r="L246" s="969">
        <f>1481541+87063+162533</f>
        <v>1731137</v>
      </c>
      <c r="M246" s="969"/>
      <c r="N246" s="970">
        <v>174403</v>
      </c>
      <c r="O246" s="970">
        <v>0</v>
      </c>
      <c r="P246" s="970">
        <v>0</v>
      </c>
      <c r="Q246" s="969">
        <f>106570+867533+690246</f>
        <v>1664349</v>
      </c>
      <c r="R246" s="969"/>
      <c r="S246" s="970">
        <v>2076314</v>
      </c>
      <c r="T246" s="972">
        <f>491379-223763-102954</f>
        <v>164662</v>
      </c>
      <c r="U246" s="972">
        <f>2567693-223763-102954</f>
        <v>2240976</v>
      </c>
    </row>
    <row r="247" spans="1:21" x14ac:dyDescent="0.25">
      <c r="A247" s="966">
        <v>92521</v>
      </c>
      <c r="B247" s="967" t="s">
        <v>2866</v>
      </c>
      <c r="C247" s="968">
        <v>8.6899999999999998E-5</v>
      </c>
      <c r="D247" s="968">
        <v>8.9800000000000001E-5</v>
      </c>
      <c r="E247" s="1007">
        <v>37384</v>
      </c>
      <c r="F247" s="1010">
        <v>190586</v>
      </c>
      <c r="G247" s="969">
        <v>132759</v>
      </c>
      <c r="H247" s="969"/>
      <c r="I247" s="970">
        <v>7648</v>
      </c>
      <c r="J247" s="971">
        <v>32235</v>
      </c>
      <c r="K247" s="970">
        <v>18960</v>
      </c>
      <c r="L247" s="969">
        <v>3168</v>
      </c>
      <c r="M247" s="969"/>
      <c r="N247" s="970">
        <v>3758</v>
      </c>
      <c r="O247" s="970">
        <v>0</v>
      </c>
      <c r="P247" s="970">
        <v>0</v>
      </c>
      <c r="Q247" s="969">
        <v>10611</v>
      </c>
      <c r="R247" s="969"/>
      <c r="S247" s="970">
        <v>44740</v>
      </c>
      <c r="T247" s="972">
        <v>-2554</v>
      </c>
      <c r="U247" s="972">
        <v>42186</v>
      </c>
    </row>
    <row r="248" spans="1:21" x14ac:dyDescent="0.25">
      <c r="A248" s="966">
        <v>92531</v>
      </c>
      <c r="B248" s="967" t="s">
        <v>2867</v>
      </c>
      <c r="C248" s="968">
        <v>8.6490000000000004E-4</v>
      </c>
      <c r="D248" s="968">
        <v>8.3779999999999998E-4</v>
      </c>
      <c r="E248" s="1007">
        <v>358464</v>
      </c>
      <c r="F248" s="1010">
        <v>1778092</v>
      </c>
      <c r="G248" s="969">
        <v>1321328</v>
      </c>
      <c r="H248" s="969"/>
      <c r="I248" s="970">
        <v>76121</v>
      </c>
      <c r="J248" s="971">
        <v>320820</v>
      </c>
      <c r="K248" s="970">
        <v>188704</v>
      </c>
      <c r="L248" s="969">
        <v>0</v>
      </c>
      <c r="M248" s="969"/>
      <c r="N248" s="970">
        <v>37403</v>
      </c>
      <c r="O248" s="970">
        <v>0</v>
      </c>
      <c r="P248" s="970">
        <v>0</v>
      </c>
      <c r="Q248" s="969">
        <v>124043</v>
      </c>
      <c r="R248" s="969"/>
      <c r="S248" s="970">
        <v>445289</v>
      </c>
      <c r="T248" s="972">
        <v>-61397</v>
      </c>
      <c r="U248" s="972">
        <v>383892</v>
      </c>
    </row>
    <row r="249" spans="1:21" x14ac:dyDescent="0.25">
      <c r="A249" s="966">
        <v>92541</v>
      </c>
      <c r="B249" s="967" t="s">
        <v>2868</v>
      </c>
      <c r="C249" s="968">
        <v>1.4469999999999999E-4</v>
      </c>
      <c r="D249" s="968">
        <v>1.4300000000000001E-4</v>
      </c>
      <c r="E249" s="1007">
        <v>58964</v>
      </c>
      <c r="F249" s="1010">
        <v>303494</v>
      </c>
      <c r="G249" s="969">
        <v>221062</v>
      </c>
      <c r="H249" s="969"/>
      <c r="I249" s="970">
        <v>12735</v>
      </c>
      <c r="J249" s="971">
        <v>53674</v>
      </c>
      <c r="K249" s="970">
        <v>31571</v>
      </c>
      <c r="L249" s="969">
        <v>7292</v>
      </c>
      <c r="M249" s="969"/>
      <c r="N249" s="970">
        <v>6258</v>
      </c>
      <c r="O249" s="970">
        <v>0</v>
      </c>
      <c r="P249" s="970">
        <v>0</v>
      </c>
      <c r="Q249" s="969">
        <v>7300</v>
      </c>
      <c r="R249" s="969"/>
      <c r="S249" s="970">
        <v>74498</v>
      </c>
      <c r="T249" s="972">
        <v>2019</v>
      </c>
      <c r="U249" s="972">
        <v>76517</v>
      </c>
    </row>
    <row r="250" spans="1:21" x14ac:dyDescent="0.25">
      <c r="A250" s="966">
        <v>92551</v>
      </c>
      <c r="B250" s="967" t="s">
        <v>2869</v>
      </c>
      <c r="C250" s="968">
        <v>5.3300000000000001E-5</v>
      </c>
      <c r="D250" s="968">
        <v>4.18E-5</v>
      </c>
      <c r="E250" s="1007">
        <v>19992</v>
      </c>
      <c r="F250" s="1010">
        <v>88714</v>
      </c>
      <c r="G250" s="969">
        <v>81428</v>
      </c>
      <c r="H250" s="969"/>
      <c r="I250" s="970">
        <v>4691</v>
      </c>
      <c r="J250" s="971">
        <v>19771</v>
      </c>
      <c r="K250" s="970">
        <v>11629</v>
      </c>
      <c r="L250" s="969">
        <v>7529</v>
      </c>
      <c r="M250" s="969"/>
      <c r="N250" s="970">
        <v>2305</v>
      </c>
      <c r="O250" s="970">
        <v>0</v>
      </c>
      <c r="P250" s="970">
        <v>0</v>
      </c>
      <c r="Q250" s="969">
        <v>8359</v>
      </c>
      <c r="R250" s="969"/>
      <c r="S250" s="970">
        <v>27441</v>
      </c>
      <c r="T250" s="972">
        <v>961</v>
      </c>
      <c r="U250" s="972">
        <v>28402</v>
      </c>
    </row>
    <row r="251" spans="1:21" x14ac:dyDescent="0.25">
      <c r="A251" s="966">
        <v>92561</v>
      </c>
      <c r="B251" s="967" t="s">
        <v>2870</v>
      </c>
      <c r="C251" s="968">
        <v>2.2200000000000001E-5</v>
      </c>
      <c r="D251" s="968">
        <v>2.2900000000000001E-5</v>
      </c>
      <c r="E251" s="1007">
        <v>11716</v>
      </c>
      <c r="F251" s="1010">
        <v>48601</v>
      </c>
      <c r="G251" s="969">
        <v>33915</v>
      </c>
      <c r="H251" s="969"/>
      <c r="I251" s="970">
        <v>1954</v>
      </c>
      <c r="J251" s="971">
        <v>8235</v>
      </c>
      <c r="K251" s="970">
        <v>4844</v>
      </c>
      <c r="L251" s="969">
        <v>5369</v>
      </c>
      <c r="M251" s="969"/>
      <c r="N251" s="970">
        <v>960</v>
      </c>
      <c r="O251" s="970">
        <v>0</v>
      </c>
      <c r="P251" s="970">
        <v>0</v>
      </c>
      <c r="Q251" s="969">
        <v>0</v>
      </c>
      <c r="R251" s="969"/>
      <c r="S251" s="970">
        <v>11430</v>
      </c>
      <c r="T251" s="972">
        <v>2639</v>
      </c>
      <c r="U251" s="972">
        <f>14068+1</f>
        <v>14069</v>
      </c>
    </row>
    <row r="252" spans="1:21" x14ac:dyDescent="0.25">
      <c r="A252" s="966">
        <v>92571</v>
      </c>
      <c r="B252" s="967" t="s">
        <v>2871</v>
      </c>
      <c r="C252" s="968">
        <v>1.01E-5</v>
      </c>
      <c r="D252" s="968">
        <v>3.1E-6</v>
      </c>
      <c r="E252" s="1007">
        <v>6486</v>
      </c>
      <c r="F252" s="1010">
        <v>6579</v>
      </c>
      <c r="G252" s="969">
        <v>15430</v>
      </c>
      <c r="H252" s="969"/>
      <c r="I252" s="970">
        <v>889</v>
      </c>
      <c r="J252" s="971">
        <v>3746</v>
      </c>
      <c r="K252" s="970">
        <v>2204</v>
      </c>
      <c r="L252" s="969">
        <v>9367</v>
      </c>
      <c r="M252" s="969"/>
      <c r="N252" s="970">
        <v>437</v>
      </c>
      <c r="O252" s="970">
        <v>0</v>
      </c>
      <c r="P252" s="970">
        <v>0</v>
      </c>
      <c r="Q252" s="969">
        <v>100</v>
      </c>
      <c r="R252" s="969"/>
      <c r="S252" s="970">
        <v>5200</v>
      </c>
      <c r="T252" s="972">
        <v>2687</v>
      </c>
      <c r="U252" s="972">
        <v>7887</v>
      </c>
    </row>
    <row r="253" spans="1:21" x14ac:dyDescent="0.25">
      <c r="A253" s="966">
        <v>92601</v>
      </c>
      <c r="B253" s="967" t="s">
        <v>2872</v>
      </c>
      <c r="C253" s="968">
        <v>1.51874E-2</v>
      </c>
      <c r="D253" s="968">
        <v>1.54185E-2</v>
      </c>
      <c r="E253" s="1007">
        <v>7108398</v>
      </c>
      <c r="F253" s="1010">
        <v>32723222</v>
      </c>
      <c r="G253" s="969">
        <v>23202140</v>
      </c>
      <c r="H253" s="969"/>
      <c r="I253" s="970">
        <v>1336658</v>
      </c>
      <c r="J253" s="971">
        <v>5633508</v>
      </c>
      <c r="K253" s="970">
        <v>3313587</v>
      </c>
      <c r="L253" s="969">
        <v>134811</v>
      </c>
      <c r="M253" s="969"/>
      <c r="N253" s="970">
        <v>656779</v>
      </c>
      <c r="O253" s="970">
        <v>0</v>
      </c>
      <c r="P253" s="970">
        <v>0</v>
      </c>
      <c r="Q253" s="969">
        <v>46060</v>
      </c>
      <c r="R253" s="969"/>
      <c r="S253" s="970">
        <v>7819142</v>
      </c>
      <c r="T253" s="972">
        <v>112074</v>
      </c>
      <c r="U253" s="972">
        <f>7931215+1</f>
        <v>7931216</v>
      </c>
    </row>
    <row r="254" spans="1:21" x14ac:dyDescent="0.25">
      <c r="A254" s="966">
        <v>92602</v>
      </c>
      <c r="B254" s="967" t="s">
        <v>2873</v>
      </c>
      <c r="C254" s="968">
        <v>8.3000000000000002E-6</v>
      </c>
      <c r="D254" s="968">
        <v>8.1999999999999994E-6</v>
      </c>
      <c r="E254" s="1007">
        <v>3605</v>
      </c>
      <c r="F254" s="1010">
        <v>17403</v>
      </c>
      <c r="G254" s="969">
        <v>12680</v>
      </c>
      <c r="H254" s="969"/>
      <c r="I254" s="970">
        <v>730</v>
      </c>
      <c r="J254" s="971">
        <v>3079</v>
      </c>
      <c r="K254" s="970">
        <v>1811</v>
      </c>
      <c r="L254" s="969">
        <v>352</v>
      </c>
      <c r="M254" s="969"/>
      <c r="N254" s="970">
        <v>359</v>
      </c>
      <c r="O254" s="970">
        <v>0</v>
      </c>
      <c r="P254" s="970">
        <v>0</v>
      </c>
      <c r="Q254" s="969">
        <v>927</v>
      </c>
      <c r="R254" s="969"/>
      <c r="S254" s="970">
        <v>4273</v>
      </c>
      <c r="T254" s="972">
        <v>-99</v>
      </c>
      <c r="U254" s="972">
        <v>4174</v>
      </c>
    </row>
    <row r="255" spans="1:21" x14ac:dyDescent="0.25">
      <c r="A255" s="966">
        <v>92604</v>
      </c>
      <c r="B255" s="967" t="s">
        <v>2874</v>
      </c>
      <c r="C255" s="968">
        <v>3.4099999999999999E-4</v>
      </c>
      <c r="D255" s="968">
        <v>3.4380000000000001E-4</v>
      </c>
      <c r="E255" s="1007">
        <v>178691</v>
      </c>
      <c r="F255" s="1010">
        <v>729659</v>
      </c>
      <c r="G255" s="969">
        <v>520954</v>
      </c>
      <c r="H255" s="969"/>
      <c r="I255" s="970">
        <v>30012</v>
      </c>
      <c r="J255" s="971">
        <v>126488</v>
      </c>
      <c r="K255" s="970">
        <v>74399</v>
      </c>
      <c r="L255" s="969">
        <v>52760</v>
      </c>
      <c r="M255" s="969"/>
      <c r="N255" s="970">
        <v>14747</v>
      </c>
      <c r="O255" s="970">
        <v>0</v>
      </c>
      <c r="P255" s="970">
        <v>0</v>
      </c>
      <c r="Q255" s="969">
        <v>0</v>
      </c>
      <c r="R255" s="969"/>
      <c r="S255" s="970">
        <v>175562</v>
      </c>
      <c r="T255" s="972">
        <v>23975</v>
      </c>
      <c r="U255" s="972">
        <v>199537</v>
      </c>
    </row>
    <row r="256" spans="1:21" x14ac:dyDescent="0.25">
      <c r="A256" s="966">
        <v>92607</v>
      </c>
      <c r="B256" s="967" t="s">
        <v>2875</v>
      </c>
      <c r="C256" s="968">
        <v>6.6400000000000001E-5</v>
      </c>
      <c r="D256" s="968">
        <v>7.0400000000000004E-5</v>
      </c>
      <c r="E256" s="1007">
        <v>38427</v>
      </c>
      <c r="F256" s="1010">
        <v>149412</v>
      </c>
      <c r="G256" s="969">
        <v>101441</v>
      </c>
      <c r="H256" s="969"/>
      <c r="I256" s="970">
        <v>5844</v>
      </c>
      <c r="J256" s="971">
        <v>24630</v>
      </c>
      <c r="K256" s="970">
        <v>14487</v>
      </c>
      <c r="L256" s="969">
        <v>9416</v>
      </c>
      <c r="M256" s="969"/>
      <c r="N256" s="970">
        <v>2871</v>
      </c>
      <c r="O256" s="970">
        <v>0</v>
      </c>
      <c r="P256" s="970">
        <v>0</v>
      </c>
      <c r="Q256" s="969">
        <v>0</v>
      </c>
      <c r="R256" s="969"/>
      <c r="S256" s="970">
        <v>34186</v>
      </c>
      <c r="T256" s="972">
        <v>4781</v>
      </c>
      <c r="U256" s="972">
        <f>38966+1</f>
        <v>38967</v>
      </c>
    </row>
    <row r="257" spans="1:21" x14ac:dyDescent="0.25">
      <c r="A257" s="966">
        <v>92608</v>
      </c>
      <c r="B257" s="967" t="s">
        <v>2876</v>
      </c>
      <c r="C257" s="968">
        <v>0</v>
      </c>
      <c r="D257" s="968">
        <v>0</v>
      </c>
      <c r="E257" s="1007">
        <v>0</v>
      </c>
      <c r="F257" s="1010">
        <v>0</v>
      </c>
      <c r="G257" s="969">
        <v>0</v>
      </c>
      <c r="H257" s="969"/>
      <c r="I257" s="970">
        <v>0</v>
      </c>
      <c r="J257" s="971">
        <v>0</v>
      </c>
      <c r="K257" s="970">
        <v>0</v>
      </c>
      <c r="L257" s="969">
        <v>0</v>
      </c>
      <c r="M257" s="969"/>
      <c r="N257" s="970">
        <v>0</v>
      </c>
      <c r="O257" s="970">
        <v>0</v>
      </c>
      <c r="P257" s="970">
        <v>0</v>
      </c>
      <c r="Q257" s="969">
        <v>69935</v>
      </c>
      <c r="R257" s="969"/>
      <c r="S257" s="970">
        <v>0</v>
      </c>
      <c r="T257" s="972">
        <v>-69872</v>
      </c>
      <c r="U257" s="972">
        <v>-69872</v>
      </c>
    </row>
    <row r="258" spans="1:21" x14ac:dyDescent="0.25">
      <c r="A258" s="966">
        <v>92611</v>
      </c>
      <c r="B258" s="967" t="s">
        <v>2877</v>
      </c>
      <c r="C258" s="968">
        <v>1.3080899999999999E-2</v>
      </c>
      <c r="D258" s="968">
        <v>1.3650799999999999E-2</v>
      </c>
      <c r="E258" s="1007">
        <v>5890415</v>
      </c>
      <c r="F258" s="1010">
        <v>28971571</v>
      </c>
      <c r="G258" s="969">
        <v>19983992</v>
      </c>
      <c r="H258" s="969"/>
      <c r="I258" s="970">
        <v>1151263</v>
      </c>
      <c r="J258" s="971">
        <v>4852137</v>
      </c>
      <c r="K258" s="970">
        <v>2853991</v>
      </c>
      <c r="L258" s="969">
        <v>10109</v>
      </c>
      <c r="M258" s="969"/>
      <c r="N258" s="970">
        <v>565684</v>
      </c>
      <c r="O258" s="970">
        <v>0</v>
      </c>
      <c r="P258" s="970">
        <v>0</v>
      </c>
      <c r="Q258" s="969">
        <v>976593</v>
      </c>
      <c r="R258" s="969"/>
      <c r="S258" s="970">
        <v>6734623</v>
      </c>
      <c r="T258" s="972">
        <v>-313138</v>
      </c>
      <c r="U258" s="972">
        <v>6421485</v>
      </c>
    </row>
    <row r="259" spans="1:21" x14ac:dyDescent="0.25">
      <c r="A259" s="966">
        <v>92613</v>
      </c>
      <c r="B259" s="967" t="s">
        <v>2878</v>
      </c>
      <c r="C259" s="968">
        <v>2.6439999999999998E-4</v>
      </c>
      <c r="D259" s="968">
        <v>2.81E-4</v>
      </c>
      <c r="E259" s="1007">
        <v>143121</v>
      </c>
      <c r="F259" s="1010">
        <v>596376</v>
      </c>
      <c r="G259" s="969">
        <v>403930</v>
      </c>
      <c r="H259" s="969"/>
      <c r="I259" s="970">
        <v>23270</v>
      </c>
      <c r="J259" s="971">
        <v>98075</v>
      </c>
      <c r="K259" s="970">
        <v>57687</v>
      </c>
      <c r="L259" s="969">
        <v>84489</v>
      </c>
      <c r="M259" s="969"/>
      <c r="N259" s="970">
        <v>11434</v>
      </c>
      <c r="O259" s="970">
        <v>0</v>
      </c>
      <c r="P259" s="970">
        <v>0</v>
      </c>
      <c r="Q259" s="969">
        <v>941</v>
      </c>
      <c r="R259" s="969"/>
      <c r="S259" s="970">
        <v>136125</v>
      </c>
      <c r="T259" s="972">
        <v>41506</v>
      </c>
      <c r="U259" s="972">
        <v>177631</v>
      </c>
    </row>
    <row r="260" spans="1:21" x14ac:dyDescent="0.25">
      <c r="A260" s="966">
        <v>92614</v>
      </c>
      <c r="B260" s="967" t="s">
        <v>2879</v>
      </c>
      <c r="C260" s="968">
        <v>5.7273000000000003E-3</v>
      </c>
      <c r="D260" s="968">
        <v>5.6468000000000004E-3</v>
      </c>
      <c r="E260" s="1007">
        <v>4788008</v>
      </c>
      <c r="F260" s="1010">
        <v>11984401</v>
      </c>
      <c r="G260" s="969">
        <v>8749728</v>
      </c>
      <c r="H260" s="969"/>
      <c r="I260" s="970">
        <v>504065</v>
      </c>
      <c r="J260" s="971">
        <v>2124444</v>
      </c>
      <c r="K260" s="970">
        <v>1249582</v>
      </c>
      <c r="L260" s="969">
        <v>3908054</v>
      </c>
      <c r="M260" s="969"/>
      <c r="N260" s="970">
        <v>247677</v>
      </c>
      <c r="O260" s="970">
        <v>0</v>
      </c>
      <c r="P260" s="970">
        <v>0</v>
      </c>
      <c r="Q260" s="969">
        <v>0</v>
      </c>
      <c r="R260" s="969"/>
      <c r="S260" s="970">
        <v>2948666</v>
      </c>
      <c r="T260" s="972">
        <v>1416067</v>
      </c>
      <c r="U260" s="972">
        <v>4364733</v>
      </c>
    </row>
    <row r="261" spans="1:21" x14ac:dyDescent="0.25">
      <c r="A261" s="966">
        <v>92621</v>
      </c>
      <c r="B261" s="967" t="s">
        <v>2880</v>
      </c>
      <c r="C261" s="968">
        <v>2.72E-5</v>
      </c>
      <c r="D261" s="968">
        <v>3.2799999999999998E-5</v>
      </c>
      <c r="E261" s="1007">
        <v>11243</v>
      </c>
      <c r="F261" s="1010">
        <v>69613</v>
      </c>
      <c r="G261" s="969">
        <v>41554</v>
      </c>
      <c r="H261" s="969"/>
      <c r="I261" s="970">
        <v>2394</v>
      </c>
      <c r="J261" s="971">
        <v>10089</v>
      </c>
      <c r="K261" s="970">
        <v>5934</v>
      </c>
      <c r="L261" s="969">
        <v>872</v>
      </c>
      <c r="M261" s="969"/>
      <c r="N261" s="970">
        <v>1176</v>
      </c>
      <c r="O261" s="970">
        <v>0</v>
      </c>
      <c r="P261" s="970">
        <v>0</v>
      </c>
      <c r="Q261" s="969">
        <v>6521</v>
      </c>
      <c r="R261" s="969"/>
      <c r="S261" s="970">
        <v>14004</v>
      </c>
      <c r="T261" s="972">
        <v>-1988</v>
      </c>
      <c r="U261" s="972">
        <v>12016</v>
      </c>
    </row>
    <row r="262" spans="1:21" x14ac:dyDescent="0.25">
      <c r="A262" s="966">
        <v>92631</v>
      </c>
      <c r="B262" s="967" t="s">
        <v>2881</v>
      </c>
      <c r="C262" s="968">
        <v>9.2710000000000004E-4</v>
      </c>
      <c r="D262" s="968">
        <v>1.0068E-3</v>
      </c>
      <c r="E262" s="1007">
        <v>397128</v>
      </c>
      <c r="F262" s="1010">
        <v>2136767</v>
      </c>
      <c r="G262" s="969">
        <v>1416352</v>
      </c>
      <c r="H262" s="969"/>
      <c r="I262" s="970">
        <v>81595</v>
      </c>
      <c r="J262" s="971">
        <v>343892</v>
      </c>
      <c r="K262" s="970">
        <v>202275</v>
      </c>
      <c r="L262" s="969">
        <v>0</v>
      </c>
      <c r="M262" s="969"/>
      <c r="N262" s="970">
        <v>40092</v>
      </c>
      <c r="O262" s="970">
        <v>0</v>
      </c>
      <c r="P262" s="970">
        <v>0</v>
      </c>
      <c r="Q262" s="969">
        <v>146834</v>
      </c>
      <c r="R262" s="969"/>
      <c r="S262" s="970">
        <v>477312</v>
      </c>
      <c r="T262" s="972">
        <v>-49734</v>
      </c>
      <c r="U262" s="972">
        <v>427578</v>
      </c>
    </row>
    <row r="263" spans="1:21" x14ac:dyDescent="0.25">
      <c r="A263" s="966">
        <v>92641</v>
      </c>
      <c r="B263" s="967" t="s">
        <v>2882</v>
      </c>
      <c r="C263" s="968">
        <v>1.0200000000000001E-5</v>
      </c>
      <c r="D263" s="968">
        <v>1.03E-5</v>
      </c>
      <c r="E263" s="1007">
        <v>5720</v>
      </c>
      <c r="F263" s="1010">
        <v>21860</v>
      </c>
      <c r="G263" s="969">
        <v>15583</v>
      </c>
      <c r="H263" s="969"/>
      <c r="I263" s="970">
        <v>898</v>
      </c>
      <c r="J263" s="971">
        <v>3784</v>
      </c>
      <c r="K263" s="970">
        <v>2225</v>
      </c>
      <c r="L263" s="969">
        <v>2556</v>
      </c>
      <c r="M263" s="969"/>
      <c r="N263" s="970">
        <v>441</v>
      </c>
      <c r="O263" s="970">
        <v>0</v>
      </c>
      <c r="P263" s="970">
        <v>0</v>
      </c>
      <c r="Q263" s="969">
        <v>945</v>
      </c>
      <c r="R263" s="969"/>
      <c r="S263" s="970">
        <v>5251</v>
      </c>
      <c r="T263" s="972">
        <v>173</v>
      </c>
      <c r="U263" s="972">
        <v>5424</v>
      </c>
    </row>
    <row r="264" spans="1:21" x14ac:dyDescent="0.25">
      <c r="A264" s="966">
        <v>92651</v>
      </c>
      <c r="B264" s="967" t="s">
        <v>2883</v>
      </c>
      <c r="C264" s="968">
        <v>2.6000000000000001E-6</v>
      </c>
      <c r="D264" s="968">
        <v>2.6000000000000001E-6</v>
      </c>
      <c r="E264" s="1007">
        <v>3151</v>
      </c>
      <c r="F264" s="1010">
        <v>5518</v>
      </c>
      <c r="G264" s="969">
        <v>3972</v>
      </c>
      <c r="H264" s="969"/>
      <c r="I264" s="970">
        <v>229</v>
      </c>
      <c r="J264" s="971">
        <v>964</v>
      </c>
      <c r="K264" s="970">
        <v>567</v>
      </c>
      <c r="L264" s="969">
        <v>3432</v>
      </c>
      <c r="M264" s="969"/>
      <c r="N264" s="970">
        <v>112</v>
      </c>
      <c r="O264" s="970">
        <v>0</v>
      </c>
      <c r="P264" s="970">
        <v>0</v>
      </c>
      <c r="Q264" s="969">
        <v>0</v>
      </c>
      <c r="R264" s="969"/>
      <c r="S264" s="970">
        <v>1339</v>
      </c>
      <c r="T264" s="972">
        <v>1345</v>
      </c>
      <c r="U264" s="972">
        <f>2683+1</f>
        <v>2684</v>
      </c>
    </row>
    <row r="265" spans="1:21" x14ac:dyDescent="0.25">
      <c r="A265" s="966">
        <v>92661</v>
      </c>
      <c r="B265" s="967" t="s">
        <v>2884</v>
      </c>
      <c r="C265" s="968">
        <v>6.9999999999999999E-4</v>
      </c>
      <c r="D265" s="968">
        <v>6.6299999999999996E-4</v>
      </c>
      <c r="E265" s="1007">
        <v>591164</v>
      </c>
      <c r="F265" s="1010">
        <v>1407108</v>
      </c>
      <c r="G265" s="969">
        <v>1069406</v>
      </c>
      <c r="H265" s="969"/>
      <c r="I265" s="970">
        <v>61608</v>
      </c>
      <c r="J265" s="971">
        <v>259653</v>
      </c>
      <c r="K265" s="970">
        <v>152726</v>
      </c>
      <c r="L265" s="969">
        <v>446841</v>
      </c>
      <c r="M265" s="969"/>
      <c r="N265" s="970">
        <v>30272</v>
      </c>
      <c r="O265" s="970">
        <v>0</v>
      </c>
      <c r="P265" s="970">
        <v>0</v>
      </c>
      <c r="Q265" s="969">
        <v>16877</v>
      </c>
      <c r="R265" s="969"/>
      <c r="S265" s="970">
        <v>360391</v>
      </c>
      <c r="T265" s="972">
        <v>130287</v>
      </c>
      <c r="U265" s="972">
        <v>490678</v>
      </c>
    </row>
    <row r="266" spans="1:21" x14ac:dyDescent="0.25">
      <c r="A266" s="966">
        <v>92671</v>
      </c>
      <c r="B266" s="967" t="s">
        <v>2885</v>
      </c>
      <c r="C266" s="968">
        <v>2.6000000000000001E-6</v>
      </c>
      <c r="D266" s="968">
        <v>2.9000000000000002E-6</v>
      </c>
      <c r="E266" s="1007">
        <v>5279</v>
      </c>
      <c r="F266" s="1010">
        <v>6155</v>
      </c>
      <c r="G266" s="969">
        <v>3972</v>
      </c>
      <c r="H266" s="969"/>
      <c r="I266" s="970">
        <v>229</v>
      </c>
      <c r="J266" s="971">
        <v>964</v>
      </c>
      <c r="K266" s="970">
        <v>567</v>
      </c>
      <c r="L266" s="969">
        <v>6237</v>
      </c>
      <c r="M266" s="969"/>
      <c r="N266" s="970">
        <v>112</v>
      </c>
      <c r="O266" s="970">
        <v>0</v>
      </c>
      <c r="P266" s="970">
        <v>0</v>
      </c>
      <c r="Q266" s="969">
        <v>0</v>
      </c>
      <c r="R266" s="969"/>
      <c r="S266" s="970">
        <v>1339</v>
      </c>
      <c r="T266" s="972">
        <v>2205</v>
      </c>
      <c r="U266" s="972">
        <f>3543+1</f>
        <v>3544</v>
      </c>
    </row>
    <row r="267" spans="1:21" x14ac:dyDescent="0.25">
      <c r="A267" s="966">
        <v>92681</v>
      </c>
      <c r="B267" s="967" t="s">
        <v>2886</v>
      </c>
      <c r="C267" s="968">
        <v>1.17E-5</v>
      </c>
      <c r="D267" s="968">
        <v>1.01E-5</v>
      </c>
      <c r="E267" s="1007">
        <v>11572</v>
      </c>
      <c r="F267" s="1010">
        <v>21436</v>
      </c>
      <c r="G267" s="969">
        <v>17874</v>
      </c>
      <c r="H267" s="969"/>
      <c r="I267" s="970">
        <v>1030</v>
      </c>
      <c r="J267" s="971">
        <v>4340</v>
      </c>
      <c r="K267" s="970">
        <v>2553</v>
      </c>
      <c r="L267" s="969">
        <v>13621</v>
      </c>
      <c r="M267" s="969"/>
      <c r="N267" s="970">
        <v>506</v>
      </c>
      <c r="O267" s="970">
        <v>0</v>
      </c>
      <c r="P267" s="970">
        <v>0</v>
      </c>
      <c r="Q267" s="969">
        <v>0</v>
      </c>
      <c r="R267" s="969"/>
      <c r="S267" s="970">
        <v>6024</v>
      </c>
      <c r="T267" s="972">
        <v>4960</v>
      </c>
      <c r="U267" s="972">
        <v>10984</v>
      </c>
    </row>
    <row r="268" spans="1:21" x14ac:dyDescent="0.25">
      <c r="A268" s="966">
        <v>92701</v>
      </c>
      <c r="B268" s="967" t="s">
        <v>2887</v>
      </c>
      <c r="C268" s="968">
        <v>3.0777000000000001E-3</v>
      </c>
      <c r="D268" s="968">
        <v>2.9588000000000001E-3</v>
      </c>
      <c r="E268" s="1007">
        <v>1358591</v>
      </c>
      <c r="F268" s="1010">
        <v>6279565</v>
      </c>
      <c r="G268" s="969">
        <v>4701873</v>
      </c>
      <c r="H268" s="969"/>
      <c r="I268" s="970">
        <v>270871</v>
      </c>
      <c r="J268" s="971">
        <v>1141620</v>
      </c>
      <c r="K268" s="970">
        <v>671493</v>
      </c>
      <c r="L268" s="969">
        <v>48990</v>
      </c>
      <c r="M268" s="969"/>
      <c r="N268" s="970">
        <v>133095</v>
      </c>
      <c r="O268" s="970">
        <v>0</v>
      </c>
      <c r="P268" s="970">
        <v>0</v>
      </c>
      <c r="Q268" s="969">
        <v>42924</v>
      </c>
      <c r="R268" s="969"/>
      <c r="S268" s="970">
        <v>1584535</v>
      </c>
      <c r="T268" s="972">
        <v>-25139</v>
      </c>
      <c r="U268" s="972">
        <f>1559397-1</f>
        <v>1559396</v>
      </c>
    </row>
    <row r="269" spans="1:21" x14ac:dyDescent="0.25">
      <c r="A269" s="966">
        <v>92704</v>
      </c>
      <c r="B269" s="967" t="s">
        <v>2888</v>
      </c>
      <c r="C269" s="968">
        <v>4.1600000000000002E-5</v>
      </c>
      <c r="D269" s="968">
        <v>4.7700000000000001E-5</v>
      </c>
      <c r="E269" s="1007">
        <v>18894</v>
      </c>
      <c r="F269" s="1010">
        <v>101235</v>
      </c>
      <c r="G269" s="969">
        <v>63553</v>
      </c>
      <c r="H269" s="969"/>
      <c r="I269" s="970">
        <v>3661</v>
      </c>
      <c r="J269" s="971">
        <v>15431</v>
      </c>
      <c r="K269" s="970">
        <v>9076</v>
      </c>
      <c r="L269" s="969">
        <v>1560</v>
      </c>
      <c r="M269" s="969"/>
      <c r="N269" s="970">
        <v>1799</v>
      </c>
      <c r="O269" s="970">
        <v>0</v>
      </c>
      <c r="P269" s="970">
        <v>0</v>
      </c>
      <c r="Q269" s="969">
        <v>5674</v>
      </c>
      <c r="R269" s="969"/>
      <c r="S269" s="970">
        <v>21418</v>
      </c>
      <c r="T269" s="972">
        <v>-706</v>
      </c>
      <c r="U269" s="972">
        <f>20711+1</f>
        <v>20712</v>
      </c>
    </row>
    <row r="270" spans="1:21" x14ac:dyDescent="0.25">
      <c r="A270" s="966">
        <v>92801</v>
      </c>
      <c r="B270" s="967" t="s">
        <v>2889</v>
      </c>
      <c r="C270" s="968">
        <v>5.0951E-3</v>
      </c>
      <c r="D270" s="968">
        <v>5.1701000000000004E-3</v>
      </c>
      <c r="E270" s="1007">
        <v>2417020</v>
      </c>
      <c r="F270" s="1010">
        <v>10972684</v>
      </c>
      <c r="G270" s="969">
        <v>7783901</v>
      </c>
      <c r="H270" s="969"/>
      <c r="I270" s="970">
        <v>448425</v>
      </c>
      <c r="J270" s="971">
        <v>1889940</v>
      </c>
      <c r="K270" s="970">
        <v>1111649</v>
      </c>
      <c r="L270" s="969">
        <v>152907</v>
      </c>
      <c r="M270" s="969"/>
      <c r="N270" s="970">
        <v>220338</v>
      </c>
      <c r="O270" s="970">
        <v>0</v>
      </c>
      <c r="P270" s="970">
        <v>0</v>
      </c>
      <c r="Q270" s="969">
        <v>0</v>
      </c>
      <c r="R270" s="969"/>
      <c r="S270" s="970">
        <v>2623182</v>
      </c>
      <c r="T270" s="972">
        <v>81450</v>
      </c>
      <c r="U270" s="972">
        <f>2704631+1</f>
        <v>2704632</v>
      </c>
    </row>
    <row r="271" spans="1:21" x14ac:dyDescent="0.25">
      <c r="A271" s="966">
        <v>92802</v>
      </c>
      <c r="B271" s="967" t="s">
        <v>2890</v>
      </c>
      <c r="C271" s="968">
        <v>1.2970000000000001E-4</v>
      </c>
      <c r="D271" s="968">
        <v>1.3410000000000001E-4</v>
      </c>
      <c r="E271" s="1007">
        <v>55828</v>
      </c>
      <c r="F271" s="1010">
        <v>284605</v>
      </c>
      <c r="G271" s="969">
        <v>198146</v>
      </c>
      <c r="H271" s="969"/>
      <c r="I271" s="970">
        <v>11415</v>
      </c>
      <c r="J271" s="971">
        <v>48110</v>
      </c>
      <c r="K271" s="970">
        <v>28298</v>
      </c>
      <c r="L271" s="969">
        <v>0</v>
      </c>
      <c r="M271" s="969"/>
      <c r="N271" s="970">
        <v>5609</v>
      </c>
      <c r="O271" s="970">
        <v>0</v>
      </c>
      <c r="P271" s="970">
        <v>0</v>
      </c>
      <c r="Q271" s="969">
        <v>17517</v>
      </c>
      <c r="R271" s="969"/>
      <c r="S271" s="970">
        <v>66775</v>
      </c>
      <c r="T271" s="972">
        <v>-6938</v>
      </c>
      <c r="U271" s="972">
        <v>59837</v>
      </c>
    </row>
    <row r="272" spans="1:21" x14ac:dyDescent="0.25">
      <c r="A272" s="966">
        <v>92804</v>
      </c>
      <c r="B272" s="967" t="s">
        <v>2891</v>
      </c>
      <c r="C272" s="968">
        <v>1.36E-4</v>
      </c>
      <c r="D272" s="968">
        <v>1.47E-4</v>
      </c>
      <c r="E272" s="1007">
        <v>57777</v>
      </c>
      <c r="F272" s="1010">
        <v>311983</v>
      </c>
      <c r="G272" s="969">
        <v>207770</v>
      </c>
      <c r="H272" s="969"/>
      <c r="I272" s="970">
        <v>11969</v>
      </c>
      <c r="J272" s="971">
        <v>50447</v>
      </c>
      <c r="K272" s="970">
        <v>29672</v>
      </c>
      <c r="L272" s="969">
        <v>8730</v>
      </c>
      <c r="M272" s="969"/>
      <c r="N272" s="970">
        <v>5881</v>
      </c>
      <c r="O272" s="970">
        <v>0</v>
      </c>
      <c r="P272" s="970">
        <v>0</v>
      </c>
      <c r="Q272" s="969">
        <v>12427</v>
      </c>
      <c r="R272" s="969"/>
      <c r="S272" s="970">
        <v>70019</v>
      </c>
      <c r="T272" s="972">
        <v>-172</v>
      </c>
      <c r="U272" s="972">
        <v>69847</v>
      </c>
    </row>
    <row r="273" spans="1:21" x14ac:dyDescent="0.25">
      <c r="A273" s="966">
        <v>92811</v>
      </c>
      <c r="B273" s="967" t="s">
        <v>2892</v>
      </c>
      <c r="C273" s="968">
        <v>1.0036000000000001E-3</v>
      </c>
      <c r="D273" s="968">
        <v>9.8569999999999994E-4</v>
      </c>
      <c r="E273" s="1007">
        <v>442635</v>
      </c>
      <c r="F273" s="1010">
        <v>2091986</v>
      </c>
      <c r="G273" s="969">
        <v>1533223</v>
      </c>
      <c r="H273" s="969"/>
      <c r="I273" s="970">
        <v>88328</v>
      </c>
      <c r="J273" s="971">
        <v>372269</v>
      </c>
      <c r="K273" s="970">
        <v>218965</v>
      </c>
      <c r="L273" s="969">
        <v>0</v>
      </c>
      <c r="M273" s="969"/>
      <c r="N273" s="970">
        <v>43401</v>
      </c>
      <c r="O273" s="970">
        <v>0</v>
      </c>
      <c r="P273" s="970">
        <v>0</v>
      </c>
      <c r="Q273" s="969">
        <v>85272</v>
      </c>
      <c r="R273" s="969"/>
      <c r="S273" s="970">
        <v>516697</v>
      </c>
      <c r="T273" s="972">
        <v>-36667</v>
      </c>
      <c r="U273" s="972">
        <v>480030</v>
      </c>
    </row>
    <row r="274" spans="1:21" x14ac:dyDescent="0.25">
      <c r="A274" s="966">
        <v>92821</v>
      </c>
      <c r="B274" s="967" t="s">
        <v>2893</v>
      </c>
      <c r="C274" s="968">
        <v>9.9400000000000009E-4</v>
      </c>
      <c r="D274" s="968">
        <v>1.0139999999999999E-3</v>
      </c>
      <c r="E274" s="1007">
        <v>481049</v>
      </c>
      <c r="F274" s="1010">
        <v>2152048</v>
      </c>
      <c r="G274" s="969">
        <v>1518557</v>
      </c>
      <c r="H274" s="969"/>
      <c r="I274" s="970">
        <v>87483</v>
      </c>
      <c r="J274" s="971">
        <v>368707</v>
      </c>
      <c r="K274" s="970">
        <v>216871</v>
      </c>
      <c r="L274" s="969">
        <v>24870</v>
      </c>
      <c r="M274" s="969"/>
      <c r="N274" s="970">
        <v>42986</v>
      </c>
      <c r="O274" s="970">
        <v>0</v>
      </c>
      <c r="P274" s="970">
        <v>0</v>
      </c>
      <c r="Q274" s="969">
        <v>0</v>
      </c>
      <c r="R274" s="969"/>
      <c r="S274" s="970">
        <v>511755</v>
      </c>
      <c r="T274" s="972">
        <v>10495</v>
      </c>
      <c r="U274" s="972">
        <v>522250</v>
      </c>
    </row>
    <row r="275" spans="1:21" x14ac:dyDescent="0.25">
      <c r="A275" s="966">
        <v>92831</v>
      </c>
      <c r="B275" s="967" t="s">
        <v>2894</v>
      </c>
      <c r="C275" s="968">
        <v>2.1829999999999999E-4</v>
      </c>
      <c r="D275" s="968">
        <v>2.476E-4</v>
      </c>
      <c r="E275" s="1007">
        <v>122076</v>
      </c>
      <c r="F275" s="1010">
        <v>525490</v>
      </c>
      <c r="G275" s="969">
        <v>333502</v>
      </c>
      <c r="H275" s="969"/>
      <c r="I275" s="970">
        <v>19213</v>
      </c>
      <c r="J275" s="971">
        <v>80975</v>
      </c>
      <c r="K275" s="970">
        <v>47629</v>
      </c>
      <c r="L275" s="969">
        <v>19156</v>
      </c>
      <c r="M275" s="969"/>
      <c r="N275" s="970">
        <v>9440</v>
      </c>
      <c r="O275" s="970">
        <v>0</v>
      </c>
      <c r="P275" s="970">
        <v>0</v>
      </c>
      <c r="Q275" s="969">
        <v>2159</v>
      </c>
      <c r="R275" s="969"/>
      <c r="S275" s="970">
        <v>112390</v>
      </c>
      <c r="T275" s="972">
        <v>9503</v>
      </c>
      <c r="U275" s="972">
        <f>121894-1</f>
        <v>121893</v>
      </c>
    </row>
    <row r="276" spans="1:21" x14ac:dyDescent="0.25">
      <c r="A276" s="966">
        <v>92841</v>
      </c>
      <c r="B276" s="967" t="s">
        <v>2895</v>
      </c>
      <c r="C276" s="968">
        <v>2.7809999999999998E-4</v>
      </c>
      <c r="D276" s="968">
        <v>2.8160000000000001E-4</v>
      </c>
      <c r="E276" s="1007">
        <v>116983</v>
      </c>
      <c r="F276" s="1010">
        <v>597650</v>
      </c>
      <c r="G276" s="969">
        <v>424860</v>
      </c>
      <c r="H276" s="969"/>
      <c r="I276" s="970">
        <v>24476</v>
      </c>
      <c r="J276" s="971">
        <v>103157</v>
      </c>
      <c r="K276" s="970">
        <v>60676</v>
      </c>
      <c r="L276" s="969">
        <v>5821</v>
      </c>
      <c r="M276" s="969"/>
      <c r="N276" s="970">
        <v>12026</v>
      </c>
      <c r="O276" s="970">
        <v>0</v>
      </c>
      <c r="P276" s="970">
        <v>0</v>
      </c>
      <c r="Q276" s="969">
        <v>13149</v>
      </c>
      <c r="R276" s="969"/>
      <c r="S276" s="970">
        <v>143178</v>
      </c>
      <c r="T276" s="972">
        <v>2288</v>
      </c>
      <c r="U276" s="972">
        <v>145466</v>
      </c>
    </row>
    <row r="277" spans="1:21" x14ac:dyDescent="0.25">
      <c r="A277" s="966">
        <v>92851</v>
      </c>
      <c r="B277" s="967" t="s">
        <v>2896</v>
      </c>
      <c r="C277" s="968">
        <v>4.6079999999999998E-4</v>
      </c>
      <c r="D277" s="968">
        <v>4.3909999999999999E-4</v>
      </c>
      <c r="E277" s="1007">
        <v>187164</v>
      </c>
      <c r="F277" s="1010">
        <v>931917</v>
      </c>
      <c r="G277" s="969">
        <v>703975</v>
      </c>
      <c r="H277" s="969"/>
      <c r="I277" s="970">
        <v>40555</v>
      </c>
      <c r="J277" s="971">
        <v>170926</v>
      </c>
      <c r="K277" s="970">
        <v>100537</v>
      </c>
      <c r="L277" s="969">
        <v>0</v>
      </c>
      <c r="M277" s="969"/>
      <c r="N277" s="970">
        <v>19927</v>
      </c>
      <c r="O277" s="970">
        <v>0</v>
      </c>
      <c r="P277" s="970">
        <v>0</v>
      </c>
      <c r="Q277" s="969">
        <v>62664</v>
      </c>
      <c r="R277" s="969"/>
      <c r="S277" s="970">
        <v>237240</v>
      </c>
      <c r="T277" s="972">
        <v>-35531</v>
      </c>
      <c r="U277" s="972">
        <v>201709</v>
      </c>
    </row>
    <row r="278" spans="1:21" x14ac:dyDescent="0.25">
      <c r="A278" s="966">
        <v>92861</v>
      </c>
      <c r="B278" s="967" t="s">
        <v>2897</v>
      </c>
      <c r="C278" s="968">
        <v>3.6010000000000003E-4</v>
      </c>
      <c r="D278" s="968">
        <v>3.3629999999999999E-4</v>
      </c>
      <c r="E278" s="1007">
        <v>121951</v>
      </c>
      <c r="F278" s="1010">
        <v>713741</v>
      </c>
      <c r="G278" s="969">
        <v>550133</v>
      </c>
      <c r="H278" s="969"/>
      <c r="I278" s="970">
        <v>31693</v>
      </c>
      <c r="J278" s="971">
        <v>133573</v>
      </c>
      <c r="K278" s="970">
        <v>78567</v>
      </c>
      <c r="L278" s="969">
        <v>0</v>
      </c>
      <c r="M278" s="969"/>
      <c r="N278" s="970">
        <v>15573</v>
      </c>
      <c r="O278" s="970">
        <v>0</v>
      </c>
      <c r="P278" s="970">
        <v>0</v>
      </c>
      <c r="Q278" s="969">
        <v>83092</v>
      </c>
      <c r="R278" s="969"/>
      <c r="S278" s="970">
        <v>185395</v>
      </c>
      <c r="T278" s="972">
        <v>-36908</v>
      </c>
      <c r="U278" s="972">
        <f>148488-1</f>
        <v>148487</v>
      </c>
    </row>
    <row r="279" spans="1:21" x14ac:dyDescent="0.25">
      <c r="A279" s="966">
        <v>92901</v>
      </c>
      <c r="B279" s="967" t="s">
        <v>2898</v>
      </c>
      <c r="C279" s="968">
        <v>5.5082999999999998E-3</v>
      </c>
      <c r="D279" s="968">
        <v>5.7581000000000004E-3</v>
      </c>
      <c r="E279" s="1007">
        <v>2645958</v>
      </c>
      <c r="F279" s="1010">
        <v>12220617</v>
      </c>
      <c r="G279" s="969">
        <v>8415157</v>
      </c>
      <c r="H279" s="969"/>
      <c r="I279" s="970">
        <v>484791</v>
      </c>
      <c r="J279" s="971">
        <v>2043211</v>
      </c>
      <c r="K279" s="970">
        <v>1201801</v>
      </c>
      <c r="L279" s="969">
        <v>65697</v>
      </c>
      <c r="M279" s="969"/>
      <c r="N279" s="970">
        <v>238206</v>
      </c>
      <c r="O279" s="970">
        <v>0</v>
      </c>
      <c r="P279" s="970">
        <v>0</v>
      </c>
      <c r="Q279" s="969">
        <v>124949</v>
      </c>
      <c r="R279" s="969"/>
      <c r="S279" s="970">
        <v>2835915</v>
      </c>
      <c r="T279" s="972">
        <v>6522</v>
      </c>
      <c r="U279" s="972">
        <f>2842438-1</f>
        <v>2842437</v>
      </c>
    </row>
    <row r="280" spans="1:21" x14ac:dyDescent="0.25">
      <c r="A280" s="966">
        <v>92911</v>
      </c>
      <c r="B280" s="967" t="s">
        <v>2899</v>
      </c>
      <c r="C280" s="968">
        <v>1.9548999999999999E-3</v>
      </c>
      <c r="D280" s="968">
        <v>1.9442999999999999E-3</v>
      </c>
      <c r="E280" s="1007">
        <v>924132</v>
      </c>
      <c r="F280" s="1010">
        <v>4126456</v>
      </c>
      <c r="G280" s="969">
        <v>2986546</v>
      </c>
      <c r="H280" s="969"/>
      <c r="I280" s="970">
        <v>172053</v>
      </c>
      <c r="J280" s="971">
        <v>725137</v>
      </c>
      <c r="K280" s="970">
        <v>426520</v>
      </c>
      <c r="L280" s="969">
        <v>28442</v>
      </c>
      <c r="M280" s="969"/>
      <c r="N280" s="970">
        <v>84540</v>
      </c>
      <c r="O280" s="970">
        <v>0</v>
      </c>
      <c r="P280" s="970">
        <v>0</v>
      </c>
      <c r="Q280" s="969">
        <v>113525</v>
      </c>
      <c r="R280" s="969"/>
      <c r="S280" s="970">
        <v>1006469</v>
      </c>
      <c r="T280" s="972">
        <v>-55041</v>
      </c>
      <c r="U280" s="972">
        <v>951428</v>
      </c>
    </row>
    <row r="281" spans="1:21" x14ac:dyDescent="0.25">
      <c r="A281" s="966">
        <v>92913</v>
      </c>
      <c r="B281" s="967" t="s">
        <v>2900</v>
      </c>
      <c r="C281" s="968">
        <v>2.1999999999999999E-5</v>
      </c>
      <c r="D281" s="968">
        <v>2.37E-5</v>
      </c>
      <c r="E281" s="1007">
        <v>57760</v>
      </c>
      <c r="F281" s="1010">
        <v>50299</v>
      </c>
      <c r="G281" s="969">
        <v>33610</v>
      </c>
      <c r="H281" s="969"/>
      <c r="I281" s="970">
        <v>1936</v>
      </c>
      <c r="J281" s="971">
        <v>8160</v>
      </c>
      <c r="K281" s="970">
        <v>4800</v>
      </c>
      <c r="L281" s="969">
        <v>79442</v>
      </c>
      <c r="M281" s="969"/>
      <c r="N281" s="970">
        <v>951</v>
      </c>
      <c r="O281" s="970">
        <v>0</v>
      </c>
      <c r="P281" s="970">
        <v>0</v>
      </c>
      <c r="Q281" s="969">
        <v>2047</v>
      </c>
      <c r="R281" s="969"/>
      <c r="S281" s="970">
        <v>11327</v>
      </c>
      <c r="T281" s="972">
        <v>25513</v>
      </c>
      <c r="U281" s="972">
        <v>36840</v>
      </c>
    </row>
    <row r="282" spans="1:21" x14ac:dyDescent="0.25">
      <c r="A282" s="966">
        <v>92914</v>
      </c>
      <c r="B282" s="967" t="s">
        <v>3669</v>
      </c>
      <c r="C282" s="968">
        <v>2.8900000000000001E-5</v>
      </c>
      <c r="D282" s="968">
        <v>0</v>
      </c>
      <c r="E282" s="1007">
        <v>10513</v>
      </c>
      <c r="F282" s="1010">
        <v>0</v>
      </c>
      <c r="G282" s="969">
        <v>44151</v>
      </c>
      <c r="H282" s="969"/>
      <c r="I282" s="970">
        <v>2544</v>
      </c>
      <c r="J282" s="971">
        <v>10720</v>
      </c>
      <c r="K282" s="970">
        <v>6305</v>
      </c>
      <c r="L282" s="969">
        <v>17173</v>
      </c>
      <c r="M282" s="969"/>
      <c r="N282" s="970">
        <v>1250</v>
      </c>
      <c r="O282" s="970">
        <v>0</v>
      </c>
      <c r="P282" s="970">
        <v>0</v>
      </c>
      <c r="Q282" s="969">
        <v>0</v>
      </c>
      <c r="R282" s="969"/>
      <c r="S282" s="970">
        <v>14879</v>
      </c>
      <c r="T282" s="972">
        <v>4293</v>
      </c>
      <c r="U282" s="972">
        <v>19172</v>
      </c>
    </row>
    <row r="283" spans="1:21" x14ac:dyDescent="0.25">
      <c r="A283" s="966">
        <v>92917</v>
      </c>
      <c r="B283" s="967" t="s">
        <v>2901</v>
      </c>
      <c r="C283" s="968">
        <v>1.4800000000000001E-5</v>
      </c>
      <c r="D283" s="968">
        <v>2.0000000000000002E-5</v>
      </c>
      <c r="E283" s="1007">
        <v>16082</v>
      </c>
      <c r="F283" s="1010">
        <v>42447</v>
      </c>
      <c r="G283" s="969">
        <v>22610</v>
      </c>
      <c r="H283" s="969"/>
      <c r="I283" s="970">
        <v>1303</v>
      </c>
      <c r="J283" s="971">
        <v>5490</v>
      </c>
      <c r="K283" s="970">
        <v>3229</v>
      </c>
      <c r="L283" s="969">
        <v>13223</v>
      </c>
      <c r="M283" s="969"/>
      <c r="N283" s="970">
        <v>640</v>
      </c>
      <c r="O283" s="970">
        <v>0</v>
      </c>
      <c r="P283" s="970">
        <v>0</v>
      </c>
      <c r="Q283" s="969">
        <v>0</v>
      </c>
      <c r="R283" s="969"/>
      <c r="S283" s="970">
        <v>7620</v>
      </c>
      <c r="T283" s="972">
        <v>6352</v>
      </c>
      <c r="U283" s="972">
        <f>13971+1</f>
        <v>13972</v>
      </c>
    </row>
    <row r="284" spans="1:21" x14ac:dyDescent="0.25">
      <c r="A284" s="966">
        <v>92921</v>
      </c>
      <c r="B284" s="967" t="s">
        <v>2902</v>
      </c>
      <c r="C284" s="968">
        <v>7.4400000000000006E-5</v>
      </c>
      <c r="D284" s="968">
        <v>6.2899999999999997E-5</v>
      </c>
      <c r="E284" s="1007">
        <v>41073</v>
      </c>
      <c r="F284" s="1010">
        <v>133495</v>
      </c>
      <c r="G284" s="969">
        <v>113663</v>
      </c>
      <c r="H284" s="969"/>
      <c r="I284" s="970">
        <v>6548</v>
      </c>
      <c r="J284" s="971">
        <v>27597</v>
      </c>
      <c r="K284" s="970">
        <v>16233</v>
      </c>
      <c r="L284" s="969">
        <v>13244</v>
      </c>
      <c r="M284" s="969"/>
      <c r="N284" s="970">
        <v>3217</v>
      </c>
      <c r="O284" s="970">
        <v>0</v>
      </c>
      <c r="P284" s="970">
        <v>0</v>
      </c>
      <c r="Q284" s="969">
        <v>7831</v>
      </c>
      <c r="R284" s="969"/>
      <c r="S284" s="970">
        <v>38304</v>
      </c>
      <c r="T284" s="972">
        <v>-2914</v>
      </c>
      <c r="U284" s="972">
        <v>35390</v>
      </c>
    </row>
    <row r="285" spans="1:21" x14ac:dyDescent="0.25">
      <c r="A285" s="966">
        <v>92931</v>
      </c>
      <c r="B285" s="967" t="s">
        <v>2903</v>
      </c>
      <c r="C285" s="968">
        <v>2.3996E-3</v>
      </c>
      <c r="D285" s="968">
        <v>2.5048000000000002E-3</v>
      </c>
      <c r="E285" s="1007">
        <v>1109331</v>
      </c>
      <c r="F285" s="1010">
        <v>5316025</v>
      </c>
      <c r="G285" s="969">
        <v>3665924</v>
      </c>
      <c r="H285" s="969"/>
      <c r="I285" s="970">
        <v>211191</v>
      </c>
      <c r="J285" s="971">
        <v>890091</v>
      </c>
      <c r="K285" s="970">
        <v>523545</v>
      </c>
      <c r="L285" s="969">
        <v>7721</v>
      </c>
      <c r="M285" s="969"/>
      <c r="N285" s="970">
        <v>103771</v>
      </c>
      <c r="O285" s="970">
        <v>0</v>
      </c>
      <c r="P285" s="970">
        <v>0</v>
      </c>
      <c r="Q285" s="969">
        <v>147858</v>
      </c>
      <c r="R285" s="969"/>
      <c r="S285" s="970">
        <v>1235420</v>
      </c>
      <c r="T285" s="972">
        <v>-41276</v>
      </c>
      <c r="U285" s="972">
        <v>1194144</v>
      </c>
    </row>
    <row r="286" spans="1:21" x14ac:dyDescent="0.25">
      <c r="A286" s="966">
        <v>92941</v>
      </c>
      <c r="B286" s="967" t="s">
        <v>1426</v>
      </c>
      <c r="C286" s="968">
        <v>1.2300000000000001E-5</v>
      </c>
      <c r="D286" s="968">
        <v>1.84E-5</v>
      </c>
      <c r="E286" s="1007">
        <v>8547</v>
      </c>
      <c r="F286" s="1010">
        <v>39051</v>
      </c>
      <c r="G286" s="969">
        <v>18791</v>
      </c>
      <c r="H286" s="969"/>
      <c r="I286" s="970">
        <v>1083</v>
      </c>
      <c r="J286" s="971">
        <v>4563</v>
      </c>
      <c r="K286" s="970">
        <v>2684</v>
      </c>
      <c r="L286" s="969">
        <v>6612</v>
      </c>
      <c r="M286" s="969"/>
      <c r="N286" s="970">
        <v>532</v>
      </c>
      <c r="O286" s="970">
        <v>0</v>
      </c>
      <c r="P286" s="970">
        <v>0</v>
      </c>
      <c r="Q286" s="969">
        <v>1770</v>
      </c>
      <c r="R286" s="969"/>
      <c r="S286" s="970">
        <v>6333</v>
      </c>
      <c r="T286" s="972">
        <v>3162</v>
      </c>
      <c r="U286" s="972">
        <v>9495</v>
      </c>
    </row>
    <row r="287" spans="1:21" x14ac:dyDescent="0.25">
      <c r="A287" s="966">
        <v>93001</v>
      </c>
      <c r="B287" s="967" t="s">
        <v>2904</v>
      </c>
      <c r="C287" s="968">
        <v>2.2227000000000002E-3</v>
      </c>
      <c r="D287" s="968">
        <v>2.2739000000000001E-3</v>
      </c>
      <c r="E287" s="1007">
        <v>981066</v>
      </c>
      <c r="F287" s="1010">
        <v>4825978</v>
      </c>
      <c r="G287" s="969">
        <v>3395670</v>
      </c>
      <c r="H287" s="969"/>
      <c r="I287" s="970">
        <v>195622</v>
      </c>
      <c r="J287" s="971">
        <v>824473</v>
      </c>
      <c r="K287" s="970">
        <v>484949</v>
      </c>
      <c r="L287" s="969">
        <v>8733</v>
      </c>
      <c r="M287" s="969"/>
      <c r="N287" s="970">
        <v>96121</v>
      </c>
      <c r="O287" s="970">
        <v>0</v>
      </c>
      <c r="P287" s="970">
        <v>0</v>
      </c>
      <c r="Q287" s="969">
        <v>123729</v>
      </c>
      <c r="R287" s="969"/>
      <c r="S287" s="970">
        <v>1144344</v>
      </c>
      <c r="T287" s="972">
        <v>-57358</v>
      </c>
      <c r="U287" s="972">
        <v>1086986</v>
      </c>
    </row>
    <row r="288" spans="1:21" x14ac:dyDescent="0.25">
      <c r="A288" s="966">
        <v>93009</v>
      </c>
      <c r="B288" s="967" t="s">
        <v>2905</v>
      </c>
      <c r="C288" s="968">
        <v>1.47E-5</v>
      </c>
      <c r="D288" s="968">
        <v>1.5400000000000002E-5</v>
      </c>
      <c r="E288" s="1007">
        <v>5348</v>
      </c>
      <c r="F288" s="1010">
        <v>32684</v>
      </c>
      <c r="G288" s="969">
        <v>22458</v>
      </c>
      <c r="H288" s="969"/>
      <c r="I288" s="970">
        <v>1294</v>
      </c>
      <c r="J288" s="971">
        <v>5453</v>
      </c>
      <c r="K288" s="970">
        <v>3207</v>
      </c>
      <c r="L288" s="969">
        <v>0</v>
      </c>
      <c r="M288" s="969"/>
      <c r="N288" s="970">
        <v>636</v>
      </c>
      <c r="O288" s="970">
        <v>0</v>
      </c>
      <c r="P288" s="970">
        <v>0</v>
      </c>
      <c r="Q288" s="969">
        <v>4280</v>
      </c>
      <c r="R288" s="969"/>
      <c r="S288" s="970">
        <v>7568</v>
      </c>
      <c r="T288" s="972">
        <v>-1918</v>
      </c>
      <c r="U288" s="972">
        <v>5650</v>
      </c>
    </row>
    <row r="289" spans="1:21" x14ac:dyDescent="0.25">
      <c r="A289" s="966">
        <v>93011</v>
      </c>
      <c r="B289" s="967" t="s">
        <v>2906</v>
      </c>
      <c r="C289" s="968">
        <v>2.2699999999999999E-4</v>
      </c>
      <c r="D289" s="968">
        <v>2.6160000000000002E-4</v>
      </c>
      <c r="E289" s="1007">
        <v>118523</v>
      </c>
      <c r="F289" s="1010">
        <v>555203</v>
      </c>
      <c r="G289" s="969">
        <v>346793</v>
      </c>
      <c r="H289" s="969"/>
      <c r="I289" s="970">
        <v>19978</v>
      </c>
      <c r="J289" s="971">
        <v>84202</v>
      </c>
      <c r="K289" s="970">
        <v>49527</v>
      </c>
      <c r="L289" s="969">
        <v>1542</v>
      </c>
      <c r="M289" s="969"/>
      <c r="N289" s="970">
        <v>9817</v>
      </c>
      <c r="O289" s="970">
        <v>0</v>
      </c>
      <c r="P289" s="970">
        <v>0</v>
      </c>
      <c r="Q289" s="969">
        <v>15019</v>
      </c>
      <c r="R289" s="969"/>
      <c r="S289" s="970">
        <v>116870</v>
      </c>
      <c r="T289" s="972">
        <v>-3863</v>
      </c>
      <c r="U289" s="972">
        <v>113007</v>
      </c>
    </row>
    <row r="290" spans="1:21" x14ac:dyDescent="0.25">
      <c r="A290" s="966">
        <v>93021</v>
      </c>
      <c r="B290" s="967" t="s">
        <v>2907</v>
      </c>
      <c r="C290" s="968">
        <v>3.4199999999999998E-5</v>
      </c>
      <c r="D290" s="968">
        <v>2.8900000000000001E-5</v>
      </c>
      <c r="E290" s="1007">
        <v>12994</v>
      </c>
      <c r="F290" s="1010">
        <v>61335</v>
      </c>
      <c r="G290" s="969">
        <v>52248</v>
      </c>
      <c r="H290" s="969"/>
      <c r="I290" s="970">
        <v>3010</v>
      </c>
      <c r="J290" s="971">
        <v>12686</v>
      </c>
      <c r="K290" s="970">
        <v>7462</v>
      </c>
      <c r="L290" s="969">
        <v>3788</v>
      </c>
      <c r="M290" s="969"/>
      <c r="N290" s="970">
        <v>1479</v>
      </c>
      <c r="O290" s="970">
        <v>0</v>
      </c>
      <c r="P290" s="970">
        <v>0</v>
      </c>
      <c r="Q290" s="969">
        <v>4978</v>
      </c>
      <c r="R290" s="969"/>
      <c r="S290" s="970">
        <v>17608</v>
      </c>
      <c r="T290" s="972">
        <v>260</v>
      </c>
      <c r="U290" s="972">
        <v>17868</v>
      </c>
    </row>
    <row r="291" spans="1:21" x14ac:dyDescent="0.25">
      <c r="A291" s="966">
        <v>93027</v>
      </c>
      <c r="B291" s="967" t="s">
        <v>2908</v>
      </c>
      <c r="C291" s="968">
        <v>1.6699999999999999E-5</v>
      </c>
      <c r="D291" s="968">
        <v>1.6699999999999999E-5</v>
      </c>
      <c r="E291" s="1007">
        <v>8270</v>
      </c>
      <c r="F291" s="1010">
        <v>35443</v>
      </c>
      <c r="G291" s="969">
        <v>25513</v>
      </c>
      <c r="H291" s="969"/>
      <c r="I291" s="970">
        <v>1470</v>
      </c>
      <c r="J291" s="971">
        <v>6194</v>
      </c>
      <c r="K291" s="970">
        <v>3644</v>
      </c>
      <c r="L291" s="969">
        <v>1152</v>
      </c>
      <c r="M291" s="969"/>
      <c r="N291" s="970">
        <v>722</v>
      </c>
      <c r="O291" s="970">
        <v>0</v>
      </c>
      <c r="P291" s="970">
        <v>0</v>
      </c>
      <c r="Q291" s="969">
        <v>834</v>
      </c>
      <c r="R291" s="969"/>
      <c r="S291" s="970">
        <v>8598</v>
      </c>
      <c r="T291" s="972">
        <v>-308</v>
      </c>
      <c r="U291" s="972">
        <v>8290</v>
      </c>
    </row>
    <row r="292" spans="1:21" x14ac:dyDescent="0.25">
      <c r="A292" s="966">
        <v>93031</v>
      </c>
      <c r="B292" s="967" t="s">
        <v>2909</v>
      </c>
      <c r="C292" s="968">
        <v>2.1699999999999999E-5</v>
      </c>
      <c r="D292" s="968">
        <v>2.2399999999999999E-5</v>
      </c>
      <c r="E292" s="1007">
        <v>20397</v>
      </c>
      <c r="F292" s="1010">
        <v>47540</v>
      </c>
      <c r="G292" s="969">
        <v>33152</v>
      </c>
      <c r="H292" s="969"/>
      <c r="I292" s="970">
        <v>1910</v>
      </c>
      <c r="J292" s="971">
        <v>8050</v>
      </c>
      <c r="K292" s="970">
        <v>4735</v>
      </c>
      <c r="L292" s="969">
        <v>18910</v>
      </c>
      <c r="M292" s="969"/>
      <c r="N292" s="970">
        <v>938</v>
      </c>
      <c r="O292" s="970">
        <v>0</v>
      </c>
      <c r="P292" s="970">
        <v>0</v>
      </c>
      <c r="Q292" s="969">
        <v>221</v>
      </c>
      <c r="R292" s="969"/>
      <c r="S292" s="970">
        <v>11172</v>
      </c>
      <c r="T292" s="972">
        <v>5880</v>
      </c>
      <c r="U292" s="972">
        <v>17052</v>
      </c>
    </row>
    <row r="293" spans="1:21" x14ac:dyDescent="0.25">
      <c r="A293" s="966">
        <v>93101</v>
      </c>
      <c r="B293" s="967" t="s">
        <v>2910</v>
      </c>
      <c r="C293" s="968">
        <v>3.5159000000000002E-3</v>
      </c>
      <c r="D293" s="968">
        <v>3.5771000000000002E-3</v>
      </c>
      <c r="E293" s="1007">
        <v>1521217</v>
      </c>
      <c r="F293" s="1010">
        <v>7591805</v>
      </c>
      <c r="G293" s="969">
        <v>5371321</v>
      </c>
      <c r="H293" s="969"/>
      <c r="I293" s="970">
        <v>309438</v>
      </c>
      <c r="J293" s="971">
        <v>1304163</v>
      </c>
      <c r="K293" s="970">
        <v>767099</v>
      </c>
      <c r="L293" s="969">
        <v>104257</v>
      </c>
      <c r="M293" s="969"/>
      <c r="N293" s="970">
        <v>152045</v>
      </c>
      <c r="O293" s="970">
        <v>0</v>
      </c>
      <c r="P293" s="970">
        <v>0</v>
      </c>
      <c r="Q293" s="969">
        <v>115334</v>
      </c>
      <c r="R293" s="969"/>
      <c r="S293" s="970">
        <v>1810140</v>
      </c>
      <c r="T293" s="972">
        <v>39451</v>
      </c>
      <c r="U293" s="972">
        <v>1849591</v>
      </c>
    </row>
    <row r="294" spans="1:21" x14ac:dyDescent="0.25">
      <c r="A294" s="966">
        <v>93103</v>
      </c>
      <c r="B294" s="967" t="s">
        <v>2103</v>
      </c>
      <c r="C294" s="968">
        <v>1.7099999999999999E-5</v>
      </c>
      <c r="D294" s="968">
        <v>1.7200000000000001E-5</v>
      </c>
      <c r="E294" s="1007">
        <v>5686</v>
      </c>
      <c r="F294" s="1010">
        <v>36504</v>
      </c>
      <c r="G294" s="969">
        <v>26124</v>
      </c>
      <c r="H294" s="969"/>
      <c r="I294" s="970">
        <v>1505</v>
      </c>
      <c r="J294" s="971">
        <v>6343</v>
      </c>
      <c r="K294" s="970">
        <v>3731</v>
      </c>
      <c r="L294" s="969">
        <v>6718</v>
      </c>
      <c r="M294" s="969"/>
      <c r="N294" s="970">
        <v>739</v>
      </c>
      <c r="O294" s="970">
        <v>0</v>
      </c>
      <c r="P294" s="970">
        <v>0</v>
      </c>
      <c r="Q294" s="969">
        <v>1798</v>
      </c>
      <c r="R294" s="969"/>
      <c r="S294" s="970">
        <v>8804</v>
      </c>
      <c r="T294" s="972">
        <v>2085</v>
      </c>
      <c r="U294" s="972">
        <v>10889</v>
      </c>
    </row>
    <row r="295" spans="1:21" x14ac:dyDescent="0.25">
      <c r="A295" s="966">
        <v>93108</v>
      </c>
      <c r="B295" s="967" t="s">
        <v>2911</v>
      </c>
      <c r="C295" s="968">
        <v>2.6624999999999999E-3</v>
      </c>
      <c r="D295" s="968">
        <v>2.5661999999999998E-3</v>
      </c>
      <c r="E295" s="1007">
        <v>1189197</v>
      </c>
      <c r="F295" s="1010">
        <v>5446336</v>
      </c>
      <c r="G295" s="969">
        <v>4067562</v>
      </c>
      <c r="H295" s="969"/>
      <c r="I295" s="970">
        <v>234329</v>
      </c>
      <c r="J295" s="971">
        <v>987609</v>
      </c>
      <c r="K295" s="970">
        <v>580904</v>
      </c>
      <c r="L295" s="969">
        <v>274861</v>
      </c>
      <c r="M295" s="969"/>
      <c r="N295" s="970">
        <v>115140</v>
      </c>
      <c r="O295" s="970">
        <v>0</v>
      </c>
      <c r="P295" s="970">
        <v>0</v>
      </c>
      <c r="Q295" s="969">
        <v>0</v>
      </c>
      <c r="R295" s="969"/>
      <c r="S295" s="970">
        <v>1370772</v>
      </c>
      <c r="T295" s="972">
        <v>189775</v>
      </c>
      <c r="U295" s="972">
        <v>1560547</v>
      </c>
    </row>
    <row r="296" spans="1:21" x14ac:dyDescent="0.25">
      <c r="A296" s="966">
        <v>93111</v>
      </c>
      <c r="B296" s="967" t="s">
        <v>2912</v>
      </c>
      <c r="C296" s="968">
        <v>5.8499999999999999E-5</v>
      </c>
      <c r="D296" s="968">
        <v>7.08E-5</v>
      </c>
      <c r="E296" s="1007">
        <v>27143</v>
      </c>
      <c r="F296" s="1010">
        <v>150261</v>
      </c>
      <c r="G296" s="969">
        <v>89372</v>
      </c>
      <c r="H296" s="969"/>
      <c r="I296" s="970">
        <v>5149</v>
      </c>
      <c r="J296" s="971">
        <v>21700</v>
      </c>
      <c r="K296" s="970">
        <v>12764</v>
      </c>
      <c r="L296" s="969">
        <v>0</v>
      </c>
      <c r="M296" s="969"/>
      <c r="N296" s="970">
        <v>2530</v>
      </c>
      <c r="O296" s="970">
        <v>0</v>
      </c>
      <c r="P296" s="970">
        <v>0</v>
      </c>
      <c r="Q296" s="969">
        <v>15463</v>
      </c>
      <c r="R296" s="969"/>
      <c r="S296" s="970">
        <v>30118</v>
      </c>
      <c r="T296" s="972">
        <v>-5541</v>
      </c>
      <c r="U296" s="972">
        <f>24578-1</f>
        <v>24577</v>
      </c>
    </row>
    <row r="297" spans="1:21" x14ac:dyDescent="0.25">
      <c r="A297" s="966">
        <v>93121</v>
      </c>
      <c r="B297" s="967" t="s">
        <v>2913</v>
      </c>
      <c r="C297" s="968">
        <v>6.2299999999999996E-5</v>
      </c>
      <c r="D297" s="968">
        <v>5.8900000000000002E-5</v>
      </c>
      <c r="E297" s="1007">
        <v>28306</v>
      </c>
      <c r="F297" s="1010">
        <v>125006</v>
      </c>
      <c r="G297" s="969">
        <v>95177</v>
      </c>
      <c r="H297" s="969"/>
      <c r="I297" s="970">
        <v>5483</v>
      </c>
      <c r="J297" s="971">
        <v>23109</v>
      </c>
      <c r="K297" s="970">
        <v>13593</v>
      </c>
      <c r="L297" s="969">
        <v>2043</v>
      </c>
      <c r="M297" s="969"/>
      <c r="N297" s="970">
        <v>2694</v>
      </c>
      <c r="O297" s="970">
        <v>0</v>
      </c>
      <c r="P297" s="970">
        <v>0</v>
      </c>
      <c r="Q297" s="969">
        <v>9059</v>
      </c>
      <c r="R297" s="969"/>
      <c r="S297" s="970">
        <v>32075</v>
      </c>
      <c r="T297" s="972">
        <v>-3552</v>
      </c>
      <c r="U297" s="972">
        <f>28522+1</f>
        <v>28523</v>
      </c>
    </row>
    <row r="298" spans="1:21" x14ac:dyDescent="0.25">
      <c r="A298" s="966">
        <v>93127</v>
      </c>
      <c r="B298" s="967" t="s">
        <v>2914</v>
      </c>
      <c r="C298" s="968">
        <v>6.9E-6</v>
      </c>
      <c r="D298" s="968">
        <v>6.8000000000000001E-6</v>
      </c>
      <c r="E298" s="1007">
        <v>3239</v>
      </c>
      <c r="F298" s="1010">
        <v>14432</v>
      </c>
      <c r="G298" s="969">
        <v>10541</v>
      </c>
      <c r="H298" s="969"/>
      <c r="I298" s="970">
        <v>607</v>
      </c>
      <c r="J298" s="971">
        <v>2560</v>
      </c>
      <c r="K298" s="970">
        <v>1505</v>
      </c>
      <c r="L298" s="969">
        <v>124</v>
      </c>
      <c r="M298" s="969"/>
      <c r="N298" s="970">
        <v>298</v>
      </c>
      <c r="O298" s="970">
        <v>0</v>
      </c>
      <c r="P298" s="970">
        <v>0</v>
      </c>
      <c r="Q298" s="969">
        <v>731</v>
      </c>
      <c r="R298" s="969"/>
      <c r="S298" s="970">
        <v>3552</v>
      </c>
      <c r="T298" s="972">
        <v>-369</v>
      </c>
      <c r="U298" s="972">
        <v>3183</v>
      </c>
    </row>
    <row r="299" spans="1:21" x14ac:dyDescent="0.25">
      <c r="A299" s="966">
        <v>93131</v>
      </c>
      <c r="B299" s="967" t="s">
        <v>2915</v>
      </c>
      <c r="C299" s="968">
        <v>2.218E-4</v>
      </c>
      <c r="D299" s="968">
        <v>2.3939999999999999E-4</v>
      </c>
      <c r="E299" s="1007">
        <v>95091</v>
      </c>
      <c r="F299" s="1010">
        <v>508087</v>
      </c>
      <c r="G299" s="969">
        <v>338849</v>
      </c>
      <c r="H299" s="969"/>
      <c r="I299" s="970">
        <v>19521</v>
      </c>
      <c r="J299" s="971">
        <v>82273</v>
      </c>
      <c r="K299" s="970">
        <v>48392</v>
      </c>
      <c r="L299" s="969">
        <v>7888</v>
      </c>
      <c r="M299" s="969"/>
      <c r="N299" s="970">
        <v>9592</v>
      </c>
      <c r="O299" s="970">
        <v>0</v>
      </c>
      <c r="P299" s="970">
        <v>0</v>
      </c>
      <c r="Q299" s="969">
        <v>21906</v>
      </c>
      <c r="R299" s="969"/>
      <c r="S299" s="970">
        <v>114192</v>
      </c>
      <c r="T299" s="972">
        <v>-530</v>
      </c>
      <c r="U299" s="972">
        <v>113662</v>
      </c>
    </row>
    <row r="300" spans="1:21" x14ac:dyDescent="0.25">
      <c r="A300" s="966">
        <v>93137</v>
      </c>
      <c r="B300" s="967" t="s">
        <v>2916</v>
      </c>
      <c r="C300" s="968">
        <v>3.3000000000000002E-6</v>
      </c>
      <c r="D300" s="968">
        <v>1.9E-6</v>
      </c>
      <c r="E300" s="1007">
        <v>2530</v>
      </c>
      <c r="F300" s="1010">
        <v>4032</v>
      </c>
      <c r="G300" s="969">
        <v>5041</v>
      </c>
      <c r="H300" s="969"/>
      <c r="I300" s="970">
        <v>290</v>
      </c>
      <c r="J300" s="971">
        <v>1224</v>
      </c>
      <c r="K300" s="970">
        <v>720</v>
      </c>
      <c r="L300" s="969">
        <v>2709</v>
      </c>
      <c r="M300" s="969"/>
      <c r="N300" s="970">
        <v>143</v>
      </c>
      <c r="O300" s="970">
        <v>0</v>
      </c>
      <c r="P300" s="970">
        <v>0</v>
      </c>
      <c r="Q300" s="969">
        <v>0</v>
      </c>
      <c r="R300" s="969"/>
      <c r="S300" s="970">
        <v>1699</v>
      </c>
      <c r="T300" s="972">
        <v>839</v>
      </c>
      <c r="U300" s="972">
        <v>2538</v>
      </c>
    </row>
    <row r="301" spans="1:21" x14ac:dyDescent="0.25">
      <c r="A301" s="966">
        <v>93141</v>
      </c>
      <c r="B301" s="967" t="s">
        <v>2917</v>
      </c>
      <c r="C301" s="968">
        <v>4.1100000000000003E-5</v>
      </c>
      <c r="D301" s="968">
        <v>4.5500000000000001E-5</v>
      </c>
      <c r="E301" s="1007">
        <v>16199</v>
      </c>
      <c r="F301" s="1010">
        <v>96566</v>
      </c>
      <c r="G301" s="969">
        <v>62789</v>
      </c>
      <c r="H301" s="969"/>
      <c r="I301" s="970">
        <v>3617</v>
      </c>
      <c r="J301" s="971">
        <v>15246</v>
      </c>
      <c r="K301" s="970">
        <v>8967</v>
      </c>
      <c r="L301" s="969">
        <v>2083</v>
      </c>
      <c r="M301" s="969"/>
      <c r="N301" s="970">
        <v>1777</v>
      </c>
      <c r="O301" s="970">
        <v>0</v>
      </c>
      <c r="P301" s="970">
        <v>0</v>
      </c>
      <c r="Q301" s="969">
        <v>7408</v>
      </c>
      <c r="R301" s="969"/>
      <c r="S301" s="970">
        <v>21160</v>
      </c>
      <c r="T301" s="972">
        <v>-351</v>
      </c>
      <c r="U301" s="972">
        <v>20809</v>
      </c>
    </row>
    <row r="302" spans="1:21" x14ac:dyDescent="0.25">
      <c r="A302" s="966">
        <v>93151</v>
      </c>
      <c r="B302" s="967" t="s">
        <v>2918</v>
      </c>
      <c r="C302" s="968">
        <v>3.4279999999999998E-4</v>
      </c>
      <c r="D302" s="968">
        <v>3.6539999999999999E-4</v>
      </c>
      <c r="E302" s="1007">
        <v>156182</v>
      </c>
      <c r="F302" s="1010">
        <v>775501</v>
      </c>
      <c r="G302" s="969">
        <v>523703</v>
      </c>
      <c r="H302" s="969"/>
      <c r="I302" s="970">
        <v>30170</v>
      </c>
      <c r="J302" s="971">
        <v>127156</v>
      </c>
      <c r="K302" s="970">
        <v>74792</v>
      </c>
      <c r="L302" s="969">
        <v>3795</v>
      </c>
      <c r="M302" s="969"/>
      <c r="N302" s="970">
        <v>14824</v>
      </c>
      <c r="O302" s="970">
        <v>0</v>
      </c>
      <c r="P302" s="970">
        <v>0</v>
      </c>
      <c r="Q302" s="969">
        <v>19989</v>
      </c>
      <c r="R302" s="969"/>
      <c r="S302" s="970">
        <v>176489</v>
      </c>
      <c r="T302" s="972">
        <v>-4355</v>
      </c>
      <c r="U302" s="972">
        <f>172133+1</f>
        <v>172134</v>
      </c>
    </row>
    <row r="303" spans="1:21" x14ac:dyDescent="0.25">
      <c r="A303" s="966">
        <v>93157</v>
      </c>
      <c r="B303" s="967" t="s">
        <v>2919</v>
      </c>
      <c r="C303" s="968">
        <v>3.5999999999999998E-6</v>
      </c>
      <c r="D303" s="968">
        <v>3.8E-6</v>
      </c>
      <c r="E303" s="1007">
        <v>6045</v>
      </c>
      <c r="F303" s="1010">
        <v>8065</v>
      </c>
      <c r="G303" s="969">
        <v>5500</v>
      </c>
      <c r="H303" s="969"/>
      <c r="I303" s="970">
        <v>317</v>
      </c>
      <c r="J303" s="971">
        <v>1336</v>
      </c>
      <c r="K303" s="970">
        <v>785</v>
      </c>
      <c r="L303" s="969">
        <v>6931</v>
      </c>
      <c r="M303" s="969"/>
      <c r="N303" s="970">
        <v>156</v>
      </c>
      <c r="O303" s="970">
        <v>0</v>
      </c>
      <c r="P303" s="970">
        <v>0</v>
      </c>
      <c r="Q303" s="969">
        <v>340</v>
      </c>
      <c r="R303" s="969"/>
      <c r="S303" s="970">
        <v>1853</v>
      </c>
      <c r="T303" s="972">
        <v>2783</v>
      </c>
      <c r="U303" s="972">
        <f>4637-1</f>
        <v>4636</v>
      </c>
    </row>
    <row r="304" spans="1:21" x14ac:dyDescent="0.25">
      <c r="A304" s="966">
        <v>93161</v>
      </c>
      <c r="B304" s="967" t="s">
        <v>2920</v>
      </c>
      <c r="C304" s="968">
        <v>1.038E-4</v>
      </c>
      <c r="D304" s="968">
        <v>6.2500000000000001E-5</v>
      </c>
      <c r="E304" s="1007">
        <v>47956</v>
      </c>
      <c r="F304" s="1010">
        <v>132646</v>
      </c>
      <c r="G304" s="969">
        <v>158578</v>
      </c>
      <c r="H304" s="969"/>
      <c r="I304" s="970">
        <v>9136</v>
      </c>
      <c r="J304" s="971">
        <v>38503</v>
      </c>
      <c r="K304" s="970">
        <v>22647</v>
      </c>
      <c r="L304" s="969">
        <v>35990</v>
      </c>
      <c r="M304" s="969"/>
      <c r="N304" s="970">
        <v>4489</v>
      </c>
      <c r="O304" s="970">
        <v>0</v>
      </c>
      <c r="P304" s="970">
        <v>0</v>
      </c>
      <c r="Q304" s="969">
        <v>0</v>
      </c>
      <c r="R304" s="969"/>
      <c r="S304" s="970">
        <v>53441</v>
      </c>
      <c r="T304" s="972">
        <v>13001</v>
      </c>
      <c r="U304" s="972">
        <v>66442</v>
      </c>
    </row>
    <row r="305" spans="1:21" x14ac:dyDescent="0.25">
      <c r="A305" s="966">
        <v>93171</v>
      </c>
      <c r="B305" s="967" t="s">
        <v>2921</v>
      </c>
      <c r="C305" s="968">
        <v>5.2000000000000002E-6</v>
      </c>
      <c r="D305" s="968">
        <v>5.8000000000000004E-6</v>
      </c>
      <c r="E305" s="1007">
        <v>3889</v>
      </c>
      <c r="F305" s="1010">
        <v>12310</v>
      </c>
      <c r="G305" s="969">
        <v>7944</v>
      </c>
      <c r="H305" s="969"/>
      <c r="I305" s="970">
        <v>458</v>
      </c>
      <c r="J305" s="971">
        <v>1929</v>
      </c>
      <c r="K305" s="970">
        <v>1135</v>
      </c>
      <c r="L305" s="969">
        <v>1960</v>
      </c>
      <c r="M305" s="969"/>
      <c r="N305" s="970">
        <v>225</v>
      </c>
      <c r="O305" s="970">
        <v>0</v>
      </c>
      <c r="P305" s="970">
        <v>0</v>
      </c>
      <c r="Q305" s="969">
        <v>0</v>
      </c>
      <c r="R305" s="969"/>
      <c r="S305" s="970">
        <v>2677</v>
      </c>
      <c r="T305" s="972">
        <v>791</v>
      </c>
      <c r="U305" s="972">
        <v>3468</v>
      </c>
    </row>
    <row r="306" spans="1:21" x14ac:dyDescent="0.25">
      <c r="A306" s="966">
        <v>93181</v>
      </c>
      <c r="B306" s="967" t="s">
        <v>2922</v>
      </c>
      <c r="C306" s="968">
        <v>1.13E-5</v>
      </c>
      <c r="D306" s="968">
        <v>1.1E-5</v>
      </c>
      <c r="E306" s="1007">
        <v>5393</v>
      </c>
      <c r="F306" s="1010">
        <v>23346</v>
      </c>
      <c r="G306" s="969">
        <v>17263</v>
      </c>
      <c r="H306" s="969"/>
      <c r="I306" s="970">
        <v>995</v>
      </c>
      <c r="J306" s="971">
        <v>4191</v>
      </c>
      <c r="K306" s="970">
        <v>2465</v>
      </c>
      <c r="L306" s="969">
        <v>772</v>
      </c>
      <c r="M306" s="969"/>
      <c r="N306" s="970">
        <v>489</v>
      </c>
      <c r="O306" s="970">
        <v>0</v>
      </c>
      <c r="P306" s="970">
        <v>0</v>
      </c>
      <c r="Q306" s="969">
        <v>28</v>
      </c>
      <c r="R306" s="969"/>
      <c r="S306" s="970">
        <v>5818</v>
      </c>
      <c r="T306" s="972">
        <v>412</v>
      </c>
      <c r="U306" s="972">
        <v>6230</v>
      </c>
    </row>
    <row r="307" spans="1:21" x14ac:dyDescent="0.25">
      <c r="A307" s="966">
        <v>93191</v>
      </c>
      <c r="B307" s="967" t="s">
        <v>2923</v>
      </c>
      <c r="C307" s="968">
        <v>2.4600000000000002E-5</v>
      </c>
      <c r="D307" s="968">
        <v>3.3000000000000003E-5</v>
      </c>
      <c r="E307" s="1007">
        <v>16089</v>
      </c>
      <c r="F307" s="1010">
        <v>70037</v>
      </c>
      <c r="G307" s="969">
        <v>37582</v>
      </c>
      <c r="H307" s="969"/>
      <c r="I307" s="970">
        <v>2165</v>
      </c>
      <c r="J307" s="971">
        <v>9125</v>
      </c>
      <c r="K307" s="970">
        <v>5367</v>
      </c>
      <c r="L307" s="969">
        <v>1713</v>
      </c>
      <c r="M307" s="969"/>
      <c r="N307" s="970">
        <v>1064</v>
      </c>
      <c r="O307" s="970">
        <v>0</v>
      </c>
      <c r="P307" s="970">
        <v>0</v>
      </c>
      <c r="Q307" s="969">
        <v>2443</v>
      </c>
      <c r="R307" s="969"/>
      <c r="S307" s="970">
        <v>12665</v>
      </c>
      <c r="T307" s="972">
        <v>-169</v>
      </c>
      <c r="U307" s="972">
        <v>12496</v>
      </c>
    </row>
    <row r="308" spans="1:21" x14ac:dyDescent="0.25">
      <c r="A308" s="966">
        <v>93201</v>
      </c>
      <c r="B308" s="967" t="s">
        <v>2924</v>
      </c>
      <c r="C308" s="968">
        <v>1.5517E-2</v>
      </c>
      <c r="D308" s="968">
        <v>1.5819699999999999E-2</v>
      </c>
      <c r="E308" s="1007">
        <v>7119270</v>
      </c>
      <c r="F308" s="1010">
        <v>33574703</v>
      </c>
      <c r="G308" s="969">
        <v>23705678</v>
      </c>
      <c r="H308" s="969"/>
      <c r="I308" s="970">
        <v>1365667</v>
      </c>
      <c r="J308" s="971">
        <v>5755768</v>
      </c>
      <c r="K308" s="970">
        <v>3385499</v>
      </c>
      <c r="L308" s="969">
        <v>809545</v>
      </c>
      <c r="M308" s="969"/>
      <c r="N308" s="970">
        <v>671033</v>
      </c>
      <c r="O308" s="970">
        <v>0</v>
      </c>
      <c r="P308" s="970">
        <v>0</v>
      </c>
      <c r="Q308" s="969">
        <v>206420</v>
      </c>
      <c r="R308" s="969"/>
      <c r="S308" s="970">
        <v>7988834</v>
      </c>
      <c r="T308" s="972">
        <v>397964</v>
      </c>
      <c r="U308" s="972">
        <f>8386799-1</f>
        <v>8386798</v>
      </c>
    </row>
    <row r="309" spans="1:21" x14ac:dyDescent="0.25">
      <c r="A309" s="966">
        <v>93202</v>
      </c>
      <c r="B309" s="967" t="s">
        <v>2925</v>
      </c>
      <c r="C309" s="968">
        <v>0</v>
      </c>
      <c r="D309" s="968">
        <v>0</v>
      </c>
      <c r="E309" s="1007">
        <v>0</v>
      </c>
      <c r="F309" s="1010">
        <v>0</v>
      </c>
      <c r="G309" s="969">
        <v>0</v>
      </c>
      <c r="H309" s="969"/>
      <c r="I309" s="970">
        <v>0</v>
      </c>
      <c r="J309" s="971">
        <v>0</v>
      </c>
      <c r="K309" s="970">
        <v>0</v>
      </c>
      <c r="L309" s="969">
        <v>0</v>
      </c>
      <c r="M309" s="969"/>
      <c r="N309" s="970">
        <v>0</v>
      </c>
      <c r="O309" s="970">
        <v>0</v>
      </c>
      <c r="P309" s="970">
        <v>0</v>
      </c>
      <c r="Q309" s="969">
        <v>212519</v>
      </c>
      <c r="R309" s="969"/>
      <c r="S309" s="970">
        <v>0</v>
      </c>
      <c r="T309" s="972">
        <v>-109544</v>
      </c>
      <c r="U309" s="972">
        <v>-109544</v>
      </c>
    </row>
    <row r="310" spans="1:21" x14ac:dyDescent="0.25">
      <c r="A310" s="966">
        <v>93204</v>
      </c>
      <c r="B310" s="967" t="s">
        <v>2926</v>
      </c>
      <c r="C310" s="968">
        <v>3.0279999999999999E-4</v>
      </c>
      <c r="D310" s="968">
        <v>2.9480000000000001E-4</v>
      </c>
      <c r="E310" s="1007">
        <v>157546</v>
      </c>
      <c r="F310" s="1010">
        <v>625664</v>
      </c>
      <c r="G310" s="969">
        <v>462595</v>
      </c>
      <c r="H310" s="969"/>
      <c r="I310" s="970">
        <v>26650</v>
      </c>
      <c r="J310" s="971">
        <v>112319</v>
      </c>
      <c r="K310" s="970">
        <v>66065</v>
      </c>
      <c r="L310" s="969">
        <v>24167</v>
      </c>
      <c r="M310" s="969"/>
      <c r="N310" s="970">
        <v>13095</v>
      </c>
      <c r="O310" s="970">
        <v>0</v>
      </c>
      <c r="P310" s="970">
        <v>0</v>
      </c>
      <c r="Q310" s="969">
        <v>9452</v>
      </c>
      <c r="R310" s="969"/>
      <c r="S310" s="970">
        <v>155895</v>
      </c>
      <c r="T310" s="972">
        <v>782</v>
      </c>
      <c r="U310" s="972">
        <v>156677</v>
      </c>
    </row>
    <row r="311" spans="1:21" x14ac:dyDescent="0.25">
      <c r="A311" s="966">
        <v>93209</v>
      </c>
      <c r="B311" s="967" t="s">
        <v>2927</v>
      </c>
      <c r="C311" s="968">
        <v>4.6693999999999998E-3</v>
      </c>
      <c r="D311" s="968">
        <v>4.5113999999999996E-3</v>
      </c>
      <c r="E311" s="1007">
        <v>2094525</v>
      </c>
      <c r="F311" s="1010">
        <v>9574702</v>
      </c>
      <c r="G311" s="969">
        <v>7133550</v>
      </c>
      <c r="H311" s="969"/>
      <c r="I311" s="970">
        <v>410959</v>
      </c>
      <c r="J311" s="971">
        <v>1732035</v>
      </c>
      <c r="K311" s="970">
        <v>1018770</v>
      </c>
      <c r="L311" s="969">
        <v>838336</v>
      </c>
      <c r="M311" s="969"/>
      <c r="N311" s="970">
        <v>201928</v>
      </c>
      <c r="O311" s="970">
        <v>0</v>
      </c>
      <c r="P311" s="970">
        <v>0</v>
      </c>
      <c r="Q311" s="969">
        <v>0</v>
      </c>
      <c r="R311" s="969"/>
      <c r="S311" s="970">
        <v>2404013</v>
      </c>
      <c r="T311" s="972">
        <v>551077</v>
      </c>
      <c r="U311" s="972">
        <v>2955090</v>
      </c>
    </row>
    <row r="312" spans="1:21" x14ac:dyDescent="0.25">
      <c r="A312" s="966">
        <v>93211</v>
      </c>
      <c r="B312" s="967" t="s">
        <v>2928</v>
      </c>
      <c r="C312" s="968">
        <v>2.0374099999999999E-2</v>
      </c>
      <c r="D312" s="968">
        <v>2.0456800000000001E-2</v>
      </c>
      <c r="E312" s="1007">
        <v>9330077</v>
      </c>
      <c r="F312" s="1010">
        <v>43416183</v>
      </c>
      <c r="G312" s="969">
        <v>31125981</v>
      </c>
      <c r="H312" s="969"/>
      <c r="I312" s="970">
        <v>1793145</v>
      </c>
      <c r="J312" s="971">
        <v>7557426</v>
      </c>
      <c r="K312" s="970">
        <v>4445221</v>
      </c>
      <c r="L312" s="969">
        <v>0</v>
      </c>
      <c r="M312" s="969"/>
      <c r="N312" s="970">
        <v>881078</v>
      </c>
      <c r="O312" s="970">
        <v>0</v>
      </c>
      <c r="P312" s="970">
        <v>0</v>
      </c>
      <c r="Q312" s="969">
        <v>991023</v>
      </c>
      <c r="R312" s="969"/>
      <c r="S312" s="970">
        <v>10489483</v>
      </c>
      <c r="T312" s="972">
        <v>-507236</v>
      </c>
      <c r="U312" s="972">
        <v>9982247</v>
      </c>
    </row>
    <row r="313" spans="1:21" x14ac:dyDescent="0.25">
      <c r="A313" s="966">
        <v>93212</v>
      </c>
      <c r="B313" s="967" t="s">
        <v>2929</v>
      </c>
      <c r="C313" s="968">
        <v>2.2130000000000001E-4</v>
      </c>
      <c r="D313" s="968">
        <v>2.052E-4</v>
      </c>
      <c r="E313" s="1007">
        <v>193584</v>
      </c>
      <c r="F313" s="1010">
        <v>435503</v>
      </c>
      <c r="G313" s="969">
        <v>338085</v>
      </c>
      <c r="H313" s="969"/>
      <c r="I313" s="970">
        <v>19477</v>
      </c>
      <c r="J313" s="971">
        <v>82087</v>
      </c>
      <c r="K313" s="970">
        <v>48283</v>
      </c>
      <c r="L313" s="969">
        <v>158429</v>
      </c>
      <c r="M313" s="969"/>
      <c r="N313" s="970">
        <v>9570</v>
      </c>
      <c r="O313" s="970">
        <v>0</v>
      </c>
      <c r="P313" s="970">
        <v>0</v>
      </c>
      <c r="Q313" s="969">
        <v>0</v>
      </c>
      <c r="R313" s="969"/>
      <c r="S313" s="970">
        <v>113935</v>
      </c>
      <c r="T313" s="972">
        <v>53448</v>
      </c>
      <c r="U313" s="972">
        <v>167383</v>
      </c>
    </row>
    <row r="314" spans="1:21" x14ac:dyDescent="0.25">
      <c r="A314" s="966">
        <v>93219</v>
      </c>
      <c r="B314" s="967" t="s">
        <v>2930</v>
      </c>
      <c r="C314" s="968">
        <v>2.6289999999999999E-4</v>
      </c>
      <c r="D314" s="968">
        <v>2.286E-4</v>
      </c>
      <c r="E314" s="1007">
        <v>120179</v>
      </c>
      <c r="F314" s="1010">
        <v>485166</v>
      </c>
      <c r="G314" s="969">
        <v>401638</v>
      </c>
      <c r="H314" s="969"/>
      <c r="I314" s="970">
        <v>23138</v>
      </c>
      <c r="J314" s="971">
        <v>97518</v>
      </c>
      <c r="K314" s="970">
        <v>57360</v>
      </c>
      <c r="L314" s="969">
        <v>22706</v>
      </c>
      <c r="M314" s="969"/>
      <c r="N314" s="970">
        <v>11369</v>
      </c>
      <c r="O314" s="970">
        <v>0</v>
      </c>
      <c r="P314" s="970">
        <v>0</v>
      </c>
      <c r="Q314" s="969">
        <v>9094</v>
      </c>
      <c r="R314" s="969"/>
      <c r="S314" s="970">
        <v>135352</v>
      </c>
      <c r="T314" s="972">
        <v>1456</v>
      </c>
      <c r="U314" s="972">
        <f>136809-1</f>
        <v>136808</v>
      </c>
    </row>
    <row r="315" spans="1:21" x14ac:dyDescent="0.25">
      <c r="A315" s="966">
        <v>93301</v>
      </c>
      <c r="B315" s="967" t="s">
        <v>2931</v>
      </c>
      <c r="C315" s="968">
        <v>2.5243000000000002E-3</v>
      </c>
      <c r="D315" s="968">
        <v>2.5330999999999999E-3</v>
      </c>
      <c r="E315" s="1007">
        <v>1153746</v>
      </c>
      <c r="F315" s="1010">
        <v>5376087</v>
      </c>
      <c r="G315" s="969">
        <v>3856431</v>
      </c>
      <c r="H315" s="969"/>
      <c r="I315" s="970">
        <v>222166</v>
      </c>
      <c r="J315" s="971">
        <v>936346</v>
      </c>
      <c r="K315" s="970">
        <v>550752</v>
      </c>
      <c r="L315" s="969">
        <v>47371</v>
      </c>
      <c r="M315" s="969"/>
      <c r="N315" s="970">
        <v>109163</v>
      </c>
      <c r="O315" s="970">
        <v>0</v>
      </c>
      <c r="P315" s="970">
        <v>0</v>
      </c>
      <c r="Q315" s="969">
        <v>61692</v>
      </c>
      <c r="R315" s="969"/>
      <c r="S315" s="970">
        <v>1299621</v>
      </c>
      <c r="T315" s="972">
        <v>-19789</v>
      </c>
      <c r="U315" s="972">
        <f>1279831+1</f>
        <v>1279832</v>
      </c>
    </row>
    <row r="316" spans="1:21" x14ac:dyDescent="0.25">
      <c r="A316" s="966">
        <v>93304</v>
      </c>
      <c r="B316" s="967" t="s">
        <v>2932</v>
      </c>
      <c r="C316" s="968">
        <v>3.0300000000000001E-5</v>
      </c>
      <c r="D316" s="968">
        <v>3.4400000000000003E-5</v>
      </c>
      <c r="E316" s="1007">
        <v>18289</v>
      </c>
      <c r="F316" s="1010">
        <v>73008</v>
      </c>
      <c r="G316" s="969">
        <v>46290</v>
      </c>
      <c r="H316" s="969"/>
      <c r="I316" s="970">
        <v>2667</v>
      </c>
      <c r="J316" s="971">
        <v>11239</v>
      </c>
      <c r="K316" s="970">
        <v>6611</v>
      </c>
      <c r="L316" s="969">
        <v>9418</v>
      </c>
      <c r="M316" s="969"/>
      <c r="N316" s="970">
        <v>1310</v>
      </c>
      <c r="O316" s="970">
        <v>0</v>
      </c>
      <c r="P316" s="970">
        <v>0</v>
      </c>
      <c r="Q316" s="969">
        <v>0</v>
      </c>
      <c r="R316" s="969"/>
      <c r="S316" s="970">
        <v>15600</v>
      </c>
      <c r="T316" s="972">
        <v>5129</v>
      </c>
      <c r="U316" s="972">
        <v>20729</v>
      </c>
    </row>
    <row r="317" spans="1:21" x14ac:dyDescent="0.25">
      <c r="A317" s="966">
        <v>93305</v>
      </c>
      <c r="B317" s="967" t="s">
        <v>2933</v>
      </c>
      <c r="C317" s="968">
        <v>4.6999999999999997E-5</v>
      </c>
      <c r="D317" s="968">
        <v>4.9400000000000001E-5</v>
      </c>
      <c r="E317" s="1007">
        <v>19565</v>
      </c>
      <c r="F317" s="1010">
        <v>104843</v>
      </c>
      <c r="G317" s="969">
        <v>71803</v>
      </c>
      <c r="H317" s="969"/>
      <c r="I317" s="970">
        <v>4137</v>
      </c>
      <c r="J317" s="971">
        <v>17434</v>
      </c>
      <c r="K317" s="970">
        <v>10254</v>
      </c>
      <c r="L317" s="969">
        <v>0</v>
      </c>
      <c r="M317" s="969"/>
      <c r="N317" s="970">
        <v>2033</v>
      </c>
      <c r="O317" s="970">
        <v>0</v>
      </c>
      <c r="P317" s="970">
        <v>0</v>
      </c>
      <c r="Q317" s="969">
        <v>5631</v>
      </c>
      <c r="R317" s="969"/>
      <c r="S317" s="970">
        <v>24198</v>
      </c>
      <c r="T317" s="972">
        <v>-1929</v>
      </c>
      <c r="U317" s="972">
        <v>22269</v>
      </c>
    </row>
    <row r="318" spans="1:21" x14ac:dyDescent="0.25">
      <c r="A318" s="966">
        <v>93309</v>
      </c>
      <c r="B318" s="967" t="s">
        <v>2934</v>
      </c>
      <c r="C318" s="968">
        <v>1.63E-4</v>
      </c>
      <c r="D318" s="968">
        <v>1.716E-4</v>
      </c>
      <c r="E318" s="1007">
        <v>89051</v>
      </c>
      <c r="F318" s="1010">
        <v>364193</v>
      </c>
      <c r="G318" s="969">
        <v>249019</v>
      </c>
      <c r="H318" s="969"/>
      <c r="I318" s="970">
        <v>14346</v>
      </c>
      <c r="J318" s="971">
        <v>60462</v>
      </c>
      <c r="K318" s="970">
        <v>35563</v>
      </c>
      <c r="L318" s="969">
        <v>22457</v>
      </c>
      <c r="M318" s="969"/>
      <c r="N318" s="970">
        <v>7049</v>
      </c>
      <c r="O318" s="970">
        <v>0</v>
      </c>
      <c r="P318" s="970">
        <v>0</v>
      </c>
      <c r="Q318" s="969">
        <v>981</v>
      </c>
      <c r="R318" s="969"/>
      <c r="S318" s="970">
        <v>83920</v>
      </c>
      <c r="T318" s="972">
        <v>7147</v>
      </c>
      <c r="U318" s="972">
        <v>91067</v>
      </c>
    </row>
    <row r="319" spans="1:21" x14ac:dyDescent="0.25">
      <c r="A319" s="966">
        <v>93311</v>
      </c>
      <c r="B319" s="967" t="s">
        <v>2935</v>
      </c>
      <c r="C319" s="968">
        <v>1.1665E-3</v>
      </c>
      <c r="D319" s="968">
        <v>1.1567000000000001E-3</v>
      </c>
      <c r="E319" s="1007">
        <v>529432</v>
      </c>
      <c r="F319" s="1010">
        <v>2454905</v>
      </c>
      <c r="G319" s="969">
        <v>1782089</v>
      </c>
      <c r="H319" s="969"/>
      <c r="I319" s="970">
        <v>102665</v>
      </c>
      <c r="J319" s="971">
        <v>432693</v>
      </c>
      <c r="K319" s="970">
        <v>254507</v>
      </c>
      <c r="L319" s="969">
        <v>1699</v>
      </c>
      <c r="M319" s="969"/>
      <c r="N319" s="970">
        <v>50445</v>
      </c>
      <c r="O319" s="970">
        <v>0</v>
      </c>
      <c r="P319" s="970">
        <v>0</v>
      </c>
      <c r="Q319" s="969">
        <v>83745</v>
      </c>
      <c r="R319" s="969"/>
      <c r="S319" s="970">
        <v>600566</v>
      </c>
      <c r="T319" s="972">
        <v>-37677</v>
      </c>
      <c r="U319" s="972">
        <v>562889</v>
      </c>
    </row>
    <row r="320" spans="1:21" x14ac:dyDescent="0.25">
      <c r="A320" s="966">
        <v>93317</v>
      </c>
      <c r="B320" s="967" t="s">
        <v>2936</v>
      </c>
      <c r="C320" s="968">
        <v>5.0099999999999998E-5</v>
      </c>
      <c r="D320" s="968">
        <v>4.8099999999999997E-5</v>
      </c>
      <c r="E320" s="1007">
        <v>21779</v>
      </c>
      <c r="F320" s="1010">
        <v>102084</v>
      </c>
      <c r="G320" s="969">
        <v>76539</v>
      </c>
      <c r="H320" s="969"/>
      <c r="I320" s="970">
        <v>4409</v>
      </c>
      <c r="J320" s="971">
        <v>18583</v>
      </c>
      <c r="K320" s="970">
        <v>10931</v>
      </c>
      <c r="L320" s="969">
        <v>805</v>
      </c>
      <c r="M320" s="969"/>
      <c r="N320" s="970">
        <v>2167</v>
      </c>
      <c r="O320" s="970">
        <v>0</v>
      </c>
      <c r="P320" s="970">
        <v>0</v>
      </c>
      <c r="Q320" s="969">
        <v>277</v>
      </c>
      <c r="R320" s="969"/>
      <c r="S320" s="970">
        <v>25794</v>
      </c>
      <c r="T320" s="972">
        <v>-23</v>
      </c>
      <c r="U320" s="972">
        <f>25770+1</f>
        <v>25771</v>
      </c>
    </row>
    <row r="321" spans="1:21" x14ac:dyDescent="0.25">
      <c r="A321" s="966">
        <v>93321</v>
      </c>
      <c r="B321" s="967" t="s">
        <v>2937</v>
      </c>
      <c r="C321" s="968">
        <v>7.3600000000000002E-3</v>
      </c>
      <c r="D321" s="968">
        <v>7.4706E-3</v>
      </c>
      <c r="E321" s="1007">
        <v>3205902</v>
      </c>
      <c r="F321" s="1010">
        <v>15855116</v>
      </c>
      <c r="G321" s="969">
        <v>11244041</v>
      </c>
      <c r="H321" s="969"/>
      <c r="I321" s="970">
        <v>647761</v>
      </c>
      <c r="J321" s="971">
        <v>2730067</v>
      </c>
      <c r="K321" s="970">
        <v>1605805</v>
      </c>
      <c r="L321" s="969">
        <v>0</v>
      </c>
      <c r="M321" s="969"/>
      <c r="N321" s="970">
        <v>318283</v>
      </c>
      <c r="O321" s="970">
        <v>0</v>
      </c>
      <c r="P321" s="970">
        <v>0</v>
      </c>
      <c r="Q321" s="969">
        <v>681688</v>
      </c>
      <c r="R321" s="969"/>
      <c r="S321" s="970">
        <v>3789252</v>
      </c>
      <c r="T321" s="972">
        <v>-330030</v>
      </c>
      <c r="U321" s="972">
        <f>3459221+1</f>
        <v>3459222</v>
      </c>
    </row>
    <row r="322" spans="1:21" x14ac:dyDescent="0.25">
      <c r="A322" s="966">
        <v>93323</v>
      </c>
      <c r="B322" s="967" t="s">
        <v>2938</v>
      </c>
      <c r="C322" s="968">
        <v>2.19E-5</v>
      </c>
      <c r="D322" s="968">
        <v>1.0200000000000001E-5</v>
      </c>
      <c r="E322" s="1007">
        <v>8923</v>
      </c>
      <c r="F322" s="1010">
        <v>21648</v>
      </c>
      <c r="G322" s="969">
        <v>33457</v>
      </c>
      <c r="H322" s="969"/>
      <c r="I322" s="970">
        <v>1927</v>
      </c>
      <c r="J322" s="971">
        <v>8123</v>
      </c>
      <c r="K322" s="970">
        <v>4778</v>
      </c>
      <c r="L322" s="969">
        <v>8607</v>
      </c>
      <c r="M322" s="969"/>
      <c r="N322" s="970">
        <v>947</v>
      </c>
      <c r="O322" s="970">
        <v>0</v>
      </c>
      <c r="P322" s="970">
        <v>0</v>
      </c>
      <c r="Q322" s="969">
        <v>1100</v>
      </c>
      <c r="R322" s="969"/>
      <c r="S322" s="970">
        <v>11275</v>
      </c>
      <c r="T322" s="972">
        <v>2519</v>
      </c>
      <c r="U322" s="972">
        <v>13794</v>
      </c>
    </row>
    <row r="323" spans="1:21" x14ac:dyDescent="0.25">
      <c r="A323" s="966">
        <v>93331</v>
      </c>
      <c r="B323" s="967" t="s">
        <v>2939</v>
      </c>
      <c r="C323" s="968">
        <v>1.208E-4</v>
      </c>
      <c r="D323" s="968">
        <v>1.3090000000000001E-4</v>
      </c>
      <c r="E323" s="1007">
        <v>56936</v>
      </c>
      <c r="F323" s="1010">
        <v>277814</v>
      </c>
      <c r="G323" s="969">
        <v>184549</v>
      </c>
      <c r="H323" s="969"/>
      <c r="I323" s="970">
        <v>10632</v>
      </c>
      <c r="J323" s="971">
        <v>44809</v>
      </c>
      <c r="K323" s="970">
        <v>26356</v>
      </c>
      <c r="L323" s="969">
        <v>2512</v>
      </c>
      <c r="M323" s="969"/>
      <c r="N323" s="970">
        <v>5224</v>
      </c>
      <c r="O323" s="970">
        <v>0</v>
      </c>
      <c r="P323" s="970">
        <v>0</v>
      </c>
      <c r="Q323" s="969">
        <v>11531</v>
      </c>
      <c r="R323" s="969"/>
      <c r="S323" s="970">
        <v>62193</v>
      </c>
      <c r="T323" s="972">
        <v>-2506</v>
      </c>
      <c r="U323" s="972">
        <v>59687</v>
      </c>
    </row>
    <row r="324" spans="1:21" x14ac:dyDescent="0.25">
      <c r="A324" s="966">
        <v>93333</v>
      </c>
      <c r="B324" s="967" t="s">
        <v>2940</v>
      </c>
      <c r="C324" s="968">
        <v>1.796E-4</v>
      </c>
      <c r="D324" s="968">
        <v>1.9990000000000001E-4</v>
      </c>
      <c r="E324" s="1007">
        <v>190543</v>
      </c>
      <c r="F324" s="1010">
        <v>424255</v>
      </c>
      <c r="G324" s="969">
        <v>274379</v>
      </c>
      <c r="H324" s="969"/>
      <c r="I324" s="970">
        <v>15807</v>
      </c>
      <c r="J324" s="971">
        <v>66619</v>
      </c>
      <c r="K324" s="970">
        <v>39185</v>
      </c>
      <c r="L324" s="969">
        <v>194737</v>
      </c>
      <c r="M324" s="969"/>
      <c r="N324" s="970">
        <v>7767</v>
      </c>
      <c r="O324" s="970">
        <v>0</v>
      </c>
      <c r="P324" s="970">
        <v>0</v>
      </c>
      <c r="Q324" s="969">
        <v>0</v>
      </c>
      <c r="R324" s="969"/>
      <c r="S324" s="970">
        <v>92466</v>
      </c>
      <c r="T324" s="972">
        <v>74695</v>
      </c>
      <c r="U324" s="972">
        <v>167161</v>
      </c>
    </row>
    <row r="325" spans="1:21" x14ac:dyDescent="0.25">
      <c r="A325" s="966">
        <v>93341</v>
      </c>
      <c r="B325" s="967" t="s">
        <v>2941</v>
      </c>
      <c r="C325" s="968">
        <v>2.34E-5</v>
      </c>
      <c r="D325" s="968">
        <v>2.73E-5</v>
      </c>
      <c r="E325" s="1007">
        <v>12933</v>
      </c>
      <c r="F325" s="1010">
        <v>57940</v>
      </c>
      <c r="G325" s="969">
        <v>35749</v>
      </c>
      <c r="H325" s="969"/>
      <c r="I325" s="970">
        <v>2059</v>
      </c>
      <c r="J325" s="971">
        <v>8680</v>
      </c>
      <c r="K325" s="970">
        <v>5105</v>
      </c>
      <c r="L325" s="969">
        <v>1866</v>
      </c>
      <c r="M325" s="969"/>
      <c r="N325" s="970">
        <v>1012</v>
      </c>
      <c r="O325" s="970">
        <v>0</v>
      </c>
      <c r="P325" s="970">
        <v>0</v>
      </c>
      <c r="Q325" s="969">
        <v>863</v>
      </c>
      <c r="R325" s="969"/>
      <c r="S325" s="970">
        <v>12047</v>
      </c>
      <c r="T325" s="972">
        <v>708</v>
      </c>
      <c r="U325" s="972">
        <v>12755</v>
      </c>
    </row>
    <row r="326" spans="1:21" x14ac:dyDescent="0.25">
      <c r="A326" s="966">
        <v>93351</v>
      </c>
      <c r="B326" s="967" t="s">
        <v>2942</v>
      </c>
      <c r="C326" s="968">
        <v>3.4E-5</v>
      </c>
      <c r="D326" s="968">
        <v>1.5999999999999999E-5</v>
      </c>
      <c r="E326" s="1007">
        <v>16319</v>
      </c>
      <c r="F326" s="1010">
        <v>33957</v>
      </c>
      <c r="G326" s="969">
        <v>51943</v>
      </c>
      <c r="H326" s="969"/>
      <c r="I326" s="970">
        <v>2992</v>
      </c>
      <c r="J326" s="971">
        <v>12611</v>
      </c>
      <c r="K326" s="970">
        <v>7418</v>
      </c>
      <c r="L326" s="969">
        <v>18867</v>
      </c>
      <c r="M326" s="969"/>
      <c r="N326" s="970">
        <v>1470</v>
      </c>
      <c r="O326" s="970">
        <v>0</v>
      </c>
      <c r="P326" s="970">
        <v>0</v>
      </c>
      <c r="Q326" s="969">
        <v>4169</v>
      </c>
      <c r="R326" s="969"/>
      <c r="S326" s="970">
        <v>17505</v>
      </c>
      <c r="T326" s="972">
        <v>2906</v>
      </c>
      <c r="U326" s="972">
        <f>20410+1</f>
        <v>20411</v>
      </c>
    </row>
    <row r="327" spans="1:21" x14ac:dyDescent="0.25">
      <c r="A327" s="966">
        <v>93401</v>
      </c>
      <c r="B327" s="967" t="s">
        <v>2943</v>
      </c>
      <c r="C327" s="968">
        <v>1.3834900000000001E-2</v>
      </c>
      <c r="D327" s="968">
        <v>1.37997E-2</v>
      </c>
      <c r="E327" s="1007">
        <v>6356857</v>
      </c>
      <c r="F327" s="1010">
        <v>29287586</v>
      </c>
      <c r="G327" s="969">
        <v>21135895</v>
      </c>
      <c r="H327" s="969"/>
      <c r="I327" s="970">
        <v>1217623</v>
      </c>
      <c r="J327" s="971">
        <v>5131821</v>
      </c>
      <c r="K327" s="970">
        <v>3018498</v>
      </c>
      <c r="L327" s="969">
        <v>99926</v>
      </c>
      <c r="M327" s="969"/>
      <c r="N327" s="970">
        <v>598290</v>
      </c>
      <c r="O327" s="970">
        <v>0</v>
      </c>
      <c r="P327" s="970">
        <v>0</v>
      </c>
      <c r="Q327" s="969">
        <v>186001</v>
      </c>
      <c r="R327" s="969"/>
      <c r="S327" s="970">
        <v>7122815</v>
      </c>
      <c r="T327" s="972">
        <v>-76616</v>
      </c>
      <c r="U327" s="972">
        <v>7046199</v>
      </c>
    </row>
    <row r="328" spans="1:21" x14ac:dyDescent="0.25">
      <c r="A328" s="966">
        <v>93402</v>
      </c>
      <c r="B328" s="967" t="s">
        <v>2944</v>
      </c>
      <c r="C328" s="968">
        <v>9.8800000000000003E-5</v>
      </c>
      <c r="D328" s="968">
        <v>9.2999999999999997E-5</v>
      </c>
      <c r="E328" s="1007">
        <v>38604</v>
      </c>
      <c r="F328" s="1010">
        <v>197377</v>
      </c>
      <c r="G328" s="969">
        <v>150939</v>
      </c>
      <c r="H328" s="969"/>
      <c r="I328" s="970">
        <v>8695</v>
      </c>
      <c r="J328" s="971">
        <v>36648</v>
      </c>
      <c r="K328" s="970">
        <v>21556</v>
      </c>
      <c r="L328" s="969">
        <v>5545</v>
      </c>
      <c r="M328" s="969"/>
      <c r="N328" s="970">
        <v>4273</v>
      </c>
      <c r="O328" s="970">
        <v>0</v>
      </c>
      <c r="P328" s="970">
        <v>0</v>
      </c>
      <c r="Q328" s="969">
        <v>3446</v>
      </c>
      <c r="R328" s="969"/>
      <c r="S328" s="970">
        <v>50867</v>
      </c>
      <c r="T328" s="972">
        <v>3029</v>
      </c>
      <c r="U328" s="972">
        <f>53895+1</f>
        <v>53896</v>
      </c>
    </row>
    <row r="329" spans="1:21" x14ac:dyDescent="0.25">
      <c r="A329" s="966">
        <v>93406</v>
      </c>
      <c r="B329" s="967" t="s">
        <v>2945</v>
      </c>
      <c r="C329" s="968">
        <v>6.5059999999999998E-4</v>
      </c>
      <c r="D329" s="968">
        <v>7.1170000000000001E-4</v>
      </c>
      <c r="E329" s="1007">
        <v>289720</v>
      </c>
      <c r="F329" s="1010">
        <v>1510466</v>
      </c>
      <c r="G329" s="969">
        <v>993937</v>
      </c>
      <c r="H329" s="969"/>
      <c r="I329" s="970">
        <v>57260</v>
      </c>
      <c r="J329" s="971">
        <v>241329</v>
      </c>
      <c r="K329" s="970">
        <v>141948</v>
      </c>
      <c r="L329" s="969">
        <v>26056</v>
      </c>
      <c r="M329" s="969"/>
      <c r="N329" s="970">
        <v>28135</v>
      </c>
      <c r="O329" s="970">
        <v>0</v>
      </c>
      <c r="P329" s="970">
        <v>0</v>
      </c>
      <c r="Q329" s="969">
        <v>48133</v>
      </c>
      <c r="R329" s="969"/>
      <c r="S329" s="970">
        <v>334958</v>
      </c>
      <c r="T329" s="972">
        <v>7011</v>
      </c>
      <c r="U329" s="972">
        <f>341968+1</f>
        <v>341969</v>
      </c>
    </row>
    <row r="330" spans="1:21" x14ac:dyDescent="0.25">
      <c r="A330" s="966">
        <v>93408</v>
      </c>
      <c r="B330" s="967" t="s">
        <v>2946</v>
      </c>
      <c r="C330" s="968">
        <v>0</v>
      </c>
      <c r="D330" s="968">
        <v>1.8967999999999999E-3</v>
      </c>
      <c r="E330" s="1007">
        <v>73962</v>
      </c>
      <c r="F330" s="1010">
        <v>4025645</v>
      </c>
      <c r="G330" s="969">
        <v>0</v>
      </c>
      <c r="H330" s="969"/>
      <c r="I330" s="970">
        <v>0</v>
      </c>
      <c r="J330" s="971">
        <v>0</v>
      </c>
      <c r="K330" s="970">
        <v>0</v>
      </c>
      <c r="L330" s="969">
        <v>173575</v>
      </c>
      <c r="M330" s="969"/>
      <c r="N330" s="970">
        <v>0</v>
      </c>
      <c r="O330" s="970">
        <v>0</v>
      </c>
      <c r="P330" s="970">
        <v>0</v>
      </c>
      <c r="Q330" s="969">
        <v>1605024</v>
      </c>
      <c r="R330" s="969"/>
      <c r="S330" s="970">
        <v>0</v>
      </c>
      <c r="T330" s="972">
        <v>-292149</v>
      </c>
      <c r="U330" s="972">
        <v>-292149</v>
      </c>
    </row>
    <row r="331" spans="1:21" x14ac:dyDescent="0.25">
      <c r="A331" s="966">
        <v>93411</v>
      </c>
      <c r="B331" s="967" t="s">
        <v>2947</v>
      </c>
      <c r="C331" s="968">
        <v>1.7454999999999998E-2</v>
      </c>
      <c r="D331" s="968">
        <v>1.73309E-2</v>
      </c>
      <c r="E331" s="1007">
        <v>8222694</v>
      </c>
      <c r="F331" s="1010">
        <v>36781976</v>
      </c>
      <c r="G331" s="969">
        <v>26666405</v>
      </c>
      <c r="H331" s="969"/>
      <c r="I331" s="970">
        <v>1536232</v>
      </c>
      <c r="J331" s="971">
        <v>6474635</v>
      </c>
      <c r="K331" s="970">
        <v>3808332</v>
      </c>
      <c r="L331" s="969">
        <v>250711</v>
      </c>
      <c r="M331" s="969"/>
      <c r="N331" s="970">
        <v>754841</v>
      </c>
      <c r="O331" s="970">
        <v>0</v>
      </c>
      <c r="P331" s="970">
        <v>0</v>
      </c>
      <c r="Q331" s="969">
        <v>594754</v>
      </c>
      <c r="R331" s="969"/>
      <c r="S331" s="970">
        <v>8986602</v>
      </c>
      <c r="T331" s="972">
        <v>-306468</v>
      </c>
      <c r="U331" s="972">
        <v>8680134</v>
      </c>
    </row>
    <row r="332" spans="1:21" x14ac:dyDescent="0.25">
      <c r="A332" s="966">
        <v>93413</v>
      </c>
      <c r="B332" s="967" t="s">
        <v>2948</v>
      </c>
      <c r="C332" s="968">
        <v>7.7070000000000003E-4</v>
      </c>
      <c r="D332" s="968">
        <v>8.0130000000000002E-4</v>
      </c>
      <c r="E332" s="1007">
        <v>378796</v>
      </c>
      <c r="F332" s="1010">
        <v>1700627</v>
      </c>
      <c r="G332" s="969">
        <v>1177416</v>
      </c>
      <c r="H332" s="969"/>
      <c r="I332" s="970">
        <v>67830</v>
      </c>
      <c r="J332" s="971">
        <v>285878</v>
      </c>
      <c r="K332" s="970">
        <v>168151</v>
      </c>
      <c r="L332" s="969">
        <v>0</v>
      </c>
      <c r="M332" s="969"/>
      <c r="N332" s="970">
        <v>33329</v>
      </c>
      <c r="O332" s="970">
        <v>0</v>
      </c>
      <c r="P332" s="970">
        <v>0</v>
      </c>
      <c r="Q332" s="969">
        <v>35372</v>
      </c>
      <c r="R332" s="969"/>
      <c r="S332" s="970">
        <v>396790</v>
      </c>
      <c r="T332" s="972">
        <v>-17507</v>
      </c>
      <c r="U332" s="972">
        <v>379283</v>
      </c>
    </row>
    <row r="333" spans="1:21" x14ac:dyDescent="0.25">
      <c r="A333" s="966">
        <v>93417</v>
      </c>
      <c r="B333" s="967" t="s">
        <v>2949</v>
      </c>
      <c r="C333" s="968">
        <v>3.4430000000000002E-4</v>
      </c>
      <c r="D333" s="968">
        <v>4.1130000000000002E-4</v>
      </c>
      <c r="E333" s="1007">
        <v>172878</v>
      </c>
      <c r="F333" s="1010">
        <v>872916</v>
      </c>
      <c r="G333" s="969">
        <v>525995</v>
      </c>
      <c r="H333" s="969"/>
      <c r="I333" s="970">
        <v>30302</v>
      </c>
      <c r="J333" s="971">
        <v>127712</v>
      </c>
      <c r="K333" s="970">
        <v>75119</v>
      </c>
      <c r="L333" s="969">
        <v>15432</v>
      </c>
      <c r="M333" s="969"/>
      <c r="N333" s="970">
        <v>14889</v>
      </c>
      <c r="O333" s="970">
        <v>0</v>
      </c>
      <c r="P333" s="970">
        <v>0</v>
      </c>
      <c r="Q333" s="969">
        <v>33069</v>
      </c>
      <c r="R333" s="969"/>
      <c r="S333" s="970">
        <v>177261</v>
      </c>
      <c r="T333" s="972">
        <v>5883</v>
      </c>
      <c r="U333" s="972">
        <v>183144</v>
      </c>
    </row>
    <row r="334" spans="1:21" x14ac:dyDescent="0.25">
      <c r="A334" s="966">
        <v>93421</v>
      </c>
      <c r="B334" s="967" t="s">
        <v>2950</v>
      </c>
      <c r="C334" s="968">
        <v>2.1294999999999999E-3</v>
      </c>
      <c r="D334" s="968">
        <v>2.1646E-3</v>
      </c>
      <c r="E334" s="1007">
        <v>893357</v>
      </c>
      <c r="F334" s="1010">
        <v>4594006</v>
      </c>
      <c r="G334" s="969">
        <v>3253286</v>
      </c>
      <c r="H334" s="969"/>
      <c r="I334" s="970">
        <v>187419</v>
      </c>
      <c r="J334" s="971">
        <v>789902</v>
      </c>
      <c r="K334" s="970">
        <v>464614</v>
      </c>
      <c r="L334" s="969">
        <v>0</v>
      </c>
      <c r="M334" s="969"/>
      <c r="N334" s="970">
        <v>92090</v>
      </c>
      <c r="O334" s="970">
        <v>0</v>
      </c>
      <c r="P334" s="970">
        <v>0</v>
      </c>
      <c r="Q334" s="969">
        <v>273225</v>
      </c>
      <c r="R334" s="969"/>
      <c r="S334" s="970">
        <v>1096360</v>
      </c>
      <c r="T334" s="972">
        <v>-126565</v>
      </c>
      <c r="U334" s="972">
        <v>969795</v>
      </c>
    </row>
    <row r="335" spans="1:21" x14ac:dyDescent="0.25">
      <c r="A335" s="966">
        <v>93431</v>
      </c>
      <c r="B335" s="967" t="s">
        <v>2951</v>
      </c>
      <c r="C335" s="968">
        <v>1.2689999999999999E-4</v>
      </c>
      <c r="D335" s="968">
        <v>1.127E-4</v>
      </c>
      <c r="E335" s="1007">
        <v>61080</v>
      </c>
      <c r="F335" s="1010">
        <v>239187</v>
      </c>
      <c r="G335" s="969">
        <v>193868</v>
      </c>
      <c r="H335" s="969"/>
      <c r="I335" s="970">
        <v>11169</v>
      </c>
      <c r="J335" s="971">
        <v>47071</v>
      </c>
      <c r="K335" s="970">
        <v>27687</v>
      </c>
      <c r="L335" s="969">
        <v>12612</v>
      </c>
      <c r="M335" s="969"/>
      <c r="N335" s="970">
        <v>5488</v>
      </c>
      <c r="O335" s="970">
        <v>0</v>
      </c>
      <c r="P335" s="970">
        <v>0</v>
      </c>
      <c r="Q335" s="969">
        <v>5397</v>
      </c>
      <c r="R335" s="969"/>
      <c r="S335" s="970">
        <v>65334</v>
      </c>
      <c r="T335" s="972">
        <v>1734</v>
      </c>
      <c r="U335" s="972">
        <v>67068</v>
      </c>
    </row>
    <row r="336" spans="1:21" x14ac:dyDescent="0.25">
      <c r="A336" s="966">
        <v>93441</v>
      </c>
      <c r="B336" s="967" t="s">
        <v>2952</v>
      </c>
      <c r="C336" s="968">
        <v>1.54E-4</v>
      </c>
      <c r="D336" s="968">
        <v>1.4970000000000001E-4</v>
      </c>
      <c r="E336" s="1007">
        <v>77933</v>
      </c>
      <c r="F336" s="1010">
        <v>317714</v>
      </c>
      <c r="G336" s="969">
        <v>235269</v>
      </c>
      <c r="H336" s="969"/>
      <c r="I336" s="970">
        <v>13554</v>
      </c>
      <c r="J336" s="971">
        <v>57124</v>
      </c>
      <c r="K336" s="970">
        <v>33600</v>
      </c>
      <c r="L336" s="969">
        <v>30786</v>
      </c>
      <c r="M336" s="969"/>
      <c r="N336" s="970">
        <v>6660</v>
      </c>
      <c r="O336" s="970">
        <v>0</v>
      </c>
      <c r="P336" s="970">
        <v>0</v>
      </c>
      <c r="Q336" s="969">
        <v>0</v>
      </c>
      <c r="R336" s="969"/>
      <c r="S336" s="970">
        <v>79286</v>
      </c>
      <c r="T336" s="972">
        <v>14822</v>
      </c>
      <c r="U336" s="972">
        <v>94108</v>
      </c>
    </row>
    <row r="337" spans="1:21" x14ac:dyDescent="0.25">
      <c r="A337" s="966">
        <v>93442</v>
      </c>
      <c r="B337" s="967" t="s">
        <v>2953</v>
      </c>
      <c r="C337" s="968">
        <v>1.505E-4</v>
      </c>
      <c r="D337" s="968">
        <v>1.3540000000000001E-4</v>
      </c>
      <c r="E337" s="1007">
        <v>57507</v>
      </c>
      <c r="F337" s="1010">
        <v>287364</v>
      </c>
      <c r="G337" s="969">
        <v>229922</v>
      </c>
      <c r="H337" s="969"/>
      <c r="I337" s="970">
        <v>13246</v>
      </c>
      <c r="J337" s="971">
        <v>55826</v>
      </c>
      <c r="K337" s="970">
        <v>32836</v>
      </c>
      <c r="L337" s="969">
        <v>5191</v>
      </c>
      <c r="M337" s="969"/>
      <c r="N337" s="970">
        <v>6508</v>
      </c>
      <c r="O337" s="970">
        <v>0</v>
      </c>
      <c r="P337" s="970">
        <v>0</v>
      </c>
      <c r="Q337" s="969">
        <v>20988</v>
      </c>
      <c r="R337" s="969"/>
      <c r="S337" s="970">
        <v>77484</v>
      </c>
      <c r="T337" s="972">
        <v>-6353</v>
      </c>
      <c r="U337" s="972">
        <v>71131</v>
      </c>
    </row>
    <row r="338" spans="1:21" x14ac:dyDescent="0.25">
      <c r="A338" s="966">
        <v>93451</v>
      </c>
      <c r="B338" s="967" t="s">
        <v>2954</v>
      </c>
      <c r="C338" s="968">
        <v>7.0900000000000002E-5</v>
      </c>
      <c r="D338" s="968">
        <v>7.6899999999999999E-5</v>
      </c>
      <c r="E338" s="1007">
        <v>41775</v>
      </c>
      <c r="F338" s="1010">
        <v>163208</v>
      </c>
      <c r="G338" s="969">
        <v>108316</v>
      </c>
      <c r="H338" s="969"/>
      <c r="I338" s="970">
        <v>6240</v>
      </c>
      <c r="J338" s="971">
        <v>26299</v>
      </c>
      <c r="K338" s="970">
        <v>15469</v>
      </c>
      <c r="L338" s="969">
        <v>16242</v>
      </c>
      <c r="M338" s="969"/>
      <c r="N338" s="970">
        <v>3066</v>
      </c>
      <c r="O338" s="970">
        <v>0</v>
      </c>
      <c r="P338" s="970">
        <v>0</v>
      </c>
      <c r="Q338" s="969">
        <v>1492</v>
      </c>
      <c r="R338" s="969"/>
      <c r="S338" s="970">
        <v>36502</v>
      </c>
      <c r="T338" s="972">
        <v>5181</v>
      </c>
      <c r="U338" s="972">
        <f>41684-1</f>
        <v>41683</v>
      </c>
    </row>
    <row r="339" spans="1:21" x14ac:dyDescent="0.25">
      <c r="A339" s="966">
        <v>93461</v>
      </c>
      <c r="B339" s="967" t="s">
        <v>2955</v>
      </c>
      <c r="C339" s="968">
        <v>1.66E-5</v>
      </c>
      <c r="D339" s="968">
        <v>1.7200000000000001E-5</v>
      </c>
      <c r="E339" s="1007">
        <v>8264</v>
      </c>
      <c r="F339" s="1010">
        <v>36504</v>
      </c>
      <c r="G339" s="969">
        <v>25360</v>
      </c>
      <c r="H339" s="969"/>
      <c r="I339" s="970">
        <v>1461</v>
      </c>
      <c r="J339" s="971">
        <v>6157</v>
      </c>
      <c r="K339" s="970">
        <v>3622</v>
      </c>
      <c r="L339" s="969">
        <v>580</v>
      </c>
      <c r="M339" s="969"/>
      <c r="N339" s="970">
        <v>718</v>
      </c>
      <c r="O339" s="970">
        <v>0</v>
      </c>
      <c r="P339" s="970">
        <v>0</v>
      </c>
      <c r="Q339" s="969">
        <v>0</v>
      </c>
      <c r="R339" s="969"/>
      <c r="S339" s="970">
        <v>8546</v>
      </c>
      <c r="T339" s="972">
        <v>254</v>
      </c>
      <c r="U339" s="972">
        <f>8801-1</f>
        <v>8800</v>
      </c>
    </row>
    <row r="340" spans="1:21" x14ac:dyDescent="0.25">
      <c r="A340" s="966">
        <v>93471</v>
      </c>
      <c r="B340" s="967" t="s">
        <v>2956</v>
      </c>
      <c r="C340" s="968">
        <v>1.31E-5</v>
      </c>
      <c r="D340" s="968">
        <v>1.1800000000000001E-5</v>
      </c>
      <c r="E340" s="1007">
        <v>8324</v>
      </c>
      <c r="F340" s="1010">
        <v>25044</v>
      </c>
      <c r="G340" s="969">
        <v>20013</v>
      </c>
      <c r="H340" s="969"/>
      <c r="I340" s="970">
        <v>1153</v>
      </c>
      <c r="J340" s="971">
        <v>4859</v>
      </c>
      <c r="K340" s="970">
        <v>2858</v>
      </c>
      <c r="L340" s="969">
        <v>4280</v>
      </c>
      <c r="M340" s="969"/>
      <c r="N340" s="970">
        <v>567</v>
      </c>
      <c r="O340" s="970">
        <v>0</v>
      </c>
      <c r="P340" s="970">
        <v>0</v>
      </c>
      <c r="Q340" s="969">
        <v>63</v>
      </c>
      <c r="R340" s="969"/>
      <c r="S340" s="970">
        <v>6744</v>
      </c>
      <c r="T340" s="972">
        <v>1243</v>
      </c>
      <c r="U340" s="972">
        <v>7987</v>
      </c>
    </row>
    <row r="341" spans="1:21" x14ac:dyDescent="0.25">
      <c r="A341" s="966">
        <v>93501</v>
      </c>
      <c r="B341" s="967" t="s">
        <v>2957</v>
      </c>
      <c r="C341" s="968">
        <v>3.6113999999999999E-3</v>
      </c>
      <c r="D341" s="968">
        <v>3.4039000000000001E-3</v>
      </c>
      <c r="E341" s="1007">
        <v>1661033</v>
      </c>
      <c r="F341" s="1010">
        <v>7224216</v>
      </c>
      <c r="G341" s="969">
        <v>5517219</v>
      </c>
      <c r="H341" s="969"/>
      <c r="I341" s="970">
        <v>317843</v>
      </c>
      <c r="J341" s="971">
        <v>1339587</v>
      </c>
      <c r="K341" s="970">
        <v>787935</v>
      </c>
      <c r="L341" s="969">
        <v>233815</v>
      </c>
      <c r="M341" s="969"/>
      <c r="N341" s="970">
        <v>156175</v>
      </c>
      <c r="O341" s="970">
        <v>0</v>
      </c>
      <c r="P341" s="970">
        <v>0</v>
      </c>
      <c r="Q341" s="969">
        <v>57589</v>
      </c>
      <c r="R341" s="969"/>
      <c r="S341" s="970">
        <v>1859308</v>
      </c>
      <c r="T341" s="972">
        <v>88331</v>
      </c>
      <c r="U341" s="972">
        <v>1947639</v>
      </c>
    </row>
    <row r="342" spans="1:21" x14ac:dyDescent="0.25">
      <c r="A342" s="966">
        <v>93511</v>
      </c>
      <c r="B342" s="967" t="s">
        <v>2958</v>
      </c>
      <c r="C342" s="968">
        <v>8.8300000000000005E-5</v>
      </c>
      <c r="D342" s="968">
        <v>9.8999999999999994E-5</v>
      </c>
      <c r="E342" s="1007">
        <v>45050</v>
      </c>
      <c r="F342" s="1010">
        <v>210111</v>
      </c>
      <c r="G342" s="969">
        <v>134898</v>
      </c>
      <c r="H342" s="969"/>
      <c r="I342" s="970">
        <v>7771</v>
      </c>
      <c r="J342" s="971">
        <v>32753</v>
      </c>
      <c r="K342" s="970">
        <v>19265</v>
      </c>
      <c r="L342" s="969">
        <v>2589</v>
      </c>
      <c r="M342" s="969"/>
      <c r="N342" s="970">
        <v>3819</v>
      </c>
      <c r="O342" s="970">
        <v>0</v>
      </c>
      <c r="P342" s="970">
        <v>0</v>
      </c>
      <c r="Q342" s="969">
        <v>13801</v>
      </c>
      <c r="R342" s="969"/>
      <c r="S342" s="970">
        <v>45461</v>
      </c>
      <c r="T342" s="972">
        <v>-2683</v>
      </c>
      <c r="U342" s="972">
        <v>42778</v>
      </c>
    </row>
    <row r="343" spans="1:21" x14ac:dyDescent="0.25">
      <c r="A343" s="966">
        <v>93517</v>
      </c>
      <c r="B343" s="967" t="s">
        <v>2959</v>
      </c>
      <c r="C343" s="968">
        <v>6.0000000000000002E-6</v>
      </c>
      <c r="D343" s="968">
        <v>6.4999999999999996E-6</v>
      </c>
      <c r="E343" s="1007">
        <v>4387</v>
      </c>
      <c r="F343" s="1010">
        <v>13795</v>
      </c>
      <c r="G343" s="969">
        <v>9166</v>
      </c>
      <c r="H343" s="969"/>
      <c r="I343" s="970">
        <v>528</v>
      </c>
      <c r="J343" s="971">
        <v>2226</v>
      </c>
      <c r="K343" s="970">
        <v>1309</v>
      </c>
      <c r="L343" s="969">
        <v>3133</v>
      </c>
      <c r="M343" s="969"/>
      <c r="N343" s="970">
        <v>259</v>
      </c>
      <c r="O343" s="970">
        <v>0</v>
      </c>
      <c r="P343" s="970">
        <v>0</v>
      </c>
      <c r="Q343" s="969">
        <v>503</v>
      </c>
      <c r="R343" s="969"/>
      <c r="S343" s="970">
        <v>3089</v>
      </c>
      <c r="T343" s="972">
        <v>771</v>
      </c>
      <c r="U343" s="972">
        <v>3860</v>
      </c>
    </row>
    <row r="344" spans="1:21" x14ac:dyDescent="0.25">
      <c r="A344" s="966">
        <v>93521</v>
      </c>
      <c r="B344" s="967" t="s">
        <v>2960</v>
      </c>
      <c r="C344" s="968">
        <v>4.5649999999999998E-4</v>
      </c>
      <c r="D344" s="968">
        <v>5.6389999999999999E-4</v>
      </c>
      <c r="E344" s="1007">
        <v>213305</v>
      </c>
      <c r="F344" s="1010">
        <v>1196785</v>
      </c>
      <c r="G344" s="969">
        <v>697406</v>
      </c>
      <c r="H344" s="969"/>
      <c r="I344" s="970">
        <v>40177</v>
      </c>
      <c r="J344" s="971">
        <v>169331</v>
      </c>
      <c r="K344" s="970">
        <v>99599</v>
      </c>
      <c r="L344" s="969">
        <v>7159</v>
      </c>
      <c r="M344" s="969"/>
      <c r="N344" s="970">
        <v>19741</v>
      </c>
      <c r="O344" s="970">
        <v>0</v>
      </c>
      <c r="P344" s="970">
        <v>0</v>
      </c>
      <c r="Q344" s="969">
        <v>74583</v>
      </c>
      <c r="R344" s="969"/>
      <c r="S344" s="970">
        <v>235026</v>
      </c>
      <c r="T344" s="972">
        <v>-19847</v>
      </c>
      <c r="U344" s="972">
        <f>215180-1</f>
        <v>215179</v>
      </c>
    </row>
    <row r="345" spans="1:21" x14ac:dyDescent="0.25">
      <c r="A345" s="966">
        <v>93527</v>
      </c>
      <c r="B345" s="967" t="s">
        <v>2961</v>
      </c>
      <c r="C345" s="968">
        <v>1.2099999999999999E-5</v>
      </c>
      <c r="D345" s="968">
        <v>5.4E-6</v>
      </c>
      <c r="E345" s="1007">
        <v>9591</v>
      </c>
      <c r="F345" s="1010">
        <v>11461</v>
      </c>
      <c r="G345" s="969">
        <v>18485</v>
      </c>
      <c r="H345" s="969"/>
      <c r="I345" s="970">
        <v>1065</v>
      </c>
      <c r="J345" s="971">
        <v>4488</v>
      </c>
      <c r="K345" s="970">
        <v>2640</v>
      </c>
      <c r="L345" s="969">
        <v>15016</v>
      </c>
      <c r="M345" s="969"/>
      <c r="N345" s="970">
        <v>523</v>
      </c>
      <c r="O345" s="970">
        <v>0</v>
      </c>
      <c r="P345" s="970">
        <v>0</v>
      </c>
      <c r="Q345" s="969">
        <v>0</v>
      </c>
      <c r="R345" s="969"/>
      <c r="S345" s="970">
        <v>6230</v>
      </c>
      <c r="T345" s="972">
        <v>5872</v>
      </c>
      <c r="U345" s="972">
        <f>12101+1</f>
        <v>12102</v>
      </c>
    </row>
    <row r="346" spans="1:21" x14ac:dyDescent="0.25">
      <c r="A346" s="966">
        <v>93531</v>
      </c>
      <c r="B346" s="967" t="s">
        <v>2962</v>
      </c>
      <c r="C346" s="968">
        <v>1.7E-5</v>
      </c>
      <c r="D346" s="968">
        <v>2.4000000000000001E-5</v>
      </c>
      <c r="E346" s="1007">
        <v>11624</v>
      </c>
      <c r="F346" s="1010">
        <v>50936</v>
      </c>
      <c r="G346" s="969">
        <v>25971</v>
      </c>
      <c r="H346" s="969"/>
      <c r="I346" s="970">
        <v>1496</v>
      </c>
      <c r="J346" s="971">
        <v>6306</v>
      </c>
      <c r="K346" s="970">
        <v>3709</v>
      </c>
      <c r="L346" s="969">
        <v>791</v>
      </c>
      <c r="M346" s="969"/>
      <c r="N346" s="970">
        <v>735</v>
      </c>
      <c r="O346" s="970">
        <v>0</v>
      </c>
      <c r="P346" s="970">
        <v>0</v>
      </c>
      <c r="Q346" s="969">
        <v>2743</v>
      </c>
      <c r="R346" s="969"/>
      <c r="S346" s="970">
        <v>8752</v>
      </c>
      <c r="T346" s="972">
        <v>-1210</v>
      </c>
      <c r="U346" s="972">
        <v>7542</v>
      </c>
    </row>
    <row r="347" spans="1:21" x14ac:dyDescent="0.25">
      <c r="A347" s="966">
        <v>93537</v>
      </c>
      <c r="B347" s="967" t="s">
        <v>2963</v>
      </c>
      <c r="C347" s="968">
        <v>1.1199999999999999E-5</v>
      </c>
      <c r="D347" s="968">
        <v>1.17E-5</v>
      </c>
      <c r="E347" s="1007">
        <v>4064</v>
      </c>
      <c r="F347" s="1010">
        <v>24831</v>
      </c>
      <c r="G347" s="969">
        <v>17110</v>
      </c>
      <c r="H347" s="969"/>
      <c r="I347" s="970">
        <v>986</v>
      </c>
      <c r="J347" s="971">
        <v>4154</v>
      </c>
      <c r="K347" s="970">
        <v>2444</v>
      </c>
      <c r="L347" s="969">
        <v>0</v>
      </c>
      <c r="M347" s="969"/>
      <c r="N347" s="970">
        <v>484</v>
      </c>
      <c r="O347" s="970">
        <v>0</v>
      </c>
      <c r="P347" s="970">
        <v>0</v>
      </c>
      <c r="Q347" s="969">
        <v>1898</v>
      </c>
      <c r="R347" s="969"/>
      <c r="S347" s="970">
        <v>5766</v>
      </c>
      <c r="T347" s="972">
        <v>-575</v>
      </c>
      <c r="U347" s="972">
        <v>5191</v>
      </c>
    </row>
    <row r="348" spans="1:21" x14ac:dyDescent="0.25">
      <c r="A348" s="966">
        <v>93541</v>
      </c>
      <c r="B348" s="967" t="s">
        <v>2964</v>
      </c>
      <c r="C348" s="968">
        <v>1.0560000000000001E-4</v>
      </c>
      <c r="D348" s="968">
        <v>1.061E-4</v>
      </c>
      <c r="E348" s="1007">
        <v>49276</v>
      </c>
      <c r="F348" s="1010">
        <v>225180</v>
      </c>
      <c r="G348" s="969">
        <v>161328</v>
      </c>
      <c r="H348" s="969"/>
      <c r="I348" s="970">
        <v>9294</v>
      </c>
      <c r="J348" s="971">
        <v>39171</v>
      </c>
      <c r="K348" s="970">
        <v>23040</v>
      </c>
      <c r="L348" s="969">
        <v>4560</v>
      </c>
      <c r="M348" s="969"/>
      <c r="N348" s="970">
        <v>4567</v>
      </c>
      <c r="O348" s="970">
        <v>0</v>
      </c>
      <c r="P348" s="970">
        <v>0</v>
      </c>
      <c r="Q348" s="969">
        <v>781</v>
      </c>
      <c r="R348" s="969"/>
      <c r="S348" s="970">
        <v>54368</v>
      </c>
      <c r="T348" s="972">
        <v>4003</v>
      </c>
      <c r="U348" s="972">
        <f>58370+1</f>
        <v>58371</v>
      </c>
    </row>
    <row r="349" spans="1:21" x14ac:dyDescent="0.25">
      <c r="A349" s="966">
        <v>93601</v>
      </c>
      <c r="B349" s="967" t="s">
        <v>2965</v>
      </c>
      <c r="C349" s="968">
        <v>1.0721400000000001E-2</v>
      </c>
      <c r="D349" s="968">
        <v>1.1139899999999999E-2</v>
      </c>
      <c r="E349" s="1007">
        <v>5038240</v>
      </c>
      <c r="F349" s="1010">
        <v>23642600</v>
      </c>
      <c r="G349" s="969">
        <v>16379329</v>
      </c>
      <c r="H349" s="969"/>
      <c r="I349" s="970">
        <v>943601</v>
      </c>
      <c r="J349" s="971">
        <v>3976921</v>
      </c>
      <c r="K349" s="970">
        <v>2339195</v>
      </c>
      <c r="L349" s="969">
        <v>65732</v>
      </c>
      <c r="M349" s="969"/>
      <c r="N349" s="970">
        <v>463647</v>
      </c>
      <c r="O349" s="970">
        <v>0</v>
      </c>
      <c r="P349" s="970">
        <v>0</v>
      </c>
      <c r="Q349" s="969">
        <v>282932</v>
      </c>
      <c r="R349" s="969"/>
      <c r="S349" s="970">
        <v>5519848</v>
      </c>
      <c r="T349" s="972">
        <v>-87424</v>
      </c>
      <c r="U349" s="972">
        <f>5432425-1</f>
        <v>5432424</v>
      </c>
    </row>
    <row r="350" spans="1:21" x14ac:dyDescent="0.25">
      <c r="A350" s="966">
        <v>93602</v>
      </c>
      <c r="B350" s="967" t="s">
        <v>2966</v>
      </c>
      <c r="C350" s="968">
        <v>1.7540000000000001E-4</v>
      </c>
      <c r="D350" s="968">
        <v>1.7200000000000001E-4</v>
      </c>
      <c r="E350" s="1007">
        <v>82188</v>
      </c>
      <c r="F350" s="1010">
        <v>365042</v>
      </c>
      <c r="G350" s="969">
        <v>267963</v>
      </c>
      <c r="H350" s="969"/>
      <c r="I350" s="970">
        <v>15437</v>
      </c>
      <c r="J350" s="971">
        <v>65062</v>
      </c>
      <c r="K350" s="970">
        <v>38269</v>
      </c>
      <c r="L350" s="969">
        <v>4381</v>
      </c>
      <c r="M350" s="969"/>
      <c r="N350" s="970">
        <v>7585</v>
      </c>
      <c r="O350" s="970">
        <v>0</v>
      </c>
      <c r="P350" s="970">
        <v>0</v>
      </c>
      <c r="Q350" s="969">
        <v>10262</v>
      </c>
      <c r="R350" s="969"/>
      <c r="S350" s="970">
        <v>90304</v>
      </c>
      <c r="T350" s="972">
        <v>-2871</v>
      </c>
      <c r="U350" s="972">
        <v>87433</v>
      </c>
    </row>
    <row r="351" spans="1:21" x14ac:dyDescent="0.25">
      <c r="A351" s="966">
        <v>93609</v>
      </c>
      <c r="B351" s="967" t="s">
        <v>2967</v>
      </c>
      <c r="C351" s="968">
        <v>3.7629999999999999E-3</v>
      </c>
      <c r="D351" s="968">
        <v>3.0569E-3</v>
      </c>
      <c r="E351" s="1007">
        <v>1743934</v>
      </c>
      <c r="F351" s="1010">
        <v>6487766</v>
      </c>
      <c r="G351" s="969">
        <v>5748822</v>
      </c>
      <c r="H351" s="969"/>
      <c r="I351" s="970">
        <v>331185</v>
      </c>
      <c r="J351" s="971">
        <v>1395821</v>
      </c>
      <c r="K351" s="970">
        <v>821011</v>
      </c>
      <c r="L351" s="969">
        <v>823315</v>
      </c>
      <c r="M351" s="969"/>
      <c r="N351" s="970">
        <v>162731</v>
      </c>
      <c r="O351" s="970">
        <v>0</v>
      </c>
      <c r="P351" s="970">
        <v>0</v>
      </c>
      <c r="Q351" s="969">
        <v>0</v>
      </c>
      <c r="R351" s="969"/>
      <c r="S351" s="970">
        <v>1937358</v>
      </c>
      <c r="T351" s="972">
        <v>360052</v>
      </c>
      <c r="U351" s="972">
        <v>2297410</v>
      </c>
    </row>
    <row r="352" spans="1:21" x14ac:dyDescent="0.25">
      <c r="A352" s="966">
        <v>93610</v>
      </c>
      <c r="B352" s="967" t="s">
        <v>2968</v>
      </c>
      <c r="C352" s="968">
        <v>1.33E-5</v>
      </c>
      <c r="D352" s="968">
        <v>6.4999999999999996E-6</v>
      </c>
      <c r="E352" s="1007">
        <v>5846</v>
      </c>
      <c r="F352" s="1010">
        <v>13795</v>
      </c>
      <c r="G352" s="969">
        <v>20319</v>
      </c>
      <c r="H352" s="969"/>
      <c r="I352" s="970">
        <v>1171</v>
      </c>
      <c r="J352" s="971">
        <v>4933</v>
      </c>
      <c r="K352" s="970">
        <v>2902</v>
      </c>
      <c r="L352" s="969">
        <v>6303</v>
      </c>
      <c r="M352" s="969"/>
      <c r="N352" s="970">
        <v>575</v>
      </c>
      <c r="O352" s="970">
        <v>0</v>
      </c>
      <c r="P352" s="970">
        <v>0</v>
      </c>
      <c r="Q352" s="969">
        <v>3373</v>
      </c>
      <c r="R352" s="969"/>
      <c r="S352" s="970">
        <v>6847</v>
      </c>
      <c r="T352" s="972">
        <v>1242</v>
      </c>
      <c r="U352" s="972">
        <f>8090-1</f>
        <v>8089</v>
      </c>
    </row>
    <row r="353" spans="1:21" x14ac:dyDescent="0.25">
      <c r="A353" s="966">
        <v>93611</v>
      </c>
      <c r="B353" s="967" t="s">
        <v>2969</v>
      </c>
      <c r="C353" s="968">
        <v>6.9544000000000003E-3</v>
      </c>
      <c r="D353" s="968">
        <v>6.9325000000000003E-3</v>
      </c>
      <c r="E353" s="1007">
        <v>3250733</v>
      </c>
      <c r="F353" s="1010">
        <v>14713087</v>
      </c>
      <c r="G353" s="969">
        <v>10624397</v>
      </c>
      <c r="H353" s="969"/>
      <c r="I353" s="970">
        <v>612064</v>
      </c>
      <c r="J353" s="971">
        <v>2579617</v>
      </c>
      <c r="K353" s="970">
        <v>1517311</v>
      </c>
      <c r="L353" s="969">
        <v>61146</v>
      </c>
      <c r="M353" s="969"/>
      <c r="N353" s="970">
        <v>300743</v>
      </c>
      <c r="O353" s="970">
        <v>0</v>
      </c>
      <c r="P353" s="970">
        <v>0</v>
      </c>
      <c r="Q353" s="969">
        <v>153061</v>
      </c>
      <c r="R353" s="969"/>
      <c r="S353" s="970">
        <v>3580431</v>
      </c>
      <c r="T353" s="972">
        <v>-98066</v>
      </c>
      <c r="U353" s="972">
        <v>3482365</v>
      </c>
    </row>
    <row r="354" spans="1:21" x14ac:dyDescent="0.25">
      <c r="A354" s="966">
        <v>93617</v>
      </c>
      <c r="B354" s="967" t="s">
        <v>2970</v>
      </c>
      <c r="C354" s="968">
        <v>8.2799999999999993E-5</v>
      </c>
      <c r="D354" s="968">
        <v>9.5000000000000005E-5</v>
      </c>
      <c r="E354" s="1007">
        <v>49100</v>
      </c>
      <c r="F354" s="1010">
        <v>201622</v>
      </c>
      <c r="G354" s="969">
        <v>126495</v>
      </c>
      <c r="H354" s="969"/>
      <c r="I354" s="970">
        <v>7287</v>
      </c>
      <c r="J354" s="971">
        <v>30714</v>
      </c>
      <c r="K354" s="970">
        <v>18065</v>
      </c>
      <c r="L354" s="969">
        <v>19622</v>
      </c>
      <c r="M354" s="969"/>
      <c r="N354" s="970">
        <v>3581</v>
      </c>
      <c r="O354" s="970">
        <v>0</v>
      </c>
      <c r="P354" s="970">
        <v>0</v>
      </c>
      <c r="Q354" s="969">
        <v>0</v>
      </c>
      <c r="R354" s="969"/>
      <c r="S354" s="970">
        <v>42629</v>
      </c>
      <c r="T354" s="972">
        <v>10180</v>
      </c>
      <c r="U354" s="972">
        <v>52809</v>
      </c>
    </row>
    <row r="355" spans="1:21" x14ac:dyDescent="0.25">
      <c r="A355" s="966">
        <v>93618</v>
      </c>
      <c r="B355" s="967" t="s">
        <v>2971</v>
      </c>
      <c r="C355" s="968">
        <v>1.11E-5</v>
      </c>
      <c r="D355" s="968">
        <v>1.17E-5</v>
      </c>
      <c r="E355" s="1007">
        <v>23982</v>
      </c>
      <c r="F355" s="1010">
        <v>24831</v>
      </c>
      <c r="G355" s="969">
        <v>16958</v>
      </c>
      <c r="H355" s="969"/>
      <c r="I355" s="970">
        <v>977</v>
      </c>
      <c r="J355" s="971">
        <v>4117</v>
      </c>
      <c r="K355" s="970">
        <v>2422</v>
      </c>
      <c r="L355" s="969">
        <v>33625</v>
      </c>
      <c r="M355" s="969"/>
      <c r="N355" s="970">
        <v>480</v>
      </c>
      <c r="O355" s="970">
        <v>0</v>
      </c>
      <c r="P355" s="970">
        <v>0</v>
      </c>
      <c r="Q355" s="969">
        <v>0</v>
      </c>
      <c r="R355" s="969"/>
      <c r="S355" s="970">
        <v>5715</v>
      </c>
      <c r="T355" s="972">
        <v>12182</v>
      </c>
      <c r="U355" s="972">
        <v>17897</v>
      </c>
    </row>
    <row r="356" spans="1:21" x14ac:dyDescent="0.25">
      <c r="A356" s="966">
        <v>93621</v>
      </c>
      <c r="B356" s="967" t="s">
        <v>2972</v>
      </c>
      <c r="C356" s="968">
        <v>9.5719999999999996E-4</v>
      </c>
      <c r="D356" s="968">
        <v>8.5320000000000003E-4</v>
      </c>
      <c r="E356" s="1007">
        <v>412639</v>
      </c>
      <c r="F356" s="1010">
        <v>1810776</v>
      </c>
      <c r="G356" s="969">
        <v>1462336</v>
      </c>
      <c r="H356" s="969"/>
      <c r="I356" s="970">
        <v>84244</v>
      </c>
      <c r="J356" s="971">
        <v>355057</v>
      </c>
      <c r="K356" s="970">
        <v>208842</v>
      </c>
      <c r="L356" s="969">
        <v>48292</v>
      </c>
      <c r="M356" s="969"/>
      <c r="N356" s="970">
        <v>41394</v>
      </c>
      <c r="O356" s="970">
        <v>0</v>
      </c>
      <c r="P356" s="970">
        <v>0</v>
      </c>
      <c r="Q356" s="969">
        <v>79767</v>
      </c>
      <c r="R356" s="969"/>
      <c r="S356" s="970">
        <v>492809</v>
      </c>
      <c r="T356" s="972">
        <v>-26570</v>
      </c>
      <c r="U356" s="972">
        <f>466238+1</f>
        <v>466239</v>
      </c>
    </row>
    <row r="357" spans="1:21" x14ac:dyDescent="0.25">
      <c r="A357" s="966">
        <v>93623</v>
      </c>
      <c r="B357" s="967" t="s">
        <v>2973</v>
      </c>
      <c r="C357" s="968">
        <v>1.2799999999999999E-5</v>
      </c>
      <c r="D357" s="968">
        <v>1.2500000000000001E-5</v>
      </c>
      <c r="E357" s="1007">
        <v>8720</v>
      </c>
      <c r="F357" s="1010">
        <v>26529</v>
      </c>
      <c r="G357" s="969">
        <v>19555</v>
      </c>
      <c r="H357" s="969"/>
      <c r="I357" s="970">
        <v>1127</v>
      </c>
      <c r="J357" s="971">
        <v>4748</v>
      </c>
      <c r="K357" s="970">
        <v>2793</v>
      </c>
      <c r="L357" s="969">
        <v>5501</v>
      </c>
      <c r="M357" s="969"/>
      <c r="N357" s="970">
        <v>554</v>
      </c>
      <c r="O357" s="970">
        <v>0</v>
      </c>
      <c r="P357" s="970">
        <v>0</v>
      </c>
      <c r="Q357" s="969">
        <v>1</v>
      </c>
      <c r="R357" s="969"/>
      <c r="S357" s="970">
        <v>6590</v>
      </c>
      <c r="T357" s="972">
        <v>1908</v>
      </c>
      <c r="U357" s="972">
        <v>8498</v>
      </c>
    </row>
    <row r="358" spans="1:21" x14ac:dyDescent="0.25">
      <c r="A358" s="966">
        <v>93631</v>
      </c>
      <c r="B358" s="967" t="s">
        <v>2974</v>
      </c>
      <c r="C358" s="968">
        <v>2.252E-4</v>
      </c>
      <c r="D358" s="968">
        <v>2.3440000000000001E-4</v>
      </c>
      <c r="E358" s="1007">
        <v>100501</v>
      </c>
      <c r="F358" s="1010">
        <v>497475</v>
      </c>
      <c r="G358" s="969">
        <v>344043</v>
      </c>
      <c r="H358" s="969"/>
      <c r="I358" s="970">
        <v>19820</v>
      </c>
      <c r="J358" s="971">
        <v>83534</v>
      </c>
      <c r="K358" s="970">
        <v>49134</v>
      </c>
      <c r="L358" s="969">
        <v>435</v>
      </c>
      <c r="M358" s="969"/>
      <c r="N358" s="970">
        <v>9739</v>
      </c>
      <c r="O358" s="970">
        <v>0</v>
      </c>
      <c r="P358" s="970">
        <v>0</v>
      </c>
      <c r="Q358" s="969">
        <v>20459</v>
      </c>
      <c r="R358" s="969"/>
      <c r="S358" s="970">
        <v>115943</v>
      </c>
      <c r="T358" s="972">
        <v>-7001</v>
      </c>
      <c r="U358" s="972">
        <v>108942</v>
      </c>
    </row>
    <row r="359" spans="1:21" x14ac:dyDescent="0.25">
      <c r="A359" s="966">
        <v>93641</v>
      </c>
      <c r="B359" s="967" t="s">
        <v>2975</v>
      </c>
      <c r="C359" s="968">
        <v>4.0450000000000002E-4</v>
      </c>
      <c r="D359" s="968">
        <v>4.3550000000000001E-4</v>
      </c>
      <c r="E359" s="1007">
        <v>197852</v>
      </c>
      <c r="F359" s="1010">
        <v>924277</v>
      </c>
      <c r="G359" s="969">
        <v>617964</v>
      </c>
      <c r="H359" s="969"/>
      <c r="I359" s="970">
        <v>35600</v>
      </c>
      <c r="J359" s="971">
        <v>150042</v>
      </c>
      <c r="K359" s="970">
        <v>88254</v>
      </c>
      <c r="L359" s="969">
        <v>14033</v>
      </c>
      <c r="M359" s="969"/>
      <c r="N359" s="970">
        <v>17493</v>
      </c>
      <c r="O359" s="970">
        <v>0</v>
      </c>
      <c r="P359" s="970">
        <v>0</v>
      </c>
      <c r="Q359" s="969">
        <v>11062</v>
      </c>
      <c r="R359" s="969"/>
      <c r="S359" s="970">
        <v>208254</v>
      </c>
      <c r="T359" s="972">
        <v>4772</v>
      </c>
      <c r="U359" s="972">
        <v>213026</v>
      </c>
    </row>
    <row r="360" spans="1:21" x14ac:dyDescent="0.25">
      <c r="A360" s="966">
        <v>93647</v>
      </c>
      <c r="B360" s="967" t="s">
        <v>2976</v>
      </c>
      <c r="C360" s="968">
        <v>6.0000000000000002E-6</v>
      </c>
      <c r="D360" s="968">
        <v>6.1E-6</v>
      </c>
      <c r="E360" s="1007">
        <v>9062</v>
      </c>
      <c r="F360" s="1010">
        <v>12946</v>
      </c>
      <c r="G360" s="969">
        <v>9166</v>
      </c>
      <c r="H360" s="969"/>
      <c r="I360" s="970">
        <v>528</v>
      </c>
      <c r="J360" s="971">
        <v>2226</v>
      </c>
      <c r="K360" s="970">
        <v>1309</v>
      </c>
      <c r="L360" s="969">
        <v>12039</v>
      </c>
      <c r="M360" s="969"/>
      <c r="N360" s="970">
        <v>259</v>
      </c>
      <c r="O360" s="970">
        <v>0</v>
      </c>
      <c r="P360" s="970">
        <v>0</v>
      </c>
      <c r="Q360" s="969">
        <v>0</v>
      </c>
      <c r="R360" s="969"/>
      <c r="S360" s="970">
        <v>3089</v>
      </c>
      <c r="T360" s="972">
        <v>4642</v>
      </c>
      <c r="U360" s="972">
        <v>7731</v>
      </c>
    </row>
    <row r="361" spans="1:21" x14ac:dyDescent="0.25">
      <c r="A361" s="966">
        <v>93651</v>
      </c>
      <c r="B361" s="967" t="s">
        <v>2977</v>
      </c>
      <c r="C361" s="968">
        <v>4.3800000000000002E-4</v>
      </c>
      <c r="D361" s="968">
        <v>4.282E-4</v>
      </c>
      <c r="E361" s="1007">
        <v>185953</v>
      </c>
      <c r="F361" s="1010">
        <v>908784</v>
      </c>
      <c r="G361" s="969">
        <v>669143</v>
      </c>
      <c r="H361" s="969"/>
      <c r="I361" s="970">
        <v>38549</v>
      </c>
      <c r="J361" s="971">
        <v>162468</v>
      </c>
      <c r="K361" s="970">
        <v>95563</v>
      </c>
      <c r="L361" s="969">
        <v>5830</v>
      </c>
      <c r="M361" s="969"/>
      <c r="N361" s="970">
        <v>18941</v>
      </c>
      <c r="O361" s="970">
        <v>0</v>
      </c>
      <c r="P361" s="970">
        <v>0</v>
      </c>
      <c r="Q361" s="969">
        <v>13910</v>
      </c>
      <c r="R361" s="969"/>
      <c r="S361" s="970">
        <v>225502</v>
      </c>
      <c r="T361" s="972">
        <v>-1521</v>
      </c>
      <c r="U361" s="972">
        <f>223980+1</f>
        <v>223981</v>
      </c>
    </row>
    <row r="362" spans="1:21" x14ac:dyDescent="0.25">
      <c r="A362" s="966">
        <v>93661</v>
      </c>
      <c r="B362" s="967" t="s">
        <v>2978</v>
      </c>
      <c r="C362" s="968">
        <v>1.3410000000000001E-4</v>
      </c>
      <c r="D362" s="968">
        <v>1.3420000000000001E-4</v>
      </c>
      <c r="E362" s="1007">
        <v>66084</v>
      </c>
      <c r="F362" s="1010">
        <v>284817</v>
      </c>
      <c r="G362" s="969">
        <v>204868</v>
      </c>
      <c r="H362" s="969"/>
      <c r="I362" s="970">
        <v>11802</v>
      </c>
      <c r="J362" s="971">
        <v>49742</v>
      </c>
      <c r="K362" s="970">
        <v>29258</v>
      </c>
      <c r="L362" s="969">
        <v>11769</v>
      </c>
      <c r="M362" s="969"/>
      <c r="N362" s="970">
        <v>5799</v>
      </c>
      <c r="O362" s="970">
        <v>0</v>
      </c>
      <c r="P362" s="970">
        <v>0</v>
      </c>
      <c r="Q362" s="969">
        <v>0</v>
      </c>
      <c r="R362" s="969"/>
      <c r="S362" s="970">
        <v>69041</v>
      </c>
      <c r="T362" s="972">
        <v>4842</v>
      </c>
      <c r="U362" s="972">
        <v>73883</v>
      </c>
    </row>
    <row r="363" spans="1:21" x14ac:dyDescent="0.25">
      <c r="A363" s="966">
        <v>93671</v>
      </c>
      <c r="B363" s="967" t="s">
        <v>2979</v>
      </c>
      <c r="C363" s="968">
        <v>3.5530000000000002E-4</v>
      </c>
      <c r="D363" s="968">
        <v>3.6900000000000002E-4</v>
      </c>
      <c r="E363" s="1007">
        <v>172672</v>
      </c>
      <c r="F363" s="1010">
        <v>783142</v>
      </c>
      <c r="G363" s="969">
        <v>542800</v>
      </c>
      <c r="H363" s="969"/>
      <c r="I363" s="970">
        <v>31270</v>
      </c>
      <c r="J363" s="971">
        <v>131793</v>
      </c>
      <c r="K363" s="970">
        <v>77519</v>
      </c>
      <c r="L363" s="969">
        <v>38666</v>
      </c>
      <c r="M363" s="969"/>
      <c r="N363" s="970">
        <v>15365</v>
      </c>
      <c r="O363" s="970">
        <v>0</v>
      </c>
      <c r="P363" s="970">
        <v>0</v>
      </c>
      <c r="Q363" s="969">
        <v>2899</v>
      </c>
      <c r="R363" s="969"/>
      <c r="S363" s="970">
        <v>182924</v>
      </c>
      <c r="T363" s="972">
        <v>28467</v>
      </c>
      <c r="U363" s="972">
        <v>211391</v>
      </c>
    </row>
    <row r="364" spans="1:21" x14ac:dyDescent="0.25">
      <c r="A364" s="966">
        <v>93677</v>
      </c>
      <c r="B364" s="967" t="s">
        <v>1498</v>
      </c>
      <c r="C364" s="968">
        <v>0</v>
      </c>
      <c r="D364" s="968">
        <v>0</v>
      </c>
      <c r="E364" s="1007">
        <v>0</v>
      </c>
      <c r="F364" s="1010">
        <v>0</v>
      </c>
      <c r="G364" s="969">
        <v>0</v>
      </c>
      <c r="H364" s="969"/>
      <c r="I364" s="970">
        <v>0</v>
      </c>
      <c r="J364" s="971">
        <v>0</v>
      </c>
      <c r="K364" s="970">
        <v>0</v>
      </c>
      <c r="L364" s="969">
        <v>0</v>
      </c>
      <c r="M364" s="969"/>
      <c r="N364" s="970">
        <v>0</v>
      </c>
      <c r="O364" s="970">
        <v>0</v>
      </c>
      <c r="P364" s="970">
        <v>0</v>
      </c>
      <c r="Q364" s="969">
        <v>718</v>
      </c>
      <c r="R364" s="969"/>
      <c r="S364" s="970">
        <v>0</v>
      </c>
      <c r="T364" s="972">
        <v>-725</v>
      </c>
      <c r="U364" s="972">
        <v>-725</v>
      </c>
    </row>
    <row r="365" spans="1:21" x14ac:dyDescent="0.25">
      <c r="A365" s="966">
        <v>93681</v>
      </c>
      <c r="B365" s="967" t="s">
        <v>2980</v>
      </c>
      <c r="C365" s="968">
        <v>1.1179999999999999E-4</v>
      </c>
      <c r="D365" s="968">
        <v>1.1010000000000001E-4</v>
      </c>
      <c r="E365" s="1007">
        <v>48115</v>
      </c>
      <c r="F365" s="1010">
        <v>233669</v>
      </c>
      <c r="G365" s="969">
        <v>170799</v>
      </c>
      <c r="H365" s="969"/>
      <c r="I365" s="970">
        <v>9840</v>
      </c>
      <c r="J365" s="971">
        <v>41470</v>
      </c>
      <c r="K365" s="970">
        <v>24393</v>
      </c>
      <c r="L365" s="969">
        <v>264</v>
      </c>
      <c r="M365" s="969"/>
      <c r="N365" s="970">
        <v>4835</v>
      </c>
      <c r="O365" s="970">
        <v>0</v>
      </c>
      <c r="P365" s="970">
        <v>0</v>
      </c>
      <c r="Q365" s="969">
        <v>12629</v>
      </c>
      <c r="R365" s="969"/>
      <c r="S365" s="970">
        <v>57560</v>
      </c>
      <c r="T365" s="972">
        <v>-6498</v>
      </c>
      <c r="U365" s="972">
        <f>51061+1</f>
        <v>51062</v>
      </c>
    </row>
    <row r="366" spans="1:21" x14ac:dyDescent="0.25">
      <c r="A366" s="966">
        <v>93691</v>
      </c>
      <c r="B366" s="967" t="s">
        <v>2981</v>
      </c>
      <c r="C366" s="968">
        <v>1.0858E-3</v>
      </c>
      <c r="D366" s="968">
        <v>1.1251E-3</v>
      </c>
      <c r="E366" s="1007">
        <v>464182</v>
      </c>
      <c r="F366" s="1010">
        <v>2387839</v>
      </c>
      <c r="G366" s="969">
        <v>1658802</v>
      </c>
      <c r="H366" s="969"/>
      <c r="I366" s="970">
        <v>95562</v>
      </c>
      <c r="J366" s="971">
        <v>402759</v>
      </c>
      <c r="K366" s="970">
        <v>236900</v>
      </c>
      <c r="L366" s="969">
        <v>0</v>
      </c>
      <c r="M366" s="969"/>
      <c r="N366" s="970">
        <v>46955</v>
      </c>
      <c r="O366" s="970">
        <v>0</v>
      </c>
      <c r="P366" s="970">
        <v>0</v>
      </c>
      <c r="Q366" s="969">
        <v>115438</v>
      </c>
      <c r="R366" s="969"/>
      <c r="S366" s="970">
        <v>559018</v>
      </c>
      <c r="T366" s="972">
        <v>-42411</v>
      </c>
      <c r="U366" s="972">
        <v>516607</v>
      </c>
    </row>
    <row r="367" spans="1:21" x14ac:dyDescent="0.25">
      <c r="A367" s="966">
        <v>93701</v>
      </c>
      <c r="B367" s="967" t="s">
        <v>3670</v>
      </c>
      <c r="C367" s="968">
        <v>4.5800000000000002E-4</v>
      </c>
      <c r="D367" s="968">
        <v>4.6200000000000001E-4</v>
      </c>
      <c r="E367" s="1007">
        <v>201820</v>
      </c>
      <c r="F367" s="1010">
        <v>0</v>
      </c>
      <c r="G367" s="969">
        <v>699697</v>
      </c>
      <c r="H367" s="969"/>
      <c r="I367" s="970">
        <v>40309</v>
      </c>
      <c r="J367" s="971">
        <v>169888</v>
      </c>
      <c r="K367" s="970">
        <v>99926</v>
      </c>
      <c r="L367" s="969">
        <v>7923</v>
      </c>
      <c r="M367" s="969"/>
      <c r="N367" s="970">
        <v>19806</v>
      </c>
      <c r="O367" s="970">
        <v>0</v>
      </c>
      <c r="P367" s="970">
        <v>0</v>
      </c>
      <c r="Q367" s="969">
        <v>17631</v>
      </c>
      <c r="R367" s="969"/>
      <c r="S367" s="970">
        <v>235799</v>
      </c>
      <c r="T367" s="972">
        <v>566</v>
      </c>
      <c r="U367" s="972">
        <v>236365</v>
      </c>
    </row>
    <row r="368" spans="1:21" x14ac:dyDescent="0.25">
      <c r="A368" s="966">
        <v>93704</v>
      </c>
      <c r="B368" s="967" t="s">
        <v>2983</v>
      </c>
      <c r="C368" s="968">
        <v>3.0000000000000001E-6</v>
      </c>
      <c r="D368" s="968">
        <v>3.3000000000000002E-6</v>
      </c>
      <c r="E368" s="1007">
        <v>1962</v>
      </c>
      <c r="F368" s="1010">
        <v>7004</v>
      </c>
      <c r="G368" s="969">
        <v>4583</v>
      </c>
      <c r="H368" s="969"/>
      <c r="I368" s="970">
        <v>264</v>
      </c>
      <c r="J368" s="971">
        <v>1113</v>
      </c>
      <c r="K368" s="970">
        <v>655</v>
      </c>
      <c r="L368" s="969">
        <v>578</v>
      </c>
      <c r="M368" s="969"/>
      <c r="N368" s="970">
        <v>130</v>
      </c>
      <c r="O368" s="970">
        <v>0</v>
      </c>
      <c r="P368" s="970">
        <v>0</v>
      </c>
      <c r="Q368" s="969">
        <v>49</v>
      </c>
      <c r="R368" s="969"/>
      <c r="S368" s="970">
        <v>1545</v>
      </c>
      <c r="T368" s="972">
        <v>136</v>
      </c>
      <c r="U368" s="972">
        <v>1681</v>
      </c>
    </row>
    <row r="369" spans="1:21" x14ac:dyDescent="0.25">
      <c r="A369" s="966">
        <v>93801</v>
      </c>
      <c r="B369" s="967" t="s">
        <v>2984</v>
      </c>
      <c r="C369" s="968">
        <v>4.7889999999999999E-4</v>
      </c>
      <c r="D369" s="968">
        <v>5.4180000000000005E-4</v>
      </c>
      <c r="E369" s="1007">
        <v>205984</v>
      </c>
      <c r="F369" s="1010">
        <v>1149881</v>
      </c>
      <c r="G369" s="969">
        <v>731627</v>
      </c>
      <c r="H369" s="969"/>
      <c r="I369" s="970">
        <v>42148</v>
      </c>
      <c r="J369" s="971">
        <v>177639</v>
      </c>
      <c r="K369" s="970">
        <v>104486</v>
      </c>
      <c r="L369" s="969">
        <v>113630</v>
      </c>
      <c r="M369" s="969"/>
      <c r="N369" s="970">
        <v>20710</v>
      </c>
      <c r="O369" s="970">
        <v>0</v>
      </c>
      <c r="P369" s="970">
        <v>0</v>
      </c>
      <c r="Q369" s="969">
        <v>54734</v>
      </c>
      <c r="R369" s="969"/>
      <c r="S369" s="970">
        <v>246559</v>
      </c>
      <c r="T369" s="972">
        <v>28052</v>
      </c>
      <c r="U369" s="972">
        <v>274611</v>
      </c>
    </row>
    <row r="370" spans="1:21" x14ac:dyDescent="0.25">
      <c r="A370" s="966">
        <v>93803</v>
      </c>
      <c r="B370" s="967" t="s">
        <v>2985</v>
      </c>
      <c r="C370" s="968">
        <v>1.1900000000000001E-4</v>
      </c>
      <c r="D370" s="968">
        <v>1.4469999999999999E-4</v>
      </c>
      <c r="E370" s="1007">
        <v>50573</v>
      </c>
      <c r="F370" s="1010">
        <v>307102</v>
      </c>
      <c r="G370" s="969">
        <v>181799</v>
      </c>
      <c r="H370" s="969"/>
      <c r="I370" s="970">
        <v>10473</v>
      </c>
      <c r="J370" s="971">
        <v>44141</v>
      </c>
      <c r="K370" s="970">
        <v>25963</v>
      </c>
      <c r="L370" s="969">
        <v>0</v>
      </c>
      <c r="M370" s="969"/>
      <c r="N370" s="970">
        <v>5146</v>
      </c>
      <c r="O370" s="970">
        <v>0</v>
      </c>
      <c r="P370" s="970">
        <v>0</v>
      </c>
      <c r="Q370" s="969">
        <v>42594</v>
      </c>
      <c r="R370" s="969"/>
      <c r="S370" s="970">
        <v>61266</v>
      </c>
      <c r="T370" s="972">
        <v>-17510</v>
      </c>
      <c r="U370" s="972">
        <v>43756</v>
      </c>
    </row>
    <row r="371" spans="1:21" x14ac:dyDescent="0.25">
      <c r="A371" s="966">
        <v>93806</v>
      </c>
      <c r="B371" s="967" t="s">
        <v>2986</v>
      </c>
      <c r="C371" s="968">
        <v>9.3900000000000006E-5</v>
      </c>
      <c r="D371" s="968">
        <v>7.3700000000000002E-5</v>
      </c>
      <c r="E371" s="1007">
        <v>41336</v>
      </c>
      <c r="F371" s="1010">
        <v>156416</v>
      </c>
      <c r="G371" s="969">
        <v>143453</v>
      </c>
      <c r="H371" s="969"/>
      <c r="I371" s="970">
        <v>8264</v>
      </c>
      <c r="J371" s="971">
        <v>34831</v>
      </c>
      <c r="K371" s="970">
        <v>20487</v>
      </c>
      <c r="L371" s="969">
        <v>13283</v>
      </c>
      <c r="M371" s="969"/>
      <c r="N371" s="970">
        <v>4061</v>
      </c>
      <c r="O371" s="970">
        <v>0</v>
      </c>
      <c r="P371" s="970">
        <v>0</v>
      </c>
      <c r="Q371" s="969">
        <v>10049</v>
      </c>
      <c r="R371" s="969"/>
      <c r="S371" s="970">
        <v>48344</v>
      </c>
      <c r="T371" s="972">
        <v>-6121</v>
      </c>
      <c r="U371" s="972">
        <v>42223</v>
      </c>
    </row>
    <row r="372" spans="1:21" x14ac:dyDescent="0.25">
      <c r="A372" s="966">
        <v>93821</v>
      </c>
      <c r="B372" s="967" t="s">
        <v>2987</v>
      </c>
      <c r="C372" s="968">
        <v>2.9899999999999998E-5</v>
      </c>
      <c r="D372" s="968">
        <v>5.7200000000000001E-5</v>
      </c>
      <c r="E372" s="1007">
        <v>36177</v>
      </c>
      <c r="F372" s="1010">
        <v>121398</v>
      </c>
      <c r="G372" s="969">
        <v>45679</v>
      </c>
      <c r="H372" s="969"/>
      <c r="I372" s="970">
        <v>2632</v>
      </c>
      <c r="J372" s="971">
        <v>11090</v>
      </c>
      <c r="K372" s="970">
        <v>6524</v>
      </c>
      <c r="L372" s="969">
        <v>18424</v>
      </c>
      <c r="M372" s="969"/>
      <c r="N372" s="970">
        <v>1293</v>
      </c>
      <c r="O372" s="970">
        <v>0</v>
      </c>
      <c r="P372" s="970">
        <v>0</v>
      </c>
      <c r="Q372" s="969">
        <v>343</v>
      </c>
      <c r="R372" s="969"/>
      <c r="S372" s="970">
        <v>15394</v>
      </c>
      <c r="T372" s="972">
        <v>7633</v>
      </c>
      <c r="U372" s="972">
        <f>23026+1</f>
        <v>23027</v>
      </c>
    </row>
    <row r="373" spans="1:21" x14ac:dyDescent="0.25">
      <c r="A373" s="966">
        <v>93901</v>
      </c>
      <c r="B373" s="967" t="s">
        <v>2988</v>
      </c>
      <c r="C373" s="968">
        <v>1.7974E-3</v>
      </c>
      <c r="D373" s="968">
        <v>1.8059E-3</v>
      </c>
      <c r="E373" s="1007">
        <v>887170</v>
      </c>
      <c r="F373" s="1010">
        <v>3832725</v>
      </c>
      <c r="G373" s="969">
        <v>2745929</v>
      </c>
      <c r="H373" s="969"/>
      <c r="I373" s="970">
        <v>158191</v>
      </c>
      <c r="J373" s="971">
        <v>666715</v>
      </c>
      <c r="K373" s="970">
        <v>392157</v>
      </c>
      <c r="L373" s="969">
        <v>89069</v>
      </c>
      <c r="M373" s="969"/>
      <c r="N373" s="970">
        <v>77729</v>
      </c>
      <c r="O373" s="970">
        <v>0</v>
      </c>
      <c r="P373" s="970">
        <v>0</v>
      </c>
      <c r="Q373" s="969">
        <v>0</v>
      </c>
      <c r="R373" s="969"/>
      <c r="S373" s="970">
        <v>925381</v>
      </c>
      <c r="T373" s="972">
        <v>32657</v>
      </c>
      <c r="U373" s="972">
        <v>958038</v>
      </c>
    </row>
    <row r="374" spans="1:21" x14ac:dyDescent="0.25">
      <c r="A374" s="966">
        <v>93904</v>
      </c>
      <c r="B374" s="967" t="s">
        <v>2989</v>
      </c>
      <c r="C374" s="968">
        <v>3.0000000000000001E-5</v>
      </c>
      <c r="D374" s="968">
        <v>2.4700000000000001E-5</v>
      </c>
      <c r="E374" s="1007">
        <v>17302</v>
      </c>
      <c r="F374" s="1010">
        <v>52422</v>
      </c>
      <c r="G374" s="969">
        <v>45832</v>
      </c>
      <c r="H374" s="969"/>
      <c r="I374" s="970">
        <v>2640</v>
      </c>
      <c r="J374" s="971">
        <v>11128</v>
      </c>
      <c r="K374" s="970">
        <v>6545</v>
      </c>
      <c r="L374" s="969">
        <v>9710</v>
      </c>
      <c r="M374" s="969"/>
      <c r="N374" s="970">
        <v>1297</v>
      </c>
      <c r="O374" s="970">
        <v>0</v>
      </c>
      <c r="P374" s="970">
        <v>0</v>
      </c>
      <c r="Q374" s="969">
        <v>28</v>
      </c>
      <c r="R374" s="969"/>
      <c r="S374" s="970">
        <v>15445</v>
      </c>
      <c r="T374" s="972">
        <v>3144</v>
      </c>
      <c r="U374" s="972">
        <v>18589</v>
      </c>
    </row>
    <row r="375" spans="1:21" x14ac:dyDescent="0.25">
      <c r="A375" s="966">
        <v>93906</v>
      </c>
      <c r="B375" s="967" t="s">
        <v>2990</v>
      </c>
      <c r="C375" s="968">
        <v>3.3882000000000001E-3</v>
      </c>
      <c r="D375" s="968">
        <v>3.4513E-3</v>
      </c>
      <c r="E375" s="1007">
        <v>1486051</v>
      </c>
      <c r="F375" s="1010">
        <v>7324815</v>
      </c>
      <c r="G375" s="969">
        <v>5176231</v>
      </c>
      <c r="H375" s="969"/>
      <c r="I375" s="970">
        <v>298199</v>
      </c>
      <c r="J375" s="971">
        <v>1256796</v>
      </c>
      <c r="K375" s="970">
        <v>739237</v>
      </c>
      <c r="L375" s="969">
        <v>14983</v>
      </c>
      <c r="M375" s="969"/>
      <c r="N375" s="970">
        <v>146523</v>
      </c>
      <c r="O375" s="970">
        <v>0</v>
      </c>
      <c r="P375" s="970">
        <v>0</v>
      </c>
      <c r="Q375" s="969">
        <v>222323</v>
      </c>
      <c r="R375" s="969"/>
      <c r="S375" s="970">
        <v>1744394</v>
      </c>
      <c r="T375" s="972">
        <v>-70525</v>
      </c>
      <c r="U375" s="972">
        <v>1673869</v>
      </c>
    </row>
    <row r="376" spans="1:21" x14ac:dyDescent="0.25">
      <c r="A376" s="966">
        <v>93908</v>
      </c>
      <c r="B376" s="967" t="s">
        <v>3671</v>
      </c>
      <c r="C376" s="968">
        <v>5.1219999999999998E-4</v>
      </c>
      <c r="D376" s="968">
        <v>5.0239999999999996E-4</v>
      </c>
      <c r="E376" s="1007">
        <v>237114</v>
      </c>
      <c r="F376" s="1010">
        <v>0</v>
      </c>
      <c r="G376" s="969">
        <v>782500</v>
      </c>
      <c r="H376" s="969"/>
      <c r="I376" s="970">
        <v>45079</v>
      </c>
      <c r="J376" s="971">
        <v>189992</v>
      </c>
      <c r="K376" s="970">
        <v>111752</v>
      </c>
      <c r="L376" s="969">
        <v>12340</v>
      </c>
      <c r="M376" s="969"/>
      <c r="N376" s="970">
        <v>22150</v>
      </c>
      <c r="O376" s="970">
        <v>0</v>
      </c>
      <c r="P376" s="970">
        <v>0</v>
      </c>
      <c r="Q376" s="969">
        <v>16479</v>
      </c>
      <c r="R376" s="969"/>
      <c r="S376" s="970">
        <v>263703</v>
      </c>
      <c r="T376" s="972">
        <v>-2302</v>
      </c>
      <c r="U376" s="972">
        <v>261401</v>
      </c>
    </row>
    <row r="377" spans="1:21" x14ac:dyDescent="0.25">
      <c r="A377" s="966">
        <v>93910</v>
      </c>
      <c r="B377" s="967" t="s">
        <v>2992</v>
      </c>
      <c r="C377" s="968">
        <v>2.786E-4</v>
      </c>
      <c r="D377" s="968">
        <v>2.9129999999999998E-4</v>
      </c>
      <c r="E377" s="1007">
        <v>117578</v>
      </c>
      <c r="F377" s="1010">
        <v>618236</v>
      </c>
      <c r="G377" s="969">
        <v>425624</v>
      </c>
      <c r="H377" s="969"/>
      <c r="I377" s="970">
        <v>24520</v>
      </c>
      <c r="J377" s="971">
        <v>103342</v>
      </c>
      <c r="K377" s="970">
        <v>60785</v>
      </c>
      <c r="L377" s="969">
        <v>0</v>
      </c>
      <c r="M377" s="969"/>
      <c r="N377" s="970">
        <v>12048</v>
      </c>
      <c r="O377" s="970">
        <v>0</v>
      </c>
      <c r="P377" s="970">
        <v>0</v>
      </c>
      <c r="Q377" s="969">
        <v>34002</v>
      </c>
      <c r="R377" s="969"/>
      <c r="S377" s="970">
        <v>143436</v>
      </c>
      <c r="T377" s="972">
        <v>-14513</v>
      </c>
      <c r="U377" s="972">
        <v>128923</v>
      </c>
    </row>
    <row r="378" spans="1:21" x14ac:dyDescent="0.25">
      <c r="A378" s="966">
        <v>93911</v>
      </c>
      <c r="B378" s="967" t="s">
        <v>2993</v>
      </c>
      <c r="C378" s="968">
        <v>6.3429999999999997E-4</v>
      </c>
      <c r="D378" s="968">
        <v>6.9890000000000002E-4</v>
      </c>
      <c r="E378" s="1007">
        <v>301989</v>
      </c>
      <c r="F378" s="1010">
        <v>1483300</v>
      </c>
      <c r="G378" s="969">
        <v>969035</v>
      </c>
      <c r="H378" s="969"/>
      <c r="I378" s="970">
        <v>55825</v>
      </c>
      <c r="J378" s="971">
        <v>235283</v>
      </c>
      <c r="K378" s="970">
        <v>138392</v>
      </c>
      <c r="L378" s="969">
        <v>13175</v>
      </c>
      <c r="M378" s="969"/>
      <c r="N378" s="970">
        <v>27430</v>
      </c>
      <c r="O378" s="970">
        <v>0</v>
      </c>
      <c r="P378" s="970">
        <v>0</v>
      </c>
      <c r="Q378" s="969">
        <v>54353</v>
      </c>
      <c r="R378" s="969"/>
      <c r="S378" s="970">
        <v>326566</v>
      </c>
      <c r="T378" s="972">
        <v>-6922</v>
      </c>
      <c r="U378" s="972">
        <v>319644</v>
      </c>
    </row>
    <row r="379" spans="1:21" x14ac:dyDescent="0.25">
      <c r="A379" s="966">
        <v>93913</v>
      </c>
      <c r="B379" s="967" t="s">
        <v>2994</v>
      </c>
      <c r="C379" s="968">
        <v>5.8799999999999999E-5</v>
      </c>
      <c r="D379" s="968">
        <v>6.2600000000000004E-5</v>
      </c>
      <c r="E379" s="1007">
        <v>29910</v>
      </c>
      <c r="F379" s="1010">
        <v>132858</v>
      </c>
      <c r="G379" s="969">
        <v>89830</v>
      </c>
      <c r="H379" s="969"/>
      <c r="I379" s="970">
        <v>5175</v>
      </c>
      <c r="J379" s="971">
        <v>21810</v>
      </c>
      <c r="K379" s="970">
        <v>12829</v>
      </c>
      <c r="L379" s="969">
        <v>2902</v>
      </c>
      <c r="M379" s="969"/>
      <c r="N379" s="970">
        <v>2543</v>
      </c>
      <c r="O379" s="970">
        <v>0</v>
      </c>
      <c r="P379" s="970">
        <v>0</v>
      </c>
      <c r="Q379" s="969">
        <v>1064</v>
      </c>
      <c r="R379" s="969"/>
      <c r="S379" s="970">
        <v>30273</v>
      </c>
      <c r="T379" s="972">
        <v>476</v>
      </c>
      <c r="U379" s="972">
        <v>30749</v>
      </c>
    </row>
    <row r="380" spans="1:21" x14ac:dyDescent="0.25">
      <c r="A380" s="966">
        <v>93914</v>
      </c>
      <c r="B380" s="967" t="s">
        <v>2995</v>
      </c>
      <c r="C380" s="968">
        <v>8.1000000000000004E-6</v>
      </c>
      <c r="D380" s="968">
        <v>9.0999999999999993E-6</v>
      </c>
      <c r="E380" s="1007">
        <v>6536</v>
      </c>
      <c r="F380" s="1010">
        <v>19313</v>
      </c>
      <c r="G380" s="969">
        <v>12375</v>
      </c>
      <c r="H380" s="969"/>
      <c r="I380" s="970">
        <v>713</v>
      </c>
      <c r="J380" s="971">
        <v>3005</v>
      </c>
      <c r="K380" s="970">
        <v>1767</v>
      </c>
      <c r="L380" s="969">
        <v>3568</v>
      </c>
      <c r="M380" s="969"/>
      <c r="N380" s="970">
        <v>350</v>
      </c>
      <c r="O380" s="970">
        <v>0</v>
      </c>
      <c r="P380" s="970">
        <v>0</v>
      </c>
      <c r="Q380" s="969">
        <v>0</v>
      </c>
      <c r="R380" s="969"/>
      <c r="S380" s="970">
        <v>4170</v>
      </c>
      <c r="T380" s="972">
        <v>1520</v>
      </c>
      <c r="U380" s="972">
        <v>5690</v>
      </c>
    </row>
    <row r="381" spans="1:21" x14ac:dyDescent="0.25">
      <c r="A381" s="966">
        <v>93921</v>
      </c>
      <c r="B381" s="967" t="s">
        <v>2996</v>
      </c>
      <c r="C381" s="968">
        <v>2.9020000000000001E-4</v>
      </c>
      <c r="D381" s="968">
        <v>2.7139999999999998E-4</v>
      </c>
      <c r="E381" s="1007">
        <v>126884</v>
      </c>
      <c r="F381" s="1010">
        <v>576002</v>
      </c>
      <c r="G381" s="969">
        <v>443345</v>
      </c>
      <c r="H381" s="969"/>
      <c r="I381" s="970">
        <v>25541</v>
      </c>
      <c r="J381" s="971">
        <v>107645</v>
      </c>
      <c r="K381" s="970">
        <v>63316</v>
      </c>
      <c r="L381" s="969">
        <v>16222</v>
      </c>
      <c r="M381" s="969"/>
      <c r="N381" s="970">
        <v>12550</v>
      </c>
      <c r="O381" s="970">
        <v>0</v>
      </c>
      <c r="P381" s="970">
        <v>0</v>
      </c>
      <c r="Q381" s="969">
        <v>5036</v>
      </c>
      <c r="R381" s="969"/>
      <c r="S381" s="970">
        <v>149408</v>
      </c>
      <c r="T381" s="972">
        <v>6326</v>
      </c>
      <c r="U381" s="972">
        <v>155734</v>
      </c>
    </row>
    <row r="382" spans="1:21" x14ac:dyDescent="0.25">
      <c r="A382" s="966">
        <v>93931</v>
      </c>
      <c r="B382" s="967" t="s">
        <v>2997</v>
      </c>
      <c r="C382" s="968">
        <v>5.0029999999999996E-4</v>
      </c>
      <c r="D382" s="968">
        <v>5.2260000000000002E-4</v>
      </c>
      <c r="E382" s="1007">
        <v>212623</v>
      </c>
      <c r="F382" s="1010">
        <v>1109132</v>
      </c>
      <c r="G382" s="969">
        <v>764320</v>
      </c>
      <c r="H382" s="969"/>
      <c r="I382" s="970">
        <v>44032</v>
      </c>
      <c r="J382" s="971">
        <v>185578</v>
      </c>
      <c r="K382" s="970">
        <v>109155</v>
      </c>
      <c r="L382" s="969">
        <v>107572</v>
      </c>
      <c r="M382" s="969"/>
      <c r="N382" s="970">
        <v>21635</v>
      </c>
      <c r="O382" s="970">
        <v>0</v>
      </c>
      <c r="P382" s="970">
        <v>0</v>
      </c>
      <c r="Q382" s="969">
        <v>39017</v>
      </c>
      <c r="R382" s="969"/>
      <c r="S382" s="970">
        <v>257576</v>
      </c>
      <c r="T382" s="972">
        <v>79129</v>
      </c>
      <c r="U382" s="972">
        <v>336705</v>
      </c>
    </row>
    <row r="383" spans="1:21" x14ac:dyDescent="0.25">
      <c r="A383" s="966">
        <v>94001</v>
      </c>
      <c r="B383" s="967" t="s">
        <v>2998</v>
      </c>
      <c r="C383" s="968">
        <v>9.209E-4</v>
      </c>
      <c r="D383" s="968">
        <v>9.0240000000000003E-4</v>
      </c>
      <c r="E383" s="1007">
        <v>430503</v>
      </c>
      <c r="F383" s="1010">
        <v>1915195</v>
      </c>
      <c r="G383" s="969">
        <v>1406880</v>
      </c>
      <c r="H383" s="969"/>
      <c r="I383" s="970">
        <v>81049</v>
      </c>
      <c r="J383" s="971">
        <v>341592</v>
      </c>
      <c r="K383" s="970">
        <v>200922</v>
      </c>
      <c r="L383" s="969">
        <v>45532</v>
      </c>
      <c r="M383" s="969"/>
      <c r="N383" s="970">
        <v>39824</v>
      </c>
      <c r="O383" s="970">
        <v>0</v>
      </c>
      <c r="P383" s="970">
        <v>0</v>
      </c>
      <c r="Q383" s="969">
        <v>27168</v>
      </c>
      <c r="R383" s="969"/>
      <c r="S383" s="970">
        <v>474120</v>
      </c>
      <c r="T383" s="972">
        <v>-12411</v>
      </c>
      <c r="U383" s="972">
        <v>461709</v>
      </c>
    </row>
    <row r="384" spans="1:21" x14ac:dyDescent="0.25">
      <c r="A384" s="966">
        <v>94002</v>
      </c>
      <c r="B384" s="967" t="s">
        <v>2999</v>
      </c>
      <c r="C384" s="968">
        <v>7.0999999999999998E-6</v>
      </c>
      <c r="D384" s="968">
        <v>7.6000000000000001E-6</v>
      </c>
      <c r="E384" s="1007">
        <v>4693</v>
      </c>
      <c r="F384" s="1010">
        <v>16130</v>
      </c>
      <c r="G384" s="969">
        <v>10847</v>
      </c>
      <c r="H384" s="969"/>
      <c r="I384" s="970">
        <v>625</v>
      </c>
      <c r="J384" s="971">
        <v>2633</v>
      </c>
      <c r="K384" s="970">
        <v>1549</v>
      </c>
      <c r="L384" s="969">
        <v>1428</v>
      </c>
      <c r="M384" s="969"/>
      <c r="N384" s="970">
        <v>307</v>
      </c>
      <c r="O384" s="970">
        <v>0</v>
      </c>
      <c r="P384" s="970">
        <v>0</v>
      </c>
      <c r="Q384" s="969">
        <v>214</v>
      </c>
      <c r="R384" s="969"/>
      <c r="S384" s="970">
        <v>3655</v>
      </c>
      <c r="T384" s="972">
        <v>237</v>
      </c>
      <c r="U384" s="972">
        <v>3892</v>
      </c>
    </row>
    <row r="385" spans="1:21" x14ac:dyDescent="0.25">
      <c r="A385" s="966">
        <v>94004</v>
      </c>
      <c r="B385" s="967" t="s">
        <v>3000</v>
      </c>
      <c r="C385" s="968">
        <v>7.3000000000000004E-6</v>
      </c>
      <c r="D385" s="968">
        <v>2.7999999999999999E-6</v>
      </c>
      <c r="E385" s="1007">
        <v>4145</v>
      </c>
      <c r="F385" s="1010">
        <v>5943</v>
      </c>
      <c r="G385" s="969">
        <v>11152</v>
      </c>
      <c r="H385" s="969"/>
      <c r="I385" s="970">
        <v>642</v>
      </c>
      <c r="J385" s="971">
        <v>2708</v>
      </c>
      <c r="K385" s="970">
        <v>1593</v>
      </c>
      <c r="L385" s="969">
        <v>4768</v>
      </c>
      <c r="M385" s="969"/>
      <c r="N385" s="970">
        <v>316</v>
      </c>
      <c r="O385" s="970">
        <v>0</v>
      </c>
      <c r="P385" s="970">
        <v>0</v>
      </c>
      <c r="Q385" s="969">
        <v>626</v>
      </c>
      <c r="R385" s="969"/>
      <c r="S385" s="970">
        <v>3758</v>
      </c>
      <c r="T385" s="972">
        <v>706</v>
      </c>
      <c r="U385" s="972">
        <v>4464</v>
      </c>
    </row>
    <row r="386" spans="1:21" x14ac:dyDescent="0.25">
      <c r="A386" s="966">
        <v>94005</v>
      </c>
      <c r="B386" s="967" t="s">
        <v>3001</v>
      </c>
      <c r="C386" s="968">
        <v>0</v>
      </c>
      <c r="D386" s="968">
        <v>5.4999999999999999E-6</v>
      </c>
      <c r="E386" s="1007">
        <v>560</v>
      </c>
      <c r="F386" s="1010">
        <v>11673</v>
      </c>
      <c r="G386" s="969">
        <v>0</v>
      </c>
      <c r="H386" s="969"/>
      <c r="I386" s="970">
        <v>0</v>
      </c>
      <c r="J386" s="971">
        <v>0</v>
      </c>
      <c r="K386" s="970">
        <v>0</v>
      </c>
      <c r="L386" s="969">
        <v>0</v>
      </c>
      <c r="M386" s="969"/>
      <c r="N386" s="970">
        <v>0</v>
      </c>
      <c r="O386" s="970">
        <v>0</v>
      </c>
      <c r="P386" s="970">
        <v>0</v>
      </c>
      <c r="Q386" s="969">
        <v>5864</v>
      </c>
      <c r="R386" s="969"/>
      <c r="S386" s="970">
        <v>0</v>
      </c>
      <c r="T386" s="972">
        <v>-1984</v>
      </c>
      <c r="U386" s="972">
        <v>-1984</v>
      </c>
    </row>
    <row r="387" spans="1:21" x14ac:dyDescent="0.25">
      <c r="A387" s="966">
        <v>94011</v>
      </c>
      <c r="B387" s="967" t="s">
        <v>3002</v>
      </c>
      <c r="C387" s="968">
        <v>2.3600000000000001E-5</v>
      </c>
      <c r="D387" s="968">
        <v>2.5599999999999999E-5</v>
      </c>
      <c r="E387" s="1007">
        <v>9233</v>
      </c>
      <c r="F387" s="1010">
        <v>54332</v>
      </c>
      <c r="G387" s="969">
        <v>36054</v>
      </c>
      <c r="H387" s="969"/>
      <c r="I387" s="970">
        <v>2077</v>
      </c>
      <c r="J387" s="971">
        <v>8754</v>
      </c>
      <c r="K387" s="970">
        <v>5149</v>
      </c>
      <c r="L387" s="969">
        <v>3216</v>
      </c>
      <c r="M387" s="969"/>
      <c r="N387" s="970">
        <v>1021</v>
      </c>
      <c r="O387" s="970">
        <v>0</v>
      </c>
      <c r="P387" s="970">
        <v>0</v>
      </c>
      <c r="Q387" s="969">
        <v>3156</v>
      </c>
      <c r="R387" s="969"/>
      <c r="S387" s="970">
        <v>12150</v>
      </c>
      <c r="T387" s="972">
        <v>-16</v>
      </c>
      <c r="U387" s="972">
        <v>12134</v>
      </c>
    </row>
    <row r="388" spans="1:21" x14ac:dyDescent="0.25">
      <c r="A388" s="966">
        <v>94021</v>
      </c>
      <c r="B388" s="967" t="s">
        <v>3003</v>
      </c>
      <c r="C388" s="968">
        <v>9.3399999999999993E-5</v>
      </c>
      <c r="D388" s="968">
        <v>8.1699999999999994E-5</v>
      </c>
      <c r="E388" s="1007">
        <v>47346</v>
      </c>
      <c r="F388" s="1010">
        <v>173395</v>
      </c>
      <c r="G388" s="969">
        <v>142689</v>
      </c>
      <c r="H388" s="969"/>
      <c r="I388" s="970">
        <v>8220</v>
      </c>
      <c r="J388" s="971">
        <v>34645</v>
      </c>
      <c r="K388" s="970">
        <v>20378</v>
      </c>
      <c r="L388" s="969">
        <v>20025</v>
      </c>
      <c r="M388" s="969"/>
      <c r="N388" s="970">
        <v>4039</v>
      </c>
      <c r="O388" s="970">
        <v>0</v>
      </c>
      <c r="P388" s="970">
        <v>0</v>
      </c>
      <c r="Q388" s="969">
        <v>0</v>
      </c>
      <c r="R388" s="969"/>
      <c r="S388" s="970">
        <v>48086</v>
      </c>
      <c r="T388" s="972">
        <v>8567</v>
      </c>
      <c r="U388" s="972">
        <v>56653</v>
      </c>
    </row>
    <row r="389" spans="1:21" x14ac:dyDescent="0.25">
      <c r="A389" s="966">
        <v>94031</v>
      </c>
      <c r="B389" s="967" t="s">
        <v>3004</v>
      </c>
      <c r="C389" s="968">
        <v>5.4E-6</v>
      </c>
      <c r="D389" s="968">
        <v>8.1000000000000004E-6</v>
      </c>
      <c r="E389" s="1007">
        <v>6800</v>
      </c>
      <c r="F389" s="1010">
        <v>17191</v>
      </c>
      <c r="G389" s="969">
        <v>8250</v>
      </c>
      <c r="H389" s="969"/>
      <c r="I389" s="970">
        <v>475</v>
      </c>
      <c r="J389" s="971">
        <v>2003</v>
      </c>
      <c r="K389" s="970">
        <v>1178</v>
      </c>
      <c r="L389" s="969">
        <v>7232</v>
      </c>
      <c r="M389" s="969"/>
      <c r="N389" s="970">
        <v>234</v>
      </c>
      <c r="O389" s="970">
        <v>0</v>
      </c>
      <c r="P389" s="970">
        <v>0</v>
      </c>
      <c r="Q389" s="969">
        <v>41</v>
      </c>
      <c r="R389" s="969"/>
      <c r="S389" s="970">
        <v>2780</v>
      </c>
      <c r="T389" s="972">
        <v>2829</v>
      </c>
      <c r="U389" s="972">
        <v>5609</v>
      </c>
    </row>
    <row r="390" spans="1:21" x14ac:dyDescent="0.25">
      <c r="A390" s="966">
        <v>94101</v>
      </c>
      <c r="B390" s="967" t="s">
        <v>3005</v>
      </c>
      <c r="C390" s="968">
        <v>1.8321799999999999E-2</v>
      </c>
      <c r="D390" s="968">
        <v>1.85028E-2</v>
      </c>
      <c r="E390" s="1007">
        <v>8515875</v>
      </c>
      <c r="F390" s="1010">
        <v>39269140</v>
      </c>
      <c r="G390" s="969">
        <v>27990635</v>
      </c>
      <c r="H390" s="969"/>
      <c r="I390" s="970">
        <v>1612520</v>
      </c>
      <c r="J390" s="971">
        <v>6796161</v>
      </c>
      <c r="K390" s="970">
        <v>3997450</v>
      </c>
      <c r="L390" s="969">
        <v>271577</v>
      </c>
      <c r="M390" s="969"/>
      <c r="N390" s="970">
        <v>792326</v>
      </c>
      <c r="O390" s="970">
        <v>0</v>
      </c>
      <c r="P390" s="970">
        <v>0</v>
      </c>
      <c r="Q390" s="969">
        <v>721969</v>
      </c>
      <c r="R390" s="969"/>
      <c r="S390" s="970">
        <v>9432869</v>
      </c>
      <c r="T390" s="972">
        <v>-270678</v>
      </c>
      <c r="U390" s="972">
        <v>9162191</v>
      </c>
    </row>
    <row r="391" spans="1:21" x14ac:dyDescent="0.25">
      <c r="A391" s="966">
        <v>94102</v>
      </c>
      <c r="B391" s="967" t="s">
        <v>3006</v>
      </c>
      <c r="C391" s="968">
        <v>2.965E-4</v>
      </c>
      <c r="D391" s="968">
        <v>2.7569999999999998E-4</v>
      </c>
      <c r="E391" s="1007">
        <v>104557</v>
      </c>
      <c r="F391" s="1010">
        <v>585128</v>
      </c>
      <c r="G391" s="969">
        <v>452970</v>
      </c>
      <c r="H391" s="969"/>
      <c r="I391" s="970">
        <v>26095</v>
      </c>
      <c r="J391" s="971">
        <v>109981</v>
      </c>
      <c r="K391" s="970">
        <v>64690</v>
      </c>
      <c r="L391" s="969">
        <v>2570</v>
      </c>
      <c r="M391" s="969"/>
      <c r="N391" s="970">
        <v>12822</v>
      </c>
      <c r="O391" s="970">
        <v>0</v>
      </c>
      <c r="P391" s="970">
        <v>0</v>
      </c>
      <c r="Q391" s="969">
        <v>36856</v>
      </c>
      <c r="R391" s="969"/>
      <c r="S391" s="970">
        <v>152651</v>
      </c>
      <c r="T391" s="972">
        <v>-11311</v>
      </c>
      <c r="U391" s="972">
        <v>141340</v>
      </c>
    </row>
    <row r="392" spans="1:21" x14ac:dyDescent="0.25">
      <c r="A392" s="966">
        <v>94108</v>
      </c>
      <c r="B392" s="967" t="s">
        <v>3007</v>
      </c>
      <c r="C392" s="968">
        <v>3.1389999999999999E-4</v>
      </c>
      <c r="D392" s="968">
        <v>3.1809999999999998E-4</v>
      </c>
      <c r="E392" s="1007">
        <v>112936</v>
      </c>
      <c r="F392" s="1010">
        <v>675115</v>
      </c>
      <c r="G392" s="969">
        <v>479552</v>
      </c>
      <c r="H392" s="969"/>
      <c r="I392" s="970">
        <v>27627</v>
      </c>
      <c r="J392" s="971">
        <v>116436</v>
      </c>
      <c r="K392" s="970">
        <v>68487</v>
      </c>
      <c r="L392" s="969">
        <v>0</v>
      </c>
      <c r="M392" s="969"/>
      <c r="N392" s="970">
        <v>13575</v>
      </c>
      <c r="O392" s="970">
        <v>0</v>
      </c>
      <c r="P392" s="970">
        <v>0</v>
      </c>
      <c r="Q392" s="969">
        <v>108607</v>
      </c>
      <c r="R392" s="969"/>
      <c r="S392" s="970">
        <v>161610</v>
      </c>
      <c r="T392" s="972">
        <v>-47459</v>
      </c>
      <c r="U392" s="972">
        <v>114151</v>
      </c>
    </row>
    <row r="393" spans="1:21" x14ac:dyDescent="0.25">
      <c r="A393" s="966">
        <v>94109</v>
      </c>
      <c r="B393" s="967" t="s">
        <v>3008</v>
      </c>
      <c r="C393" s="968">
        <v>9.09E-5</v>
      </c>
      <c r="D393" s="968">
        <v>1.0399999999999999E-4</v>
      </c>
      <c r="E393" s="1007">
        <v>31710</v>
      </c>
      <c r="F393" s="1010">
        <v>220723</v>
      </c>
      <c r="G393" s="969">
        <v>138870</v>
      </c>
      <c r="H393" s="969"/>
      <c r="I393" s="970">
        <v>8000</v>
      </c>
      <c r="J393" s="971">
        <v>33718</v>
      </c>
      <c r="K393" s="970">
        <v>19833</v>
      </c>
      <c r="L393" s="969">
        <v>796</v>
      </c>
      <c r="M393" s="969"/>
      <c r="N393" s="970">
        <v>3931</v>
      </c>
      <c r="O393" s="970">
        <v>0</v>
      </c>
      <c r="P393" s="970">
        <v>0</v>
      </c>
      <c r="Q393" s="969">
        <v>41294</v>
      </c>
      <c r="R393" s="969"/>
      <c r="S393" s="970">
        <v>46799</v>
      </c>
      <c r="T393" s="972">
        <v>-12890</v>
      </c>
      <c r="U393" s="972">
        <v>33909</v>
      </c>
    </row>
    <row r="394" spans="1:21" x14ac:dyDescent="0.25">
      <c r="A394" s="966">
        <v>94111</v>
      </c>
      <c r="B394" s="967" t="s">
        <v>3009</v>
      </c>
      <c r="C394" s="968">
        <v>2.5682300000000002E-2</v>
      </c>
      <c r="D394" s="968">
        <v>2.5623300000000002E-2</v>
      </c>
      <c r="E394" s="1007">
        <v>11270051</v>
      </c>
      <c r="F394" s="1010">
        <v>54381226</v>
      </c>
      <c r="G394" s="969">
        <v>39235440</v>
      </c>
      <c r="H394" s="969"/>
      <c r="I394" s="970">
        <v>2260325</v>
      </c>
      <c r="J394" s="971">
        <v>9526412</v>
      </c>
      <c r="K394" s="970">
        <v>5603364</v>
      </c>
      <c r="L394" s="969">
        <v>7528</v>
      </c>
      <c r="M394" s="969"/>
      <c r="N394" s="970">
        <v>1110631</v>
      </c>
      <c r="O394" s="970">
        <v>0</v>
      </c>
      <c r="P394" s="970">
        <v>0</v>
      </c>
      <c r="Q394" s="969">
        <v>1491627</v>
      </c>
      <c r="R394" s="969"/>
      <c r="S394" s="970">
        <v>13222378</v>
      </c>
      <c r="T394" s="972">
        <v>-524586</v>
      </c>
      <c r="U394" s="972">
        <v>12697792</v>
      </c>
    </row>
    <row r="395" spans="1:21" x14ac:dyDescent="0.25">
      <c r="A395" s="966">
        <v>94112</v>
      </c>
      <c r="B395" s="967" t="s">
        <v>3010</v>
      </c>
      <c r="C395" s="968">
        <v>1.6699999999999999E-4</v>
      </c>
      <c r="D395" s="968">
        <v>1.6530000000000001E-4</v>
      </c>
      <c r="E395" s="1007">
        <v>68640</v>
      </c>
      <c r="F395" s="1010">
        <v>350822</v>
      </c>
      <c r="G395" s="969">
        <v>255130</v>
      </c>
      <c r="H395" s="969"/>
      <c r="I395" s="970">
        <v>14698</v>
      </c>
      <c r="J395" s="971">
        <v>61946</v>
      </c>
      <c r="K395" s="970">
        <v>36436</v>
      </c>
      <c r="L395" s="969">
        <v>0</v>
      </c>
      <c r="M395" s="969"/>
      <c r="N395" s="970">
        <v>7222</v>
      </c>
      <c r="O395" s="970">
        <v>0</v>
      </c>
      <c r="P395" s="970">
        <v>0</v>
      </c>
      <c r="Q395" s="969">
        <v>18973</v>
      </c>
      <c r="R395" s="969"/>
      <c r="S395" s="970">
        <v>85979</v>
      </c>
      <c r="T395" s="972">
        <v>-8534</v>
      </c>
      <c r="U395" s="972">
        <v>77445</v>
      </c>
    </row>
    <row r="396" spans="1:21" x14ac:dyDescent="0.25">
      <c r="A396" s="966">
        <v>94117</v>
      </c>
      <c r="B396" s="967" t="s">
        <v>3011</v>
      </c>
      <c r="C396" s="968">
        <v>3.9809999999999997E-4</v>
      </c>
      <c r="D396" s="968">
        <v>4.0709999999999997E-4</v>
      </c>
      <c r="E396" s="1007">
        <v>179744</v>
      </c>
      <c r="F396" s="1010">
        <v>864003</v>
      </c>
      <c r="G396" s="969">
        <v>608187</v>
      </c>
      <c r="H396" s="969"/>
      <c r="I396" s="970">
        <v>35037</v>
      </c>
      <c r="J396" s="971">
        <v>147669</v>
      </c>
      <c r="K396" s="970">
        <v>86857</v>
      </c>
      <c r="L396" s="969">
        <v>8133</v>
      </c>
      <c r="M396" s="969"/>
      <c r="N396" s="970">
        <v>17216</v>
      </c>
      <c r="O396" s="970">
        <v>0</v>
      </c>
      <c r="P396" s="970">
        <v>0</v>
      </c>
      <c r="Q396" s="969">
        <v>15587</v>
      </c>
      <c r="R396" s="969"/>
      <c r="S396" s="970">
        <v>204959</v>
      </c>
      <c r="T396" s="972">
        <v>-79</v>
      </c>
      <c r="U396" s="972">
        <v>204880</v>
      </c>
    </row>
    <row r="397" spans="1:21" x14ac:dyDescent="0.25">
      <c r="A397" s="966">
        <v>94118</v>
      </c>
      <c r="B397" s="967" t="s">
        <v>3012</v>
      </c>
      <c r="C397" s="968">
        <v>1.494E-4</v>
      </c>
      <c r="D397" s="968">
        <v>1.63E-4</v>
      </c>
      <c r="E397" s="1007">
        <v>57233</v>
      </c>
      <c r="F397" s="1010">
        <v>345941</v>
      </c>
      <c r="G397" s="969">
        <v>228242</v>
      </c>
      <c r="H397" s="969"/>
      <c r="I397" s="970">
        <v>13149</v>
      </c>
      <c r="J397" s="971">
        <v>55417</v>
      </c>
      <c r="K397" s="970">
        <v>32596</v>
      </c>
      <c r="L397" s="969">
        <v>0</v>
      </c>
      <c r="M397" s="969"/>
      <c r="N397" s="970">
        <v>6461</v>
      </c>
      <c r="O397" s="970">
        <v>0</v>
      </c>
      <c r="P397" s="970">
        <v>0</v>
      </c>
      <c r="Q397" s="969">
        <v>56599</v>
      </c>
      <c r="R397" s="969"/>
      <c r="S397" s="970">
        <v>76918</v>
      </c>
      <c r="T397" s="972">
        <v>-24768</v>
      </c>
      <c r="U397" s="972">
        <v>52150</v>
      </c>
    </row>
    <row r="398" spans="1:21" x14ac:dyDescent="0.25">
      <c r="A398" s="966">
        <v>94121</v>
      </c>
      <c r="B398" s="967" t="s">
        <v>3013</v>
      </c>
      <c r="C398" s="968">
        <v>1.1246000000000001E-2</v>
      </c>
      <c r="D398" s="968">
        <v>1.12823E-2</v>
      </c>
      <c r="E398" s="1007">
        <v>5240634</v>
      </c>
      <c r="F398" s="1010">
        <v>23944820</v>
      </c>
      <c r="G398" s="969">
        <v>17180773</v>
      </c>
      <c r="H398" s="969"/>
      <c r="I398" s="970">
        <v>989772</v>
      </c>
      <c r="J398" s="971">
        <v>4171512</v>
      </c>
      <c r="K398" s="970">
        <v>2453652</v>
      </c>
      <c r="L398" s="969">
        <v>65556</v>
      </c>
      <c r="M398" s="969"/>
      <c r="N398" s="970">
        <v>486333</v>
      </c>
      <c r="O398" s="970">
        <v>0</v>
      </c>
      <c r="P398" s="970">
        <v>0</v>
      </c>
      <c r="Q398" s="969">
        <v>276825</v>
      </c>
      <c r="R398" s="969"/>
      <c r="S398" s="970">
        <v>5789936</v>
      </c>
      <c r="T398" s="972">
        <v>-128084</v>
      </c>
      <c r="U398" s="972">
        <v>5661852</v>
      </c>
    </row>
    <row r="399" spans="1:21" x14ac:dyDescent="0.25">
      <c r="A399" s="966">
        <v>94127</v>
      </c>
      <c r="B399" s="967" t="s">
        <v>3014</v>
      </c>
      <c r="C399" s="968">
        <v>1.7310000000000001E-4</v>
      </c>
      <c r="D399" s="968">
        <v>1.528E-4</v>
      </c>
      <c r="E399" s="1007">
        <v>70093</v>
      </c>
      <c r="F399" s="1010">
        <v>324293</v>
      </c>
      <c r="G399" s="969">
        <v>264449</v>
      </c>
      <c r="H399" s="969"/>
      <c r="I399" s="970">
        <v>15235</v>
      </c>
      <c r="J399" s="971">
        <v>64208</v>
      </c>
      <c r="K399" s="970">
        <v>37767</v>
      </c>
      <c r="L399" s="969">
        <v>8697</v>
      </c>
      <c r="M399" s="969"/>
      <c r="N399" s="970">
        <v>7486</v>
      </c>
      <c r="O399" s="970">
        <v>0</v>
      </c>
      <c r="P399" s="970">
        <v>0</v>
      </c>
      <c r="Q399" s="969">
        <v>398</v>
      </c>
      <c r="R399" s="969"/>
      <c r="S399" s="970">
        <v>89119</v>
      </c>
      <c r="T399" s="972">
        <v>2605</v>
      </c>
      <c r="U399" s="972">
        <v>91724</v>
      </c>
    </row>
    <row r="400" spans="1:21" x14ac:dyDescent="0.25">
      <c r="A400" s="966">
        <v>94131</v>
      </c>
      <c r="B400" s="967" t="s">
        <v>3015</v>
      </c>
      <c r="C400" s="968">
        <v>1.7479999999999999E-4</v>
      </c>
      <c r="D400" s="968">
        <v>2.0049999999999999E-4</v>
      </c>
      <c r="E400" s="1007">
        <v>91156</v>
      </c>
      <c r="F400" s="1010">
        <v>425528</v>
      </c>
      <c r="G400" s="969">
        <v>267046</v>
      </c>
      <c r="H400" s="969"/>
      <c r="I400" s="970">
        <v>15384</v>
      </c>
      <c r="J400" s="971">
        <v>64840</v>
      </c>
      <c r="K400" s="970">
        <v>38138</v>
      </c>
      <c r="L400" s="969">
        <v>3004</v>
      </c>
      <c r="M400" s="969"/>
      <c r="N400" s="970">
        <v>7559</v>
      </c>
      <c r="O400" s="970">
        <v>0</v>
      </c>
      <c r="P400" s="970">
        <v>0</v>
      </c>
      <c r="Q400" s="969">
        <v>9062</v>
      </c>
      <c r="R400" s="969"/>
      <c r="S400" s="970">
        <v>89995</v>
      </c>
      <c r="T400" s="972">
        <v>-1148</v>
      </c>
      <c r="U400" s="972">
        <v>88847</v>
      </c>
    </row>
    <row r="401" spans="1:21" x14ac:dyDescent="0.25">
      <c r="A401" s="966">
        <v>94151</v>
      </c>
      <c r="B401" s="967" t="s">
        <v>3016</v>
      </c>
      <c r="C401" s="968">
        <v>4.1590000000000003E-4</v>
      </c>
      <c r="D401" s="968">
        <v>4.2870000000000001E-4</v>
      </c>
      <c r="E401" s="1007">
        <v>171244</v>
      </c>
      <c r="F401" s="1010">
        <v>909845</v>
      </c>
      <c r="G401" s="969">
        <v>635380</v>
      </c>
      <c r="H401" s="969"/>
      <c r="I401" s="970">
        <v>36604</v>
      </c>
      <c r="J401" s="971">
        <v>154271</v>
      </c>
      <c r="K401" s="970">
        <v>90741</v>
      </c>
      <c r="L401" s="969">
        <v>0</v>
      </c>
      <c r="M401" s="969"/>
      <c r="N401" s="970">
        <v>17986</v>
      </c>
      <c r="O401" s="970">
        <v>0</v>
      </c>
      <c r="P401" s="970">
        <v>0</v>
      </c>
      <c r="Q401" s="969">
        <v>36672</v>
      </c>
      <c r="R401" s="969"/>
      <c r="S401" s="970">
        <v>214124</v>
      </c>
      <c r="T401" s="972">
        <v>-12878</v>
      </c>
      <c r="U401" s="972">
        <v>201246</v>
      </c>
    </row>
    <row r="402" spans="1:21" x14ac:dyDescent="0.25">
      <c r="A402" s="966">
        <v>94157</v>
      </c>
      <c r="B402" s="967" t="s">
        <v>3017</v>
      </c>
      <c r="C402" s="968">
        <v>8.8999999999999995E-6</v>
      </c>
      <c r="D402" s="968">
        <v>9.3999999999999998E-6</v>
      </c>
      <c r="E402" s="1007">
        <v>5186</v>
      </c>
      <c r="F402" s="1010">
        <v>19950</v>
      </c>
      <c r="G402" s="969">
        <v>13597</v>
      </c>
      <c r="H402" s="969"/>
      <c r="I402" s="970">
        <v>783</v>
      </c>
      <c r="J402" s="971">
        <v>3302</v>
      </c>
      <c r="K402" s="970">
        <v>1942</v>
      </c>
      <c r="L402" s="969">
        <v>3748</v>
      </c>
      <c r="M402" s="969"/>
      <c r="N402" s="970">
        <v>385</v>
      </c>
      <c r="O402" s="970">
        <v>0</v>
      </c>
      <c r="P402" s="970">
        <v>0</v>
      </c>
      <c r="Q402" s="969">
        <v>0</v>
      </c>
      <c r="R402" s="969"/>
      <c r="S402" s="970">
        <v>4582</v>
      </c>
      <c r="T402" s="972">
        <v>2084</v>
      </c>
      <c r="U402" s="972">
        <v>6666</v>
      </c>
    </row>
    <row r="403" spans="1:21" x14ac:dyDescent="0.25">
      <c r="A403" s="966">
        <v>94161</v>
      </c>
      <c r="B403" s="967" t="s">
        <v>3018</v>
      </c>
      <c r="C403" s="968">
        <v>5.1900000000000001E-5</v>
      </c>
      <c r="D403" s="968">
        <v>5.7899999999999998E-5</v>
      </c>
      <c r="E403" s="1007">
        <v>24925</v>
      </c>
      <c r="F403" s="1010">
        <v>122883</v>
      </c>
      <c r="G403" s="969">
        <v>79289</v>
      </c>
      <c r="H403" s="969"/>
      <c r="I403" s="970">
        <v>4568</v>
      </c>
      <c r="J403" s="971">
        <v>19252</v>
      </c>
      <c r="K403" s="970">
        <v>11324</v>
      </c>
      <c r="L403" s="969">
        <v>5455</v>
      </c>
      <c r="M403" s="969"/>
      <c r="N403" s="970">
        <v>2244</v>
      </c>
      <c r="O403" s="970">
        <v>0</v>
      </c>
      <c r="P403" s="970">
        <v>0</v>
      </c>
      <c r="Q403" s="969">
        <v>3144</v>
      </c>
      <c r="R403" s="969"/>
      <c r="S403" s="970">
        <v>26720</v>
      </c>
      <c r="T403" s="972">
        <v>2302</v>
      </c>
      <c r="U403" s="972">
        <v>29022</v>
      </c>
    </row>
    <row r="404" spans="1:21" x14ac:dyDescent="0.25">
      <c r="A404" s="966">
        <v>94168</v>
      </c>
      <c r="B404" s="967" t="s">
        <v>3019</v>
      </c>
      <c r="C404" s="968">
        <v>2.5899999999999999E-5</v>
      </c>
      <c r="D404" s="968">
        <v>3.4E-5</v>
      </c>
      <c r="E404" s="1007">
        <v>14686</v>
      </c>
      <c r="F404" s="1010">
        <v>72159</v>
      </c>
      <c r="G404" s="969">
        <v>39568</v>
      </c>
      <c r="H404" s="969"/>
      <c r="I404" s="970">
        <v>2279</v>
      </c>
      <c r="J404" s="971">
        <v>9607</v>
      </c>
      <c r="K404" s="970">
        <v>5651</v>
      </c>
      <c r="L404" s="969">
        <v>0</v>
      </c>
      <c r="M404" s="969"/>
      <c r="N404" s="970">
        <v>1120</v>
      </c>
      <c r="O404" s="970">
        <v>0</v>
      </c>
      <c r="P404" s="970">
        <v>0</v>
      </c>
      <c r="Q404" s="969">
        <v>11664</v>
      </c>
      <c r="R404" s="969"/>
      <c r="S404" s="970">
        <v>13334</v>
      </c>
      <c r="T404" s="972">
        <v>-5442</v>
      </c>
      <c r="U404" s="972">
        <v>7892</v>
      </c>
    </row>
    <row r="405" spans="1:21" x14ac:dyDescent="0.25">
      <c r="A405" s="966">
        <v>94171</v>
      </c>
      <c r="B405" s="967" t="s">
        <v>3020</v>
      </c>
      <c r="C405" s="968">
        <v>6.9800000000000003E-5</v>
      </c>
      <c r="D405" s="968">
        <v>5.5000000000000002E-5</v>
      </c>
      <c r="E405" s="1007">
        <v>26828</v>
      </c>
      <c r="F405" s="1010">
        <v>116728</v>
      </c>
      <c r="G405" s="969">
        <v>106635</v>
      </c>
      <c r="H405" s="969"/>
      <c r="I405" s="970">
        <v>6143</v>
      </c>
      <c r="J405" s="971">
        <v>25891</v>
      </c>
      <c r="K405" s="970">
        <v>15229</v>
      </c>
      <c r="L405" s="969">
        <v>10026</v>
      </c>
      <c r="M405" s="969"/>
      <c r="N405" s="970">
        <v>3019</v>
      </c>
      <c r="O405" s="970">
        <v>0</v>
      </c>
      <c r="P405" s="970">
        <v>0</v>
      </c>
      <c r="Q405" s="969">
        <v>862</v>
      </c>
      <c r="R405" s="969"/>
      <c r="S405" s="970">
        <v>35936</v>
      </c>
      <c r="T405" s="972">
        <v>2780</v>
      </c>
      <c r="U405" s="972">
        <v>38716</v>
      </c>
    </row>
    <row r="406" spans="1:21" x14ac:dyDescent="0.25">
      <c r="A406" s="966">
        <v>94172</v>
      </c>
      <c r="B406" s="967" t="s">
        <v>3021</v>
      </c>
      <c r="C406" s="968">
        <v>2.6289999999999999E-4</v>
      </c>
      <c r="D406" s="968">
        <v>2.6699999999999998E-4</v>
      </c>
      <c r="E406" s="1007">
        <v>91553</v>
      </c>
      <c r="F406" s="1010">
        <v>566663</v>
      </c>
      <c r="G406" s="969">
        <v>401638</v>
      </c>
      <c r="H406" s="969"/>
      <c r="I406" s="970">
        <v>23138</v>
      </c>
      <c r="J406" s="971">
        <v>97518</v>
      </c>
      <c r="K406" s="970">
        <v>57360</v>
      </c>
      <c r="L406" s="969">
        <v>0</v>
      </c>
      <c r="M406" s="969"/>
      <c r="N406" s="970">
        <v>11369</v>
      </c>
      <c r="O406" s="970">
        <v>0</v>
      </c>
      <c r="P406" s="970">
        <v>0</v>
      </c>
      <c r="Q406" s="969">
        <v>90059</v>
      </c>
      <c r="R406" s="969"/>
      <c r="S406" s="970">
        <v>135352</v>
      </c>
      <c r="T406" s="972">
        <v>-41178</v>
      </c>
      <c r="U406" s="972">
        <v>94174</v>
      </c>
    </row>
    <row r="407" spans="1:21" x14ac:dyDescent="0.25">
      <c r="A407" s="966">
        <v>94201</v>
      </c>
      <c r="B407" s="967" t="s">
        <v>3022</v>
      </c>
      <c r="C407" s="968">
        <v>3.3658999999999998E-3</v>
      </c>
      <c r="D407" s="968">
        <v>3.4813000000000001E-3</v>
      </c>
      <c r="E407" s="1007">
        <v>1556105</v>
      </c>
      <c r="F407" s="1010">
        <v>7388485</v>
      </c>
      <c r="G407" s="969">
        <v>5142163</v>
      </c>
      <c r="H407" s="969"/>
      <c r="I407" s="970">
        <v>296236</v>
      </c>
      <c r="J407" s="971">
        <v>1248524</v>
      </c>
      <c r="K407" s="970">
        <v>734372</v>
      </c>
      <c r="L407" s="969">
        <v>37947</v>
      </c>
      <c r="M407" s="969"/>
      <c r="N407" s="970">
        <v>145558</v>
      </c>
      <c r="O407" s="970">
        <v>0</v>
      </c>
      <c r="P407" s="970">
        <v>0</v>
      </c>
      <c r="Q407" s="969">
        <v>70514</v>
      </c>
      <c r="R407" s="969"/>
      <c r="S407" s="970">
        <v>1732913</v>
      </c>
      <c r="T407" s="972">
        <v>-942</v>
      </c>
      <c r="U407" s="972">
        <v>1731971</v>
      </c>
    </row>
    <row r="408" spans="1:21" x14ac:dyDescent="0.25">
      <c r="A408" s="966">
        <v>94204</v>
      </c>
      <c r="B408" s="967" t="s">
        <v>3023</v>
      </c>
      <c r="C408" s="968">
        <v>2.5899999999999999E-5</v>
      </c>
      <c r="D408" s="968">
        <v>2.4899999999999999E-5</v>
      </c>
      <c r="E408" s="1007">
        <v>17428</v>
      </c>
      <c r="F408" s="1010">
        <v>52846</v>
      </c>
      <c r="G408" s="969">
        <v>39568</v>
      </c>
      <c r="H408" s="969"/>
      <c r="I408" s="970">
        <v>2279</v>
      </c>
      <c r="J408" s="971">
        <v>9607</v>
      </c>
      <c r="K408" s="970">
        <v>5651</v>
      </c>
      <c r="L408" s="969">
        <v>12190</v>
      </c>
      <c r="M408" s="969"/>
      <c r="N408" s="970">
        <v>1120</v>
      </c>
      <c r="O408" s="970">
        <v>0</v>
      </c>
      <c r="P408" s="970">
        <v>0</v>
      </c>
      <c r="Q408" s="969">
        <v>0</v>
      </c>
      <c r="R408" s="969"/>
      <c r="S408" s="970">
        <v>13334</v>
      </c>
      <c r="T408" s="972">
        <v>4996</v>
      </c>
      <c r="U408" s="972">
        <v>18330</v>
      </c>
    </row>
    <row r="409" spans="1:21" x14ac:dyDescent="0.25">
      <c r="A409" s="966">
        <v>94205</v>
      </c>
      <c r="B409" s="967" t="s">
        <v>3024</v>
      </c>
      <c r="C409" s="968">
        <v>2.0699999999999998E-5</v>
      </c>
      <c r="D409" s="968">
        <v>2.6100000000000001E-5</v>
      </c>
      <c r="E409" s="1007">
        <v>11902</v>
      </c>
      <c r="F409" s="1010">
        <v>55393</v>
      </c>
      <c r="G409" s="969">
        <v>31624</v>
      </c>
      <c r="H409" s="969"/>
      <c r="I409" s="970">
        <v>1822</v>
      </c>
      <c r="J409" s="971">
        <v>7678</v>
      </c>
      <c r="K409" s="970">
        <v>4516</v>
      </c>
      <c r="L409" s="969">
        <v>1652</v>
      </c>
      <c r="M409" s="969"/>
      <c r="N409" s="970">
        <v>895</v>
      </c>
      <c r="O409" s="970">
        <v>0</v>
      </c>
      <c r="P409" s="970">
        <v>0</v>
      </c>
      <c r="Q409" s="969">
        <v>5048</v>
      </c>
      <c r="R409" s="969"/>
      <c r="S409" s="970">
        <v>10657</v>
      </c>
      <c r="T409" s="972">
        <v>-3026</v>
      </c>
      <c r="U409" s="972">
        <v>7631</v>
      </c>
    </row>
    <row r="410" spans="1:21" x14ac:dyDescent="0.25">
      <c r="A410" s="966">
        <v>94209</v>
      </c>
      <c r="B410" s="967" t="s">
        <v>3025</v>
      </c>
      <c r="C410" s="968">
        <v>3.4190000000000002E-4</v>
      </c>
      <c r="D410" s="968">
        <v>3.2909999999999998E-4</v>
      </c>
      <c r="E410" s="1007">
        <v>157003</v>
      </c>
      <c r="F410" s="1010">
        <v>698460</v>
      </c>
      <c r="G410" s="969">
        <v>522328</v>
      </c>
      <c r="H410" s="969"/>
      <c r="I410" s="970">
        <v>30091</v>
      </c>
      <c r="J410" s="971">
        <v>126822</v>
      </c>
      <c r="K410" s="970">
        <v>74596</v>
      </c>
      <c r="L410" s="969">
        <v>23431</v>
      </c>
      <c r="M410" s="969"/>
      <c r="N410" s="970">
        <v>14785</v>
      </c>
      <c r="O410" s="970">
        <v>0</v>
      </c>
      <c r="P410" s="970">
        <v>0</v>
      </c>
      <c r="Q410" s="969">
        <v>7196</v>
      </c>
      <c r="R410" s="969"/>
      <c r="S410" s="970">
        <v>176025</v>
      </c>
      <c r="T410" s="972">
        <v>9128</v>
      </c>
      <c r="U410" s="972">
        <v>185153</v>
      </c>
    </row>
    <row r="411" spans="1:21" x14ac:dyDescent="0.25">
      <c r="A411" s="966">
        <v>94211</v>
      </c>
      <c r="B411" s="967" t="s">
        <v>3026</v>
      </c>
      <c r="C411" s="968">
        <v>1.3660000000000001E-4</v>
      </c>
      <c r="D411" s="968">
        <v>1.2400000000000001E-4</v>
      </c>
      <c r="E411" s="1007">
        <v>61663</v>
      </c>
      <c r="F411" s="1010">
        <v>263170</v>
      </c>
      <c r="G411" s="969">
        <v>208687</v>
      </c>
      <c r="H411" s="969"/>
      <c r="I411" s="970">
        <v>12022</v>
      </c>
      <c r="J411" s="971">
        <v>50669</v>
      </c>
      <c r="K411" s="970">
        <v>29803</v>
      </c>
      <c r="L411" s="969">
        <v>7857</v>
      </c>
      <c r="M411" s="969"/>
      <c r="N411" s="970">
        <v>5907</v>
      </c>
      <c r="O411" s="970">
        <v>0</v>
      </c>
      <c r="P411" s="970">
        <v>0</v>
      </c>
      <c r="Q411" s="969">
        <v>17326</v>
      </c>
      <c r="R411" s="969"/>
      <c r="S411" s="970">
        <v>70328</v>
      </c>
      <c r="T411" s="972">
        <v>-11553</v>
      </c>
      <c r="U411" s="972">
        <v>58775</v>
      </c>
    </row>
    <row r="412" spans="1:21" x14ac:dyDescent="0.25">
      <c r="A412" s="966">
        <v>94221</v>
      </c>
      <c r="B412" s="967" t="s">
        <v>3027</v>
      </c>
      <c r="C412" s="968">
        <v>1.0436E-3</v>
      </c>
      <c r="D412" s="968">
        <v>1.0705999999999999E-3</v>
      </c>
      <c r="E412" s="1007">
        <v>459328</v>
      </c>
      <c r="F412" s="1010">
        <v>2272172</v>
      </c>
      <c r="G412" s="969">
        <v>1594332</v>
      </c>
      <c r="H412" s="969"/>
      <c r="I412" s="970">
        <v>91848</v>
      </c>
      <c r="J412" s="971">
        <v>387106</v>
      </c>
      <c r="K412" s="970">
        <v>227693</v>
      </c>
      <c r="L412" s="969">
        <v>63725</v>
      </c>
      <c r="M412" s="969"/>
      <c r="N412" s="970">
        <v>45130</v>
      </c>
      <c r="O412" s="970">
        <v>0</v>
      </c>
      <c r="P412" s="970">
        <v>0</v>
      </c>
      <c r="Q412" s="969">
        <v>120971</v>
      </c>
      <c r="R412" s="969"/>
      <c r="S412" s="970">
        <v>537291</v>
      </c>
      <c r="T412" s="972">
        <v>-24799</v>
      </c>
      <c r="U412" s="972">
        <v>512492</v>
      </c>
    </row>
    <row r="413" spans="1:21" x14ac:dyDescent="0.25">
      <c r="A413" s="966">
        <v>94231</v>
      </c>
      <c r="B413" s="967" t="s">
        <v>3028</v>
      </c>
      <c r="C413" s="968">
        <v>2.2609999999999999E-4</v>
      </c>
      <c r="D413" s="968">
        <v>2.1269999999999999E-4</v>
      </c>
      <c r="E413" s="1007">
        <v>101171</v>
      </c>
      <c r="F413" s="1010">
        <v>451421</v>
      </c>
      <c r="G413" s="969">
        <v>345418</v>
      </c>
      <c r="H413" s="969"/>
      <c r="I413" s="970">
        <v>19899</v>
      </c>
      <c r="J413" s="971">
        <v>83868</v>
      </c>
      <c r="K413" s="970">
        <v>49330</v>
      </c>
      <c r="L413" s="969">
        <v>8354</v>
      </c>
      <c r="M413" s="969"/>
      <c r="N413" s="970">
        <v>9778</v>
      </c>
      <c r="O413" s="970">
        <v>0</v>
      </c>
      <c r="P413" s="970">
        <v>0</v>
      </c>
      <c r="Q413" s="969">
        <v>6714</v>
      </c>
      <c r="R413" s="969"/>
      <c r="S413" s="970">
        <v>116406</v>
      </c>
      <c r="T413" s="972">
        <v>-2799</v>
      </c>
      <c r="U413" s="972">
        <v>113607</v>
      </c>
    </row>
    <row r="414" spans="1:21" x14ac:dyDescent="0.25">
      <c r="A414" s="966">
        <v>94241</v>
      </c>
      <c r="B414" s="967" t="s">
        <v>3029</v>
      </c>
      <c r="C414" s="968">
        <v>1.2669999999999999E-4</v>
      </c>
      <c r="D414" s="968">
        <v>8.4099999999999998E-5</v>
      </c>
      <c r="E414" s="1007">
        <v>53317</v>
      </c>
      <c r="F414" s="1010">
        <v>178488</v>
      </c>
      <c r="G414" s="969">
        <v>193563</v>
      </c>
      <c r="H414" s="969"/>
      <c r="I414" s="970">
        <v>11151</v>
      </c>
      <c r="J414" s="971">
        <v>46997</v>
      </c>
      <c r="K414" s="970">
        <v>27643</v>
      </c>
      <c r="L414" s="969">
        <v>26711</v>
      </c>
      <c r="M414" s="969"/>
      <c r="N414" s="970">
        <v>5479</v>
      </c>
      <c r="O414" s="970">
        <v>0</v>
      </c>
      <c r="P414" s="970">
        <v>0</v>
      </c>
      <c r="Q414" s="969">
        <v>856</v>
      </c>
      <c r="R414" s="969"/>
      <c r="S414" s="970">
        <v>65231</v>
      </c>
      <c r="T414" s="972">
        <v>6835</v>
      </c>
      <c r="U414" s="972">
        <v>72066</v>
      </c>
    </row>
    <row r="415" spans="1:21" x14ac:dyDescent="0.25">
      <c r="A415" s="966">
        <v>94251</v>
      </c>
      <c r="B415" s="967" t="s">
        <v>3030</v>
      </c>
      <c r="C415" s="968">
        <v>1.95E-5</v>
      </c>
      <c r="D415" s="968">
        <v>1.4E-5</v>
      </c>
      <c r="E415" s="1007">
        <v>8455</v>
      </c>
      <c r="F415" s="1010">
        <v>29713</v>
      </c>
      <c r="G415" s="969">
        <v>29791</v>
      </c>
      <c r="H415" s="969"/>
      <c r="I415" s="970">
        <v>1716</v>
      </c>
      <c r="J415" s="971">
        <v>7233</v>
      </c>
      <c r="K415" s="970">
        <v>4255</v>
      </c>
      <c r="L415" s="969">
        <v>3290</v>
      </c>
      <c r="M415" s="969"/>
      <c r="N415" s="970">
        <v>843</v>
      </c>
      <c r="O415" s="970">
        <v>0</v>
      </c>
      <c r="P415" s="970">
        <v>0</v>
      </c>
      <c r="Q415" s="969">
        <v>6508</v>
      </c>
      <c r="R415" s="969"/>
      <c r="S415" s="970">
        <v>10039</v>
      </c>
      <c r="T415" s="972">
        <v>-2297</v>
      </c>
      <c r="U415" s="972">
        <v>7742</v>
      </c>
    </row>
    <row r="416" spans="1:21" x14ac:dyDescent="0.25">
      <c r="A416" s="966">
        <v>94261</v>
      </c>
      <c r="B416" s="967" t="s">
        <v>3031</v>
      </c>
      <c r="C416" s="968">
        <v>3.9199999999999997E-5</v>
      </c>
      <c r="D416" s="968">
        <v>2.9499999999999999E-5</v>
      </c>
      <c r="E416" s="1007">
        <v>18726</v>
      </c>
      <c r="F416" s="1010">
        <v>62609</v>
      </c>
      <c r="G416" s="969">
        <v>59887</v>
      </c>
      <c r="H416" s="969"/>
      <c r="I416" s="970">
        <v>3450</v>
      </c>
      <c r="J416" s="971">
        <v>14541</v>
      </c>
      <c r="K416" s="970">
        <v>8553</v>
      </c>
      <c r="L416" s="969">
        <v>15518</v>
      </c>
      <c r="M416" s="969"/>
      <c r="N416" s="970">
        <v>1695</v>
      </c>
      <c r="O416" s="970">
        <v>0</v>
      </c>
      <c r="P416" s="970">
        <v>0</v>
      </c>
      <c r="Q416" s="969">
        <v>0</v>
      </c>
      <c r="R416" s="969"/>
      <c r="S416" s="970">
        <v>20182</v>
      </c>
      <c r="T416" s="972">
        <v>5508</v>
      </c>
      <c r="U416" s="972">
        <v>25690</v>
      </c>
    </row>
    <row r="417" spans="1:21" x14ac:dyDescent="0.25">
      <c r="A417" s="966">
        <v>94301</v>
      </c>
      <c r="B417" s="967" t="s">
        <v>3032</v>
      </c>
      <c r="C417" s="968">
        <v>6.2988999999999996E-3</v>
      </c>
      <c r="D417" s="968">
        <v>6.0746999999999997E-3</v>
      </c>
      <c r="E417" s="1007">
        <v>2799560</v>
      </c>
      <c r="F417" s="1010">
        <v>12892548</v>
      </c>
      <c r="G417" s="969">
        <v>9622974</v>
      </c>
      <c r="H417" s="969"/>
      <c r="I417" s="970">
        <v>554372</v>
      </c>
      <c r="J417" s="971">
        <v>2336470</v>
      </c>
      <c r="K417" s="970">
        <v>1374294</v>
      </c>
      <c r="L417" s="969">
        <v>85982</v>
      </c>
      <c r="M417" s="969"/>
      <c r="N417" s="970">
        <v>272396</v>
      </c>
      <c r="O417" s="970">
        <v>0</v>
      </c>
      <c r="P417" s="970">
        <v>0</v>
      </c>
      <c r="Q417" s="969">
        <v>117980</v>
      </c>
      <c r="R417" s="969"/>
      <c r="S417" s="970">
        <v>3242951</v>
      </c>
      <c r="T417" s="972">
        <v>-22710</v>
      </c>
      <c r="U417" s="972">
        <v>3220241</v>
      </c>
    </row>
    <row r="418" spans="1:21" x14ac:dyDescent="0.25">
      <c r="A418" s="966">
        <v>94311</v>
      </c>
      <c r="B418" s="967" t="s">
        <v>3033</v>
      </c>
      <c r="C418" s="968">
        <v>7.8540000000000001E-4</v>
      </c>
      <c r="D418" s="968">
        <v>7.4399999999999998E-4</v>
      </c>
      <c r="E418" s="1007">
        <v>355079</v>
      </c>
      <c r="F418" s="1010">
        <v>1579017</v>
      </c>
      <c r="G418" s="969">
        <v>1199874</v>
      </c>
      <c r="H418" s="969"/>
      <c r="I418" s="970">
        <v>69124</v>
      </c>
      <c r="J418" s="971">
        <v>291331</v>
      </c>
      <c r="K418" s="970">
        <v>171359</v>
      </c>
      <c r="L418" s="969">
        <v>26150</v>
      </c>
      <c r="M418" s="969"/>
      <c r="N418" s="970">
        <v>33965</v>
      </c>
      <c r="O418" s="970">
        <v>0</v>
      </c>
      <c r="P418" s="970">
        <v>0</v>
      </c>
      <c r="Q418" s="969">
        <v>52115</v>
      </c>
      <c r="R418" s="969"/>
      <c r="S418" s="970">
        <v>404358</v>
      </c>
      <c r="T418" s="972">
        <v>-13365</v>
      </c>
      <c r="U418" s="972">
        <v>390993</v>
      </c>
    </row>
    <row r="419" spans="1:21" x14ac:dyDescent="0.25">
      <c r="A419" s="966">
        <v>94313</v>
      </c>
      <c r="B419" s="967" t="s">
        <v>3034</v>
      </c>
      <c r="C419" s="968">
        <v>1.8700000000000001E-5</v>
      </c>
      <c r="D419" s="968">
        <v>2.0299999999999999E-5</v>
      </c>
      <c r="E419" s="1007">
        <v>12663</v>
      </c>
      <c r="F419" s="1010">
        <v>43083</v>
      </c>
      <c r="G419" s="969">
        <v>28568</v>
      </c>
      <c r="H419" s="969"/>
      <c r="I419" s="970">
        <v>1646</v>
      </c>
      <c r="J419" s="971">
        <v>6936</v>
      </c>
      <c r="K419" s="970">
        <v>4080</v>
      </c>
      <c r="L419" s="969">
        <v>7421</v>
      </c>
      <c r="M419" s="969"/>
      <c r="N419" s="970">
        <v>809</v>
      </c>
      <c r="O419" s="970">
        <v>0</v>
      </c>
      <c r="P419" s="970">
        <v>0</v>
      </c>
      <c r="Q419" s="969">
        <v>0</v>
      </c>
      <c r="R419" s="969"/>
      <c r="S419" s="970">
        <v>9628</v>
      </c>
      <c r="T419" s="972">
        <v>3124</v>
      </c>
      <c r="U419" s="972">
        <v>12752</v>
      </c>
    </row>
    <row r="420" spans="1:21" x14ac:dyDescent="0.25">
      <c r="A420" s="966">
        <v>94317</v>
      </c>
      <c r="B420" s="967" t="s">
        <v>3035</v>
      </c>
      <c r="C420" s="968">
        <v>1.2E-5</v>
      </c>
      <c r="D420" s="968">
        <v>1.2099999999999999E-5</v>
      </c>
      <c r="E420" s="1007">
        <v>9618</v>
      </c>
      <c r="F420" s="1010">
        <v>25680</v>
      </c>
      <c r="G420" s="969">
        <v>18333</v>
      </c>
      <c r="H420" s="969"/>
      <c r="I420" s="970">
        <v>1056</v>
      </c>
      <c r="J420" s="971">
        <v>4451</v>
      </c>
      <c r="K420" s="970">
        <v>2618</v>
      </c>
      <c r="L420" s="969">
        <v>7663</v>
      </c>
      <c r="M420" s="969"/>
      <c r="N420" s="970">
        <v>519</v>
      </c>
      <c r="O420" s="970">
        <v>0</v>
      </c>
      <c r="P420" s="970">
        <v>0</v>
      </c>
      <c r="Q420" s="969">
        <v>0</v>
      </c>
      <c r="R420" s="969"/>
      <c r="S420" s="970">
        <v>6178</v>
      </c>
      <c r="T420" s="972">
        <v>3130</v>
      </c>
      <c r="U420" s="972">
        <v>9308</v>
      </c>
    </row>
    <row r="421" spans="1:21" x14ac:dyDescent="0.25">
      <c r="A421" s="966">
        <v>94321</v>
      </c>
      <c r="B421" s="967" t="s">
        <v>3036</v>
      </c>
      <c r="C421" s="968">
        <v>2.7760000000000003E-4</v>
      </c>
      <c r="D421" s="968">
        <v>2.7070000000000002E-4</v>
      </c>
      <c r="E421" s="1007">
        <v>115395</v>
      </c>
      <c r="F421" s="1010">
        <v>574516</v>
      </c>
      <c r="G421" s="969">
        <v>424096</v>
      </c>
      <c r="H421" s="969"/>
      <c r="I421" s="970">
        <v>24432</v>
      </c>
      <c r="J421" s="971">
        <v>102971</v>
      </c>
      <c r="K421" s="970">
        <v>60567</v>
      </c>
      <c r="L421" s="969">
        <v>1692</v>
      </c>
      <c r="M421" s="969"/>
      <c r="N421" s="970">
        <v>12005</v>
      </c>
      <c r="O421" s="970">
        <v>0</v>
      </c>
      <c r="P421" s="970">
        <v>0</v>
      </c>
      <c r="Q421" s="969">
        <v>19924</v>
      </c>
      <c r="R421" s="969"/>
      <c r="S421" s="970">
        <v>142921</v>
      </c>
      <c r="T421" s="972">
        <v>-5646</v>
      </c>
      <c r="U421" s="972">
        <v>137275</v>
      </c>
    </row>
    <row r="422" spans="1:21" x14ac:dyDescent="0.25">
      <c r="A422" s="966">
        <v>94331</v>
      </c>
      <c r="B422" s="967" t="s">
        <v>3037</v>
      </c>
      <c r="C422" s="968">
        <v>1.3569999999999999E-4</v>
      </c>
      <c r="D422" s="968">
        <v>1.517E-4</v>
      </c>
      <c r="E422" s="1007">
        <v>68284</v>
      </c>
      <c r="F422" s="1010">
        <v>321958</v>
      </c>
      <c r="G422" s="969">
        <v>207312</v>
      </c>
      <c r="H422" s="969"/>
      <c r="I422" s="970">
        <v>11943</v>
      </c>
      <c r="J422" s="971">
        <v>50336</v>
      </c>
      <c r="K422" s="970">
        <v>29607</v>
      </c>
      <c r="L422" s="969">
        <v>7715</v>
      </c>
      <c r="M422" s="969"/>
      <c r="N422" s="970">
        <v>5868</v>
      </c>
      <c r="O422" s="970">
        <v>0</v>
      </c>
      <c r="P422" s="970">
        <v>0</v>
      </c>
      <c r="Q422" s="969">
        <v>10557</v>
      </c>
      <c r="R422" s="969"/>
      <c r="S422" s="970">
        <v>69864</v>
      </c>
      <c r="T422" s="972">
        <v>2981</v>
      </c>
      <c r="U422" s="972">
        <v>72845</v>
      </c>
    </row>
    <row r="423" spans="1:21" x14ac:dyDescent="0.25">
      <c r="A423" s="966">
        <v>94341</v>
      </c>
      <c r="B423" s="967" t="s">
        <v>3038</v>
      </c>
      <c r="C423" s="968">
        <v>9.4699999999999998E-5</v>
      </c>
      <c r="D423" s="968">
        <v>8.1000000000000004E-5</v>
      </c>
      <c r="E423" s="1007">
        <v>38534</v>
      </c>
      <c r="F423" s="1010">
        <v>171909</v>
      </c>
      <c r="G423" s="969">
        <v>144675</v>
      </c>
      <c r="H423" s="969"/>
      <c r="I423" s="970">
        <v>8335</v>
      </c>
      <c r="J423" s="971">
        <v>35127</v>
      </c>
      <c r="K423" s="970">
        <v>20662</v>
      </c>
      <c r="L423" s="969">
        <v>5564</v>
      </c>
      <c r="M423" s="969"/>
      <c r="N423" s="970">
        <v>4095</v>
      </c>
      <c r="O423" s="970">
        <v>0</v>
      </c>
      <c r="P423" s="970">
        <v>0</v>
      </c>
      <c r="Q423" s="969">
        <v>5713</v>
      </c>
      <c r="R423" s="969"/>
      <c r="S423" s="970">
        <v>48756</v>
      </c>
      <c r="T423" s="972">
        <v>-1783</v>
      </c>
      <c r="U423" s="972">
        <v>46973</v>
      </c>
    </row>
    <row r="424" spans="1:21" x14ac:dyDescent="0.25">
      <c r="A424" s="966">
        <v>94347</v>
      </c>
      <c r="B424" s="967" t="s">
        <v>3039</v>
      </c>
      <c r="C424" s="968">
        <v>1.22E-5</v>
      </c>
      <c r="D424" s="968">
        <v>1.2300000000000001E-5</v>
      </c>
      <c r="E424" s="1007">
        <v>8691</v>
      </c>
      <c r="F424" s="1010">
        <v>26105</v>
      </c>
      <c r="G424" s="969">
        <v>18638</v>
      </c>
      <c r="H424" s="969"/>
      <c r="I424" s="970">
        <v>1074</v>
      </c>
      <c r="J424" s="971">
        <v>4526</v>
      </c>
      <c r="K424" s="970">
        <v>2662</v>
      </c>
      <c r="L424" s="969">
        <v>4271</v>
      </c>
      <c r="M424" s="969"/>
      <c r="N424" s="970">
        <v>528</v>
      </c>
      <c r="O424" s="970">
        <v>0</v>
      </c>
      <c r="P424" s="970">
        <v>0</v>
      </c>
      <c r="Q424" s="969">
        <v>0</v>
      </c>
      <c r="R424" s="969"/>
      <c r="S424" s="970">
        <v>6281</v>
      </c>
      <c r="T424" s="972">
        <v>1892</v>
      </c>
      <c r="U424" s="972">
        <v>8173</v>
      </c>
    </row>
    <row r="425" spans="1:21" x14ac:dyDescent="0.25">
      <c r="A425" s="966">
        <v>94351</v>
      </c>
      <c r="B425" s="967" t="s">
        <v>3040</v>
      </c>
      <c r="C425" s="968">
        <v>2.433E-4</v>
      </c>
      <c r="D425" s="968">
        <v>2.377E-4</v>
      </c>
      <c r="E425" s="1007">
        <v>104639</v>
      </c>
      <c r="F425" s="1010">
        <v>504479</v>
      </c>
      <c r="G425" s="969">
        <v>371695</v>
      </c>
      <c r="H425" s="969"/>
      <c r="I425" s="970">
        <v>21413</v>
      </c>
      <c r="J425" s="971">
        <v>90248</v>
      </c>
      <c r="K425" s="970">
        <v>53083</v>
      </c>
      <c r="L425" s="969">
        <v>1592</v>
      </c>
      <c r="M425" s="969"/>
      <c r="N425" s="970">
        <v>10522</v>
      </c>
      <c r="O425" s="970">
        <v>0</v>
      </c>
      <c r="P425" s="970">
        <v>0</v>
      </c>
      <c r="Q425" s="969">
        <v>4723</v>
      </c>
      <c r="R425" s="969"/>
      <c r="S425" s="970">
        <v>125262</v>
      </c>
      <c r="T425" s="972">
        <v>-1683</v>
      </c>
      <c r="U425" s="972">
        <v>123579</v>
      </c>
    </row>
    <row r="426" spans="1:21" x14ac:dyDescent="0.25">
      <c r="A426" s="966">
        <v>94401</v>
      </c>
      <c r="B426" s="967" t="s">
        <v>3672</v>
      </c>
      <c r="C426" s="968">
        <v>3.2718000000000001E-3</v>
      </c>
      <c r="D426" s="968">
        <v>3.4548999999999999E-3</v>
      </c>
      <c r="E426" s="1007">
        <v>1551159</v>
      </c>
      <c r="F426" s="1010">
        <v>0</v>
      </c>
      <c r="G426" s="969">
        <v>4998404</v>
      </c>
      <c r="H426" s="969"/>
      <c r="I426" s="970">
        <v>287954</v>
      </c>
      <c r="J426" s="971">
        <v>1213619</v>
      </c>
      <c r="K426" s="970">
        <v>713841</v>
      </c>
      <c r="L426" s="969">
        <v>20795</v>
      </c>
      <c r="M426" s="969"/>
      <c r="N426" s="970">
        <v>141489</v>
      </c>
      <c r="O426" s="970">
        <v>0</v>
      </c>
      <c r="P426" s="970">
        <v>0</v>
      </c>
      <c r="Q426" s="969">
        <v>83776</v>
      </c>
      <c r="R426" s="969"/>
      <c r="S426" s="970">
        <v>1684467</v>
      </c>
      <c r="T426" s="972">
        <v>-11283</v>
      </c>
      <c r="U426" s="972">
        <v>1673184</v>
      </c>
    </row>
    <row r="427" spans="1:21" x14ac:dyDescent="0.25">
      <c r="A427" s="966">
        <v>94402</v>
      </c>
      <c r="B427" s="967" t="s">
        <v>3041</v>
      </c>
      <c r="C427" s="968">
        <v>0</v>
      </c>
      <c r="D427" s="968">
        <v>0</v>
      </c>
      <c r="E427" s="1007">
        <v>0</v>
      </c>
      <c r="F427" s="1010">
        <v>0</v>
      </c>
      <c r="G427" s="969">
        <v>0</v>
      </c>
      <c r="H427" s="969"/>
      <c r="I427" s="970">
        <v>0</v>
      </c>
      <c r="J427" s="971">
        <v>0</v>
      </c>
      <c r="K427" s="970">
        <v>0</v>
      </c>
      <c r="L427" s="969">
        <v>0</v>
      </c>
      <c r="M427" s="969"/>
      <c r="N427" s="970">
        <v>0</v>
      </c>
      <c r="O427" s="970">
        <v>0</v>
      </c>
      <c r="P427" s="970">
        <v>0</v>
      </c>
      <c r="Q427" s="969">
        <v>1774367</v>
      </c>
      <c r="R427" s="969"/>
      <c r="S427" s="970">
        <v>0</v>
      </c>
      <c r="T427" s="972">
        <v>-1007431</v>
      </c>
      <c r="U427" s="972">
        <v>-1007431</v>
      </c>
    </row>
    <row r="428" spans="1:21" x14ac:dyDescent="0.25">
      <c r="A428" s="966">
        <v>94403</v>
      </c>
      <c r="B428" s="967" t="s">
        <v>3673</v>
      </c>
      <c r="C428" s="968">
        <v>2.2099999999999998E-5</v>
      </c>
      <c r="D428" s="968">
        <v>0</v>
      </c>
      <c r="E428" s="1007">
        <v>9904</v>
      </c>
      <c r="F428" s="1010">
        <v>0</v>
      </c>
      <c r="G428" s="969">
        <v>33763</v>
      </c>
      <c r="H428" s="969"/>
      <c r="I428" s="970">
        <v>1945</v>
      </c>
      <c r="J428" s="971">
        <v>8198</v>
      </c>
      <c r="K428" s="970">
        <v>4822</v>
      </c>
      <c r="L428" s="969">
        <v>14624</v>
      </c>
      <c r="M428" s="969"/>
      <c r="N428" s="970">
        <v>956</v>
      </c>
      <c r="O428" s="970">
        <v>0</v>
      </c>
      <c r="P428" s="970">
        <v>0</v>
      </c>
      <c r="Q428" s="969">
        <v>0</v>
      </c>
      <c r="R428" s="969"/>
      <c r="S428" s="970">
        <v>11378</v>
      </c>
      <c r="T428" s="972">
        <v>3656</v>
      </c>
      <c r="U428" s="972">
        <v>15034</v>
      </c>
    </row>
    <row r="429" spans="1:21" x14ac:dyDescent="0.25">
      <c r="A429" s="966">
        <v>94408</v>
      </c>
      <c r="B429" s="967" t="s">
        <v>3042</v>
      </c>
      <c r="C429" s="968">
        <v>4.2400000000000001E-5</v>
      </c>
      <c r="D429" s="968">
        <v>4.0099999999999999E-5</v>
      </c>
      <c r="E429" s="1007">
        <v>14750</v>
      </c>
      <c r="F429" s="1010">
        <v>85106</v>
      </c>
      <c r="G429" s="969">
        <v>64775</v>
      </c>
      <c r="H429" s="969"/>
      <c r="I429" s="970">
        <v>3732</v>
      </c>
      <c r="J429" s="971">
        <v>15728</v>
      </c>
      <c r="K429" s="970">
        <v>9251</v>
      </c>
      <c r="L429" s="969">
        <v>7577</v>
      </c>
      <c r="M429" s="969"/>
      <c r="N429" s="970">
        <v>1834</v>
      </c>
      <c r="O429" s="970">
        <v>0</v>
      </c>
      <c r="P429" s="970">
        <v>0</v>
      </c>
      <c r="Q429" s="969">
        <v>4064</v>
      </c>
      <c r="R429" s="969"/>
      <c r="S429" s="970">
        <v>21829</v>
      </c>
      <c r="T429" s="972">
        <v>382</v>
      </c>
      <c r="U429" s="972">
        <v>22211</v>
      </c>
    </row>
    <row r="430" spans="1:21" x14ac:dyDescent="0.25">
      <c r="A430" s="966">
        <v>94411</v>
      </c>
      <c r="B430" s="967" t="s">
        <v>3043</v>
      </c>
      <c r="C430" s="968">
        <v>1.2672E-3</v>
      </c>
      <c r="D430" s="968">
        <v>1.1592E-3</v>
      </c>
      <c r="E430" s="1007">
        <v>555106</v>
      </c>
      <c r="F430" s="1010">
        <v>2460211</v>
      </c>
      <c r="G430" s="969">
        <v>1935931</v>
      </c>
      <c r="H430" s="969"/>
      <c r="I430" s="970">
        <v>111528</v>
      </c>
      <c r="J430" s="971">
        <v>470046</v>
      </c>
      <c r="K430" s="970">
        <v>276478</v>
      </c>
      <c r="L430" s="969">
        <v>63511</v>
      </c>
      <c r="M430" s="969"/>
      <c r="N430" s="970">
        <v>54800</v>
      </c>
      <c r="O430" s="970">
        <v>0</v>
      </c>
      <c r="P430" s="970">
        <v>0</v>
      </c>
      <c r="Q430" s="969">
        <v>4125</v>
      </c>
      <c r="R430" s="969"/>
      <c r="S430" s="970">
        <v>652410</v>
      </c>
      <c r="T430" s="972">
        <v>18114</v>
      </c>
      <c r="U430" s="972">
        <v>670524</v>
      </c>
    </row>
    <row r="431" spans="1:21" x14ac:dyDescent="0.25">
      <c r="A431" s="966">
        <v>94412</v>
      </c>
      <c r="B431" s="967" t="s">
        <v>3044</v>
      </c>
      <c r="C431" s="968">
        <v>1.5099999999999999E-5</v>
      </c>
      <c r="D431" s="968">
        <v>1.63E-5</v>
      </c>
      <c r="E431" s="1007">
        <v>13059</v>
      </c>
      <c r="F431" s="1010">
        <v>34594</v>
      </c>
      <c r="G431" s="969">
        <v>23069</v>
      </c>
      <c r="H431" s="969"/>
      <c r="I431" s="970">
        <v>1329</v>
      </c>
      <c r="J431" s="971">
        <v>5602</v>
      </c>
      <c r="K431" s="970">
        <v>3295</v>
      </c>
      <c r="L431" s="969">
        <v>12533</v>
      </c>
      <c r="M431" s="969"/>
      <c r="N431" s="970">
        <v>653</v>
      </c>
      <c r="O431" s="970">
        <v>0</v>
      </c>
      <c r="P431" s="970">
        <v>0</v>
      </c>
      <c r="Q431" s="969">
        <v>0</v>
      </c>
      <c r="R431" s="969"/>
      <c r="S431" s="970">
        <v>7774</v>
      </c>
      <c r="T431" s="972">
        <v>5893</v>
      </c>
      <c r="U431" s="972">
        <v>13667</v>
      </c>
    </row>
    <row r="432" spans="1:21" x14ac:dyDescent="0.25">
      <c r="A432" s="966">
        <v>94421</v>
      </c>
      <c r="B432" s="967" t="s">
        <v>3045</v>
      </c>
      <c r="C432" s="968">
        <v>1.6679999999999999E-4</v>
      </c>
      <c r="D432" s="968">
        <v>1.6899999999999999E-4</v>
      </c>
      <c r="E432" s="1007">
        <v>80768</v>
      </c>
      <c r="F432" s="1010">
        <v>358675</v>
      </c>
      <c r="G432" s="969">
        <v>254824</v>
      </c>
      <c r="H432" s="969"/>
      <c r="I432" s="970">
        <v>14680</v>
      </c>
      <c r="J432" s="971">
        <v>61871</v>
      </c>
      <c r="K432" s="970">
        <v>36392</v>
      </c>
      <c r="L432" s="969">
        <v>4157</v>
      </c>
      <c r="M432" s="969"/>
      <c r="N432" s="970">
        <v>7213</v>
      </c>
      <c r="O432" s="970">
        <v>0</v>
      </c>
      <c r="P432" s="970">
        <v>0</v>
      </c>
      <c r="Q432" s="969">
        <v>6763</v>
      </c>
      <c r="R432" s="969"/>
      <c r="S432" s="970">
        <v>85876</v>
      </c>
      <c r="T432" s="972">
        <v>-3870</v>
      </c>
      <c r="U432" s="972">
        <v>82006</v>
      </c>
    </row>
    <row r="433" spans="1:21" x14ac:dyDescent="0.25">
      <c r="A433" s="966">
        <v>94427</v>
      </c>
      <c r="B433" s="967" t="s">
        <v>3046</v>
      </c>
      <c r="C433" s="968">
        <v>1.5699999999999999E-5</v>
      </c>
      <c r="D433" s="968">
        <v>1.29E-5</v>
      </c>
      <c r="E433" s="1007">
        <v>9340</v>
      </c>
      <c r="F433" s="1010">
        <v>27378</v>
      </c>
      <c r="G433" s="969">
        <v>23985</v>
      </c>
      <c r="H433" s="969"/>
      <c r="I433" s="970">
        <v>1382</v>
      </c>
      <c r="J433" s="971">
        <v>5824</v>
      </c>
      <c r="K433" s="970">
        <v>3425</v>
      </c>
      <c r="L433" s="969">
        <v>4090</v>
      </c>
      <c r="M433" s="969"/>
      <c r="N433" s="970">
        <v>679</v>
      </c>
      <c r="O433" s="970">
        <v>0</v>
      </c>
      <c r="P433" s="970">
        <v>0</v>
      </c>
      <c r="Q433" s="969">
        <v>478</v>
      </c>
      <c r="R433" s="969"/>
      <c r="S433" s="970">
        <v>8083</v>
      </c>
      <c r="T433" s="972">
        <v>943</v>
      </c>
      <c r="U433" s="972">
        <v>9026</v>
      </c>
    </row>
    <row r="434" spans="1:21" x14ac:dyDescent="0.25">
      <c r="A434" s="966">
        <v>94428</v>
      </c>
      <c r="B434" s="967" t="s">
        <v>3047</v>
      </c>
      <c r="C434" s="968">
        <v>6.5199999999999999E-5</v>
      </c>
      <c r="D434" s="968">
        <v>7.4400000000000006E-5</v>
      </c>
      <c r="E434" s="1007">
        <v>33460</v>
      </c>
      <c r="F434" s="1010">
        <v>157902</v>
      </c>
      <c r="G434" s="969">
        <v>99608</v>
      </c>
      <c r="H434" s="969"/>
      <c r="I434" s="970">
        <v>5738</v>
      </c>
      <c r="J434" s="971">
        <v>24185</v>
      </c>
      <c r="K434" s="970">
        <v>14225</v>
      </c>
      <c r="L434" s="969">
        <v>2315</v>
      </c>
      <c r="M434" s="969"/>
      <c r="N434" s="970">
        <v>2820</v>
      </c>
      <c r="O434" s="970">
        <v>0</v>
      </c>
      <c r="P434" s="970">
        <v>0</v>
      </c>
      <c r="Q434" s="969">
        <v>3346</v>
      </c>
      <c r="R434" s="969"/>
      <c r="S434" s="970">
        <v>33568</v>
      </c>
      <c r="T434" s="972">
        <v>366</v>
      </c>
      <c r="U434" s="972">
        <v>33934</v>
      </c>
    </row>
    <row r="435" spans="1:21" x14ac:dyDescent="0.25">
      <c r="A435" s="966">
        <v>94431</v>
      </c>
      <c r="B435" s="967" t="s">
        <v>3048</v>
      </c>
      <c r="C435" s="968">
        <v>4.2440000000000002E-4</v>
      </c>
      <c r="D435" s="968">
        <v>3.7589999999999998E-4</v>
      </c>
      <c r="E435" s="1007">
        <v>293286</v>
      </c>
      <c r="F435" s="1010">
        <v>797786</v>
      </c>
      <c r="G435" s="969">
        <v>648366</v>
      </c>
      <c r="H435" s="969"/>
      <c r="I435" s="970">
        <v>37352</v>
      </c>
      <c r="J435" s="971">
        <v>157424</v>
      </c>
      <c r="K435" s="970">
        <v>92596</v>
      </c>
      <c r="L435" s="969">
        <v>210809</v>
      </c>
      <c r="M435" s="969"/>
      <c r="N435" s="970">
        <v>18353</v>
      </c>
      <c r="O435" s="970">
        <v>0</v>
      </c>
      <c r="P435" s="970">
        <v>0</v>
      </c>
      <c r="Q435" s="969">
        <v>611</v>
      </c>
      <c r="R435" s="969"/>
      <c r="S435" s="970">
        <v>218500</v>
      </c>
      <c r="T435" s="972">
        <v>68328</v>
      </c>
      <c r="U435" s="972">
        <v>286828</v>
      </c>
    </row>
    <row r="436" spans="1:21" x14ac:dyDescent="0.25">
      <c r="A436" s="966">
        <v>94437</v>
      </c>
      <c r="B436" s="967" t="s">
        <v>3049</v>
      </c>
      <c r="C436" s="968">
        <v>1.5299999999999999E-5</v>
      </c>
      <c r="D436" s="968">
        <v>1.34E-5</v>
      </c>
      <c r="E436" s="1007">
        <v>12848</v>
      </c>
      <c r="F436" s="1010">
        <v>28439</v>
      </c>
      <c r="G436" s="969">
        <v>23374</v>
      </c>
      <c r="H436" s="969"/>
      <c r="I436" s="970">
        <v>1347</v>
      </c>
      <c r="J436" s="971">
        <v>5675</v>
      </c>
      <c r="K436" s="970">
        <v>3338</v>
      </c>
      <c r="L436" s="969">
        <v>13868</v>
      </c>
      <c r="M436" s="969"/>
      <c r="N436" s="970">
        <v>662</v>
      </c>
      <c r="O436" s="970">
        <v>0</v>
      </c>
      <c r="P436" s="970">
        <v>0</v>
      </c>
      <c r="Q436" s="969">
        <v>0</v>
      </c>
      <c r="R436" s="969"/>
      <c r="S436" s="970">
        <v>7877</v>
      </c>
      <c r="T436" s="972">
        <v>5640</v>
      </c>
      <c r="U436" s="972">
        <v>13517</v>
      </c>
    </row>
    <row r="437" spans="1:21" x14ac:dyDescent="0.25">
      <c r="A437" s="966">
        <v>94501</v>
      </c>
      <c r="B437" s="967" t="s">
        <v>3050</v>
      </c>
      <c r="C437" s="968">
        <v>5.6991000000000003E-3</v>
      </c>
      <c r="D437" s="968">
        <v>5.8474E-3</v>
      </c>
      <c r="E437" s="1007">
        <v>2726192</v>
      </c>
      <c r="F437" s="1010">
        <v>12410142</v>
      </c>
      <c r="G437" s="969">
        <v>8706646</v>
      </c>
      <c r="H437" s="969"/>
      <c r="I437" s="970">
        <v>501583</v>
      </c>
      <c r="J437" s="971">
        <v>2113984</v>
      </c>
      <c r="K437" s="970">
        <v>1243430</v>
      </c>
      <c r="L437" s="969">
        <v>145440</v>
      </c>
      <c r="M437" s="969"/>
      <c r="N437" s="970">
        <v>246458</v>
      </c>
      <c r="O437" s="970">
        <v>0</v>
      </c>
      <c r="P437" s="970">
        <v>0</v>
      </c>
      <c r="Q437" s="969">
        <v>11569</v>
      </c>
      <c r="R437" s="969"/>
      <c r="S437" s="970">
        <v>2934147</v>
      </c>
      <c r="T437" s="972">
        <v>99795</v>
      </c>
      <c r="U437" s="972">
        <v>3033942</v>
      </c>
    </row>
    <row r="438" spans="1:21" x14ac:dyDescent="0.25">
      <c r="A438" s="966">
        <v>94511</v>
      </c>
      <c r="B438" s="967" t="s">
        <v>3051</v>
      </c>
      <c r="C438" s="968">
        <v>1.8538999999999999E-3</v>
      </c>
      <c r="D438" s="968">
        <v>1.7432000000000001E-3</v>
      </c>
      <c r="E438" s="1007">
        <v>773013</v>
      </c>
      <c r="F438" s="1010">
        <v>3699654</v>
      </c>
      <c r="G438" s="969">
        <v>2832246</v>
      </c>
      <c r="H438" s="969"/>
      <c r="I438" s="970">
        <v>163164</v>
      </c>
      <c r="J438" s="971">
        <v>687673</v>
      </c>
      <c r="K438" s="970">
        <v>404484</v>
      </c>
      <c r="L438" s="969">
        <v>155537</v>
      </c>
      <c r="M438" s="969"/>
      <c r="N438" s="970">
        <v>80172</v>
      </c>
      <c r="O438" s="970">
        <v>0</v>
      </c>
      <c r="P438" s="970">
        <v>0</v>
      </c>
      <c r="Q438" s="969">
        <v>31633</v>
      </c>
      <c r="R438" s="969"/>
      <c r="S438" s="970">
        <v>954469</v>
      </c>
      <c r="T438" s="972">
        <v>72914</v>
      </c>
      <c r="U438" s="972">
        <v>1027383</v>
      </c>
    </row>
    <row r="439" spans="1:21" x14ac:dyDescent="0.25">
      <c r="A439" s="966">
        <v>94512</v>
      </c>
      <c r="B439" s="967" t="s">
        <v>3052</v>
      </c>
      <c r="C439" s="968">
        <v>0</v>
      </c>
      <c r="D439" s="968">
        <v>0</v>
      </c>
      <c r="E439" s="1007">
        <v>0</v>
      </c>
      <c r="F439" s="1010">
        <v>0</v>
      </c>
      <c r="G439" s="969">
        <v>0</v>
      </c>
      <c r="H439" s="969"/>
      <c r="I439" s="970">
        <v>0</v>
      </c>
      <c r="J439" s="971">
        <v>0</v>
      </c>
      <c r="K439" s="970">
        <v>0</v>
      </c>
      <c r="L439" s="969">
        <v>0</v>
      </c>
      <c r="M439" s="969"/>
      <c r="N439" s="970">
        <v>0</v>
      </c>
      <c r="O439" s="970">
        <v>0</v>
      </c>
      <c r="P439" s="970">
        <v>0</v>
      </c>
      <c r="Q439" s="969">
        <v>138579</v>
      </c>
      <c r="R439" s="969"/>
      <c r="S439" s="970">
        <v>0</v>
      </c>
      <c r="T439" s="972">
        <v>-78713</v>
      </c>
      <c r="U439" s="972">
        <v>-78713</v>
      </c>
    </row>
    <row r="440" spans="1:21" x14ac:dyDescent="0.25">
      <c r="A440" s="966">
        <v>94517</v>
      </c>
      <c r="B440" s="967" t="s">
        <v>3053</v>
      </c>
      <c r="C440" s="968">
        <v>4.7599999999999998E-5</v>
      </c>
      <c r="D440" s="968">
        <v>4.9599999999999999E-5</v>
      </c>
      <c r="E440" s="1007">
        <v>31750</v>
      </c>
      <c r="F440" s="1010">
        <v>105268</v>
      </c>
      <c r="G440" s="969">
        <v>72720</v>
      </c>
      <c r="H440" s="969"/>
      <c r="I440" s="970">
        <v>4189</v>
      </c>
      <c r="J440" s="971">
        <v>17656</v>
      </c>
      <c r="K440" s="970">
        <v>10385</v>
      </c>
      <c r="L440" s="969">
        <v>18702</v>
      </c>
      <c r="M440" s="969"/>
      <c r="N440" s="970">
        <v>2058</v>
      </c>
      <c r="O440" s="970">
        <v>0</v>
      </c>
      <c r="P440" s="970">
        <v>0</v>
      </c>
      <c r="Q440" s="969">
        <v>0</v>
      </c>
      <c r="R440" s="969"/>
      <c r="S440" s="970">
        <v>24507</v>
      </c>
      <c r="T440" s="972">
        <v>9021</v>
      </c>
      <c r="U440" s="972">
        <v>33528</v>
      </c>
    </row>
    <row r="441" spans="1:21" x14ac:dyDescent="0.25">
      <c r="A441" s="966">
        <v>94521</v>
      </c>
      <c r="B441" s="967" t="s">
        <v>3054</v>
      </c>
      <c r="C441" s="968">
        <v>1.517E-4</v>
      </c>
      <c r="D441" s="968">
        <v>1.2410000000000001E-4</v>
      </c>
      <c r="E441" s="1007">
        <v>61289</v>
      </c>
      <c r="F441" s="1010">
        <v>263382</v>
      </c>
      <c r="G441" s="969">
        <v>231756</v>
      </c>
      <c r="H441" s="969"/>
      <c r="I441" s="970">
        <v>13351</v>
      </c>
      <c r="J441" s="971">
        <v>56271</v>
      </c>
      <c r="K441" s="970">
        <v>33098</v>
      </c>
      <c r="L441" s="969">
        <v>15354</v>
      </c>
      <c r="M441" s="969"/>
      <c r="N441" s="970">
        <v>6560</v>
      </c>
      <c r="O441" s="970">
        <v>0</v>
      </c>
      <c r="P441" s="970">
        <v>0</v>
      </c>
      <c r="Q441" s="969">
        <v>13856</v>
      </c>
      <c r="R441" s="969"/>
      <c r="S441" s="970">
        <v>78102</v>
      </c>
      <c r="T441" s="972">
        <v>429</v>
      </c>
      <c r="U441" s="972">
        <v>78531</v>
      </c>
    </row>
    <row r="442" spans="1:21" x14ac:dyDescent="0.25">
      <c r="A442" s="966">
        <v>94527</v>
      </c>
      <c r="B442" s="967" t="s">
        <v>3055</v>
      </c>
      <c r="C442" s="968">
        <v>5.4E-6</v>
      </c>
      <c r="D442" s="968">
        <v>6.3999999999999997E-6</v>
      </c>
      <c r="E442" s="1007">
        <v>2382</v>
      </c>
      <c r="F442" s="1010">
        <v>13583</v>
      </c>
      <c r="G442" s="969">
        <v>8250</v>
      </c>
      <c r="H442" s="969"/>
      <c r="I442" s="970">
        <v>475</v>
      </c>
      <c r="J442" s="971">
        <v>2003</v>
      </c>
      <c r="K442" s="970">
        <v>1178</v>
      </c>
      <c r="L442" s="969">
        <v>308</v>
      </c>
      <c r="M442" s="969"/>
      <c r="N442" s="970">
        <v>234</v>
      </c>
      <c r="O442" s="970">
        <v>0</v>
      </c>
      <c r="P442" s="970">
        <v>0</v>
      </c>
      <c r="Q442" s="969">
        <v>3369</v>
      </c>
      <c r="R442" s="969"/>
      <c r="S442" s="970">
        <v>2780</v>
      </c>
      <c r="T442" s="972">
        <v>-953</v>
      </c>
      <c r="U442" s="972">
        <v>1827</v>
      </c>
    </row>
    <row r="443" spans="1:21" x14ac:dyDescent="0.25">
      <c r="A443" s="966">
        <v>94531</v>
      </c>
      <c r="B443" s="967" t="s">
        <v>3056</v>
      </c>
      <c r="C443" s="968">
        <v>1.5E-5</v>
      </c>
      <c r="D443" s="968">
        <v>1.5500000000000001E-5</v>
      </c>
      <c r="E443" s="1007">
        <v>11396</v>
      </c>
      <c r="F443" s="1010">
        <v>32896</v>
      </c>
      <c r="G443" s="969">
        <v>22916</v>
      </c>
      <c r="H443" s="969"/>
      <c r="I443" s="970">
        <v>1320</v>
      </c>
      <c r="J443" s="971">
        <v>5564</v>
      </c>
      <c r="K443" s="970">
        <v>3273</v>
      </c>
      <c r="L443" s="969">
        <v>6665</v>
      </c>
      <c r="M443" s="969"/>
      <c r="N443" s="970">
        <v>649</v>
      </c>
      <c r="O443" s="970">
        <v>0</v>
      </c>
      <c r="P443" s="970">
        <v>0</v>
      </c>
      <c r="Q443" s="969">
        <v>0</v>
      </c>
      <c r="R443" s="969"/>
      <c r="S443" s="970">
        <v>7723</v>
      </c>
      <c r="T443" s="972">
        <v>2681</v>
      </c>
      <c r="U443" s="972">
        <v>10404</v>
      </c>
    </row>
    <row r="444" spans="1:21" x14ac:dyDescent="0.25">
      <c r="A444" s="966">
        <v>94532</v>
      </c>
      <c r="B444" s="967" t="s">
        <v>3057</v>
      </c>
      <c r="C444" s="968">
        <v>8.7800000000000006E-5</v>
      </c>
      <c r="D444" s="968">
        <v>9.4099999999999997E-5</v>
      </c>
      <c r="E444" s="1007">
        <v>45014</v>
      </c>
      <c r="F444" s="1010">
        <v>199712</v>
      </c>
      <c r="G444" s="969">
        <v>134134</v>
      </c>
      <c r="H444" s="969"/>
      <c r="I444" s="970">
        <v>7727</v>
      </c>
      <c r="J444" s="971">
        <v>32568</v>
      </c>
      <c r="K444" s="970">
        <v>19156</v>
      </c>
      <c r="L444" s="969">
        <v>0</v>
      </c>
      <c r="M444" s="969"/>
      <c r="N444" s="970">
        <v>3797</v>
      </c>
      <c r="O444" s="970">
        <v>0</v>
      </c>
      <c r="P444" s="970">
        <v>0</v>
      </c>
      <c r="Q444" s="969">
        <v>10367</v>
      </c>
      <c r="R444" s="969"/>
      <c r="S444" s="970">
        <v>45203</v>
      </c>
      <c r="T444" s="972">
        <v>-5525</v>
      </c>
      <c r="U444" s="972">
        <v>39678</v>
      </c>
    </row>
    <row r="445" spans="1:21" x14ac:dyDescent="0.25">
      <c r="A445" s="966">
        <v>94541</v>
      </c>
      <c r="B445" s="967" t="s">
        <v>3058</v>
      </c>
      <c r="C445" s="968">
        <v>2.9300000000000002E-4</v>
      </c>
      <c r="D445" s="968">
        <v>2.9839999999999999E-4</v>
      </c>
      <c r="E445" s="1007">
        <v>124372</v>
      </c>
      <c r="F445" s="1010">
        <v>633305</v>
      </c>
      <c r="G445" s="969">
        <v>447623</v>
      </c>
      <c r="H445" s="969"/>
      <c r="I445" s="970">
        <v>25787</v>
      </c>
      <c r="J445" s="971">
        <v>108683</v>
      </c>
      <c r="K445" s="970">
        <v>63927</v>
      </c>
      <c r="L445" s="969">
        <v>0</v>
      </c>
      <c r="M445" s="969"/>
      <c r="N445" s="970">
        <v>12671</v>
      </c>
      <c r="O445" s="970">
        <v>0</v>
      </c>
      <c r="P445" s="970">
        <v>0</v>
      </c>
      <c r="Q445" s="969">
        <v>27614</v>
      </c>
      <c r="R445" s="969"/>
      <c r="S445" s="970">
        <v>150849</v>
      </c>
      <c r="T445" s="972">
        <v>-10625</v>
      </c>
      <c r="U445" s="972">
        <v>140224</v>
      </c>
    </row>
    <row r="446" spans="1:21" x14ac:dyDescent="0.25">
      <c r="A446" s="966">
        <v>94547</v>
      </c>
      <c r="B446" s="967" t="s">
        <v>3059</v>
      </c>
      <c r="C446" s="968">
        <v>1.08E-5</v>
      </c>
      <c r="D446" s="968">
        <v>1.24E-5</v>
      </c>
      <c r="E446" s="1007">
        <v>8019</v>
      </c>
      <c r="F446" s="1010">
        <v>26317</v>
      </c>
      <c r="G446" s="969">
        <v>16499</v>
      </c>
      <c r="H446" s="969"/>
      <c r="I446" s="970">
        <v>951</v>
      </c>
      <c r="J446" s="971">
        <v>4006</v>
      </c>
      <c r="K446" s="970">
        <v>2356</v>
      </c>
      <c r="L446" s="969">
        <v>2853</v>
      </c>
      <c r="M446" s="969"/>
      <c r="N446" s="970">
        <v>467</v>
      </c>
      <c r="O446" s="970">
        <v>0</v>
      </c>
      <c r="P446" s="970">
        <v>0</v>
      </c>
      <c r="Q446" s="969">
        <v>0</v>
      </c>
      <c r="R446" s="969"/>
      <c r="S446" s="970">
        <v>5560</v>
      </c>
      <c r="T446" s="972">
        <v>1000</v>
      </c>
      <c r="U446" s="972">
        <v>6560</v>
      </c>
    </row>
    <row r="447" spans="1:21" x14ac:dyDescent="0.25">
      <c r="A447" s="966">
        <v>94551</v>
      </c>
      <c r="B447" s="967" t="s">
        <v>3060</v>
      </c>
      <c r="C447" s="968">
        <v>4.1900000000000002E-5</v>
      </c>
      <c r="D447" s="968">
        <v>4.5899999999999998E-5</v>
      </c>
      <c r="E447" s="1007">
        <v>24929</v>
      </c>
      <c r="F447" s="1010">
        <v>97415</v>
      </c>
      <c r="G447" s="969">
        <v>64012</v>
      </c>
      <c r="H447" s="969"/>
      <c r="I447" s="970">
        <v>3688</v>
      </c>
      <c r="J447" s="971">
        <v>15543</v>
      </c>
      <c r="K447" s="970">
        <v>9142</v>
      </c>
      <c r="L447" s="969">
        <v>11600</v>
      </c>
      <c r="M447" s="969"/>
      <c r="N447" s="970">
        <v>1812</v>
      </c>
      <c r="O447" s="970">
        <v>0</v>
      </c>
      <c r="P447" s="970">
        <v>0</v>
      </c>
      <c r="Q447" s="969">
        <v>1576</v>
      </c>
      <c r="R447" s="969"/>
      <c r="S447" s="970">
        <v>21572</v>
      </c>
      <c r="T447" s="972">
        <v>4116</v>
      </c>
      <c r="U447" s="972">
        <v>25688</v>
      </c>
    </row>
    <row r="448" spans="1:21" x14ac:dyDescent="0.25">
      <c r="A448" s="966">
        <v>94601</v>
      </c>
      <c r="B448" s="967" t="s">
        <v>3061</v>
      </c>
      <c r="C448" s="968">
        <v>1.0602999999999999E-3</v>
      </c>
      <c r="D448" s="968">
        <v>1.0011E-3</v>
      </c>
      <c r="E448" s="1007">
        <v>501425</v>
      </c>
      <c r="F448" s="1010">
        <v>2124670</v>
      </c>
      <c r="G448" s="969">
        <v>1619845</v>
      </c>
      <c r="H448" s="969"/>
      <c r="I448" s="970">
        <v>93318</v>
      </c>
      <c r="J448" s="971">
        <v>393300</v>
      </c>
      <c r="K448" s="970">
        <v>231336</v>
      </c>
      <c r="L448" s="969">
        <v>77480</v>
      </c>
      <c r="M448" s="969"/>
      <c r="N448" s="970">
        <v>45853</v>
      </c>
      <c r="O448" s="970">
        <v>0</v>
      </c>
      <c r="P448" s="970">
        <v>0</v>
      </c>
      <c r="Q448" s="969">
        <v>2182</v>
      </c>
      <c r="R448" s="969"/>
      <c r="S448" s="970">
        <v>545889</v>
      </c>
      <c r="T448" s="972">
        <v>21640</v>
      </c>
      <c r="U448" s="972">
        <v>567529</v>
      </c>
    </row>
    <row r="449" spans="1:21" x14ac:dyDescent="0.25">
      <c r="A449" s="966">
        <v>94604</v>
      </c>
      <c r="B449" s="967" t="s">
        <v>3062</v>
      </c>
      <c r="C449" s="968">
        <v>2.62E-5</v>
      </c>
      <c r="D449" s="968">
        <v>2.65E-5</v>
      </c>
      <c r="E449" s="1007">
        <v>14408</v>
      </c>
      <c r="F449" s="1010">
        <v>56242</v>
      </c>
      <c r="G449" s="969">
        <v>40026</v>
      </c>
      <c r="H449" s="969"/>
      <c r="I449" s="970">
        <v>2306</v>
      </c>
      <c r="J449" s="971">
        <v>9718</v>
      </c>
      <c r="K449" s="970">
        <v>5716</v>
      </c>
      <c r="L449" s="969">
        <v>2471</v>
      </c>
      <c r="M449" s="969"/>
      <c r="N449" s="970">
        <v>1133</v>
      </c>
      <c r="O449" s="970">
        <v>0</v>
      </c>
      <c r="P449" s="970">
        <v>0</v>
      </c>
      <c r="Q449" s="969">
        <v>26</v>
      </c>
      <c r="R449" s="969"/>
      <c r="S449" s="970">
        <v>13489</v>
      </c>
      <c r="T449" s="972">
        <v>697</v>
      </c>
      <c r="U449" s="972">
        <v>14186</v>
      </c>
    </row>
    <row r="450" spans="1:21" x14ac:dyDescent="0.25">
      <c r="A450" s="966">
        <v>94606</v>
      </c>
      <c r="B450" s="967" t="s">
        <v>3063</v>
      </c>
      <c r="C450" s="968">
        <v>2.3550000000000001E-4</v>
      </c>
      <c r="D450" s="968">
        <v>2.6229999999999998E-4</v>
      </c>
      <c r="E450" s="1007">
        <v>106916</v>
      </c>
      <c r="F450" s="1010">
        <v>556688</v>
      </c>
      <c r="G450" s="969">
        <v>359779</v>
      </c>
      <c r="H450" s="969"/>
      <c r="I450" s="970">
        <v>20727</v>
      </c>
      <c r="J450" s="971">
        <v>87355</v>
      </c>
      <c r="K450" s="970">
        <v>51381</v>
      </c>
      <c r="L450" s="969">
        <v>0</v>
      </c>
      <c r="M450" s="969"/>
      <c r="N450" s="970">
        <v>10184</v>
      </c>
      <c r="O450" s="970">
        <v>0</v>
      </c>
      <c r="P450" s="970">
        <v>0</v>
      </c>
      <c r="Q450" s="969">
        <v>51703</v>
      </c>
      <c r="R450" s="969"/>
      <c r="S450" s="970">
        <v>121246</v>
      </c>
      <c r="T450" s="972">
        <v>-24169</v>
      </c>
      <c r="U450" s="972">
        <v>97077</v>
      </c>
    </row>
    <row r="451" spans="1:21" x14ac:dyDescent="0.25">
      <c r="A451" s="966">
        <v>94611</v>
      </c>
      <c r="B451" s="967" t="s">
        <v>3064</v>
      </c>
      <c r="C451" s="968">
        <v>3.6850000000000001E-4</v>
      </c>
      <c r="D451" s="968">
        <v>4.4450000000000002E-4</v>
      </c>
      <c r="E451" s="1007">
        <v>191641</v>
      </c>
      <c r="F451" s="1010">
        <v>943378</v>
      </c>
      <c r="G451" s="969">
        <v>562966</v>
      </c>
      <c r="H451" s="969"/>
      <c r="I451" s="970">
        <v>32432</v>
      </c>
      <c r="J451" s="971">
        <v>136689</v>
      </c>
      <c r="K451" s="970">
        <v>80399</v>
      </c>
      <c r="L451" s="969">
        <v>2567</v>
      </c>
      <c r="M451" s="969"/>
      <c r="N451" s="970">
        <v>15936</v>
      </c>
      <c r="O451" s="970">
        <v>0</v>
      </c>
      <c r="P451" s="970">
        <v>0</v>
      </c>
      <c r="Q451" s="969">
        <v>35426</v>
      </c>
      <c r="R451" s="969"/>
      <c r="S451" s="970">
        <v>189720</v>
      </c>
      <c r="T451" s="972">
        <v>-9323</v>
      </c>
      <c r="U451" s="972">
        <v>180397</v>
      </c>
    </row>
    <row r="452" spans="1:21" x14ac:dyDescent="0.25">
      <c r="A452" s="966">
        <v>94621</v>
      </c>
      <c r="B452" s="967" t="s">
        <v>3065</v>
      </c>
      <c r="C452" s="968">
        <v>9.7600000000000001E-5</v>
      </c>
      <c r="D452" s="968">
        <v>1.3119999999999999E-4</v>
      </c>
      <c r="E452" s="1007">
        <v>66541</v>
      </c>
      <c r="F452" s="1010">
        <v>278450</v>
      </c>
      <c r="G452" s="969">
        <v>149106</v>
      </c>
      <c r="H452" s="969"/>
      <c r="I452" s="970">
        <v>8590</v>
      </c>
      <c r="J452" s="971">
        <v>36203</v>
      </c>
      <c r="K452" s="970">
        <v>21294</v>
      </c>
      <c r="L452" s="969">
        <v>6585</v>
      </c>
      <c r="M452" s="969"/>
      <c r="N452" s="970">
        <v>4221</v>
      </c>
      <c r="O452" s="970">
        <v>0</v>
      </c>
      <c r="P452" s="970">
        <v>0</v>
      </c>
      <c r="Q452" s="969">
        <v>18055</v>
      </c>
      <c r="R452" s="969"/>
      <c r="S452" s="970">
        <v>50249</v>
      </c>
      <c r="T452" s="972">
        <v>-1288</v>
      </c>
      <c r="U452" s="972">
        <v>48961</v>
      </c>
    </row>
    <row r="453" spans="1:21" x14ac:dyDescent="0.25">
      <c r="A453" s="966">
        <v>94631</v>
      </c>
      <c r="B453" s="967" t="s">
        <v>3066</v>
      </c>
      <c r="C453" s="968">
        <v>3.9100000000000002E-5</v>
      </c>
      <c r="D453" s="968">
        <v>3.9799999999999998E-5</v>
      </c>
      <c r="E453" s="1007">
        <v>22453</v>
      </c>
      <c r="F453" s="1010">
        <v>84469</v>
      </c>
      <c r="G453" s="969">
        <v>59734</v>
      </c>
      <c r="H453" s="969"/>
      <c r="I453" s="970">
        <v>3441</v>
      </c>
      <c r="J453" s="971">
        <v>14504</v>
      </c>
      <c r="K453" s="970">
        <v>8531</v>
      </c>
      <c r="L453" s="969">
        <v>6569</v>
      </c>
      <c r="M453" s="969"/>
      <c r="N453" s="970">
        <v>1691</v>
      </c>
      <c r="O453" s="970">
        <v>0</v>
      </c>
      <c r="P453" s="970">
        <v>0</v>
      </c>
      <c r="Q453" s="969">
        <v>0</v>
      </c>
      <c r="R453" s="969"/>
      <c r="S453" s="970">
        <v>20130</v>
      </c>
      <c r="T453" s="972">
        <v>2517</v>
      </c>
      <c r="U453" s="972">
        <v>22647</v>
      </c>
    </row>
    <row r="454" spans="1:21" x14ac:dyDescent="0.25">
      <c r="A454" s="966">
        <v>94641</v>
      </c>
      <c r="B454" s="967" t="s">
        <v>3067</v>
      </c>
      <c r="C454" s="968">
        <v>3.8999999999999999E-6</v>
      </c>
      <c r="D454" s="968">
        <v>4.6999999999999999E-6</v>
      </c>
      <c r="E454" s="1007">
        <v>5004</v>
      </c>
      <c r="F454" s="1010">
        <v>9975</v>
      </c>
      <c r="G454" s="969">
        <v>5958</v>
      </c>
      <c r="H454" s="969"/>
      <c r="I454" s="970">
        <v>343</v>
      </c>
      <c r="J454" s="971">
        <v>1446</v>
      </c>
      <c r="K454" s="970">
        <v>851</v>
      </c>
      <c r="L454" s="969">
        <v>5156</v>
      </c>
      <c r="M454" s="969"/>
      <c r="N454" s="970">
        <v>169</v>
      </c>
      <c r="O454" s="970">
        <v>0</v>
      </c>
      <c r="P454" s="970">
        <v>0</v>
      </c>
      <c r="Q454" s="969">
        <v>0</v>
      </c>
      <c r="R454" s="969"/>
      <c r="S454" s="970">
        <v>2008</v>
      </c>
      <c r="T454" s="972">
        <v>2187</v>
      </c>
      <c r="U454" s="972">
        <v>4195</v>
      </c>
    </row>
    <row r="455" spans="1:21" x14ac:dyDescent="0.25">
      <c r="A455" s="966">
        <v>94701</v>
      </c>
      <c r="B455" s="967" t="s">
        <v>3068</v>
      </c>
      <c r="C455" s="968">
        <v>2.5446000000000002E-3</v>
      </c>
      <c r="D455" s="968">
        <v>2.5636000000000001E-3</v>
      </c>
      <c r="E455" s="1007">
        <v>1148600</v>
      </c>
      <c r="F455" s="1010">
        <v>5440818</v>
      </c>
      <c r="G455" s="969">
        <v>3887444</v>
      </c>
      <c r="H455" s="969"/>
      <c r="I455" s="970">
        <v>223953</v>
      </c>
      <c r="J455" s="971">
        <v>943877</v>
      </c>
      <c r="K455" s="970">
        <v>555181</v>
      </c>
      <c r="L455" s="969">
        <v>45251</v>
      </c>
      <c r="M455" s="969"/>
      <c r="N455" s="970">
        <v>110041</v>
      </c>
      <c r="O455" s="970">
        <v>0</v>
      </c>
      <c r="P455" s="970">
        <v>0</v>
      </c>
      <c r="Q455" s="969">
        <v>103182</v>
      </c>
      <c r="R455" s="969"/>
      <c r="S455" s="970">
        <v>1310072</v>
      </c>
      <c r="T455" s="972">
        <v>-2731</v>
      </c>
      <c r="U455" s="972">
        <v>1307341</v>
      </c>
    </row>
    <row r="456" spans="1:21" x14ac:dyDescent="0.25">
      <c r="A456" s="966">
        <v>94704</v>
      </c>
      <c r="B456" s="967" t="s">
        <v>3069</v>
      </c>
      <c r="C456" s="968">
        <v>9.5000000000000005E-6</v>
      </c>
      <c r="D456" s="968">
        <v>1.04E-5</v>
      </c>
      <c r="E456" s="1007">
        <v>5070</v>
      </c>
      <c r="F456" s="1010">
        <v>22072</v>
      </c>
      <c r="G456" s="969">
        <v>14513</v>
      </c>
      <c r="H456" s="969"/>
      <c r="I456" s="970">
        <v>836</v>
      </c>
      <c r="J456" s="971">
        <v>3524</v>
      </c>
      <c r="K456" s="970">
        <v>2073</v>
      </c>
      <c r="L456" s="969">
        <v>77</v>
      </c>
      <c r="M456" s="969"/>
      <c r="N456" s="970">
        <v>411</v>
      </c>
      <c r="O456" s="970">
        <v>0</v>
      </c>
      <c r="P456" s="970">
        <v>0</v>
      </c>
      <c r="Q456" s="969">
        <v>100</v>
      </c>
      <c r="R456" s="969"/>
      <c r="S456" s="970">
        <v>4891</v>
      </c>
      <c r="T456" s="972">
        <v>38</v>
      </c>
      <c r="U456" s="972">
        <v>4929</v>
      </c>
    </row>
    <row r="457" spans="1:21" x14ac:dyDescent="0.25">
      <c r="A457" s="966">
        <v>94711</v>
      </c>
      <c r="B457" s="967" t="s">
        <v>3070</v>
      </c>
      <c r="C457" s="968">
        <v>3.3599999999999998E-4</v>
      </c>
      <c r="D457" s="968">
        <v>3.5110000000000002E-4</v>
      </c>
      <c r="E457" s="1007">
        <v>165327</v>
      </c>
      <c r="F457" s="1010">
        <v>745152</v>
      </c>
      <c r="G457" s="969">
        <v>513315</v>
      </c>
      <c r="H457" s="969"/>
      <c r="I457" s="970">
        <v>29572</v>
      </c>
      <c r="J457" s="971">
        <v>124633</v>
      </c>
      <c r="K457" s="970">
        <v>73308</v>
      </c>
      <c r="L457" s="969">
        <v>9113</v>
      </c>
      <c r="M457" s="969"/>
      <c r="N457" s="970">
        <v>14530</v>
      </c>
      <c r="O457" s="970">
        <v>0</v>
      </c>
      <c r="P457" s="970">
        <v>0</v>
      </c>
      <c r="Q457" s="969">
        <v>6693</v>
      </c>
      <c r="R457" s="969"/>
      <c r="S457" s="970">
        <v>172988</v>
      </c>
      <c r="T457" s="972">
        <v>1163</v>
      </c>
      <c r="U457" s="972">
        <v>174151</v>
      </c>
    </row>
    <row r="458" spans="1:21" x14ac:dyDescent="0.25">
      <c r="A458" s="966">
        <v>94801</v>
      </c>
      <c r="B458" s="967" t="s">
        <v>3071</v>
      </c>
      <c r="C458" s="968">
        <v>7.2440000000000004E-4</v>
      </c>
      <c r="D458" s="968">
        <v>7.6539999999999996E-4</v>
      </c>
      <c r="E458" s="1007">
        <v>342416</v>
      </c>
      <c r="F458" s="1010">
        <v>1624435</v>
      </c>
      <c r="G458" s="969">
        <v>1106683</v>
      </c>
      <c r="H458" s="969"/>
      <c r="I458" s="970">
        <v>63755</v>
      </c>
      <c r="J458" s="971">
        <v>268704</v>
      </c>
      <c r="K458" s="970">
        <v>158050</v>
      </c>
      <c r="L458" s="969">
        <v>40380</v>
      </c>
      <c r="M458" s="969"/>
      <c r="N458" s="970">
        <v>31327</v>
      </c>
      <c r="O458" s="970">
        <v>0</v>
      </c>
      <c r="P458" s="970">
        <v>0</v>
      </c>
      <c r="Q458" s="969">
        <v>19605</v>
      </c>
      <c r="R458" s="969"/>
      <c r="S458" s="970">
        <v>372953</v>
      </c>
      <c r="T458" s="972">
        <v>17711</v>
      </c>
      <c r="U458" s="972">
        <v>390664</v>
      </c>
    </row>
    <row r="459" spans="1:21" x14ac:dyDescent="0.25">
      <c r="A459" s="966">
        <v>94804</v>
      </c>
      <c r="B459" s="967" t="s">
        <v>3072</v>
      </c>
      <c r="C459" s="968">
        <v>3.8E-6</v>
      </c>
      <c r="D459" s="968">
        <v>3.8E-6</v>
      </c>
      <c r="E459" s="1007">
        <v>2740</v>
      </c>
      <c r="F459" s="1010">
        <v>8065</v>
      </c>
      <c r="G459" s="969">
        <v>5805</v>
      </c>
      <c r="H459" s="969"/>
      <c r="I459" s="970">
        <v>334</v>
      </c>
      <c r="J459" s="971">
        <v>1409</v>
      </c>
      <c r="K459" s="970">
        <v>829</v>
      </c>
      <c r="L459" s="969">
        <v>2556</v>
      </c>
      <c r="M459" s="969"/>
      <c r="N459" s="970">
        <v>164</v>
      </c>
      <c r="O459" s="970">
        <v>0</v>
      </c>
      <c r="P459" s="970">
        <v>0</v>
      </c>
      <c r="Q459" s="969">
        <v>218</v>
      </c>
      <c r="R459" s="969"/>
      <c r="S459" s="970">
        <v>1956</v>
      </c>
      <c r="T459" s="972">
        <v>1879</v>
      </c>
      <c r="U459" s="972">
        <v>3835</v>
      </c>
    </row>
    <row r="460" spans="1:21" x14ac:dyDescent="0.25">
      <c r="A460" s="966">
        <v>94812</v>
      </c>
      <c r="B460" s="967" t="s">
        <v>3073</v>
      </c>
      <c r="C460" s="968">
        <v>3.3000000000000003E-5</v>
      </c>
      <c r="D460" s="968">
        <v>3.3500000000000001E-5</v>
      </c>
      <c r="E460" s="1007">
        <v>19658</v>
      </c>
      <c r="F460" s="1010">
        <v>71098</v>
      </c>
      <c r="G460" s="969">
        <v>50415</v>
      </c>
      <c r="H460" s="969"/>
      <c r="I460" s="970">
        <v>2904</v>
      </c>
      <c r="J460" s="971">
        <v>12241</v>
      </c>
      <c r="K460" s="970">
        <v>7200</v>
      </c>
      <c r="L460" s="969">
        <v>10442</v>
      </c>
      <c r="M460" s="969"/>
      <c r="N460" s="970">
        <v>1427</v>
      </c>
      <c r="O460" s="970">
        <v>0</v>
      </c>
      <c r="P460" s="970">
        <v>0</v>
      </c>
      <c r="Q460" s="969">
        <v>0</v>
      </c>
      <c r="R460" s="969"/>
      <c r="S460" s="970">
        <v>16990</v>
      </c>
      <c r="T460" s="972">
        <v>4040</v>
      </c>
      <c r="U460" s="972">
        <v>21030</v>
      </c>
    </row>
    <row r="461" spans="1:21" x14ac:dyDescent="0.25">
      <c r="A461" s="966">
        <v>94901</v>
      </c>
      <c r="B461" s="967" t="s">
        <v>3074</v>
      </c>
      <c r="C461" s="968">
        <v>6.7841999999999998E-3</v>
      </c>
      <c r="D461" s="968">
        <v>7.0014999999999999E-3</v>
      </c>
      <c r="E461" s="1007">
        <v>3201093</v>
      </c>
      <c r="F461" s="1010">
        <v>14859529</v>
      </c>
      <c r="G461" s="969">
        <v>10364378</v>
      </c>
      <c r="H461" s="969"/>
      <c r="I461" s="970">
        <v>597084</v>
      </c>
      <c r="J461" s="971">
        <v>2516484</v>
      </c>
      <c r="K461" s="970">
        <v>1480177</v>
      </c>
      <c r="L461" s="969">
        <v>16760</v>
      </c>
      <c r="M461" s="969"/>
      <c r="N461" s="970">
        <v>293383</v>
      </c>
      <c r="O461" s="970">
        <v>0</v>
      </c>
      <c r="P461" s="970">
        <v>0</v>
      </c>
      <c r="Q461" s="969">
        <v>129476</v>
      </c>
      <c r="R461" s="969"/>
      <c r="S461" s="970">
        <v>3492805</v>
      </c>
      <c r="T461" s="972">
        <v>-36324</v>
      </c>
      <c r="U461" s="972">
        <v>3456481</v>
      </c>
    </row>
    <row r="462" spans="1:21" x14ac:dyDescent="0.25">
      <c r="A462" s="966">
        <v>94908</v>
      </c>
      <c r="B462" s="967" t="s">
        <v>3075</v>
      </c>
      <c r="C462" s="968">
        <v>7.7000000000000008E-6</v>
      </c>
      <c r="D462" s="968">
        <v>3.9799999999999998E-5</v>
      </c>
      <c r="E462" s="1007">
        <v>7868</v>
      </c>
      <c r="F462" s="1010">
        <v>84469</v>
      </c>
      <c r="G462" s="969">
        <v>11763</v>
      </c>
      <c r="H462" s="969"/>
      <c r="I462" s="970">
        <v>678</v>
      </c>
      <c r="J462" s="971">
        <v>2857</v>
      </c>
      <c r="K462" s="970">
        <v>1680</v>
      </c>
      <c r="L462" s="969">
        <v>0</v>
      </c>
      <c r="M462" s="969"/>
      <c r="N462" s="970">
        <v>333</v>
      </c>
      <c r="O462" s="970">
        <v>0</v>
      </c>
      <c r="P462" s="970">
        <v>0</v>
      </c>
      <c r="Q462" s="969">
        <v>21664</v>
      </c>
      <c r="R462" s="969"/>
      <c r="S462" s="970">
        <v>3964</v>
      </c>
      <c r="T462" s="972">
        <v>-6783</v>
      </c>
      <c r="U462" s="972">
        <v>-2819</v>
      </c>
    </row>
    <row r="463" spans="1:21" x14ac:dyDescent="0.25">
      <c r="A463" s="966">
        <v>94911</v>
      </c>
      <c r="B463" s="967" t="s">
        <v>3076</v>
      </c>
      <c r="C463" s="968">
        <v>2.8311E-3</v>
      </c>
      <c r="D463" s="968">
        <v>2.7745999999999999E-3</v>
      </c>
      <c r="E463" s="1007">
        <v>1295988</v>
      </c>
      <c r="F463" s="1010">
        <v>5888631</v>
      </c>
      <c r="G463" s="969">
        <v>4325137</v>
      </c>
      <c r="H463" s="969"/>
      <c r="I463" s="970">
        <v>249168</v>
      </c>
      <c r="J463" s="971">
        <v>1050149</v>
      </c>
      <c r="K463" s="970">
        <v>617689</v>
      </c>
      <c r="L463" s="969">
        <v>39747</v>
      </c>
      <c r="M463" s="969"/>
      <c r="N463" s="970">
        <v>122431</v>
      </c>
      <c r="O463" s="970">
        <v>0</v>
      </c>
      <c r="P463" s="970">
        <v>0</v>
      </c>
      <c r="Q463" s="969">
        <v>40147</v>
      </c>
      <c r="R463" s="969"/>
      <c r="S463" s="970">
        <v>1457575</v>
      </c>
      <c r="T463" s="972">
        <v>-7457</v>
      </c>
      <c r="U463" s="972">
        <v>1450118</v>
      </c>
    </row>
    <row r="464" spans="1:21" x14ac:dyDescent="0.25">
      <c r="A464" s="966">
        <v>94917</v>
      </c>
      <c r="B464" s="967" t="s">
        <v>3077</v>
      </c>
      <c r="C464" s="968">
        <v>3.5099999999999999E-5</v>
      </c>
      <c r="D464" s="968">
        <v>3.7400000000000001E-5</v>
      </c>
      <c r="E464" s="1007">
        <v>27131</v>
      </c>
      <c r="F464" s="1010">
        <v>79375</v>
      </c>
      <c r="G464" s="969">
        <v>53623</v>
      </c>
      <c r="H464" s="969"/>
      <c r="I464" s="970">
        <v>3089</v>
      </c>
      <c r="J464" s="971">
        <v>13020</v>
      </c>
      <c r="K464" s="970">
        <v>7658</v>
      </c>
      <c r="L464" s="969">
        <v>16574</v>
      </c>
      <c r="M464" s="969"/>
      <c r="N464" s="970">
        <v>1518</v>
      </c>
      <c r="O464" s="970">
        <v>0</v>
      </c>
      <c r="P464" s="970">
        <v>0</v>
      </c>
      <c r="Q464" s="969">
        <v>0</v>
      </c>
      <c r="R464" s="969"/>
      <c r="S464" s="970">
        <v>18071</v>
      </c>
      <c r="T464" s="972">
        <v>7114</v>
      </c>
      <c r="U464" s="972">
        <v>25185</v>
      </c>
    </row>
    <row r="465" spans="1:21" x14ac:dyDescent="0.25">
      <c r="A465" s="966">
        <v>94921</v>
      </c>
      <c r="B465" s="967" t="s">
        <v>3078</v>
      </c>
      <c r="C465" s="968">
        <v>3.9515000000000002E-3</v>
      </c>
      <c r="D465" s="968">
        <v>3.7063E-3</v>
      </c>
      <c r="E465" s="1007">
        <v>1632572</v>
      </c>
      <c r="F465" s="1010">
        <v>7866010</v>
      </c>
      <c r="G465" s="969">
        <v>6036797</v>
      </c>
      <c r="H465" s="969"/>
      <c r="I465" s="970">
        <v>347775</v>
      </c>
      <c r="J465" s="971">
        <v>1465741</v>
      </c>
      <c r="K465" s="970">
        <v>862138</v>
      </c>
      <c r="L465" s="969">
        <v>19200</v>
      </c>
      <c r="M465" s="969"/>
      <c r="N465" s="970">
        <v>170883</v>
      </c>
      <c r="O465" s="970">
        <v>0</v>
      </c>
      <c r="P465" s="970">
        <v>0</v>
      </c>
      <c r="Q465" s="969">
        <v>350239</v>
      </c>
      <c r="R465" s="969"/>
      <c r="S465" s="970">
        <v>2034406</v>
      </c>
      <c r="T465" s="972">
        <v>-150626</v>
      </c>
      <c r="U465" s="972">
        <v>1883780</v>
      </c>
    </row>
    <row r="466" spans="1:21" x14ac:dyDescent="0.25">
      <c r="A466" s="966">
        <v>94923</v>
      </c>
      <c r="B466" s="967" t="s">
        <v>3079</v>
      </c>
      <c r="C466" s="968">
        <v>3.0700000000000001E-5</v>
      </c>
      <c r="D466" s="968">
        <v>2.4499999999999999E-5</v>
      </c>
      <c r="E466" s="1007">
        <v>14810</v>
      </c>
      <c r="F466" s="1010">
        <v>51997</v>
      </c>
      <c r="G466" s="969">
        <v>46901</v>
      </c>
      <c r="H466" s="969"/>
      <c r="I466" s="970">
        <v>2702</v>
      </c>
      <c r="J466" s="971">
        <v>11387</v>
      </c>
      <c r="K466" s="970">
        <v>6698</v>
      </c>
      <c r="L466" s="969">
        <v>5727</v>
      </c>
      <c r="M466" s="969"/>
      <c r="N466" s="970">
        <v>1328</v>
      </c>
      <c r="O466" s="970">
        <v>0</v>
      </c>
      <c r="P466" s="970">
        <v>0</v>
      </c>
      <c r="Q466" s="969">
        <v>86</v>
      </c>
      <c r="R466" s="969"/>
      <c r="S466" s="970">
        <v>15806</v>
      </c>
      <c r="T466" s="972">
        <v>1556</v>
      </c>
      <c r="U466" s="972">
        <v>17362</v>
      </c>
    </row>
    <row r="467" spans="1:21" x14ac:dyDescent="0.25">
      <c r="A467" s="966">
        <v>94927</v>
      </c>
      <c r="B467" s="967" t="s">
        <v>3080</v>
      </c>
      <c r="C467" s="968">
        <v>3.0599999999999998E-5</v>
      </c>
      <c r="D467" s="968">
        <v>3.3899999999999997E-5</v>
      </c>
      <c r="E467" s="1007">
        <v>17353</v>
      </c>
      <c r="F467" s="1010">
        <v>71947</v>
      </c>
      <c r="G467" s="969">
        <v>46748</v>
      </c>
      <c r="H467" s="969"/>
      <c r="I467" s="970">
        <v>2693</v>
      </c>
      <c r="J467" s="971">
        <v>11350</v>
      </c>
      <c r="K467" s="970">
        <v>6676</v>
      </c>
      <c r="L467" s="969">
        <v>2683</v>
      </c>
      <c r="M467" s="969"/>
      <c r="N467" s="970">
        <v>1323</v>
      </c>
      <c r="O467" s="970">
        <v>0</v>
      </c>
      <c r="P467" s="970">
        <v>0</v>
      </c>
      <c r="Q467" s="969">
        <v>26</v>
      </c>
      <c r="R467" s="969"/>
      <c r="S467" s="970">
        <v>15754</v>
      </c>
      <c r="T467" s="972">
        <v>911</v>
      </c>
      <c r="U467" s="972">
        <v>16665</v>
      </c>
    </row>
    <row r="468" spans="1:21" x14ac:dyDescent="0.25">
      <c r="A468" s="966">
        <v>94931</v>
      </c>
      <c r="B468" s="967" t="s">
        <v>3081</v>
      </c>
      <c r="C468" s="968">
        <v>2.163E-4</v>
      </c>
      <c r="D468" s="968">
        <v>2.1130000000000001E-4</v>
      </c>
      <c r="E468" s="1007">
        <v>96302</v>
      </c>
      <c r="F468" s="1010">
        <v>448449</v>
      </c>
      <c r="G468" s="969">
        <v>330446</v>
      </c>
      <c r="H468" s="969"/>
      <c r="I468" s="970">
        <v>19037</v>
      </c>
      <c r="J468" s="971">
        <v>80233</v>
      </c>
      <c r="K468" s="970">
        <v>47192</v>
      </c>
      <c r="L468" s="969">
        <v>954</v>
      </c>
      <c r="M468" s="969"/>
      <c r="N468" s="970">
        <v>9354</v>
      </c>
      <c r="O468" s="970">
        <v>0</v>
      </c>
      <c r="P468" s="970">
        <v>0</v>
      </c>
      <c r="Q468" s="969">
        <v>15740</v>
      </c>
      <c r="R468" s="969"/>
      <c r="S468" s="970">
        <v>111361</v>
      </c>
      <c r="T468" s="972">
        <v>-7901</v>
      </c>
      <c r="U468" s="972">
        <v>103460</v>
      </c>
    </row>
    <row r="469" spans="1:21" x14ac:dyDescent="0.25">
      <c r="A469" s="966">
        <v>94941</v>
      </c>
      <c r="B469" s="967" t="s">
        <v>3082</v>
      </c>
      <c r="C469" s="968">
        <v>5.7879999999999997E-4</v>
      </c>
      <c r="D469" s="968">
        <v>5.2959999999999997E-4</v>
      </c>
      <c r="E469" s="1007">
        <v>242954</v>
      </c>
      <c r="F469" s="1010">
        <v>1123989</v>
      </c>
      <c r="G469" s="969">
        <v>884246</v>
      </c>
      <c r="H469" s="969"/>
      <c r="I469" s="970">
        <v>50941</v>
      </c>
      <c r="J469" s="971">
        <v>214696</v>
      </c>
      <c r="K469" s="970">
        <v>126283</v>
      </c>
      <c r="L469" s="969">
        <v>68775</v>
      </c>
      <c r="M469" s="969"/>
      <c r="N469" s="970">
        <v>25030</v>
      </c>
      <c r="O469" s="970">
        <v>0</v>
      </c>
      <c r="P469" s="970">
        <v>0</v>
      </c>
      <c r="Q469" s="969">
        <v>0</v>
      </c>
      <c r="R469" s="969"/>
      <c r="S469" s="970">
        <v>297992</v>
      </c>
      <c r="T469" s="972">
        <v>46151</v>
      </c>
      <c r="U469" s="972">
        <v>344143</v>
      </c>
    </row>
    <row r="470" spans="1:21" x14ac:dyDescent="0.25">
      <c r="A470" s="966">
        <v>95001</v>
      </c>
      <c r="B470" s="967" t="s">
        <v>3083</v>
      </c>
      <c r="C470" s="968">
        <v>2.4867000000000001E-3</v>
      </c>
      <c r="D470" s="968">
        <v>2.3779000000000001E-3</v>
      </c>
      <c r="E470" s="1007">
        <v>1196131</v>
      </c>
      <c r="F470" s="1010">
        <v>5046700</v>
      </c>
      <c r="G470" s="969">
        <v>3798989</v>
      </c>
      <c r="H470" s="969"/>
      <c r="I470" s="970">
        <v>218857</v>
      </c>
      <c r="J470" s="971">
        <v>922399</v>
      </c>
      <c r="K470" s="970">
        <v>542548</v>
      </c>
      <c r="L470" s="969">
        <v>176888</v>
      </c>
      <c r="M470" s="969"/>
      <c r="N470" s="970">
        <v>107537</v>
      </c>
      <c r="O470" s="970">
        <v>0</v>
      </c>
      <c r="P470" s="970">
        <v>0</v>
      </c>
      <c r="Q470" s="969">
        <v>3991</v>
      </c>
      <c r="R470" s="969"/>
      <c r="S470" s="970">
        <v>1280263</v>
      </c>
      <c r="T470" s="972">
        <v>51652</v>
      </c>
      <c r="U470" s="972">
        <v>1331915</v>
      </c>
    </row>
    <row r="471" spans="1:21" x14ac:dyDescent="0.25">
      <c r="A471" s="966">
        <v>95002</v>
      </c>
      <c r="B471" s="967" t="s">
        <v>3084</v>
      </c>
      <c r="C471" s="968">
        <v>1.907E-4</v>
      </c>
      <c r="D471" s="968">
        <v>2.0120000000000001E-4</v>
      </c>
      <c r="E471" s="1007">
        <v>100854</v>
      </c>
      <c r="F471" s="1010">
        <v>427014</v>
      </c>
      <c r="G471" s="969">
        <v>291337</v>
      </c>
      <c r="H471" s="969"/>
      <c r="I471" s="970">
        <v>16784</v>
      </c>
      <c r="J471" s="971">
        <v>70737</v>
      </c>
      <c r="K471" s="970">
        <v>41607</v>
      </c>
      <c r="L471" s="969">
        <v>15647</v>
      </c>
      <c r="M471" s="969"/>
      <c r="N471" s="970">
        <v>8247</v>
      </c>
      <c r="O471" s="970">
        <v>0</v>
      </c>
      <c r="P471" s="970">
        <v>0</v>
      </c>
      <c r="Q471" s="969">
        <v>0</v>
      </c>
      <c r="R471" s="969"/>
      <c r="S471" s="970">
        <v>98181</v>
      </c>
      <c r="T471" s="972">
        <v>6293</v>
      </c>
      <c r="U471" s="972">
        <v>104474</v>
      </c>
    </row>
    <row r="472" spans="1:21" x14ac:dyDescent="0.25">
      <c r="A472" s="966">
        <v>95005</v>
      </c>
      <c r="B472" s="967" t="s">
        <v>3085</v>
      </c>
      <c r="C472" s="968">
        <v>2.2949999999999999E-4</v>
      </c>
      <c r="D472" s="968">
        <v>2.3829999999999999E-4</v>
      </c>
      <c r="E472" s="1007">
        <v>111067</v>
      </c>
      <c r="F472" s="1010">
        <v>505752</v>
      </c>
      <c r="G472" s="969">
        <v>350612</v>
      </c>
      <c r="H472" s="969"/>
      <c r="I472" s="970">
        <v>20199</v>
      </c>
      <c r="J472" s="971">
        <v>85129</v>
      </c>
      <c r="K472" s="970">
        <v>50072</v>
      </c>
      <c r="L472" s="969">
        <v>13727</v>
      </c>
      <c r="M472" s="969"/>
      <c r="N472" s="970">
        <v>9925</v>
      </c>
      <c r="O472" s="970">
        <v>0</v>
      </c>
      <c r="P472" s="970">
        <v>0</v>
      </c>
      <c r="Q472" s="969">
        <v>1630</v>
      </c>
      <c r="R472" s="969"/>
      <c r="S472" s="970">
        <v>118157</v>
      </c>
      <c r="T472" s="972">
        <v>9042</v>
      </c>
      <c r="U472" s="972">
        <v>127199</v>
      </c>
    </row>
    <row r="473" spans="1:21" x14ac:dyDescent="0.25">
      <c r="A473" s="966">
        <v>95008</v>
      </c>
      <c r="B473" s="967" t="s">
        <v>3086</v>
      </c>
      <c r="C473" s="968">
        <v>1.1519999999999999E-4</v>
      </c>
      <c r="D473" s="968">
        <v>1.169E-4</v>
      </c>
      <c r="E473" s="1007">
        <v>62834</v>
      </c>
      <c r="F473" s="1010">
        <v>248101</v>
      </c>
      <c r="G473" s="969">
        <v>175994</v>
      </c>
      <c r="H473" s="969"/>
      <c r="I473" s="970">
        <v>10139</v>
      </c>
      <c r="J473" s="971">
        <v>42731</v>
      </c>
      <c r="K473" s="970">
        <v>25134</v>
      </c>
      <c r="L473" s="969">
        <v>19189</v>
      </c>
      <c r="M473" s="969"/>
      <c r="N473" s="970">
        <v>4982</v>
      </c>
      <c r="O473" s="970">
        <v>0</v>
      </c>
      <c r="P473" s="970">
        <v>0</v>
      </c>
      <c r="Q473" s="969">
        <v>6239</v>
      </c>
      <c r="R473" s="969"/>
      <c r="S473" s="970">
        <v>59310</v>
      </c>
      <c r="T473" s="972">
        <v>9098</v>
      </c>
      <c r="U473" s="972">
        <v>68408</v>
      </c>
    </row>
    <row r="474" spans="1:21" x14ac:dyDescent="0.25">
      <c r="A474" s="966">
        <v>95009</v>
      </c>
      <c r="B474" s="967" t="s">
        <v>3674</v>
      </c>
      <c r="C474" s="968">
        <v>4.2208999999999997E-3</v>
      </c>
      <c r="D474" s="968">
        <v>3.9902000000000002E-3</v>
      </c>
      <c r="E474" s="1007">
        <v>1917856</v>
      </c>
      <c r="F474" s="1010">
        <v>0</v>
      </c>
      <c r="G474" s="969">
        <v>6448366</v>
      </c>
      <c r="H474" s="969"/>
      <c r="I474" s="970">
        <v>371486</v>
      </c>
      <c r="J474" s="971">
        <v>1565671</v>
      </c>
      <c r="K474" s="970">
        <v>920916</v>
      </c>
      <c r="L474" s="969">
        <v>897451</v>
      </c>
      <c r="M474" s="969"/>
      <c r="N474" s="970">
        <v>182533</v>
      </c>
      <c r="O474" s="970">
        <v>0</v>
      </c>
      <c r="P474" s="970">
        <v>0</v>
      </c>
      <c r="Q474" s="969">
        <v>0</v>
      </c>
      <c r="R474" s="969"/>
      <c r="S474" s="970">
        <v>2173105</v>
      </c>
      <c r="T474" s="972">
        <v>582135</v>
      </c>
      <c r="U474" s="972">
        <v>2755240</v>
      </c>
    </row>
    <row r="475" spans="1:21" x14ac:dyDescent="0.25">
      <c r="A475" s="966">
        <v>95011</v>
      </c>
      <c r="B475" s="967" t="s">
        <v>3088</v>
      </c>
      <c r="C475" s="968">
        <v>1.8000000000000001E-4</v>
      </c>
      <c r="D475" s="968">
        <v>1.707E-4</v>
      </c>
      <c r="E475" s="1007">
        <v>78934</v>
      </c>
      <c r="F475" s="1010">
        <v>362283</v>
      </c>
      <c r="G475" s="969">
        <v>274990</v>
      </c>
      <c r="H475" s="969"/>
      <c r="I475" s="970">
        <v>15842</v>
      </c>
      <c r="J475" s="971">
        <v>66768</v>
      </c>
      <c r="K475" s="970">
        <v>39272</v>
      </c>
      <c r="L475" s="969">
        <v>3275</v>
      </c>
      <c r="M475" s="969"/>
      <c r="N475" s="970">
        <v>7784</v>
      </c>
      <c r="O475" s="970">
        <v>0</v>
      </c>
      <c r="P475" s="970">
        <v>0</v>
      </c>
      <c r="Q475" s="969">
        <v>8909</v>
      </c>
      <c r="R475" s="969"/>
      <c r="S475" s="970">
        <v>92672</v>
      </c>
      <c r="T475" s="972">
        <v>-3840</v>
      </c>
      <c r="U475" s="972">
        <v>88832</v>
      </c>
    </row>
    <row r="476" spans="1:21" x14ac:dyDescent="0.25">
      <c r="A476" s="966">
        <v>95017</v>
      </c>
      <c r="B476" s="967" t="s">
        <v>3089</v>
      </c>
      <c r="C476" s="968">
        <v>3.8800000000000001E-5</v>
      </c>
      <c r="D476" s="968">
        <v>3.5800000000000003E-5</v>
      </c>
      <c r="E476" s="1007">
        <v>15330</v>
      </c>
      <c r="F476" s="1010">
        <v>75980</v>
      </c>
      <c r="G476" s="969">
        <v>59276</v>
      </c>
      <c r="H476" s="969"/>
      <c r="I476" s="970">
        <v>3415</v>
      </c>
      <c r="J476" s="971">
        <v>14392</v>
      </c>
      <c r="K476" s="970">
        <v>8465</v>
      </c>
      <c r="L476" s="969">
        <v>13339</v>
      </c>
      <c r="M476" s="969"/>
      <c r="N476" s="970">
        <v>1678</v>
      </c>
      <c r="O476" s="970">
        <v>0</v>
      </c>
      <c r="P476" s="970">
        <v>0</v>
      </c>
      <c r="Q476" s="969">
        <v>0</v>
      </c>
      <c r="R476" s="969"/>
      <c r="S476" s="970">
        <v>19976</v>
      </c>
      <c r="T476" s="972">
        <v>7635</v>
      </c>
      <c r="U476" s="972">
        <v>27611</v>
      </c>
    </row>
    <row r="477" spans="1:21" x14ac:dyDescent="0.25">
      <c r="A477" s="966">
        <v>95101</v>
      </c>
      <c r="B477" s="967" t="s">
        <v>3090</v>
      </c>
      <c r="C477" s="968">
        <v>8.3750999999999999E-3</v>
      </c>
      <c r="D477" s="968">
        <v>8.0955999999999997E-3</v>
      </c>
      <c r="E477" s="1007">
        <v>3555097</v>
      </c>
      <c r="F477" s="1010">
        <v>17181575</v>
      </c>
      <c r="G477" s="969">
        <v>12794833</v>
      </c>
      <c r="H477" s="969"/>
      <c r="I477" s="970">
        <v>737101</v>
      </c>
      <c r="J477" s="971">
        <v>3106601</v>
      </c>
      <c r="K477" s="970">
        <v>1827279</v>
      </c>
      <c r="L477" s="969">
        <v>39562</v>
      </c>
      <c r="M477" s="969"/>
      <c r="N477" s="970">
        <v>362181</v>
      </c>
      <c r="O477" s="970">
        <v>0</v>
      </c>
      <c r="P477" s="970">
        <v>0</v>
      </c>
      <c r="Q477" s="969">
        <v>114122</v>
      </c>
      <c r="R477" s="969"/>
      <c r="S477" s="970">
        <v>4311870</v>
      </c>
      <c r="T477" s="972">
        <v>1978</v>
      </c>
      <c r="U477" s="972">
        <v>4313848</v>
      </c>
    </row>
    <row r="478" spans="1:21" x14ac:dyDescent="0.25">
      <c r="A478" s="966">
        <v>95103</v>
      </c>
      <c r="B478" s="967" t="s">
        <v>3091</v>
      </c>
      <c r="C478" s="968">
        <v>4.9100000000000001E-5</v>
      </c>
      <c r="D478" s="968">
        <v>6.02E-5</v>
      </c>
      <c r="E478" s="1007">
        <v>33036</v>
      </c>
      <c r="F478" s="1010">
        <v>127765</v>
      </c>
      <c r="G478" s="969">
        <v>75011</v>
      </c>
      <c r="H478" s="969"/>
      <c r="I478" s="970">
        <v>4321</v>
      </c>
      <c r="J478" s="971">
        <v>18213</v>
      </c>
      <c r="K478" s="970">
        <v>10713</v>
      </c>
      <c r="L478" s="969">
        <v>24203</v>
      </c>
      <c r="M478" s="969"/>
      <c r="N478" s="970">
        <v>2123</v>
      </c>
      <c r="O478" s="970">
        <v>0</v>
      </c>
      <c r="P478" s="970">
        <v>0</v>
      </c>
      <c r="Q478" s="969">
        <v>0</v>
      </c>
      <c r="R478" s="969"/>
      <c r="S478" s="970">
        <v>25279</v>
      </c>
      <c r="T478" s="972">
        <v>18053</v>
      </c>
      <c r="U478" s="972">
        <v>43332</v>
      </c>
    </row>
    <row r="479" spans="1:21" x14ac:dyDescent="0.25">
      <c r="A479" s="966">
        <v>95104</v>
      </c>
      <c r="B479" s="967" t="s">
        <v>3092</v>
      </c>
      <c r="C479" s="968">
        <v>1.02E-4</v>
      </c>
      <c r="D479" s="968">
        <v>1.011E-4</v>
      </c>
      <c r="E479" s="1007">
        <v>55856</v>
      </c>
      <c r="F479" s="1010">
        <v>214568</v>
      </c>
      <c r="G479" s="969">
        <v>155828</v>
      </c>
      <c r="H479" s="969"/>
      <c r="I479" s="970">
        <v>8977</v>
      </c>
      <c r="J479" s="971">
        <v>37835</v>
      </c>
      <c r="K479" s="970">
        <v>22254</v>
      </c>
      <c r="L479" s="969">
        <v>19729</v>
      </c>
      <c r="M479" s="969"/>
      <c r="N479" s="970">
        <v>4411</v>
      </c>
      <c r="O479" s="970">
        <v>0</v>
      </c>
      <c r="P479" s="970">
        <v>0</v>
      </c>
      <c r="Q479" s="969">
        <v>0</v>
      </c>
      <c r="R479" s="969"/>
      <c r="S479" s="970">
        <v>52514</v>
      </c>
      <c r="T479" s="972">
        <v>8399</v>
      </c>
      <c r="U479" s="972">
        <v>60913</v>
      </c>
    </row>
    <row r="480" spans="1:21" x14ac:dyDescent="0.25">
      <c r="A480" s="966">
        <v>95105</v>
      </c>
      <c r="B480" s="967" t="s">
        <v>3093</v>
      </c>
      <c r="C480" s="968">
        <v>6.1099999999999994E-5</v>
      </c>
      <c r="D480" s="968">
        <v>6.3700000000000003E-5</v>
      </c>
      <c r="E480" s="1007">
        <v>33363</v>
      </c>
      <c r="F480" s="1010">
        <v>135193</v>
      </c>
      <c r="G480" s="969">
        <v>93344</v>
      </c>
      <c r="H480" s="969"/>
      <c r="I480" s="970">
        <v>5377</v>
      </c>
      <c r="J480" s="971">
        <v>22664</v>
      </c>
      <c r="K480" s="970">
        <v>13331</v>
      </c>
      <c r="L480" s="969">
        <v>8129</v>
      </c>
      <c r="M480" s="969"/>
      <c r="N480" s="970">
        <v>2642</v>
      </c>
      <c r="O480" s="970">
        <v>0</v>
      </c>
      <c r="P480" s="970">
        <v>0</v>
      </c>
      <c r="Q480" s="969">
        <v>0</v>
      </c>
      <c r="R480" s="969"/>
      <c r="S480" s="970">
        <v>31457</v>
      </c>
      <c r="T480" s="972">
        <v>4018</v>
      </c>
      <c r="U480" s="972">
        <v>35475</v>
      </c>
    </row>
    <row r="481" spans="1:21" x14ac:dyDescent="0.25">
      <c r="A481" s="966">
        <v>95106</v>
      </c>
      <c r="B481" s="967" t="s">
        <v>3094</v>
      </c>
      <c r="C481" s="968">
        <v>1.2099999999999999E-5</v>
      </c>
      <c r="D481" s="968">
        <v>1.3900000000000001E-5</v>
      </c>
      <c r="E481" s="1007">
        <v>5272</v>
      </c>
      <c r="F481" s="1010">
        <v>29500</v>
      </c>
      <c r="G481" s="969">
        <v>18485</v>
      </c>
      <c r="H481" s="969"/>
      <c r="I481" s="970">
        <v>1065</v>
      </c>
      <c r="J481" s="971">
        <v>4488</v>
      </c>
      <c r="K481" s="970">
        <v>2640</v>
      </c>
      <c r="L481" s="969">
        <v>4918</v>
      </c>
      <c r="M481" s="969"/>
      <c r="N481" s="970">
        <v>523</v>
      </c>
      <c r="O481" s="970">
        <v>0</v>
      </c>
      <c r="P481" s="970">
        <v>0</v>
      </c>
      <c r="Q481" s="969">
        <v>1433</v>
      </c>
      <c r="R481" s="969"/>
      <c r="S481" s="970">
        <v>6230</v>
      </c>
      <c r="T481" s="972">
        <v>2234</v>
      </c>
      <c r="U481" s="972">
        <v>8464</v>
      </c>
    </row>
    <row r="482" spans="1:21" x14ac:dyDescent="0.25">
      <c r="A482" s="966">
        <v>95110</v>
      </c>
      <c r="B482" s="967" t="s">
        <v>3095</v>
      </c>
      <c r="C482" s="968">
        <v>4.2902000000000001E-3</v>
      </c>
      <c r="D482" s="968">
        <v>4.4609000000000003E-3</v>
      </c>
      <c r="E482" s="1007">
        <v>1965505</v>
      </c>
      <c r="F482" s="1010">
        <v>9467524</v>
      </c>
      <c r="G482" s="969">
        <v>6554237</v>
      </c>
      <c r="H482" s="969"/>
      <c r="I482" s="970">
        <v>377585</v>
      </c>
      <c r="J482" s="971">
        <v>1591377</v>
      </c>
      <c r="K482" s="970">
        <v>936036</v>
      </c>
      <c r="L482" s="969">
        <v>0</v>
      </c>
      <c r="M482" s="969"/>
      <c r="N482" s="970">
        <v>185530</v>
      </c>
      <c r="O482" s="970">
        <v>0</v>
      </c>
      <c r="P482" s="970">
        <v>0</v>
      </c>
      <c r="Q482" s="969">
        <v>1097124</v>
      </c>
      <c r="R482" s="969"/>
      <c r="S482" s="970">
        <v>2208784</v>
      </c>
      <c r="T482" s="972">
        <v>-636198</v>
      </c>
      <c r="U482" s="972">
        <v>1572586</v>
      </c>
    </row>
    <row r="483" spans="1:21" x14ac:dyDescent="0.25">
      <c r="A483" s="966">
        <v>95111</v>
      </c>
      <c r="B483" s="967" t="s">
        <v>3096</v>
      </c>
      <c r="C483" s="968">
        <v>1.0778999999999999E-3</v>
      </c>
      <c r="D483" s="968">
        <v>1.0709000000000001E-3</v>
      </c>
      <c r="E483" s="1007">
        <v>470003</v>
      </c>
      <c r="F483" s="1010">
        <v>2272809</v>
      </c>
      <c r="G483" s="969">
        <v>1646733</v>
      </c>
      <c r="H483" s="969"/>
      <c r="I483" s="970">
        <v>94867</v>
      </c>
      <c r="J483" s="971">
        <v>399829</v>
      </c>
      <c r="K483" s="970">
        <v>235176</v>
      </c>
      <c r="L483" s="969">
        <v>0</v>
      </c>
      <c r="M483" s="969"/>
      <c r="N483" s="970">
        <v>46614</v>
      </c>
      <c r="O483" s="970">
        <v>0</v>
      </c>
      <c r="P483" s="970">
        <v>0</v>
      </c>
      <c r="Q483" s="969">
        <v>120462</v>
      </c>
      <c r="R483" s="969"/>
      <c r="S483" s="970">
        <v>554950</v>
      </c>
      <c r="T483" s="972">
        <v>-59518</v>
      </c>
      <c r="U483" s="972">
        <v>495432</v>
      </c>
    </row>
    <row r="484" spans="1:21" x14ac:dyDescent="0.25">
      <c r="A484" s="966">
        <v>95113</v>
      </c>
      <c r="B484" s="967" t="s">
        <v>3097</v>
      </c>
      <c r="C484" s="968">
        <v>4.6699999999999997E-5</v>
      </c>
      <c r="D484" s="968">
        <v>4.7500000000000003E-5</v>
      </c>
      <c r="E484" s="1007">
        <v>66187</v>
      </c>
      <c r="F484" s="1010">
        <v>100811</v>
      </c>
      <c r="G484" s="969">
        <v>71345</v>
      </c>
      <c r="H484" s="969"/>
      <c r="I484" s="970">
        <v>4110</v>
      </c>
      <c r="J484" s="971">
        <v>17322</v>
      </c>
      <c r="K484" s="970">
        <v>10189</v>
      </c>
      <c r="L484" s="969">
        <v>82563</v>
      </c>
      <c r="M484" s="969"/>
      <c r="N484" s="970">
        <v>2020</v>
      </c>
      <c r="O484" s="970">
        <v>0</v>
      </c>
      <c r="P484" s="970">
        <v>0</v>
      </c>
      <c r="Q484" s="969">
        <v>0</v>
      </c>
      <c r="R484" s="969"/>
      <c r="S484" s="970">
        <v>24043</v>
      </c>
      <c r="T484" s="972">
        <v>31359</v>
      </c>
      <c r="U484" s="972">
        <v>55402</v>
      </c>
    </row>
    <row r="485" spans="1:21" x14ac:dyDescent="0.25">
      <c r="A485" s="966">
        <v>95121</v>
      </c>
      <c r="B485" s="967" t="s">
        <v>3098</v>
      </c>
      <c r="C485" s="968">
        <v>4.9770000000000001E-4</v>
      </c>
      <c r="D485" s="968">
        <v>4.9580000000000002E-4</v>
      </c>
      <c r="E485" s="1007">
        <v>224754</v>
      </c>
      <c r="F485" s="1010">
        <v>1052254</v>
      </c>
      <c r="G485" s="969">
        <v>760348</v>
      </c>
      <c r="H485" s="969"/>
      <c r="I485" s="970">
        <v>43803</v>
      </c>
      <c r="J485" s="971">
        <v>184613</v>
      </c>
      <c r="K485" s="970">
        <v>108588</v>
      </c>
      <c r="L485" s="969">
        <v>12640</v>
      </c>
      <c r="M485" s="969"/>
      <c r="N485" s="970">
        <v>21523</v>
      </c>
      <c r="O485" s="970">
        <v>0</v>
      </c>
      <c r="P485" s="970">
        <v>0</v>
      </c>
      <c r="Q485" s="969">
        <v>14371</v>
      </c>
      <c r="R485" s="969"/>
      <c r="S485" s="970">
        <v>256238</v>
      </c>
      <c r="T485" s="972">
        <v>-7628</v>
      </c>
      <c r="U485" s="972">
        <v>248610</v>
      </c>
    </row>
    <row r="486" spans="1:21" x14ac:dyDescent="0.25">
      <c r="A486" s="966">
        <v>95122</v>
      </c>
      <c r="B486" s="967" t="s">
        <v>3099</v>
      </c>
      <c r="C486" s="968">
        <v>6.4999999999999996E-6</v>
      </c>
      <c r="D486" s="968">
        <v>2.7999999999999999E-6</v>
      </c>
      <c r="E486" s="1007">
        <v>3103</v>
      </c>
      <c r="F486" s="1010">
        <v>5943</v>
      </c>
      <c r="G486" s="969">
        <v>9930</v>
      </c>
      <c r="H486" s="969"/>
      <c r="I486" s="970">
        <v>572</v>
      </c>
      <c r="J486" s="971">
        <v>2411</v>
      </c>
      <c r="K486" s="970">
        <v>1418</v>
      </c>
      <c r="L486" s="969">
        <v>3675</v>
      </c>
      <c r="M486" s="969"/>
      <c r="N486" s="970">
        <v>281</v>
      </c>
      <c r="O486" s="970">
        <v>0</v>
      </c>
      <c r="P486" s="970">
        <v>0</v>
      </c>
      <c r="Q486" s="969">
        <v>0</v>
      </c>
      <c r="R486" s="969"/>
      <c r="S486" s="970">
        <v>3346</v>
      </c>
      <c r="T486" s="972">
        <v>1103</v>
      </c>
      <c r="U486" s="972">
        <v>4449</v>
      </c>
    </row>
    <row r="487" spans="1:21" x14ac:dyDescent="0.25">
      <c r="A487" s="966">
        <v>95123</v>
      </c>
      <c r="B487" s="967" t="s">
        <v>3100</v>
      </c>
      <c r="C487" s="968">
        <v>5.7399999999999999E-5</v>
      </c>
      <c r="D487" s="968">
        <v>5.6700000000000003E-5</v>
      </c>
      <c r="E487" s="1007">
        <v>29191</v>
      </c>
      <c r="F487" s="1010">
        <v>120336</v>
      </c>
      <c r="G487" s="969">
        <v>87691</v>
      </c>
      <c r="H487" s="969"/>
      <c r="I487" s="970">
        <v>5052</v>
      </c>
      <c r="J487" s="971">
        <v>21291</v>
      </c>
      <c r="K487" s="970">
        <v>12524</v>
      </c>
      <c r="L487" s="969">
        <v>8811</v>
      </c>
      <c r="M487" s="969"/>
      <c r="N487" s="970">
        <v>2482</v>
      </c>
      <c r="O487" s="970">
        <v>0</v>
      </c>
      <c r="P487" s="970">
        <v>0</v>
      </c>
      <c r="Q487" s="969">
        <v>1459</v>
      </c>
      <c r="R487" s="969"/>
      <c r="S487" s="970">
        <v>29552</v>
      </c>
      <c r="T487" s="972">
        <v>1830</v>
      </c>
      <c r="U487" s="972">
        <v>31382</v>
      </c>
    </row>
    <row r="488" spans="1:21" x14ac:dyDescent="0.25">
      <c r="A488" s="966">
        <v>95131</v>
      </c>
      <c r="B488" s="967" t="s">
        <v>3101</v>
      </c>
      <c r="C488" s="968">
        <v>1.6682999999999999E-3</v>
      </c>
      <c r="D488" s="968">
        <v>1.5451E-3</v>
      </c>
      <c r="E488" s="1007">
        <v>749707</v>
      </c>
      <c r="F488" s="1010">
        <v>3279220</v>
      </c>
      <c r="G488" s="969">
        <v>2548700</v>
      </c>
      <c r="H488" s="969"/>
      <c r="I488" s="970">
        <v>146829</v>
      </c>
      <c r="J488" s="971">
        <v>618827</v>
      </c>
      <c r="K488" s="970">
        <v>363990</v>
      </c>
      <c r="L488" s="969">
        <v>105945</v>
      </c>
      <c r="M488" s="969"/>
      <c r="N488" s="970">
        <v>72146</v>
      </c>
      <c r="O488" s="970">
        <v>0</v>
      </c>
      <c r="P488" s="970">
        <v>0</v>
      </c>
      <c r="Q488" s="969">
        <v>846</v>
      </c>
      <c r="R488" s="969"/>
      <c r="S488" s="970">
        <v>858914</v>
      </c>
      <c r="T488" s="972">
        <v>33842</v>
      </c>
      <c r="U488" s="972">
        <v>892756</v>
      </c>
    </row>
    <row r="489" spans="1:21" x14ac:dyDescent="0.25">
      <c r="A489" s="966">
        <v>95141</v>
      </c>
      <c r="B489" s="967" t="s">
        <v>3102</v>
      </c>
      <c r="C489" s="968">
        <v>3.2220000000000003E-4</v>
      </c>
      <c r="D489" s="968">
        <v>3.1819999999999998E-4</v>
      </c>
      <c r="E489" s="1007">
        <v>131053</v>
      </c>
      <c r="F489" s="1010">
        <v>675327</v>
      </c>
      <c r="G489" s="969">
        <v>492232</v>
      </c>
      <c r="H489" s="969"/>
      <c r="I489" s="970">
        <v>28357</v>
      </c>
      <c r="J489" s="971">
        <v>119515</v>
      </c>
      <c r="K489" s="970">
        <v>70298</v>
      </c>
      <c r="L489" s="969">
        <v>1251</v>
      </c>
      <c r="M489" s="969"/>
      <c r="N489" s="970">
        <v>13934</v>
      </c>
      <c r="O489" s="970">
        <v>0</v>
      </c>
      <c r="P489" s="970">
        <v>0</v>
      </c>
      <c r="Q489" s="969">
        <v>29129</v>
      </c>
      <c r="R489" s="969"/>
      <c r="S489" s="970">
        <v>165883</v>
      </c>
      <c r="T489" s="972">
        <v>-11233</v>
      </c>
      <c r="U489" s="972">
        <v>154650</v>
      </c>
    </row>
    <row r="490" spans="1:21" x14ac:dyDescent="0.25">
      <c r="A490" s="966">
        <v>95151</v>
      </c>
      <c r="B490" s="967" t="s">
        <v>3103</v>
      </c>
      <c r="C490" s="968">
        <v>1.092E-4</v>
      </c>
      <c r="D490" s="968">
        <v>1.158E-4</v>
      </c>
      <c r="E490" s="1007">
        <v>46663</v>
      </c>
      <c r="F490" s="1010">
        <v>245766</v>
      </c>
      <c r="G490" s="969">
        <v>166827</v>
      </c>
      <c r="H490" s="969"/>
      <c r="I490" s="970">
        <v>9611</v>
      </c>
      <c r="J490" s="971">
        <v>40506</v>
      </c>
      <c r="K490" s="970">
        <v>23825</v>
      </c>
      <c r="L490" s="969">
        <v>364</v>
      </c>
      <c r="M490" s="969"/>
      <c r="N490" s="970">
        <v>4722</v>
      </c>
      <c r="O490" s="970">
        <v>0</v>
      </c>
      <c r="P490" s="970">
        <v>0</v>
      </c>
      <c r="Q490" s="969">
        <v>10802</v>
      </c>
      <c r="R490" s="969"/>
      <c r="S490" s="970">
        <v>56221</v>
      </c>
      <c r="T490" s="972">
        <v>-3332</v>
      </c>
      <c r="U490" s="972">
        <v>52889</v>
      </c>
    </row>
    <row r="491" spans="1:21" x14ac:dyDescent="0.25">
      <c r="A491" s="966">
        <v>95161</v>
      </c>
      <c r="B491" s="967" t="s">
        <v>3104</v>
      </c>
      <c r="C491" s="968">
        <v>6.8100000000000002E-5</v>
      </c>
      <c r="D491" s="968">
        <v>7.4800000000000002E-5</v>
      </c>
      <c r="E491" s="1007">
        <v>38087</v>
      </c>
      <c r="F491" s="1010">
        <v>158751</v>
      </c>
      <c r="G491" s="969">
        <v>104038</v>
      </c>
      <c r="H491" s="969"/>
      <c r="I491" s="970">
        <v>5994</v>
      </c>
      <c r="J491" s="971">
        <v>25261</v>
      </c>
      <c r="K491" s="970">
        <v>14858</v>
      </c>
      <c r="L491" s="969">
        <v>5468</v>
      </c>
      <c r="M491" s="969"/>
      <c r="N491" s="970">
        <v>2945</v>
      </c>
      <c r="O491" s="970">
        <v>0</v>
      </c>
      <c r="P491" s="970">
        <v>0</v>
      </c>
      <c r="Q491" s="969">
        <v>1353</v>
      </c>
      <c r="R491" s="969"/>
      <c r="S491" s="970">
        <v>35061</v>
      </c>
      <c r="T491" s="972">
        <v>1287</v>
      </c>
      <c r="U491" s="972">
        <v>36348</v>
      </c>
    </row>
    <row r="492" spans="1:21" x14ac:dyDescent="0.25">
      <c r="A492" s="966">
        <v>95171</v>
      </c>
      <c r="B492" s="967" t="s">
        <v>3105</v>
      </c>
      <c r="C492" s="968">
        <v>1.0459999999999999E-4</v>
      </c>
      <c r="D492" s="968">
        <v>1.2300000000000001E-4</v>
      </c>
      <c r="E492" s="1007">
        <v>53917</v>
      </c>
      <c r="F492" s="1010">
        <v>261047</v>
      </c>
      <c r="G492" s="969">
        <v>159800</v>
      </c>
      <c r="H492" s="969"/>
      <c r="I492" s="970">
        <v>9206</v>
      </c>
      <c r="J492" s="971">
        <v>38799</v>
      </c>
      <c r="K492" s="970">
        <v>22822</v>
      </c>
      <c r="L492" s="969">
        <v>6705</v>
      </c>
      <c r="M492" s="969"/>
      <c r="N492" s="970">
        <v>4523</v>
      </c>
      <c r="O492" s="970">
        <v>0</v>
      </c>
      <c r="P492" s="970">
        <v>0</v>
      </c>
      <c r="Q492" s="969">
        <v>14987</v>
      </c>
      <c r="R492" s="969"/>
      <c r="S492" s="970">
        <v>53853</v>
      </c>
      <c r="T492" s="972">
        <v>-3646</v>
      </c>
      <c r="U492" s="972">
        <v>50207</v>
      </c>
    </row>
    <row r="493" spans="1:21" x14ac:dyDescent="0.25">
      <c r="A493" s="966">
        <v>95181</v>
      </c>
      <c r="B493" s="967" t="s">
        <v>3106</v>
      </c>
      <c r="C493" s="968">
        <v>7.7100000000000004E-5</v>
      </c>
      <c r="D493" s="968">
        <v>7.7899999999999996E-5</v>
      </c>
      <c r="E493" s="1007">
        <v>30099</v>
      </c>
      <c r="F493" s="1010">
        <v>165330</v>
      </c>
      <c r="G493" s="969">
        <v>117787</v>
      </c>
      <c r="H493" s="969"/>
      <c r="I493" s="970">
        <v>6786</v>
      </c>
      <c r="J493" s="971">
        <v>28599</v>
      </c>
      <c r="K493" s="970">
        <v>16822</v>
      </c>
      <c r="L493" s="969">
        <v>1069</v>
      </c>
      <c r="M493" s="969"/>
      <c r="N493" s="970">
        <v>3334</v>
      </c>
      <c r="O493" s="970">
        <v>0</v>
      </c>
      <c r="P493" s="970">
        <v>0</v>
      </c>
      <c r="Q493" s="969">
        <v>9474</v>
      </c>
      <c r="R493" s="969"/>
      <c r="S493" s="970">
        <v>39694</v>
      </c>
      <c r="T493" s="972">
        <v>-2444</v>
      </c>
      <c r="U493" s="972">
        <v>37250</v>
      </c>
    </row>
    <row r="494" spans="1:21" x14ac:dyDescent="0.25">
      <c r="A494" s="966">
        <v>95191</v>
      </c>
      <c r="B494" s="967" t="s">
        <v>3107</v>
      </c>
      <c r="C494" s="968">
        <v>5.3999999999999998E-5</v>
      </c>
      <c r="D494" s="968">
        <v>5.3999999999999998E-5</v>
      </c>
      <c r="E494" s="1007">
        <v>31311</v>
      </c>
      <c r="F494" s="1010">
        <v>114606</v>
      </c>
      <c r="G494" s="969">
        <v>82497</v>
      </c>
      <c r="H494" s="969"/>
      <c r="I494" s="970">
        <v>4753</v>
      </c>
      <c r="J494" s="971">
        <v>20031</v>
      </c>
      <c r="K494" s="970">
        <v>11782</v>
      </c>
      <c r="L494" s="969">
        <v>12522</v>
      </c>
      <c r="M494" s="969"/>
      <c r="N494" s="970">
        <v>2335</v>
      </c>
      <c r="O494" s="970">
        <v>0</v>
      </c>
      <c r="P494" s="970">
        <v>0</v>
      </c>
      <c r="Q494" s="969">
        <v>5293</v>
      </c>
      <c r="R494" s="969"/>
      <c r="S494" s="970">
        <v>27802</v>
      </c>
      <c r="T494" s="972">
        <v>4438</v>
      </c>
      <c r="U494" s="972">
        <v>32240</v>
      </c>
    </row>
    <row r="495" spans="1:21" x14ac:dyDescent="0.25">
      <c r="A495" s="966">
        <v>95201</v>
      </c>
      <c r="B495" s="967" t="s">
        <v>3108</v>
      </c>
      <c r="C495" s="968">
        <v>7.0969999999999996E-4</v>
      </c>
      <c r="D495" s="968">
        <v>6.8329999999999997E-4</v>
      </c>
      <c r="E495" s="1007">
        <v>303949</v>
      </c>
      <c r="F495" s="1010">
        <v>1450192</v>
      </c>
      <c r="G495" s="969">
        <v>1084225</v>
      </c>
      <c r="H495" s="969"/>
      <c r="I495" s="970">
        <v>62461</v>
      </c>
      <c r="J495" s="971">
        <v>263252</v>
      </c>
      <c r="K495" s="970">
        <v>154842</v>
      </c>
      <c r="L495" s="969">
        <v>6474</v>
      </c>
      <c r="M495" s="969"/>
      <c r="N495" s="970">
        <v>30691</v>
      </c>
      <c r="O495" s="970">
        <v>0</v>
      </c>
      <c r="P495" s="970">
        <v>0</v>
      </c>
      <c r="Q495" s="969">
        <v>21158</v>
      </c>
      <c r="R495" s="969"/>
      <c r="S495" s="970">
        <v>365385</v>
      </c>
      <c r="T495" s="972">
        <v>-9663</v>
      </c>
      <c r="U495" s="972">
        <v>355722</v>
      </c>
    </row>
    <row r="496" spans="1:21" x14ac:dyDescent="0.25">
      <c r="A496" s="966">
        <v>95204</v>
      </c>
      <c r="B496" s="967" t="s">
        <v>3109</v>
      </c>
      <c r="C496" s="968">
        <v>1.26E-5</v>
      </c>
      <c r="D496" s="968">
        <v>1.1600000000000001E-5</v>
      </c>
      <c r="E496" s="1007">
        <v>7226</v>
      </c>
      <c r="F496" s="1010">
        <v>24619</v>
      </c>
      <c r="G496" s="969">
        <v>19249</v>
      </c>
      <c r="H496" s="969"/>
      <c r="I496" s="970">
        <v>1109</v>
      </c>
      <c r="J496" s="971">
        <v>4674</v>
      </c>
      <c r="K496" s="970">
        <v>2749</v>
      </c>
      <c r="L496" s="969">
        <v>1824</v>
      </c>
      <c r="M496" s="969"/>
      <c r="N496" s="970">
        <v>545</v>
      </c>
      <c r="O496" s="970">
        <v>0</v>
      </c>
      <c r="P496" s="970">
        <v>0</v>
      </c>
      <c r="Q496" s="969">
        <v>1143</v>
      </c>
      <c r="R496" s="969"/>
      <c r="S496" s="970">
        <v>6487</v>
      </c>
      <c r="T496" s="972">
        <v>-195</v>
      </c>
      <c r="U496" s="972">
        <v>6292</v>
      </c>
    </row>
    <row r="497" spans="1:21" x14ac:dyDescent="0.25">
      <c r="A497" s="966">
        <v>95205</v>
      </c>
      <c r="B497" s="967" t="s">
        <v>3110</v>
      </c>
      <c r="C497" s="968">
        <v>4.5000000000000001E-6</v>
      </c>
      <c r="D497" s="968">
        <v>4.7999999999999998E-6</v>
      </c>
      <c r="E497" s="1007">
        <v>2455</v>
      </c>
      <c r="F497" s="1010">
        <v>10187</v>
      </c>
      <c r="G497" s="969">
        <v>6875</v>
      </c>
      <c r="H497" s="969"/>
      <c r="I497" s="970">
        <v>396</v>
      </c>
      <c r="J497" s="971">
        <v>1669</v>
      </c>
      <c r="K497" s="970">
        <v>982</v>
      </c>
      <c r="L497" s="969">
        <v>605</v>
      </c>
      <c r="M497" s="969"/>
      <c r="N497" s="970">
        <v>195</v>
      </c>
      <c r="O497" s="970">
        <v>0</v>
      </c>
      <c r="P497" s="970">
        <v>0</v>
      </c>
      <c r="Q497" s="969">
        <v>0</v>
      </c>
      <c r="R497" s="969"/>
      <c r="S497" s="970">
        <v>2317</v>
      </c>
      <c r="T497" s="972">
        <v>311</v>
      </c>
      <c r="U497" s="972">
        <v>2628</v>
      </c>
    </row>
    <row r="498" spans="1:21" x14ac:dyDescent="0.25">
      <c r="A498" s="966">
        <v>95211</v>
      </c>
      <c r="B498" s="967" t="s">
        <v>3111</v>
      </c>
      <c r="C498" s="968">
        <v>8.3999999999999992E-6</v>
      </c>
      <c r="D498" s="968">
        <v>9.2E-6</v>
      </c>
      <c r="E498" s="1007">
        <v>4222</v>
      </c>
      <c r="F498" s="1010">
        <v>19525</v>
      </c>
      <c r="G498" s="969">
        <v>12833</v>
      </c>
      <c r="H498" s="969"/>
      <c r="I498" s="970">
        <v>739</v>
      </c>
      <c r="J498" s="971">
        <v>3115</v>
      </c>
      <c r="K498" s="970">
        <v>1833</v>
      </c>
      <c r="L498" s="969">
        <v>1455</v>
      </c>
      <c r="M498" s="969"/>
      <c r="N498" s="970">
        <v>363</v>
      </c>
      <c r="O498" s="970">
        <v>0</v>
      </c>
      <c r="P498" s="970">
        <v>0</v>
      </c>
      <c r="Q498" s="969">
        <v>1231</v>
      </c>
      <c r="R498" s="969"/>
      <c r="S498" s="970">
        <v>4325</v>
      </c>
      <c r="T498" s="972">
        <v>-523</v>
      </c>
      <c r="U498" s="972">
        <v>3802</v>
      </c>
    </row>
    <row r="499" spans="1:21" x14ac:dyDescent="0.25">
      <c r="A499" s="966">
        <v>95221</v>
      </c>
      <c r="B499" s="967" t="s">
        <v>3112</v>
      </c>
      <c r="C499" s="968">
        <v>4.4100000000000001E-5</v>
      </c>
      <c r="D499" s="968">
        <v>1.6900000000000001E-5</v>
      </c>
      <c r="E499" s="1007">
        <v>20361</v>
      </c>
      <c r="F499" s="1010">
        <v>35867</v>
      </c>
      <c r="G499" s="969">
        <v>67373</v>
      </c>
      <c r="H499" s="969"/>
      <c r="I499" s="970">
        <v>3881</v>
      </c>
      <c r="J499" s="971">
        <v>16358</v>
      </c>
      <c r="K499" s="970">
        <v>9622</v>
      </c>
      <c r="L499" s="969">
        <v>21037</v>
      </c>
      <c r="M499" s="969"/>
      <c r="N499" s="970">
        <v>1907</v>
      </c>
      <c r="O499" s="970">
        <v>0</v>
      </c>
      <c r="P499" s="970">
        <v>0</v>
      </c>
      <c r="Q499" s="969">
        <v>11299</v>
      </c>
      <c r="R499" s="969"/>
      <c r="S499" s="970">
        <v>22705</v>
      </c>
      <c r="T499" s="972">
        <v>2535</v>
      </c>
      <c r="U499" s="972">
        <v>25240</v>
      </c>
    </row>
    <row r="500" spans="1:21" x14ac:dyDescent="0.25">
      <c r="A500" s="966">
        <v>95301</v>
      </c>
      <c r="B500" s="967" t="s">
        <v>3113</v>
      </c>
      <c r="C500" s="968">
        <v>2.3917999999999999E-3</v>
      </c>
      <c r="D500" s="968">
        <v>2.4063999999999999E-3</v>
      </c>
      <c r="E500" s="1007">
        <v>1141657</v>
      </c>
      <c r="F500" s="1010">
        <v>5107187</v>
      </c>
      <c r="G500" s="969">
        <v>3654008</v>
      </c>
      <c r="H500" s="969"/>
      <c r="I500" s="970">
        <v>210505</v>
      </c>
      <c r="J500" s="971">
        <v>887197</v>
      </c>
      <c r="K500" s="970">
        <v>521843</v>
      </c>
      <c r="L500" s="969">
        <v>73478</v>
      </c>
      <c r="M500" s="969"/>
      <c r="N500" s="970">
        <v>103433</v>
      </c>
      <c r="O500" s="970">
        <v>0</v>
      </c>
      <c r="P500" s="970">
        <v>0</v>
      </c>
      <c r="Q500" s="969">
        <v>11228</v>
      </c>
      <c r="R500" s="969"/>
      <c r="S500" s="970">
        <v>1231404</v>
      </c>
      <c r="T500" s="972">
        <v>19362</v>
      </c>
      <c r="U500" s="972">
        <f>1250765+1</f>
        <v>1250766</v>
      </c>
    </row>
    <row r="501" spans="1:21" x14ac:dyDescent="0.25">
      <c r="A501" s="966">
        <v>95311</v>
      </c>
      <c r="B501" s="967" t="s">
        <v>3114</v>
      </c>
      <c r="C501" s="968">
        <v>2.6873999999999999E-3</v>
      </c>
      <c r="D501" s="968">
        <v>2.6841999999999999E-3</v>
      </c>
      <c r="E501" s="1007">
        <v>1275634</v>
      </c>
      <c r="F501" s="1010">
        <v>5696772</v>
      </c>
      <c r="G501" s="969">
        <v>4105603</v>
      </c>
      <c r="H501" s="969"/>
      <c r="I501" s="970">
        <v>236521</v>
      </c>
      <c r="J501" s="971">
        <v>996846</v>
      </c>
      <c r="K501" s="970">
        <v>586337</v>
      </c>
      <c r="L501" s="969">
        <v>41083</v>
      </c>
      <c r="M501" s="969"/>
      <c r="N501" s="970">
        <v>116217</v>
      </c>
      <c r="O501" s="970">
        <v>0</v>
      </c>
      <c r="P501" s="970">
        <v>0</v>
      </c>
      <c r="Q501" s="969">
        <v>117171</v>
      </c>
      <c r="R501" s="969"/>
      <c r="S501" s="970">
        <v>1383592</v>
      </c>
      <c r="T501" s="972">
        <v>-46704</v>
      </c>
      <c r="U501" s="972">
        <v>1336888</v>
      </c>
    </row>
    <row r="502" spans="1:21" x14ac:dyDescent="0.25">
      <c r="A502" s="966">
        <v>95317</v>
      </c>
      <c r="B502" s="967" t="s">
        <v>3115</v>
      </c>
      <c r="C502" s="968">
        <v>4.8900000000000003E-5</v>
      </c>
      <c r="D502" s="968">
        <v>5.1400000000000003E-5</v>
      </c>
      <c r="E502" s="1007">
        <v>27511</v>
      </c>
      <c r="F502" s="1010">
        <v>109088</v>
      </c>
      <c r="G502" s="969">
        <v>74706</v>
      </c>
      <c r="H502" s="969"/>
      <c r="I502" s="970">
        <v>4304</v>
      </c>
      <c r="J502" s="971">
        <v>18138</v>
      </c>
      <c r="K502" s="970">
        <v>10669</v>
      </c>
      <c r="L502" s="969">
        <v>6328</v>
      </c>
      <c r="M502" s="969"/>
      <c r="N502" s="970">
        <v>2115</v>
      </c>
      <c r="O502" s="970">
        <v>0</v>
      </c>
      <c r="P502" s="970">
        <v>0</v>
      </c>
      <c r="Q502" s="969">
        <v>38</v>
      </c>
      <c r="R502" s="969"/>
      <c r="S502" s="970">
        <v>25176</v>
      </c>
      <c r="T502" s="972">
        <v>2474</v>
      </c>
      <c r="U502" s="972">
        <v>27650</v>
      </c>
    </row>
    <row r="503" spans="1:21" x14ac:dyDescent="0.25">
      <c r="A503" s="966">
        <v>95321</v>
      </c>
      <c r="B503" s="967" t="s">
        <v>3116</v>
      </c>
      <c r="C503" s="968">
        <v>4.71E-5</v>
      </c>
      <c r="D503" s="968">
        <v>5.7000000000000003E-5</v>
      </c>
      <c r="E503" s="1007">
        <v>27222</v>
      </c>
      <c r="F503" s="1010">
        <v>120973</v>
      </c>
      <c r="G503" s="969">
        <v>71956</v>
      </c>
      <c r="H503" s="969"/>
      <c r="I503" s="970">
        <v>4145</v>
      </c>
      <c r="J503" s="971">
        <v>17471</v>
      </c>
      <c r="K503" s="970">
        <v>10276</v>
      </c>
      <c r="L503" s="969">
        <v>3087</v>
      </c>
      <c r="M503" s="969"/>
      <c r="N503" s="970">
        <v>2037</v>
      </c>
      <c r="O503" s="970">
        <v>0</v>
      </c>
      <c r="P503" s="970">
        <v>0</v>
      </c>
      <c r="Q503" s="969">
        <v>2158</v>
      </c>
      <c r="R503" s="969"/>
      <c r="S503" s="970">
        <v>24249</v>
      </c>
      <c r="T503" s="972">
        <v>1089</v>
      </c>
      <c r="U503" s="972">
        <v>25338</v>
      </c>
    </row>
    <row r="504" spans="1:21" x14ac:dyDescent="0.25">
      <c r="A504" s="966">
        <v>95401</v>
      </c>
      <c r="B504" s="967" t="s">
        <v>3117</v>
      </c>
      <c r="C504" s="968">
        <v>2.9992E-3</v>
      </c>
      <c r="D504" s="968">
        <v>2.9979999999999998E-3</v>
      </c>
      <c r="E504" s="1007">
        <v>1351002</v>
      </c>
      <c r="F504" s="1010">
        <v>6362760</v>
      </c>
      <c r="G504" s="969">
        <v>4581947</v>
      </c>
      <c r="H504" s="969"/>
      <c r="I504" s="970">
        <v>263963</v>
      </c>
      <c r="J504" s="971">
        <v>1112502</v>
      </c>
      <c r="K504" s="970">
        <v>654365</v>
      </c>
      <c r="L504" s="969">
        <v>27695</v>
      </c>
      <c r="M504" s="969"/>
      <c r="N504" s="970">
        <v>129700</v>
      </c>
      <c r="O504" s="970">
        <v>0</v>
      </c>
      <c r="P504" s="970">
        <v>0</v>
      </c>
      <c r="Q504" s="969">
        <v>19902</v>
      </c>
      <c r="R504" s="969"/>
      <c r="S504" s="970">
        <v>1544120</v>
      </c>
      <c r="T504" s="972">
        <v>10089</v>
      </c>
      <c r="U504" s="972">
        <v>1554209</v>
      </c>
    </row>
    <row r="505" spans="1:21" x14ac:dyDescent="0.25">
      <c r="A505" s="966">
        <v>95404</v>
      </c>
      <c r="B505" s="967" t="s">
        <v>3118</v>
      </c>
      <c r="C505" s="968">
        <v>5.3100000000000003E-5</v>
      </c>
      <c r="D505" s="968">
        <v>4.9799999999999998E-5</v>
      </c>
      <c r="E505" s="1007">
        <v>22123</v>
      </c>
      <c r="F505" s="1010">
        <v>105692</v>
      </c>
      <c r="G505" s="969">
        <v>81122</v>
      </c>
      <c r="H505" s="969"/>
      <c r="I505" s="970">
        <v>4673</v>
      </c>
      <c r="J505" s="971">
        <v>19697</v>
      </c>
      <c r="K505" s="970">
        <v>11585</v>
      </c>
      <c r="L505" s="969">
        <v>5158</v>
      </c>
      <c r="M505" s="969"/>
      <c r="N505" s="970">
        <v>2296</v>
      </c>
      <c r="O505" s="970">
        <v>0</v>
      </c>
      <c r="P505" s="970">
        <v>0</v>
      </c>
      <c r="Q505" s="969">
        <v>0</v>
      </c>
      <c r="R505" s="969"/>
      <c r="S505" s="970">
        <v>27338</v>
      </c>
      <c r="T505" s="972">
        <v>1949</v>
      </c>
      <c r="U505" s="972">
        <v>29287</v>
      </c>
    </row>
    <row r="506" spans="1:21" x14ac:dyDescent="0.25">
      <c r="A506" s="966">
        <v>95405</v>
      </c>
      <c r="B506" s="967" t="s">
        <v>3119</v>
      </c>
      <c r="C506" s="968">
        <v>1.84E-5</v>
      </c>
      <c r="D506" s="968">
        <v>1.84E-5</v>
      </c>
      <c r="E506" s="1007">
        <v>17053</v>
      </c>
      <c r="F506" s="1010">
        <v>39051</v>
      </c>
      <c r="G506" s="969">
        <v>28110</v>
      </c>
      <c r="H506" s="969"/>
      <c r="I506" s="970">
        <v>1619</v>
      </c>
      <c r="J506" s="971">
        <v>6826</v>
      </c>
      <c r="K506" s="970">
        <v>4015</v>
      </c>
      <c r="L506" s="969">
        <v>15544</v>
      </c>
      <c r="M506" s="969"/>
      <c r="N506" s="970">
        <v>796</v>
      </c>
      <c r="O506" s="970">
        <v>0</v>
      </c>
      <c r="P506" s="970">
        <v>0</v>
      </c>
      <c r="Q506" s="969">
        <v>0</v>
      </c>
      <c r="R506" s="969"/>
      <c r="S506" s="970">
        <v>9473</v>
      </c>
      <c r="T506" s="972">
        <v>5475</v>
      </c>
      <c r="U506" s="972">
        <v>14948</v>
      </c>
    </row>
    <row r="507" spans="1:21" x14ac:dyDescent="0.25">
      <c r="A507" s="966">
        <v>95411</v>
      </c>
      <c r="B507" s="967" t="s">
        <v>3120</v>
      </c>
      <c r="C507" s="968">
        <v>2.2173000000000002E-3</v>
      </c>
      <c r="D507" s="968">
        <v>2.3272000000000002E-3</v>
      </c>
      <c r="E507" s="1007">
        <v>1058017</v>
      </c>
      <c r="F507" s="1010">
        <v>4939098</v>
      </c>
      <c r="G507" s="969">
        <v>3387420</v>
      </c>
      <c r="H507" s="969"/>
      <c r="I507" s="970">
        <v>195147</v>
      </c>
      <c r="J507" s="971">
        <v>822470</v>
      </c>
      <c r="K507" s="970">
        <v>483771</v>
      </c>
      <c r="L507" s="969">
        <v>14015</v>
      </c>
      <c r="M507" s="969"/>
      <c r="N507" s="970">
        <v>95887</v>
      </c>
      <c r="O507" s="970">
        <v>0</v>
      </c>
      <c r="P507" s="970">
        <v>0</v>
      </c>
      <c r="Q507" s="969">
        <v>60237</v>
      </c>
      <c r="R507" s="969"/>
      <c r="S507" s="970">
        <v>1141564</v>
      </c>
      <c r="T507" s="972">
        <v>-23907</v>
      </c>
      <c r="U507" s="972">
        <f>1117656+1</f>
        <v>1117657</v>
      </c>
    </row>
    <row r="508" spans="1:21" x14ac:dyDescent="0.25">
      <c r="A508" s="966">
        <v>95412</v>
      </c>
      <c r="B508" s="967" t="s">
        <v>3121</v>
      </c>
      <c r="C508" s="968">
        <v>0</v>
      </c>
      <c r="D508" s="968">
        <v>0</v>
      </c>
      <c r="E508" s="1007">
        <v>0</v>
      </c>
      <c r="F508" s="1010">
        <v>0</v>
      </c>
      <c r="G508" s="969">
        <v>0</v>
      </c>
      <c r="H508" s="969"/>
      <c r="I508" s="970">
        <v>0</v>
      </c>
      <c r="J508" s="971">
        <v>0</v>
      </c>
      <c r="K508" s="970">
        <v>0</v>
      </c>
      <c r="L508" s="969">
        <v>0</v>
      </c>
      <c r="M508" s="969"/>
      <c r="N508" s="970">
        <v>0</v>
      </c>
      <c r="O508" s="970">
        <v>0</v>
      </c>
      <c r="P508" s="970">
        <v>0</v>
      </c>
      <c r="Q508" s="969">
        <v>27831</v>
      </c>
      <c r="R508" s="969"/>
      <c r="S508" s="970">
        <v>0</v>
      </c>
      <c r="T508" s="972">
        <v>-18518</v>
      </c>
      <c r="U508" s="972">
        <v>-18518</v>
      </c>
    </row>
    <row r="509" spans="1:21" x14ac:dyDescent="0.25">
      <c r="A509" s="966">
        <v>95413</v>
      </c>
      <c r="B509" s="967" t="s">
        <v>3122</v>
      </c>
      <c r="C509" s="968">
        <v>2.5809999999999999E-4</v>
      </c>
      <c r="D509" s="968">
        <v>2.945E-4</v>
      </c>
      <c r="E509" s="1007">
        <v>285392</v>
      </c>
      <c r="F509" s="1010">
        <v>625028</v>
      </c>
      <c r="G509" s="969">
        <v>394305</v>
      </c>
      <c r="H509" s="969"/>
      <c r="I509" s="970">
        <v>22716</v>
      </c>
      <c r="J509" s="971">
        <v>95737</v>
      </c>
      <c r="K509" s="970">
        <v>56312</v>
      </c>
      <c r="L509" s="969">
        <v>247679</v>
      </c>
      <c r="M509" s="969"/>
      <c r="N509" s="970">
        <v>11162</v>
      </c>
      <c r="O509" s="970">
        <v>0</v>
      </c>
      <c r="P509" s="970">
        <v>0</v>
      </c>
      <c r="Q509" s="969">
        <v>9401</v>
      </c>
      <c r="R509" s="969"/>
      <c r="S509" s="970">
        <v>132881</v>
      </c>
      <c r="T509" s="972">
        <v>77340</v>
      </c>
      <c r="U509" s="972">
        <v>210221</v>
      </c>
    </row>
    <row r="510" spans="1:21" x14ac:dyDescent="0.25">
      <c r="A510" s="966">
        <v>95415</v>
      </c>
      <c r="B510" s="967" t="s">
        <v>3123</v>
      </c>
      <c r="C510" s="968">
        <v>6.2899999999999997E-5</v>
      </c>
      <c r="D510" s="968">
        <v>7.9499999999999994E-5</v>
      </c>
      <c r="E510" s="1007">
        <v>28158</v>
      </c>
      <c r="F510" s="1010">
        <v>168726</v>
      </c>
      <c r="G510" s="969">
        <v>96094</v>
      </c>
      <c r="H510" s="969"/>
      <c r="I510" s="970">
        <v>5536</v>
      </c>
      <c r="J510" s="971">
        <v>23331</v>
      </c>
      <c r="K510" s="970">
        <v>13724</v>
      </c>
      <c r="L510" s="969">
        <v>5301</v>
      </c>
      <c r="M510" s="969"/>
      <c r="N510" s="970">
        <v>2720</v>
      </c>
      <c r="O510" s="970">
        <v>0</v>
      </c>
      <c r="P510" s="970">
        <v>0</v>
      </c>
      <c r="Q510" s="969">
        <v>16874</v>
      </c>
      <c r="R510" s="969"/>
      <c r="S510" s="970">
        <v>32384</v>
      </c>
      <c r="T510" s="972">
        <v>-165</v>
      </c>
      <c r="U510" s="972">
        <v>32219</v>
      </c>
    </row>
    <row r="511" spans="1:21" x14ac:dyDescent="0.25">
      <c r="A511" s="966">
        <v>95421</v>
      </c>
      <c r="B511" s="967" t="s">
        <v>3124</v>
      </c>
      <c r="C511" s="968">
        <v>3.8699999999999999E-5</v>
      </c>
      <c r="D511" s="968">
        <v>3.9100000000000002E-5</v>
      </c>
      <c r="E511" s="1007">
        <v>18385</v>
      </c>
      <c r="F511" s="1010">
        <v>82983</v>
      </c>
      <c r="G511" s="969">
        <v>59123</v>
      </c>
      <c r="H511" s="969"/>
      <c r="I511" s="970">
        <v>3406</v>
      </c>
      <c r="J511" s="971">
        <v>14355</v>
      </c>
      <c r="K511" s="970">
        <v>8444</v>
      </c>
      <c r="L511" s="969">
        <v>226</v>
      </c>
      <c r="M511" s="969"/>
      <c r="N511" s="970">
        <v>1674</v>
      </c>
      <c r="O511" s="970">
        <v>0</v>
      </c>
      <c r="P511" s="970">
        <v>0</v>
      </c>
      <c r="Q511" s="969">
        <v>9353</v>
      </c>
      <c r="R511" s="969"/>
      <c r="S511" s="970">
        <v>19924</v>
      </c>
      <c r="T511" s="972">
        <v>-4913</v>
      </c>
      <c r="U511" s="972">
        <f>15012-1</f>
        <v>15011</v>
      </c>
    </row>
    <row r="512" spans="1:21" x14ac:dyDescent="0.25">
      <c r="A512" s="966">
        <v>95431</v>
      </c>
      <c r="B512" s="967" t="s">
        <v>3125</v>
      </c>
      <c r="C512" s="968">
        <v>1.5300000000000001E-4</v>
      </c>
      <c r="D512" s="968">
        <v>1.8009999999999999E-4</v>
      </c>
      <c r="E512" s="1007">
        <v>61885</v>
      </c>
      <c r="F512" s="1010">
        <v>382233</v>
      </c>
      <c r="G512" s="969">
        <v>233742</v>
      </c>
      <c r="H512" s="969"/>
      <c r="I512" s="970">
        <v>13466</v>
      </c>
      <c r="J512" s="971">
        <v>56753</v>
      </c>
      <c r="K512" s="970">
        <v>33382</v>
      </c>
      <c r="L512" s="969">
        <v>224</v>
      </c>
      <c r="M512" s="969"/>
      <c r="N512" s="970">
        <v>6616</v>
      </c>
      <c r="O512" s="970">
        <v>0</v>
      </c>
      <c r="P512" s="970">
        <v>0</v>
      </c>
      <c r="Q512" s="969">
        <v>34003</v>
      </c>
      <c r="R512" s="969"/>
      <c r="S512" s="970">
        <v>78771</v>
      </c>
      <c r="T512" s="972">
        <v>-9919</v>
      </c>
      <c r="U512" s="972">
        <v>68852</v>
      </c>
    </row>
    <row r="513" spans="1:21" x14ac:dyDescent="0.25">
      <c r="A513" s="966">
        <v>95501</v>
      </c>
      <c r="B513" s="967" t="s">
        <v>3126</v>
      </c>
      <c r="C513" s="968">
        <v>4.8764999999999998E-3</v>
      </c>
      <c r="D513" s="968">
        <v>4.7917999999999997E-3</v>
      </c>
      <c r="E513" s="1007">
        <v>2104813</v>
      </c>
      <c r="F513" s="1010">
        <v>10169805</v>
      </c>
      <c r="G513" s="969">
        <v>7449941</v>
      </c>
      <c r="H513" s="969"/>
      <c r="I513" s="970">
        <v>429186</v>
      </c>
      <c r="J513" s="971">
        <v>1808855</v>
      </c>
      <c r="K513" s="970">
        <v>1063955</v>
      </c>
      <c r="L513" s="969">
        <v>31695</v>
      </c>
      <c r="M513" s="969"/>
      <c r="N513" s="970">
        <v>210884</v>
      </c>
      <c r="O513" s="970">
        <v>0</v>
      </c>
      <c r="P513" s="970">
        <v>0</v>
      </c>
      <c r="Q513" s="969">
        <v>124610</v>
      </c>
      <c r="R513" s="969"/>
      <c r="S513" s="970">
        <v>2510637</v>
      </c>
      <c r="T513" s="972">
        <v>-8646</v>
      </c>
      <c r="U513" s="972">
        <v>2501991</v>
      </c>
    </row>
    <row r="514" spans="1:21" x14ac:dyDescent="0.25">
      <c r="A514" s="966">
        <v>95504</v>
      </c>
      <c r="B514" s="967" t="s">
        <v>3127</v>
      </c>
      <c r="C514" s="968">
        <v>9.3999999999999998E-6</v>
      </c>
      <c r="D514" s="968">
        <v>8.8999999999999995E-6</v>
      </c>
      <c r="E514" s="1007">
        <v>9297</v>
      </c>
      <c r="F514" s="1010">
        <v>18889</v>
      </c>
      <c r="G514" s="969">
        <v>14361</v>
      </c>
      <c r="H514" s="969"/>
      <c r="I514" s="970">
        <v>827</v>
      </c>
      <c r="J514" s="971">
        <v>3487</v>
      </c>
      <c r="K514" s="970">
        <v>2051</v>
      </c>
      <c r="L514" s="969">
        <v>7912</v>
      </c>
      <c r="M514" s="969"/>
      <c r="N514" s="970">
        <v>407</v>
      </c>
      <c r="O514" s="970">
        <v>0</v>
      </c>
      <c r="P514" s="970">
        <v>0</v>
      </c>
      <c r="Q514" s="969">
        <v>0</v>
      </c>
      <c r="R514" s="969"/>
      <c r="S514" s="970">
        <v>4840</v>
      </c>
      <c r="T514" s="972">
        <v>2952</v>
      </c>
      <c r="U514" s="972">
        <f>7791+1</f>
        <v>7792</v>
      </c>
    </row>
    <row r="515" spans="1:21" x14ac:dyDescent="0.25">
      <c r="A515" s="966">
        <v>95511</v>
      </c>
      <c r="B515" s="967" t="s">
        <v>3128</v>
      </c>
      <c r="C515" s="968">
        <v>9.7460000000000005E-4</v>
      </c>
      <c r="D515" s="968">
        <v>9.6049999999999998E-4</v>
      </c>
      <c r="E515" s="1007">
        <v>484188</v>
      </c>
      <c r="F515" s="1010">
        <v>2038503</v>
      </c>
      <c r="G515" s="969">
        <v>1488919</v>
      </c>
      <c r="H515" s="969"/>
      <c r="I515" s="970">
        <v>85776</v>
      </c>
      <c r="J515" s="971">
        <v>361511</v>
      </c>
      <c r="K515" s="970">
        <v>212638</v>
      </c>
      <c r="L515" s="969">
        <v>44242</v>
      </c>
      <c r="M515" s="969"/>
      <c r="N515" s="970">
        <v>42147</v>
      </c>
      <c r="O515" s="970">
        <v>0</v>
      </c>
      <c r="P515" s="970">
        <v>0</v>
      </c>
      <c r="Q515" s="969">
        <v>52155</v>
      </c>
      <c r="R515" s="969"/>
      <c r="S515" s="970">
        <v>501767</v>
      </c>
      <c r="T515" s="972">
        <v>-4607</v>
      </c>
      <c r="U515" s="972">
        <v>497160</v>
      </c>
    </row>
    <row r="516" spans="1:21" x14ac:dyDescent="0.25">
      <c r="A516" s="966">
        <v>95513</v>
      </c>
      <c r="B516" s="967" t="s">
        <v>3129</v>
      </c>
      <c r="C516" s="968">
        <v>4.6699999999999997E-5</v>
      </c>
      <c r="D516" s="968">
        <v>4.5500000000000001E-5</v>
      </c>
      <c r="E516" s="1007">
        <v>31793</v>
      </c>
      <c r="F516" s="1010">
        <v>96566</v>
      </c>
      <c r="G516" s="969">
        <v>71345</v>
      </c>
      <c r="H516" s="969"/>
      <c r="I516" s="970">
        <v>4110</v>
      </c>
      <c r="J516" s="971">
        <v>17322</v>
      </c>
      <c r="K516" s="970">
        <v>10189</v>
      </c>
      <c r="L516" s="969">
        <v>21773</v>
      </c>
      <c r="M516" s="969"/>
      <c r="N516" s="970">
        <v>2020</v>
      </c>
      <c r="O516" s="970">
        <v>0</v>
      </c>
      <c r="P516" s="970">
        <v>0</v>
      </c>
      <c r="Q516" s="969">
        <v>0</v>
      </c>
      <c r="R516" s="969"/>
      <c r="S516" s="970">
        <v>24043</v>
      </c>
      <c r="T516" s="972">
        <v>9103</v>
      </c>
      <c r="U516" s="972">
        <v>33146</v>
      </c>
    </row>
    <row r="517" spans="1:21" x14ac:dyDescent="0.25">
      <c r="A517" s="966">
        <v>95517</v>
      </c>
      <c r="B517" s="967" t="s">
        <v>3130</v>
      </c>
      <c r="C517" s="968">
        <v>2.4499999999999999E-5</v>
      </c>
      <c r="D517" s="968">
        <v>1.66E-5</v>
      </c>
      <c r="E517" s="1007">
        <v>15695</v>
      </c>
      <c r="F517" s="1010">
        <v>35231</v>
      </c>
      <c r="G517" s="969">
        <v>37429</v>
      </c>
      <c r="H517" s="969"/>
      <c r="I517" s="970">
        <v>2156</v>
      </c>
      <c r="J517" s="971">
        <v>9087</v>
      </c>
      <c r="K517" s="970">
        <v>5345</v>
      </c>
      <c r="L517" s="969">
        <v>17989</v>
      </c>
      <c r="M517" s="969"/>
      <c r="N517" s="970">
        <v>1060</v>
      </c>
      <c r="O517" s="970">
        <v>0</v>
      </c>
      <c r="P517" s="970">
        <v>0</v>
      </c>
      <c r="Q517" s="969">
        <v>0</v>
      </c>
      <c r="R517" s="969"/>
      <c r="S517" s="970">
        <v>12614</v>
      </c>
      <c r="T517" s="972">
        <v>6544</v>
      </c>
      <c r="U517" s="972">
        <v>19158</v>
      </c>
    </row>
    <row r="518" spans="1:21" x14ac:dyDescent="0.25">
      <c r="A518" s="966">
        <v>95601</v>
      </c>
      <c r="B518" s="967" t="s">
        <v>3131</v>
      </c>
      <c r="C518" s="968">
        <v>2.6280000000000001E-3</v>
      </c>
      <c r="D518" s="968">
        <v>2.6592999999999999E-3</v>
      </c>
      <c r="E518" s="1007">
        <v>1208853</v>
      </c>
      <c r="F518" s="1010">
        <v>5643925</v>
      </c>
      <c r="G518" s="969">
        <v>4014856</v>
      </c>
      <c r="H518" s="969"/>
      <c r="I518" s="970">
        <v>231293</v>
      </c>
      <c r="J518" s="971">
        <v>974812</v>
      </c>
      <c r="K518" s="970">
        <v>573377</v>
      </c>
      <c r="L518" s="969">
        <v>85590</v>
      </c>
      <c r="M518" s="969"/>
      <c r="N518" s="970">
        <v>113648</v>
      </c>
      <c r="O518" s="970">
        <v>0</v>
      </c>
      <c r="P518" s="970">
        <v>0</v>
      </c>
      <c r="Q518" s="969">
        <v>19082</v>
      </c>
      <c r="R518" s="969"/>
      <c r="S518" s="970">
        <v>1353010</v>
      </c>
      <c r="T518" s="972">
        <v>47697</v>
      </c>
      <c r="U518" s="972">
        <v>1400707</v>
      </c>
    </row>
    <row r="519" spans="1:21" x14ac:dyDescent="0.25">
      <c r="A519" s="966">
        <v>95611</v>
      </c>
      <c r="B519" s="967" t="s">
        <v>3132</v>
      </c>
      <c r="C519" s="968">
        <v>4.0660000000000002E-4</v>
      </c>
      <c r="D519" s="968">
        <v>3.9540000000000002E-4</v>
      </c>
      <c r="E519" s="1007">
        <v>186384</v>
      </c>
      <c r="F519" s="1010">
        <v>839171</v>
      </c>
      <c r="G519" s="969">
        <v>621172</v>
      </c>
      <c r="H519" s="969"/>
      <c r="I519" s="970">
        <v>35785</v>
      </c>
      <c r="J519" s="971">
        <v>150821</v>
      </c>
      <c r="K519" s="970">
        <v>88712</v>
      </c>
      <c r="L519" s="969">
        <v>8653</v>
      </c>
      <c r="M519" s="969"/>
      <c r="N519" s="970">
        <v>17583</v>
      </c>
      <c r="O519" s="970">
        <v>0</v>
      </c>
      <c r="P519" s="970">
        <v>0</v>
      </c>
      <c r="Q519" s="969">
        <v>3649</v>
      </c>
      <c r="R519" s="969"/>
      <c r="S519" s="970">
        <v>209336</v>
      </c>
      <c r="T519" s="972">
        <v>1212</v>
      </c>
      <c r="U519" s="972">
        <f>210547+1</f>
        <v>210548</v>
      </c>
    </row>
    <row r="520" spans="1:21" x14ac:dyDescent="0.25">
      <c r="A520" s="966">
        <v>95617</v>
      </c>
      <c r="B520" s="967" t="s">
        <v>3133</v>
      </c>
      <c r="C520" s="968">
        <v>1.6399999999999999E-5</v>
      </c>
      <c r="D520" s="968">
        <v>1.6500000000000001E-5</v>
      </c>
      <c r="E520" s="1007">
        <v>8201</v>
      </c>
      <c r="F520" s="1010">
        <v>35019</v>
      </c>
      <c r="G520" s="969">
        <v>25055</v>
      </c>
      <c r="H520" s="969"/>
      <c r="I520" s="970">
        <v>1443</v>
      </c>
      <c r="J520" s="971">
        <v>6084</v>
      </c>
      <c r="K520" s="970">
        <v>3578</v>
      </c>
      <c r="L520" s="969">
        <v>722</v>
      </c>
      <c r="M520" s="969"/>
      <c r="N520" s="970">
        <v>709</v>
      </c>
      <c r="O520" s="970">
        <v>0</v>
      </c>
      <c r="P520" s="970">
        <v>0</v>
      </c>
      <c r="Q520" s="969">
        <v>1277</v>
      </c>
      <c r="R520" s="969"/>
      <c r="S520" s="970">
        <v>8443</v>
      </c>
      <c r="T520" s="972">
        <v>-659</v>
      </c>
      <c r="U520" s="972">
        <v>7784</v>
      </c>
    </row>
    <row r="521" spans="1:21" x14ac:dyDescent="0.25">
      <c r="A521" s="966">
        <v>95621</v>
      </c>
      <c r="B521" s="967" t="s">
        <v>3134</v>
      </c>
      <c r="C521" s="968">
        <v>4.5360000000000002E-4</v>
      </c>
      <c r="D521" s="968">
        <v>4.8020000000000002E-4</v>
      </c>
      <c r="E521" s="1007">
        <v>227836</v>
      </c>
      <c r="F521" s="1010">
        <v>1019145</v>
      </c>
      <c r="G521" s="969">
        <v>692975</v>
      </c>
      <c r="H521" s="969"/>
      <c r="I521" s="970">
        <v>39922</v>
      </c>
      <c r="J521" s="971">
        <v>168255</v>
      </c>
      <c r="K521" s="970">
        <v>98966</v>
      </c>
      <c r="L521" s="969">
        <v>3166</v>
      </c>
      <c r="M521" s="969"/>
      <c r="N521" s="970">
        <v>19616</v>
      </c>
      <c r="O521" s="970">
        <v>0</v>
      </c>
      <c r="P521" s="970">
        <v>0</v>
      </c>
      <c r="Q521" s="969">
        <v>4423</v>
      </c>
      <c r="R521" s="969"/>
      <c r="S521" s="970">
        <v>233533</v>
      </c>
      <c r="T521" s="972">
        <v>1481</v>
      </c>
      <c r="U521" s="972">
        <f>235015-1</f>
        <v>235014</v>
      </c>
    </row>
    <row r="522" spans="1:21" x14ac:dyDescent="0.25">
      <c r="A522" s="966">
        <v>95701</v>
      </c>
      <c r="B522" s="967" t="s">
        <v>3135</v>
      </c>
      <c r="C522" s="968">
        <v>1.3747E-3</v>
      </c>
      <c r="D522" s="968">
        <v>1.291E-3</v>
      </c>
      <c r="E522" s="1007">
        <v>600622</v>
      </c>
      <c r="F522" s="1010">
        <v>2739934</v>
      </c>
      <c r="G522" s="969">
        <v>2100161</v>
      </c>
      <c r="H522" s="969"/>
      <c r="I522" s="970">
        <v>120989</v>
      </c>
      <c r="J522" s="971">
        <v>509922</v>
      </c>
      <c r="K522" s="970">
        <v>299932</v>
      </c>
      <c r="L522" s="969">
        <v>62898</v>
      </c>
      <c r="M522" s="969"/>
      <c r="N522" s="970">
        <v>59449</v>
      </c>
      <c r="O522" s="970">
        <v>0</v>
      </c>
      <c r="P522" s="970">
        <v>0</v>
      </c>
      <c r="Q522" s="969">
        <v>0</v>
      </c>
      <c r="R522" s="969"/>
      <c r="S522" s="970">
        <v>707756</v>
      </c>
      <c r="T522" s="972">
        <v>28646</v>
      </c>
      <c r="U522" s="972">
        <v>736402</v>
      </c>
    </row>
    <row r="523" spans="1:21" x14ac:dyDescent="0.25">
      <c r="A523" s="966">
        <v>95711</v>
      </c>
      <c r="B523" s="967" t="s">
        <v>3136</v>
      </c>
      <c r="C523" s="968">
        <v>1.394E-4</v>
      </c>
      <c r="D523" s="968">
        <v>1.382E-4</v>
      </c>
      <c r="E523" s="1007">
        <v>55785</v>
      </c>
      <c r="F523" s="1010">
        <v>293307</v>
      </c>
      <c r="G523" s="969">
        <v>212965</v>
      </c>
      <c r="H523" s="969"/>
      <c r="I523" s="970">
        <v>12269</v>
      </c>
      <c r="J523" s="971">
        <v>51708</v>
      </c>
      <c r="K523" s="970">
        <v>30414</v>
      </c>
      <c r="L523" s="969">
        <v>6056</v>
      </c>
      <c r="M523" s="969"/>
      <c r="N523" s="970">
        <v>6028</v>
      </c>
      <c r="O523" s="970">
        <v>0</v>
      </c>
      <c r="P523" s="970">
        <v>0</v>
      </c>
      <c r="Q523" s="969">
        <v>5836</v>
      </c>
      <c r="R523" s="969"/>
      <c r="S523" s="970">
        <v>71769</v>
      </c>
      <c r="T523" s="972">
        <v>1663</v>
      </c>
      <c r="U523" s="972">
        <v>73432</v>
      </c>
    </row>
    <row r="524" spans="1:21" x14ac:dyDescent="0.25">
      <c r="A524" s="966">
        <v>95721</v>
      </c>
      <c r="B524" s="967" t="s">
        <v>3137</v>
      </c>
      <c r="C524" s="968">
        <v>6.7600000000000003E-5</v>
      </c>
      <c r="D524" s="968">
        <v>6.6199999999999996E-5</v>
      </c>
      <c r="E524" s="1007">
        <v>25093</v>
      </c>
      <c r="F524" s="1010">
        <v>140499</v>
      </c>
      <c r="G524" s="969">
        <v>103274</v>
      </c>
      <c r="H524" s="969"/>
      <c r="I524" s="970">
        <v>5950</v>
      </c>
      <c r="J524" s="971">
        <v>25075</v>
      </c>
      <c r="K524" s="970">
        <v>14749</v>
      </c>
      <c r="L524" s="969">
        <v>0</v>
      </c>
      <c r="M524" s="969"/>
      <c r="N524" s="970">
        <v>2923</v>
      </c>
      <c r="O524" s="970">
        <v>0</v>
      </c>
      <c r="P524" s="970">
        <v>0</v>
      </c>
      <c r="Q524" s="969">
        <v>9622</v>
      </c>
      <c r="R524" s="969"/>
      <c r="S524" s="970">
        <v>34803</v>
      </c>
      <c r="T524" s="972">
        <v>-4619</v>
      </c>
      <c r="U524" s="972">
        <f>30185-1</f>
        <v>30184</v>
      </c>
    </row>
    <row r="525" spans="1:21" x14ac:dyDescent="0.25">
      <c r="A525" s="966">
        <v>95733</v>
      </c>
      <c r="B525" s="967" t="s">
        <v>3138</v>
      </c>
      <c r="C525" s="968">
        <v>1.5400000000000002E-5</v>
      </c>
      <c r="D525" s="968">
        <v>1.56E-5</v>
      </c>
      <c r="E525" s="1007">
        <v>6898</v>
      </c>
      <c r="F525" s="1010">
        <v>33108</v>
      </c>
      <c r="G525" s="969">
        <v>23527</v>
      </c>
      <c r="H525" s="969"/>
      <c r="I525" s="970">
        <v>1355</v>
      </c>
      <c r="J525" s="971">
        <v>5712</v>
      </c>
      <c r="K525" s="970">
        <v>3360</v>
      </c>
      <c r="L525" s="969">
        <v>581</v>
      </c>
      <c r="M525" s="969"/>
      <c r="N525" s="970">
        <v>666</v>
      </c>
      <c r="O525" s="970">
        <v>0</v>
      </c>
      <c r="P525" s="970">
        <v>0</v>
      </c>
      <c r="Q525" s="969">
        <v>464</v>
      </c>
      <c r="R525" s="969"/>
      <c r="S525" s="970">
        <v>7929</v>
      </c>
      <c r="T525" s="972">
        <v>209</v>
      </c>
      <c r="U525" s="972">
        <v>8138</v>
      </c>
    </row>
    <row r="526" spans="1:21" x14ac:dyDescent="0.25">
      <c r="A526" s="966">
        <v>95801</v>
      </c>
      <c r="B526" s="967" t="s">
        <v>3139</v>
      </c>
      <c r="C526" s="968">
        <v>9.6310000000000005E-4</v>
      </c>
      <c r="D526" s="968">
        <v>8.9349999999999998E-4</v>
      </c>
      <c r="E526" s="1007">
        <v>449779</v>
      </c>
      <c r="F526" s="1010">
        <v>1896306</v>
      </c>
      <c r="G526" s="969">
        <v>1471350</v>
      </c>
      <c r="H526" s="969"/>
      <c r="I526" s="970">
        <v>84763</v>
      </c>
      <c r="J526" s="971">
        <v>357246</v>
      </c>
      <c r="K526" s="970">
        <v>210129</v>
      </c>
      <c r="L526" s="969">
        <v>62205</v>
      </c>
      <c r="M526" s="969"/>
      <c r="N526" s="970">
        <v>41649</v>
      </c>
      <c r="O526" s="970">
        <v>0</v>
      </c>
      <c r="P526" s="970">
        <v>0</v>
      </c>
      <c r="Q526" s="969">
        <v>4103</v>
      </c>
      <c r="R526" s="969"/>
      <c r="S526" s="970">
        <v>495846</v>
      </c>
      <c r="T526" s="972">
        <v>14399</v>
      </c>
      <c r="U526" s="972">
        <v>510245</v>
      </c>
    </row>
    <row r="527" spans="1:21" x14ac:dyDescent="0.25">
      <c r="A527" s="966">
        <v>95802</v>
      </c>
      <c r="B527" s="967" t="s">
        <v>3140</v>
      </c>
      <c r="C527" s="968">
        <v>6.1E-6</v>
      </c>
      <c r="D527" s="968">
        <v>6.8000000000000001E-6</v>
      </c>
      <c r="E527" s="1007">
        <v>5124</v>
      </c>
      <c r="F527" s="1010">
        <v>14432</v>
      </c>
      <c r="G527" s="969">
        <v>9319</v>
      </c>
      <c r="H527" s="969"/>
      <c r="I527" s="970">
        <v>537</v>
      </c>
      <c r="J527" s="971">
        <v>2263</v>
      </c>
      <c r="K527" s="970">
        <v>1331</v>
      </c>
      <c r="L527" s="969">
        <v>3297</v>
      </c>
      <c r="M527" s="969"/>
      <c r="N527" s="970">
        <v>264</v>
      </c>
      <c r="O527" s="970">
        <v>0</v>
      </c>
      <c r="P527" s="970">
        <v>0</v>
      </c>
      <c r="Q527" s="969">
        <v>1248</v>
      </c>
      <c r="R527" s="969"/>
      <c r="S527" s="970">
        <v>3141</v>
      </c>
      <c r="T527" s="972">
        <v>-81</v>
      </c>
      <c r="U527" s="972">
        <v>3060</v>
      </c>
    </row>
    <row r="528" spans="1:21" x14ac:dyDescent="0.25">
      <c r="A528" s="966">
        <v>95804</v>
      </c>
      <c r="B528" s="967" t="s">
        <v>3141</v>
      </c>
      <c r="C528" s="968">
        <v>2.19E-5</v>
      </c>
      <c r="D528" s="968">
        <v>1.63E-5</v>
      </c>
      <c r="E528" s="1007">
        <v>7566</v>
      </c>
      <c r="F528" s="1010">
        <v>34594</v>
      </c>
      <c r="G528" s="969">
        <v>33457</v>
      </c>
      <c r="H528" s="969"/>
      <c r="I528" s="970">
        <v>1927</v>
      </c>
      <c r="J528" s="971">
        <v>8123</v>
      </c>
      <c r="K528" s="970">
        <v>4778</v>
      </c>
      <c r="L528" s="969">
        <v>3631</v>
      </c>
      <c r="M528" s="969"/>
      <c r="N528" s="970">
        <v>947</v>
      </c>
      <c r="O528" s="970">
        <v>0</v>
      </c>
      <c r="P528" s="970">
        <v>0</v>
      </c>
      <c r="Q528" s="969">
        <v>0</v>
      </c>
      <c r="R528" s="969"/>
      <c r="S528" s="970">
        <v>11275</v>
      </c>
      <c r="T528" s="972">
        <v>1628</v>
      </c>
      <c r="U528" s="972">
        <f>12904-1</f>
        <v>12903</v>
      </c>
    </row>
    <row r="529" spans="1:21" x14ac:dyDescent="0.25">
      <c r="A529" s="966">
        <v>95811</v>
      </c>
      <c r="B529" s="967" t="s">
        <v>3142</v>
      </c>
      <c r="C529" s="968">
        <v>5.3129999999999996E-4</v>
      </c>
      <c r="D529" s="968">
        <v>5.3410000000000003E-4</v>
      </c>
      <c r="E529" s="1007">
        <v>243909</v>
      </c>
      <c r="F529" s="1010">
        <v>1133539</v>
      </c>
      <c r="G529" s="969">
        <v>811679</v>
      </c>
      <c r="H529" s="969"/>
      <c r="I529" s="970">
        <v>46760</v>
      </c>
      <c r="J529" s="971">
        <v>197076</v>
      </c>
      <c r="K529" s="970">
        <v>115919</v>
      </c>
      <c r="L529" s="969">
        <v>1678</v>
      </c>
      <c r="M529" s="969"/>
      <c r="N529" s="970">
        <v>22976</v>
      </c>
      <c r="O529" s="970">
        <v>0</v>
      </c>
      <c r="P529" s="970">
        <v>0</v>
      </c>
      <c r="Q529" s="969">
        <v>5329</v>
      </c>
      <c r="R529" s="969"/>
      <c r="S529" s="970">
        <v>273537</v>
      </c>
      <c r="T529" s="972">
        <v>-1501</v>
      </c>
      <c r="U529" s="972">
        <f>272035+1</f>
        <v>272036</v>
      </c>
    </row>
    <row r="530" spans="1:21" x14ac:dyDescent="0.25">
      <c r="A530" s="966">
        <v>95813</v>
      </c>
      <c r="B530" s="967" t="s">
        <v>3143</v>
      </c>
      <c r="C530" s="968">
        <v>4.88E-5</v>
      </c>
      <c r="D530" s="968">
        <v>4.4400000000000002E-5</v>
      </c>
      <c r="E530" s="1007">
        <v>63299</v>
      </c>
      <c r="F530" s="1010">
        <v>94232</v>
      </c>
      <c r="G530" s="969">
        <v>74553</v>
      </c>
      <c r="H530" s="969"/>
      <c r="I530" s="970">
        <v>4295</v>
      </c>
      <c r="J530" s="971">
        <v>18101</v>
      </c>
      <c r="K530" s="970">
        <v>10647</v>
      </c>
      <c r="L530" s="969">
        <v>72000</v>
      </c>
      <c r="M530" s="969"/>
      <c r="N530" s="970">
        <v>2110</v>
      </c>
      <c r="O530" s="970">
        <v>0</v>
      </c>
      <c r="P530" s="970">
        <v>0</v>
      </c>
      <c r="Q530" s="969">
        <v>0</v>
      </c>
      <c r="R530" s="969"/>
      <c r="S530" s="970">
        <v>25124</v>
      </c>
      <c r="T530" s="972">
        <v>24457</v>
      </c>
      <c r="U530" s="972">
        <v>49581</v>
      </c>
    </row>
    <row r="531" spans="1:21" x14ac:dyDescent="0.25">
      <c r="A531" s="966">
        <v>95821</v>
      </c>
      <c r="B531" s="967" t="s">
        <v>3144</v>
      </c>
      <c r="C531" s="968">
        <v>0</v>
      </c>
      <c r="D531" s="968">
        <v>1.7E-6</v>
      </c>
      <c r="E531" s="1007">
        <v>610</v>
      </c>
      <c r="F531" s="1010">
        <v>3608</v>
      </c>
      <c r="G531" s="969">
        <v>0</v>
      </c>
      <c r="H531" s="969"/>
      <c r="I531" s="970">
        <v>0</v>
      </c>
      <c r="J531" s="971">
        <v>0</v>
      </c>
      <c r="K531" s="970">
        <v>0</v>
      </c>
      <c r="L531" s="969">
        <v>1293</v>
      </c>
      <c r="M531" s="969"/>
      <c r="N531" s="970">
        <v>0</v>
      </c>
      <c r="O531" s="970">
        <v>0</v>
      </c>
      <c r="P531" s="970">
        <v>0</v>
      </c>
      <c r="Q531" s="969">
        <v>652</v>
      </c>
      <c r="R531" s="969"/>
      <c r="S531" s="970">
        <v>0</v>
      </c>
      <c r="T531" s="972">
        <v>460</v>
      </c>
      <c r="U531" s="972">
        <v>460</v>
      </c>
    </row>
    <row r="532" spans="1:21" x14ac:dyDescent="0.25">
      <c r="A532" s="966">
        <v>95831</v>
      </c>
      <c r="B532" s="967" t="s">
        <v>3145</v>
      </c>
      <c r="C532" s="968">
        <v>1.6799999999999998E-5</v>
      </c>
      <c r="D532" s="968">
        <v>1.36E-5</v>
      </c>
      <c r="E532" s="1007">
        <v>22034</v>
      </c>
      <c r="F532" s="1010">
        <v>28864</v>
      </c>
      <c r="G532" s="969">
        <v>25666</v>
      </c>
      <c r="H532" s="969"/>
      <c r="I532" s="970">
        <v>1479</v>
      </c>
      <c r="J532" s="971">
        <v>6232</v>
      </c>
      <c r="K532" s="970">
        <v>3665</v>
      </c>
      <c r="L532" s="969">
        <v>23962</v>
      </c>
      <c r="M532" s="969"/>
      <c r="N532" s="970">
        <v>727</v>
      </c>
      <c r="O532" s="970">
        <v>0</v>
      </c>
      <c r="P532" s="970">
        <v>0</v>
      </c>
      <c r="Q532" s="969">
        <v>0</v>
      </c>
      <c r="R532" s="969"/>
      <c r="S532" s="970">
        <v>8649</v>
      </c>
      <c r="T532" s="972">
        <v>8068</v>
      </c>
      <c r="U532" s="972">
        <v>16717</v>
      </c>
    </row>
    <row r="533" spans="1:21" x14ac:dyDescent="0.25">
      <c r="A533" s="966">
        <v>95841</v>
      </c>
      <c r="B533" s="967" t="s">
        <v>3146</v>
      </c>
      <c r="C533" s="968">
        <v>2.0999999999999999E-5</v>
      </c>
      <c r="D533" s="968">
        <v>2.1100000000000001E-5</v>
      </c>
      <c r="E533" s="1007">
        <v>10805</v>
      </c>
      <c r="F533" s="1010">
        <v>44781</v>
      </c>
      <c r="G533" s="969">
        <v>32082</v>
      </c>
      <c r="H533" s="969"/>
      <c r="I533" s="970">
        <v>1848</v>
      </c>
      <c r="J533" s="971">
        <v>7790</v>
      </c>
      <c r="K533" s="970">
        <v>4582</v>
      </c>
      <c r="L533" s="969">
        <v>2103</v>
      </c>
      <c r="M533" s="969"/>
      <c r="N533" s="970">
        <v>908</v>
      </c>
      <c r="O533" s="970">
        <v>0</v>
      </c>
      <c r="P533" s="970">
        <v>0</v>
      </c>
      <c r="Q533" s="969">
        <v>0</v>
      </c>
      <c r="R533" s="969"/>
      <c r="S533" s="970">
        <v>10812</v>
      </c>
      <c r="T533" s="972">
        <v>817</v>
      </c>
      <c r="U533" s="972">
        <v>11629</v>
      </c>
    </row>
    <row r="534" spans="1:21" x14ac:dyDescent="0.25">
      <c r="A534" s="966">
        <v>95851</v>
      </c>
      <c r="B534" s="967" t="s">
        <v>3147</v>
      </c>
      <c r="C534" s="968">
        <v>1.327E-4</v>
      </c>
      <c r="D534" s="968">
        <v>1.3009999999999999E-4</v>
      </c>
      <c r="E534" s="1007">
        <v>142459</v>
      </c>
      <c r="F534" s="1010">
        <v>276116</v>
      </c>
      <c r="G534" s="969">
        <v>202729</v>
      </c>
      <c r="H534" s="969"/>
      <c r="I534" s="970">
        <v>11679</v>
      </c>
      <c r="J534" s="971">
        <v>49223</v>
      </c>
      <c r="K534" s="970">
        <v>28952</v>
      </c>
      <c r="L534" s="969">
        <v>130637</v>
      </c>
      <c r="M534" s="969"/>
      <c r="N534" s="970">
        <v>5739</v>
      </c>
      <c r="O534" s="970">
        <v>0</v>
      </c>
      <c r="P534" s="970">
        <v>0</v>
      </c>
      <c r="Q534" s="969">
        <v>4180</v>
      </c>
      <c r="R534" s="969"/>
      <c r="S534" s="970">
        <v>68320</v>
      </c>
      <c r="T534" s="972">
        <v>39831</v>
      </c>
      <c r="U534" s="972">
        <v>108151</v>
      </c>
    </row>
    <row r="535" spans="1:21" x14ac:dyDescent="0.25">
      <c r="A535" s="966">
        <v>95853</v>
      </c>
      <c r="B535" s="967" t="s">
        <v>3148</v>
      </c>
      <c r="C535" s="968">
        <v>2.69E-5</v>
      </c>
      <c r="D535" s="968">
        <v>2.4000000000000001E-5</v>
      </c>
      <c r="E535" s="1007">
        <v>14344</v>
      </c>
      <c r="F535" s="1010">
        <v>50936</v>
      </c>
      <c r="G535" s="969">
        <v>41096</v>
      </c>
      <c r="H535" s="969"/>
      <c r="I535" s="970">
        <v>2367</v>
      </c>
      <c r="J535" s="971">
        <v>9978</v>
      </c>
      <c r="K535" s="970">
        <v>5869</v>
      </c>
      <c r="L535" s="969">
        <v>8793</v>
      </c>
      <c r="M535" s="969"/>
      <c r="N535" s="970">
        <v>1163</v>
      </c>
      <c r="O535" s="970">
        <v>0</v>
      </c>
      <c r="P535" s="970">
        <v>0</v>
      </c>
      <c r="Q535" s="969">
        <v>0</v>
      </c>
      <c r="R535" s="969"/>
      <c r="S535" s="970">
        <v>13849</v>
      </c>
      <c r="T535" s="972">
        <v>3675</v>
      </c>
      <c r="U535" s="972">
        <f>17525-1</f>
        <v>17524</v>
      </c>
    </row>
    <row r="536" spans="1:21" x14ac:dyDescent="0.25">
      <c r="A536" s="966">
        <v>95901</v>
      </c>
      <c r="B536" s="967" t="s">
        <v>3149</v>
      </c>
      <c r="C536" s="968">
        <v>1.8714999999999999E-3</v>
      </c>
      <c r="D536" s="968">
        <v>1.8266999999999999E-3</v>
      </c>
      <c r="E536" s="1007">
        <v>815702</v>
      </c>
      <c r="F536" s="1010">
        <v>3876869</v>
      </c>
      <c r="G536" s="969">
        <v>2859134</v>
      </c>
      <c r="H536" s="969"/>
      <c r="I536" s="970">
        <v>164713</v>
      </c>
      <c r="J536" s="971">
        <v>694201</v>
      </c>
      <c r="K536" s="970">
        <v>408324</v>
      </c>
      <c r="L536" s="969">
        <v>36652</v>
      </c>
      <c r="M536" s="969"/>
      <c r="N536" s="970">
        <v>80933</v>
      </c>
      <c r="O536" s="970">
        <v>0</v>
      </c>
      <c r="P536" s="970">
        <v>0</v>
      </c>
      <c r="Q536" s="969">
        <v>13191</v>
      </c>
      <c r="R536" s="969"/>
      <c r="S536" s="970">
        <v>963531</v>
      </c>
      <c r="T536" s="972">
        <v>28466</v>
      </c>
      <c r="U536" s="972">
        <v>991997</v>
      </c>
    </row>
    <row r="537" spans="1:21" x14ac:dyDescent="0.25">
      <c r="A537" s="966">
        <v>95908</v>
      </c>
      <c r="B537" s="967" t="s">
        <v>3150</v>
      </c>
      <c r="C537" s="968">
        <v>7.2200000000000007E-5</v>
      </c>
      <c r="D537" s="968">
        <v>7.2000000000000002E-5</v>
      </c>
      <c r="E537" s="1007">
        <v>24598</v>
      </c>
      <c r="F537" s="1010">
        <v>152808</v>
      </c>
      <c r="G537" s="969">
        <v>110302</v>
      </c>
      <c r="H537" s="969"/>
      <c r="I537" s="970">
        <v>6354</v>
      </c>
      <c r="J537" s="971">
        <v>26781</v>
      </c>
      <c r="K537" s="970">
        <v>15753</v>
      </c>
      <c r="L537" s="969">
        <v>0</v>
      </c>
      <c r="M537" s="969"/>
      <c r="N537" s="970">
        <v>3122</v>
      </c>
      <c r="O537" s="970">
        <v>0</v>
      </c>
      <c r="P537" s="970">
        <v>0</v>
      </c>
      <c r="Q537" s="969">
        <v>22164</v>
      </c>
      <c r="R537" s="969"/>
      <c r="S537" s="970">
        <v>37172</v>
      </c>
      <c r="T537" s="972">
        <v>-10736</v>
      </c>
      <c r="U537" s="972">
        <v>26436</v>
      </c>
    </row>
    <row r="538" spans="1:21" x14ac:dyDescent="0.25">
      <c r="A538" s="966">
        <v>95911</v>
      </c>
      <c r="B538" s="967" t="s">
        <v>3151</v>
      </c>
      <c r="C538" s="968">
        <v>5.7450000000000003E-4</v>
      </c>
      <c r="D538" s="968">
        <v>5.6979999999999997E-4</v>
      </c>
      <c r="E538" s="1007">
        <v>244845</v>
      </c>
      <c r="F538" s="1010">
        <v>1209306</v>
      </c>
      <c r="G538" s="969">
        <v>877677</v>
      </c>
      <c r="H538" s="969"/>
      <c r="I538" s="970">
        <v>50562</v>
      </c>
      <c r="J538" s="971">
        <v>213101</v>
      </c>
      <c r="K538" s="970">
        <v>125344</v>
      </c>
      <c r="L538" s="969">
        <v>2898</v>
      </c>
      <c r="M538" s="969"/>
      <c r="N538" s="970">
        <v>24844</v>
      </c>
      <c r="O538" s="970">
        <v>0</v>
      </c>
      <c r="P538" s="970">
        <v>0</v>
      </c>
      <c r="Q538" s="969">
        <v>40952</v>
      </c>
      <c r="R538" s="969"/>
      <c r="S538" s="970">
        <v>295778</v>
      </c>
      <c r="T538" s="972">
        <v>-14076</v>
      </c>
      <c r="U538" s="972">
        <v>281702</v>
      </c>
    </row>
    <row r="539" spans="1:21" x14ac:dyDescent="0.25">
      <c r="A539" s="966">
        <v>95917</v>
      </c>
      <c r="B539" s="967" t="s">
        <v>3152</v>
      </c>
      <c r="C539" s="968">
        <v>2.6699999999999998E-5</v>
      </c>
      <c r="D539" s="968">
        <v>2.2399999999999999E-5</v>
      </c>
      <c r="E539" s="1007">
        <v>11001</v>
      </c>
      <c r="F539" s="1010">
        <v>47540</v>
      </c>
      <c r="G539" s="969">
        <v>40790</v>
      </c>
      <c r="H539" s="969"/>
      <c r="I539" s="970">
        <v>2350</v>
      </c>
      <c r="J539" s="971">
        <v>9904</v>
      </c>
      <c r="K539" s="970">
        <v>5825</v>
      </c>
      <c r="L539" s="969">
        <v>4378</v>
      </c>
      <c r="M539" s="969"/>
      <c r="N539" s="970">
        <v>1155</v>
      </c>
      <c r="O539" s="970">
        <v>0</v>
      </c>
      <c r="P539" s="970">
        <v>0</v>
      </c>
      <c r="Q539" s="969">
        <v>501</v>
      </c>
      <c r="R539" s="969"/>
      <c r="S539" s="970">
        <v>13746</v>
      </c>
      <c r="T539" s="972">
        <v>2216</v>
      </c>
      <c r="U539" s="972">
        <v>15962</v>
      </c>
    </row>
    <row r="540" spans="1:21" x14ac:dyDescent="0.25">
      <c r="A540" s="966">
        <v>95921</v>
      </c>
      <c r="B540" s="967" t="s">
        <v>3153</v>
      </c>
      <c r="C540" s="968">
        <v>4.7500000000000003E-5</v>
      </c>
      <c r="D540" s="968">
        <v>4.4700000000000002E-5</v>
      </c>
      <c r="E540" s="1007">
        <v>19772</v>
      </c>
      <c r="F540" s="1010">
        <v>94868</v>
      </c>
      <c r="G540" s="969">
        <v>72567</v>
      </c>
      <c r="H540" s="969"/>
      <c r="I540" s="970">
        <v>4181</v>
      </c>
      <c r="J540" s="971">
        <v>17619</v>
      </c>
      <c r="K540" s="970">
        <v>10364</v>
      </c>
      <c r="L540" s="969">
        <v>3925</v>
      </c>
      <c r="M540" s="969"/>
      <c r="N540" s="970">
        <v>2054</v>
      </c>
      <c r="O540" s="970">
        <v>0</v>
      </c>
      <c r="P540" s="970">
        <v>0</v>
      </c>
      <c r="Q540" s="969">
        <v>948</v>
      </c>
      <c r="R540" s="969"/>
      <c r="S540" s="970">
        <v>24455</v>
      </c>
      <c r="T540" s="972">
        <v>526</v>
      </c>
      <c r="U540" s="972">
        <v>24981</v>
      </c>
    </row>
    <row r="541" spans="1:21" x14ac:dyDescent="0.25">
      <c r="A541" s="966">
        <v>96001</v>
      </c>
      <c r="B541" s="967" t="s">
        <v>3154</v>
      </c>
      <c r="C541" s="968">
        <v>4.4386399999999999E-2</v>
      </c>
      <c r="D541" s="968">
        <v>4.43519E-2</v>
      </c>
      <c r="E541" s="1007">
        <v>20012605</v>
      </c>
      <c r="F541" s="1010">
        <v>94129590</v>
      </c>
      <c r="G541" s="969">
        <v>67810124</v>
      </c>
      <c r="H541" s="969"/>
      <c r="I541" s="970">
        <v>3906491</v>
      </c>
      <c r="J541" s="971">
        <v>16464380</v>
      </c>
      <c r="K541" s="970">
        <v>9684225</v>
      </c>
      <c r="L541" s="969">
        <v>1457342</v>
      </c>
      <c r="M541" s="969"/>
      <c r="N541" s="970">
        <v>1919490</v>
      </c>
      <c r="O541" s="970">
        <v>0</v>
      </c>
      <c r="P541" s="970">
        <v>0</v>
      </c>
      <c r="Q541" s="969">
        <v>477903</v>
      </c>
      <c r="R541" s="969"/>
      <c r="S541" s="970">
        <v>22852072</v>
      </c>
      <c r="T541" s="972">
        <v>1208760</v>
      </c>
      <c r="U541" s="972">
        <v>24060832</v>
      </c>
    </row>
    <row r="542" spans="1:21" x14ac:dyDescent="0.25">
      <c r="A542" s="966">
        <v>96003</v>
      </c>
      <c r="B542" s="967" t="s">
        <v>3155</v>
      </c>
      <c r="C542" s="968">
        <v>1.6523E-3</v>
      </c>
      <c r="D542" s="968">
        <v>1.7309000000000001E-3</v>
      </c>
      <c r="E542" s="1007">
        <v>743373</v>
      </c>
      <c r="F542" s="1010">
        <v>3673550</v>
      </c>
      <c r="G542" s="969">
        <v>2524257</v>
      </c>
      <c r="H542" s="969"/>
      <c r="I542" s="970">
        <v>145421</v>
      </c>
      <c r="J542" s="971">
        <v>612893</v>
      </c>
      <c r="K542" s="970">
        <v>360499</v>
      </c>
      <c r="L542" s="969">
        <v>3089</v>
      </c>
      <c r="M542" s="969"/>
      <c r="N542" s="970">
        <v>71454</v>
      </c>
      <c r="O542" s="970">
        <v>0</v>
      </c>
      <c r="P542" s="970">
        <v>0</v>
      </c>
      <c r="Q542" s="969">
        <v>135978</v>
      </c>
      <c r="R542" s="969"/>
      <c r="S542" s="970">
        <v>850677</v>
      </c>
      <c r="T542" s="972">
        <v>-56030</v>
      </c>
      <c r="U542" s="972">
        <v>794647</v>
      </c>
    </row>
    <row r="543" spans="1:21" x14ac:dyDescent="0.25">
      <c r="A543" s="966">
        <v>96004</v>
      </c>
      <c r="B543" s="967" t="s">
        <v>3156</v>
      </c>
      <c r="C543" s="968">
        <v>8.9439999999999995E-4</v>
      </c>
      <c r="D543" s="968">
        <v>8.7699999999999996E-4</v>
      </c>
      <c r="E543" s="1007">
        <v>462352</v>
      </c>
      <c r="F543" s="1010">
        <v>1861288</v>
      </c>
      <c r="G543" s="969">
        <v>1366395</v>
      </c>
      <c r="H543" s="969"/>
      <c r="I543" s="970">
        <v>78717</v>
      </c>
      <c r="J543" s="971">
        <v>331762</v>
      </c>
      <c r="K543" s="970">
        <v>195140</v>
      </c>
      <c r="L543" s="969">
        <v>149546</v>
      </c>
      <c r="M543" s="969"/>
      <c r="N543" s="970">
        <v>38678</v>
      </c>
      <c r="O543" s="970">
        <v>0</v>
      </c>
      <c r="P543" s="970">
        <v>0</v>
      </c>
      <c r="Q543" s="969">
        <v>0</v>
      </c>
      <c r="R543" s="969"/>
      <c r="S543" s="970">
        <v>460476</v>
      </c>
      <c r="T543" s="972">
        <v>65505</v>
      </c>
      <c r="U543" s="972">
        <f>525982-1</f>
        <v>525981</v>
      </c>
    </row>
    <row r="544" spans="1:21" x14ac:dyDescent="0.25">
      <c r="A544" s="966">
        <v>96005</v>
      </c>
      <c r="B544" s="967" t="s">
        <v>3157</v>
      </c>
      <c r="C544" s="968">
        <v>2.6733999999999998E-3</v>
      </c>
      <c r="D544" s="968">
        <v>2.6457E-3</v>
      </c>
      <c r="E544" s="1007">
        <v>1240290</v>
      </c>
      <c r="F544" s="1010">
        <v>5615062</v>
      </c>
      <c r="G544" s="969">
        <v>4084215</v>
      </c>
      <c r="H544" s="969"/>
      <c r="I544" s="970">
        <v>235289</v>
      </c>
      <c r="J544" s="971">
        <v>991653</v>
      </c>
      <c r="K544" s="970">
        <v>583282</v>
      </c>
      <c r="L544" s="969">
        <v>222285</v>
      </c>
      <c r="M544" s="969"/>
      <c r="N544" s="970">
        <v>115611</v>
      </c>
      <c r="O544" s="970">
        <v>0</v>
      </c>
      <c r="P544" s="970">
        <v>0</v>
      </c>
      <c r="Q544" s="969">
        <v>0</v>
      </c>
      <c r="R544" s="969"/>
      <c r="S544" s="970">
        <v>1376384</v>
      </c>
      <c r="T544" s="972">
        <v>159087</v>
      </c>
      <c r="U544" s="972">
        <v>1535471</v>
      </c>
    </row>
    <row r="545" spans="1:21" x14ac:dyDescent="0.25">
      <c r="A545" s="966">
        <v>96008</v>
      </c>
      <c r="B545" s="967" t="s">
        <v>3158</v>
      </c>
      <c r="C545" s="968">
        <v>5.9955E-3</v>
      </c>
      <c r="D545" s="968">
        <v>5.9388000000000002E-3</v>
      </c>
      <c r="E545" s="1007">
        <v>2075076</v>
      </c>
      <c r="F545" s="1010">
        <v>12604123</v>
      </c>
      <c r="G545" s="969">
        <v>9159463</v>
      </c>
      <c r="H545" s="969"/>
      <c r="I545" s="970">
        <v>527670</v>
      </c>
      <c r="J545" s="971">
        <v>2223929</v>
      </c>
      <c r="K545" s="970">
        <v>1308098</v>
      </c>
      <c r="L545" s="969">
        <v>0</v>
      </c>
      <c r="M545" s="969"/>
      <c r="N545" s="970">
        <v>259275</v>
      </c>
      <c r="O545" s="970">
        <v>0</v>
      </c>
      <c r="P545" s="970">
        <v>0</v>
      </c>
      <c r="Q545" s="969">
        <v>767021</v>
      </c>
      <c r="R545" s="969"/>
      <c r="S545" s="970">
        <v>3086747</v>
      </c>
      <c r="T545" s="972">
        <v>-274630</v>
      </c>
      <c r="U545" s="972">
        <v>2812117</v>
      </c>
    </row>
    <row r="546" spans="1:21" x14ac:dyDescent="0.25">
      <c r="A546" s="966">
        <v>96009</v>
      </c>
      <c r="B546" s="967" t="s">
        <v>3159</v>
      </c>
      <c r="C546" s="968">
        <v>3.7609999999999998E-4</v>
      </c>
      <c r="D546" s="968">
        <v>3.5980000000000002E-4</v>
      </c>
      <c r="E546" s="1007">
        <v>192063</v>
      </c>
      <c r="F546" s="1010">
        <v>763616</v>
      </c>
      <c r="G546" s="969">
        <v>574577</v>
      </c>
      <c r="H546" s="969"/>
      <c r="I546" s="970">
        <v>33101</v>
      </c>
      <c r="J546" s="971">
        <v>139508</v>
      </c>
      <c r="K546" s="970">
        <v>82057</v>
      </c>
      <c r="L546" s="969">
        <v>33181</v>
      </c>
      <c r="M546" s="969"/>
      <c r="N546" s="970">
        <v>16264</v>
      </c>
      <c r="O546" s="970">
        <v>0</v>
      </c>
      <c r="P546" s="970">
        <v>0</v>
      </c>
      <c r="Q546" s="969">
        <v>2595</v>
      </c>
      <c r="R546" s="969"/>
      <c r="S546" s="970">
        <v>193633</v>
      </c>
      <c r="T546" s="972">
        <v>11508</v>
      </c>
      <c r="U546" s="972">
        <v>205141</v>
      </c>
    </row>
    <row r="547" spans="1:21" x14ac:dyDescent="0.25">
      <c r="A547" s="966">
        <v>96011</v>
      </c>
      <c r="B547" s="967" t="s">
        <v>3160</v>
      </c>
      <c r="C547" s="968">
        <v>6.1150400000000001E-2</v>
      </c>
      <c r="D547" s="968">
        <v>6.0489000000000001E-2</v>
      </c>
      <c r="E547" s="1007">
        <v>28379211</v>
      </c>
      <c r="F547" s="1010">
        <v>128377922</v>
      </c>
      <c r="G547" s="969">
        <v>93420873</v>
      </c>
      <c r="H547" s="969"/>
      <c r="I547" s="970">
        <v>5381908</v>
      </c>
      <c r="J547" s="971">
        <v>22682701</v>
      </c>
      <c r="K547" s="970">
        <v>13341794</v>
      </c>
      <c r="L547" s="969">
        <v>796221</v>
      </c>
      <c r="M547" s="969"/>
      <c r="N547" s="970">
        <v>2644449</v>
      </c>
      <c r="O547" s="970">
        <v>0</v>
      </c>
      <c r="P547" s="970">
        <v>0</v>
      </c>
      <c r="Q547" s="969">
        <v>51460</v>
      </c>
      <c r="R547" s="969"/>
      <c r="S547" s="970">
        <v>31482917</v>
      </c>
      <c r="T547" s="972">
        <v>212508</v>
      </c>
      <c r="U547" s="972">
        <v>31695425</v>
      </c>
    </row>
    <row r="548" spans="1:21" x14ac:dyDescent="0.25">
      <c r="A548" s="966">
        <v>96012</v>
      </c>
      <c r="B548" s="967" t="s">
        <v>3161</v>
      </c>
      <c r="C548" s="968">
        <v>2.4417000000000002E-3</v>
      </c>
      <c r="D548" s="968">
        <v>2.4095000000000002E-3</v>
      </c>
      <c r="E548" s="1007">
        <v>1092788</v>
      </c>
      <c r="F548" s="1010">
        <v>5113766</v>
      </c>
      <c r="G548" s="969">
        <v>3730241</v>
      </c>
      <c r="H548" s="969"/>
      <c r="I548" s="970">
        <v>214896</v>
      </c>
      <c r="J548" s="971">
        <v>905707</v>
      </c>
      <c r="K548" s="970">
        <v>532730</v>
      </c>
      <c r="L548" s="969">
        <v>77080</v>
      </c>
      <c r="M548" s="969"/>
      <c r="N548" s="970">
        <v>105591</v>
      </c>
      <c r="O548" s="970">
        <v>0</v>
      </c>
      <c r="P548" s="970">
        <v>0</v>
      </c>
      <c r="Q548" s="969">
        <v>937</v>
      </c>
      <c r="R548" s="969"/>
      <c r="S548" s="970">
        <v>1257095</v>
      </c>
      <c r="T548" s="972">
        <v>35595</v>
      </c>
      <c r="U548" s="972">
        <v>1292690</v>
      </c>
    </row>
    <row r="549" spans="1:21" x14ac:dyDescent="0.25">
      <c r="A549" s="966">
        <v>96018</v>
      </c>
      <c r="B549" s="967" t="s">
        <v>3162</v>
      </c>
      <c r="C549" s="968">
        <v>4.3600000000000003E-5</v>
      </c>
      <c r="D549" s="968">
        <v>3.6199999999999999E-5</v>
      </c>
      <c r="E549" s="1007">
        <v>18035</v>
      </c>
      <c r="F549" s="1010">
        <v>76829</v>
      </c>
      <c r="G549" s="969">
        <v>66609</v>
      </c>
      <c r="H549" s="969"/>
      <c r="I549" s="970">
        <v>3837</v>
      </c>
      <c r="J549" s="971">
        <v>16173</v>
      </c>
      <c r="K549" s="970">
        <v>9513</v>
      </c>
      <c r="L549" s="969">
        <v>9704</v>
      </c>
      <c r="M549" s="969"/>
      <c r="N549" s="970">
        <v>1885</v>
      </c>
      <c r="O549" s="970">
        <v>0</v>
      </c>
      <c r="P549" s="970">
        <v>0</v>
      </c>
      <c r="Q549" s="969">
        <v>0</v>
      </c>
      <c r="R549" s="969"/>
      <c r="S549" s="970">
        <v>22447</v>
      </c>
      <c r="T549" s="972">
        <v>5913</v>
      </c>
      <c r="U549" s="972">
        <v>28360</v>
      </c>
    </row>
    <row r="550" spans="1:21" x14ac:dyDescent="0.25">
      <c r="A550" s="966">
        <v>96021</v>
      </c>
      <c r="B550" s="967" t="s">
        <v>3163</v>
      </c>
      <c r="C550" s="968">
        <v>7.2090000000000001E-4</v>
      </c>
      <c r="D550" s="968">
        <v>8.5829999999999999E-4</v>
      </c>
      <c r="E550" s="1007">
        <v>327690</v>
      </c>
      <c r="F550" s="1010">
        <v>1821600</v>
      </c>
      <c r="G550" s="969">
        <v>1101336</v>
      </c>
      <c r="H550" s="969"/>
      <c r="I550" s="970">
        <v>63447</v>
      </c>
      <c r="J550" s="971">
        <v>267406</v>
      </c>
      <c r="K550" s="970">
        <v>157286</v>
      </c>
      <c r="L550" s="969">
        <v>31959</v>
      </c>
      <c r="M550" s="969"/>
      <c r="N550" s="970">
        <v>31175</v>
      </c>
      <c r="O550" s="970">
        <v>0</v>
      </c>
      <c r="P550" s="970">
        <v>0</v>
      </c>
      <c r="Q550" s="969">
        <v>119309</v>
      </c>
      <c r="R550" s="969"/>
      <c r="S550" s="970">
        <v>371151</v>
      </c>
      <c r="T550" s="972">
        <v>-13869</v>
      </c>
      <c r="U550" s="972">
        <v>357282</v>
      </c>
    </row>
    <row r="551" spans="1:21" x14ac:dyDescent="0.25">
      <c r="A551" s="966">
        <v>96031</v>
      </c>
      <c r="B551" s="967" t="s">
        <v>3164</v>
      </c>
      <c r="C551" s="968">
        <v>8.2580000000000001E-4</v>
      </c>
      <c r="D551" s="968">
        <v>9.0189999999999997E-4</v>
      </c>
      <c r="E551" s="1007">
        <v>325476</v>
      </c>
      <c r="F551" s="1010">
        <v>1914134</v>
      </c>
      <c r="G551" s="969">
        <v>1261594</v>
      </c>
      <c r="H551" s="969"/>
      <c r="I551" s="970">
        <v>72679</v>
      </c>
      <c r="J551" s="971">
        <v>306317</v>
      </c>
      <c r="K551" s="970">
        <v>180173</v>
      </c>
      <c r="L551" s="969">
        <v>0</v>
      </c>
      <c r="M551" s="969"/>
      <c r="N551" s="970">
        <v>35712</v>
      </c>
      <c r="O551" s="970">
        <v>0</v>
      </c>
      <c r="P551" s="970">
        <v>0</v>
      </c>
      <c r="Q551" s="969">
        <v>179263</v>
      </c>
      <c r="R551" s="969"/>
      <c r="S551" s="970">
        <v>425158</v>
      </c>
      <c r="T551" s="972">
        <v>-74461</v>
      </c>
      <c r="U551" s="972">
        <v>350697</v>
      </c>
    </row>
    <row r="552" spans="1:21" x14ac:dyDescent="0.25">
      <c r="A552" s="966">
        <v>96041</v>
      </c>
      <c r="B552" s="967" t="s">
        <v>3165</v>
      </c>
      <c r="C552" s="968">
        <v>1.7361E-3</v>
      </c>
      <c r="D552" s="968">
        <v>1.7323E-3</v>
      </c>
      <c r="E552" s="1007">
        <v>721544</v>
      </c>
      <c r="F552" s="1010">
        <v>3676521</v>
      </c>
      <c r="G552" s="969">
        <v>2652280</v>
      </c>
      <c r="H552" s="969"/>
      <c r="I552" s="970">
        <v>152796</v>
      </c>
      <c r="J552" s="971">
        <v>643977</v>
      </c>
      <c r="K552" s="970">
        <v>378782</v>
      </c>
      <c r="L552" s="969">
        <v>0</v>
      </c>
      <c r="M552" s="969"/>
      <c r="N552" s="970">
        <v>75078</v>
      </c>
      <c r="O552" s="970">
        <v>0</v>
      </c>
      <c r="P552" s="970">
        <v>0</v>
      </c>
      <c r="Q552" s="969">
        <v>139404</v>
      </c>
      <c r="R552" s="969"/>
      <c r="S552" s="970">
        <v>893821</v>
      </c>
      <c r="T552" s="972">
        <v>-60075</v>
      </c>
      <c r="U552" s="972">
        <v>833746</v>
      </c>
    </row>
    <row r="553" spans="1:21" x14ac:dyDescent="0.25">
      <c r="A553" s="966">
        <v>96051</v>
      </c>
      <c r="B553" s="967" t="s">
        <v>3166</v>
      </c>
      <c r="C553" s="968">
        <v>1.0062000000000001E-3</v>
      </c>
      <c r="D553" s="968">
        <v>1.0258000000000001E-3</v>
      </c>
      <c r="E553" s="1007">
        <v>418346</v>
      </c>
      <c r="F553" s="1010">
        <v>2177091</v>
      </c>
      <c r="G553" s="969">
        <v>1537195</v>
      </c>
      <c r="H553" s="969"/>
      <c r="I553" s="970">
        <v>88557</v>
      </c>
      <c r="J553" s="971">
        <v>373233</v>
      </c>
      <c r="K553" s="970">
        <v>219533</v>
      </c>
      <c r="L553" s="969">
        <v>0</v>
      </c>
      <c r="M553" s="969"/>
      <c r="N553" s="970">
        <v>43513</v>
      </c>
      <c r="O553" s="970">
        <v>0</v>
      </c>
      <c r="P553" s="970">
        <v>0</v>
      </c>
      <c r="Q553" s="969">
        <v>109605</v>
      </c>
      <c r="R553" s="969"/>
      <c r="S553" s="970">
        <v>518036</v>
      </c>
      <c r="T553" s="972">
        <v>-44751</v>
      </c>
      <c r="U553" s="972">
        <v>473285</v>
      </c>
    </row>
    <row r="554" spans="1:21" x14ac:dyDescent="0.25">
      <c r="A554" s="966">
        <v>96061</v>
      </c>
      <c r="B554" s="967" t="s">
        <v>3167</v>
      </c>
      <c r="C554" s="968">
        <v>3.3950000000000001E-4</v>
      </c>
      <c r="D554" s="968">
        <v>3.0800000000000001E-4</v>
      </c>
      <c r="E554" s="1007">
        <v>154988</v>
      </c>
      <c r="F554" s="1010">
        <v>653679</v>
      </c>
      <c r="G554" s="969">
        <v>518662</v>
      </c>
      <c r="H554" s="969"/>
      <c r="I554" s="970">
        <v>29880</v>
      </c>
      <c r="J554" s="971">
        <v>125932</v>
      </c>
      <c r="K554" s="970">
        <v>74072</v>
      </c>
      <c r="L554" s="969">
        <v>21868</v>
      </c>
      <c r="M554" s="969"/>
      <c r="N554" s="970">
        <v>14682</v>
      </c>
      <c r="O554" s="970">
        <v>0</v>
      </c>
      <c r="P554" s="970">
        <v>0</v>
      </c>
      <c r="Q554" s="969">
        <v>7447</v>
      </c>
      <c r="R554" s="969"/>
      <c r="S554" s="970">
        <v>174790</v>
      </c>
      <c r="T554" s="972">
        <v>2241</v>
      </c>
      <c r="U554" s="972">
        <v>177031</v>
      </c>
    </row>
    <row r="555" spans="1:21" x14ac:dyDescent="0.25">
      <c r="A555" s="966">
        <v>96071</v>
      </c>
      <c r="B555" s="967" t="s">
        <v>3168</v>
      </c>
      <c r="C555" s="968">
        <v>1.1367E-3</v>
      </c>
      <c r="D555" s="968">
        <v>1.1280999999999999E-3</v>
      </c>
      <c r="E555" s="1007">
        <v>554009</v>
      </c>
      <c r="F555" s="1010">
        <v>2394206</v>
      </c>
      <c r="G555" s="969">
        <v>1736563</v>
      </c>
      <c r="H555" s="969"/>
      <c r="I555" s="970">
        <v>100042</v>
      </c>
      <c r="J555" s="971">
        <v>421639</v>
      </c>
      <c r="K555" s="970">
        <v>248005</v>
      </c>
      <c r="L555" s="969">
        <v>72999</v>
      </c>
      <c r="M555" s="969"/>
      <c r="N555" s="970">
        <v>49157</v>
      </c>
      <c r="O555" s="970">
        <v>0</v>
      </c>
      <c r="P555" s="970">
        <v>0</v>
      </c>
      <c r="Q555" s="969">
        <v>71715</v>
      </c>
      <c r="R555" s="969"/>
      <c r="S555" s="970">
        <v>585223</v>
      </c>
      <c r="T555" s="972">
        <v>-1282</v>
      </c>
      <c r="U555" s="972">
        <v>583941</v>
      </c>
    </row>
    <row r="556" spans="1:21" x14ac:dyDescent="0.25">
      <c r="A556" s="966">
        <v>96081</v>
      </c>
      <c r="B556" s="967" t="s">
        <v>3169</v>
      </c>
      <c r="C556" s="968">
        <v>5.0900000000000001E-4</v>
      </c>
      <c r="D556" s="968">
        <v>4.7820000000000002E-4</v>
      </c>
      <c r="E556" s="1007">
        <v>211520</v>
      </c>
      <c r="F556" s="1010">
        <v>1014901</v>
      </c>
      <c r="G556" s="969">
        <v>777611</v>
      </c>
      <c r="H556" s="969"/>
      <c r="I556" s="970">
        <v>44798</v>
      </c>
      <c r="J556" s="971">
        <v>188805</v>
      </c>
      <c r="K556" s="970">
        <v>111054</v>
      </c>
      <c r="L556" s="969">
        <v>10640</v>
      </c>
      <c r="M556" s="969"/>
      <c r="N556" s="970">
        <v>22012</v>
      </c>
      <c r="O556" s="970">
        <v>0</v>
      </c>
      <c r="P556" s="970">
        <v>0</v>
      </c>
      <c r="Q556" s="969">
        <v>4115</v>
      </c>
      <c r="R556" s="969"/>
      <c r="S556" s="970">
        <v>262056</v>
      </c>
      <c r="T556" s="972">
        <v>5137</v>
      </c>
      <c r="U556" s="972">
        <v>267193</v>
      </c>
    </row>
    <row r="557" spans="1:21" x14ac:dyDescent="0.25">
      <c r="A557" s="966">
        <v>96101</v>
      </c>
      <c r="B557" s="967" t="s">
        <v>3170</v>
      </c>
      <c r="C557" s="968">
        <v>7.6749999999999995E-4</v>
      </c>
      <c r="D557" s="968">
        <v>7.5860000000000001E-4</v>
      </c>
      <c r="E557" s="1007">
        <v>371541</v>
      </c>
      <c r="F557" s="1010">
        <v>1610003</v>
      </c>
      <c r="G557" s="969">
        <v>1172527</v>
      </c>
      <c r="H557" s="969"/>
      <c r="I557" s="970">
        <v>67548</v>
      </c>
      <c r="J557" s="971">
        <v>284691</v>
      </c>
      <c r="K557" s="970">
        <v>167453</v>
      </c>
      <c r="L557" s="969">
        <v>39221</v>
      </c>
      <c r="M557" s="969"/>
      <c r="N557" s="970">
        <v>33191</v>
      </c>
      <c r="O557" s="970">
        <v>0</v>
      </c>
      <c r="P557" s="970">
        <v>0</v>
      </c>
      <c r="Q557" s="969">
        <v>3498</v>
      </c>
      <c r="R557" s="969"/>
      <c r="S557" s="970">
        <v>395143</v>
      </c>
      <c r="T557" s="972">
        <v>17230</v>
      </c>
      <c r="U557" s="972">
        <v>412373</v>
      </c>
    </row>
    <row r="558" spans="1:21" x14ac:dyDescent="0.25">
      <c r="A558" s="966">
        <v>96102</v>
      </c>
      <c r="B558" s="967" t="s">
        <v>3171</v>
      </c>
      <c r="C558" s="968">
        <v>1.36E-5</v>
      </c>
      <c r="D558" s="968">
        <v>1.42E-5</v>
      </c>
      <c r="E558" s="1007">
        <v>5078</v>
      </c>
      <c r="F558" s="1010">
        <v>30137</v>
      </c>
      <c r="G558" s="969">
        <v>20777</v>
      </c>
      <c r="H558" s="969"/>
      <c r="I558" s="970">
        <v>1197</v>
      </c>
      <c r="J558" s="971">
        <v>5045</v>
      </c>
      <c r="K558" s="970">
        <v>2967</v>
      </c>
      <c r="L558" s="969">
        <v>0</v>
      </c>
      <c r="M558" s="969"/>
      <c r="N558" s="970">
        <v>588</v>
      </c>
      <c r="O558" s="970">
        <v>0</v>
      </c>
      <c r="P558" s="970">
        <v>0</v>
      </c>
      <c r="Q558" s="969">
        <v>3137</v>
      </c>
      <c r="R558" s="969"/>
      <c r="S558" s="970">
        <v>7002</v>
      </c>
      <c r="T558" s="972">
        <v>-1435</v>
      </c>
      <c r="U558" s="972">
        <v>5567</v>
      </c>
    </row>
    <row r="559" spans="1:21" x14ac:dyDescent="0.25">
      <c r="A559" s="966">
        <v>96111</v>
      </c>
      <c r="B559" s="967" t="s">
        <v>3172</v>
      </c>
      <c r="C559" s="968">
        <v>1.5349999999999999E-4</v>
      </c>
      <c r="D559" s="968">
        <v>1.6119999999999999E-4</v>
      </c>
      <c r="E559" s="1007">
        <v>74819</v>
      </c>
      <c r="F559" s="1010">
        <v>342120</v>
      </c>
      <c r="G559" s="969">
        <v>234505</v>
      </c>
      <c r="H559" s="969"/>
      <c r="I559" s="970">
        <v>13510</v>
      </c>
      <c r="J559" s="971">
        <v>56938</v>
      </c>
      <c r="K559" s="970">
        <v>33491</v>
      </c>
      <c r="L559" s="969">
        <v>9403</v>
      </c>
      <c r="M559" s="969"/>
      <c r="N559" s="970">
        <v>6638</v>
      </c>
      <c r="O559" s="970">
        <v>0</v>
      </c>
      <c r="P559" s="970">
        <v>0</v>
      </c>
      <c r="Q559" s="969">
        <v>1683</v>
      </c>
      <c r="R559" s="969"/>
      <c r="S559" s="970">
        <v>79029</v>
      </c>
      <c r="T559" s="972">
        <v>6754</v>
      </c>
      <c r="U559" s="972">
        <v>85783</v>
      </c>
    </row>
    <row r="560" spans="1:21" x14ac:dyDescent="0.25">
      <c r="A560" s="966">
        <v>96121</v>
      </c>
      <c r="B560" s="967" t="s">
        <v>3173</v>
      </c>
      <c r="C560" s="968">
        <v>2.2500000000000001E-5</v>
      </c>
      <c r="D560" s="968">
        <v>2.2099999999999998E-5</v>
      </c>
      <c r="E560" s="1007">
        <v>9052</v>
      </c>
      <c r="F560" s="1010">
        <v>46904</v>
      </c>
      <c r="G560" s="969">
        <v>34374</v>
      </c>
      <c r="H560" s="969"/>
      <c r="I560" s="970">
        <v>1980</v>
      </c>
      <c r="J560" s="971">
        <v>8346</v>
      </c>
      <c r="K560" s="970">
        <v>4909</v>
      </c>
      <c r="L560" s="969">
        <v>397</v>
      </c>
      <c r="M560" s="969"/>
      <c r="N560" s="970">
        <v>973</v>
      </c>
      <c r="O560" s="970">
        <v>0</v>
      </c>
      <c r="P560" s="970">
        <v>0</v>
      </c>
      <c r="Q560" s="969">
        <v>1764</v>
      </c>
      <c r="R560" s="969"/>
      <c r="S560" s="970">
        <v>11584</v>
      </c>
      <c r="T560" s="972">
        <v>-946</v>
      </c>
      <c r="U560" s="972">
        <v>10638</v>
      </c>
    </row>
    <row r="561" spans="1:21" x14ac:dyDescent="0.25">
      <c r="A561" s="966">
        <v>96201</v>
      </c>
      <c r="B561" s="967" t="s">
        <v>3174</v>
      </c>
      <c r="C561" s="968">
        <v>1.1788E-3</v>
      </c>
      <c r="D561" s="968">
        <v>1.2302999999999999E-3</v>
      </c>
      <c r="E561" s="1007">
        <v>527645</v>
      </c>
      <c r="F561" s="1010">
        <v>2611109</v>
      </c>
      <c r="G561" s="969">
        <v>1800880</v>
      </c>
      <c r="H561" s="969"/>
      <c r="I561" s="970">
        <v>103747</v>
      </c>
      <c r="J561" s="971">
        <v>437256</v>
      </c>
      <c r="K561" s="970">
        <v>257191</v>
      </c>
      <c r="L561" s="969">
        <v>0</v>
      </c>
      <c r="M561" s="969"/>
      <c r="N561" s="970">
        <v>50977</v>
      </c>
      <c r="O561" s="970">
        <v>0</v>
      </c>
      <c r="P561" s="970">
        <v>0</v>
      </c>
      <c r="Q561" s="969">
        <v>73119</v>
      </c>
      <c r="R561" s="969"/>
      <c r="S561" s="970">
        <v>606898</v>
      </c>
      <c r="T561" s="972">
        <v>-23257</v>
      </c>
      <c r="U561" s="972">
        <v>583641</v>
      </c>
    </row>
    <row r="562" spans="1:21" x14ac:dyDescent="0.25">
      <c r="A562" s="966">
        <v>96204</v>
      </c>
      <c r="B562" s="967" t="s">
        <v>3175</v>
      </c>
      <c r="C562" s="968">
        <v>1.5099999999999999E-5</v>
      </c>
      <c r="D562" s="968">
        <v>1.5400000000000002E-5</v>
      </c>
      <c r="E562" s="1007">
        <v>8503</v>
      </c>
      <c r="F562" s="1010">
        <v>32684</v>
      </c>
      <c r="G562" s="969">
        <v>23069</v>
      </c>
      <c r="H562" s="969"/>
      <c r="I562" s="970">
        <v>1329</v>
      </c>
      <c r="J562" s="971">
        <v>5602</v>
      </c>
      <c r="K562" s="970">
        <v>3295</v>
      </c>
      <c r="L562" s="969">
        <v>3517</v>
      </c>
      <c r="M562" s="969"/>
      <c r="N562" s="970">
        <v>653</v>
      </c>
      <c r="O562" s="970">
        <v>0</v>
      </c>
      <c r="P562" s="970">
        <v>0</v>
      </c>
      <c r="Q562" s="969">
        <v>0</v>
      </c>
      <c r="R562" s="969"/>
      <c r="S562" s="970">
        <v>7774</v>
      </c>
      <c r="T562" s="972">
        <v>1655</v>
      </c>
      <c r="U562" s="972">
        <f>9430-1</f>
        <v>9429</v>
      </c>
    </row>
    <row r="563" spans="1:21" x14ac:dyDescent="0.25">
      <c r="A563" s="966">
        <v>96211</v>
      </c>
      <c r="B563" s="967" t="s">
        <v>3176</v>
      </c>
      <c r="C563" s="968">
        <v>2.62E-5</v>
      </c>
      <c r="D563" s="968">
        <v>3.0700000000000001E-5</v>
      </c>
      <c r="E563" s="1007">
        <v>16678</v>
      </c>
      <c r="F563" s="1010">
        <v>65156</v>
      </c>
      <c r="G563" s="969">
        <v>40026</v>
      </c>
      <c r="H563" s="969"/>
      <c r="I563" s="970">
        <v>2306</v>
      </c>
      <c r="J563" s="971">
        <v>9718</v>
      </c>
      <c r="K563" s="970">
        <v>5716</v>
      </c>
      <c r="L563" s="969">
        <v>4494</v>
      </c>
      <c r="M563" s="969"/>
      <c r="N563" s="970">
        <v>1133</v>
      </c>
      <c r="O563" s="970">
        <v>0</v>
      </c>
      <c r="P563" s="970">
        <v>0</v>
      </c>
      <c r="Q563" s="969">
        <v>4462</v>
      </c>
      <c r="R563" s="969"/>
      <c r="S563" s="970">
        <v>13489</v>
      </c>
      <c r="T563" s="972">
        <v>-2681</v>
      </c>
      <c r="U563" s="972">
        <v>10808</v>
      </c>
    </row>
    <row r="564" spans="1:21" x14ac:dyDescent="0.25">
      <c r="A564" s="966">
        <v>96221</v>
      </c>
      <c r="B564" s="967" t="s">
        <v>3177</v>
      </c>
      <c r="C564" s="968">
        <v>2.3350000000000001E-4</v>
      </c>
      <c r="D564" s="968">
        <v>2.287E-4</v>
      </c>
      <c r="E564" s="1007">
        <v>98415</v>
      </c>
      <c r="F564" s="1010">
        <v>485378</v>
      </c>
      <c r="G564" s="969">
        <v>356723</v>
      </c>
      <c r="H564" s="969"/>
      <c r="I564" s="970">
        <v>20551</v>
      </c>
      <c r="J564" s="971">
        <v>86613</v>
      </c>
      <c r="K564" s="970">
        <v>50945</v>
      </c>
      <c r="L564" s="969">
        <v>2439</v>
      </c>
      <c r="M564" s="969"/>
      <c r="N564" s="970">
        <v>10098</v>
      </c>
      <c r="O564" s="970">
        <v>0</v>
      </c>
      <c r="P564" s="970">
        <v>0</v>
      </c>
      <c r="Q564" s="969">
        <v>15042</v>
      </c>
      <c r="R564" s="969"/>
      <c r="S564" s="970">
        <v>120216</v>
      </c>
      <c r="T564" s="972">
        <v>-3357</v>
      </c>
      <c r="U564" s="972">
        <f>116860-1</f>
        <v>116859</v>
      </c>
    </row>
    <row r="565" spans="1:21" x14ac:dyDescent="0.25">
      <c r="A565" s="966">
        <v>96231</v>
      </c>
      <c r="B565" s="967" t="s">
        <v>3178</v>
      </c>
      <c r="C565" s="968">
        <v>1.3339999999999999E-4</v>
      </c>
      <c r="D565" s="968">
        <v>1.145E-4</v>
      </c>
      <c r="E565" s="1007">
        <v>48595</v>
      </c>
      <c r="F565" s="1010">
        <v>243007</v>
      </c>
      <c r="G565" s="969">
        <v>203798</v>
      </c>
      <c r="H565" s="969"/>
      <c r="I565" s="970">
        <v>11741</v>
      </c>
      <c r="J565" s="971">
        <v>49482</v>
      </c>
      <c r="K565" s="970">
        <v>29105</v>
      </c>
      <c r="L565" s="969">
        <v>2554</v>
      </c>
      <c r="M565" s="969"/>
      <c r="N565" s="970">
        <v>5769</v>
      </c>
      <c r="O565" s="970">
        <v>0</v>
      </c>
      <c r="P565" s="970">
        <v>0</v>
      </c>
      <c r="Q565" s="969">
        <v>14959</v>
      </c>
      <c r="R565" s="969"/>
      <c r="S565" s="970">
        <v>68680</v>
      </c>
      <c r="T565" s="972">
        <v>-7094</v>
      </c>
      <c r="U565" s="972">
        <v>61586</v>
      </c>
    </row>
    <row r="566" spans="1:21" x14ac:dyDescent="0.25">
      <c r="A566" s="966">
        <v>96241</v>
      </c>
      <c r="B566" s="967" t="s">
        <v>3179</v>
      </c>
      <c r="C566" s="968">
        <v>4.4700000000000002E-5</v>
      </c>
      <c r="D566" s="968">
        <v>4.6100000000000002E-5</v>
      </c>
      <c r="E566" s="1007">
        <v>22791</v>
      </c>
      <c r="F566" s="1010">
        <v>97840</v>
      </c>
      <c r="G566" s="969">
        <v>68289</v>
      </c>
      <c r="H566" s="969"/>
      <c r="I566" s="970">
        <v>3934</v>
      </c>
      <c r="J566" s="971">
        <v>16580</v>
      </c>
      <c r="K566" s="970">
        <v>9753</v>
      </c>
      <c r="L566" s="969">
        <v>5027</v>
      </c>
      <c r="M566" s="969"/>
      <c r="N566" s="970">
        <v>1933</v>
      </c>
      <c r="O566" s="970">
        <v>0</v>
      </c>
      <c r="P566" s="970">
        <v>0</v>
      </c>
      <c r="Q566" s="969">
        <v>4371</v>
      </c>
      <c r="R566" s="969"/>
      <c r="S566" s="970">
        <v>23014</v>
      </c>
      <c r="T566" s="972">
        <v>2407</v>
      </c>
      <c r="U566" s="972">
        <f>25420+1</f>
        <v>25421</v>
      </c>
    </row>
    <row r="567" spans="1:21" x14ac:dyDescent="0.25">
      <c r="A567" s="966">
        <v>96251</v>
      </c>
      <c r="B567" s="967" t="s">
        <v>3180</v>
      </c>
      <c r="C567" s="968">
        <v>9.3999999999999994E-5</v>
      </c>
      <c r="D567" s="968">
        <v>7.7100000000000004E-5</v>
      </c>
      <c r="E567" s="1007">
        <v>36737</v>
      </c>
      <c r="F567" s="1010">
        <v>163632</v>
      </c>
      <c r="G567" s="969">
        <v>143606</v>
      </c>
      <c r="H567" s="969"/>
      <c r="I567" s="970">
        <v>8273</v>
      </c>
      <c r="J567" s="971">
        <v>34868</v>
      </c>
      <c r="K567" s="970">
        <v>20509</v>
      </c>
      <c r="L567" s="969">
        <v>6198</v>
      </c>
      <c r="M567" s="969"/>
      <c r="N567" s="970">
        <v>4065</v>
      </c>
      <c r="O567" s="970">
        <v>0</v>
      </c>
      <c r="P567" s="970">
        <v>0</v>
      </c>
      <c r="Q567" s="969">
        <v>16886</v>
      </c>
      <c r="R567" s="969"/>
      <c r="S567" s="970">
        <v>48395</v>
      </c>
      <c r="T567" s="972">
        <v>-7102</v>
      </c>
      <c r="U567" s="972">
        <v>41293</v>
      </c>
    </row>
    <row r="568" spans="1:21" x14ac:dyDescent="0.25">
      <c r="A568" s="966">
        <v>96301</v>
      </c>
      <c r="B568" s="967" t="s">
        <v>3181</v>
      </c>
      <c r="C568" s="968">
        <v>4.3712999999999998E-3</v>
      </c>
      <c r="D568" s="968">
        <v>4.3785999999999999E-3</v>
      </c>
      <c r="E568" s="1007">
        <v>1938350</v>
      </c>
      <c r="F568" s="1010">
        <v>9292856</v>
      </c>
      <c r="G568" s="969">
        <v>6678136</v>
      </c>
      <c r="H568" s="969"/>
      <c r="I568" s="970">
        <v>384722</v>
      </c>
      <c r="J568" s="971">
        <v>1621460</v>
      </c>
      <c r="K568" s="970">
        <v>953730</v>
      </c>
      <c r="L568" s="969">
        <v>60786</v>
      </c>
      <c r="M568" s="969"/>
      <c r="N568" s="970">
        <v>189037</v>
      </c>
      <c r="O568" s="970">
        <v>0</v>
      </c>
      <c r="P568" s="970">
        <v>0</v>
      </c>
      <c r="Q568" s="969">
        <v>160488</v>
      </c>
      <c r="R568" s="969"/>
      <c r="S568" s="970">
        <v>2250538</v>
      </c>
      <c r="T568" s="972">
        <v>-27776</v>
      </c>
      <c r="U568" s="972">
        <v>2222762</v>
      </c>
    </row>
    <row r="569" spans="1:21" x14ac:dyDescent="0.25">
      <c r="A569" s="966">
        <v>96302</v>
      </c>
      <c r="B569" s="967" t="s">
        <v>3182</v>
      </c>
      <c r="C569" s="968">
        <v>2.5199999999999999E-5</v>
      </c>
      <c r="D569" s="968">
        <v>1.9199999999999999E-5</v>
      </c>
      <c r="E569" s="1007">
        <v>12121</v>
      </c>
      <c r="F569" s="1010">
        <v>40749</v>
      </c>
      <c r="G569" s="969">
        <v>38499</v>
      </c>
      <c r="H569" s="969"/>
      <c r="I569" s="970">
        <v>2218</v>
      </c>
      <c r="J569" s="971">
        <v>9347</v>
      </c>
      <c r="K569" s="970">
        <v>5498</v>
      </c>
      <c r="L569" s="969">
        <v>7399</v>
      </c>
      <c r="M569" s="969"/>
      <c r="N569" s="970">
        <v>1090</v>
      </c>
      <c r="O569" s="970">
        <v>0</v>
      </c>
      <c r="P569" s="970">
        <v>0</v>
      </c>
      <c r="Q569" s="969">
        <v>0</v>
      </c>
      <c r="R569" s="969"/>
      <c r="S569" s="970">
        <v>12974</v>
      </c>
      <c r="T569" s="972">
        <v>2631</v>
      </c>
      <c r="U569" s="972">
        <v>15605</v>
      </c>
    </row>
    <row r="570" spans="1:21" x14ac:dyDescent="0.25">
      <c r="A570" s="966">
        <v>96304</v>
      </c>
      <c r="B570" s="967" t="s">
        <v>3183</v>
      </c>
      <c r="C570" s="968">
        <v>4.5500000000000001E-5</v>
      </c>
      <c r="D570" s="968">
        <v>5.4599999999999999E-5</v>
      </c>
      <c r="E570" s="1007">
        <v>27294</v>
      </c>
      <c r="F570" s="1010">
        <v>115879</v>
      </c>
      <c r="G570" s="969">
        <v>69511</v>
      </c>
      <c r="H570" s="969"/>
      <c r="I570" s="970">
        <v>4005</v>
      </c>
      <c r="J570" s="971">
        <v>16877</v>
      </c>
      <c r="K570" s="970">
        <v>9927</v>
      </c>
      <c r="L570" s="969">
        <v>5469</v>
      </c>
      <c r="M570" s="969"/>
      <c r="N570" s="970">
        <v>1968</v>
      </c>
      <c r="O570" s="970">
        <v>0</v>
      </c>
      <c r="P570" s="970">
        <v>0</v>
      </c>
      <c r="Q570" s="969">
        <v>1092</v>
      </c>
      <c r="R570" s="969"/>
      <c r="S570" s="970">
        <v>23425</v>
      </c>
      <c r="T570" s="972">
        <v>2085</v>
      </c>
      <c r="U570" s="972">
        <v>25510</v>
      </c>
    </row>
    <row r="571" spans="1:21" x14ac:dyDescent="0.25">
      <c r="A571" s="966">
        <v>96305</v>
      </c>
      <c r="B571" s="967" t="s">
        <v>3184</v>
      </c>
      <c r="C571" s="968">
        <v>4.5500000000000001E-5</v>
      </c>
      <c r="D571" s="968">
        <v>4.8199999999999999E-5</v>
      </c>
      <c r="E571" s="1007">
        <v>30520</v>
      </c>
      <c r="F571" s="1010">
        <v>102297</v>
      </c>
      <c r="G571" s="969">
        <v>69511</v>
      </c>
      <c r="H571" s="969"/>
      <c r="I571" s="970">
        <v>4005</v>
      </c>
      <c r="J571" s="971">
        <v>16877</v>
      </c>
      <c r="K571" s="970">
        <v>9927</v>
      </c>
      <c r="L571" s="969">
        <v>13328</v>
      </c>
      <c r="M571" s="969"/>
      <c r="N571" s="970">
        <v>1968</v>
      </c>
      <c r="O571" s="970">
        <v>0</v>
      </c>
      <c r="P571" s="970">
        <v>0</v>
      </c>
      <c r="Q571" s="969">
        <v>0</v>
      </c>
      <c r="R571" s="969"/>
      <c r="S571" s="970">
        <v>23425</v>
      </c>
      <c r="T571" s="972">
        <v>4752</v>
      </c>
      <c r="U571" s="972">
        <v>28177</v>
      </c>
    </row>
    <row r="572" spans="1:21" x14ac:dyDescent="0.25">
      <c r="A572" s="966">
        <v>96310</v>
      </c>
      <c r="B572" s="967" t="s">
        <v>3185</v>
      </c>
      <c r="C572" s="968">
        <v>6.1099999999999994E-5</v>
      </c>
      <c r="D572" s="968">
        <v>4.88E-5</v>
      </c>
      <c r="E572" s="1007">
        <v>26767</v>
      </c>
      <c r="F572" s="1010">
        <v>103570</v>
      </c>
      <c r="G572" s="969">
        <v>93344</v>
      </c>
      <c r="H572" s="969"/>
      <c r="I572" s="970">
        <v>5377</v>
      </c>
      <c r="J572" s="971">
        <v>22664</v>
      </c>
      <c r="K572" s="970">
        <v>13331</v>
      </c>
      <c r="L572" s="969">
        <v>10507</v>
      </c>
      <c r="M572" s="969"/>
      <c r="N572" s="970">
        <v>2642</v>
      </c>
      <c r="O572" s="970">
        <v>0</v>
      </c>
      <c r="P572" s="970">
        <v>0</v>
      </c>
      <c r="Q572" s="969">
        <v>3055</v>
      </c>
      <c r="R572" s="969"/>
      <c r="S572" s="970">
        <v>31457</v>
      </c>
      <c r="T572" s="972">
        <v>3506</v>
      </c>
      <c r="U572" s="972">
        <v>34963</v>
      </c>
    </row>
    <row r="573" spans="1:21" x14ac:dyDescent="0.25">
      <c r="A573" s="966">
        <v>96311</v>
      </c>
      <c r="B573" s="967" t="s">
        <v>3186</v>
      </c>
      <c r="C573" s="968">
        <v>1.3113000000000001E-3</v>
      </c>
      <c r="D573" s="968">
        <v>1.4082999999999999E-3</v>
      </c>
      <c r="E573" s="1007">
        <v>595124</v>
      </c>
      <c r="F573" s="1010">
        <v>2988884</v>
      </c>
      <c r="G573" s="969">
        <v>2003303</v>
      </c>
      <c r="H573" s="969"/>
      <c r="I573" s="970">
        <v>115409</v>
      </c>
      <c r="J573" s="971">
        <v>486404</v>
      </c>
      <c r="K573" s="970">
        <v>286099</v>
      </c>
      <c r="L573" s="969">
        <v>11041</v>
      </c>
      <c r="M573" s="969"/>
      <c r="N573" s="970">
        <v>56707</v>
      </c>
      <c r="O573" s="970">
        <v>0</v>
      </c>
      <c r="P573" s="970">
        <v>0</v>
      </c>
      <c r="Q573" s="969">
        <v>139297</v>
      </c>
      <c r="R573" s="969"/>
      <c r="S573" s="970">
        <v>675115</v>
      </c>
      <c r="T573" s="972">
        <v>-33999</v>
      </c>
      <c r="U573" s="972">
        <v>641116</v>
      </c>
    </row>
    <row r="574" spans="1:21" x14ac:dyDescent="0.25">
      <c r="A574" s="966">
        <v>96312</v>
      </c>
      <c r="B574" s="967" t="s">
        <v>3187</v>
      </c>
      <c r="C574" s="968">
        <v>1.5999999999999999E-5</v>
      </c>
      <c r="D574" s="968">
        <v>1.5999999999999999E-6</v>
      </c>
      <c r="E574" s="1007">
        <v>4820</v>
      </c>
      <c r="F574" s="1010">
        <v>3396</v>
      </c>
      <c r="G574" s="969">
        <v>24444</v>
      </c>
      <c r="H574" s="969"/>
      <c r="I574" s="970">
        <v>1408</v>
      </c>
      <c r="J574" s="971">
        <v>5935</v>
      </c>
      <c r="K574" s="970">
        <v>3491</v>
      </c>
      <c r="L574" s="969">
        <v>7668</v>
      </c>
      <c r="M574" s="969"/>
      <c r="N574" s="970">
        <v>692</v>
      </c>
      <c r="O574" s="970">
        <v>0</v>
      </c>
      <c r="P574" s="970">
        <v>0</v>
      </c>
      <c r="Q574" s="969">
        <v>1864</v>
      </c>
      <c r="R574" s="969"/>
      <c r="S574" s="970">
        <v>8238</v>
      </c>
      <c r="T574" s="972">
        <v>374</v>
      </c>
      <c r="U574" s="972">
        <v>8612</v>
      </c>
    </row>
    <row r="575" spans="1:21" x14ac:dyDescent="0.25">
      <c r="A575" s="966">
        <v>96318</v>
      </c>
      <c r="B575" s="967" t="s">
        <v>3188</v>
      </c>
      <c r="C575" s="968">
        <v>2.1684999999999999E-3</v>
      </c>
      <c r="D575" s="968">
        <v>1.7782E-3</v>
      </c>
      <c r="E575" s="1007">
        <v>1061238</v>
      </c>
      <c r="F575" s="1010">
        <v>3773936</v>
      </c>
      <c r="G575" s="969">
        <v>3312867</v>
      </c>
      <c r="H575" s="969"/>
      <c r="I575" s="970">
        <v>190852</v>
      </c>
      <c r="J575" s="971">
        <v>804368</v>
      </c>
      <c r="K575" s="970">
        <v>473123</v>
      </c>
      <c r="L575" s="969">
        <v>7711758</v>
      </c>
      <c r="M575" s="969"/>
      <c r="N575" s="970">
        <v>93777</v>
      </c>
      <c r="O575" s="970">
        <v>0</v>
      </c>
      <c r="P575" s="970">
        <v>0</v>
      </c>
      <c r="Q575" s="969">
        <v>0</v>
      </c>
      <c r="R575" s="969"/>
      <c r="S575" s="970">
        <v>1116439</v>
      </c>
      <c r="T575" s="972">
        <v>2665103</v>
      </c>
      <c r="U575" s="972">
        <v>3781542</v>
      </c>
    </row>
    <row r="576" spans="1:21" x14ac:dyDescent="0.25">
      <c r="A576" s="966">
        <v>96321</v>
      </c>
      <c r="B576" s="967" t="s">
        <v>3189</v>
      </c>
      <c r="C576" s="968">
        <v>3.6900000000000002E-5</v>
      </c>
      <c r="D576" s="968">
        <v>3.7400000000000001E-5</v>
      </c>
      <c r="E576" s="1007">
        <v>18737</v>
      </c>
      <c r="F576" s="1010">
        <v>79375</v>
      </c>
      <c r="G576" s="969">
        <v>56373</v>
      </c>
      <c r="H576" s="969"/>
      <c r="I576" s="970">
        <v>3248</v>
      </c>
      <c r="J576" s="971">
        <v>13687</v>
      </c>
      <c r="K576" s="970">
        <v>8051</v>
      </c>
      <c r="L576" s="969">
        <v>1642</v>
      </c>
      <c r="M576" s="969"/>
      <c r="N576" s="970">
        <v>1596</v>
      </c>
      <c r="O576" s="970">
        <v>0</v>
      </c>
      <c r="P576" s="970">
        <v>0</v>
      </c>
      <c r="Q576" s="969">
        <v>2449</v>
      </c>
      <c r="R576" s="969"/>
      <c r="S576" s="970">
        <v>18998</v>
      </c>
      <c r="T576" s="972">
        <v>-489</v>
      </c>
      <c r="U576" s="972">
        <v>18509</v>
      </c>
    </row>
    <row r="577" spans="1:21" x14ac:dyDescent="0.25">
      <c r="A577" s="966">
        <v>96331</v>
      </c>
      <c r="B577" s="967" t="s">
        <v>3190</v>
      </c>
      <c r="C577" s="968">
        <v>7.0850000000000004E-4</v>
      </c>
      <c r="D577" s="968">
        <v>7.1699999999999997E-4</v>
      </c>
      <c r="E577" s="1007">
        <v>321182</v>
      </c>
      <c r="F577" s="1010">
        <v>1521714</v>
      </c>
      <c r="G577" s="969">
        <v>1082392</v>
      </c>
      <c r="H577" s="969"/>
      <c r="I577" s="970">
        <v>62356</v>
      </c>
      <c r="J577" s="971">
        <v>262806</v>
      </c>
      <c r="K577" s="970">
        <v>154581</v>
      </c>
      <c r="L577" s="969">
        <v>3107</v>
      </c>
      <c r="M577" s="969"/>
      <c r="N577" s="970">
        <v>30639</v>
      </c>
      <c r="O577" s="970">
        <v>0</v>
      </c>
      <c r="P577" s="970">
        <v>0</v>
      </c>
      <c r="Q577" s="969">
        <v>53524</v>
      </c>
      <c r="R577" s="969"/>
      <c r="S577" s="970">
        <v>364767</v>
      </c>
      <c r="T577" s="972">
        <v>-22322</v>
      </c>
      <c r="U577" s="972">
        <v>342445</v>
      </c>
    </row>
    <row r="578" spans="1:21" x14ac:dyDescent="0.25">
      <c r="A578" s="966">
        <v>96341</v>
      </c>
      <c r="B578" s="967" t="s">
        <v>3191</v>
      </c>
      <c r="C578" s="968">
        <v>8.3800000000000004E-5</v>
      </c>
      <c r="D578" s="968">
        <v>9.1600000000000004E-5</v>
      </c>
      <c r="E578" s="1007">
        <v>35036</v>
      </c>
      <c r="F578" s="1010">
        <v>194406</v>
      </c>
      <c r="G578" s="969">
        <v>128023</v>
      </c>
      <c r="H578" s="969"/>
      <c r="I578" s="970">
        <v>7375</v>
      </c>
      <c r="J578" s="971">
        <v>31084</v>
      </c>
      <c r="K578" s="970">
        <v>18283</v>
      </c>
      <c r="L578" s="969">
        <v>8694</v>
      </c>
      <c r="M578" s="969"/>
      <c r="N578" s="970">
        <v>3624</v>
      </c>
      <c r="O578" s="970">
        <v>0</v>
      </c>
      <c r="P578" s="970">
        <v>0</v>
      </c>
      <c r="Q578" s="969">
        <v>13544</v>
      </c>
      <c r="R578" s="969"/>
      <c r="S578" s="970">
        <v>43144</v>
      </c>
      <c r="T578" s="972">
        <v>-3090</v>
      </c>
      <c r="U578" s="972">
        <v>40054</v>
      </c>
    </row>
    <row r="579" spans="1:21" x14ac:dyDescent="0.25">
      <c r="A579" s="966">
        <v>96351</v>
      </c>
      <c r="B579" s="967" t="s">
        <v>3192</v>
      </c>
      <c r="C579" s="968">
        <v>1.0616E-3</v>
      </c>
      <c r="D579" s="968">
        <v>1.0736000000000001E-3</v>
      </c>
      <c r="E579" s="1007">
        <v>488441</v>
      </c>
      <c r="F579" s="1010">
        <v>2278539</v>
      </c>
      <c r="G579" s="969">
        <v>1621831</v>
      </c>
      <c r="H579" s="969"/>
      <c r="I579" s="970">
        <v>93432</v>
      </c>
      <c r="J579" s="971">
        <v>393782</v>
      </c>
      <c r="K579" s="970">
        <v>231620</v>
      </c>
      <c r="L579" s="969">
        <v>5421</v>
      </c>
      <c r="M579" s="969"/>
      <c r="N579" s="970">
        <v>45909</v>
      </c>
      <c r="O579" s="970">
        <v>0</v>
      </c>
      <c r="P579" s="970">
        <v>0</v>
      </c>
      <c r="Q579" s="969">
        <v>28542</v>
      </c>
      <c r="R579" s="969"/>
      <c r="S579" s="970">
        <v>546558</v>
      </c>
      <c r="T579" s="972">
        <v>-5218</v>
      </c>
      <c r="U579" s="972">
        <v>541340</v>
      </c>
    </row>
    <row r="580" spans="1:21" x14ac:dyDescent="0.25">
      <c r="A580" s="966">
        <v>96361</v>
      </c>
      <c r="B580" s="967" t="s">
        <v>3193</v>
      </c>
      <c r="C580" s="968">
        <v>5.5699999999999999E-5</v>
      </c>
      <c r="D580" s="968">
        <v>5.8900000000000002E-5</v>
      </c>
      <c r="E580" s="1007">
        <v>24289</v>
      </c>
      <c r="F580" s="1010">
        <v>125006</v>
      </c>
      <c r="G580" s="969">
        <v>85094</v>
      </c>
      <c r="H580" s="969"/>
      <c r="I580" s="970">
        <v>4902</v>
      </c>
      <c r="J580" s="971">
        <v>20661</v>
      </c>
      <c r="K580" s="970">
        <v>12153</v>
      </c>
      <c r="L580" s="969">
        <v>3403</v>
      </c>
      <c r="M580" s="969"/>
      <c r="N580" s="970">
        <v>2409</v>
      </c>
      <c r="O580" s="970">
        <v>0</v>
      </c>
      <c r="P580" s="970">
        <v>0</v>
      </c>
      <c r="Q580" s="969">
        <v>3423</v>
      </c>
      <c r="R580" s="969"/>
      <c r="S580" s="970">
        <v>28677</v>
      </c>
      <c r="T580" s="972">
        <v>936</v>
      </c>
      <c r="U580" s="972">
        <f>29612+1</f>
        <v>29613</v>
      </c>
    </row>
    <row r="581" spans="1:21" x14ac:dyDescent="0.25">
      <c r="A581" s="966">
        <v>96371</v>
      </c>
      <c r="B581" s="967" t="s">
        <v>3194</v>
      </c>
      <c r="C581" s="968">
        <v>1.5249999999999999E-4</v>
      </c>
      <c r="D581" s="968">
        <v>1.6359999999999999E-4</v>
      </c>
      <c r="E581" s="1007">
        <v>67276</v>
      </c>
      <c r="F581" s="1010">
        <v>347214</v>
      </c>
      <c r="G581" s="969">
        <v>232978</v>
      </c>
      <c r="H581" s="969"/>
      <c r="I581" s="970">
        <v>13422</v>
      </c>
      <c r="J581" s="971">
        <v>56568</v>
      </c>
      <c r="K581" s="970">
        <v>33272</v>
      </c>
      <c r="L581" s="969">
        <v>1335</v>
      </c>
      <c r="M581" s="969"/>
      <c r="N581" s="970">
        <v>6595</v>
      </c>
      <c r="O581" s="970">
        <v>0</v>
      </c>
      <c r="P581" s="970">
        <v>0</v>
      </c>
      <c r="Q581" s="969">
        <v>14966</v>
      </c>
      <c r="R581" s="969"/>
      <c r="S581" s="970">
        <v>78514</v>
      </c>
      <c r="T581" s="972">
        <v>-3158</v>
      </c>
      <c r="U581" s="972">
        <v>75356</v>
      </c>
    </row>
    <row r="582" spans="1:21" x14ac:dyDescent="0.25">
      <c r="A582" s="966">
        <v>96381</v>
      </c>
      <c r="B582" s="967" t="s">
        <v>3195</v>
      </c>
      <c r="C582" s="968">
        <v>3.2100000000000001E-5</v>
      </c>
      <c r="D582" s="968">
        <v>3.26E-5</v>
      </c>
      <c r="E582" s="1007">
        <v>15357</v>
      </c>
      <c r="F582" s="1010">
        <v>69188</v>
      </c>
      <c r="G582" s="969">
        <v>49040</v>
      </c>
      <c r="H582" s="969"/>
      <c r="I582" s="970">
        <v>2825</v>
      </c>
      <c r="J582" s="971">
        <v>11907</v>
      </c>
      <c r="K582" s="970">
        <v>7004</v>
      </c>
      <c r="L582" s="969">
        <v>235</v>
      </c>
      <c r="M582" s="969"/>
      <c r="N582" s="970">
        <v>1388</v>
      </c>
      <c r="O582" s="970">
        <v>0</v>
      </c>
      <c r="P582" s="970">
        <v>0</v>
      </c>
      <c r="Q582" s="969">
        <v>1858</v>
      </c>
      <c r="R582" s="969"/>
      <c r="S582" s="970">
        <v>16526</v>
      </c>
      <c r="T582" s="972">
        <v>-1164</v>
      </c>
      <c r="U582" s="972">
        <v>15362</v>
      </c>
    </row>
    <row r="583" spans="1:21" x14ac:dyDescent="0.25">
      <c r="A583" s="966">
        <v>96391</v>
      </c>
      <c r="B583" s="967" t="s">
        <v>3196</v>
      </c>
      <c r="C583" s="968">
        <v>2.029E-4</v>
      </c>
      <c r="D583" s="968">
        <v>1.807E-4</v>
      </c>
      <c r="E583" s="1007">
        <v>74519</v>
      </c>
      <c r="F583" s="1010">
        <v>383506</v>
      </c>
      <c r="G583" s="969">
        <v>309975</v>
      </c>
      <c r="H583" s="969"/>
      <c r="I583" s="970">
        <v>17857</v>
      </c>
      <c r="J583" s="971">
        <v>75263</v>
      </c>
      <c r="K583" s="970">
        <v>44269</v>
      </c>
      <c r="L583" s="969">
        <v>9831</v>
      </c>
      <c r="M583" s="969"/>
      <c r="N583" s="970">
        <v>8774</v>
      </c>
      <c r="O583" s="970">
        <v>0</v>
      </c>
      <c r="P583" s="970">
        <v>0</v>
      </c>
      <c r="Q583" s="969">
        <v>18208</v>
      </c>
      <c r="R583" s="969"/>
      <c r="S583" s="970">
        <v>104462</v>
      </c>
      <c r="T583" s="972">
        <v>2008</v>
      </c>
      <c r="U583" s="972">
        <v>106470</v>
      </c>
    </row>
    <row r="584" spans="1:21" x14ac:dyDescent="0.25">
      <c r="A584" s="966">
        <v>96401</v>
      </c>
      <c r="B584" s="967" t="s">
        <v>3197</v>
      </c>
      <c r="C584" s="968">
        <v>4.5672000000000004E-3</v>
      </c>
      <c r="D584" s="968">
        <v>4.5900000000000003E-3</v>
      </c>
      <c r="E584" s="1007">
        <v>2040109</v>
      </c>
      <c r="F584" s="1010">
        <v>9741518</v>
      </c>
      <c r="G584" s="969">
        <v>6977416</v>
      </c>
      <c r="H584" s="969"/>
      <c r="I584" s="970">
        <v>401964</v>
      </c>
      <c r="J584" s="971">
        <v>1694125</v>
      </c>
      <c r="K584" s="970">
        <v>996472</v>
      </c>
      <c r="L584" s="969">
        <v>15869</v>
      </c>
      <c r="M584" s="969"/>
      <c r="N584" s="970">
        <v>197509</v>
      </c>
      <c r="O584" s="970">
        <v>0</v>
      </c>
      <c r="P584" s="970">
        <v>0</v>
      </c>
      <c r="Q584" s="969">
        <v>86285</v>
      </c>
      <c r="R584" s="969"/>
      <c r="S584" s="970">
        <v>2351396</v>
      </c>
      <c r="T584" s="972">
        <v>-10848</v>
      </c>
      <c r="U584" s="972">
        <v>2340548</v>
      </c>
    </row>
    <row r="585" spans="1:21" x14ac:dyDescent="0.25">
      <c r="A585" s="966">
        <v>96404</v>
      </c>
      <c r="B585" s="967" t="s">
        <v>3198</v>
      </c>
      <c r="C585" s="968">
        <v>1.026E-4</v>
      </c>
      <c r="D585" s="968">
        <v>9.8800000000000003E-5</v>
      </c>
      <c r="E585" s="1007">
        <v>57855</v>
      </c>
      <c r="F585" s="1010">
        <v>209687</v>
      </c>
      <c r="G585" s="969">
        <v>156744</v>
      </c>
      <c r="H585" s="969"/>
      <c r="I585" s="970">
        <v>9030</v>
      </c>
      <c r="J585" s="971">
        <v>38058</v>
      </c>
      <c r="K585" s="970">
        <v>22385</v>
      </c>
      <c r="L585" s="969">
        <v>26983</v>
      </c>
      <c r="M585" s="969"/>
      <c r="N585" s="970">
        <v>4437</v>
      </c>
      <c r="O585" s="970">
        <v>0</v>
      </c>
      <c r="P585" s="970">
        <v>0</v>
      </c>
      <c r="Q585" s="969">
        <v>0</v>
      </c>
      <c r="R585" s="969"/>
      <c r="S585" s="970">
        <v>52823</v>
      </c>
      <c r="T585" s="972">
        <v>10540</v>
      </c>
      <c r="U585" s="972">
        <v>63363</v>
      </c>
    </row>
    <row r="586" spans="1:21" x14ac:dyDescent="0.25">
      <c r="A586" s="966">
        <v>96405</v>
      </c>
      <c r="B586" s="967" t="s">
        <v>3199</v>
      </c>
      <c r="C586" s="968">
        <v>1.6139999999999999E-4</v>
      </c>
      <c r="D586" s="968">
        <v>1.7760000000000001E-4</v>
      </c>
      <c r="E586" s="1007">
        <v>86618</v>
      </c>
      <c r="F586" s="1010">
        <v>376927</v>
      </c>
      <c r="G586" s="969">
        <v>246574</v>
      </c>
      <c r="H586" s="969"/>
      <c r="I586" s="970">
        <v>14205</v>
      </c>
      <c r="J586" s="971">
        <v>59869</v>
      </c>
      <c r="K586" s="970">
        <v>35214</v>
      </c>
      <c r="L586" s="969">
        <v>10221</v>
      </c>
      <c r="M586" s="969"/>
      <c r="N586" s="970">
        <v>6980</v>
      </c>
      <c r="O586" s="970">
        <v>0</v>
      </c>
      <c r="P586" s="970">
        <v>0</v>
      </c>
      <c r="Q586" s="969">
        <v>2204</v>
      </c>
      <c r="R586" s="969"/>
      <c r="S586" s="970">
        <v>83096</v>
      </c>
      <c r="T586" s="972">
        <v>4354</v>
      </c>
      <c r="U586" s="972">
        <v>87450</v>
      </c>
    </row>
    <row r="587" spans="1:21" x14ac:dyDescent="0.25">
      <c r="A587" s="966">
        <v>96411</v>
      </c>
      <c r="B587" s="967" t="s">
        <v>3200</v>
      </c>
      <c r="C587" s="968">
        <v>7.2299999999999996E-5</v>
      </c>
      <c r="D587" s="968">
        <v>5.66E-5</v>
      </c>
      <c r="E587" s="1007">
        <v>28784</v>
      </c>
      <c r="F587" s="1010">
        <v>120124</v>
      </c>
      <c r="G587" s="969">
        <v>110454</v>
      </c>
      <c r="H587" s="969"/>
      <c r="I587" s="970">
        <v>6363</v>
      </c>
      <c r="J587" s="971">
        <v>26818</v>
      </c>
      <c r="K587" s="970">
        <v>15774</v>
      </c>
      <c r="L587" s="969">
        <v>12280</v>
      </c>
      <c r="M587" s="969"/>
      <c r="N587" s="970">
        <v>3127</v>
      </c>
      <c r="O587" s="970">
        <v>0</v>
      </c>
      <c r="P587" s="970">
        <v>0</v>
      </c>
      <c r="Q587" s="969">
        <v>4004</v>
      </c>
      <c r="R587" s="969"/>
      <c r="S587" s="970">
        <v>37223</v>
      </c>
      <c r="T587" s="972">
        <v>2528</v>
      </c>
      <c r="U587" s="972">
        <v>39751</v>
      </c>
    </row>
    <row r="588" spans="1:21" x14ac:dyDescent="0.25">
      <c r="A588" s="966">
        <v>96421</v>
      </c>
      <c r="B588" s="967" t="s">
        <v>3201</v>
      </c>
      <c r="C588" s="968">
        <v>4.2529999999999998E-4</v>
      </c>
      <c r="D588" s="968">
        <v>4.2860000000000001E-4</v>
      </c>
      <c r="E588" s="1007">
        <v>170404</v>
      </c>
      <c r="F588" s="1010">
        <v>909633</v>
      </c>
      <c r="G588" s="969">
        <v>649741</v>
      </c>
      <c r="H588" s="969"/>
      <c r="I588" s="970">
        <v>37431</v>
      </c>
      <c r="J588" s="971">
        <v>157758</v>
      </c>
      <c r="K588" s="970">
        <v>92792</v>
      </c>
      <c r="L588" s="969">
        <v>0</v>
      </c>
      <c r="M588" s="969"/>
      <c r="N588" s="970">
        <v>18392</v>
      </c>
      <c r="O588" s="970">
        <v>0</v>
      </c>
      <c r="P588" s="970">
        <v>0</v>
      </c>
      <c r="Q588" s="969">
        <v>78762</v>
      </c>
      <c r="R588" s="969"/>
      <c r="S588" s="970">
        <v>218963</v>
      </c>
      <c r="T588" s="972">
        <v>-35149</v>
      </c>
      <c r="U588" s="972">
        <v>183814</v>
      </c>
    </row>
    <row r="589" spans="1:21" x14ac:dyDescent="0.25">
      <c r="A589" s="966">
        <v>96431</v>
      </c>
      <c r="B589" s="967" t="s">
        <v>3202</v>
      </c>
      <c r="C589" s="968">
        <v>4.2799999999999997E-5</v>
      </c>
      <c r="D589" s="968">
        <v>5.6100000000000002E-5</v>
      </c>
      <c r="E589" s="1007">
        <v>21290</v>
      </c>
      <c r="F589" s="1010">
        <v>119063</v>
      </c>
      <c r="G589" s="969">
        <v>65387</v>
      </c>
      <c r="H589" s="969"/>
      <c r="I589" s="970">
        <v>3767</v>
      </c>
      <c r="J589" s="971">
        <v>15876</v>
      </c>
      <c r="K589" s="970">
        <v>9338</v>
      </c>
      <c r="L589" s="969">
        <v>6277</v>
      </c>
      <c r="M589" s="969"/>
      <c r="N589" s="970">
        <v>1851</v>
      </c>
      <c r="O589" s="970">
        <v>0</v>
      </c>
      <c r="P589" s="970">
        <v>0</v>
      </c>
      <c r="Q589" s="969">
        <v>10135</v>
      </c>
      <c r="R589" s="969"/>
      <c r="S589" s="970">
        <v>22035</v>
      </c>
      <c r="T589" s="972">
        <v>-1596</v>
      </c>
      <c r="U589" s="972">
        <v>20439</v>
      </c>
    </row>
    <row r="590" spans="1:21" x14ac:dyDescent="0.25">
      <c r="A590" s="966">
        <v>96441</v>
      </c>
      <c r="B590" s="967" t="s">
        <v>3203</v>
      </c>
      <c r="C590" s="968">
        <v>2.97E-5</v>
      </c>
      <c r="D590" s="968">
        <v>3.1199999999999999E-5</v>
      </c>
      <c r="E590" s="1007">
        <v>18707</v>
      </c>
      <c r="F590" s="1010">
        <v>66217</v>
      </c>
      <c r="G590" s="969">
        <v>45373</v>
      </c>
      <c r="H590" s="969"/>
      <c r="I590" s="970">
        <v>2614</v>
      </c>
      <c r="J590" s="971">
        <v>11017</v>
      </c>
      <c r="K590" s="970">
        <v>6480</v>
      </c>
      <c r="L590" s="969">
        <v>7489</v>
      </c>
      <c r="M590" s="969"/>
      <c r="N590" s="970">
        <v>1284</v>
      </c>
      <c r="O590" s="970">
        <v>0</v>
      </c>
      <c r="P590" s="970">
        <v>0</v>
      </c>
      <c r="Q590" s="969">
        <v>440</v>
      </c>
      <c r="R590" s="969"/>
      <c r="S590" s="970">
        <v>15291</v>
      </c>
      <c r="T590" s="972">
        <v>2815</v>
      </c>
      <c r="U590" s="972">
        <v>18106</v>
      </c>
    </row>
    <row r="591" spans="1:21" x14ac:dyDescent="0.25">
      <c r="A591" s="966">
        <v>96451</v>
      </c>
      <c r="B591" s="967" t="s">
        <v>3204</v>
      </c>
      <c r="C591" s="968">
        <v>2.0299999999999999E-5</v>
      </c>
      <c r="D591" s="968">
        <v>1.38E-5</v>
      </c>
      <c r="E591" s="1007">
        <v>8566</v>
      </c>
      <c r="F591" s="1010">
        <v>29288</v>
      </c>
      <c r="G591" s="969">
        <v>31013</v>
      </c>
      <c r="H591" s="969"/>
      <c r="I591" s="970">
        <v>1787</v>
      </c>
      <c r="J591" s="971">
        <v>7530</v>
      </c>
      <c r="K591" s="970">
        <v>4429</v>
      </c>
      <c r="L591" s="969">
        <v>6431</v>
      </c>
      <c r="M591" s="969"/>
      <c r="N591" s="970">
        <v>878</v>
      </c>
      <c r="O591" s="970">
        <v>0</v>
      </c>
      <c r="P591" s="970">
        <v>0</v>
      </c>
      <c r="Q591" s="969">
        <v>1319</v>
      </c>
      <c r="R591" s="969"/>
      <c r="S591" s="970">
        <v>10451</v>
      </c>
      <c r="T591" s="972">
        <v>994</v>
      </c>
      <c r="U591" s="972">
        <v>11445</v>
      </c>
    </row>
    <row r="592" spans="1:21" x14ac:dyDescent="0.25">
      <c r="A592" s="966">
        <v>96461</v>
      </c>
      <c r="B592" s="967" t="s">
        <v>3205</v>
      </c>
      <c r="C592" s="968">
        <v>1.361E-4</v>
      </c>
      <c r="D592" s="968">
        <v>1.3410000000000001E-4</v>
      </c>
      <c r="E592" s="1007">
        <v>63932</v>
      </c>
      <c r="F592" s="1010">
        <v>284605</v>
      </c>
      <c r="G592" s="969">
        <v>207923</v>
      </c>
      <c r="H592" s="969"/>
      <c r="I592" s="970">
        <v>11978</v>
      </c>
      <c r="J592" s="971">
        <v>50484</v>
      </c>
      <c r="K592" s="970">
        <v>29694</v>
      </c>
      <c r="L592" s="969">
        <v>6504</v>
      </c>
      <c r="M592" s="969"/>
      <c r="N592" s="970">
        <v>5886</v>
      </c>
      <c r="O592" s="970">
        <v>0</v>
      </c>
      <c r="P592" s="970">
        <v>0</v>
      </c>
      <c r="Q592" s="969">
        <v>18452</v>
      </c>
      <c r="R592" s="969"/>
      <c r="S592" s="970">
        <v>70070</v>
      </c>
      <c r="T592" s="972">
        <v>-3923</v>
      </c>
      <c r="U592" s="972">
        <f>66148-1</f>
        <v>66147</v>
      </c>
    </row>
    <row r="593" spans="1:21" x14ac:dyDescent="0.25">
      <c r="A593" s="966">
        <v>96501</v>
      </c>
      <c r="B593" s="967" t="s">
        <v>3206</v>
      </c>
      <c r="C593" s="968">
        <v>1.44739E-2</v>
      </c>
      <c r="D593" s="968">
        <v>1.4156999999999999E-2</v>
      </c>
      <c r="E593" s="1007">
        <v>6399556</v>
      </c>
      <c r="F593" s="1010">
        <v>30045897</v>
      </c>
      <c r="G593" s="969">
        <v>22112110</v>
      </c>
      <c r="H593" s="969"/>
      <c r="I593" s="970">
        <v>1273862</v>
      </c>
      <c r="J593" s="971">
        <v>5368847</v>
      </c>
      <c r="K593" s="970">
        <v>3157916</v>
      </c>
      <c r="L593" s="969">
        <v>365065</v>
      </c>
      <c r="M593" s="969"/>
      <c r="N593" s="970">
        <v>625924</v>
      </c>
      <c r="O593" s="970">
        <v>0</v>
      </c>
      <c r="P593" s="970">
        <v>0</v>
      </c>
      <c r="Q593" s="969">
        <v>292930</v>
      </c>
      <c r="R593" s="969"/>
      <c r="S593" s="970">
        <v>7451801</v>
      </c>
      <c r="T593" s="972">
        <v>150498</v>
      </c>
      <c r="U593" s="972">
        <f>7602298+1</f>
        <v>7602299</v>
      </c>
    </row>
    <row r="594" spans="1:21" x14ac:dyDescent="0.25">
      <c r="A594" s="966">
        <v>96502</v>
      </c>
      <c r="B594" s="967" t="s">
        <v>3207</v>
      </c>
      <c r="C594" s="968">
        <v>4.2440000000000002E-4</v>
      </c>
      <c r="D594" s="968">
        <v>4.2309999999999998E-4</v>
      </c>
      <c r="E594" s="1007">
        <v>198105</v>
      </c>
      <c r="F594" s="1010">
        <v>897960</v>
      </c>
      <c r="G594" s="969">
        <v>648366</v>
      </c>
      <c r="H594" s="969"/>
      <c r="I594" s="970">
        <v>37352</v>
      </c>
      <c r="J594" s="971">
        <v>157424</v>
      </c>
      <c r="K594" s="970">
        <v>92596</v>
      </c>
      <c r="L594" s="969">
        <v>39317</v>
      </c>
      <c r="M594" s="969"/>
      <c r="N594" s="970">
        <v>18353</v>
      </c>
      <c r="O594" s="970">
        <v>0</v>
      </c>
      <c r="P594" s="970">
        <v>0</v>
      </c>
      <c r="Q594" s="969">
        <v>0</v>
      </c>
      <c r="R594" s="969"/>
      <c r="S594" s="970">
        <v>218500</v>
      </c>
      <c r="T594" s="972">
        <v>23185</v>
      </c>
      <c r="U594" s="972">
        <v>241685</v>
      </c>
    </row>
    <row r="595" spans="1:21" x14ac:dyDescent="0.25">
      <c r="A595" s="966">
        <v>96503</v>
      </c>
      <c r="B595" s="967" t="s">
        <v>3675</v>
      </c>
      <c r="C595" s="968">
        <v>3.0039999999999998E-4</v>
      </c>
      <c r="D595" s="968">
        <v>3.3700000000000001E-4</v>
      </c>
      <c r="E595" s="1007">
        <v>293863</v>
      </c>
      <c r="F595" s="1010">
        <v>0</v>
      </c>
      <c r="G595" s="969">
        <v>458928</v>
      </c>
      <c r="H595" s="969"/>
      <c r="I595" s="970">
        <v>26439</v>
      </c>
      <c r="J595" s="971">
        <v>111428</v>
      </c>
      <c r="K595" s="970">
        <v>65541</v>
      </c>
      <c r="L595" s="969">
        <v>240013</v>
      </c>
      <c r="M595" s="969"/>
      <c r="N595" s="970">
        <v>12991</v>
      </c>
      <c r="O595" s="970">
        <v>0</v>
      </c>
      <c r="P595" s="970">
        <v>0</v>
      </c>
      <c r="Q595" s="969">
        <v>14874</v>
      </c>
      <c r="R595" s="969"/>
      <c r="S595" s="970">
        <v>154659</v>
      </c>
      <c r="T595" s="972">
        <v>71167</v>
      </c>
      <c r="U595" s="972">
        <v>225826</v>
      </c>
    </row>
    <row r="596" spans="1:21" x14ac:dyDescent="0.25">
      <c r="A596" s="966">
        <v>96504</v>
      </c>
      <c r="B596" s="967" t="s">
        <v>3209</v>
      </c>
      <c r="C596" s="968">
        <v>4.1760000000000001E-4</v>
      </c>
      <c r="D596" s="968">
        <v>3.6039999999999998E-4</v>
      </c>
      <c r="E596" s="1007">
        <v>189892</v>
      </c>
      <c r="F596" s="1010">
        <v>764890</v>
      </c>
      <c r="G596" s="969">
        <v>637977</v>
      </c>
      <c r="H596" s="969"/>
      <c r="I596" s="970">
        <v>36753</v>
      </c>
      <c r="J596" s="971">
        <v>154902</v>
      </c>
      <c r="K596" s="970">
        <v>91112</v>
      </c>
      <c r="L596" s="969">
        <v>44166</v>
      </c>
      <c r="M596" s="969"/>
      <c r="N596" s="970">
        <v>18059</v>
      </c>
      <c r="O596" s="970">
        <v>0</v>
      </c>
      <c r="P596" s="970">
        <v>0</v>
      </c>
      <c r="Q596" s="969">
        <v>4428</v>
      </c>
      <c r="R596" s="969"/>
      <c r="S596" s="970">
        <v>214999</v>
      </c>
      <c r="T596" s="972">
        <v>11523</v>
      </c>
      <c r="U596" s="972">
        <f>226521+1</f>
        <v>226522</v>
      </c>
    </row>
    <row r="597" spans="1:21" x14ac:dyDescent="0.25">
      <c r="A597" s="966">
        <v>96507</v>
      </c>
      <c r="B597" s="967" t="s">
        <v>3210</v>
      </c>
      <c r="C597" s="968">
        <v>2.2147E-3</v>
      </c>
      <c r="D597" s="968">
        <v>2.2604999999999999E-3</v>
      </c>
      <c r="E597" s="1007">
        <v>1026624</v>
      </c>
      <c r="F597" s="1010">
        <v>4797538</v>
      </c>
      <c r="G597" s="969">
        <v>3383448</v>
      </c>
      <c r="H597" s="969"/>
      <c r="I597" s="970">
        <v>194918</v>
      </c>
      <c r="J597" s="971">
        <v>821505</v>
      </c>
      <c r="K597" s="970">
        <v>483203</v>
      </c>
      <c r="L597" s="969">
        <v>115759</v>
      </c>
      <c r="M597" s="969"/>
      <c r="N597" s="970">
        <v>95775</v>
      </c>
      <c r="O597" s="970">
        <v>0</v>
      </c>
      <c r="P597" s="970">
        <v>0</v>
      </c>
      <c r="Q597" s="969">
        <v>22795</v>
      </c>
      <c r="R597" s="969"/>
      <c r="S597" s="970">
        <v>1140225</v>
      </c>
      <c r="T597" s="972">
        <v>58867</v>
      </c>
      <c r="U597" s="972">
        <v>1199092</v>
      </c>
    </row>
    <row r="598" spans="1:21" x14ac:dyDescent="0.25">
      <c r="A598" s="966">
        <v>96508</v>
      </c>
      <c r="B598" s="967" t="s">
        <v>3211</v>
      </c>
      <c r="C598" s="968">
        <v>8.6000000000000007E-6</v>
      </c>
      <c r="D598" s="968">
        <v>9.7999999999999993E-6</v>
      </c>
      <c r="E598" s="1007">
        <v>11086</v>
      </c>
      <c r="F598" s="1010">
        <v>20799</v>
      </c>
      <c r="G598" s="969">
        <v>13138</v>
      </c>
      <c r="H598" s="969"/>
      <c r="I598" s="970">
        <v>757</v>
      </c>
      <c r="J598" s="971">
        <v>3190</v>
      </c>
      <c r="K598" s="970">
        <v>1876</v>
      </c>
      <c r="L598" s="969">
        <v>11113</v>
      </c>
      <c r="M598" s="969"/>
      <c r="N598" s="970">
        <v>372</v>
      </c>
      <c r="O598" s="970">
        <v>0</v>
      </c>
      <c r="P598" s="970">
        <v>0</v>
      </c>
      <c r="Q598" s="969">
        <v>0</v>
      </c>
      <c r="R598" s="969"/>
      <c r="S598" s="970">
        <v>4428</v>
      </c>
      <c r="T598" s="972">
        <v>4402</v>
      </c>
      <c r="U598" s="972">
        <v>8830</v>
      </c>
    </row>
    <row r="599" spans="1:21" x14ac:dyDescent="0.25">
      <c r="A599" s="966">
        <v>96511</v>
      </c>
      <c r="B599" s="967" t="s">
        <v>3212</v>
      </c>
      <c r="C599" s="968">
        <v>6.2069999999999996E-4</v>
      </c>
      <c r="D599" s="968">
        <v>6.221E-4</v>
      </c>
      <c r="E599" s="1007">
        <v>276057</v>
      </c>
      <c r="F599" s="1010">
        <v>1320305</v>
      </c>
      <c r="G599" s="969">
        <v>948258</v>
      </c>
      <c r="H599" s="969"/>
      <c r="I599" s="970">
        <v>54628</v>
      </c>
      <c r="J599" s="971">
        <v>230238</v>
      </c>
      <c r="K599" s="970">
        <v>135424</v>
      </c>
      <c r="L599" s="969">
        <v>0</v>
      </c>
      <c r="M599" s="969"/>
      <c r="N599" s="970">
        <v>26842</v>
      </c>
      <c r="O599" s="970">
        <v>0</v>
      </c>
      <c r="P599" s="970">
        <v>0</v>
      </c>
      <c r="Q599" s="969">
        <v>95843</v>
      </c>
      <c r="R599" s="969"/>
      <c r="S599" s="970">
        <v>319564</v>
      </c>
      <c r="T599" s="972">
        <v>-49396</v>
      </c>
      <c r="U599" s="972">
        <v>270168</v>
      </c>
    </row>
    <row r="600" spans="1:21" x14ac:dyDescent="0.25">
      <c r="A600" s="966">
        <v>96512</v>
      </c>
      <c r="B600" s="967" t="s">
        <v>3213</v>
      </c>
      <c r="C600" s="968">
        <v>1.5119999999999999E-4</v>
      </c>
      <c r="D600" s="968">
        <v>1.7000000000000001E-4</v>
      </c>
      <c r="E600" s="1007">
        <v>72715</v>
      </c>
      <c r="F600" s="1010">
        <v>360797</v>
      </c>
      <c r="G600" s="969">
        <v>230992</v>
      </c>
      <c r="H600" s="969"/>
      <c r="I600" s="970">
        <v>13307</v>
      </c>
      <c r="J600" s="971">
        <v>56085</v>
      </c>
      <c r="K600" s="970">
        <v>32989</v>
      </c>
      <c r="L600" s="969">
        <v>5578</v>
      </c>
      <c r="M600" s="969"/>
      <c r="N600" s="970">
        <v>6539</v>
      </c>
      <c r="O600" s="970">
        <v>0</v>
      </c>
      <c r="P600" s="970">
        <v>0</v>
      </c>
      <c r="Q600" s="969">
        <v>9964</v>
      </c>
      <c r="R600" s="969"/>
      <c r="S600" s="970">
        <v>77844</v>
      </c>
      <c r="T600" s="972">
        <v>198</v>
      </c>
      <c r="U600" s="972">
        <v>78042</v>
      </c>
    </row>
    <row r="601" spans="1:21" x14ac:dyDescent="0.25">
      <c r="A601" s="966">
        <v>96521</v>
      </c>
      <c r="B601" s="967" t="s">
        <v>3215</v>
      </c>
      <c r="C601" s="968">
        <v>9.881E-4</v>
      </c>
      <c r="D601" s="968">
        <v>9.4240000000000003E-4</v>
      </c>
      <c r="E601" s="1007">
        <v>408178</v>
      </c>
      <c r="F601" s="1010">
        <v>2000089</v>
      </c>
      <c r="G601" s="969">
        <v>1509543</v>
      </c>
      <c r="H601" s="969"/>
      <c r="I601" s="970">
        <v>86964</v>
      </c>
      <c r="J601" s="971">
        <v>366519</v>
      </c>
      <c r="K601" s="970">
        <v>215584</v>
      </c>
      <c r="L601" s="969">
        <v>30024</v>
      </c>
      <c r="M601" s="969"/>
      <c r="N601" s="970">
        <v>42730</v>
      </c>
      <c r="O601" s="970">
        <v>0</v>
      </c>
      <c r="P601" s="970">
        <v>0</v>
      </c>
      <c r="Q601" s="969">
        <v>25241</v>
      </c>
      <c r="R601" s="969"/>
      <c r="S601" s="970">
        <v>508717</v>
      </c>
      <c r="T601" s="972">
        <v>6710</v>
      </c>
      <c r="U601" s="972">
        <f>515428-1</f>
        <v>515427</v>
      </c>
    </row>
    <row r="602" spans="1:21" x14ac:dyDescent="0.25">
      <c r="A602" s="966">
        <v>96531</v>
      </c>
      <c r="B602" s="967" t="s">
        <v>3216</v>
      </c>
      <c r="C602" s="968">
        <v>8.5845000000000001E-3</v>
      </c>
      <c r="D602" s="968">
        <v>8.6088999999999992E-3</v>
      </c>
      <c r="E602" s="1007">
        <v>3779881</v>
      </c>
      <c r="F602" s="1010">
        <v>18270970</v>
      </c>
      <c r="G602" s="969">
        <v>13114738</v>
      </c>
      <c r="H602" s="969"/>
      <c r="I602" s="970">
        <v>755530</v>
      </c>
      <c r="J602" s="971">
        <v>3184274</v>
      </c>
      <c r="K602" s="970">
        <v>1872966</v>
      </c>
      <c r="L602" s="969">
        <v>48765</v>
      </c>
      <c r="M602" s="969"/>
      <c r="N602" s="970">
        <v>371237</v>
      </c>
      <c r="O602" s="970">
        <v>0</v>
      </c>
      <c r="P602" s="970">
        <v>0</v>
      </c>
      <c r="Q602" s="969">
        <v>418860</v>
      </c>
      <c r="R602" s="969"/>
      <c r="S602" s="970">
        <v>4419678</v>
      </c>
      <c r="T602" s="972">
        <v>-117601</v>
      </c>
      <c r="U602" s="972">
        <v>4302077</v>
      </c>
    </row>
    <row r="603" spans="1:21" x14ac:dyDescent="0.25">
      <c r="A603" s="966">
        <v>96541</v>
      </c>
      <c r="B603" s="967" t="s">
        <v>3217</v>
      </c>
      <c r="C603" s="968">
        <v>3.5950000000000001E-4</v>
      </c>
      <c r="D603" s="968">
        <v>3.3169999999999999E-4</v>
      </c>
      <c r="E603" s="1007">
        <v>156792</v>
      </c>
      <c r="F603" s="1010">
        <v>703979</v>
      </c>
      <c r="G603" s="969">
        <v>549216</v>
      </c>
      <c r="H603" s="969"/>
      <c r="I603" s="970">
        <v>31640</v>
      </c>
      <c r="J603" s="971">
        <v>133350</v>
      </c>
      <c r="K603" s="970">
        <v>78436</v>
      </c>
      <c r="L603" s="969">
        <v>24801</v>
      </c>
      <c r="M603" s="969"/>
      <c r="N603" s="970">
        <v>15547</v>
      </c>
      <c r="O603" s="970">
        <v>0</v>
      </c>
      <c r="P603" s="970">
        <v>0</v>
      </c>
      <c r="Q603" s="969">
        <v>0</v>
      </c>
      <c r="R603" s="969"/>
      <c r="S603" s="970">
        <v>185086</v>
      </c>
      <c r="T603" s="972">
        <v>13028</v>
      </c>
      <c r="U603" s="972">
        <f>198115-1</f>
        <v>198114</v>
      </c>
    </row>
    <row r="604" spans="1:21" x14ac:dyDescent="0.25">
      <c r="A604" s="966">
        <v>96601</v>
      </c>
      <c r="B604" s="967" t="s">
        <v>3218</v>
      </c>
      <c r="C604" s="968">
        <v>1.8169E-3</v>
      </c>
      <c r="D604" s="968">
        <v>1.8416000000000001E-3</v>
      </c>
      <c r="E604" s="1007">
        <v>878872</v>
      </c>
      <c r="F604" s="1010">
        <v>3908492</v>
      </c>
      <c r="G604" s="969">
        <v>2775720</v>
      </c>
      <c r="H604" s="969"/>
      <c r="I604" s="970">
        <v>159907</v>
      </c>
      <c r="J604" s="971">
        <v>673948</v>
      </c>
      <c r="K604" s="970">
        <v>396411</v>
      </c>
      <c r="L604" s="969">
        <v>50154</v>
      </c>
      <c r="M604" s="969"/>
      <c r="N604" s="970">
        <v>78572</v>
      </c>
      <c r="O604" s="970">
        <v>0</v>
      </c>
      <c r="P604" s="970">
        <v>0</v>
      </c>
      <c r="Q604" s="969">
        <v>4139</v>
      </c>
      <c r="R604" s="969"/>
      <c r="S604" s="970">
        <v>935420</v>
      </c>
      <c r="T604" s="972">
        <v>30132</v>
      </c>
      <c r="U604" s="972">
        <v>965552</v>
      </c>
    </row>
    <row r="605" spans="1:21" x14ac:dyDescent="0.25">
      <c r="A605" s="966">
        <v>96604</v>
      </c>
      <c r="B605" s="967" t="s">
        <v>3219</v>
      </c>
      <c r="C605" s="968">
        <v>7.6000000000000001E-6</v>
      </c>
      <c r="D605" s="968">
        <v>7.9000000000000006E-6</v>
      </c>
      <c r="E605" s="1007">
        <v>5011</v>
      </c>
      <c r="F605" s="1010">
        <v>16766</v>
      </c>
      <c r="G605" s="969">
        <v>11611</v>
      </c>
      <c r="H605" s="969"/>
      <c r="I605" s="970">
        <v>669</v>
      </c>
      <c r="J605" s="971">
        <v>2819</v>
      </c>
      <c r="K605" s="970">
        <v>1658</v>
      </c>
      <c r="L605" s="969">
        <v>2027</v>
      </c>
      <c r="M605" s="969"/>
      <c r="N605" s="970">
        <v>329</v>
      </c>
      <c r="O605" s="970">
        <v>0</v>
      </c>
      <c r="P605" s="970">
        <v>0</v>
      </c>
      <c r="Q605" s="969">
        <v>70</v>
      </c>
      <c r="R605" s="969"/>
      <c r="S605" s="970">
        <v>3913</v>
      </c>
      <c r="T605" s="972">
        <v>799</v>
      </c>
      <c r="U605" s="972">
        <v>4712</v>
      </c>
    </row>
    <row r="606" spans="1:21" x14ac:dyDescent="0.25">
      <c r="A606" s="966">
        <v>96611</v>
      </c>
      <c r="B606" s="967" t="s">
        <v>3220</v>
      </c>
      <c r="C606" s="968">
        <v>2.83E-5</v>
      </c>
      <c r="D606" s="968">
        <v>3.29E-5</v>
      </c>
      <c r="E606" s="1007">
        <v>12016</v>
      </c>
      <c r="F606" s="1010">
        <v>69825</v>
      </c>
      <c r="G606" s="969">
        <v>43235</v>
      </c>
      <c r="H606" s="969"/>
      <c r="I606" s="970">
        <v>2491</v>
      </c>
      <c r="J606" s="971">
        <v>10498</v>
      </c>
      <c r="K606" s="970">
        <v>6174</v>
      </c>
      <c r="L606" s="969">
        <v>1561</v>
      </c>
      <c r="M606" s="969"/>
      <c r="N606" s="970">
        <v>1224</v>
      </c>
      <c r="O606" s="970">
        <v>0</v>
      </c>
      <c r="P606" s="970">
        <v>0</v>
      </c>
      <c r="Q606" s="969">
        <v>4284</v>
      </c>
      <c r="R606" s="969"/>
      <c r="S606" s="970">
        <v>14570</v>
      </c>
      <c r="T606" s="972">
        <v>112</v>
      </c>
      <c r="U606" s="972">
        <f>14683-1</f>
        <v>14682</v>
      </c>
    </row>
    <row r="607" spans="1:21" x14ac:dyDescent="0.25">
      <c r="A607" s="966">
        <v>96612</v>
      </c>
      <c r="B607" s="967" t="s">
        <v>3221</v>
      </c>
      <c r="C607" s="968">
        <v>6.3299999999999994E-5</v>
      </c>
      <c r="D607" s="968">
        <v>6.3899999999999995E-5</v>
      </c>
      <c r="E607" s="1007">
        <v>32834</v>
      </c>
      <c r="F607" s="1010">
        <v>135617</v>
      </c>
      <c r="G607" s="969">
        <v>96705</v>
      </c>
      <c r="H607" s="969"/>
      <c r="I607" s="970">
        <v>5571</v>
      </c>
      <c r="J607" s="971">
        <v>23480</v>
      </c>
      <c r="K607" s="970">
        <v>13811</v>
      </c>
      <c r="L607" s="969">
        <v>7699</v>
      </c>
      <c r="M607" s="969"/>
      <c r="N607" s="970">
        <v>2737</v>
      </c>
      <c r="O607" s="970">
        <v>0</v>
      </c>
      <c r="P607" s="970">
        <v>0</v>
      </c>
      <c r="Q607" s="969">
        <v>658</v>
      </c>
      <c r="R607" s="969"/>
      <c r="S607" s="970">
        <v>32590</v>
      </c>
      <c r="T607" s="972">
        <v>2270</v>
      </c>
      <c r="U607" s="972">
        <f>34859+1</f>
        <v>34860</v>
      </c>
    </row>
    <row r="608" spans="1:21" x14ac:dyDescent="0.25">
      <c r="A608" s="966">
        <v>96621</v>
      </c>
      <c r="B608" s="967" t="s">
        <v>3222</v>
      </c>
      <c r="C608" s="968">
        <v>2.5999999999999998E-5</v>
      </c>
      <c r="D608" s="968">
        <v>2.65E-5</v>
      </c>
      <c r="E608" s="1007">
        <v>13235</v>
      </c>
      <c r="F608" s="1010">
        <v>56242</v>
      </c>
      <c r="G608" s="969">
        <v>39721</v>
      </c>
      <c r="H608" s="969"/>
      <c r="I608" s="970">
        <v>2288</v>
      </c>
      <c r="J608" s="971">
        <v>9644</v>
      </c>
      <c r="K608" s="970">
        <v>5673</v>
      </c>
      <c r="L608" s="969">
        <v>1435</v>
      </c>
      <c r="M608" s="969"/>
      <c r="N608" s="970">
        <v>1124</v>
      </c>
      <c r="O608" s="970">
        <v>0</v>
      </c>
      <c r="P608" s="970">
        <v>0</v>
      </c>
      <c r="Q608" s="969">
        <v>4828</v>
      </c>
      <c r="R608" s="969"/>
      <c r="S608" s="970">
        <v>13386</v>
      </c>
      <c r="T608" s="972">
        <v>-2281</v>
      </c>
      <c r="U608" s="972">
        <v>11105</v>
      </c>
    </row>
    <row r="609" spans="1:21" x14ac:dyDescent="0.25">
      <c r="A609" s="966">
        <v>96631</v>
      </c>
      <c r="B609" s="967" t="s">
        <v>3223</v>
      </c>
      <c r="C609" s="968">
        <v>2.51E-5</v>
      </c>
      <c r="D609" s="968">
        <v>2.5899999999999999E-5</v>
      </c>
      <c r="E609" s="1007">
        <v>11905</v>
      </c>
      <c r="F609" s="1010">
        <v>54968</v>
      </c>
      <c r="G609" s="969">
        <v>38346</v>
      </c>
      <c r="H609" s="969"/>
      <c r="I609" s="970">
        <v>2209</v>
      </c>
      <c r="J609" s="971">
        <v>9311</v>
      </c>
      <c r="K609" s="970">
        <v>5476</v>
      </c>
      <c r="L609" s="969">
        <v>3375</v>
      </c>
      <c r="M609" s="969"/>
      <c r="N609" s="970">
        <v>1085</v>
      </c>
      <c r="O609" s="970">
        <v>0</v>
      </c>
      <c r="P609" s="970">
        <v>0</v>
      </c>
      <c r="Q609" s="969">
        <v>345</v>
      </c>
      <c r="R609" s="969"/>
      <c r="S609" s="970">
        <v>12923</v>
      </c>
      <c r="T609" s="972">
        <v>2192</v>
      </c>
      <c r="U609" s="972">
        <f>15114+1</f>
        <v>15115</v>
      </c>
    </row>
    <row r="610" spans="1:21" x14ac:dyDescent="0.25">
      <c r="A610" s="966">
        <v>96641</v>
      </c>
      <c r="B610" s="967" t="s">
        <v>3224</v>
      </c>
      <c r="C610" s="968">
        <v>3.2199999999999997E-5</v>
      </c>
      <c r="D610" s="968">
        <v>2.6999999999999999E-5</v>
      </c>
      <c r="E610" s="1007">
        <v>20865</v>
      </c>
      <c r="F610" s="1010">
        <v>57303</v>
      </c>
      <c r="G610" s="969">
        <v>49193</v>
      </c>
      <c r="H610" s="969"/>
      <c r="I610" s="970">
        <v>2834</v>
      </c>
      <c r="J610" s="971">
        <v>11944</v>
      </c>
      <c r="K610" s="970">
        <v>7025</v>
      </c>
      <c r="L610" s="969">
        <v>15380</v>
      </c>
      <c r="M610" s="969"/>
      <c r="N610" s="970">
        <v>1392</v>
      </c>
      <c r="O610" s="970">
        <v>0</v>
      </c>
      <c r="P610" s="970">
        <v>0</v>
      </c>
      <c r="Q610" s="969">
        <v>0</v>
      </c>
      <c r="R610" s="969"/>
      <c r="S610" s="970">
        <v>16578</v>
      </c>
      <c r="T610" s="972">
        <v>5934</v>
      </c>
      <c r="U610" s="972">
        <v>22512</v>
      </c>
    </row>
    <row r="611" spans="1:21" x14ac:dyDescent="0.25">
      <c r="A611" s="966">
        <v>96651</v>
      </c>
      <c r="B611" s="967" t="s">
        <v>3225</v>
      </c>
      <c r="C611" s="968">
        <v>1.7399999999999999E-5</v>
      </c>
      <c r="D611" s="968">
        <v>1.9400000000000001E-5</v>
      </c>
      <c r="E611" s="1007">
        <v>11419</v>
      </c>
      <c r="F611" s="1010">
        <v>41173</v>
      </c>
      <c r="G611" s="969">
        <v>26582</v>
      </c>
      <c r="H611" s="969"/>
      <c r="I611" s="970">
        <v>1531</v>
      </c>
      <c r="J611" s="971">
        <v>6454</v>
      </c>
      <c r="K611" s="970">
        <v>3796</v>
      </c>
      <c r="L611" s="969">
        <v>1983</v>
      </c>
      <c r="M611" s="969"/>
      <c r="N611" s="970">
        <v>752</v>
      </c>
      <c r="O611" s="970">
        <v>0</v>
      </c>
      <c r="P611" s="970">
        <v>0</v>
      </c>
      <c r="Q611" s="969">
        <v>1305</v>
      </c>
      <c r="R611" s="969"/>
      <c r="S611" s="970">
        <v>8958</v>
      </c>
      <c r="T611" s="972">
        <v>-364</v>
      </c>
      <c r="U611" s="972">
        <f>8595-1</f>
        <v>8594</v>
      </c>
    </row>
    <row r="612" spans="1:21" x14ac:dyDescent="0.25">
      <c r="A612" s="966">
        <v>96661</v>
      </c>
      <c r="B612" s="967" t="s">
        <v>3226</v>
      </c>
      <c r="C612" s="968">
        <v>1.9700000000000001E-5</v>
      </c>
      <c r="D612" s="968">
        <v>1.9000000000000001E-5</v>
      </c>
      <c r="E612" s="1007">
        <v>10400</v>
      </c>
      <c r="F612" s="1010">
        <v>40324</v>
      </c>
      <c r="G612" s="969">
        <v>30096</v>
      </c>
      <c r="H612" s="969"/>
      <c r="I612" s="970">
        <v>1734</v>
      </c>
      <c r="J612" s="971">
        <v>7308</v>
      </c>
      <c r="K612" s="970">
        <v>4298</v>
      </c>
      <c r="L612" s="969">
        <v>5449</v>
      </c>
      <c r="M612" s="969"/>
      <c r="N612" s="970">
        <v>852</v>
      </c>
      <c r="O612" s="970">
        <v>0</v>
      </c>
      <c r="P612" s="970">
        <v>0</v>
      </c>
      <c r="Q612" s="969">
        <v>0</v>
      </c>
      <c r="R612" s="969"/>
      <c r="S612" s="970">
        <v>10142</v>
      </c>
      <c r="T612" s="972">
        <v>2525</v>
      </c>
      <c r="U612" s="972">
        <f>12668-1</f>
        <v>12667</v>
      </c>
    </row>
    <row r="613" spans="1:21" x14ac:dyDescent="0.25">
      <c r="A613" s="966">
        <v>96671</v>
      </c>
      <c r="B613" s="967" t="s">
        <v>3227</v>
      </c>
      <c r="C613" s="968">
        <v>1.49E-5</v>
      </c>
      <c r="D613" s="968">
        <v>1.5500000000000001E-5</v>
      </c>
      <c r="E613" s="1007">
        <v>8400</v>
      </c>
      <c r="F613" s="1010">
        <v>32896</v>
      </c>
      <c r="G613" s="969">
        <v>22763</v>
      </c>
      <c r="H613" s="969"/>
      <c r="I613" s="970">
        <v>1311</v>
      </c>
      <c r="J613" s="971">
        <v>5527</v>
      </c>
      <c r="K613" s="970">
        <v>3251</v>
      </c>
      <c r="L613" s="969">
        <v>8612</v>
      </c>
      <c r="M613" s="969"/>
      <c r="N613" s="970">
        <v>644</v>
      </c>
      <c r="O613" s="970">
        <v>0</v>
      </c>
      <c r="P613" s="970">
        <v>0</v>
      </c>
      <c r="Q613" s="969">
        <v>208</v>
      </c>
      <c r="R613" s="969"/>
      <c r="S613" s="970">
        <v>7671</v>
      </c>
      <c r="T613" s="972">
        <v>3620</v>
      </c>
      <c r="U613" s="972">
        <v>11291</v>
      </c>
    </row>
    <row r="614" spans="1:21" x14ac:dyDescent="0.25">
      <c r="A614" s="966">
        <v>96681</v>
      </c>
      <c r="B614" s="967" t="s">
        <v>3228</v>
      </c>
      <c r="C614" s="968">
        <v>1.7499999999999998E-5</v>
      </c>
      <c r="D614" s="968">
        <v>3.4799999999999999E-5</v>
      </c>
      <c r="E614" s="1007">
        <v>12179</v>
      </c>
      <c r="F614" s="1010">
        <v>73857</v>
      </c>
      <c r="G614" s="969">
        <v>26735</v>
      </c>
      <c r="H614" s="969"/>
      <c r="I614" s="970">
        <v>1540</v>
      </c>
      <c r="J614" s="971">
        <v>6491</v>
      </c>
      <c r="K614" s="970">
        <v>3818</v>
      </c>
      <c r="L614" s="969">
        <v>12682</v>
      </c>
      <c r="M614" s="969"/>
      <c r="N614" s="970">
        <v>757</v>
      </c>
      <c r="O614" s="970">
        <v>0</v>
      </c>
      <c r="P614" s="970">
        <v>0</v>
      </c>
      <c r="Q614" s="969">
        <v>9027</v>
      </c>
      <c r="R614" s="969"/>
      <c r="S614" s="970">
        <v>9010</v>
      </c>
      <c r="T614" s="972">
        <v>3129</v>
      </c>
      <c r="U614" s="972">
        <v>12139</v>
      </c>
    </row>
    <row r="615" spans="1:21" x14ac:dyDescent="0.25">
      <c r="A615" s="966">
        <v>96701</v>
      </c>
      <c r="B615" s="967" t="s">
        <v>3229</v>
      </c>
      <c r="C615" s="968">
        <v>8.4206000000000003E-3</v>
      </c>
      <c r="D615" s="968">
        <v>7.7850000000000003E-3</v>
      </c>
      <c r="E615" s="1007">
        <v>3657208</v>
      </c>
      <c r="F615" s="1010">
        <v>16522378</v>
      </c>
      <c r="G615" s="969">
        <v>12864344</v>
      </c>
      <c r="H615" s="969"/>
      <c r="I615" s="970">
        <v>741105</v>
      </c>
      <c r="J615" s="971">
        <v>3123478</v>
      </c>
      <c r="K615" s="970">
        <v>1837207</v>
      </c>
      <c r="L615" s="969">
        <v>445953</v>
      </c>
      <c r="M615" s="969"/>
      <c r="N615" s="970">
        <v>364149</v>
      </c>
      <c r="O615" s="970">
        <v>0</v>
      </c>
      <c r="P615" s="970">
        <v>0</v>
      </c>
      <c r="Q615" s="969">
        <v>51464</v>
      </c>
      <c r="R615" s="969"/>
      <c r="S615" s="970">
        <v>4335295</v>
      </c>
      <c r="T615" s="972">
        <v>139565</v>
      </c>
      <c r="U615" s="972">
        <f>4474861-1</f>
        <v>4474860</v>
      </c>
    </row>
    <row r="616" spans="1:21" x14ac:dyDescent="0.25">
      <c r="A616" s="966">
        <v>96704</v>
      </c>
      <c r="B616" s="967" t="s">
        <v>3230</v>
      </c>
      <c r="C616" s="968">
        <v>1.7259999999999999E-4</v>
      </c>
      <c r="D616" s="968">
        <v>1.5330000000000001E-4</v>
      </c>
      <c r="E616" s="1007">
        <v>92320</v>
      </c>
      <c r="F616" s="1010">
        <v>325354</v>
      </c>
      <c r="G616" s="969">
        <v>263685</v>
      </c>
      <c r="H616" s="969"/>
      <c r="I616" s="970">
        <v>15191</v>
      </c>
      <c r="J616" s="971">
        <v>64023</v>
      </c>
      <c r="K616" s="970">
        <v>37658</v>
      </c>
      <c r="L616" s="969">
        <v>28813</v>
      </c>
      <c r="M616" s="969"/>
      <c r="N616" s="970">
        <v>7464</v>
      </c>
      <c r="O616" s="970">
        <v>0</v>
      </c>
      <c r="P616" s="970">
        <v>0</v>
      </c>
      <c r="Q616" s="969">
        <v>0</v>
      </c>
      <c r="R616" s="969"/>
      <c r="S616" s="970">
        <v>88862</v>
      </c>
      <c r="T616" s="972">
        <v>9625</v>
      </c>
      <c r="U616" s="972">
        <v>98487</v>
      </c>
    </row>
    <row r="617" spans="1:21" x14ac:dyDescent="0.25">
      <c r="A617" s="966">
        <v>96708</v>
      </c>
      <c r="B617" s="967" t="s">
        <v>3231</v>
      </c>
      <c r="C617" s="968">
        <v>9.031E-4</v>
      </c>
      <c r="D617" s="968">
        <v>8.4590000000000002E-4</v>
      </c>
      <c r="E617" s="1007">
        <v>441727</v>
      </c>
      <c r="F617" s="1010">
        <v>1795283</v>
      </c>
      <c r="G617" s="969">
        <v>1379687</v>
      </c>
      <c r="H617" s="969"/>
      <c r="I617" s="970">
        <v>79483</v>
      </c>
      <c r="J617" s="971">
        <v>334989</v>
      </c>
      <c r="K617" s="970">
        <v>197038</v>
      </c>
      <c r="L617" s="969">
        <v>93931</v>
      </c>
      <c r="M617" s="969"/>
      <c r="N617" s="970">
        <v>39055</v>
      </c>
      <c r="O617" s="970">
        <v>0</v>
      </c>
      <c r="P617" s="970">
        <v>0</v>
      </c>
      <c r="Q617" s="969">
        <v>19895</v>
      </c>
      <c r="R617" s="969"/>
      <c r="S617" s="970">
        <v>464956</v>
      </c>
      <c r="T617" s="972">
        <v>29117</v>
      </c>
      <c r="U617" s="972">
        <v>494073</v>
      </c>
    </row>
    <row r="618" spans="1:21" x14ac:dyDescent="0.25">
      <c r="A618" s="966">
        <v>96711</v>
      </c>
      <c r="B618" s="967" t="s">
        <v>3232</v>
      </c>
      <c r="C618" s="968">
        <v>4.0464000000000003E-3</v>
      </c>
      <c r="D618" s="968">
        <v>4.4140000000000004E-3</v>
      </c>
      <c r="E618" s="1007">
        <v>1869918</v>
      </c>
      <c r="F618" s="1010">
        <v>9367987</v>
      </c>
      <c r="G618" s="969">
        <v>6181778</v>
      </c>
      <c r="H618" s="969"/>
      <c r="I618" s="970">
        <v>356128</v>
      </c>
      <c r="J618" s="971">
        <v>1500943</v>
      </c>
      <c r="K618" s="970">
        <v>882844</v>
      </c>
      <c r="L618" s="969">
        <v>10323</v>
      </c>
      <c r="M618" s="969"/>
      <c r="N618" s="970">
        <v>174987</v>
      </c>
      <c r="O618" s="970">
        <v>0</v>
      </c>
      <c r="P618" s="970">
        <v>0</v>
      </c>
      <c r="Q618" s="969">
        <v>468550</v>
      </c>
      <c r="R618" s="969"/>
      <c r="S618" s="970">
        <v>2083265</v>
      </c>
      <c r="T618" s="972">
        <v>-165088</v>
      </c>
      <c r="U618" s="972">
        <v>1918177</v>
      </c>
    </row>
    <row r="619" spans="1:21" x14ac:dyDescent="0.25">
      <c r="A619" s="966">
        <v>96721</v>
      </c>
      <c r="B619" s="967" t="s">
        <v>3233</v>
      </c>
      <c r="C619" s="968">
        <v>2.1379999999999999E-4</v>
      </c>
      <c r="D619" s="968">
        <v>1.9780000000000001E-4</v>
      </c>
      <c r="E619" s="1007">
        <v>96163</v>
      </c>
      <c r="F619" s="1010">
        <v>419798</v>
      </c>
      <c r="G619" s="969">
        <v>326627</v>
      </c>
      <c r="H619" s="969"/>
      <c r="I619" s="970">
        <v>18817</v>
      </c>
      <c r="J619" s="971">
        <v>79305</v>
      </c>
      <c r="K619" s="970">
        <v>46647</v>
      </c>
      <c r="L619" s="969">
        <v>14615</v>
      </c>
      <c r="M619" s="969"/>
      <c r="N619" s="970">
        <v>9246</v>
      </c>
      <c r="O619" s="970">
        <v>0</v>
      </c>
      <c r="P619" s="970">
        <v>0</v>
      </c>
      <c r="Q619" s="969">
        <v>25539</v>
      </c>
      <c r="R619" s="969"/>
      <c r="S619" s="970">
        <v>110074</v>
      </c>
      <c r="T619" s="972">
        <v>-1269</v>
      </c>
      <c r="U619" s="972">
        <v>108805</v>
      </c>
    </row>
    <row r="620" spans="1:21" x14ac:dyDescent="0.25">
      <c r="A620" s="966">
        <v>96731</v>
      </c>
      <c r="B620" s="967" t="s">
        <v>3234</v>
      </c>
      <c r="C620" s="968">
        <v>1.697E-4</v>
      </c>
      <c r="D620" s="968">
        <v>1.5090000000000001E-4</v>
      </c>
      <c r="E620" s="1007">
        <v>72356</v>
      </c>
      <c r="F620" s="1010">
        <v>320260</v>
      </c>
      <c r="G620" s="969">
        <v>259255</v>
      </c>
      <c r="H620" s="969"/>
      <c r="I620" s="970">
        <v>14935</v>
      </c>
      <c r="J620" s="971">
        <v>62947</v>
      </c>
      <c r="K620" s="970">
        <v>37025</v>
      </c>
      <c r="L620" s="969">
        <v>20951</v>
      </c>
      <c r="M620" s="969"/>
      <c r="N620" s="970">
        <v>7339</v>
      </c>
      <c r="O620" s="970">
        <v>0</v>
      </c>
      <c r="P620" s="970">
        <v>0</v>
      </c>
      <c r="Q620" s="969">
        <v>6</v>
      </c>
      <c r="R620" s="969"/>
      <c r="S620" s="970">
        <v>87369</v>
      </c>
      <c r="T620" s="972">
        <v>7300</v>
      </c>
      <c r="U620" s="972">
        <v>94669</v>
      </c>
    </row>
    <row r="621" spans="1:21" x14ac:dyDescent="0.25">
      <c r="A621" s="966">
        <v>96733</v>
      </c>
      <c r="B621" s="967" t="s">
        <v>3235</v>
      </c>
      <c r="C621" s="968">
        <v>7.3000000000000004E-6</v>
      </c>
      <c r="D621" s="968">
        <v>9.2E-6</v>
      </c>
      <c r="E621" s="1007">
        <v>4279</v>
      </c>
      <c r="F621" s="1010">
        <v>19525</v>
      </c>
      <c r="G621" s="969">
        <v>11152</v>
      </c>
      <c r="H621" s="969"/>
      <c r="I621" s="970">
        <v>642</v>
      </c>
      <c r="J621" s="971">
        <v>2708</v>
      </c>
      <c r="K621" s="970">
        <v>1593</v>
      </c>
      <c r="L621" s="969">
        <v>3988</v>
      </c>
      <c r="M621" s="969"/>
      <c r="N621" s="970">
        <v>316</v>
      </c>
      <c r="O621" s="970">
        <v>0</v>
      </c>
      <c r="P621" s="970">
        <v>0</v>
      </c>
      <c r="Q621" s="969">
        <v>1209</v>
      </c>
      <c r="R621" s="969"/>
      <c r="S621" s="970">
        <v>3758</v>
      </c>
      <c r="T621" s="972">
        <v>1574</v>
      </c>
      <c r="U621" s="972">
        <v>5332</v>
      </c>
    </row>
    <row r="622" spans="1:21" x14ac:dyDescent="0.25">
      <c r="A622" s="966">
        <v>96741</v>
      </c>
      <c r="B622" s="967" t="s">
        <v>3236</v>
      </c>
      <c r="C622" s="968">
        <v>9.0799999999999998E-5</v>
      </c>
      <c r="D622" s="968">
        <v>9.2399999999999996E-5</v>
      </c>
      <c r="E622" s="1007">
        <v>41448</v>
      </c>
      <c r="F622" s="1010">
        <v>196104</v>
      </c>
      <c r="G622" s="969">
        <v>138717</v>
      </c>
      <c r="H622" s="969"/>
      <c r="I622" s="970">
        <v>7991</v>
      </c>
      <c r="J622" s="971">
        <v>33681</v>
      </c>
      <c r="K622" s="970">
        <v>19811</v>
      </c>
      <c r="L622" s="969">
        <v>4204</v>
      </c>
      <c r="M622" s="969"/>
      <c r="N622" s="970">
        <v>3927</v>
      </c>
      <c r="O622" s="970">
        <v>0</v>
      </c>
      <c r="P622" s="970">
        <v>0</v>
      </c>
      <c r="Q622" s="969">
        <v>2410</v>
      </c>
      <c r="R622" s="969"/>
      <c r="S622" s="970">
        <v>46748</v>
      </c>
      <c r="T622" s="972">
        <v>2215</v>
      </c>
      <c r="U622" s="972">
        <v>48963</v>
      </c>
    </row>
    <row r="623" spans="1:21" x14ac:dyDescent="0.25">
      <c r="A623" s="966">
        <v>96751</v>
      </c>
      <c r="B623" s="967" t="s">
        <v>3237</v>
      </c>
      <c r="C623" s="968">
        <v>2.5809999999999999E-4</v>
      </c>
      <c r="D623" s="968">
        <v>2.6120000000000001E-4</v>
      </c>
      <c r="E623" s="1007">
        <v>115660</v>
      </c>
      <c r="F623" s="1010">
        <v>554354</v>
      </c>
      <c r="G623" s="969">
        <v>394305</v>
      </c>
      <c r="H623" s="969"/>
      <c r="I623" s="970">
        <v>22716</v>
      </c>
      <c r="J623" s="971">
        <v>95737</v>
      </c>
      <c r="K623" s="970">
        <v>56312</v>
      </c>
      <c r="L623" s="969">
        <v>10810</v>
      </c>
      <c r="M623" s="969"/>
      <c r="N623" s="970">
        <v>11162</v>
      </c>
      <c r="O623" s="970">
        <v>0</v>
      </c>
      <c r="P623" s="970">
        <v>0</v>
      </c>
      <c r="Q623" s="969">
        <v>31380</v>
      </c>
      <c r="R623" s="969"/>
      <c r="S623" s="970">
        <v>132881</v>
      </c>
      <c r="T623" s="972">
        <v>-737</v>
      </c>
      <c r="U623" s="972">
        <v>132144</v>
      </c>
    </row>
    <row r="624" spans="1:21" x14ac:dyDescent="0.25">
      <c r="A624" s="966">
        <v>96801</v>
      </c>
      <c r="B624" s="967" t="s">
        <v>3238</v>
      </c>
      <c r="C624" s="968">
        <v>7.5814000000000003E-3</v>
      </c>
      <c r="D624" s="968">
        <v>7.8463999999999999E-3</v>
      </c>
      <c r="E624" s="1007">
        <v>3611120</v>
      </c>
      <c r="F624" s="1010">
        <v>16652689</v>
      </c>
      <c r="G624" s="969">
        <v>11582279</v>
      </c>
      <c r="H624" s="969"/>
      <c r="I624" s="970">
        <v>667247</v>
      </c>
      <c r="J624" s="971">
        <v>2812192</v>
      </c>
      <c r="K624" s="970">
        <v>1654110</v>
      </c>
      <c r="L624" s="969">
        <v>406857</v>
      </c>
      <c r="M624" s="969"/>
      <c r="N624" s="970">
        <v>327858</v>
      </c>
      <c r="O624" s="970">
        <v>0</v>
      </c>
      <c r="P624" s="970">
        <v>0</v>
      </c>
      <c r="Q624" s="969">
        <v>73178</v>
      </c>
      <c r="R624" s="969"/>
      <c r="S624" s="970">
        <v>3903238</v>
      </c>
      <c r="T624" s="972">
        <v>217480</v>
      </c>
      <c r="U624" s="972">
        <v>4120718</v>
      </c>
    </row>
    <row r="625" spans="1:21" x14ac:dyDescent="0.25">
      <c r="A625" s="966">
        <v>96804</v>
      </c>
      <c r="B625" s="967" t="s">
        <v>3239</v>
      </c>
      <c r="C625" s="968">
        <v>2.654E-4</v>
      </c>
      <c r="D625" s="968">
        <v>2.4230000000000001E-4</v>
      </c>
      <c r="E625" s="1007">
        <v>109175</v>
      </c>
      <c r="F625" s="1010">
        <v>514242</v>
      </c>
      <c r="G625" s="969">
        <v>405458</v>
      </c>
      <c r="H625" s="969"/>
      <c r="I625" s="970">
        <v>23358</v>
      </c>
      <c r="J625" s="971">
        <v>98446</v>
      </c>
      <c r="K625" s="970">
        <v>57905</v>
      </c>
      <c r="L625" s="969">
        <v>7601</v>
      </c>
      <c r="M625" s="969"/>
      <c r="N625" s="970">
        <v>11477</v>
      </c>
      <c r="O625" s="970">
        <v>0</v>
      </c>
      <c r="P625" s="970">
        <v>0</v>
      </c>
      <c r="Q625" s="969">
        <v>2044</v>
      </c>
      <c r="R625" s="969"/>
      <c r="S625" s="970">
        <v>136640</v>
      </c>
      <c r="T625" s="972">
        <v>2424</v>
      </c>
      <c r="U625" s="972">
        <v>139064</v>
      </c>
    </row>
    <row r="626" spans="1:21" x14ac:dyDescent="0.25">
      <c r="A626" s="966">
        <v>96808</v>
      </c>
      <c r="B626" s="967" t="s">
        <v>3240</v>
      </c>
      <c r="C626" s="968">
        <v>1.2711000000000001E-3</v>
      </c>
      <c r="D626" s="968">
        <v>1.2882E-3</v>
      </c>
      <c r="E626" s="1007">
        <v>593249</v>
      </c>
      <c r="F626" s="1010">
        <v>2733992</v>
      </c>
      <c r="G626" s="969">
        <v>1941889</v>
      </c>
      <c r="H626" s="969"/>
      <c r="I626" s="970">
        <v>111871</v>
      </c>
      <c r="J626" s="971">
        <v>471493</v>
      </c>
      <c r="K626" s="970">
        <v>277329</v>
      </c>
      <c r="L626" s="969">
        <v>42529</v>
      </c>
      <c r="M626" s="969"/>
      <c r="N626" s="970">
        <v>54969</v>
      </c>
      <c r="O626" s="970">
        <v>0</v>
      </c>
      <c r="P626" s="970">
        <v>0</v>
      </c>
      <c r="Q626" s="969">
        <v>3699</v>
      </c>
      <c r="R626" s="969"/>
      <c r="S626" s="970">
        <v>654418</v>
      </c>
      <c r="T626" s="972">
        <v>23633</v>
      </c>
      <c r="U626" s="972">
        <v>678051</v>
      </c>
    </row>
    <row r="627" spans="1:21" x14ac:dyDescent="0.25">
      <c r="A627" s="966">
        <v>96811</v>
      </c>
      <c r="B627" s="967" t="s">
        <v>3241</v>
      </c>
      <c r="C627" s="968">
        <v>6.0096999999999998E-3</v>
      </c>
      <c r="D627" s="968">
        <v>5.9861999999999997E-3</v>
      </c>
      <c r="E627" s="1007">
        <v>2786025</v>
      </c>
      <c r="F627" s="1010">
        <v>12704722</v>
      </c>
      <c r="G627" s="969">
        <v>9181157</v>
      </c>
      <c r="H627" s="969"/>
      <c r="I627" s="970">
        <v>528920</v>
      </c>
      <c r="J627" s="971">
        <v>2229197</v>
      </c>
      <c r="K627" s="970">
        <v>1311196</v>
      </c>
      <c r="L627" s="969">
        <v>37410</v>
      </c>
      <c r="M627" s="969"/>
      <c r="N627" s="970">
        <v>259889</v>
      </c>
      <c r="O627" s="970">
        <v>0</v>
      </c>
      <c r="P627" s="970">
        <v>0</v>
      </c>
      <c r="Q627" s="969">
        <v>53500</v>
      </c>
      <c r="R627" s="969"/>
      <c r="S627" s="970">
        <v>3094058</v>
      </c>
      <c r="T627" s="972">
        <v>-23369</v>
      </c>
      <c r="U627" s="972">
        <v>3070689</v>
      </c>
    </row>
    <row r="628" spans="1:21" x14ac:dyDescent="0.25">
      <c r="A628" s="966">
        <v>96821</v>
      </c>
      <c r="B628" s="967" t="s">
        <v>3242</v>
      </c>
      <c r="C628" s="968">
        <v>1.3247000000000001E-3</v>
      </c>
      <c r="D628" s="968">
        <v>1.3630999999999999E-3</v>
      </c>
      <c r="E628" s="1007">
        <v>603956</v>
      </c>
      <c r="F628" s="1010">
        <v>2892955</v>
      </c>
      <c r="G628" s="969">
        <v>2023775</v>
      </c>
      <c r="H628" s="969"/>
      <c r="I628" s="970">
        <v>116588</v>
      </c>
      <c r="J628" s="971">
        <v>491375</v>
      </c>
      <c r="K628" s="970">
        <v>289023</v>
      </c>
      <c r="L628" s="969">
        <v>0</v>
      </c>
      <c r="M628" s="969"/>
      <c r="N628" s="970">
        <v>57287</v>
      </c>
      <c r="O628" s="970">
        <v>0</v>
      </c>
      <c r="P628" s="970">
        <v>0</v>
      </c>
      <c r="Q628" s="969">
        <v>134629</v>
      </c>
      <c r="R628" s="969"/>
      <c r="S628" s="970">
        <v>682014</v>
      </c>
      <c r="T628" s="972">
        <v>-54878</v>
      </c>
      <c r="U628" s="972">
        <v>627136</v>
      </c>
    </row>
    <row r="629" spans="1:21" x14ac:dyDescent="0.25">
      <c r="A629" s="966">
        <v>96831</v>
      </c>
      <c r="B629" s="967" t="s">
        <v>3243</v>
      </c>
      <c r="C629" s="968">
        <v>9.1929999999999996E-4</v>
      </c>
      <c r="D629" s="968">
        <v>9.2400000000000002E-4</v>
      </c>
      <c r="E629" s="1007">
        <v>426593</v>
      </c>
      <c r="F629" s="1010">
        <v>1961038</v>
      </c>
      <c r="G629" s="969">
        <v>1404436</v>
      </c>
      <c r="H629" s="969"/>
      <c r="I629" s="970">
        <v>80909</v>
      </c>
      <c r="J629" s="971">
        <v>340998</v>
      </c>
      <c r="K629" s="970">
        <v>200573</v>
      </c>
      <c r="L629" s="969">
        <v>37726</v>
      </c>
      <c r="M629" s="969"/>
      <c r="N629" s="970">
        <v>39755</v>
      </c>
      <c r="O629" s="970">
        <v>0</v>
      </c>
      <c r="P629" s="970">
        <v>0</v>
      </c>
      <c r="Q629" s="969">
        <v>0</v>
      </c>
      <c r="R629" s="969"/>
      <c r="S629" s="970">
        <v>473296</v>
      </c>
      <c r="T629" s="972">
        <v>19380</v>
      </c>
      <c r="U629" s="972">
        <v>492676</v>
      </c>
    </row>
    <row r="630" spans="1:21" x14ac:dyDescent="0.25">
      <c r="A630" s="966">
        <v>96901</v>
      </c>
      <c r="B630" s="967" t="s">
        <v>3244</v>
      </c>
      <c r="C630" s="968">
        <v>8.9820000000000004E-4</v>
      </c>
      <c r="D630" s="968">
        <v>8.1610000000000005E-4</v>
      </c>
      <c r="E630" s="1007">
        <v>411770</v>
      </c>
      <c r="F630" s="1010">
        <v>1732038</v>
      </c>
      <c r="G630" s="969">
        <v>1372201</v>
      </c>
      <c r="H630" s="969"/>
      <c r="I630" s="970">
        <v>79051</v>
      </c>
      <c r="J630" s="971">
        <v>333172</v>
      </c>
      <c r="K630" s="970">
        <v>195969</v>
      </c>
      <c r="L630" s="969">
        <v>85745</v>
      </c>
      <c r="M630" s="969"/>
      <c r="N630" s="970">
        <v>38843</v>
      </c>
      <c r="O630" s="970">
        <v>0</v>
      </c>
      <c r="P630" s="970">
        <v>0</v>
      </c>
      <c r="Q630" s="969">
        <v>0</v>
      </c>
      <c r="R630" s="969"/>
      <c r="S630" s="970">
        <v>462433</v>
      </c>
      <c r="T630" s="972">
        <v>28927</v>
      </c>
      <c r="U630" s="972">
        <v>491360</v>
      </c>
    </row>
    <row r="631" spans="1:21" x14ac:dyDescent="0.25">
      <c r="A631" s="966">
        <v>96911</v>
      </c>
      <c r="B631" s="967" t="s">
        <v>3245</v>
      </c>
      <c r="C631" s="968">
        <v>2.3999999999999999E-6</v>
      </c>
      <c r="D631" s="968">
        <v>3.7000000000000002E-6</v>
      </c>
      <c r="E631" s="1007">
        <v>1942</v>
      </c>
      <c r="F631" s="1010">
        <v>7853</v>
      </c>
      <c r="G631" s="969">
        <v>3667</v>
      </c>
      <c r="H631" s="969"/>
      <c r="I631" s="970">
        <v>211</v>
      </c>
      <c r="J631" s="971">
        <v>890</v>
      </c>
      <c r="K631" s="970">
        <v>524</v>
      </c>
      <c r="L631" s="969">
        <v>2464</v>
      </c>
      <c r="M631" s="969"/>
      <c r="N631" s="970">
        <v>104</v>
      </c>
      <c r="O631" s="970">
        <v>0</v>
      </c>
      <c r="P631" s="970">
        <v>0</v>
      </c>
      <c r="Q631" s="969">
        <v>2953</v>
      </c>
      <c r="R631" s="969"/>
      <c r="S631" s="970">
        <v>1236</v>
      </c>
      <c r="T631" s="972">
        <v>521</v>
      </c>
      <c r="U631" s="972">
        <f>1756+1</f>
        <v>1757</v>
      </c>
    </row>
    <row r="632" spans="1:21" x14ac:dyDescent="0.25">
      <c r="A632" s="966">
        <v>96912</v>
      </c>
      <c r="B632" s="967" t="s">
        <v>3246</v>
      </c>
      <c r="C632" s="968">
        <v>6.0099999999999997E-5</v>
      </c>
      <c r="D632" s="968">
        <v>6.0999999999999999E-5</v>
      </c>
      <c r="E632" s="1007">
        <v>24610</v>
      </c>
      <c r="F632" s="1010">
        <v>129462</v>
      </c>
      <c r="G632" s="969">
        <v>91816</v>
      </c>
      <c r="H632" s="969"/>
      <c r="I632" s="970">
        <v>5289</v>
      </c>
      <c r="J632" s="971">
        <v>22293</v>
      </c>
      <c r="K632" s="970">
        <v>13113</v>
      </c>
      <c r="L632" s="969">
        <v>4325</v>
      </c>
      <c r="M632" s="969"/>
      <c r="N632" s="970">
        <v>2599</v>
      </c>
      <c r="O632" s="970">
        <v>0</v>
      </c>
      <c r="P632" s="970">
        <v>0</v>
      </c>
      <c r="Q632" s="969">
        <v>3739</v>
      </c>
      <c r="R632" s="969"/>
      <c r="S632" s="970">
        <v>30942</v>
      </c>
      <c r="T632" s="972">
        <v>2307</v>
      </c>
      <c r="U632" s="972">
        <v>33249</v>
      </c>
    </row>
    <row r="633" spans="1:21" x14ac:dyDescent="0.25">
      <c r="A633" s="966">
        <v>96918</v>
      </c>
      <c r="B633" s="967" t="s">
        <v>3247</v>
      </c>
      <c r="C633" s="968">
        <v>3.8000000000000002E-5</v>
      </c>
      <c r="D633" s="968">
        <v>4.0500000000000002E-5</v>
      </c>
      <c r="E633" s="1007">
        <v>20289</v>
      </c>
      <c r="F633" s="1010">
        <v>85955</v>
      </c>
      <c r="G633" s="969">
        <v>58053</v>
      </c>
      <c r="H633" s="969"/>
      <c r="I633" s="970">
        <v>3344</v>
      </c>
      <c r="J633" s="971">
        <v>14095</v>
      </c>
      <c r="K633" s="970">
        <v>8291</v>
      </c>
      <c r="L633" s="969">
        <v>7713</v>
      </c>
      <c r="M633" s="969"/>
      <c r="N633" s="970">
        <v>1643</v>
      </c>
      <c r="O633" s="970">
        <v>0</v>
      </c>
      <c r="P633" s="970">
        <v>0</v>
      </c>
      <c r="Q633" s="969">
        <v>884</v>
      </c>
      <c r="R633" s="969"/>
      <c r="S633" s="970">
        <v>19564</v>
      </c>
      <c r="T633" s="972">
        <v>5648</v>
      </c>
      <c r="U633" s="972">
        <v>25212</v>
      </c>
    </row>
    <row r="634" spans="1:21" x14ac:dyDescent="0.25">
      <c r="A634" s="966">
        <v>97001</v>
      </c>
      <c r="B634" s="967" t="s">
        <v>3248</v>
      </c>
      <c r="C634" s="968">
        <v>1.3778E-3</v>
      </c>
      <c r="D634" s="968">
        <v>1.3641E-3</v>
      </c>
      <c r="E634" s="1007">
        <v>710694</v>
      </c>
      <c r="F634" s="1010">
        <v>2895077</v>
      </c>
      <c r="G634" s="969">
        <v>2104897</v>
      </c>
      <c r="H634" s="969"/>
      <c r="I634" s="970">
        <v>121262</v>
      </c>
      <c r="J634" s="971">
        <v>511071</v>
      </c>
      <c r="K634" s="970">
        <v>300608</v>
      </c>
      <c r="L634" s="969">
        <v>148744</v>
      </c>
      <c r="M634" s="969"/>
      <c r="N634" s="970">
        <v>59583</v>
      </c>
      <c r="O634" s="970">
        <v>0</v>
      </c>
      <c r="P634" s="970">
        <v>0</v>
      </c>
      <c r="Q634" s="969">
        <v>11523</v>
      </c>
      <c r="R634" s="969"/>
      <c r="S634" s="970">
        <v>709352</v>
      </c>
      <c r="T634" s="972">
        <v>36360</v>
      </c>
      <c r="U634" s="972">
        <v>745712</v>
      </c>
    </row>
    <row r="635" spans="1:21" x14ac:dyDescent="0.25">
      <c r="A635" s="966">
        <v>97002</v>
      </c>
      <c r="B635" s="967" t="s">
        <v>3249</v>
      </c>
      <c r="C635" s="968">
        <v>5.2610000000000005E-4</v>
      </c>
      <c r="D635" s="968">
        <v>4.6589999999999999E-4</v>
      </c>
      <c r="E635" s="1007">
        <v>182319</v>
      </c>
      <c r="F635" s="1010">
        <v>988796</v>
      </c>
      <c r="G635" s="969">
        <v>803735</v>
      </c>
      <c r="H635" s="969"/>
      <c r="I635" s="970">
        <v>46303</v>
      </c>
      <c r="J635" s="971">
        <v>195148</v>
      </c>
      <c r="K635" s="970">
        <v>114784</v>
      </c>
      <c r="L635" s="969">
        <v>16832</v>
      </c>
      <c r="M635" s="969"/>
      <c r="N635" s="970">
        <v>22751</v>
      </c>
      <c r="O635" s="970">
        <v>0</v>
      </c>
      <c r="P635" s="970">
        <v>0</v>
      </c>
      <c r="Q635" s="969">
        <v>7002</v>
      </c>
      <c r="R635" s="969"/>
      <c r="S635" s="970">
        <v>270859</v>
      </c>
      <c r="T635" s="972">
        <v>10025</v>
      </c>
      <c r="U635" s="972">
        <f>280885-1</f>
        <v>280884</v>
      </c>
    </row>
    <row r="636" spans="1:21" x14ac:dyDescent="0.25">
      <c r="A636" s="966">
        <v>97004</v>
      </c>
      <c r="B636" s="967" t="s">
        <v>3250</v>
      </c>
      <c r="C636" s="968">
        <v>9.7999999999999993E-6</v>
      </c>
      <c r="D636" s="968">
        <v>1.0900000000000001E-5</v>
      </c>
      <c r="E636" s="1007">
        <v>8257</v>
      </c>
      <c r="F636" s="1010">
        <v>23133</v>
      </c>
      <c r="G636" s="969">
        <v>14972</v>
      </c>
      <c r="H636" s="969"/>
      <c r="I636" s="970">
        <v>863</v>
      </c>
      <c r="J636" s="971">
        <v>3635</v>
      </c>
      <c r="K636" s="970">
        <v>2138</v>
      </c>
      <c r="L636" s="969">
        <v>4225</v>
      </c>
      <c r="M636" s="969"/>
      <c r="N636" s="970">
        <v>424</v>
      </c>
      <c r="O636" s="970">
        <v>0</v>
      </c>
      <c r="P636" s="970">
        <v>0</v>
      </c>
      <c r="Q636" s="969">
        <v>0</v>
      </c>
      <c r="R636" s="969"/>
      <c r="S636" s="970">
        <v>5045</v>
      </c>
      <c r="T636" s="972">
        <v>1862</v>
      </c>
      <c r="U636" s="972">
        <f>6908-1</f>
        <v>6907</v>
      </c>
    </row>
    <row r="637" spans="1:21" x14ac:dyDescent="0.25">
      <c r="A637" s="966">
        <v>97005</v>
      </c>
      <c r="B637" s="967" t="s">
        <v>3251</v>
      </c>
      <c r="C637" s="968">
        <v>2.83E-5</v>
      </c>
      <c r="D637" s="968">
        <v>1.42E-5</v>
      </c>
      <c r="E637" s="1007">
        <v>15092</v>
      </c>
      <c r="F637" s="1010">
        <v>30137</v>
      </c>
      <c r="G637" s="969">
        <v>43235</v>
      </c>
      <c r="H637" s="969"/>
      <c r="I637" s="970">
        <v>2491</v>
      </c>
      <c r="J637" s="971">
        <v>10498</v>
      </c>
      <c r="K637" s="970">
        <v>6174</v>
      </c>
      <c r="L637" s="969">
        <v>13129</v>
      </c>
      <c r="M637" s="969"/>
      <c r="N637" s="970">
        <v>1224</v>
      </c>
      <c r="O637" s="970">
        <v>0</v>
      </c>
      <c r="P637" s="970">
        <v>0</v>
      </c>
      <c r="Q637" s="969">
        <v>1368</v>
      </c>
      <c r="R637" s="969"/>
      <c r="S637" s="970">
        <v>14570</v>
      </c>
      <c r="T637" s="972">
        <v>3211</v>
      </c>
      <c r="U637" s="972">
        <v>17781</v>
      </c>
    </row>
    <row r="638" spans="1:21" x14ac:dyDescent="0.25">
      <c r="A638" s="966">
        <v>97008</v>
      </c>
      <c r="B638" s="967" t="s">
        <v>3252</v>
      </c>
      <c r="C638" s="968">
        <v>2.8659999999999997E-4</v>
      </c>
      <c r="D638" s="968">
        <v>2.7530000000000002E-4</v>
      </c>
      <c r="E638" s="1007">
        <v>128453</v>
      </c>
      <c r="F638" s="1010">
        <v>584279</v>
      </c>
      <c r="G638" s="969">
        <v>437845</v>
      </c>
      <c r="H638" s="969"/>
      <c r="I638" s="970">
        <v>25224</v>
      </c>
      <c r="J638" s="971">
        <v>106309</v>
      </c>
      <c r="K638" s="970">
        <v>62530</v>
      </c>
      <c r="L638" s="969">
        <v>12387</v>
      </c>
      <c r="M638" s="969"/>
      <c r="N638" s="970">
        <v>12394</v>
      </c>
      <c r="O638" s="970">
        <v>0</v>
      </c>
      <c r="P638" s="970">
        <v>0</v>
      </c>
      <c r="Q638" s="969">
        <v>3127</v>
      </c>
      <c r="R638" s="969"/>
      <c r="S638" s="970">
        <v>147554</v>
      </c>
      <c r="T638" s="972">
        <v>7175</v>
      </c>
      <c r="U638" s="972">
        <v>154729</v>
      </c>
    </row>
    <row r="639" spans="1:21" x14ac:dyDescent="0.25">
      <c r="A639" s="966">
        <v>97010</v>
      </c>
      <c r="B639" s="967" t="s">
        <v>3253</v>
      </c>
      <c r="C639" s="968">
        <v>0</v>
      </c>
      <c r="D639" s="968">
        <v>0</v>
      </c>
      <c r="E639" s="1007">
        <v>0</v>
      </c>
      <c r="F639" s="1010">
        <v>0</v>
      </c>
      <c r="G639" s="969">
        <v>0</v>
      </c>
      <c r="H639" s="969"/>
      <c r="I639" s="970">
        <v>0</v>
      </c>
      <c r="J639" s="971">
        <v>0</v>
      </c>
      <c r="K639" s="970">
        <v>0</v>
      </c>
      <c r="L639" s="969">
        <v>0</v>
      </c>
      <c r="M639" s="969"/>
      <c r="N639" s="970">
        <v>0</v>
      </c>
      <c r="O639" s="970">
        <v>0</v>
      </c>
      <c r="P639" s="970">
        <v>0</v>
      </c>
      <c r="Q639" s="969">
        <v>2056902</v>
      </c>
      <c r="R639" s="969"/>
      <c r="S639" s="970">
        <v>0</v>
      </c>
      <c r="T639" s="972">
        <v>-1282454</v>
      </c>
      <c r="U639" s="972">
        <v>-1282454</v>
      </c>
    </row>
    <row r="640" spans="1:21" x14ac:dyDescent="0.25">
      <c r="A640" s="966">
        <v>97011</v>
      </c>
      <c r="B640" s="967" t="s">
        <v>3254</v>
      </c>
      <c r="C640" s="968">
        <v>1.9166999999999999E-3</v>
      </c>
      <c r="D640" s="968">
        <v>1.9522999999999999E-3</v>
      </c>
      <c r="E640" s="1007">
        <v>907458</v>
      </c>
      <c r="F640" s="1010">
        <v>4143435</v>
      </c>
      <c r="G640" s="969">
        <v>2928187</v>
      </c>
      <c r="H640" s="969"/>
      <c r="I640" s="970">
        <v>168691</v>
      </c>
      <c r="J640" s="971">
        <v>710967</v>
      </c>
      <c r="K640" s="970">
        <v>418186</v>
      </c>
      <c r="L640" s="969">
        <v>0</v>
      </c>
      <c r="M640" s="969"/>
      <c r="N640" s="970">
        <v>82888</v>
      </c>
      <c r="O640" s="970">
        <v>0</v>
      </c>
      <c r="P640" s="970">
        <v>0</v>
      </c>
      <c r="Q640" s="969">
        <v>92552</v>
      </c>
      <c r="R640" s="969"/>
      <c r="S640" s="970">
        <v>986801</v>
      </c>
      <c r="T640" s="972">
        <v>-38711</v>
      </c>
      <c r="U640" s="972">
        <v>948090</v>
      </c>
    </row>
    <row r="641" spans="1:21" x14ac:dyDescent="0.25">
      <c r="A641" s="966">
        <v>97012</v>
      </c>
      <c r="B641" s="967" t="s">
        <v>3255</v>
      </c>
      <c r="C641" s="968">
        <v>2.9499999999999999E-5</v>
      </c>
      <c r="D641" s="968">
        <v>2.4499999999999999E-5</v>
      </c>
      <c r="E641" s="1007">
        <v>12375</v>
      </c>
      <c r="F641" s="1010">
        <v>51997</v>
      </c>
      <c r="G641" s="969">
        <v>45068</v>
      </c>
      <c r="H641" s="969"/>
      <c r="I641" s="970">
        <v>2596</v>
      </c>
      <c r="J641" s="971">
        <v>10942</v>
      </c>
      <c r="K641" s="970">
        <v>6436</v>
      </c>
      <c r="L641" s="969">
        <v>4949</v>
      </c>
      <c r="M641" s="969"/>
      <c r="N641" s="970">
        <v>1276</v>
      </c>
      <c r="O641" s="970">
        <v>0</v>
      </c>
      <c r="P641" s="970">
        <v>0</v>
      </c>
      <c r="Q641" s="969">
        <v>1149</v>
      </c>
      <c r="R641" s="969"/>
      <c r="S641" s="970">
        <v>15188</v>
      </c>
      <c r="T641" s="972">
        <v>752</v>
      </c>
      <c r="U641" s="972">
        <v>15940</v>
      </c>
    </row>
    <row r="642" spans="1:21" x14ac:dyDescent="0.25">
      <c r="A642" s="966">
        <v>97013</v>
      </c>
      <c r="B642" s="967" t="s">
        <v>3256</v>
      </c>
      <c r="C642" s="968">
        <v>1.8199999999999999E-5</v>
      </c>
      <c r="D642" s="968">
        <v>2.0699999999999998E-5</v>
      </c>
      <c r="E642" s="1007">
        <v>11433</v>
      </c>
      <c r="F642" s="1010">
        <v>43932</v>
      </c>
      <c r="G642" s="969">
        <v>27805</v>
      </c>
      <c r="H642" s="969"/>
      <c r="I642" s="970">
        <v>1602</v>
      </c>
      <c r="J642" s="971">
        <v>6751</v>
      </c>
      <c r="K642" s="970">
        <v>3971</v>
      </c>
      <c r="L642" s="969">
        <v>6233</v>
      </c>
      <c r="M642" s="969"/>
      <c r="N642" s="970">
        <v>787</v>
      </c>
      <c r="O642" s="970">
        <v>0</v>
      </c>
      <c r="P642" s="970">
        <v>0</v>
      </c>
      <c r="Q642" s="969">
        <v>431</v>
      </c>
      <c r="R642" s="969"/>
      <c r="S642" s="970">
        <v>9370</v>
      </c>
      <c r="T642" s="972">
        <v>2046</v>
      </c>
      <c r="U642" s="972">
        <v>11416</v>
      </c>
    </row>
    <row r="643" spans="1:21" x14ac:dyDescent="0.25">
      <c r="A643" s="966">
        <v>97015</v>
      </c>
      <c r="B643" s="967" t="s">
        <v>3257</v>
      </c>
      <c r="C643" s="968">
        <v>4.1499999999999999E-5</v>
      </c>
      <c r="D643" s="968">
        <v>5.3699999999999997E-5</v>
      </c>
      <c r="E643" s="1007">
        <v>23036</v>
      </c>
      <c r="F643" s="1010">
        <v>113969</v>
      </c>
      <c r="G643" s="969">
        <v>63401</v>
      </c>
      <c r="H643" s="969"/>
      <c r="I643" s="970">
        <v>3652</v>
      </c>
      <c r="J643" s="971">
        <v>15394</v>
      </c>
      <c r="K643" s="970">
        <v>9054</v>
      </c>
      <c r="L643" s="969">
        <v>4608</v>
      </c>
      <c r="M643" s="969"/>
      <c r="N643" s="970">
        <v>1795</v>
      </c>
      <c r="O643" s="970">
        <v>0</v>
      </c>
      <c r="P643" s="970">
        <v>0</v>
      </c>
      <c r="Q643" s="969">
        <v>5783</v>
      </c>
      <c r="R643" s="969"/>
      <c r="S643" s="970">
        <v>21366</v>
      </c>
      <c r="T643" s="972">
        <v>26</v>
      </c>
      <c r="U643" s="972">
        <v>21392</v>
      </c>
    </row>
    <row r="644" spans="1:21" x14ac:dyDescent="0.25">
      <c r="A644" s="966">
        <v>97018</v>
      </c>
      <c r="B644" s="967" t="s">
        <v>3258</v>
      </c>
      <c r="C644" s="968">
        <v>8.6000000000000007E-6</v>
      </c>
      <c r="D644" s="968">
        <v>9.3999999999999998E-6</v>
      </c>
      <c r="E644" s="1007">
        <v>8135</v>
      </c>
      <c r="F644" s="1010">
        <v>19950</v>
      </c>
      <c r="G644" s="969">
        <v>13138</v>
      </c>
      <c r="H644" s="969"/>
      <c r="I644" s="970">
        <v>757</v>
      </c>
      <c r="J644" s="971">
        <v>3190</v>
      </c>
      <c r="K644" s="970">
        <v>1876</v>
      </c>
      <c r="L644" s="969">
        <v>6833</v>
      </c>
      <c r="M644" s="969"/>
      <c r="N644" s="970">
        <v>372</v>
      </c>
      <c r="O644" s="970">
        <v>0</v>
      </c>
      <c r="P644" s="970">
        <v>0</v>
      </c>
      <c r="Q644" s="969">
        <v>0</v>
      </c>
      <c r="R644" s="969"/>
      <c r="S644" s="970">
        <v>4428</v>
      </c>
      <c r="T644" s="972">
        <v>2806</v>
      </c>
      <c r="U644" s="972">
        <v>7234</v>
      </c>
    </row>
    <row r="645" spans="1:21" x14ac:dyDescent="0.25">
      <c r="A645" s="966">
        <v>97101</v>
      </c>
      <c r="B645" s="967" t="s">
        <v>3259</v>
      </c>
      <c r="C645" s="968">
        <v>2.5790000000000001E-3</v>
      </c>
      <c r="D645" s="968">
        <v>2.6029E-3</v>
      </c>
      <c r="E645" s="1007">
        <v>1208500</v>
      </c>
      <c r="F645" s="1010">
        <v>5524226</v>
      </c>
      <c r="G645" s="969">
        <v>3939998</v>
      </c>
      <c r="H645" s="969"/>
      <c r="I645" s="970">
        <v>226980</v>
      </c>
      <c r="J645" s="971">
        <v>956636</v>
      </c>
      <c r="K645" s="970">
        <v>562686</v>
      </c>
      <c r="L645" s="969">
        <v>22549</v>
      </c>
      <c r="M645" s="969"/>
      <c r="N645" s="970">
        <v>111529</v>
      </c>
      <c r="O645" s="970">
        <v>0</v>
      </c>
      <c r="P645" s="970">
        <v>0</v>
      </c>
      <c r="Q645" s="969">
        <v>6937</v>
      </c>
      <c r="R645" s="969"/>
      <c r="S645" s="970">
        <v>1327783</v>
      </c>
      <c r="T645" s="972">
        <v>3541</v>
      </c>
      <c r="U645" s="972">
        <v>1331324</v>
      </c>
    </row>
    <row r="646" spans="1:21" x14ac:dyDescent="0.25">
      <c r="A646" s="966">
        <v>97104</v>
      </c>
      <c r="B646" s="967" t="s">
        <v>3260</v>
      </c>
      <c r="C646" s="968">
        <v>5.4299999999999998E-5</v>
      </c>
      <c r="D646" s="968">
        <v>5.6799999999999998E-5</v>
      </c>
      <c r="E646" s="1007">
        <v>29147</v>
      </c>
      <c r="F646" s="1010">
        <v>120549</v>
      </c>
      <c r="G646" s="969">
        <v>82955</v>
      </c>
      <c r="H646" s="969"/>
      <c r="I646" s="970">
        <v>4779</v>
      </c>
      <c r="J646" s="971">
        <v>20142</v>
      </c>
      <c r="K646" s="970">
        <v>11847</v>
      </c>
      <c r="L646" s="969">
        <v>11700</v>
      </c>
      <c r="M646" s="969"/>
      <c r="N646" s="970">
        <v>2348</v>
      </c>
      <c r="O646" s="970">
        <v>0</v>
      </c>
      <c r="P646" s="970">
        <v>0</v>
      </c>
      <c r="Q646" s="969">
        <v>0</v>
      </c>
      <c r="R646" s="969"/>
      <c r="S646" s="970">
        <v>27956</v>
      </c>
      <c r="T646" s="972">
        <v>6133</v>
      </c>
      <c r="U646" s="972">
        <v>34089</v>
      </c>
    </row>
    <row r="647" spans="1:21" x14ac:dyDescent="0.25">
      <c r="A647" s="966">
        <v>97111</v>
      </c>
      <c r="B647" s="967" t="s">
        <v>3261</v>
      </c>
      <c r="C647" s="968">
        <v>2.8200000000000002E-4</v>
      </c>
      <c r="D647" s="968">
        <v>2.7099999999999997E-4</v>
      </c>
      <c r="E647" s="1007">
        <v>108871</v>
      </c>
      <c r="F647" s="1010">
        <v>575153</v>
      </c>
      <c r="G647" s="969">
        <v>430818</v>
      </c>
      <c r="H647" s="969"/>
      <c r="I647" s="970">
        <v>24819</v>
      </c>
      <c r="J647" s="971">
        <v>104603</v>
      </c>
      <c r="K647" s="970">
        <v>61527</v>
      </c>
      <c r="L647" s="969">
        <v>7621</v>
      </c>
      <c r="M647" s="969"/>
      <c r="N647" s="970">
        <v>12195</v>
      </c>
      <c r="O647" s="970">
        <v>0</v>
      </c>
      <c r="P647" s="970">
        <v>0</v>
      </c>
      <c r="Q647" s="969">
        <v>20335</v>
      </c>
      <c r="R647" s="969"/>
      <c r="S647" s="970">
        <v>145186</v>
      </c>
      <c r="T647" s="972">
        <v>-1416</v>
      </c>
      <c r="U647" s="972">
        <v>143770</v>
      </c>
    </row>
    <row r="648" spans="1:21" x14ac:dyDescent="0.25">
      <c r="A648" s="966">
        <v>97121</v>
      </c>
      <c r="B648" s="967" t="s">
        <v>3262</v>
      </c>
      <c r="C648" s="968">
        <v>1.3640000000000001E-4</v>
      </c>
      <c r="D648" s="968">
        <v>1.2070000000000001E-4</v>
      </c>
      <c r="E648" s="1007">
        <v>66522</v>
      </c>
      <c r="F648" s="1010">
        <v>256166</v>
      </c>
      <c r="G648" s="969">
        <v>208381</v>
      </c>
      <c r="H648" s="969"/>
      <c r="I648" s="970">
        <v>12005</v>
      </c>
      <c r="J648" s="971">
        <v>50595</v>
      </c>
      <c r="K648" s="970">
        <v>29760</v>
      </c>
      <c r="L648" s="969">
        <v>13649</v>
      </c>
      <c r="M648" s="969"/>
      <c r="N648" s="970">
        <v>5899</v>
      </c>
      <c r="O648" s="970">
        <v>0</v>
      </c>
      <c r="P648" s="970">
        <v>0</v>
      </c>
      <c r="Q648" s="969">
        <v>10026</v>
      </c>
      <c r="R648" s="969"/>
      <c r="S648" s="970">
        <v>70225</v>
      </c>
      <c r="T648" s="972">
        <v>-1103</v>
      </c>
      <c r="U648" s="972">
        <v>69122</v>
      </c>
    </row>
    <row r="649" spans="1:21" x14ac:dyDescent="0.25">
      <c r="A649" s="966">
        <v>97131</v>
      </c>
      <c r="B649" s="967" t="s">
        <v>3263</v>
      </c>
      <c r="C649" s="968">
        <v>7.358E-4</v>
      </c>
      <c r="D649" s="968">
        <v>6.2969999999999996E-4</v>
      </c>
      <c r="E649" s="1007">
        <v>280483</v>
      </c>
      <c r="F649" s="1010">
        <v>1336434</v>
      </c>
      <c r="G649" s="969">
        <v>1124099</v>
      </c>
      <c r="H649" s="969"/>
      <c r="I649" s="970">
        <v>64758</v>
      </c>
      <c r="J649" s="971">
        <v>272933</v>
      </c>
      <c r="K649" s="970">
        <v>160537</v>
      </c>
      <c r="L649" s="969">
        <v>29703</v>
      </c>
      <c r="M649" s="969"/>
      <c r="N649" s="970">
        <v>31820</v>
      </c>
      <c r="O649" s="970">
        <v>0</v>
      </c>
      <c r="P649" s="970">
        <v>0</v>
      </c>
      <c r="Q649" s="969">
        <v>2383</v>
      </c>
      <c r="R649" s="969"/>
      <c r="S649" s="970">
        <v>378822</v>
      </c>
      <c r="T649" s="972">
        <v>7857</v>
      </c>
      <c r="U649" s="972">
        <v>386679</v>
      </c>
    </row>
    <row r="650" spans="1:21" x14ac:dyDescent="0.25">
      <c r="A650" s="966">
        <v>97201</v>
      </c>
      <c r="B650" s="967" t="s">
        <v>3264</v>
      </c>
      <c r="C650" s="968">
        <v>5.2689999999999996E-4</v>
      </c>
      <c r="D650" s="968">
        <v>4.9439999999999998E-4</v>
      </c>
      <c r="E650" s="1007">
        <v>248232</v>
      </c>
      <c r="F650" s="1010">
        <v>1049282</v>
      </c>
      <c r="G650" s="969">
        <v>804957</v>
      </c>
      <c r="H650" s="969"/>
      <c r="I650" s="970">
        <v>46373</v>
      </c>
      <c r="J650" s="971">
        <v>195445</v>
      </c>
      <c r="K650" s="970">
        <v>114959</v>
      </c>
      <c r="L650" s="969">
        <v>43529</v>
      </c>
      <c r="M650" s="969"/>
      <c r="N650" s="970">
        <v>22786</v>
      </c>
      <c r="O650" s="970">
        <v>0</v>
      </c>
      <c r="P650" s="970">
        <v>0</v>
      </c>
      <c r="Q650" s="969">
        <v>1877</v>
      </c>
      <c r="R650" s="969"/>
      <c r="S650" s="970">
        <v>271271</v>
      </c>
      <c r="T650" s="972">
        <v>10950</v>
      </c>
      <c r="U650" s="972">
        <f>282222-1</f>
        <v>282221</v>
      </c>
    </row>
    <row r="651" spans="1:21" x14ac:dyDescent="0.25">
      <c r="A651" s="966">
        <v>97211</v>
      </c>
      <c r="B651" s="967" t="s">
        <v>3265</v>
      </c>
      <c r="C651" s="968">
        <v>1.5980000000000001E-4</v>
      </c>
      <c r="D651" s="968">
        <v>1.4119999999999999E-4</v>
      </c>
      <c r="E651" s="1007">
        <v>74902</v>
      </c>
      <c r="F651" s="1010">
        <v>299674</v>
      </c>
      <c r="G651" s="969">
        <v>244130</v>
      </c>
      <c r="H651" s="969"/>
      <c r="I651" s="970">
        <v>14064</v>
      </c>
      <c r="J651" s="971">
        <v>59275</v>
      </c>
      <c r="K651" s="970">
        <v>34865</v>
      </c>
      <c r="L651" s="969">
        <v>16009</v>
      </c>
      <c r="M651" s="969"/>
      <c r="N651" s="970">
        <v>6911</v>
      </c>
      <c r="O651" s="970">
        <v>0</v>
      </c>
      <c r="P651" s="970">
        <v>0</v>
      </c>
      <c r="Q651" s="969">
        <v>12120</v>
      </c>
      <c r="R651" s="969"/>
      <c r="S651" s="970">
        <v>82272</v>
      </c>
      <c r="T651" s="972">
        <v>347</v>
      </c>
      <c r="U651" s="972">
        <v>82619</v>
      </c>
    </row>
    <row r="652" spans="1:21" x14ac:dyDescent="0.25">
      <c r="A652" s="966">
        <v>97213</v>
      </c>
      <c r="B652" s="967" t="s">
        <v>3266</v>
      </c>
      <c r="C652" s="968">
        <v>3.9100000000000002E-5</v>
      </c>
      <c r="D652" s="968">
        <v>3.8300000000000003E-5</v>
      </c>
      <c r="E652" s="1007">
        <v>24680</v>
      </c>
      <c r="F652" s="1010">
        <v>81285</v>
      </c>
      <c r="G652" s="969">
        <v>59734</v>
      </c>
      <c r="H652" s="969"/>
      <c r="I652" s="970">
        <v>3441</v>
      </c>
      <c r="J652" s="971">
        <v>14504</v>
      </c>
      <c r="K652" s="970">
        <v>8531</v>
      </c>
      <c r="L652" s="969">
        <v>6715</v>
      </c>
      <c r="M652" s="969"/>
      <c r="N652" s="970">
        <v>1691</v>
      </c>
      <c r="O652" s="970">
        <v>0</v>
      </c>
      <c r="P652" s="970">
        <v>0</v>
      </c>
      <c r="Q652" s="969">
        <v>495</v>
      </c>
      <c r="R652" s="969"/>
      <c r="S652" s="970">
        <v>20130</v>
      </c>
      <c r="T652" s="972">
        <v>2057</v>
      </c>
      <c r="U652" s="972">
        <v>22187</v>
      </c>
    </row>
    <row r="653" spans="1:21" x14ac:dyDescent="0.25">
      <c r="A653" s="966">
        <v>97217</v>
      </c>
      <c r="B653" s="967" t="s">
        <v>3267</v>
      </c>
      <c r="C653" s="968">
        <v>4.6E-6</v>
      </c>
      <c r="D653" s="968">
        <v>4.8999999999999997E-6</v>
      </c>
      <c r="E653" s="1007">
        <v>6890</v>
      </c>
      <c r="F653" s="1010">
        <v>10399</v>
      </c>
      <c r="G653" s="969">
        <v>7028</v>
      </c>
      <c r="H653" s="969"/>
      <c r="I653" s="970">
        <v>405</v>
      </c>
      <c r="J653" s="971">
        <v>1706</v>
      </c>
      <c r="K653" s="970">
        <v>1004</v>
      </c>
      <c r="L653" s="969">
        <v>8215</v>
      </c>
      <c r="M653" s="969"/>
      <c r="N653" s="970">
        <v>199</v>
      </c>
      <c r="O653" s="970">
        <v>0</v>
      </c>
      <c r="P653" s="970">
        <v>0</v>
      </c>
      <c r="Q653" s="969">
        <v>0</v>
      </c>
      <c r="R653" s="969"/>
      <c r="S653" s="970">
        <v>2368</v>
      </c>
      <c r="T653" s="972">
        <v>3286</v>
      </c>
      <c r="U653" s="972">
        <v>5654</v>
      </c>
    </row>
    <row r="654" spans="1:21" x14ac:dyDescent="0.25">
      <c r="A654" s="966">
        <v>97221</v>
      </c>
      <c r="B654" s="967" t="s">
        <v>3268</v>
      </c>
      <c r="C654" s="968">
        <v>7.1999999999999997E-6</v>
      </c>
      <c r="D654" s="968">
        <v>6.1999999999999999E-6</v>
      </c>
      <c r="E654" s="1007">
        <v>7778</v>
      </c>
      <c r="F654" s="1010">
        <v>13158</v>
      </c>
      <c r="G654" s="969">
        <v>11000</v>
      </c>
      <c r="H654" s="969"/>
      <c r="I654" s="970">
        <v>634</v>
      </c>
      <c r="J654" s="971">
        <v>2670</v>
      </c>
      <c r="K654" s="970">
        <v>1571</v>
      </c>
      <c r="L654" s="969">
        <v>8086</v>
      </c>
      <c r="M654" s="969"/>
      <c r="N654" s="970">
        <v>311</v>
      </c>
      <c r="O654" s="970">
        <v>0</v>
      </c>
      <c r="P654" s="970">
        <v>0</v>
      </c>
      <c r="Q654" s="969">
        <v>0</v>
      </c>
      <c r="R654" s="969"/>
      <c r="S654" s="970">
        <v>3707</v>
      </c>
      <c r="T654" s="972">
        <v>3119</v>
      </c>
      <c r="U654" s="972">
        <v>6826</v>
      </c>
    </row>
    <row r="655" spans="1:21" x14ac:dyDescent="0.25">
      <c r="A655" s="966">
        <v>97301</v>
      </c>
      <c r="B655" s="967" t="s">
        <v>3269</v>
      </c>
      <c r="C655" s="968">
        <v>2.5135999999999999E-3</v>
      </c>
      <c r="D655" s="968">
        <v>2.5742E-3</v>
      </c>
      <c r="E655" s="1007">
        <v>1186932</v>
      </c>
      <c r="F655" s="1010">
        <v>5463315</v>
      </c>
      <c r="G655" s="969">
        <v>3840085</v>
      </c>
      <c r="H655" s="969"/>
      <c r="I655" s="970">
        <v>221224</v>
      </c>
      <c r="J655" s="971">
        <v>932377</v>
      </c>
      <c r="K655" s="970">
        <v>548417</v>
      </c>
      <c r="L655" s="969">
        <v>23710</v>
      </c>
      <c r="M655" s="969"/>
      <c r="N655" s="970">
        <v>108701</v>
      </c>
      <c r="O655" s="970">
        <v>0</v>
      </c>
      <c r="P655" s="970">
        <v>0</v>
      </c>
      <c r="Q655" s="969">
        <v>56463</v>
      </c>
      <c r="R655" s="969"/>
      <c r="S655" s="970">
        <v>1294112</v>
      </c>
      <c r="T655" s="972">
        <v>-10667</v>
      </c>
      <c r="U655" s="972">
        <v>1283445</v>
      </c>
    </row>
    <row r="656" spans="1:21" x14ac:dyDescent="0.25">
      <c r="A656" s="966">
        <v>97304</v>
      </c>
      <c r="B656" s="967" t="s">
        <v>3270</v>
      </c>
      <c r="C656" s="968">
        <v>1.6799999999999998E-5</v>
      </c>
      <c r="D656" s="968">
        <v>1.7600000000000001E-5</v>
      </c>
      <c r="E656" s="1007">
        <v>13382</v>
      </c>
      <c r="F656" s="1010">
        <v>37353</v>
      </c>
      <c r="G656" s="969">
        <v>25666</v>
      </c>
      <c r="H656" s="969"/>
      <c r="I656" s="970">
        <v>1479</v>
      </c>
      <c r="J656" s="971">
        <v>6232</v>
      </c>
      <c r="K656" s="970">
        <v>3665</v>
      </c>
      <c r="L656" s="969">
        <v>8739</v>
      </c>
      <c r="M656" s="969"/>
      <c r="N656" s="970">
        <v>727</v>
      </c>
      <c r="O656" s="970">
        <v>0</v>
      </c>
      <c r="P656" s="970">
        <v>0</v>
      </c>
      <c r="Q656" s="969">
        <v>0</v>
      </c>
      <c r="R656" s="969"/>
      <c r="S656" s="970">
        <v>8649</v>
      </c>
      <c r="T656" s="972">
        <v>3503</v>
      </c>
      <c r="U656" s="972">
        <f>12153-1</f>
        <v>12152</v>
      </c>
    </row>
    <row r="657" spans="1:21" x14ac:dyDescent="0.25">
      <c r="A657" s="966">
        <v>97311</v>
      </c>
      <c r="B657" s="967" t="s">
        <v>3271</v>
      </c>
      <c r="C657" s="968">
        <v>9.1799999999999998E-4</v>
      </c>
      <c r="D657" s="968">
        <v>9.5E-4</v>
      </c>
      <c r="E657" s="1007">
        <v>407124</v>
      </c>
      <c r="F657" s="1010">
        <v>2016218</v>
      </c>
      <c r="G657" s="969">
        <v>1402450</v>
      </c>
      <c r="H657" s="969"/>
      <c r="I657" s="970">
        <v>80794</v>
      </c>
      <c r="J657" s="971">
        <v>340516</v>
      </c>
      <c r="K657" s="970">
        <v>200289</v>
      </c>
      <c r="L657" s="969">
        <v>0</v>
      </c>
      <c r="M657" s="969"/>
      <c r="N657" s="970">
        <v>39699</v>
      </c>
      <c r="O657" s="970">
        <v>0</v>
      </c>
      <c r="P657" s="970">
        <v>0</v>
      </c>
      <c r="Q657" s="969">
        <v>96844</v>
      </c>
      <c r="R657" s="969"/>
      <c r="S657" s="970">
        <v>472627</v>
      </c>
      <c r="T657" s="972">
        <v>-42048</v>
      </c>
      <c r="U657" s="972">
        <v>430579</v>
      </c>
    </row>
    <row r="658" spans="1:21" x14ac:dyDescent="0.25">
      <c r="A658" s="966">
        <v>97401</v>
      </c>
      <c r="B658" s="967" t="s">
        <v>3272</v>
      </c>
      <c r="C658" s="968">
        <v>7.1303E-3</v>
      </c>
      <c r="D658" s="968">
        <v>6.9633000000000004E-3</v>
      </c>
      <c r="E658" s="1007">
        <v>3322669</v>
      </c>
      <c r="F658" s="1010">
        <v>14778455</v>
      </c>
      <c r="G658" s="969">
        <v>10893123</v>
      </c>
      <c r="H658" s="969"/>
      <c r="I658" s="970">
        <v>627545</v>
      </c>
      <c r="J658" s="971">
        <v>2644864</v>
      </c>
      <c r="K658" s="970">
        <v>1555689</v>
      </c>
      <c r="L658" s="969">
        <v>151378</v>
      </c>
      <c r="M658" s="969"/>
      <c r="N658" s="970">
        <v>308350</v>
      </c>
      <c r="O658" s="970">
        <v>0</v>
      </c>
      <c r="P658" s="970">
        <v>0</v>
      </c>
      <c r="Q658" s="969">
        <v>83194</v>
      </c>
      <c r="R658" s="969"/>
      <c r="S658" s="970">
        <v>3670992</v>
      </c>
      <c r="T658" s="972">
        <v>-21617</v>
      </c>
      <c r="U658" s="972">
        <v>3649375</v>
      </c>
    </row>
    <row r="659" spans="1:21" x14ac:dyDescent="0.25">
      <c r="A659" s="966">
        <v>97402</v>
      </c>
      <c r="B659" s="967" t="s">
        <v>3273</v>
      </c>
      <c r="C659" s="968">
        <v>4.8000000000000001E-5</v>
      </c>
      <c r="D659" s="968">
        <v>4.4700000000000002E-5</v>
      </c>
      <c r="E659" s="1007">
        <v>25207</v>
      </c>
      <c r="F659" s="1010">
        <v>94868</v>
      </c>
      <c r="G659" s="969">
        <v>73331</v>
      </c>
      <c r="H659" s="969"/>
      <c r="I659" s="970">
        <v>4225</v>
      </c>
      <c r="J659" s="971">
        <v>17804</v>
      </c>
      <c r="K659" s="970">
        <v>10473</v>
      </c>
      <c r="L659" s="969">
        <v>15704</v>
      </c>
      <c r="M659" s="969"/>
      <c r="N659" s="970">
        <v>2076</v>
      </c>
      <c r="O659" s="970">
        <v>0</v>
      </c>
      <c r="P659" s="970">
        <v>0</v>
      </c>
      <c r="Q659" s="969">
        <v>0</v>
      </c>
      <c r="R659" s="969"/>
      <c r="S659" s="970">
        <v>24713</v>
      </c>
      <c r="T659" s="972">
        <v>5283</v>
      </c>
      <c r="U659" s="972">
        <f>29995+1</f>
        <v>29996</v>
      </c>
    </row>
    <row r="660" spans="1:21" x14ac:dyDescent="0.25">
      <c r="A660" s="966">
        <v>97404</v>
      </c>
      <c r="B660" s="967" t="s">
        <v>3274</v>
      </c>
      <c r="C660" s="968">
        <v>2.1010000000000001E-4</v>
      </c>
      <c r="D660" s="968">
        <v>2.1049999999999999E-4</v>
      </c>
      <c r="E660" s="1007">
        <v>84649</v>
      </c>
      <c r="F660" s="1010">
        <v>446752</v>
      </c>
      <c r="G660" s="969">
        <v>320975</v>
      </c>
      <c r="H660" s="969"/>
      <c r="I660" s="970">
        <v>18491</v>
      </c>
      <c r="J660" s="971">
        <v>77933</v>
      </c>
      <c r="K660" s="970">
        <v>45840</v>
      </c>
      <c r="L660" s="969">
        <v>983</v>
      </c>
      <c r="M660" s="969"/>
      <c r="N660" s="970">
        <v>9086</v>
      </c>
      <c r="O660" s="970">
        <v>0</v>
      </c>
      <c r="P660" s="970">
        <v>0</v>
      </c>
      <c r="Q660" s="969">
        <v>21173</v>
      </c>
      <c r="R660" s="969"/>
      <c r="S660" s="970">
        <v>108169</v>
      </c>
      <c r="T660" s="972">
        <v>-6084</v>
      </c>
      <c r="U660" s="972">
        <f>102084+1</f>
        <v>102085</v>
      </c>
    </row>
    <row r="661" spans="1:21" x14ac:dyDescent="0.25">
      <c r="A661" s="966">
        <v>97405</v>
      </c>
      <c r="B661" s="967" t="s">
        <v>3275</v>
      </c>
      <c r="C661" s="968">
        <v>1.091E-4</v>
      </c>
      <c r="D661" s="968">
        <v>1.087E-4</v>
      </c>
      <c r="E661" s="1007">
        <v>65706</v>
      </c>
      <c r="F661" s="1010">
        <v>230698</v>
      </c>
      <c r="G661" s="969">
        <v>166675</v>
      </c>
      <c r="H661" s="969"/>
      <c r="I661" s="970">
        <v>9602</v>
      </c>
      <c r="J661" s="971">
        <v>40468</v>
      </c>
      <c r="K661" s="970">
        <v>23803</v>
      </c>
      <c r="L661" s="969">
        <v>26973</v>
      </c>
      <c r="M661" s="969"/>
      <c r="N661" s="970">
        <v>4718</v>
      </c>
      <c r="O661" s="970">
        <v>0</v>
      </c>
      <c r="P661" s="970">
        <v>0</v>
      </c>
      <c r="Q661" s="969">
        <v>4890</v>
      </c>
      <c r="R661" s="969"/>
      <c r="S661" s="970">
        <v>56169</v>
      </c>
      <c r="T661" s="972">
        <v>4747</v>
      </c>
      <c r="U661" s="972">
        <v>60916</v>
      </c>
    </row>
    <row r="662" spans="1:21" x14ac:dyDescent="0.25">
      <c r="A662" s="966">
        <v>97408</v>
      </c>
      <c r="B662" s="967" t="s">
        <v>3276</v>
      </c>
      <c r="C662" s="968">
        <v>4.4499999999999997E-5</v>
      </c>
      <c r="D662" s="968">
        <v>4.9299999999999999E-5</v>
      </c>
      <c r="E662" s="1007">
        <v>27499</v>
      </c>
      <c r="F662" s="1010">
        <v>104631</v>
      </c>
      <c r="G662" s="969">
        <v>67984</v>
      </c>
      <c r="H662" s="969"/>
      <c r="I662" s="970">
        <v>3916</v>
      </c>
      <c r="J662" s="971">
        <v>16507</v>
      </c>
      <c r="K662" s="970">
        <v>9709</v>
      </c>
      <c r="L662" s="969">
        <v>7648</v>
      </c>
      <c r="M662" s="969"/>
      <c r="N662" s="970">
        <v>1924</v>
      </c>
      <c r="O662" s="970">
        <v>0</v>
      </c>
      <c r="P662" s="970">
        <v>0</v>
      </c>
      <c r="Q662" s="969">
        <v>0</v>
      </c>
      <c r="R662" s="969"/>
      <c r="S662" s="970">
        <v>22911</v>
      </c>
      <c r="T662" s="972">
        <v>2984</v>
      </c>
      <c r="U662" s="972">
        <v>25895</v>
      </c>
    </row>
    <row r="663" spans="1:21" x14ac:dyDescent="0.25">
      <c r="A663" s="966">
        <v>97411</v>
      </c>
      <c r="B663" s="967" t="s">
        <v>3277</v>
      </c>
      <c r="C663" s="968">
        <v>6.6379000000000004E-3</v>
      </c>
      <c r="D663" s="968">
        <v>6.7269000000000001E-3</v>
      </c>
      <c r="E663" s="1007">
        <v>2979173</v>
      </c>
      <c r="F663" s="1010">
        <v>14276735</v>
      </c>
      <c r="G663" s="969">
        <v>10140873</v>
      </c>
      <c r="H663" s="969"/>
      <c r="I663" s="970">
        <v>584208</v>
      </c>
      <c r="J663" s="971">
        <v>2462217</v>
      </c>
      <c r="K663" s="970">
        <v>1448257</v>
      </c>
      <c r="L663" s="969">
        <v>0</v>
      </c>
      <c r="M663" s="969"/>
      <c r="N663" s="970">
        <v>287056</v>
      </c>
      <c r="O663" s="970">
        <v>0</v>
      </c>
      <c r="P663" s="970">
        <v>0</v>
      </c>
      <c r="Q663" s="969">
        <v>679489</v>
      </c>
      <c r="R663" s="969"/>
      <c r="S663" s="970">
        <v>3417483</v>
      </c>
      <c r="T663" s="972">
        <v>-317873</v>
      </c>
      <c r="U663" s="972">
        <v>3099610</v>
      </c>
    </row>
    <row r="664" spans="1:21" x14ac:dyDescent="0.25">
      <c r="A664" s="966">
        <v>97412</v>
      </c>
      <c r="B664" s="967" t="s">
        <v>3278</v>
      </c>
      <c r="C664" s="968">
        <v>4.5082000000000004E-3</v>
      </c>
      <c r="D664" s="968">
        <v>4.424E-3</v>
      </c>
      <c r="E664" s="1007">
        <v>2155644</v>
      </c>
      <c r="F664" s="1010">
        <v>9389210</v>
      </c>
      <c r="G664" s="969">
        <v>6887281</v>
      </c>
      <c r="H664" s="969"/>
      <c r="I664" s="970">
        <v>396771</v>
      </c>
      <c r="J664" s="971">
        <v>1672240</v>
      </c>
      <c r="K664" s="970">
        <v>983599</v>
      </c>
      <c r="L664" s="969">
        <v>229685</v>
      </c>
      <c r="M664" s="969"/>
      <c r="N664" s="970">
        <v>194957</v>
      </c>
      <c r="O664" s="970">
        <v>0</v>
      </c>
      <c r="P664" s="970">
        <v>0</v>
      </c>
      <c r="Q664" s="969">
        <v>0</v>
      </c>
      <c r="R664" s="969"/>
      <c r="S664" s="970">
        <v>2321020</v>
      </c>
      <c r="T664" s="972">
        <v>85525</v>
      </c>
      <c r="U664" s="972">
        <v>2406545</v>
      </c>
    </row>
    <row r="665" spans="1:21" x14ac:dyDescent="0.25">
      <c r="A665" s="966">
        <v>97413</v>
      </c>
      <c r="B665" s="967" t="s">
        <v>3279</v>
      </c>
      <c r="C665" s="968">
        <v>2.6570000000000001E-4</v>
      </c>
      <c r="D665" s="968">
        <v>2.7910000000000001E-4</v>
      </c>
      <c r="E665" s="1007">
        <v>140809</v>
      </c>
      <c r="F665" s="1010">
        <v>592344</v>
      </c>
      <c r="G665" s="969">
        <v>405916</v>
      </c>
      <c r="H665" s="969"/>
      <c r="I665" s="970">
        <v>23385</v>
      </c>
      <c r="J665" s="971">
        <v>98557</v>
      </c>
      <c r="K665" s="970">
        <v>57970</v>
      </c>
      <c r="L665" s="969">
        <v>7437</v>
      </c>
      <c r="M665" s="969"/>
      <c r="N665" s="970">
        <v>11490</v>
      </c>
      <c r="O665" s="970">
        <v>0</v>
      </c>
      <c r="P665" s="970">
        <v>0</v>
      </c>
      <c r="Q665" s="969">
        <v>5304</v>
      </c>
      <c r="R665" s="969"/>
      <c r="S665" s="970">
        <v>136794</v>
      </c>
      <c r="T665" s="972">
        <v>-2913</v>
      </c>
      <c r="U665" s="972">
        <v>133881</v>
      </c>
    </row>
    <row r="666" spans="1:21" x14ac:dyDescent="0.25">
      <c r="A666" s="966">
        <v>97421</v>
      </c>
      <c r="B666" s="967" t="s">
        <v>3280</v>
      </c>
      <c r="C666" s="968">
        <v>4.2890000000000002E-4</v>
      </c>
      <c r="D666" s="968">
        <v>4.1120000000000002E-4</v>
      </c>
      <c r="E666" s="1007">
        <v>192261</v>
      </c>
      <c r="F666" s="1010">
        <v>872704</v>
      </c>
      <c r="G666" s="969">
        <v>655240</v>
      </c>
      <c r="H666" s="969"/>
      <c r="I666" s="970">
        <v>37748</v>
      </c>
      <c r="J666" s="971">
        <v>159093</v>
      </c>
      <c r="K666" s="970">
        <v>93577</v>
      </c>
      <c r="L666" s="969">
        <v>8155</v>
      </c>
      <c r="M666" s="969"/>
      <c r="N666" s="970">
        <v>18548</v>
      </c>
      <c r="O666" s="970">
        <v>0</v>
      </c>
      <c r="P666" s="970">
        <v>0</v>
      </c>
      <c r="Q666" s="969">
        <v>24127</v>
      </c>
      <c r="R666" s="969"/>
      <c r="S666" s="970">
        <v>220817</v>
      </c>
      <c r="T666" s="972">
        <v>-14066</v>
      </c>
      <c r="U666" s="972">
        <v>206751</v>
      </c>
    </row>
    <row r="667" spans="1:21" x14ac:dyDescent="0.25">
      <c r="A667" s="966">
        <v>97423</v>
      </c>
      <c r="B667" s="967" t="s">
        <v>3281</v>
      </c>
      <c r="C667" s="968">
        <v>4.3600000000000003E-5</v>
      </c>
      <c r="D667" s="968">
        <v>4.5800000000000002E-5</v>
      </c>
      <c r="E667" s="1007">
        <v>42976</v>
      </c>
      <c r="F667" s="1010">
        <v>97203</v>
      </c>
      <c r="G667" s="969">
        <v>66609</v>
      </c>
      <c r="H667" s="969"/>
      <c r="I667" s="970">
        <v>3837</v>
      </c>
      <c r="J667" s="971">
        <v>16173</v>
      </c>
      <c r="K667" s="970">
        <v>9513</v>
      </c>
      <c r="L667" s="969">
        <v>35421</v>
      </c>
      <c r="M667" s="969"/>
      <c r="N667" s="970">
        <v>1885</v>
      </c>
      <c r="O667" s="970">
        <v>0</v>
      </c>
      <c r="P667" s="970">
        <v>0</v>
      </c>
      <c r="Q667" s="969">
        <v>0</v>
      </c>
      <c r="R667" s="969"/>
      <c r="S667" s="970">
        <v>22447</v>
      </c>
      <c r="T667" s="972">
        <v>12225</v>
      </c>
      <c r="U667" s="972">
        <v>34672</v>
      </c>
    </row>
    <row r="668" spans="1:21" x14ac:dyDescent="0.25">
      <c r="A668" s="966">
        <v>97431</v>
      </c>
      <c r="B668" s="967" t="s">
        <v>3282</v>
      </c>
      <c r="C668" s="968">
        <v>8.5599999999999994E-5</v>
      </c>
      <c r="D668" s="968">
        <v>8.5199999999999997E-5</v>
      </c>
      <c r="E668" s="1007">
        <v>44546</v>
      </c>
      <c r="F668" s="1010">
        <v>180823</v>
      </c>
      <c r="G668" s="969">
        <v>130773</v>
      </c>
      <c r="H668" s="969"/>
      <c r="I668" s="970">
        <v>7534</v>
      </c>
      <c r="J668" s="971">
        <v>31751</v>
      </c>
      <c r="K668" s="970">
        <v>18676</v>
      </c>
      <c r="L668" s="969">
        <v>6440</v>
      </c>
      <c r="M668" s="969"/>
      <c r="N668" s="970">
        <v>3702</v>
      </c>
      <c r="O668" s="970">
        <v>0</v>
      </c>
      <c r="P668" s="970">
        <v>0</v>
      </c>
      <c r="Q668" s="969">
        <v>0</v>
      </c>
      <c r="R668" s="969"/>
      <c r="S668" s="970">
        <v>44071</v>
      </c>
      <c r="T668" s="972">
        <v>2026</v>
      </c>
      <c r="U668" s="972">
        <v>46097</v>
      </c>
    </row>
    <row r="669" spans="1:21" x14ac:dyDescent="0.25">
      <c r="A669" s="966">
        <v>97441</v>
      </c>
      <c r="B669" s="967" t="s">
        <v>3283</v>
      </c>
      <c r="C669" s="968">
        <v>7.5799999999999999E-5</v>
      </c>
      <c r="D669" s="968">
        <v>7.0500000000000006E-5</v>
      </c>
      <c r="E669" s="1007">
        <v>25244</v>
      </c>
      <c r="F669" s="1010">
        <v>149625</v>
      </c>
      <c r="G669" s="969">
        <v>115801</v>
      </c>
      <c r="H669" s="969"/>
      <c r="I669" s="970">
        <v>6671</v>
      </c>
      <c r="J669" s="971">
        <v>28117</v>
      </c>
      <c r="K669" s="970">
        <v>16538</v>
      </c>
      <c r="L669" s="969">
        <v>202</v>
      </c>
      <c r="M669" s="969"/>
      <c r="N669" s="970">
        <v>3278</v>
      </c>
      <c r="O669" s="970">
        <v>0</v>
      </c>
      <c r="P669" s="970">
        <v>0</v>
      </c>
      <c r="Q669" s="969">
        <v>7671</v>
      </c>
      <c r="R669" s="969"/>
      <c r="S669" s="970">
        <v>39025</v>
      </c>
      <c r="T669" s="972">
        <v>-2235</v>
      </c>
      <c r="U669" s="972">
        <v>36790</v>
      </c>
    </row>
    <row r="670" spans="1:21" x14ac:dyDescent="0.25">
      <c r="A670" s="966">
        <v>97451</v>
      </c>
      <c r="B670" s="967" t="s">
        <v>3284</v>
      </c>
      <c r="C670" s="968">
        <v>5.5820000000000002E-4</v>
      </c>
      <c r="D670" s="968">
        <v>6.1039999999999998E-4</v>
      </c>
      <c r="E670" s="1007">
        <v>245214</v>
      </c>
      <c r="F670" s="1010">
        <v>1295473</v>
      </c>
      <c r="G670" s="969">
        <v>852775</v>
      </c>
      <c r="H670" s="969"/>
      <c r="I670" s="970">
        <v>49128</v>
      </c>
      <c r="J670" s="971">
        <v>207055</v>
      </c>
      <c r="K670" s="970">
        <v>121788</v>
      </c>
      <c r="L670" s="969">
        <v>19770</v>
      </c>
      <c r="M670" s="969"/>
      <c r="N670" s="970">
        <v>24139</v>
      </c>
      <c r="O670" s="970">
        <v>0</v>
      </c>
      <c r="P670" s="970">
        <v>0</v>
      </c>
      <c r="Q670" s="969">
        <v>47630</v>
      </c>
      <c r="R670" s="969"/>
      <c r="S670" s="970">
        <v>287386</v>
      </c>
      <c r="T670" s="972">
        <v>-2772</v>
      </c>
      <c r="U670" s="972">
        <v>284614</v>
      </c>
    </row>
    <row r="671" spans="1:21" x14ac:dyDescent="0.25">
      <c r="A671" s="966">
        <v>97461</v>
      </c>
      <c r="B671" s="967" t="s">
        <v>3285</v>
      </c>
      <c r="C671" s="968">
        <v>5.5650000000000003E-4</v>
      </c>
      <c r="D671" s="968">
        <v>5.1869999999999998E-4</v>
      </c>
      <c r="E671" s="1007">
        <v>228350</v>
      </c>
      <c r="F671" s="1010">
        <v>1100855</v>
      </c>
      <c r="G671" s="969">
        <v>850178</v>
      </c>
      <c r="H671" s="969"/>
      <c r="I671" s="970">
        <v>48978</v>
      </c>
      <c r="J671" s="971">
        <v>206424</v>
      </c>
      <c r="K671" s="970">
        <v>121417</v>
      </c>
      <c r="L671" s="969">
        <v>5855</v>
      </c>
      <c r="M671" s="969"/>
      <c r="N671" s="970">
        <v>24066</v>
      </c>
      <c r="O671" s="970">
        <v>0</v>
      </c>
      <c r="P671" s="970">
        <v>0</v>
      </c>
      <c r="Q671" s="969">
        <v>31609</v>
      </c>
      <c r="R671" s="969"/>
      <c r="S671" s="970">
        <v>286511</v>
      </c>
      <c r="T671" s="972">
        <v>-11321</v>
      </c>
      <c r="U671" s="972">
        <v>275190</v>
      </c>
    </row>
    <row r="672" spans="1:21" x14ac:dyDescent="0.25">
      <c r="A672" s="966">
        <v>97463</v>
      </c>
      <c r="B672" s="967" t="s">
        <v>3286</v>
      </c>
      <c r="C672" s="968">
        <v>4.1100000000000003E-5</v>
      </c>
      <c r="D672" s="968">
        <v>5.0099999999999998E-5</v>
      </c>
      <c r="E672" s="1007">
        <v>16312</v>
      </c>
      <c r="F672" s="1010">
        <v>106329</v>
      </c>
      <c r="G672" s="969">
        <v>62789</v>
      </c>
      <c r="H672" s="969"/>
      <c r="I672" s="970">
        <v>3617</v>
      </c>
      <c r="J672" s="971">
        <v>15246</v>
      </c>
      <c r="K672" s="970">
        <v>8967</v>
      </c>
      <c r="L672" s="969">
        <v>1420</v>
      </c>
      <c r="M672" s="969"/>
      <c r="N672" s="970">
        <v>1777</v>
      </c>
      <c r="O672" s="970">
        <v>0</v>
      </c>
      <c r="P672" s="970">
        <v>0</v>
      </c>
      <c r="Q672" s="969">
        <v>12499</v>
      </c>
      <c r="R672" s="969"/>
      <c r="S672" s="970">
        <v>21160</v>
      </c>
      <c r="T672" s="972">
        <v>-2447</v>
      </c>
      <c r="U672" s="972">
        <v>18713</v>
      </c>
    </row>
    <row r="673" spans="1:21" x14ac:dyDescent="0.25">
      <c r="A673" s="966">
        <v>97471</v>
      </c>
      <c r="B673" s="967" t="s">
        <v>3287</v>
      </c>
      <c r="C673" s="968">
        <v>1.22E-5</v>
      </c>
      <c r="D673" s="968">
        <v>1.27E-5</v>
      </c>
      <c r="E673" s="1007">
        <v>10247</v>
      </c>
      <c r="F673" s="1010">
        <v>26954</v>
      </c>
      <c r="G673" s="969">
        <v>18638</v>
      </c>
      <c r="H673" s="969"/>
      <c r="I673" s="970">
        <v>1074</v>
      </c>
      <c r="J673" s="971">
        <v>4526</v>
      </c>
      <c r="K673" s="970">
        <v>2662</v>
      </c>
      <c r="L673" s="969">
        <v>6770</v>
      </c>
      <c r="M673" s="969"/>
      <c r="N673" s="970">
        <v>528</v>
      </c>
      <c r="O673" s="970">
        <v>0</v>
      </c>
      <c r="P673" s="970">
        <v>0</v>
      </c>
      <c r="Q673" s="969">
        <v>0</v>
      </c>
      <c r="R673" s="969"/>
      <c r="S673" s="970">
        <v>6281</v>
      </c>
      <c r="T673" s="972">
        <v>2621</v>
      </c>
      <c r="U673" s="972">
        <v>8902</v>
      </c>
    </row>
    <row r="674" spans="1:21" x14ac:dyDescent="0.25">
      <c r="A674" s="966">
        <v>97481</v>
      </c>
      <c r="B674" s="967" t="s">
        <v>3288</v>
      </c>
      <c r="C674" s="968">
        <v>9.9000000000000001E-6</v>
      </c>
      <c r="D674" s="968">
        <v>1.63E-5</v>
      </c>
      <c r="E674" s="1007">
        <v>6015</v>
      </c>
      <c r="F674" s="1010">
        <v>34594</v>
      </c>
      <c r="G674" s="969">
        <v>15124</v>
      </c>
      <c r="H674" s="969"/>
      <c r="I674" s="970">
        <v>871</v>
      </c>
      <c r="J674" s="971">
        <v>3672</v>
      </c>
      <c r="K674" s="970">
        <v>2160</v>
      </c>
      <c r="L674" s="969">
        <v>3592</v>
      </c>
      <c r="M674" s="969"/>
      <c r="N674" s="970">
        <v>428</v>
      </c>
      <c r="O674" s="970">
        <v>0</v>
      </c>
      <c r="P674" s="970">
        <v>0</v>
      </c>
      <c r="Q674" s="969">
        <v>3115</v>
      </c>
      <c r="R674" s="969"/>
      <c r="S674" s="970">
        <v>5097</v>
      </c>
      <c r="T674" s="972">
        <v>1594</v>
      </c>
      <c r="U674" s="972">
        <v>6691</v>
      </c>
    </row>
    <row r="675" spans="1:21" x14ac:dyDescent="0.25">
      <c r="A675" s="966">
        <v>97491</v>
      </c>
      <c r="B675" s="967" t="s">
        <v>3289</v>
      </c>
      <c r="C675" s="968">
        <v>0</v>
      </c>
      <c r="D675" s="968">
        <v>0</v>
      </c>
      <c r="E675" s="1007">
        <v>0</v>
      </c>
      <c r="F675" s="1010">
        <v>0</v>
      </c>
      <c r="G675" s="969">
        <v>0</v>
      </c>
      <c r="H675" s="969"/>
      <c r="I675" s="970">
        <v>0</v>
      </c>
      <c r="J675" s="971">
        <v>0</v>
      </c>
      <c r="K675" s="970">
        <v>0</v>
      </c>
      <c r="L675" s="969">
        <v>0</v>
      </c>
      <c r="M675" s="969"/>
      <c r="N675" s="970">
        <v>0</v>
      </c>
      <c r="O675" s="970">
        <v>0</v>
      </c>
      <c r="P675" s="970">
        <v>0</v>
      </c>
      <c r="Q675" s="969">
        <v>7849</v>
      </c>
      <c r="R675" s="969"/>
      <c r="S675" s="970">
        <v>0</v>
      </c>
      <c r="T675" s="972">
        <v>-4941</v>
      </c>
      <c r="U675" s="972">
        <v>-4941</v>
      </c>
    </row>
    <row r="676" spans="1:21" x14ac:dyDescent="0.25">
      <c r="A676" s="966">
        <v>97501</v>
      </c>
      <c r="B676" s="967" t="s">
        <v>3290</v>
      </c>
      <c r="C676" s="968">
        <v>1.1000999999999999E-3</v>
      </c>
      <c r="D676" s="968">
        <v>9.6730000000000004E-4</v>
      </c>
      <c r="E676" s="1007">
        <v>517522</v>
      </c>
      <c r="F676" s="1010">
        <v>2052935</v>
      </c>
      <c r="G676" s="969">
        <v>1680648</v>
      </c>
      <c r="H676" s="969"/>
      <c r="I676" s="970">
        <v>96821</v>
      </c>
      <c r="J676" s="971">
        <v>408064</v>
      </c>
      <c r="K676" s="970">
        <v>240020</v>
      </c>
      <c r="L676" s="969">
        <v>125050</v>
      </c>
      <c r="M676" s="969"/>
      <c r="N676" s="970">
        <v>47574</v>
      </c>
      <c r="O676" s="970">
        <v>0</v>
      </c>
      <c r="P676" s="970">
        <v>0</v>
      </c>
      <c r="Q676" s="969">
        <v>0</v>
      </c>
      <c r="R676" s="969"/>
      <c r="S676" s="970">
        <v>566380</v>
      </c>
      <c r="T676" s="972">
        <v>44629</v>
      </c>
      <c r="U676" s="972">
        <v>611009</v>
      </c>
    </row>
    <row r="677" spans="1:21" x14ac:dyDescent="0.25">
      <c r="A677" s="966">
        <v>97511</v>
      </c>
      <c r="B677" s="967" t="s">
        <v>3291</v>
      </c>
      <c r="C677" s="968">
        <v>2.3450000000000001E-4</v>
      </c>
      <c r="D677" s="968">
        <v>2.3220000000000001E-4</v>
      </c>
      <c r="E677" s="1007">
        <v>112044</v>
      </c>
      <c r="F677" s="1010">
        <v>492806</v>
      </c>
      <c r="G677" s="969">
        <v>358251</v>
      </c>
      <c r="H677" s="969"/>
      <c r="I677" s="970">
        <v>20639</v>
      </c>
      <c r="J677" s="971">
        <v>86984</v>
      </c>
      <c r="K677" s="970">
        <v>51163</v>
      </c>
      <c r="L677" s="969">
        <v>12835</v>
      </c>
      <c r="M677" s="969"/>
      <c r="N677" s="970">
        <v>10141</v>
      </c>
      <c r="O677" s="970">
        <v>0</v>
      </c>
      <c r="P677" s="970">
        <v>0</v>
      </c>
      <c r="Q677" s="969">
        <v>844</v>
      </c>
      <c r="R677" s="969"/>
      <c r="S677" s="970">
        <v>120731</v>
      </c>
      <c r="T677" s="972">
        <v>3795</v>
      </c>
      <c r="U677" s="972">
        <v>124526</v>
      </c>
    </row>
    <row r="678" spans="1:21" x14ac:dyDescent="0.25">
      <c r="A678" s="966">
        <v>97521</v>
      </c>
      <c r="B678" s="967" t="s">
        <v>3292</v>
      </c>
      <c r="C678" s="968">
        <v>1.2870000000000001E-4</v>
      </c>
      <c r="D678" s="968">
        <v>1.293E-4</v>
      </c>
      <c r="E678" s="1007">
        <v>56688</v>
      </c>
      <c r="F678" s="1010">
        <v>274418</v>
      </c>
      <c r="G678" s="969">
        <v>196618</v>
      </c>
      <c r="H678" s="969"/>
      <c r="I678" s="970">
        <v>11327</v>
      </c>
      <c r="J678" s="971">
        <v>47739</v>
      </c>
      <c r="K678" s="970">
        <v>28080</v>
      </c>
      <c r="L678" s="969">
        <v>2190</v>
      </c>
      <c r="M678" s="969"/>
      <c r="N678" s="970">
        <v>5566</v>
      </c>
      <c r="O678" s="970">
        <v>0</v>
      </c>
      <c r="P678" s="970">
        <v>0</v>
      </c>
      <c r="Q678" s="969">
        <v>14589</v>
      </c>
      <c r="R678" s="969"/>
      <c r="S678" s="970">
        <v>66260</v>
      </c>
      <c r="T678" s="972">
        <v>-3628</v>
      </c>
      <c r="U678" s="972">
        <v>62632</v>
      </c>
    </row>
    <row r="679" spans="1:21" x14ac:dyDescent="0.25">
      <c r="A679" s="966">
        <v>97531</v>
      </c>
      <c r="B679" s="967" t="s">
        <v>3293</v>
      </c>
      <c r="C679" s="968">
        <v>4.32E-5</v>
      </c>
      <c r="D679" s="968">
        <v>3.6300000000000001E-5</v>
      </c>
      <c r="E679" s="1007">
        <v>25035</v>
      </c>
      <c r="F679" s="1010">
        <v>77041</v>
      </c>
      <c r="G679" s="969">
        <v>65998</v>
      </c>
      <c r="H679" s="969"/>
      <c r="I679" s="970">
        <v>3802</v>
      </c>
      <c r="J679" s="971">
        <v>16025</v>
      </c>
      <c r="K679" s="970">
        <v>9425</v>
      </c>
      <c r="L679" s="969">
        <v>11185</v>
      </c>
      <c r="M679" s="969"/>
      <c r="N679" s="970">
        <v>1868</v>
      </c>
      <c r="O679" s="970">
        <v>0</v>
      </c>
      <c r="P679" s="970">
        <v>0</v>
      </c>
      <c r="Q679" s="969">
        <v>9052</v>
      </c>
      <c r="R679" s="969"/>
      <c r="S679" s="970">
        <v>22241</v>
      </c>
      <c r="T679" s="972">
        <v>-2508</v>
      </c>
      <c r="U679" s="972">
        <f>19734-1</f>
        <v>19733</v>
      </c>
    </row>
    <row r="680" spans="1:21" x14ac:dyDescent="0.25">
      <c r="A680" s="966">
        <v>97601</v>
      </c>
      <c r="B680" s="967" t="s">
        <v>3294</v>
      </c>
      <c r="C680" s="968">
        <v>5.1672000000000003E-3</v>
      </c>
      <c r="D680" s="968">
        <v>4.7808E-3</v>
      </c>
      <c r="E680" s="1007">
        <v>2287000</v>
      </c>
      <c r="F680" s="1010">
        <v>10146459</v>
      </c>
      <c r="G680" s="969">
        <v>7894050</v>
      </c>
      <c r="H680" s="969"/>
      <c r="I680" s="970">
        <v>454770</v>
      </c>
      <c r="J680" s="971">
        <v>1916685</v>
      </c>
      <c r="K680" s="970">
        <v>1127380</v>
      </c>
      <c r="L680" s="969">
        <v>190925</v>
      </c>
      <c r="M680" s="969"/>
      <c r="N680" s="970">
        <v>223456</v>
      </c>
      <c r="O680" s="970">
        <v>0</v>
      </c>
      <c r="P680" s="970">
        <v>0</v>
      </c>
      <c r="Q680" s="969">
        <v>91443</v>
      </c>
      <c r="R680" s="969"/>
      <c r="S680" s="970">
        <v>2660302</v>
      </c>
      <c r="T680" s="972">
        <v>1665</v>
      </c>
      <c r="U680" s="972">
        <v>2661967</v>
      </c>
    </row>
    <row r="681" spans="1:21" x14ac:dyDescent="0.25">
      <c r="A681" s="966">
        <v>97607</v>
      </c>
      <c r="B681" s="967" t="s">
        <v>3295</v>
      </c>
      <c r="C681" s="968">
        <v>2.3200000000000001E-5</v>
      </c>
      <c r="D681" s="968">
        <v>1.9199999999999999E-5</v>
      </c>
      <c r="E681" s="1007">
        <v>17255</v>
      </c>
      <c r="F681" s="1010">
        <v>40749</v>
      </c>
      <c r="G681" s="969">
        <v>35443</v>
      </c>
      <c r="H681" s="969"/>
      <c r="I681" s="970">
        <v>2042</v>
      </c>
      <c r="J681" s="971">
        <v>8605</v>
      </c>
      <c r="K681" s="970">
        <v>5062</v>
      </c>
      <c r="L681" s="969">
        <v>13349</v>
      </c>
      <c r="M681" s="969"/>
      <c r="N681" s="970">
        <v>1003</v>
      </c>
      <c r="O681" s="970">
        <v>0</v>
      </c>
      <c r="P681" s="970">
        <v>0</v>
      </c>
      <c r="Q681" s="969">
        <v>0</v>
      </c>
      <c r="R681" s="969"/>
      <c r="S681" s="970">
        <v>11944</v>
      </c>
      <c r="T681" s="972">
        <v>5427</v>
      </c>
      <c r="U681" s="972">
        <v>17371</v>
      </c>
    </row>
    <row r="682" spans="1:21" x14ac:dyDescent="0.25">
      <c r="A682" s="966">
        <v>97611</v>
      </c>
      <c r="B682" s="967" t="s">
        <v>3296</v>
      </c>
      <c r="C682" s="968">
        <v>2.4767999999999999E-3</v>
      </c>
      <c r="D682" s="968">
        <v>2.5750999999999999E-3</v>
      </c>
      <c r="E682" s="1007">
        <v>1108488</v>
      </c>
      <c r="F682" s="1010">
        <v>5465225</v>
      </c>
      <c r="G682" s="969">
        <v>3783864</v>
      </c>
      <c r="H682" s="969"/>
      <c r="I682" s="970">
        <v>217986</v>
      </c>
      <c r="J682" s="971">
        <v>918727</v>
      </c>
      <c r="K682" s="970">
        <v>540388</v>
      </c>
      <c r="L682" s="969">
        <v>0</v>
      </c>
      <c r="M682" s="969"/>
      <c r="N682" s="970">
        <v>107109</v>
      </c>
      <c r="O682" s="970">
        <v>0</v>
      </c>
      <c r="P682" s="970">
        <v>0</v>
      </c>
      <c r="Q682" s="969">
        <v>276084</v>
      </c>
      <c r="R682" s="969"/>
      <c r="S682" s="970">
        <v>1275166</v>
      </c>
      <c r="T682" s="972">
        <v>-116051</v>
      </c>
      <c r="U682" s="972">
        <v>1159115</v>
      </c>
    </row>
    <row r="683" spans="1:21" x14ac:dyDescent="0.25">
      <c r="A683" s="966">
        <v>97613</v>
      </c>
      <c r="B683" s="967" t="s">
        <v>3297</v>
      </c>
      <c r="C683" s="968">
        <v>1.1629999999999999E-4</v>
      </c>
      <c r="D683" s="968">
        <v>1.2459999999999999E-4</v>
      </c>
      <c r="E683" s="1007">
        <v>60157</v>
      </c>
      <c r="F683" s="1010">
        <v>264443</v>
      </c>
      <c r="G683" s="969">
        <v>177674</v>
      </c>
      <c r="H683" s="969"/>
      <c r="I683" s="970">
        <v>10236</v>
      </c>
      <c r="J683" s="971">
        <v>43140</v>
      </c>
      <c r="K683" s="970">
        <v>25374</v>
      </c>
      <c r="L683" s="969">
        <v>3969</v>
      </c>
      <c r="M683" s="969"/>
      <c r="N683" s="970">
        <v>5029</v>
      </c>
      <c r="O683" s="970">
        <v>0</v>
      </c>
      <c r="P683" s="970">
        <v>0</v>
      </c>
      <c r="Q683" s="969">
        <v>3579</v>
      </c>
      <c r="R683" s="969"/>
      <c r="S683" s="970">
        <v>59876</v>
      </c>
      <c r="T683" s="972">
        <v>-543</v>
      </c>
      <c r="U683" s="972">
        <f>59334-1</f>
        <v>59333</v>
      </c>
    </row>
    <row r="684" spans="1:21" x14ac:dyDescent="0.25">
      <c r="A684" s="966">
        <v>97621</v>
      </c>
      <c r="B684" s="967" t="s">
        <v>3298</v>
      </c>
      <c r="C684" s="968">
        <v>4.5179999999999998E-4</v>
      </c>
      <c r="D684" s="968">
        <v>4.7429999999999998E-4</v>
      </c>
      <c r="E684" s="1007">
        <v>179047</v>
      </c>
      <c r="F684" s="1010">
        <v>1006623</v>
      </c>
      <c r="G684" s="969">
        <v>690225</v>
      </c>
      <c r="H684" s="969"/>
      <c r="I684" s="970">
        <v>39763</v>
      </c>
      <c r="J684" s="971">
        <v>167588</v>
      </c>
      <c r="K684" s="970">
        <v>98574</v>
      </c>
      <c r="L684" s="969">
        <v>15836</v>
      </c>
      <c r="M684" s="969"/>
      <c r="N684" s="970">
        <v>19538</v>
      </c>
      <c r="O684" s="970">
        <v>0</v>
      </c>
      <c r="P684" s="970">
        <v>0</v>
      </c>
      <c r="Q684" s="969">
        <v>70017</v>
      </c>
      <c r="R684" s="969"/>
      <c r="S684" s="970">
        <v>232607</v>
      </c>
      <c r="T684" s="972">
        <v>-11992</v>
      </c>
      <c r="U684" s="972">
        <v>220615</v>
      </c>
    </row>
    <row r="685" spans="1:21" x14ac:dyDescent="0.25">
      <c r="A685" s="966">
        <v>97623</v>
      </c>
      <c r="B685" s="967" t="s">
        <v>3299</v>
      </c>
      <c r="C685" s="968">
        <v>2.9499999999999999E-5</v>
      </c>
      <c r="D685" s="968">
        <v>2.9200000000000002E-5</v>
      </c>
      <c r="E685" s="1007">
        <v>11113</v>
      </c>
      <c r="F685" s="1010">
        <v>61972</v>
      </c>
      <c r="G685" s="969">
        <v>45068</v>
      </c>
      <c r="H685" s="969"/>
      <c r="I685" s="970">
        <v>2596</v>
      </c>
      <c r="J685" s="971">
        <v>10942</v>
      </c>
      <c r="K685" s="970">
        <v>6436</v>
      </c>
      <c r="L685" s="969">
        <v>6505</v>
      </c>
      <c r="M685" s="969"/>
      <c r="N685" s="970">
        <v>1276</v>
      </c>
      <c r="O685" s="970">
        <v>0</v>
      </c>
      <c r="P685" s="970">
        <v>0</v>
      </c>
      <c r="Q685" s="969">
        <v>1742</v>
      </c>
      <c r="R685" s="969"/>
      <c r="S685" s="970">
        <v>15188</v>
      </c>
      <c r="T685" s="972">
        <v>3252</v>
      </c>
      <c r="U685" s="972">
        <v>18440</v>
      </c>
    </row>
    <row r="686" spans="1:21" x14ac:dyDescent="0.25">
      <c r="A686" s="966">
        <v>97627</v>
      </c>
      <c r="B686" s="967" t="s">
        <v>3300</v>
      </c>
      <c r="C686" s="968">
        <v>9.7000000000000003E-6</v>
      </c>
      <c r="D686" s="968">
        <v>1.0200000000000001E-5</v>
      </c>
      <c r="E686" s="1007">
        <v>5008</v>
      </c>
      <c r="F686" s="1010">
        <v>21648</v>
      </c>
      <c r="G686" s="969">
        <v>14819</v>
      </c>
      <c r="H686" s="969"/>
      <c r="I686" s="970">
        <v>854</v>
      </c>
      <c r="J686" s="971">
        <v>3599</v>
      </c>
      <c r="K686" s="970">
        <v>2116</v>
      </c>
      <c r="L686" s="969">
        <v>714</v>
      </c>
      <c r="M686" s="969"/>
      <c r="N686" s="970">
        <v>419</v>
      </c>
      <c r="O686" s="970">
        <v>0</v>
      </c>
      <c r="P686" s="970">
        <v>0</v>
      </c>
      <c r="Q686" s="969">
        <v>1008</v>
      </c>
      <c r="R686" s="969"/>
      <c r="S686" s="970">
        <v>4994</v>
      </c>
      <c r="T686" s="972">
        <v>-190</v>
      </c>
      <c r="U686" s="972">
        <v>4804</v>
      </c>
    </row>
    <row r="687" spans="1:21" x14ac:dyDescent="0.25">
      <c r="A687" s="966">
        <v>97631</v>
      </c>
      <c r="B687" s="967" t="s">
        <v>3301</v>
      </c>
      <c r="C687" s="968">
        <v>2.051E-4</v>
      </c>
      <c r="D687" s="968">
        <v>2.009E-4</v>
      </c>
      <c r="E687" s="1007">
        <v>85999</v>
      </c>
      <c r="F687" s="1010">
        <v>426377</v>
      </c>
      <c r="G687" s="969">
        <v>313336</v>
      </c>
      <c r="H687" s="969"/>
      <c r="I687" s="970">
        <v>18051</v>
      </c>
      <c r="J687" s="971">
        <v>76078</v>
      </c>
      <c r="K687" s="970">
        <v>44749</v>
      </c>
      <c r="L687" s="969">
        <v>9311</v>
      </c>
      <c r="M687" s="969"/>
      <c r="N687" s="970">
        <v>8870</v>
      </c>
      <c r="O687" s="970">
        <v>0</v>
      </c>
      <c r="P687" s="970">
        <v>0</v>
      </c>
      <c r="Q687" s="969">
        <v>3711</v>
      </c>
      <c r="R687" s="969"/>
      <c r="S687" s="970">
        <v>105595</v>
      </c>
      <c r="T687" s="972">
        <v>4564</v>
      </c>
      <c r="U687" s="972">
        <f>110158+1</f>
        <v>110159</v>
      </c>
    </row>
    <row r="688" spans="1:21" x14ac:dyDescent="0.25">
      <c r="A688" s="966">
        <v>97637</v>
      </c>
      <c r="B688" s="967" t="s">
        <v>3302</v>
      </c>
      <c r="C688" s="968">
        <v>4.3000000000000003E-6</v>
      </c>
      <c r="D688" s="968">
        <v>4.7999999999999998E-6</v>
      </c>
      <c r="E688" s="1007">
        <v>3072</v>
      </c>
      <c r="F688" s="1010">
        <v>10187</v>
      </c>
      <c r="G688" s="969">
        <v>6569</v>
      </c>
      <c r="H688" s="969"/>
      <c r="I688" s="970">
        <v>378</v>
      </c>
      <c r="J688" s="971">
        <v>1595</v>
      </c>
      <c r="K688" s="970">
        <v>938</v>
      </c>
      <c r="L688" s="969">
        <v>944</v>
      </c>
      <c r="M688" s="969"/>
      <c r="N688" s="970">
        <v>186</v>
      </c>
      <c r="O688" s="970">
        <v>0</v>
      </c>
      <c r="P688" s="970">
        <v>0</v>
      </c>
      <c r="Q688" s="969">
        <v>30</v>
      </c>
      <c r="R688" s="969"/>
      <c r="S688" s="970">
        <v>2214</v>
      </c>
      <c r="T688" s="972">
        <v>380</v>
      </c>
      <c r="U688" s="972">
        <v>2594</v>
      </c>
    </row>
    <row r="689" spans="1:21" x14ac:dyDescent="0.25">
      <c r="A689" s="966">
        <v>97641</v>
      </c>
      <c r="B689" s="967" t="s">
        <v>3303</v>
      </c>
      <c r="C689" s="968">
        <v>6.8899999999999994E-5</v>
      </c>
      <c r="D689" s="968">
        <v>6.9999999999999994E-5</v>
      </c>
      <c r="E689" s="1007">
        <v>35027</v>
      </c>
      <c r="F689" s="1010">
        <v>148563</v>
      </c>
      <c r="G689" s="969">
        <v>105260</v>
      </c>
      <c r="H689" s="969"/>
      <c r="I689" s="970">
        <v>6064</v>
      </c>
      <c r="J689" s="971">
        <v>25557</v>
      </c>
      <c r="K689" s="970">
        <v>15033</v>
      </c>
      <c r="L689" s="969">
        <v>13063</v>
      </c>
      <c r="M689" s="969"/>
      <c r="N689" s="970">
        <v>2980</v>
      </c>
      <c r="O689" s="970">
        <v>0</v>
      </c>
      <c r="P689" s="970">
        <v>0</v>
      </c>
      <c r="Q689" s="969">
        <v>2889</v>
      </c>
      <c r="R689" s="969"/>
      <c r="S689" s="970">
        <v>35473</v>
      </c>
      <c r="T689" s="972">
        <v>2041</v>
      </c>
      <c r="U689" s="972">
        <v>37514</v>
      </c>
    </row>
    <row r="690" spans="1:21" x14ac:dyDescent="0.25">
      <c r="A690" s="966">
        <v>97651</v>
      </c>
      <c r="B690" s="967" t="s">
        <v>3304</v>
      </c>
      <c r="C690" s="968">
        <v>5.1979999999999995E-4</v>
      </c>
      <c r="D690" s="968">
        <v>5.1579999999999996E-4</v>
      </c>
      <c r="E690" s="1007">
        <v>222466</v>
      </c>
      <c r="F690" s="1010">
        <v>1094700</v>
      </c>
      <c r="G690" s="969">
        <v>794110</v>
      </c>
      <c r="H690" s="969"/>
      <c r="I690" s="970">
        <v>45748</v>
      </c>
      <c r="J690" s="971">
        <v>192810</v>
      </c>
      <c r="K690" s="970">
        <v>113410</v>
      </c>
      <c r="L690" s="969">
        <v>2621</v>
      </c>
      <c r="M690" s="969"/>
      <c r="N690" s="970">
        <v>22479</v>
      </c>
      <c r="O690" s="970">
        <v>0</v>
      </c>
      <c r="P690" s="970">
        <v>0</v>
      </c>
      <c r="Q690" s="969">
        <v>43572</v>
      </c>
      <c r="R690" s="969"/>
      <c r="S690" s="970">
        <v>267616</v>
      </c>
      <c r="T690" s="972">
        <v>-19628</v>
      </c>
      <c r="U690" s="972">
        <v>247988</v>
      </c>
    </row>
    <row r="691" spans="1:21" x14ac:dyDescent="0.25">
      <c r="A691" s="966">
        <v>97661</v>
      </c>
      <c r="B691" s="967" t="s">
        <v>3305</v>
      </c>
      <c r="C691" s="968">
        <v>5.1600000000000001E-5</v>
      </c>
      <c r="D691" s="968">
        <v>4.3900000000000003E-5</v>
      </c>
      <c r="E691" s="1007">
        <v>24366</v>
      </c>
      <c r="F691" s="1010">
        <v>93171</v>
      </c>
      <c r="G691" s="969">
        <v>78831</v>
      </c>
      <c r="H691" s="969"/>
      <c r="I691" s="970">
        <v>4541</v>
      </c>
      <c r="J691" s="971">
        <v>19140</v>
      </c>
      <c r="K691" s="970">
        <v>11258</v>
      </c>
      <c r="L691" s="969">
        <v>13582</v>
      </c>
      <c r="M691" s="969"/>
      <c r="N691" s="970">
        <v>2231</v>
      </c>
      <c r="O691" s="970">
        <v>0</v>
      </c>
      <c r="P691" s="970">
        <v>0</v>
      </c>
      <c r="Q691" s="969">
        <v>1913</v>
      </c>
      <c r="R691" s="969"/>
      <c r="S691" s="970">
        <v>26566</v>
      </c>
      <c r="T691" s="972">
        <v>4861</v>
      </c>
      <c r="U691" s="972">
        <v>31427</v>
      </c>
    </row>
    <row r="692" spans="1:21" x14ac:dyDescent="0.25">
      <c r="A692" s="966">
        <v>97701</v>
      </c>
      <c r="B692" s="967" t="s">
        <v>3306</v>
      </c>
      <c r="C692" s="968">
        <v>2.4975000000000002E-3</v>
      </c>
      <c r="D692" s="968">
        <v>2.5081000000000001E-3</v>
      </c>
      <c r="E692" s="1007">
        <v>1156152</v>
      </c>
      <c r="F692" s="1010">
        <v>5323028</v>
      </c>
      <c r="G692" s="969">
        <v>3815488</v>
      </c>
      <c r="H692" s="969"/>
      <c r="I692" s="970">
        <v>219807</v>
      </c>
      <c r="J692" s="971">
        <v>926405</v>
      </c>
      <c r="K692" s="970">
        <v>544905</v>
      </c>
      <c r="L692" s="969">
        <v>22724</v>
      </c>
      <c r="M692" s="969"/>
      <c r="N692" s="970">
        <v>108004</v>
      </c>
      <c r="O692" s="970">
        <v>0</v>
      </c>
      <c r="P692" s="970">
        <v>0</v>
      </c>
      <c r="Q692" s="969">
        <v>8673</v>
      </c>
      <c r="R692" s="969"/>
      <c r="S692" s="970">
        <v>1285823</v>
      </c>
      <c r="T692" s="972">
        <v>670</v>
      </c>
      <c r="U692" s="972">
        <v>1286493</v>
      </c>
    </row>
    <row r="693" spans="1:21" x14ac:dyDescent="0.25">
      <c r="A693" s="966">
        <v>97705</v>
      </c>
      <c r="B693" s="967" t="s">
        <v>3307</v>
      </c>
      <c r="C693" s="968">
        <v>4.7700000000000001E-5</v>
      </c>
      <c r="D693" s="968">
        <v>6.41E-5</v>
      </c>
      <c r="E693" s="1007">
        <v>22209</v>
      </c>
      <c r="F693" s="1010">
        <v>136042</v>
      </c>
      <c r="G693" s="969">
        <v>72872</v>
      </c>
      <c r="H693" s="969"/>
      <c r="I693" s="970">
        <v>4198</v>
      </c>
      <c r="J693" s="971">
        <v>17694</v>
      </c>
      <c r="K693" s="970">
        <v>10407</v>
      </c>
      <c r="L693" s="969">
        <v>5558</v>
      </c>
      <c r="M693" s="969"/>
      <c r="N693" s="970">
        <v>2063</v>
      </c>
      <c r="O693" s="970">
        <v>0</v>
      </c>
      <c r="P693" s="970">
        <v>0</v>
      </c>
      <c r="Q693" s="969">
        <v>13023</v>
      </c>
      <c r="R693" s="969"/>
      <c r="S693" s="970">
        <v>24558</v>
      </c>
      <c r="T693" s="972">
        <v>105</v>
      </c>
      <c r="U693" s="972">
        <v>24663</v>
      </c>
    </row>
    <row r="694" spans="1:21" x14ac:dyDescent="0.25">
      <c r="A694" s="966">
        <v>97711</v>
      </c>
      <c r="B694" s="967" t="s">
        <v>3308</v>
      </c>
      <c r="C694" s="968">
        <v>9.0879999999999997E-4</v>
      </c>
      <c r="D694" s="968">
        <v>9.3789999999999998E-4</v>
      </c>
      <c r="E694" s="1007">
        <v>424324</v>
      </c>
      <c r="F694" s="1010">
        <v>1990538</v>
      </c>
      <c r="G694" s="969">
        <v>1388395</v>
      </c>
      <c r="H694" s="969"/>
      <c r="I694" s="970">
        <v>79984</v>
      </c>
      <c r="J694" s="971">
        <v>337104</v>
      </c>
      <c r="K694" s="970">
        <v>198282</v>
      </c>
      <c r="L694" s="969">
        <v>9966</v>
      </c>
      <c r="M694" s="969"/>
      <c r="N694" s="970">
        <v>39301</v>
      </c>
      <c r="O694" s="970">
        <v>0</v>
      </c>
      <c r="P694" s="970">
        <v>0</v>
      </c>
      <c r="Q694" s="969">
        <v>31902</v>
      </c>
      <c r="R694" s="969"/>
      <c r="S694" s="970">
        <v>467890</v>
      </c>
      <c r="T694" s="972">
        <v>-1258</v>
      </c>
      <c r="U694" s="972">
        <v>466632</v>
      </c>
    </row>
    <row r="695" spans="1:21" x14ac:dyDescent="0.25">
      <c r="A695" s="966">
        <v>97713</v>
      </c>
      <c r="B695" s="967" t="s">
        <v>3309</v>
      </c>
      <c r="C695" s="968">
        <v>4.1199999999999999E-5</v>
      </c>
      <c r="D695" s="968">
        <v>5.3699999999999997E-5</v>
      </c>
      <c r="E695" s="1007">
        <v>17328</v>
      </c>
      <c r="F695" s="1010">
        <v>113969</v>
      </c>
      <c r="G695" s="969">
        <v>62942</v>
      </c>
      <c r="H695" s="969"/>
      <c r="I695" s="970">
        <v>3626</v>
      </c>
      <c r="J695" s="971">
        <v>15283</v>
      </c>
      <c r="K695" s="970">
        <v>8989</v>
      </c>
      <c r="L695" s="969">
        <v>927</v>
      </c>
      <c r="M695" s="969"/>
      <c r="N695" s="970">
        <v>1782</v>
      </c>
      <c r="O695" s="970">
        <v>0</v>
      </c>
      <c r="P695" s="970">
        <v>0</v>
      </c>
      <c r="Q695" s="969">
        <v>16932</v>
      </c>
      <c r="R695" s="969"/>
      <c r="S695" s="970">
        <v>21212</v>
      </c>
      <c r="T695" s="972">
        <v>-4802</v>
      </c>
      <c r="U695" s="972">
        <v>16410</v>
      </c>
    </row>
    <row r="696" spans="1:21" x14ac:dyDescent="0.25">
      <c r="A696" s="966">
        <v>97717</v>
      </c>
      <c r="B696" s="967" t="s">
        <v>3310</v>
      </c>
      <c r="C696" s="968">
        <v>4.6999999999999999E-6</v>
      </c>
      <c r="D696" s="968">
        <v>7.5000000000000002E-6</v>
      </c>
      <c r="E696" s="1007">
        <v>2478</v>
      </c>
      <c r="F696" s="1010">
        <v>15918</v>
      </c>
      <c r="G696" s="969">
        <v>7180</v>
      </c>
      <c r="H696" s="969"/>
      <c r="I696" s="970">
        <v>414</v>
      </c>
      <c r="J696" s="971">
        <v>1743</v>
      </c>
      <c r="K696" s="970">
        <v>1025</v>
      </c>
      <c r="L696" s="969">
        <v>1078</v>
      </c>
      <c r="M696" s="969"/>
      <c r="N696" s="970">
        <v>203</v>
      </c>
      <c r="O696" s="970">
        <v>0</v>
      </c>
      <c r="P696" s="970">
        <v>0</v>
      </c>
      <c r="Q696" s="969">
        <v>3394</v>
      </c>
      <c r="R696" s="969"/>
      <c r="S696" s="970">
        <v>2420</v>
      </c>
      <c r="T696" s="972">
        <v>-1550</v>
      </c>
      <c r="U696" s="972">
        <f>869+1</f>
        <v>870</v>
      </c>
    </row>
    <row r="697" spans="1:21" x14ac:dyDescent="0.25">
      <c r="A697" s="966">
        <v>97721</v>
      </c>
      <c r="B697" s="967" t="s">
        <v>3311</v>
      </c>
      <c r="C697" s="968">
        <v>5.6599999999999999E-4</v>
      </c>
      <c r="D697" s="968">
        <v>5.7249999999999998E-4</v>
      </c>
      <c r="E697" s="1007">
        <v>255785</v>
      </c>
      <c r="F697" s="1010">
        <v>1215037</v>
      </c>
      <c r="G697" s="969">
        <v>864691</v>
      </c>
      <c r="H697" s="969"/>
      <c r="I697" s="970">
        <v>49814</v>
      </c>
      <c r="J697" s="971">
        <v>209948</v>
      </c>
      <c r="K697" s="970">
        <v>123490</v>
      </c>
      <c r="L697" s="969">
        <v>13608</v>
      </c>
      <c r="M697" s="969"/>
      <c r="N697" s="970">
        <v>24477</v>
      </c>
      <c r="O697" s="970">
        <v>0</v>
      </c>
      <c r="P697" s="970">
        <v>0</v>
      </c>
      <c r="Q697" s="969">
        <v>31303</v>
      </c>
      <c r="R697" s="969"/>
      <c r="S697" s="970">
        <v>291402</v>
      </c>
      <c r="T697" s="972">
        <v>-9026</v>
      </c>
      <c r="U697" s="972">
        <v>282376</v>
      </c>
    </row>
    <row r="698" spans="1:21" x14ac:dyDescent="0.25">
      <c r="A698" s="966">
        <v>97727</v>
      </c>
      <c r="B698" s="967" t="s">
        <v>3312</v>
      </c>
      <c r="C698" s="968">
        <v>2.27E-5</v>
      </c>
      <c r="D698" s="968">
        <v>2.37E-5</v>
      </c>
      <c r="E698" s="1007">
        <v>10992</v>
      </c>
      <c r="F698" s="1010">
        <v>50299</v>
      </c>
      <c r="G698" s="969">
        <v>34679</v>
      </c>
      <c r="H698" s="969"/>
      <c r="I698" s="970">
        <v>1998</v>
      </c>
      <c r="J698" s="971">
        <v>8420</v>
      </c>
      <c r="K698" s="970">
        <v>4953</v>
      </c>
      <c r="L698" s="969">
        <v>0</v>
      </c>
      <c r="M698" s="969"/>
      <c r="N698" s="970">
        <v>982</v>
      </c>
      <c r="O698" s="970">
        <v>0</v>
      </c>
      <c r="P698" s="970">
        <v>0</v>
      </c>
      <c r="Q698" s="969">
        <v>2260</v>
      </c>
      <c r="R698" s="969"/>
      <c r="S698" s="970">
        <v>11687</v>
      </c>
      <c r="T698" s="972">
        <v>-1260</v>
      </c>
      <c r="U698" s="972">
        <v>10427</v>
      </c>
    </row>
    <row r="699" spans="1:21" x14ac:dyDescent="0.25">
      <c r="A699" s="966">
        <v>97731</v>
      </c>
      <c r="B699" s="967" t="s">
        <v>3313</v>
      </c>
      <c r="C699" s="968">
        <v>3.5500000000000002E-5</v>
      </c>
      <c r="D699" s="968">
        <v>3.7100000000000001E-5</v>
      </c>
      <c r="E699" s="1007">
        <v>18460</v>
      </c>
      <c r="F699" s="1010">
        <v>78739</v>
      </c>
      <c r="G699" s="969">
        <v>54234</v>
      </c>
      <c r="H699" s="969"/>
      <c r="I699" s="970">
        <v>3124</v>
      </c>
      <c r="J699" s="971">
        <v>13168</v>
      </c>
      <c r="K699" s="970">
        <v>7745</v>
      </c>
      <c r="L699" s="969">
        <v>6361</v>
      </c>
      <c r="M699" s="969"/>
      <c r="N699" s="970">
        <v>1535</v>
      </c>
      <c r="O699" s="970">
        <v>0</v>
      </c>
      <c r="P699" s="970">
        <v>0</v>
      </c>
      <c r="Q699" s="969">
        <v>0</v>
      </c>
      <c r="R699" s="969"/>
      <c r="S699" s="970">
        <v>18277</v>
      </c>
      <c r="T699" s="972">
        <v>2961</v>
      </c>
      <c r="U699" s="972">
        <v>21238</v>
      </c>
    </row>
    <row r="700" spans="1:21" x14ac:dyDescent="0.25">
      <c r="A700" s="966">
        <v>97801</v>
      </c>
      <c r="B700" s="967" t="s">
        <v>3676</v>
      </c>
      <c r="C700" s="968">
        <v>6.9303000000000003E-3</v>
      </c>
      <c r="D700" s="968">
        <v>7.3343000000000002E-3</v>
      </c>
      <c r="E700" s="1007">
        <v>3179609</v>
      </c>
      <c r="F700" s="1010">
        <v>0</v>
      </c>
      <c r="G700" s="969">
        <v>10587579</v>
      </c>
      <c r="H700" s="969"/>
      <c r="I700" s="970">
        <v>609943</v>
      </c>
      <c r="J700" s="971">
        <v>2570677</v>
      </c>
      <c r="K700" s="970">
        <v>1512053</v>
      </c>
      <c r="L700" s="969">
        <v>27764</v>
      </c>
      <c r="M700" s="969"/>
      <c r="N700" s="970">
        <v>299701</v>
      </c>
      <c r="O700" s="970">
        <v>0</v>
      </c>
      <c r="P700" s="970">
        <v>0</v>
      </c>
      <c r="Q700" s="969">
        <v>406805</v>
      </c>
      <c r="R700" s="969"/>
      <c r="S700" s="970">
        <v>3568023</v>
      </c>
      <c r="T700" s="972">
        <v>-97576</v>
      </c>
      <c r="U700" s="972">
        <v>3470447</v>
      </c>
    </row>
    <row r="701" spans="1:21" x14ac:dyDescent="0.25">
      <c r="A701" s="966">
        <v>97802</v>
      </c>
      <c r="B701" s="967" t="s">
        <v>3315</v>
      </c>
      <c r="C701" s="968">
        <v>1.5300000000000001E-4</v>
      </c>
      <c r="D701" s="968">
        <v>1.8120000000000001E-4</v>
      </c>
      <c r="E701" s="1007">
        <v>76715</v>
      </c>
      <c r="F701" s="1010">
        <v>384567</v>
      </c>
      <c r="G701" s="969">
        <v>233742</v>
      </c>
      <c r="H701" s="969"/>
      <c r="I701" s="970">
        <v>13466</v>
      </c>
      <c r="J701" s="971">
        <v>56753</v>
      </c>
      <c r="K701" s="970">
        <v>33382</v>
      </c>
      <c r="L701" s="969">
        <v>9696</v>
      </c>
      <c r="M701" s="969"/>
      <c r="N701" s="970">
        <v>6616</v>
      </c>
      <c r="O701" s="970">
        <v>0</v>
      </c>
      <c r="P701" s="970">
        <v>0</v>
      </c>
      <c r="Q701" s="969">
        <v>28235</v>
      </c>
      <c r="R701" s="969"/>
      <c r="S701" s="970">
        <v>78771</v>
      </c>
      <c r="T701" s="972">
        <v>-1176</v>
      </c>
      <c r="U701" s="972">
        <v>77595</v>
      </c>
    </row>
    <row r="702" spans="1:21" x14ac:dyDescent="0.25">
      <c r="A702" s="966">
        <v>97803</v>
      </c>
      <c r="B702" s="967" t="s">
        <v>3316</v>
      </c>
      <c r="C702" s="968">
        <v>7.5300000000000001E-5</v>
      </c>
      <c r="D702" s="968">
        <v>7.9099999999999998E-5</v>
      </c>
      <c r="E702" s="1007">
        <v>38231</v>
      </c>
      <c r="F702" s="1010">
        <v>167877</v>
      </c>
      <c r="G702" s="969">
        <v>115038</v>
      </c>
      <c r="H702" s="969"/>
      <c r="I702" s="970">
        <v>6627</v>
      </c>
      <c r="J702" s="971">
        <v>27931</v>
      </c>
      <c r="K702" s="970">
        <v>16429</v>
      </c>
      <c r="L702" s="969">
        <v>5581</v>
      </c>
      <c r="M702" s="969"/>
      <c r="N702" s="970">
        <v>3256</v>
      </c>
      <c r="O702" s="970">
        <v>0</v>
      </c>
      <c r="P702" s="970">
        <v>0</v>
      </c>
      <c r="Q702" s="969">
        <v>1522</v>
      </c>
      <c r="R702" s="969"/>
      <c r="S702" s="970">
        <v>38768</v>
      </c>
      <c r="T702" s="972">
        <v>3424</v>
      </c>
      <c r="U702" s="972">
        <v>42192</v>
      </c>
    </row>
    <row r="703" spans="1:21" x14ac:dyDescent="0.25">
      <c r="A703" s="966">
        <v>97805</v>
      </c>
      <c r="B703" s="967" t="s">
        <v>3317</v>
      </c>
      <c r="C703" s="968">
        <v>7.9400000000000006E-5</v>
      </c>
      <c r="D703" s="968">
        <v>8.2600000000000002E-5</v>
      </c>
      <c r="E703" s="1007">
        <v>39471</v>
      </c>
      <c r="F703" s="1010">
        <v>175305</v>
      </c>
      <c r="G703" s="969">
        <v>121301</v>
      </c>
      <c r="H703" s="969"/>
      <c r="I703" s="970">
        <v>6988</v>
      </c>
      <c r="J703" s="971">
        <v>29452</v>
      </c>
      <c r="K703" s="970">
        <v>17323</v>
      </c>
      <c r="L703" s="969">
        <v>9711</v>
      </c>
      <c r="M703" s="969"/>
      <c r="N703" s="970">
        <v>3434</v>
      </c>
      <c r="O703" s="970">
        <v>0</v>
      </c>
      <c r="P703" s="970">
        <v>0</v>
      </c>
      <c r="Q703" s="969">
        <v>226</v>
      </c>
      <c r="R703" s="969"/>
      <c r="S703" s="970">
        <v>40879</v>
      </c>
      <c r="T703" s="972">
        <v>3824</v>
      </c>
      <c r="U703" s="972">
        <v>44703</v>
      </c>
    </row>
    <row r="704" spans="1:21" x14ac:dyDescent="0.25">
      <c r="A704" s="966">
        <v>97811</v>
      </c>
      <c r="B704" s="967" t="s">
        <v>3318</v>
      </c>
      <c r="C704" s="968">
        <v>2.4172E-3</v>
      </c>
      <c r="D704" s="968">
        <v>2.4088E-3</v>
      </c>
      <c r="E704" s="1007">
        <v>1101270</v>
      </c>
      <c r="F704" s="1010">
        <v>5112281</v>
      </c>
      <c r="G704" s="969">
        <v>3692812</v>
      </c>
      <c r="H704" s="969"/>
      <c r="I704" s="970">
        <v>212740</v>
      </c>
      <c r="J704" s="971">
        <v>896619</v>
      </c>
      <c r="K704" s="970">
        <v>527385</v>
      </c>
      <c r="L704" s="969">
        <v>0</v>
      </c>
      <c r="M704" s="969"/>
      <c r="N704" s="970">
        <v>104532</v>
      </c>
      <c r="O704" s="970">
        <v>0</v>
      </c>
      <c r="P704" s="970">
        <v>0</v>
      </c>
      <c r="Q704" s="969">
        <v>164062</v>
      </c>
      <c r="R704" s="969"/>
      <c r="S704" s="970">
        <v>1244481</v>
      </c>
      <c r="T704" s="972">
        <v>-73272</v>
      </c>
      <c r="U704" s="972">
        <v>1171209</v>
      </c>
    </row>
    <row r="705" spans="1:21" x14ac:dyDescent="0.25">
      <c r="A705" s="966">
        <v>97817</v>
      </c>
      <c r="B705" s="967" t="s">
        <v>3319</v>
      </c>
      <c r="C705" s="968">
        <v>2.2200000000000001E-5</v>
      </c>
      <c r="D705" s="968">
        <v>3.9999999999999998E-6</v>
      </c>
      <c r="E705" s="1007">
        <v>14127</v>
      </c>
      <c r="F705" s="1010">
        <v>8489</v>
      </c>
      <c r="G705" s="969">
        <v>33915</v>
      </c>
      <c r="H705" s="969"/>
      <c r="I705" s="970">
        <v>1954</v>
      </c>
      <c r="J705" s="971">
        <v>8235</v>
      </c>
      <c r="K705" s="970">
        <v>4844</v>
      </c>
      <c r="L705" s="969">
        <v>18101</v>
      </c>
      <c r="M705" s="969"/>
      <c r="N705" s="970">
        <v>960</v>
      </c>
      <c r="O705" s="970">
        <v>0</v>
      </c>
      <c r="P705" s="970">
        <v>0</v>
      </c>
      <c r="Q705" s="969">
        <v>2418</v>
      </c>
      <c r="R705" s="969"/>
      <c r="S705" s="970">
        <v>11430</v>
      </c>
      <c r="T705" s="972">
        <v>3916</v>
      </c>
      <c r="U705" s="972">
        <f>15345+1</f>
        <v>15346</v>
      </c>
    </row>
    <row r="706" spans="1:21" x14ac:dyDescent="0.25">
      <c r="A706" s="966">
        <v>97818</v>
      </c>
      <c r="B706" s="967" t="s">
        <v>3320</v>
      </c>
      <c r="C706" s="968">
        <v>2.1999999999999999E-5</v>
      </c>
      <c r="D706" s="968">
        <v>2.12E-5</v>
      </c>
      <c r="E706" s="1007">
        <v>9809</v>
      </c>
      <c r="F706" s="1010">
        <v>44994</v>
      </c>
      <c r="G706" s="969">
        <v>33610</v>
      </c>
      <c r="H706" s="969"/>
      <c r="I706" s="970">
        <v>1936</v>
      </c>
      <c r="J706" s="971">
        <v>8160</v>
      </c>
      <c r="K706" s="970">
        <v>4800</v>
      </c>
      <c r="L706" s="969">
        <v>6200</v>
      </c>
      <c r="M706" s="969"/>
      <c r="N706" s="970">
        <v>951</v>
      </c>
      <c r="O706" s="970">
        <v>0</v>
      </c>
      <c r="P706" s="970">
        <v>0</v>
      </c>
      <c r="Q706" s="969">
        <v>2136</v>
      </c>
      <c r="R706" s="969"/>
      <c r="S706" s="970">
        <v>11327</v>
      </c>
      <c r="T706" s="972">
        <v>134</v>
      </c>
      <c r="U706" s="972">
        <v>11461</v>
      </c>
    </row>
    <row r="707" spans="1:21" x14ac:dyDescent="0.25">
      <c r="A707" s="966">
        <v>97821</v>
      </c>
      <c r="B707" s="967" t="s">
        <v>3321</v>
      </c>
      <c r="C707" s="968">
        <v>1.126E-4</v>
      </c>
      <c r="D707" s="968">
        <v>1.1620000000000001E-4</v>
      </c>
      <c r="E707" s="1007">
        <v>61404</v>
      </c>
      <c r="F707" s="1010">
        <v>246615</v>
      </c>
      <c r="G707" s="969">
        <v>172022</v>
      </c>
      <c r="H707" s="969"/>
      <c r="I707" s="970">
        <v>9910</v>
      </c>
      <c r="J707" s="971">
        <v>41767</v>
      </c>
      <c r="K707" s="970">
        <v>24567</v>
      </c>
      <c r="L707" s="969">
        <v>5355</v>
      </c>
      <c r="M707" s="969"/>
      <c r="N707" s="970">
        <v>4869</v>
      </c>
      <c r="O707" s="970">
        <v>0</v>
      </c>
      <c r="P707" s="970">
        <v>0</v>
      </c>
      <c r="Q707" s="969">
        <v>16228</v>
      </c>
      <c r="R707" s="969"/>
      <c r="S707" s="970">
        <v>57971</v>
      </c>
      <c r="T707" s="972">
        <v>-9342</v>
      </c>
      <c r="U707" s="972">
        <f>48630-1</f>
        <v>48629</v>
      </c>
    </row>
    <row r="708" spans="1:21" x14ac:dyDescent="0.25">
      <c r="A708" s="966">
        <v>97823</v>
      </c>
      <c r="B708" s="967" t="s">
        <v>3322</v>
      </c>
      <c r="C708" s="968">
        <v>2.3300000000000001E-5</v>
      </c>
      <c r="D708" s="968">
        <v>2.4600000000000002E-5</v>
      </c>
      <c r="E708" s="1007">
        <v>13092</v>
      </c>
      <c r="F708" s="1010">
        <v>52209</v>
      </c>
      <c r="G708" s="969">
        <v>35596</v>
      </c>
      <c r="H708" s="969"/>
      <c r="I708" s="970">
        <v>2051</v>
      </c>
      <c r="J708" s="971">
        <v>8642</v>
      </c>
      <c r="K708" s="970">
        <v>5084</v>
      </c>
      <c r="L708" s="969">
        <v>1711</v>
      </c>
      <c r="M708" s="969"/>
      <c r="N708" s="970">
        <v>1008</v>
      </c>
      <c r="O708" s="970">
        <v>0</v>
      </c>
      <c r="P708" s="970">
        <v>0</v>
      </c>
      <c r="Q708" s="969">
        <v>591</v>
      </c>
      <c r="R708" s="969"/>
      <c r="S708" s="970">
        <v>11996</v>
      </c>
      <c r="T708" s="972">
        <v>-77</v>
      </c>
      <c r="U708" s="972">
        <v>11919</v>
      </c>
    </row>
    <row r="709" spans="1:21" x14ac:dyDescent="0.25">
      <c r="A709" s="966">
        <v>97831</v>
      </c>
      <c r="B709" s="967" t="s">
        <v>3323</v>
      </c>
      <c r="C709" s="968">
        <v>1.7009999999999999E-4</v>
      </c>
      <c r="D709" s="968">
        <v>1.482E-4</v>
      </c>
      <c r="E709" s="1007">
        <v>78813</v>
      </c>
      <c r="F709" s="1010">
        <v>314530</v>
      </c>
      <c r="G709" s="969">
        <v>259866</v>
      </c>
      <c r="H709" s="969"/>
      <c r="I709" s="970">
        <v>14971</v>
      </c>
      <c r="J709" s="971">
        <v>63096</v>
      </c>
      <c r="K709" s="970">
        <v>37112</v>
      </c>
      <c r="L709" s="969">
        <v>15261</v>
      </c>
      <c r="M709" s="969"/>
      <c r="N709" s="970">
        <v>7356</v>
      </c>
      <c r="O709" s="970">
        <v>0</v>
      </c>
      <c r="P709" s="970">
        <v>0</v>
      </c>
      <c r="Q709" s="969">
        <v>8418</v>
      </c>
      <c r="R709" s="969"/>
      <c r="S709" s="970">
        <v>87575</v>
      </c>
      <c r="T709" s="972">
        <v>-2075</v>
      </c>
      <c r="U709" s="972">
        <v>85500</v>
      </c>
    </row>
    <row r="710" spans="1:21" x14ac:dyDescent="0.25">
      <c r="A710" s="966">
        <v>97837</v>
      </c>
      <c r="B710" s="967" t="s">
        <v>3324</v>
      </c>
      <c r="C710" s="968">
        <v>1.0200000000000001E-5</v>
      </c>
      <c r="D710" s="968">
        <v>8.8000000000000004E-6</v>
      </c>
      <c r="E710" s="1007">
        <v>6053</v>
      </c>
      <c r="F710" s="1010">
        <v>18677</v>
      </c>
      <c r="G710" s="969">
        <v>15583</v>
      </c>
      <c r="H710" s="969"/>
      <c r="I710" s="970">
        <v>898</v>
      </c>
      <c r="J710" s="971">
        <v>3784</v>
      </c>
      <c r="K710" s="970">
        <v>2225</v>
      </c>
      <c r="L710" s="969">
        <v>3302</v>
      </c>
      <c r="M710" s="969"/>
      <c r="N710" s="970">
        <v>441</v>
      </c>
      <c r="O710" s="970">
        <v>0</v>
      </c>
      <c r="P710" s="970">
        <v>0</v>
      </c>
      <c r="Q710" s="969">
        <v>214</v>
      </c>
      <c r="R710" s="969"/>
      <c r="S710" s="970">
        <v>5251</v>
      </c>
      <c r="T710" s="972">
        <v>1260</v>
      </c>
      <c r="U710" s="972">
        <v>6511</v>
      </c>
    </row>
    <row r="711" spans="1:21" x14ac:dyDescent="0.25">
      <c r="A711" s="966">
        <v>97840</v>
      </c>
      <c r="B711" s="967" t="s">
        <v>3325</v>
      </c>
      <c r="C711" s="968">
        <v>1.3190000000000001E-4</v>
      </c>
      <c r="D711" s="968">
        <v>1.403E-4</v>
      </c>
      <c r="E711" s="1007">
        <v>107784</v>
      </c>
      <c r="F711" s="1010">
        <v>297764</v>
      </c>
      <c r="G711" s="969">
        <v>201507</v>
      </c>
      <c r="H711" s="969"/>
      <c r="I711" s="970">
        <v>11609</v>
      </c>
      <c r="J711" s="971">
        <v>48926</v>
      </c>
      <c r="K711" s="970">
        <v>28778</v>
      </c>
      <c r="L711" s="969">
        <v>76227</v>
      </c>
      <c r="M711" s="969"/>
      <c r="N711" s="970">
        <v>5704</v>
      </c>
      <c r="O711" s="970">
        <v>0</v>
      </c>
      <c r="P711" s="970">
        <v>0</v>
      </c>
      <c r="Q711" s="969">
        <v>964</v>
      </c>
      <c r="R711" s="969"/>
      <c r="S711" s="970">
        <v>67908</v>
      </c>
      <c r="T711" s="972">
        <v>27073</v>
      </c>
      <c r="U711" s="972">
        <v>94981</v>
      </c>
    </row>
    <row r="712" spans="1:21" x14ac:dyDescent="0.25">
      <c r="A712" s="966">
        <v>97841</v>
      </c>
      <c r="B712" s="967" t="s">
        <v>3326</v>
      </c>
      <c r="C712" s="968">
        <v>1.31E-5</v>
      </c>
      <c r="D712" s="968">
        <v>1.45E-5</v>
      </c>
      <c r="E712" s="1007">
        <v>6425</v>
      </c>
      <c r="F712" s="1010">
        <v>30774</v>
      </c>
      <c r="G712" s="969">
        <v>20013</v>
      </c>
      <c r="H712" s="969"/>
      <c r="I712" s="970">
        <v>1153</v>
      </c>
      <c r="J712" s="971">
        <v>4859</v>
      </c>
      <c r="K712" s="970">
        <v>2858</v>
      </c>
      <c r="L712" s="969">
        <v>410</v>
      </c>
      <c r="M712" s="969"/>
      <c r="N712" s="970">
        <v>567</v>
      </c>
      <c r="O712" s="970">
        <v>0</v>
      </c>
      <c r="P712" s="970">
        <v>0</v>
      </c>
      <c r="Q712" s="969">
        <v>4768</v>
      </c>
      <c r="R712" s="969"/>
      <c r="S712" s="970">
        <v>6744</v>
      </c>
      <c r="T712" s="972">
        <v>-3859</v>
      </c>
      <c r="U712" s="972">
        <v>2885</v>
      </c>
    </row>
    <row r="713" spans="1:21" x14ac:dyDescent="0.25">
      <c r="A713" s="966">
        <v>97847</v>
      </c>
      <c r="B713" s="967" t="s">
        <v>3327</v>
      </c>
      <c r="C713" s="968">
        <v>2.0999999999999998E-6</v>
      </c>
      <c r="D713" s="968">
        <v>2.2000000000000001E-6</v>
      </c>
      <c r="E713" s="1007">
        <v>2259</v>
      </c>
      <c r="F713" s="1010">
        <v>4669</v>
      </c>
      <c r="G713" s="969">
        <v>3208</v>
      </c>
      <c r="H713" s="969"/>
      <c r="I713" s="970">
        <v>185</v>
      </c>
      <c r="J713" s="971">
        <v>779</v>
      </c>
      <c r="K713" s="970">
        <v>458</v>
      </c>
      <c r="L713" s="969">
        <v>1433</v>
      </c>
      <c r="M713" s="969"/>
      <c r="N713" s="970">
        <v>91</v>
      </c>
      <c r="O713" s="970">
        <v>0</v>
      </c>
      <c r="P713" s="970">
        <v>0</v>
      </c>
      <c r="Q713" s="969">
        <v>72</v>
      </c>
      <c r="R713" s="969"/>
      <c r="S713" s="970">
        <v>1081</v>
      </c>
      <c r="T713" s="972">
        <v>355</v>
      </c>
      <c r="U713" s="972">
        <v>1436</v>
      </c>
    </row>
    <row r="714" spans="1:21" x14ac:dyDescent="0.25">
      <c r="A714" s="966">
        <v>97851</v>
      </c>
      <c r="B714" s="967" t="s">
        <v>3328</v>
      </c>
      <c r="C714" s="968">
        <v>2.7799999999999998E-4</v>
      </c>
      <c r="D714" s="968">
        <v>2.7460000000000001E-4</v>
      </c>
      <c r="E714" s="1007">
        <v>116408</v>
      </c>
      <c r="F714" s="1010">
        <v>582793</v>
      </c>
      <c r="G714" s="969">
        <v>424707</v>
      </c>
      <c r="H714" s="969"/>
      <c r="I714" s="970">
        <v>24467</v>
      </c>
      <c r="J714" s="971">
        <v>103120</v>
      </c>
      <c r="K714" s="970">
        <v>60654</v>
      </c>
      <c r="L714" s="969">
        <v>1448</v>
      </c>
      <c r="M714" s="969"/>
      <c r="N714" s="970">
        <v>12022</v>
      </c>
      <c r="O714" s="970">
        <v>0</v>
      </c>
      <c r="P714" s="970">
        <v>0</v>
      </c>
      <c r="Q714" s="969">
        <v>12710</v>
      </c>
      <c r="R714" s="969"/>
      <c r="S714" s="970">
        <v>143127</v>
      </c>
      <c r="T714" s="972">
        <v>-2512</v>
      </c>
      <c r="U714" s="972">
        <v>140615</v>
      </c>
    </row>
    <row r="715" spans="1:21" x14ac:dyDescent="0.25">
      <c r="A715" s="966">
        <v>97853</v>
      </c>
      <c r="B715" s="967" t="s">
        <v>3329</v>
      </c>
      <c r="C715" s="968">
        <v>1.0289999999999999E-4</v>
      </c>
      <c r="D715" s="968">
        <v>9.1600000000000004E-5</v>
      </c>
      <c r="E715" s="1007">
        <v>44043</v>
      </c>
      <c r="F715" s="1010">
        <v>194406</v>
      </c>
      <c r="G715" s="969">
        <v>157203</v>
      </c>
      <c r="H715" s="969"/>
      <c r="I715" s="970">
        <v>9056</v>
      </c>
      <c r="J715" s="971">
        <v>38169</v>
      </c>
      <c r="K715" s="970">
        <v>22451</v>
      </c>
      <c r="L715" s="969">
        <v>8759</v>
      </c>
      <c r="M715" s="969"/>
      <c r="N715" s="970">
        <v>4450</v>
      </c>
      <c r="O715" s="970">
        <v>0</v>
      </c>
      <c r="P715" s="970">
        <v>0</v>
      </c>
      <c r="Q715" s="969">
        <v>9750</v>
      </c>
      <c r="R715" s="969"/>
      <c r="S715" s="970">
        <v>52977</v>
      </c>
      <c r="T715" s="972">
        <v>429</v>
      </c>
      <c r="U715" s="972">
        <f>53407-1</f>
        <v>53406</v>
      </c>
    </row>
    <row r="716" spans="1:21" x14ac:dyDescent="0.25">
      <c r="A716" s="966">
        <v>97861</v>
      </c>
      <c r="B716" s="967" t="s">
        <v>3330</v>
      </c>
      <c r="C716" s="968">
        <v>6.7000000000000002E-5</v>
      </c>
      <c r="D716" s="968">
        <v>6.8499999999999998E-5</v>
      </c>
      <c r="E716" s="1007">
        <v>27517</v>
      </c>
      <c r="F716" s="1010">
        <v>145380</v>
      </c>
      <c r="G716" s="969">
        <v>102357</v>
      </c>
      <c r="H716" s="969"/>
      <c r="I716" s="970">
        <v>5897</v>
      </c>
      <c r="J716" s="971">
        <v>24852</v>
      </c>
      <c r="K716" s="970">
        <v>14618</v>
      </c>
      <c r="L716" s="969">
        <v>1771</v>
      </c>
      <c r="M716" s="969"/>
      <c r="N716" s="970">
        <v>2897</v>
      </c>
      <c r="O716" s="970">
        <v>0</v>
      </c>
      <c r="P716" s="970">
        <v>0</v>
      </c>
      <c r="Q716" s="969">
        <v>7954</v>
      </c>
      <c r="R716" s="969"/>
      <c r="S716" s="970">
        <v>34495</v>
      </c>
      <c r="T716" s="972">
        <v>-3725</v>
      </c>
      <c r="U716" s="972">
        <f>30769+1</f>
        <v>30770</v>
      </c>
    </row>
    <row r="717" spans="1:21" x14ac:dyDescent="0.25">
      <c r="A717" s="966">
        <v>97871</v>
      </c>
      <c r="B717" s="967" t="s">
        <v>3331</v>
      </c>
      <c r="C717" s="968">
        <v>2.9930000000000001E-4</v>
      </c>
      <c r="D717" s="968">
        <v>3.1500000000000001E-4</v>
      </c>
      <c r="E717" s="1007">
        <v>273654</v>
      </c>
      <c r="F717" s="1010">
        <v>668536</v>
      </c>
      <c r="G717" s="969">
        <v>457247</v>
      </c>
      <c r="H717" s="969"/>
      <c r="I717" s="970">
        <v>26342</v>
      </c>
      <c r="J717" s="971">
        <v>111020</v>
      </c>
      <c r="K717" s="970">
        <v>65301</v>
      </c>
      <c r="L717" s="969">
        <v>217143</v>
      </c>
      <c r="M717" s="969"/>
      <c r="N717" s="970">
        <v>12943</v>
      </c>
      <c r="O717" s="970">
        <v>0</v>
      </c>
      <c r="P717" s="970">
        <v>0</v>
      </c>
      <c r="Q717" s="969">
        <v>0</v>
      </c>
      <c r="R717" s="969"/>
      <c r="S717" s="970">
        <v>154093</v>
      </c>
      <c r="T717" s="972">
        <v>79417</v>
      </c>
      <c r="U717" s="972">
        <f>233509+1</f>
        <v>233510</v>
      </c>
    </row>
    <row r="718" spans="1:21" x14ac:dyDescent="0.25">
      <c r="A718" s="966">
        <v>97877</v>
      </c>
      <c r="B718" s="967" t="s">
        <v>3332</v>
      </c>
      <c r="C718" s="968">
        <v>1.9E-6</v>
      </c>
      <c r="D718" s="968">
        <v>2.2000000000000001E-6</v>
      </c>
      <c r="E718" s="1007">
        <v>2104</v>
      </c>
      <c r="F718" s="1010">
        <v>4669</v>
      </c>
      <c r="G718" s="969">
        <v>2903</v>
      </c>
      <c r="H718" s="969"/>
      <c r="I718" s="970">
        <v>167</v>
      </c>
      <c r="J718" s="971">
        <v>705</v>
      </c>
      <c r="K718" s="970">
        <v>415</v>
      </c>
      <c r="L718" s="969">
        <v>1638</v>
      </c>
      <c r="M718" s="969"/>
      <c r="N718" s="970">
        <v>82</v>
      </c>
      <c r="O718" s="970">
        <v>0</v>
      </c>
      <c r="P718" s="970">
        <v>0</v>
      </c>
      <c r="Q718" s="969">
        <v>0</v>
      </c>
      <c r="R718" s="969"/>
      <c r="S718" s="970">
        <v>978</v>
      </c>
      <c r="T718" s="972">
        <v>648</v>
      </c>
      <c r="U718" s="972">
        <f>1627-1</f>
        <v>1626</v>
      </c>
    </row>
    <row r="719" spans="1:21" x14ac:dyDescent="0.25">
      <c r="A719" s="966">
        <v>97901</v>
      </c>
      <c r="B719" s="967" t="s">
        <v>3333</v>
      </c>
      <c r="C719" s="968">
        <v>4.2658000000000001E-3</v>
      </c>
      <c r="D719" s="968">
        <v>4.3616999999999996E-3</v>
      </c>
      <c r="E719" s="1007">
        <v>2091024</v>
      </c>
      <c r="F719" s="1010">
        <v>9256989</v>
      </c>
      <c r="G719" s="969">
        <v>6516961</v>
      </c>
      <c r="H719" s="969"/>
      <c r="I719" s="970">
        <v>375437</v>
      </c>
      <c r="J719" s="971">
        <v>1582326</v>
      </c>
      <c r="K719" s="970">
        <v>930712</v>
      </c>
      <c r="L719" s="969">
        <v>88360</v>
      </c>
      <c r="M719" s="969"/>
      <c r="N719" s="970">
        <v>184475</v>
      </c>
      <c r="O719" s="970">
        <v>0</v>
      </c>
      <c r="P719" s="970">
        <v>0</v>
      </c>
      <c r="Q719" s="969">
        <v>14865</v>
      </c>
      <c r="R719" s="969"/>
      <c r="S719" s="970">
        <v>2196222</v>
      </c>
      <c r="T719" s="972">
        <v>35112</v>
      </c>
      <c r="U719" s="972">
        <v>2231334</v>
      </c>
    </row>
    <row r="720" spans="1:21" x14ac:dyDescent="0.25">
      <c r="A720" s="966">
        <v>97911</v>
      </c>
      <c r="B720" s="967" t="s">
        <v>3334</v>
      </c>
      <c r="C720" s="968">
        <v>1.3005E-3</v>
      </c>
      <c r="D720" s="968">
        <v>1.3190000000000001E-3</v>
      </c>
      <c r="E720" s="1007">
        <v>613265</v>
      </c>
      <c r="F720" s="1010">
        <v>2799360</v>
      </c>
      <c r="G720" s="969">
        <v>1986804</v>
      </c>
      <c r="H720" s="969"/>
      <c r="I720" s="970">
        <v>114458</v>
      </c>
      <c r="J720" s="971">
        <v>482398</v>
      </c>
      <c r="K720" s="970">
        <v>283743</v>
      </c>
      <c r="L720" s="969">
        <v>31167</v>
      </c>
      <c r="M720" s="969"/>
      <c r="N720" s="970">
        <v>56240</v>
      </c>
      <c r="O720" s="970">
        <v>0</v>
      </c>
      <c r="P720" s="970">
        <v>0</v>
      </c>
      <c r="Q720" s="969">
        <v>28435</v>
      </c>
      <c r="R720" s="969"/>
      <c r="S720" s="970">
        <v>669555</v>
      </c>
      <c r="T720" s="972">
        <v>10548</v>
      </c>
      <c r="U720" s="972">
        <v>680103</v>
      </c>
    </row>
    <row r="721" spans="1:21" x14ac:dyDescent="0.25">
      <c r="A721" s="966">
        <v>97913</v>
      </c>
      <c r="B721" s="967" t="s">
        <v>3335</v>
      </c>
      <c r="C721" s="968">
        <v>3.5899999999999998E-5</v>
      </c>
      <c r="D721" s="968">
        <v>3.7400000000000001E-5</v>
      </c>
      <c r="E721" s="1007">
        <v>27559</v>
      </c>
      <c r="F721" s="1010">
        <v>79375</v>
      </c>
      <c r="G721" s="969">
        <v>54845</v>
      </c>
      <c r="H721" s="969"/>
      <c r="I721" s="970">
        <v>3160</v>
      </c>
      <c r="J721" s="971">
        <v>13317</v>
      </c>
      <c r="K721" s="970">
        <v>7833</v>
      </c>
      <c r="L721" s="969">
        <v>15616</v>
      </c>
      <c r="M721" s="969"/>
      <c r="N721" s="970">
        <v>1552</v>
      </c>
      <c r="O721" s="970">
        <v>0</v>
      </c>
      <c r="P721" s="970">
        <v>0</v>
      </c>
      <c r="Q721" s="969">
        <v>0</v>
      </c>
      <c r="R721" s="969"/>
      <c r="S721" s="970">
        <v>18483</v>
      </c>
      <c r="T721" s="972">
        <v>5369</v>
      </c>
      <c r="U721" s="972">
        <f>23851+1</f>
        <v>23852</v>
      </c>
    </row>
    <row r="722" spans="1:21" x14ac:dyDescent="0.25">
      <c r="A722" s="966">
        <v>97917</v>
      </c>
      <c r="B722" s="967" t="s">
        <v>3336</v>
      </c>
      <c r="C722" s="968">
        <v>2.0999999999999999E-5</v>
      </c>
      <c r="D722" s="968">
        <v>1.98E-5</v>
      </c>
      <c r="E722" s="1007">
        <v>13419</v>
      </c>
      <c r="F722" s="1010">
        <v>42022</v>
      </c>
      <c r="G722" s="969">
        <v>32082</v>
      </c>
      <c r="H722" s="969"/>
      <c r="I722" s="970">
        <v>1848</v>
      </c>
      <c r="J722" s="971">
        <v>7790</v>
      </c>
      <c r="K722" s="970">
        <v>4582</v>
      </c>
      <c r="L722" s="969">
        <v>7811</v>
      </c>
      <c r="M722" s="969"/>
      <c r="N722" s="970">
        <v>908</v>
      </c>
      <c r="O722" s="970">
        <v>0</v>
      </c>
      <c r="P722" s="970">
        <v>0</v>
      </c>
      <c r="Q722" s="969">
        <v>0</v>
      </c>
      <c r="R722" s="969"/>
      <c r="S722" s="970">
        <v>10812</v>
      </c>
      <c r="T722" s="972">
        <v>3168</v>
      </c>
      <c r="U722" s="972">
        <f>13979+1</f>
        <v>13980</v>
      </c>
    </row>
    <row r="723" spans="1:21" x14ac:dyDescent="0.25">
      <c r="A723" s="966">
        <v>97921</v>
      </c>
      <c r="B723" s="967" t="s">
        <v>3337</v>
      </c>
      <c r="C723" s="968">
        <v>2.1699999999999999E-4</v>
      </c>
      <c r="D723" s="968">
        <v>2.2169999999999999E-4</v>
      </c>
      <c r="E723" s="1007">
        <v>103163</v>
      </c>
      <c r="F723" s="1010">
        <v>470522</v>
      </c>
      <c r="G723" s="969">
        <v>331516</v>
      </c>
      <c r="H723" s="969"/>
      <c r="I723" s="970">
        <v>19098</v>
      </c>
      <c r="J723" s="971">
        <v>80493</v>
      </c>
      <c r="K723" s="970">
        <v>47345</v>
      </c>
      <c r="L723" s="969">
        <v>11562</v>
      </c>
      <c r="M723" s="969"/>
      <c r="N723" s="970">
        <v>9384</v>
      </c>
      <c r="O723" s="970">
        <v>0</v>
      </c>
      <c r="P723" s="970">
        <v>0</v>
      </c>
      <c r="Q723" s="969">
        <v>5992</v>
      </c>
      <c r="R723" s="969"/>
      <c r="S723" s="970">
        <v>111721</v>
      </c>
      <c r="T723" s="972">
        <v>3241</v>
      </c>
      <c r="U723" s="972">
        <v>114962</v>
      </c>
    </row>
    <row r="724" spans="1:21" x14ac:dyDescent="0.25">
      <c r="A724" s="966">
        <v>97931</v>
      </c>
      <c r="B724" s="967" t="s">
        <v>3338</v>
      </c>
      <c r="C724" s="968">
        <v>7.0199999999999999E-5</v>
      </c>
      <c r="D724" s="968">
        <v>6.1600000000000007E-5</v>
      </c>
      <c r="E724" s="1007">
        <v>31939</v>
      </c>
      <c r="F724" s="1010">
        <v>130736</v>
      </c>
      <c r="G724" s="969">
        <v>107246</v>
      </c>
      <c r="H724" s="969"/>
      <c r="I724" s="970">
        <v>6178</v>
      </c>
      <c r="J724" s="971">
        <v>26039</v>
      </c>
      <c r="K724" s="970">
        <v>15316</v>
      </c>
      <c r="L724" s="969">
        <v>18162</v>
      </c>
      <c r="M724" s="969"/>
      <c r="N724" s="970">
        <v>3036</v>
      </c>
      <c r="O724" s="970">
        <v>0</v>
      </c>
      <c r="P724" s="970">
        <v>0</v>
      </c>
      <c r="Q724" s="969">
        <v>7492</v>
      </c>
      <c r="R724" s="969"/>
      <c r="S724" s="970">
        <v>36142</v>
      </c>
      <c r="T724" s="972">
        <v>2117</v>
      </c>
      <c r="U724" s="972">
        <v>38259</v>
      </c>
    </row>
    <row r="725" spans="1:21" x14ac:dyDescent="0.25">
      <c r="A725" s="966">
        <v>97941</v>
      </c>
      <c r="B725" s="967" t="s">
        <v>3339</v>
      </c>
      <c r="C725" s="968">
        <v>2.0479999999999999E-4</v>
      </c>
      <c r="D725" s="968">
        <v>2.3330000000000001E-4</v>
      </c>
      <c r="E725" s="1007">
        <v>106970</v>
      </c>
      <c r="F725" s="1010">
        <v>495141</v>
      </c>
      <c r="G725" s="969">
        <v>312878</v>
      </c>
      <c r="H725" s="969"/>
      <c r="I725" s="970">
        <v>18025</v>
      </c>
      <c r="J725" s="971">
        <v>75967</v>
      </c>
      <c r="K725" s="970">
        <v>44683</v>
      </c>
      <c r="L725" s="969">
        <v>17999</v>
      </c>
      <c r="M725" s="969"/>
      <c r="N725" s="970">
        <v>8857</v>
      </c>
      <c r="O725" s="970">
        <v>0</v>
      </c>
      <c r="P725" s="970">
        <v>0</v>
      </c>
      <c r="Q725" s="969">
        <v>8897</v>
      </c>
      <c r="R725" s="969"/>
      <c r="S725" s="970">
        <v>105440</v>
      </c>
      <c r="T725" s="972">
        <v>7001</v>
      </c>
      <c r="U725" s="972">
        <v>112441</v>
      </c>
    </row>
    <row r="726" spans="1:21" x14ac:dyDescent="0.25">
      <c r="A726" s="966">
        <v>97947</v>
      </c>
      <c r="B726" s="967" t="s">
        <v>3340</v>
      </c>
      <c r="C726" s="968">
        <v>1.3900000000000001E-5</v>
      </c>
      <c r="D726" s="968">
        <v>1.5500000000000001E-5</v>
      </c>
      <c r="E726" s="1007">
        <v>11471</v>
      </c>
      <c r="F726" s="1010">
        <v>32896</v>
      </c>
      <c r="G726" s="969">
        <v>21235</v>
      </c>
      <c r="H726" s="969"/>
      <c r="I726" s="970">
        <v>1223</v>
      </c>
      <c r="J726" s="971">
        <v>5156</v>
      </c>
      <c r="K726" s="970">
        <v>3033</v>
      </c>
      <c r="L726" s="969">
        <v>9518</v>
      </c>
      <c r="M726" s="969"/>
      <c r="N726" s="970">
        <v>601</v>
      </c>
      <c r="O726" s="970">
        <v>0</v>
      </c>
      <c r="P726" s="970">
        <v>0</v>
      </c>
      <c r="Q726" s="969">
        <v>306</v>
      </c>
      <c r="R726" s="969"/>
      <c r="S726" s="970">
        <v>7156</v>
      </c>
      <c r="T726" s="972">
        <v>3116</v>
      </c>
      <c r="U726" s="972">
        <v>10272</v>
      </c>
    </row>
    <row r="727" spans="1:21" x14ac:dyDescent="0.25">
      <c r="A727" s="966">
        <v>97948</v>
      </c>
      <c r="B727" s="967" t="s">
        <v>3341</v>
      </c>
      <c r="C727" s="968">
        <v>2.2099999999999998E-5</v>
      </c>
      <c r="D727" s="968">
        <v>3.5200000000000002E-5</v>
      </c>
      <c r="E727" s="1007">
        <v>10840</v>
      </c>
      <c r="F727" s="1010">
        <v>74706</v>
      </c>
      <c r="G727" s="969">
        <v>33763</v>
      </c>
      <c r="H727" s="969"/>
      <c r="I727" s="970">
        <v>1945</v>
      </c>
      <c r="J727" s="971">
        <v>8198</v>
      </c>
      <c r="K727" s="970">
        <v>4822</v>
      </c>
      <c r="L727" s="969">
        <v>1909</v>
      </c>
      <c r="M727" s="969"/>
      <c r="N727" s="970">
        <v>956</v>
      </c>
      <c r="O727" s="970">
        <v>0</v>
      </c>
      <c r="P727" s="970">
        <v>0</v>
      </c>
      <c r="Q727" s="969">
        <v>8330</v>
      </c>
      <c r="R727" s="969"/>
      <c r="S727" s="970">
        <v>11378</v>
      </c>
      <c r="T727" s="972">
        <v>-972</v>
      </c>
      <c r="U727" s="972">
        <v>10406</v>
      </c>
    </row>
    <row r="728" spans="1:21" x14ac:dyDescent="0.25">
      <c r="A728" s="966">
        <v>97951</v>
      </c>
      <c r="B728" s="967" t="s">
        <v>3342</v>
      </c>
      <c r="C728" s="968">
        <v>1.2440999999999999E-3</v>
      </c>
      <c r="D728" s="968">
        <v>1.2497000000000001E-3</v>
      </c>
      <c r="E728" s="1007">
        <v>597832</v>
      </c>
      <c r="F728" s="1010">
        <v>2652282</v>
      </c>
      <c r="G728" s="969">
        <v>1900640</v>
      </c>
      <c r="H728" s="969"/>
      <c r="I728" s="970">
        <v>109494</v>
      </c>
      <c r="J728" s="971">
        <v>461477</v>
      </c>
      <c r="K728" s="970">
        <v>271438</v>
      </c>
      <c r="L728" s="969">
        <v>31864</v>
      </c>
      <c r="M728" s="969"/>
      <c r="N728" s="970">
        <v>53801</v>
      </c>
      <c r="O728" s="970">
        <v>0</v>
      </c>
      <c r="P728" s="970">
        <v>0</v>
      </c>
      <c r="Q728" s="969">
        <v>7067</v>
      </c>
      <c r="R728" s="969"/>
      <c r="S728" s="970">
        <v>640517</v>
      </c>
      <c r="T728" s="972">
        <v>4295</v>
      </c>
      <c r="U728" s="972">
        <f>644813-1</f>
        <v>644812</v>
      </c>
    </row>
    <row r="729" spans="1:21" x14ac:dyDescent="0.25">
      <c r="A729" s="966">
        <v>97957</v>
      </c>
      <c r="B729" s="967" t="s">
        <v>3343</v>
      </c>
      <c r="C729" s="968">
        <v>1.8700000000000001E-5</v>
      </c>
      <c r="D729" s="968">
        <v>1.9599999999999999E-5</v>
      </c>
      <c r="E729" s="1007">
        <v>12857</v>
      </c>
      <c r="F729" s="1010">
        <v>41598</v>
      </c>
      <c r="G729" s="969">
        <v>28568</v>
      </c>
      <c r="H729" s="969"/>
      <c r="I729" s="970">
        <v>1646</v>
      </c>
      <c r="J729" s="971">
        <v>6936</v>
      </c>
      <c r="K729" s="970">
        <v>4080</v>
      </c>
      <c r="L729" s="969">
        <v>4456</v>
      </c>
      <c r="M729" s="969"/>
      <c r="N729" s="970">
        <v>809</v>
      </c>
      <c r="O729" s="970">
        <v>0</v>
      </c>
      <c r="P729" s="970">
        <v>0</v>
      </c>
      <c r="Q729" s="969">
        <v>1123</v>
      </c>
      <c r="R729" s="969"/>
      <c r="S729" s="970">
        <v>9628</v>
      </c>
      <c r="T729" s="972">
        <v>620</v>
      </c>
      <c r="U729" s="972">
        <f>10247+1</f>
        <v>10248</v>
      </c>
    </row>
    <row r="730" spans="1:21" x14ac:dyDescent="0.25">
      <c r="A730" s="966">
        <v>98001</v>
      </c>
      <c r="B730" s="967" t="s">
        <v>3344</v>
      </c>
      <c r="C730" s="968">
        <v>5.1148000000000001E-3</v>
      </c>
      <c r="D730" s="968">
        <v>4.9659999999999999E-3</v>
      </c>
      <c r="E730" s="1007">
        <v>2367016</v>
      </c>
      <c r="F730" s="1010">
        <v>10539516</v>
      </c>
      <c r="G730" s="969">
        <v>7813998</v>
      </c>
      <c r="H730" s="969"/>
      <c r="I730" s="970">
        <v>450159</v>
      </c>
      <c r="J730" s="971">
        <v>1897248</v>
      </c>
      <c r="K730" s="970">
        <v>1115947</v>
      </c>
      <c r="L730" s="969">
        <v>181889</v>
      </c>
      <c r="M730" s="969"/>
      <c r="N730" s="970">
        <v>221190</v>
      </c>
      <c r="O730" s="970">
        <v>0</v>
      </c>
      <c r="P730" s="970">
        <v>0</v>
      </c>
      <c r="Q730" s="969">
        <v>0</v>
      </c>
      <c r="R730" s="969"/>
      <c r="S730" s="970">
        <v>2633324</v>
      </c>
      <c r="T730" s="972">
        <v>81305</v>
      </c>
      <c r="U730" s="972">
        <v>2714629</v>
      </c>
    </row>
    <row r="731" spans="1:21" x14ac:dyDescent="0.25">
      <c r="A731" s="966">
        <v>98002</v>
      </c>
      <c r="B731" s="967" t="s">
        <v>3345</v>
      </c>
      <c r="C731" s="968">
        <v>6.7000000000000002E-6</v>
      </c>
      <c r="D731" s="968">
        <v>7.3000000000000004E-6</v>
      </c>
      <c r="E731" s="1007">
        <v>4126</v>
      </c>
      <c r="F731" s="1010">
        <v>15493</v>
      </c>
      <c r="G731" s="969">
        <v>10236</v>
      </c>
      <c r="H731" s="969"/>
      <c r="I731" s="970">
        <v>590</v>
      </c>
      <c r="J731" s="971">
        <v>2485</v>
      </c>
      <c r="K731" s="970">
        <v>1462</v>
      </c>
      <c r="L731" s="969">
        <v>1007</v>
      </c>
      <c r="M731" s="969"/>
      <c r="N731" s="970">
        <v>290</v>
      </c>
      <c r="O731" s="970">
        <v>0</v>
      </c>
      <c r="P731" s="970">
        <v>0</v>
      </c>
      <c r="Q731" s="969">
        <v>6492</v>
      </c>
      <c r="R731" s="969"/>
      <c r="S731" s="970">
        <v>3449</v>
      </c>
      <c r="T731" s="972">
        <v>-6219</v>
      </c>
      <c r="U731" s="972">
        <v>-2770</v>
      </c>
    </row>
    <row r="732" spans="1:21" x14ac:dyDescent="0.25">
      <c r="A732" s="966">
        <v>98003</v>
      </c>
      <c r="B732" s="967" t="s">
        <v>3346</v>
      </c>
      <c r="C732" s="968">
        <v>7.9599999999999997E-5</v>
      </c>
      <c r="D732" s="968">
        <v>8.1600000000000005E-5</v>
      </c>
      <c r="E732" s="1007">
        <v>70274</v>
      </c>
      <c r="F732" s="1010">
        <v>173183</v>
      </c>
      <c r="G732" s="969">
        <v>121607</v>
      </c>
      <c r="H732" s="969"/>
      <c r="I732" s="970">
        <v>7006</v>
      </c>
      <c r="J732" s="971">
        <v>29526</v>
      </c>
      <c r="K732" s="970">
        <v>17367</v>
      </c>
      <c r="L732" s="969">
        <v>54986</v>
      </c>
      <c r="M732" s="969"/>
      <c r="N732" s="970">
        <v>3442</v>
      </c>
      <c r="O732" s="970">
        <v>0</v>
      </c>
      <c r="P732" s="970">
        <v>0</v>
      </c>
      <c r="Q732" s="969">
        <v>0</v>
      </c>
      <c r="R732" s="969"/>
      <c r="S732" s="970">
        <v>40982</v>
      </c>
      <c r="T732" s="972">
        <v>18634</v>
      </c>
      <c r="U732" s="972">
        <v>59616</v>
      </c>
    </row>
    <row r="733" spans="1:21" x14ac:dyDescent="0.25">
      <c r="A733" s="966">
        <v>98004</v>
      </c>
      <c r="B733" s="967" t="s">
        <v>3347</v>
      </c>
      <c r="C733" s="968">
        <v>1.182E-4</v>
      </c>
      <c r="D733" s="968">
        <v>1.209E-4</v>
      </c>
      <c r="E733" s="1007">
        <v>78050</v>
      </c>
      <c r="F733" s="1010">
        <v>256590</v>
      </c>
      <c r="G733" s="969">
        <v>180577</v>
      </c>
      <c r="H733" s="969"/>
      <c r="I733" s="970">
        <v>10403</v>
      </c>
      <c r="J733" s="971">
        <v>43844</v>
      </c>
      <c r="K733" s="970">
        <v>25789</v>
      </c>
      <c r="L733" s="969">
        <v>36575</v>
      </c>
      <c r="M733" s="969"/>
      <c r="N733" s="970">
        <v>5112</v>
      </c>
      <c r="O733" s="970">
        <v>0</v>
      </c>
      <c r="P733" s="970">
        <v>0</v>
      </c>
      <c r="Q733" s="969">
        <v>0</v>
      </c>
      <c r="R733" s="969"/>
      <c r="S733" s="970">
        <v>60855</v>
      </c>
      <c r="T733" s="972">
        <v>14190</v>
      </c>
      <c r="U733" s="972">
        <f>75044+1</f>
        <v>75045</v>
      </c>
    </row>
    <row r="734" spans="1:21" x14ac:dyDescent="0.25">
      <c r="A734" s="966">
        <v>98008</v>
      </c>
      <c r="B734" s="967" t="s">
        <v>3348</v>
      </c>
      <c r="C734" s="968">
        <v>7.9999999999999996E-6</v>
      </c>
      <c r="D734" s="968">
        <v>7.7999999999999999E-6</v>
      </c>
      <c r="E734" s="1007">
        <v>3537</v>
      </c>
      <c r="F734" s="1010">
        <v>16554</v>
      </c>
      <c r="G734" s="969">
        <v>12222</v>
      </c>
      <c r="H734" s="969"/>
      <c r="I734" s="970">
        <v>704</v>
      </c>
      <c r="J734" s="971">
        <v>2967</v>
      </c>
      <c r="K734" s="970">
        <v>1745</v>
      </c>
      <c r="L734" s="969">
        <v>25</v>
      </c>
      <c r="M734" s="969"/>
      <c r="N734" s="970">
        <v>346</v>
      </c>
      <c r="O734" s="970">
        <v>0</v>
      </c>
      <c r="P734" s="970">
        <v>0</v>
      </c>
      <c r="Q734" s="969">
        <v>804</v>
      </c>
      <c r="R734" s="969"/>
      <c r="S734" s="970">
        <v>4119</v>
      </c>
      <c r="T734" s="972">
        <v>-490</v>
      </c>
      <c r="U734" s="972">
        <v>3629</v>
      </c>
    </row>
    <row r="735" spans="1:21" x14ac:dyDescent="0.25">
      <c r="A735" s="966">
        <v>98011</v>
      </c>
      <c r="B735" s="967" t="s">
        <v>3349</v>
      </c>
      <c r="C735" s="968">
        <v>3.1578999999999999E-3</v>
      </c>
      <c r="D735" s="968">
        <v>3.1795E-3</v>
      </c>
      <c r="E735" s="1007">
        <v>1430082</v>
      </c>
      <c r="F735" s="1010">
        <v>6747964</v>
      </c>
      <c r="G735" s="969">
        <v>4824396</v>
      </c>
      <c r="H735" s="969"/>
      <c r="I735" s="970">
        <v>277930</v>
      </c>
      <c r="J735" s="971">
        <v>1171370</v>
      </c>
      <c r="K735" s="970">
        <v>688991</v>
      </c>
      <c r="L735" s="969">
        <v>0</v>
      </c>
      <c r="M735" s="969"/>
      <c r="N735" s="970">
        <v>136563</v>
      </c>
      <c r="O735" s="970">
        <v>0</v>
      </c>
      <c r="P735" s="970">
        <v>0</v>
      </c>
      <c r="Q735" s="969">
        <v>315025</v>
      </c>
      <c r="R735" s="969"/>
      <c r="S735" s="970">
        <v>1625826</v>
      </c>
      <c r="T735" s="972">
        <v>-146862</v>
      </c>
      <c r="U735" s="972">
        <v>1478964</v>
      </c>
    </row>
    <row r="736" spans="1:21" x14ac:dyDescent="0.25">
      <c r="A736" s="966">
        <v>98013</v>
      </c>
      <c r="B736" s="967" t="s">
        <v>3350</v>
      </c>
      <c r="C736" s="968">
        <v>1.415E-4</v>
      </c>
      <c r="D736" s="968">
        <v>1.426E-4</v>
      </c>
      <c r="E736" s="1007">
        <v>138521</v>
      </c>
      <c r="F736" s="1010">
        <v>302645</v>
      </c>
      <c r="G736" s="969">
        <v>216173</v>
      </c>
      <c r="H736" s="969"/>
      <c r="I736" s="970">
        <v>12454</v>
      </c>
      <c r="J736" s="971">
        <v>52487</v>
      </c>
      <c r="K736" s="970">
        <v>30872</v>
      </c>
      <c r="L736" s="969">
        <v>126104</v>
      </c>
      <c r="M736" s="969"/>
      <c r="N736" s="970">
        <v>6119</v>
      </c>
      <c r="O736" s="970">
        <v>0</v>
      </c>
      <c r="P736" s="970">
        <v>0</v>
      </c>
      <c r="Q736" s="969">
        <v>2073</v>
      </c>
      <c r="R736" s="969"/>
      <c r="S736" s="970">
        <v>72850</v>
      </c>
      <c r="T736" s="972">
        <v>41784</v>
      </c>
      <c r="U736" s="972">
        <f>114635-1</f>
        <v>114634</v>
      </c>
    </row>
    <row r="737" spans="1:21" x14ac:dyDescent="0.25">
      <c r="A737" s="966">
        <v>98021</v>
      </c>
      <c r="B737" s="967" t="s">
        <v>3351</v>
      </c>
      <c r="C737" s="968">
        <v>8.6199999999999995E-5</v>
      </c>
      <c r="D737" s="968">
        <v>7.5099999999999996E-5</v>
      </c>
      <c r="E737" s="1007">
        <v>28536</v>
      </c>
      <c r="F737" s="1010">
        <v>159387</v>
      </c>
      <c r="G737" s="969">
        <v>131690</v>
      </c>
      <c r="H737" s="969"/>
      <c r="I737" s="970">
        <v>7587</v>
      </c>
      <c r="J737" s="971">
        <v>31975</v>
      </c>
      <c r="K737" s="970">
        <v>18807</v>
      </c>
      <c r="L737" s="969">
        <v>13468</v>
      </c>
      <c r="M737" s="969"/>
      <c r="N737" s="970">
        <v>3728</v>
      </c>
      <c r="O737" s="970">
        <v>0</v>
      </c>
      <c r="P737" s="970">
        <v>0</v>
      </c>
      <c r="Q737" s="969">
        <v>2708</v>
      </c>
      <c r="R737" s="969"/>
      <c r="S737" s="970">
        <v>44380</v>
      </c>
      <c r="T737" s="972">
        <v>6479</v>
      </c>
      <c r="U737" s="972">
        <v>50859</v>
      </c>
    </row>
    <row r="738" spans="1:21" x14ac:dyDescent="0.25">
      <c r="A738" s="966">
        <v>98023</v>
      </c>
      <c r="B738" s="967" t="s">
        <v>3352</v>
      </c>
      <c r="C738" s="968">
        <v>1.43E-5</v>
      </c>
      <c r="D738" s="968">
        <v>1.45E-5</v>
      </c>
      <c r="E738" s="1007">
        <v>6869</v>
      </c>
      <c r="F738" s="1010">
        <v>30774</v>
      </c>
      <c r="G738" s="969">
        <v>21846</v>
      </c>
      <c r="H738" s="969"/>
      <c r="I738" s="970">
        <v>1259</v>
      </c>
      <c r="J738" s="971">
        <v>5305</v>
      </c>
      <c r="K738" s="970">
        <v>3120</v>
      </c>
      <c r="L738" s="969">
        <v>109</v>
      </c>
      <c r="M738" s="969"/>
      <c r="N738" s="970">
        <v>618</v>
      </c>
      <c r="O738" s="970">
        <v>0</v>
      </c>
      <c r="P738" s="970">
        <v>0</v>
      </c>
      <c r="Q738" s="969">
        <v>5220</v>
      </c>
      <c r="R738" s="969"/>
      <c r="S738" s="970">
        <v>7362</v>
      </c>
      <c r="T738" s="972">
        <v>-2611</v>
      </c>
      <c r="U738" s="972">
        <v>4751</v>
      </c>
    </row>
    <row r="739" spans="1:21" x14ac:dyDescent="0.25">
      <c r="A739" s="966">
        <v>98031</v>
      </c>
      <c r="B739" s="967" t="s">
        <v>3353</v>
      </c>
      <c r="C739" s="968">
        <v>1.537E-4</v>
      </c>
      <c r="D739" s="968">
        <v>1.5530000000000001E-4</v>
      </c>
      <c r="E739" s="1007">
        <v>67740</v>
      </c>
      <c r="F739" s="1010">
        <v>329599</v>
      </c>
      <c r="G739" s="969">
        <v>234811</v>
      </c>
      <c r="H739" s="969"/>
      <c r="I739" s="970">
        <v>13527</v>
      </c>
      <c r="J739" s="971">
        <v>57012</v>
      </c>
      <c r="K739" s="970">
        <v>33534</v>
      </c>
      <c r="L739" s="969">
        <v>4651</v>
      </c>
      <c r="M739" s="969"/>
      <c r="N739" s="970">
        <v>6647</v>
      </c>
      <c r="O739" s="970">
        <v>0</v>
      </c>
      <c r="P739" s="970">
        <v>0</v>
      </c>
      <c r="Q739" s="969">
        <v>9184</v>
      </c>
      <c r="R739" s="969"/>
      <c r="S739" s="970">
        <v>79132</v>
      </c>
      <c r="T739" s="972">
        <v>-1401</v>
      </c>
      <c r="U739" s="972">
        <f>77730+1</f>
        <v>77731</v>
      </c>
    </row>
    <row r="740" spans="1:21" x14ac:dyDescent="0.25">
      <c r="A740" s="966">
        <v>98041</v>
      </c>
      <c r="B740" s="967" t="s">
        <v>3354</v>
      </c>
      <c r="C740" s="968">
        <v>1.9230000000000001E-4</v>
      </c>
      <c r="D740" s="968">
        <v>1.6559999999999999E-4</v>
      </c>
      <c r="E740" s="1007">
        <v>80474</v>
      </c>
      <c r="F740" s="1010">
        <v>351459</v>
      </c>
      <c r="G740" s="969">
        <v>293781</v>
      </c>
      <c r="H740" s="969"/>
      <c r="I740" s="970">
        <v>16925</v>
      </c>
      <c r="J740" s="971">
        <v>71330</v>
      </c>
      <c r="K740" s="970">
        <v>41956</v>
      </c>
      <c r="L740" s="969">
        <v>17154</v>
      </c>
      <c r="M740" s="969"/>
      <c r="N740" s="970">
        <v>8316</v>
      </c>
      <c r="O740" s="970">
        <v>0</v>
      </c>
      <c r="P740" s="970">
        <v>0</v>
      </c>
      <c r="Q740" s="969">
        <v>5779</v>
      </c>
      <c r="R740" s="969"/>
      <c r="S740" s="970">
        <v>99005</v>
      </c>
      <c r="T740" s="972">
        <v>943</v>
      </c>
      <c r="U740" s="972">
        <v>99948</v>
      </c>
    </row>
    <row r="741" spans="1:21" x14ac:dyDescent="0.25">
      <c r="A741" s="966">
        <v>98051</v>
      </c>
      <c r="B741" s="967" t="s">
        <v>3355</v>
      </c>
      <c r="C741" s="968">
        <v>2.8019999999999998E-4</v>
      </c>
      <c r="D741" s="968">
        <v>3.0019999999999998E-4</v>
      </c>
      <c r="E741" s="1007">
        <v>136145</v>
      </c>
      <c r="F741" s="1010">
        <v>637125</v>
      </c>
      <c r="G741" s="969">
        <v>428068</v>
      </c>
      <c r="H741" s="969"/>
      <c r="I741" s="970">
        <v>24661</v>
      </c>
      <c r="J741" s="971">
        <v>103936</v>
      </c>
      <c r="K741" s="970">
        <v>61134</v>
      </c>
      <c r="L741" s="969">
        <v>21691</v>
      </c>
      <c r="M741" s="969"/>
      <c r="N741" s="970">
        <v>12117</v>
      </c>
      <c r="O741" s="970">
        <v>0</v>
      </c>
      <c r="P741" s="970">
        <v>0</v>
      </c>
      <c r="Q741" s="969">
        <v>7516</v>
      </c>
      <c r="R741" s="969"/>
      <c r="S741" s="970">
        <v>144259</v>
      </c>
      <c r="T741" s="972">
        <v>7566</v>
      </c>
      <c r="U741" s="972">
        <v>151825</v>
      </c>
    </row>
    <row r="742" spans="1:21" x14ac:dyDescent="0.25">
      <c r="A742" s="966">
        <v>98061</v>
      </c>
      <c r="B742" s="967" t="s">
        <v>3356</v>
      </c>
      <c r="C742" s="968">
        <v>1.0670000000000001E-4</v>
      </c>
      <c r="D742" s="968">
        <v>9.9099999999999996E-5</v>
      </c>
      <c r="E742" s="1007">
        <v>47390</v>
      </c>
      <c r="F742" s="1010">
        <v>210323</v>
      </c>
      <c r="G742" s="969">
        <v>163008</v>
      </c>
      <c r="H742" s="969"/>
      <c r="I742" s="970">
        <v>9391</v>
      </c>
      <c r="J742" s="971">
        <v>39579</v>
      </c>
      <c r="K742" s="970">
        <v>23280</v>
      </c>
      <c r="L742" s="969">
        <v>3820</v>
      </c>
      <c r="M742" s="969"/>
      <c r="N742" s="970">
        <v>4614</v>
      </c>
      <c r="O742" s="970">
        <v>0</v>
      </c>
      <c r="P742" s="970">
        <v>0</v>
      </c>
      <c r="Q742" s="969">
        <v>17433</v>
      </c>
      <c r="R742" s="969"/>
      <c r="S742" s="970">
        <v>54934</v>
      </c>
      <c r="T742" s="972">
        <v>-6260</v>
      </c>
      <c r="U742" s="972">
        <v>48674</v>
      </c>
    </row>
    <row r="743" spans="1:21" x14ac:dyDescent="0.25">
      <c r="A743" s="966">
        <v>98071</v>
      </c>
      <c r="B743" s="967" t="s">
        <v>3357</v>
      </c>
      <c r="C743" s="968">
        <v>4.0099999999999999E-5</v>
      </c>
      <c r="D743" s="968">
        <v>3.4400000000000003E-5</v>
      </c>
      <c r="E743" s="1007">
        <v>28233</v>
      </c>
      <c r="F743" s="1010">
        <v>73008</v>
      </c>
      <c r="G743" s="969">
        <v>61262</v>
      </c>
      <c r="H743" s="969"/>
      <c r="I743" s="970">
        <v>3529</v>
      </c>
      <c r="J743" s="971">
        <v>14874</v>
      </c>
      <c r="K743" s="970">
        <v>8749</v>
      </c>
      <c r="L743" s="969">
        <v>18505</v>
      </c>
      <c r="M743" s="969"/>
      <c r="N743" s="970">
        <v>1734</v>
      </c>
      <c r="O743" s="970">
        <v>0</v>
      </c>
      <c r="P743" s="970">
        <v>0</v>
      </c>
      <c r="Q743" s="969">
        <v>1200</v>
      </c>
      <c r="R743" s="969"/>
      <c r="S743" s="970">
        <v>20645</v>
      </c>
      <c r="T743" s="972">
        <v>4654</v>
      </c>
      <c r="U743" s="972">
        <v>25299</v>
      </c>
    </row>
    <row r="744" spans="1:21" x14ac:dyDescent="0.25">
      <c r="A744" s="966">
        <v>98081</v>
      </c>
      <c r="B744" s="967" t="s">
        <v>3358</v>
      </c>
      <c r="C744" s="968">
        <v>1.8300000000000001E-5</v>
      </c>
      <c r="D744" s="968">
        <v>1.9400000000000001E-5</v>
      </c>
      <c r="E744" s="1007">
        <v>7556</v>
      </c>
      <c r="F744" s="1010">
        <v>41173</v>
      </c>
      <c r="G744" s="969">
        <v>27957</v>
      </c>
      <c r="H744" s="969"/>
      <c r="I744" s="970">
        <v>1611</v>
      </c>
      <c r="J744" s="971">
        <v>6788</v>
      </c>
      <c r="K744" s="970">
        <v>3993</v>
      </c>
      <c r="L744" s="969">
        <v>0</v>
      </c>
      <c r="M744" s="969"/>
      <c r="N744" s="970">
        <v>791</v>
      </c>
      <c r="O744" s="970">
        <v>0</v>
      </c>
      <c r="P744" s="970">
        <v>0</v>
      </c>
      <c r="Q744" s="969">
        <v>4207</v>
      </c>
      <c r="R744" s="969"/>
      <c r="S744" s="970">
        <v>9422</v>
      </c>
      <c r="T744" s="972">
        <v>-1896</v>
      </c>
      <c r="U744" s="972">
        <v>7526</v>
      </c>
    </row>
    <row r="745" spans="1:21" x14ac:dyDescent="0.25">
      <c r="A745" s="966">
        <v>98091</v>
      </c>
      <c r="B745" s="967" t="s">
        <v>3359</v>
      </c>
      <c r="C745" s="968">
        <v>4.7500000000000003E-5</v>
      </c>
      <c r="D745" s="968">
        <v>5.0899999999999997E-5</v>
      </c>
      <c r="E745" s="1007">
        <v>25241</v>
      </c>
      <c r="F745" s="1010">
        <v>108027</v>
      </c>
      <c r="G745" s="969">
        <v>72567</v>
      </c>
      <c r="H745" s="969"/>
      <c r="I745" s="970">
        <v>4181</v>
      </c>
      <c r="J745" s="971">
        <v>17619</v>
      </c>
      <c r="K745" s="970">
        <v>10364</v>
      </c>
      <c r="L745" s="969">
        <v>1261</v>
      </c>
      <c r="M745" s="969"/>
      <c r="N745" s="970">
        <v>2054</v>
      </c>
      <c r="O745" s="970">
        <v>0</v>
      </c>
      <c r="P745" s="970">
        <v>0</v>
      </c>
      <c r="Q745" s="969">
        <v>807</v>
      </c>
      <c r="R745" s="969"/>
      <c r="S745" s="970">
        <v>24455</v>
      </c>
      <c r="T745" s="972">
        <v>-295</v>
      </c>
      <c r="U745" s="972">
        <v>24160</v>
      </c>
    </row>
    <row r="746" spans="1:21" x14ac:dyDescent="0.25">
      <c r="A746" s="966">
        <v>98101</v>
      </c>
      <c r="B746" s="967" t="s">
        <v>3360</v>
      </c>
      <c r="C746" s="968">
        <v>2.8706999999999999E-3</v>
      </c>
      <c r="D746" s="968">
        <v>2.7642999999999999E-3</v>
      </c>
      <c r="E746" s="1007">
        <v>1210234</v>
      </c>
      <c r="F746" s="1010">
        <v>5866771</v>
      </c>
      <c r="G746" s="969">
        <v>4385634</v>
      </c>
      <c r="H746" s="969"/>
      <c r="I746" s="970">
        <v>252653</v>
      </c>
      <c r="J746" s="971">
        <v>1064838</v>
      </c>
      <c r="K746" s="970">
        <v>626329</v>
      </c>
      <c r="L746" s="969">
        <v>37308</v>
      </c>
      <c r="M746" s="969"/>
      <c r="N746" s="970">
        <v>124143</v>
      </c>
      <c r="O746" s="970">
        <v>0</v>
      </c>
      <c r="P746" s="970">
        <v>0</v>
      </c>
      <c r="Q746" s="969">
        <v>32438</v>
      </c>
      <c r="R746" s="969"/>
      <c r="S746" s="970">
        <v>1477963</v>
      </c>
      <c r="T746" s="972">
        <v>14286</v>
      </c>
      <c r="U746" s="972">
        <f>1492248+1</f>
        <v>1492249</v>
      </c>
    </row>
    <row r="747" spans="1:21" x14ac:dyDescent="0.25">
      <c r="A747" s="966">
        <v>98102</v>
      </c>
      <c r="B747" s="967" t="s">
        <v>3361</v>
      </c>
      <c r="C747" s="968">
        <v>1.5809999999999999E-4</v>
      </c>
      <c r="D747" s="968">
        <v>1.683E-4</v>
      </c>
      <c r="E747" s="1007">
        <v>71621</v>
      </c>
      <c r="F747" s="1010">
        <v>357189</v>
      </c>
      <c r="G747" s="969">
        <v>241533</v>
      </c>
      <c r="H747" s="969"/>
      <c r="I747" s="970">
        <v>13915</v>
      </c>
      <c r="J747" s="971">
        <v>58644</v>
      </c>
      <c r="K747" s="970">
        <v>34494</v>
      </c>
      <c r="L747" s="969">
        <v>0</v>
      </c>
      <c r="M747" s="969"/>
      <c r="N747" s="970">
        <v>6837</v>
      </c>
      <c r="O747" s="970">
        <v>0</v>
      </c>
      <c r="P747" s="970">
        <v>0</v>
      </c>
      <c r="Q747" s="969">
        <v>14329</v>
      </c>
      <c r="R747" s="969"/>
      <c r="S747" s="970">
        <v>81397</v>
      </c>
      <c r="T747" s="972">
        <v>-5584</v>
      </c>
      <c r="U747" s="972">
        <v>75813</v>
      </c>
    </row>
    <row r="748" spans="1:21" x14ac:dyDescent="0.25">
      <c r="A748" s="966">
        <v>98103</v>
      </c>
      <c r="B748" s="967" t="s">
        <v>3362</v>
      </c>
      <c r="C748" s="968">
        <v>5.4410000000000005E-4</v>
      </c>
      <c r="D748" s="968">
        <v>5.3600000000000002E-4</v>
      </c>
      <c r="E748" s="1007">
        <v>255161</v>
      </c>
      <c r="F748" s="1010">
        <v>1137572</v>
      </c>
      <c r="G748" s="969">
        <v>831234</v>
      </c>
      <c r="H748" s="969"/>
      <c r="I748" s="970">
        <v>47887</v>
      </c>
      <c r="J748" s="971">
        <v>201824</v>
      </c>
      <c r="K748" s="970">
        <v>118712</v>
      </c>
      <c r="L748" s="969">
        <v>9730</v>
      </c>
      <c r="M748" s="969"/>
      <c r="N748" s="970">
        <v>23530</v>
      </c>
      <c r="O748" s="970">
        <v>0</v>
      </c>
      <c r="P748" s="970">
        <v>0</v>
      </c>
      <c r="Q748" s="969">
        <v>27055</v>
      </c>
      <c r="R748" s="969"/>
      <c r="S748" s="970">
        <v>280127</v>
      </c>
      <c r="T748" s="972">
        <v>-17051</v>
      </c>
      <c r="U748" s="972">
        <v>263076</v>
      </c>
    </row>
    <row r="749" spans="1:21" x14ac:dyDescent="0.25">
      <c r="A749" s="966">
        <v>98107</v>
      </c>
      <c r="B749" s="967" t="s">
        <v>3363</v>
      </c>
      <c r="C749" s="968">
        <v>1.08E-5</v>
      </c>
      <c r="D749" s="968">
        <v>1.08E-5</v>
      </c>
      <c r="E749" s="1007">
        <v>9242</v>
      </c>
      <c r="F749" s="1010">
        <v>22921</v>
      </c>
      <c r="G749" s="969">
        <v>16499</v>
      </c>
      <c r="H749" s="969"/>
      <c r="I749" s="970">
        <v>951</v>
      </c>
      <c r="J749" s="971">
        <v>4006</v>
      </c>
      <c r="K749" s="970">
        <v>2356</v>
      </c>
      <c r="L749" s="969">
        <v>8237</v>
      </c>
      <c r="M749" s="969"/>
      <c r="N749" s="970">
        <v>467</v>
      </c>
      <c r="O749" s="970">
        <v>0</v>
      </c>
      <c r="P749" s="970">
        <v>0</v>
      </c>
      <c r="Q749" s="969">
        <v>0</v>
      </c>
      <c r="R749" s="969"/>
      <c r="S749" s="970">
        <v>5560</v>
      </c>
      <c r="T749" s="972">
        <v>3467</v>
      </c>
      <c r="U749" s="972">
        <v>9027</v>
      </c>
    </row>
    <row r="750" spans="1:21" x14ac:dyDescent="0.25">
      <c r="A750" s="966">
        <v>98109</v>
      </c>
      <c r="B750" s="967" t="s">
        <v>3364</v>
      </c>
      <c r="C750" s="968">
        <v>1.573E-4</v>
      </c>
      <c r="D750" s="968">
        <v>1.4660000000000001E-4</v>
      </c>
      <c r="E750" s="1007">
        <v>76016</v>
      </c>
      <c r="F750" s="1010">
        <v>311134</v>
      </c>
      <c r="G750" s="969">
        <v>240311</v>
      </c>
      <c r="H750" s="969"/>
      <c r="I750" s="970">
        <v>13844</v>
      </c>
      <c r="J750" s="971">
        <v>58348</v>
      </c>
      <c r="K750" s="970">
        <v>34320</v>
      </c>
      <c r="L750" s="969">
        <v>12163</v>
      </c>
      <c r="M750" s="969"/>
      <c r="N750" s="970">
        <v>6802</v>
      </c>
      <c r="O750" s="970">
        <v>0</v>
      </c>
      <c r="P750" s="970">
        <v>0</v>
      </c>
      <c r="Q750" s="969">
        <v>24551</v>
      </c>
      <c r="R750" s="969"/>
      <c r="S750" s="970">
        <v>80985</v>
      </c>
      <c r="T750" s="972">
        <v>-7590</v>
      </c>
      <c r="U750" s="972">
        <v>73395</v>
      </c>
    </row>
    <row r="751" spans="1:21" x14ac:dyDescent="0.25">
      <c r="A751" s="966">
        <v>98111</v>
      </c>
      <c r="B751" s="967" t="s">
        <v>3365</v>
      </c>
      <c r="C751" s="968">
        <v>1.0143000000000001E-3</v>
      </c>
      <c r="D751" s="968">
        <v>1.0191E-3</v>
      </c>
      <c r="E751" s="1007">
        <v>432530</v>
      </c>
      <c r="F751" s="1010">
        <v>2162872</v>
      </c>
      <c r="G751" s="969">
        <v>1549569</v>
      </c>
      <c r="H751" s="969"/>
      <c r="I751" s="970">
        <v>89270</v>
      </c>
      <c r="J751" s="971">
        <v>376238</v>
      </c>
      <c r="K751" s="970">
        <v>221300</v>
      </c>
      <c r="L751" s="969">
        <v>0</v>
      </c>
      <c r="M751" s="969"/>
      <c r="N751" s="970">
        <v>43863</v>
      </c>
      <c r="O751" s="970">
        <v>0</v>
      </c>
      <c r="P751" s="970">
        <v>0</v>
      </c>
      <c r="Q751" s="969">
        <v>66610</v>
      </c>
      <c r="R751" s="969"/>
      <c r="S751" s="970">
        <v>522206</v>
      </c>
      <c r="T751" s="972">
        <v>-21506</v>
      </c>
      <c r="U751" s="972">
        <v>500700</v>
      </c>
    </row>
    <row r="752" spans="1:21" x14ac:dyDescent="0.25">
      <c r="A752" s="966">
        <v>98113</v>
      </c>
      <c r="B752" s="967" t="s">
        <v>3366</v>
      </c>
      <c r="C752" s="968">
        <v>4.6199999999999998E-5</v>
      </c>
      <c r="D752" s="968">
        <v>3.8999999999999999E-5</v>
      </c>
      <c r="E752" s="1007">
        <v>23492</v>
      </c>
      <c r="F752" s="1010">
        <v>82771</v>
      </c>
      <c r="G752" s="969">
        <v>70581</v>
      </c>
      <c r="H752" s="969"/>
      <c r="I752" s="970">
        <v>4066</v>
      </c>
      <c r="J752" s="971">
        <v>17137</v>
      </c>
      <c r="K752" s="970">
        <v>10080</v>
      </c>
      <c r="L752" s="969">
        <v>11739</v>
      </c>
      <c r="M752" s="969"/>
      <c r="N752" s="970">
        <v>1998</v>
      </c>
      <c r="O752" s="970">
        <v>0</v>
      </c>
      <c r="P752" s="970">
        <v>0</v>
      </c>
      <c r="Q752" s="969">
        <v>0</v>
      </c>
      <c r="R752" s="969"/>
      <c r="S752" s="970">
        <v>23786</v>
      </c>
      <c r="T752" s="972">
        <v>4647</v>
      </c>
      <c r="U752" s="972">
        <f>28432+1</f>
        <v>28433</v>
      </c>
    </row>
    <row r="753" spans="1:21" x14ac:dyDescent="0.25">
      <c r="A753" s="966">
        <v>98121</v>
      </c>
      <c r="B753" s="967" t="s">
        <v>3367</v>
      </c>
      <c r="C753" s="968">
        <v>2.0100000000000001E-4</v>
      </c>
      <c r="D753" s="968">
        <v>2.2910000000000001E-4</v>
      </c>
      <c r="E753" s="1007">
        <v>89370</v>
      </c>
      <c r="F753" s="1010">
        <v>486227</v>
      </c>
      <c r="G753" s="969">
        <v>307072</v>
      </c>
      <c r="H753" s="969"/>
      <c r="I753" s="970">
        <v>17690</v>
      </c>
      <c r="J753" s="971">
        <v>74558</v>
      </c>
      <c r="K753" s="970">
        <v>43854</v>
      </c>
      <c r="L753" s="969">
        <v>2134</v>
      </c>
      <c r="M753" s="969"/>
      <c r="N753" s="970">
        <v>8692</v>
      </c>
      <c r="O753" s="970">
        <v>0</v>
      </c>
      <c r="P753" s="970">
        <v>0</v>
      </c>
      <c r="Q753" s="969">
        <v>25239</v>
      </c>
      <c r="R753" s="969"/>
      <c r="S753" s="970">
        <v>103484</v>
      </c>
      <c r="T753" s="972">
        <v>-5712</v>
      </c>
      <c r="U753" s="972">
        <f>97771+1</f>
        <v>97772</v>
      </c>
    </row>
    <row r="754" spans="1:21" x14ac:dyDescent="0.25">
      <c r="A754" s="966">
        <v>98131</v>
      </c>
      <c r="B754" s="967" t="s">
        <v>3368</v>
      </c>
      <c r="C754" s="968">
        <v>2.5230000000000001E-4</v>
      </c>
      <c r="D754" s="968">
        <v>2.9569999999999998E-4</v>
      </c>
      <c r="E754" s="1007">
        <v>119697</v>
      </c>
      <c r="F754" s="1010">
        <v>627574</v>
      </c>
      <c r="G754" s="969">
        <v>385445</v>
      </c>
      <c r="H754" s="969"/>
      <c r="I754" s="970">
        <v>22205</v>
      </c>
      <c r="J754" s="971">
        <v>93586</v>
      </c>
      <c r="K754" s="970">
        <v>55047</v>
      </c>
      <c r="L754" s="969">
        <v>0</v>
      </c>
      <c r="M754" s="969"/>
      <c r="N754" s="970">
        <v>10911</v>
      </c>
      <c r="O754" s="970">
        <v>0</v>
      </c>
      <c r="P754" s="970">
        <v>0</v>
      </c>
      <c r="Q754" s="969">
        <v>53749</v>
      </c>
      <c r="R754" s="969"/>
      <c r="S754" s="970">
        <v>129895</v>
      </c>
      <c r="T754" s="972">
        <v>-23653</v>
      </c>
      <c r="U754" s="972">
        <v>106242</v>
      </c>
    </row>
    <row r="755" spans="1:21" x14ac:dyDescent="0.25">
      <c r="A755" s="966">
        <v>98141</v>
      </c>
      <c r="B755" s="967" t="s">
        <v>3369</v>
      </c>
      <c r="C755" s="968">
        <v>3.0360000000000001E-4</v>
      </c>
      <c r="D755" s="968">
        <v>2.9030000000000001E-4</v>
      </c>
      <c r="E755" s="1007">
        <v>133558</v>
      </c>
      <c r="F755" s="1010">
        <v>616114</v>
      </c>
      <c r="G755" s="969">
        <v>463817</v>
      </c>
      <c r="H755" s="969"/>
      <c r="I755" s="970">
        <v>26720</v>
      </c>
      <c r="J755" s="971">
        <v>112616</v>
      </c>
      <c r="K755" s="970">
        <v>66239</v>
      </c>
      <c r="L755" s="969">
        <v>5226</v>
      </c>
      <c r="M755" s="969"/>
      <c r="N755" s="970">
        <v>13129</v>
      </c>
      <c r="O755" s="970">
        <v>0</v>
      </c>
      <c r="P755" s="970">
        <v>0</v>
      </c>
      <c r="Q755" s="969">
        <v>22375</v>
      </c>
      <c r="R755" s="969"/>
      <c r="S755" s="970">
        <v>156307</v>
      </c>
      <c r="T755" s="972">
        <v>-11630</v>
      </c>
      <c r="U755" s="972">
        <v>144677</v>
      </c>
    </row>
    <row r="756" spans="1:21" x14ac:dyDescent="0.25">
      <c r="A756" s="966">
        <v>98147</v>
      </c>
      <c r="B756" s="967" t="s">
        <v>3370</v>
      </c>
      <c r="C756" s="968">
        <v>1.29E-5</v>
      </c>
      <c r="D756" s="968">
        <v>1.29E-5</v>
      </c>
      <c r="E756" s="1007">
        <v>9893</v>
      </c>
      <c r="F756" s="1010">
        <v>27378</v>
      </c>
      <c r="G756" s="969">
        <v>19708</v>
      </c>
      <c r="H756" s="969"/>
      <c r="I756" s="970">
        <v>1135</v>
      </c>
      <c r="J756" s="971">
        <v>4785</v>
      </c>
      <c r="K756" s="970">
        <v>2815</v>
      </c>
      <c r="L756" s="969">
        <v>8231</v>
      </c>
      <c r="M756" s="969"/>
      <c r="N756" s="970">
        <v>558</v>
      </c>
      <c r="O756" s="970">
        <v>0</v>
      </c>
      <c r="P756" s="970">
        <v>0</v>
      </c>
      <c r="Q756" s="969">
        <v>0</v>
      </c>
      <c r="R756" s="969"/>
      <c r="S756" s="970">
        <v>6641</v>
      </c>
      <c r="T756" s="972">
        <v>3295</v>
      </c>
      <c r="U756" s="972">
        <f>9937-1</f>
        <v>9936</v>
      </c>
    </row>
    <row r="757" spans="1:21" x14ac:dyDescent="0.25">
      <c r="A757" s="966">
        <v>98161</v>
      </c>
      <c r="B757" s="967" t="s">
        <v>3371</v>
      </c>
      <c r="C757" s="968">
        <v>7.3000000000000004E-6</v>
      </c>
      <c r="D757" s="968">
        <v>7.4000000000000003E-6</v>
      </c>
      <c r="E757" s="1007">
        <v>5046</v>
      </c>
      <c r="F757" s="1010">
        <v>15705</v>
      </c>
      <c r="G757" s="969">
        <v>11152</v>
      </c>
      <c r="H757" s="969"/>
      <c r="I757" s="970">
        <v>642</v>
      </c>
      <c r="J757" s="971">
        <v>2708</v>
      </c>
      <c r="K757" s="970">
        <v>1593</v>
      </c>
      <c r="L757" s="969">
        <v>2689</v>
      </c>
      <c r="M757" s="969"/>
      <c r="N757" s="970">
        <v>316</v>
      </c>
      <c r="O757" s="970">
        <v>0</v>
      </c>
      <c r="P757" s="970">
        <v>0</v>
      </c>
      <c r="Q757" s="969">
        <v>0</v>
      </c>
      <c r="R757" s="969"/>
      <c r="S757" s="970">
        <v>3758</v>
      </c>
      <c r="T757" s="972">
        <v>1075</v>
      </c>
      <c r="U757" s="972">
        <v>4833</v>
      </c>
    </row>
    <row r="758" spans="1:21" x14ac:dyDescent="0.25">
      <c r="A758" s="966">
        <v>98201</v>
      </c>
      <c r="B758" s="967" t="s">
        <v>3372</v>
      </c>
      <c r="C758" s="968">
        <v>3.1664000000000002E-3</v>
      </c>
      <c r="D758" s="968">
        <v>3.0368999999999999E-3</v>
      </c>
      <c r="E758" s="1007">
        <v>1424604</v>
      </c>
      <c r="F758" s="1010">
        <v>6445319</v>
      </c>
      <c r="G758" s="969">
        <v>4837382</v>
      </c>
      <c r="H758" s="969"/>
      <c r="I758" s="970">
        <v>278678</v>
      </c>
      <c r="J758" s="971">
        <v>1174522</v>
      </c>
      <c r="K758" s="970">
        <v>690845</v>
      </c>
      <c r="L758" s="969">
        <v>63594</v>
      </c>
      <c r="M758" s="969"/>
      <c r="N758" s="970">
        <v>136931</v>
      </c>
      <c r="O758" s="970">
        <v>0</v>
      </c>
      <c r="P758" s="970">
        <v>0</v>
      </c>
      <c r="Q758" s="969">
        <v>39608</v>
      </c>
      <c r="R758" s="969"/>
      <c r="S758" s="970">
        <v>1630202</v>
      </c>
      <c r="T758" s="972">
        <v>-5370</v>
      </c>
      <c r="U758" s="972">
        <v>1624832</v>
      </c>
    </row>
    <row r="759" spans="1:21" x14ac:dyDescent="0.25">
      <c r="A759" s="966">
        <v>98205</v>
      </c>
      <c r="B759" s="967" t="s">
        <v>3373</v>
      </c>
      <c r="C759" s="968">
        <v>4.6799999999999999E-5</v>
      </c>
      <c r="D759" s="968">
        <v>5.13E-5</v>
      </c>
      <c r="E759" s="1007">
        <v>23505</v>
      </c>
      <c r="F759" s="1010">
        <v>108876</v>
      </c>
      <c r="G759" s="969">
        <v>71497</v>
      </c>
      <c r="H759" s="969"/>
      <c r="I759" s="970">
        <v>4119</v>
      </c>
      <c r="J759" s="971">
        <v>17359</v>
      </c>
      <c r="K759" s="970">
        <v>10211</v>
      </c>
      <c r="L759" s="969">
        <v>1985</v>
      </c>
      <c r="M759" s="969"/>
      <c r="N759" s="970">
        <v>2024</v>
      </c>
      <c r="O759" s="970">
        <v>0</v>
      </c>
      <c r="P759" s="970">
        <v>0</v>
      </c>
      <c r="Q759" s="969">
        <v>2510</v>
      </c>
      <c r="R759" s="969"/>
      <c r="S759" s="970">
        <v>24095</v>
      </c>
      <c r="T759" s="972">
        <v>-141</v>
      </c>
      <c r="U759" s="972">
        <f>23953+1</f>
        <v>23954</v>
      </c>
    </row>
    <row r="760" spans="1:21" x14ac:dyDescent="0.25">
      <c r="A760" s="966">
        <v>98211</v>
      </c>
      <c r="B760" s="967" t="s">
        <v>3374</v>
      </c>
      <c r="C760" s="968">
        <v>8.6689999999999998E-4</v>
      </c>
      <c r="D760" s="968">
        <v>9.1609999999999999E-4</v>
      </c>
      <c r="E760" s="1007">
        <v>365218</v>
      </c>
      <c r="F760" s="1010">
        <v>1944271</v>
      </c>
      <c r="G760" s="969">
        <v>1324383</v>
      </c>
      <c r="H760" s="969"/>
      <c r="I760" s="970">
        <v>76297</v>
      </c>
      <c r="J760" s="971">
        <v>321561</v>
      </c>
      <c r="K760" s="970">
        <v>189140</v>
      </c>
      <c r="L760" s="969">
        <v>0</v>
      </c>
      <c r="M760" s="969"/>
      <c r="N760" s="970">
        <v>37489</v>
      </c>
      <c r="O760" s="970">
        <v>0</v>
      </c>
      <c r="P760" s="970">
        <v>0</v>
      </c>
      <c r="Q760" s="969">
        <v>136830</v>
      </c>
      <c r="R760" s="969"/>
      <c r="S760" s="970">
        <v>446318</v>
      </c>
      <c r="T760" s="972">
        <v>-50136</v>
      </c>
      <c r="U760" s="972">
        <v>396182</v>
      </c>
    </row>
    <row r="761" spans="1:21" x14ac:dyDescent="0.25">
      <c r="A761" s="966">
        <v>98218</v>
      </c>
      <c r="B761" s="967" t="s">
        <v>3375</v>
      </c>
      <c r="C761" s="968">
        <v>1.3200000000000001E-5</v>
      </c>
      <c r="D761" s="968">
        <v>1.0200000000000001E-5</v>
      </c>
      <c r="E761" s="1007">
        <v>5829</v>
      </c>
      <c r="F761" s="1010">
        <v>21648</v>
      </c>
      <c r="G761" s="969">
        <v>20166</v>
      </c>
      <c r="H761" s="969"/>
      <c r="I761" s="970">
        <v>1162</v>
      </c>
      <c r="J761" s="971">
        <v>4896</v>
      </c>
      <c r="K761" s="970">
        <v>2880</v>
      </c>
      <c r="L761" s="969">
        <v>1827</v>
      </c>
      <c r="M761" s="969"/>
      <c r="N761" s="970">
        <v>571</v>
      </c>
      <c r="O761" s="970">
        <v>0</v>
      </c>
      <c r="P761" s="970">
        <v>0</v>
      </c>
      <c r="Q761" s="969">
        <v>1072</v>
      </c>
      <c r="R761" s="969"/>
      <c r="S761" s="970">
        <v>6796</v>
      </c>
      <c r="T761" s="972">
        <v>-336</v>
      </c>
      <c r="U761" s="972">
        <v>6460</v>
      </c>
    </row>
    <row r="762" spans="1:21" x14ac:dyDescent="0.25">
      <c r="A762" s="966">
        <v>98221</v>
      </c>
      <c r="B762" s="967" t="s">
        <v>3376</v>
      </c>
      <c r="C762" s="968">
        <v>1.8899999999999999E-5</v>
      </c>
      <c r="D762" s="968">
        <v>1.6799999999999998E-5</v>
      </c>
      <c r="E762" s="1007">
        <v>9739</v>
      </c>
      <c r="F762" s="1010">
        <v>35655</v>
      </c>
      <c r="G762" s="969">
        <v>28874</v>
      </c>
      <c r="H762" s="969"/>
      <c r="I762" s="970">
        <v>1663</v>
      </c>
      <c r="J762" s="971">
        <v>7011</v>
      </c>
      <c r="K762" s="970">
        <v>4124</v>
      </c>
      <c r="L762" s="969">
        <v>4593</v>
      </c>
      <c r="M762" s="969"/>
      <c r="N762" s="970">
        <v>817</v>
      </c>
      <c r="O762" s="970">
        <v>0</v>
      </c>
      <c r="P762" s="970">
        <v>0</v>
      </c>
      <c r="Q762" s="969">
        <v>0</v>
      </c>
      <c r="R762" s="969"/>
      <c r="S762" s="970">
        <v>9731</v>
      </c>
      <c r="T762" s="972">
        <v>1469</v>
      </c>
      <c r="U762" s="972">
        <v>11200</v>
      </c>
    </row>
    <row r="763" spans="1:21" x14ac:dyDescent="0.25">
      <c r="A763" s="966">
        <v>98231</v>
      </c>
      <c r="B763" s="967" t="s">
        <v>3377</v>
      </c>
      <c r="C763" s="968">
        <v>2.2799999999999999E-5</v>
      </c>
      <c r="D763" s="968">
        <v>3.1999999999999999E-5</v>
      </c>
      <c r="E763" s="1007">
        <v>11487</v>
      </c>
      <c r="F763" s="1010">
        <v>67915</v>
      </c>
      <c r="G763" s="969">
        <v>34832</v>
      </c>
      <c r="H763" s="969"/>
      <c r="I763" s="970">
        <v>2007</v>
      </c>
      <c r="J763" s="971">
        <v>8457</v>
      </c>
      <c r="K763" s="970">
        <v>4975</v>
      </c>
      <c r="L763" s="969">
        <v>1705</v>
      </c>
      <c r="M763" s="969"/>
      <c r="N763" s="970">
        <v>986</v>
      </c>
      <c r="O763" s="970">
        <v>0</v>
      </c>
      <c r="P763" s="970">
        <v>0</v>
      </c>
      <c r="Q763" s="969">
        <v>9632</v>
      </c>
      <c r="R763" s="969"/>
      <c r="S763" s="970">
        <v>11738</v>
      </c>
      <c r="T763" s="972">
        <v>-3592</v>
      </c>
      <c r="U763" s="972">
        <v>8146</v>
      </c>
    </row>
    <row r="764" spans="1:21" x14ac:dyDescent="0.25">
      <c r="A764" s="966">
        <v>98237</v>
      </c>
      <c r="B764" s="967" t="s">
        <v>3378</v>
      </c>
      <c r="C764" s="968">
        <v>5.9000000000000003E-6</v>
      </c>
      <c r="D764" s="968">
        <v>2.7E-6</v>
      </c>
      <c r="E764" s="1007">
        <v>4385</v>
      </c>
      <c r="F764" s="1010">
        <v>5730</v>
      </c>
      <c r="G764" s="969">
        <v>9014</v>
      </c>
      <c r="H764" s="969"/>
      <c r="I764" s="970">
        <v>519</v>
      </c>
      <c r="J764" s="971">
        <v>2188</v>
      </c>
      <c r="K764" s="970">
        <v>1287</v>
      </c>
      <c r="L764" s="969">
        <v>5034</v>
      </c>
      <c r="M764" s="969"/>
      <c r="N764" s="970">
        <v>255</v>
      </c>
      <c r="O764" s="970">
        <v>0</v>
      </c>
      <c r="P764" s="970">
        <v>0</v>
      </c>
      <c r="Q764" s="969">
        <v>0</v>
      </c>
      <c r="R764" s="969"/>
      <c r="S764" s="970">
        <v>3038</v>
      </c>
      <c r="T764" s="972">
        <v>1666</v>
      </c>
      <c r="U764" s="972">
        <v>4704</v>
      </c>
    </row>
    <row r="765" spans="1:21" x14ac:dyDescent="0.25">
      <c r="A765" s="966">
        <v>98241</v>
      </c>
      <c r="B765" s="967" t="s">
        <v>3379</v>
      </c>
      <c r="C765" s="968">
        <v>1.5099999999999999E-5</v>
      </c>
      <c r="D765" s="968">
        <v>1.98E-5</v>
      </c>
      <c r="E765" s="1007">
        <v>8388</v>
      </c>
      <c r="F765" s="1010">
        <v>42022</v>
      </c>
      <c r="G765" s="969">
        <v>23069</v>
      </c>
      <c r="H765" s="969"/>
      <c r="I765" s="970">
        <v>1329</v>
      </c>
      <c r="J765" s="971">
        <v>5602</v>
      </c>
      <c r="K765" s="970">
        <v>3295</v>
      </c>
      <c r="L765" s="969">
        <v>5512</v>
      </c>
      <c r="M765" s="969"/>
      <c r="N765" s="970">
        <v>653</v>
      </c>
      <c r="O765" s="970">
        <v>0</v>
      </c>
      <c r="P765" s="970">
        <v>0</v>
      </c>
      <c r="Q765" s="969">
        <v>2200</v>
      </c>
      <c r="R765" s="969"/>
      <c r="S765" s="970">
        <v>7774</v>
      </c>
      <c r="T765" s="972">
        <v>2564</v>
      </c>
      <c r="U765" s="972">
        <f>10339-1</f>
        <v>10338</v>
      </c>
    </row>
    <row r="766" spans="1:21" x14ac:dyDescent="0.25">
      <c r="A766" s="966">
        <v>98251</v>
      </c>
      <c r="B766" s="967" t="s">
        <v>3380</v>
      </c>
      <c r="C766" s="968">
        <v>3.0000000000000001E-6</v>
      </c>
      <c r="D766" s="968">
        <v>3.1E-6</v>
      </c>
      <c r="E766" s="1007">
        <v>2206</v>
      </c>
      <c r="F766" s="1010">
        <v>6579</v>
      </c>
      <c r="G766" s="969">
        <v>4583</v>
      </c>
      <c r="H766" s="969"/>
      <c r="I766" s="970">
        <v>264</v>
      </c>
      <c r="J766" s="971">
        <v>1113</v>
      </c>
      <c r="K766" s="970">
        <v>655</v>
      </c>
      <c r="L766" s="969">
        <v>1375</v>
      </c>
      <c r="M766" s="969"/>
      <c r="N766" s="970">
        <v>130</v>
      </c>
      <c r="O766" s="970">
        <v>0</v>
      </c>
      <c r="P766" s="970">
        <v>0</v>
      </c>
      <c r="Q766" s="969">
        <v>0</v>
      </c>
      <c r="R766" s="969"/>
      <c r="S766" s="970">
        <v>1545</v>
      </c>
      <c r="T766" s="972">
        <v>561</v>
      </c>
      <c r="U766" s="972">
        <v>2106</v>
      </c>
    </row>
    <row r="767" spans="1:21" x14ac:dyDescent="0.25">
      <c r="A767" s="966">
        <v>98261</v>
      </c>
      <c r="B767" s="967" t="s">
        <v>3381</v>
      </c>
      <c r="C767" s="968">
        <v>3.3200000000000001E-5</v>
      </c>
      <c r="D767" s="968">
        <v>2.97E-5</v>
      </c>
      <c r="E767" s="1007">
        <v>16865</v>
      </c>
      <c r="F767" s="1010">
        <v>63033</v>
      </c>
      <c r="G767" s="969">
        <v>50720</v>
      </c>
      <c r="H767" s="969"/>
      <c r="I767" s="970">
        <v>2922</v>
      </c>
      <c r="J767" s="971">
        <v>12315</v>
      </c>
      <c r="K767" s="970">
        <v>7244</v>
      </c>
      <c r="L767" s="969">
        <v>6546</v>
      </c>
      <c r="M767" s="969"/>
      <c r="N767" s="970">
        <v>1436</v>
      </c>
      <c r="O767" s="970">
        <v>0</v>
      </c>
      <c r="P767" s="970">
        <v>0</v>
      </c>
      <c r="Q767" s="969">
        <v>4922</v>
      </c>
      <c r="R767" s="969"/>
      <c r="S767" s="970">
        <v>17093</v>
      </c>
      <c r="T767" s="972">
        <v>793</v>
      </c>
      <c r="U767" s="972">
        <v>17886</v>
      </c>
    </row>
    <row r="768" spans="1:21" x14ac:dyDescent="0.25">
      <c r="A768" s="966">
        <v>98271</v>
      </c>
      <c r="B768" s="967" t="s">
        <v>3382</v>
      </c>
      <c r="C768" s="968">
        <v>5.1000000000000003E-6</v>
      </c>
      <c r="D768" s="968">
        <v>4.5000000000000001E-6</v>
      </c>
      <c r="E768" s="1007">
        <v>2676</v>
      </c>
      <c r="F768" s="1010">
        <v>9551</v>
      </c>
      <c r="G768" s="969">
        <v>7791</v>
      </c>
      <c r="H768" s="969"/>
      <c r="I768" s="970">
        <v>449</v>
      </c>
      <c r="J768" s="971">
        <v>1891</v>
      </c>
      <c r="K768" s="970">
        <v>1113</v>
      </c>
      <c r="L768" s="969">
        <v>3229</v>
      </c>
      <c r="M768" s="969"/>
      <c r="N768" s="970">
        <v>221</v>
      </c>
      <c r="O768" s="970">
        <v>0</v>
      </c>
      <c r="P768" s="970">
        <v>0</v>
      </c>
      <c r="Q768" s="969">
        <v>0</v>
      </c>
      <c r="R768" s="969"/>
      <c r="S768" s="970">
        <v>2626</v>
      </c>
      <c r="T768" s="972">
        <v>1560</v>
      </c>
      <c r="U768" s="972">
        <f>4185+1</f>
        <v>4186</v>
      </c>
    </row>
    <row r="769" spans="1:21" x14ac:dyDescent="0.25">
      <c r="A769" s="966">
        <v>98301</v>
      </c>
      <c r="B769" s="967" t="s">
        <v>3383</v>
      </c>
      <c r="C769" s="968">
        <v>1.7542E-3</v>
      </c>
      <c r="D769" s="968">
        <v>1.7776999999999999E-3</v>
      </c>
      <c r="E769" s="1007">
        <v>825878</v>
      </c>
      <c r="F769" s="1010">
        <v>3772875</v>
      </c>
      <c r="G769" s="969">
        <v>2679932</v>
      </c>
      <c r="H769" s="969"/>
      <c r="I769" s="970">
        <v>154389</v>
      </c>
      <c r="J769" s="971">
        <v>650690</v>
      </c>
      <c r="K769" s="970">
        <v>382731</v>
      </c>
      <c r="L769" s="969">
        <v>51704</v>
      </c>
      <c r="M769" s="969"/>
      <c r="N769" s="970">
        <v>75860</v>
      </c>
      <c r="O769" s="970">
        <v>0</v>
      </c>
      <c r="P769" s="970">
        <v>0</v>
      </c>
      <c r="Q769" s="969">
        <v>7816</v>
      </c>
      <c r="R769" s="969"/>
      <c r="S769" s="970">
        <v>903139</v>
      </c>
      <c r="T769" s="972">
        <v>17344</v>
      </c>
      <c r="U769" s="972">
        <v>920483</v>
      </c>
    </row>
    <row r="770" spans="1:21" x14ac:dyDescent="0.25">
      <c r="A770" s="966">
        <v>98304</v>
      </c>
      <c r="B770" s="967" t="s">
        <v>3384</v>
      </c>
      <c r="C770" s="968">
        <v>2.0999999999999999E-5</v>
      </c>
      <c r="D770" s="968">
        <v>2.2900000000000001E-5</v>
      </c>
      <c r="E770" s="1007">
        <v>12751</v>
      </c>
      <c r="F770" s="1010">
        <v>48601</v>
      </c>
      <c r="G770" s="969">
        <v>32082</v>
      </c>
      <c r="H770" s="969"/>
      <c r="I770" s="970">
        <v>1848</v>
      </c>
      <c r="J770" s="971">
        <v>7790</v>
      </c>
      <c r="K770" s="970">
        <v>4582</v>
      </c>
      <c r="L770" s="969">
        <v>2290</v>
      </c>
      <c r="M770" s="969"/>
      <c r="N770" s="970">
        <v>908</v>
      </c>
      <c r="O770" s="970">
        <v>0</v>
      </c>
      <c r="P770" s="970">
        <v>0</v>
      </c>
      <c r="Q770" s="969">
        <v>0</v>
      </c>
      <c r="R770" s="969"/>
      <c r="S770" s="970">
        <v>10812</v>
      </c>
      <c r="T770" s="972">
        <v>818</v>
      </c>
      <c r="U770" s="972">
        <f>11629+1</f>
        <v>11630</v>
      </c>
    </row>
    <row r="771" spans="1:21" x14ac:dyDescent="0.25">
      <c r="A771" s="966">
        <v>98308</v>
      </c>
      <c r="B771" s="967" t="s">
        <v>3385</v>
      </c>
      <c r="C771" s="968">
        <v>2.37E-5</v>
      </c>
      <c r="D771" s="968">
        <v>2.55E-5</v>
      </c>
      <c r="E771" s="1007">
        <v>15363</v>
      </c>
      <c r="F771" s="1010">
        <v>54120</v>
      </c>
      <c r="G771" s="969">
        <v>36207</v>
      </c>
      <c r="H771" s="969"/>
      <c r="I771" s="970">
        <v>2086</v>
      </c>
      <c r="J771" s="971">
        <v>8791</v>
      </c>
      <c r="K771" s="970">
        <v>5171</v>
      </c>
      <c r="L771" s="969">
        <v>7272</v>
      </c>
      <c r="M771" s="969"/>
      <c r="N771" s="970">
        <v>1025</v>
      </c>
      <c r="O771" s="970">
        <v>0</v>
      </c>
      <c r="P771" s="970">
        <v>0</v>
      </c>
      <c r="Q771" s="969">
        <v>0</v>
      </c>
      <c r="R771" s="969"/>
      <c r="S771" s="970">
        <v>12202</v>
      </c>
      <c r="T771" s="972">
        <v>3390</v>
      </c>
      <c r="U771" s="972">
        <v>15592</v>
      </c>
    </row>
    <row r="772" spans="1:21" x14ac:dyDescent="0.25">
      <c r="A772" s="966">
        <v>98311</v>
      </c>
      <c r="B772" s="967" t="s">
        <v>3386</v>
      </c>
      <c r="C772" s="968">
        <v>1.1536000000000001E-3</v>
      </c>
      <c r="D772" s="968">
        <v>1.1441999999999999E-3</v>
      </c>
      <c r="E772" s="1007">
        <v>462217</v>
      </c>
      <c r="F772" s="1010">
        <v>2428376</v>
      </c>
      <c r="G772" s="969">
        <v>1762381</v>
      </c>
      <c r="H772" s="969"/>
      <c r="I772" s="970">
        <v>101529</v>
      </c>
      <c r="J772" s="971">
        <v>427908</v>
      </c>
      <c r="K772" s="970">
        <v>251692</v>
      </c>
      <c r="L772" s="969">
        <v>12653</v>
      </c>
      <c r="M772" s="969"/>
      <c r="N772" s="970">
        <v>49887</v>
      </c>
      <c r="O772" s="970">
        <v>0</v>
      </c>
      <c r="P772" s="970">
        <v>0</v>
      </c>
      <c r="Q772" s="969">
        <v>98661</v>
      </c>
      <c r="R772" s="969"/>
      <c r="S772" s="970">
        <v>593924</v>
      </c>
      <c r="T772" s="972">
        <v>-18424</v>
      </c>
      <c r="U772" s="972">
        <f>575501-1</f>
        <v>575500</v>
      </c>
    </row>
    <row r="773" spans="1:21" x14ac:dyDescent="0.25">
      <c r="A773" s="966">
        <v>98313</v>
      </c>
      <c r="B773" s="967" t="s">
        <v>3387</v>
      </c>
      <c r="C773" s="968">
        <v>2.3560000000000001E-4</v>
      </c>
      <c r="D773" s="968">
        <v>2.4240000000000001E-4</v>
      </c>
      <c r="E773" s="1007">
        <v>259158</v>
      </c>
      <c r="F773" s="1010">
        <v>514454</v>
      </c>
      <c r="G773" s="969">
        <v>359932</v>
      </c>
      <c r="H773" s="969"/>
      <c r="I773" s="970">
        <v>20735</v>
      </c>
      <c r="J773" s="971">
        <v>87392</v>
      </c>
      <c r="K773" s="970">
        <v>51403</v>
      </c>
      <c r="L773" s="969">
        <v>233571</v>
      </c>
      <c r="M773" s="969"/>
      <c r="N773" s="970">
        <v>10189</v>
      </c>
      <c r="O773" s="970">
        <v>0</v>
      </c>
      <c r="P773" s="970">
        <v>0</v>
      </c>
      <c r="Q773" s="969">
        <v>59</v>
      </c>
      <c r="R773" s="969"/>
      <c r="S773" s="970">
        <v>121297</v>
      </c>
      <c r="T773" s="972">
        <v>77966</v>
      </c>
      <c r="U773" s="972">
        <v>199263</v>
      </c>
    </row>
    <row r="774" spans="1:21" x14ac:dyDescent="0.25">
      <c r="A774" s="966">
        <v>98321</v>
      </c>
      <c r="B774" s="967" t="s">
        <v>3388</v>
      </c>
      <c r="C774" s="968">
        <v>2.05E-5</v>
      </c>
      <c r="D774" s="968">
        <v>2.1399999999999998E-5</v>
      </c>
      <c r="E774" s="1007">
        <v>10270</v>
      </c>
      <c r="F774" s="1010">
        <v>45418</v>
      </c>
      <c r="G774" s="969">
        <v>31318</v>
      </c>
      <c r="H774" s="969"/>
      <c r="I774" s="970">
        <v>1804</v>
      </c>
      <c r="J774" s="971">
        <v>7604</v>
      </c>
      <c r="K774" s="970">
        <v>4473</v>
      </c>
      <c r="L774" s="969">
        <v>1639</v>
      </c>
      <c r="M774" s="969"/>
      <c r="N774" s="970">
        <v>887</v>
      </c>
      <c r="O774" s="970">
        <v>0</v>
      </c>
      <c r="P774" s="970">
        <v>0</v>
      </c>
      <c r="Q774" s="969">
        <v>3066</v>
      </c>
      <c r="R774" s="969"/>
      <c r="S774" s="970">
        <v>10554</v>
      </c>
      <c r="T774" s="972">
        <v>472</v>
      </c>
      <c r="U774" s="972">
        <v>11026</v>
      </c>
    </row>
    <row r="775" spans="1:21" x14ac:dyDescent="0.25">
      <c r="A775" s="966">
        <v>98331</v>
      </c>
      <c r="B775" s="967" t="s">
        <v>3389</v>
      </c>
      <c r="C775" s="968">
        <v>9.7999999999999993E-6</v>
      </c>
      <c r="D775" s="968">
        <v>1.03E-5</v>
      </c>
      <c r="E775" s="1007">
        <v>6281</v>
      </c>
      <c r="F775" s="1010">
        <v>21860</v>
      </c>
      <c r="G775" s="969">
        <v>14972</v>
      </c>
      <c r="H775" s="969"/>
      <c r="I775" s="970">
        <v>863</v>
      </c>
      <c r="J775" s="971">
        <v>3635</v>
      </c>
      <c r="K775" s="970">
        <v>2138</v>
      </c>
      <c r="L775" s="969">
        <v>3035</v>
      </c>
      <c r="M775" s="969"/>
      <c r="N775" s="970">
        <v>424</v>
      </c>
      <c r="O775" s="970">
        <v>0</v>
      </c>
      <c r="P775" s="970">
        <v>0</v>
      </c>
      <c r="Q775" s="969">
        <v>132</v>
      </c>
      <c r="R775" s="969"/>
      <c r="S775" s="970">
        <v>5045</v>
      </c>
      <c r="T775" s="972">
        <v>972</v>
      </c>
      <c r="U775" s="972">
        <f>6018-1</f>
        <v>6017</v>
      </c>
    </row>
    <row r="776" spans="1:21" x14ac:dyDescent="0.25">
      <c r="A776" s="966">
        <v>98401</v>
      </c>
      <c r="B776" s="967" t="s">
        <v>3390</v>
      </c>
      <c r="C776" s="968">
        <v>2.7655000000000002E-3</v>
      </c>
      <c r="D776" s="968">
        <v>2.7567999999999998E-3</v>
      </c>
      <c r="E776" s="1007">
        <v>1399311</v>
      </c>
      <c r="F776" s="1010">
        <v>5850853</v>
      </c>
      <c r="G776" s="969">
        <v>4224918</v>
      </c>
      <c r="H776" s="969"/>
      <c r="I776" s="970">
        <v>243394</v>
      </c>
      <c r="J776" s="971">
        <v>1025815</v>
      </c>
      <c r="K776" s="970">
        <v>603377</v>
      </c>
      <c r="L776" s="969">
        <v>168129</v>
      </c>
      <c r="M776" s="969"/>
      <c r="N776" s="970">
        <v>119594</v>
      </c>
      <c r="O776" s="970">
        <v>0</v>
      </c>
      <c r="P776" s="970">
        <v>0</v>
      </c>
      <c r="Q776" s="969">
        <v>6292</v>
      </c>
      <c r="R776" s="969"/>
      <c r="S776" s="970">
        <v>1423801</v>
      </c>
      <c r="T776" s="972">
        <v>58759</v>
      </c>
      <c r="U776" s="972">
        <v>1482560</v>
      </c>
    </row>
    <row r="777" spans="1:21" x14ac:dyDescent="0.25">
      <c r="A777" s="966">
        <v>98404</v>
      </c>
      <c r="B777" s="967" t="s">
        <v>3677</v>
      </c>
      <c r="C777" s="968">
        <v>1.52E-5</v>
      </c>
      <c r="D777" s="968">
        <v>0</v>
      </c>
      <c r="E777" s="1007">
        <v>5852</v>
      </c>
      <c r="F777" s="1010">
        <v>0</v>
      </c>
      <c r="G777" s="969">
        <v>23221</v>
      </c>
      <c r="H777" s="969"/>
      <c r="I777" s="970">
        <v>1338</v>
      </c>
      <c r="J777" s="971">
        <v>5638</v>
      </c>
      <c r="K777" s="970">
        <v>3316</v>
      </c>
      <c r="L777" s="969">
        <v>9290</v>
      </c>
      <c r="M777" s="969"/>
      <c r="N777" s="970">
        <v>657</v>
      </c>
      <c r="O777" s="970">
        <v>0</v>
      </c>
      <c r="P777" s="970">
        <v>0</v>
      </c>
      <c r="Q777" s="969">
        <v>0</v>
      </c>
      <c r="R777" s="969"/>
      <c r="S777" s="970">
        <v>7826</v>
      </c>
      <c r="T777" s="972">
        <v>2323</v>
      </c>
      <c r="U777" s="972">
        <f>10148+1</f>
        <v>10149</v>
      </c>
    </row>
    <row r="778" spans="1:21" x14ac:dyDescent="0.25">
      <c r="A778" s="966">
        <v>98411</v>
      </c>
      <c r="B778" s="967" t="s">
        <v>3391</v>
      </c>
      <c r="C778" s="968">
        <v>1.9816E-3</v>
      </c>
      <c r="D778" s="968">
        <v>2.0076999999999998E-3</v>
      </c>
      <c r="E778" s="1007">
        <v>869964</v>
      </c>
      <c r="F778" s="1010">
        <v>4261012</v>
      </c>
      <c r="G778" s="969">
        <v>3027336</v>
      </c>
      <c r="H778" s="969"/>
      <c r="I778" s="970">
        <v>174403</v>
      </c>
      <c r="J778" s="971">
        <v>735040</v>
      </c>
      <c r="K778" s="970">
        <v>432345</v>
      </c>
      <c r="L778" s="969">
        <v>3986</v>
      </c>
      <c r="M778" s="969"/>
      <c r="N778" s="970">
        <v>85694</v>
      </c>
      <c r="O778" s="970">
        <v>0</v>
      </c>
      <c r="P778" s="970">
        <v>0</v>
      </c>
      <c r="Q778" s="969">
        <v>73699</v>
      </c>
      <c r="R778" s="969"/>
      <c r="S778" s="970">
        <v>1020215</v>
      </c>
      <c r="T778" s="972">
        <v>-19116</v>
      </c>
      <c r="U778" s="972">
        <v>1001099</v>
      </c>
    </row>
    <row r="779" spans="1:21" x14ac:dyDescent="0.25">
      <c r="A779" s="966">
        <v>98414</v>
      </c>
      <c r="B779" s="967" t="s">
        <v>2631</v>
      </c>
      <c r="C779" s="974">
        <f>0.00283%+0.00102%</f>
        <v>3.8500000000000001E-5</v>
      </c>
      <c r="D779" s="968">
        <v>4.3600000000000003E-5</v>
      </c>
      <c r="E779" s="1007">
        <v>7367</v>
      </c>
      <c r="F779" s="1010">
        <v>0</v>
      </c>
      <c r="G779" s="969">
        <f>43235+15583</f>
        <v>58818</v>
      </c>
      <c r="H779" s="969"/>
      <c r="I779" s="970">
        <f>2491+898</f>
        <v>3389</v>
      </c>
      <c r="J779" s="971">
        <v>14282</v>
      </c>
      <c r="K779" s="970">
        <f>6174+2225</f>
        <v>8399</v>
      </c>
      <c r="L779" s="969">
        <v>14474</v>
      </c>
      <c r="M779" s="969"/>
      <c r="N779" s="970">
        <f>1224+441</f>
        <v>1665</v>
      </c>
      <c r="O779" s="970">
        <v>0</v>
      </c>
      <c r="P779" s="970">
        <v>0</v>
      </c>
      <c r="Q779" s="969">
        <f>0+24505</f>
        <v>24505</v>
      </c>
      <c r="R779" s="969"/>
      <c r="S779" s="970">
        <f>14570+5251</f>
        <v>19821</v>
      </c>
      <c r="T779" s="972">
        <f>3619-7460</f>
        <v>-3841</v>
      </c>
      <c r="U779" s="972">
        <f>18189-2209</f>
        <v>15980</v>
      </c>
    </row>
    <row r="780" spans="1:21" x14ac:dyDescent="0.25">
      <c r="A780" s="966">
        <v>98417</v>
      </c>
      <c r="B780" s="967" t="s">
        <v>3392</v>
      </c>
      <c r="C780" s="968">
        <v>2.2900000000000001E-5</v>
      </c>
      <c r="D780" s="968">
        <v>2.4899999999999999E-5</v>
      </c>
      <c r="E780" s="1007">
        <v>14126</v>
      </c>
      <c r="F780" s="1010">
        <v>0</v>
      </c>
      <c r="G780" s="969">
        <v>34985</v>
      </c>
      <c r="H780" s="969"/>
      <c r="I780" s="970">
        <v>2015</v>
      </c>
      <c r="J780" s="971">
        <v>8494</v>
      </c>
      <c r="K780" s="970">
        <v>4996</v>
      </c>
      <c r="L780" s="969">
        <v>2511</v>
      </c>
      <c r="M780" s="969"/>
      <c r="N780" s="970">
        <v>990</v>
      </c>
      <c r="O780" s="970">
        <v>0</v>
      </c>
      <c r="P780" s="970">
        <v>0</v>
      </c>
      <c r="Q780" s="969">
        <v>424</v>
      </c>
      <c r="R780" s="969"/>
      <c r="S780" s="970">
        <v>11790</v>
      </c>
      <c r="T780" s="972">
        <v>315</v>
      </c>
      <c r="U780" s="972">
        <v>12105</v>
      </c>
    </row>
    <row r="781" spans="1:21" x14ac:dyDescent="0.25">
      <c r="A781" s="966">
        <v>98421</v>
      </c>
      <c r="B781" s="967" t="s">
        <v>3393</v>
      </c>
      <c r="C781" s="968">
        <v>8.2700000000000004E-5</v>
      </c>
      <c r="D781" s="968">
        <v>1.0840000000000001E-4</v>
      </c>
      <c r="E781" s="1007">
        <v>44396</v>
      </c>
      <c r="F781" s="1010">
        <v>0</v>
      </c>
      <c r="G781" s="969">
        <v>126343</v>
      </c>
      <c r="H781" s="969"/>
      <c r="I781" s="970">
        <v>7279</v>
      </c>
      <c r="J781" s="971">
        <v>30676</v>
      </c>
      <c r="K781" s="970">
        <v>18043</v>
      </c>
      <c r="L781" s="969">
        <v>5132</v>
      </c>
      <c r="M781" s="969"/>
      <c r="N781" s="970">
        <v>3576</v>
      </c>
      <c r="O781" s="970">
        <v>0</v>
      </c>
      <c r="P781" s="970">
        <v>0</v>
      </c>
      <c r="Q781" s="969">
        <v>12725</v>
      </c>
      <c r="R781" s="969"/>
      <c r="S781" s="970">
        <v>42578</v>
      </c>
      <c r="T781" s="972">
        <v>-911</v>
      </c>
      <c r="U781" s="972">
        <v>41667</v>
      </c>
    </row>
    <row r="782" spans="1:21" x14ac:dyDescent="0.25">
      <c r="A782" s="966">
        <v>98427</v>
      </c>
      <c r="B782" s="967" t="s">
        <v>3394</v>
      </c>
      <c r="C782" s="968">
        <v>3.9999999999999998E-6</v>
      </c>
      <c r="D782" s="968">
        <v>4.6E-6</v>
      </c>
      <c r="E782" s="1007">
        <v>3231</v>
      </c>
      <c r="F782" s="1010">
        <v>0</v>
      </c>
      <c r="G782" s="969">
        <v>6111</v>
      </c>
      <c r="H782" s="969"/>
      <c r="I782" s="970">
        <v>352</v>
      </c>
      <c r="J782" s="971">
        <v>1484</v>
      </c>
      <c r="K782" s="970">
        <v>873</v>
      </c>
      <c r="L782" s="969">
        <v>1351</v>
      </c>
      <c r="M782" s="969"/>
      <c r="N782" s="970">
        <v>173</v>
      </c>
      <c r="O782" s="970">
        <v>0</v>
      </c>
      <c r="P782" s="970">
        <v>0</v>
      </c>
      <c r="Q782" s="969">
        <v>0</v>
      </c>
      <c r="R782" s="969"/>
      <c r="S782" s="970">
        <v>2059</v>
      </c>
      <c r="T782" s="972">
        <v>487</v>
      </c>
      <c r="U782" s="972">
        <f>2547-1</f>
        <v>2546</v>
      </c>
    </row>
    <row r="783" spans="1:21" x14ac:dyDescent="0.25">
      <c r="A783" s="966">
        <v>98431</v>
      </c>
      <c r="B783" s="967" t="s">
        <v>3395</v>
      </c>
      <c r="C783" s="968">
        <v>2.0589999999999999E-4</v>
      </c>
      <c r="D783" s="968">
        <v>2.0010000000000001E-4</v>
      </c>
      <c r="E783" s="1007">
        <v>78482</v>
      </c>
      <c r="F783" s="1010">
        <v>0</v>
      </c>
      <c r="G783" s="969">
        <v>314558</v>
      </c>
      <c r="H783" s="969"/>
      <c r="I783" s="970">
        <v>18121</v>
      </c>
      <c r="J783" s="971">
        <v>76375</v>
      </c>
      <c r="K783" s="970">
        <v>44923</v>
      </c>
      <c r="L783" s="969">
        <v>1246</v>
      </c>
      <c r="M783" s="969"/>
      <c r="N783" s="970">
        <v>8904</v>
      </c>
      <c r="O783" s="970">
        <v>0</v>
      </c>
      <c r="P783" s="970">
        <v>0</v>
      </c>
      <c r="Q783" s="969">
        <v>24844</v>
      </c>
      <c r="R783" s="969"/>
      <c r="S783" s="970">
        <v>106006</v>
      </c>
      <c r="T783" s="972">
        <v>-7635</v>
      </c>
      <c r="U783" s="972">
        <f>98372-1</f>
        <v>98371</v>
      </c>
    </row>
    <row r="784" spans="1:21" x14ac:dyDescent="0.25">
      <c r="A784" s="966">
        <v>98441</v>
      </c>
      <c r="B784" s="967" t="s">
        <v>3396</v>
      </c>
      <c r="C784" s="968">
        <v>8.2700000000000004E-5</v>
      </c>
      <c r="D784" s="968">
        <v>9.1000000000000003E-5</v>
      </c>
      <c r="E784" s="1007">
        <v>35572</v>
      </c>
      <c r="F784" s="1010">
        <v>0</v>
      </c>
      <c r="G784" s="969">
        <v>126343</v>
      </c>
      <c r="H784" s="969"/>
      <c r="I784" s="970">
        <v>7279</v>
      </c>
      <c r="J784" s="971">
        <v>30676</v>
      </c>
      <c r="K784" s="970">
        <v>18043</v>
      </c>
      <c r="L784" s="969">
        <v>570</v>
      </c>
      <c r="M784" s="969"/>
      <c r="N784" s="970">
        <v>3576</v>
      </c>
      <c r="O784" s="970">
        <v>0</v>
      </c>
      <c r="P784" s="970">
        <v>0</v>
      </c>
      <c r="Q784" s="969">
        <v>22406</v>
      </c>
      <c r="R784" s="969"/>
      <c r="S784" s="970">
        <v>42578</v>
      </c>
      <c r="T784" s="972">
        <v>-8026</v>
      </c>
      <c r="U784" s="972">
        <v>34552</v>
      </c>
    </row>
    <row r="785" spans="1:21" x14ac:dyDescent="0.25">
      <c r="A785" s="966">
        <v>98451</v>
      </c>
      <c r="B785" s="967" t="s">
        <v>3397</v>
      </c>
      <c r="C785" s="968">
        <v>5.7000000000000003E-5</v>
      </c>
      <c r="D785" s="968">
        <v>5.6199999999999997E-5</v>
      </c>
      <c r="E785" s="1007">
        <v>26132</v>
      </c>
      <c r="F785" s="1010">
        <v>0</v>
      </c>
      <c r="G785" s="969">
        <v>87080</v>
      </c>
      <c r="H785" s="969"/>
      <c r="I785" s="970">
        <v>5017</v>
      </c>
      <c r="J785" s="971">
        <v>21143</v>
      </c>
      <c r="K785" s="970">
        <v>12436</v>
      </c>
      <c r="L785" s="969">
        <v>508</v>
      </c>
      <c r="M785" s="969"/>
      <c r="N785" s="970">
        <v>2465</v>
      </c>
      <c r="O785" s="970">
        <v>0</v>
      </c>
      <c r="P785" s="970">
        <v>0</v>
      </c>
      <c r="Q785" s="969">
        <v>1478</v>
      </c>
      <c r="R785" s="969"/>
      <c r="S785" s="970">
        <v>29346</v>
      </c>
      <c r="T785" s="972">
        <v>-530</v>
      </c>
      <c r="U785" s="972">
        <v>28816</v>
      </c>
    </row>
    <row r="786" spans="1:21" x14ac:dyDescent="0.25">
      <c r="A786" s="966">
        <v>98481</v>
      </c>
      <c r="B786" s="967" t="s">
        <v>3398</v>
      </c>
      <c r="C786" s="968">
        <v>6.3899999999999995E-5</v>
      </c>
      <c r="D786" s="968">
        <v>6.7700000000000006E-5</v>
      </c>
      <c r="E786" s="1007">
        <v>27198</v>
      </c>
      <c r="F786" s="1010">
        <v>0</v>
      </c>
      <c r="G786" s="969">
        <v>97621</v>
      </c>
      <c r="H786" s="969"/>
      <c r="I786" s="970">
        <v>5624</v>
      </c>
      <c r="J786" s="971">
        <v>23703</v>
      </c>
      <c r="K786" s="970">
        <v>13942</v>
      </c>
      <c r="L786" s="969">
        <v>1545</v>
      </c>
      <c r="M786" s="969"/>
      <c r="N786" s="970">
        <v>2763</v>
      </c>
      <c r="O786" s="970">
        <v>0</v>
      </c>
      <c r="P786" s="970">
        <v>0</v>
      </c>
      <c r="Q786" s="969">
        <v>5772</v>
      </c>
      <c r="R786" s="969"/>
      <c r="S786" s="970">
        <v>32899</v>
      </c>
      <c r="T786" s="972">
        <v>-35</v>
      </c>
      <c r="U786" s="972">
        <f>32863+1</f>
        <v>32864</v>
      </c>
    </row>
    <row r="787" spans="1:21" x14ac:dyDescent="0.25">
      <c r="A787" s="966">
        <v>98501</v>
      </c>
      <c r="B787" s="967" t="s">
        <v>3399</v>
      </c>
      <c r="C787" s="968">
        <v>1.6022E-3</v>
      </c>
      <c r="D787" s="968">
        <v>1.5690999999999999E-3</v>
      </c>
      <c r="E787" s="1007">
        <v>760833</v>
      </c>
      <c r="F787" s="1010">
        <v>0</v>
      </c>
      <c r="G787" s="969">
        <v>2447718</v>
      </c>
      <c r="H787" s="969"/>
      <c r="I787" s="970">
        <v>141011</v>
      </c>
      <c r="J787" s="971">
        <v>594309</v>
      </c>
      <c r="K787" s="970">
        <v>349568</v>
      </c>
      <c r="L787" s="969">
        <v>75098</v>
      </c>
      <c r="M787" s="969"/>
      <c r="N787" s="970">
        <v>69287</v>
      </c>
      <c r="O787" s="970">
        <v>0</v>
      </c>
      <c r="P787" s="970">
        <v>0</v>
      </c>
      <c r="Q787" s="969">
        <v>2932</v>
      </c>
      <c r="R787" s="969"/>
      <c r="S787" s="970">
        <v>824883</v>
      </c>
      <c r="T787" s="972">
        <v>19182</v>
      </c>
      <c r="U787" s="972">
        <v>844065</v>
      </c>
    </row>
    <row r="788" spans="1:21" x14ac:dyDescent="0.25">
      <c r="A788" s="966">
        <v>98511</v>
      </c>
      <c r="B788" s="967" t="s">
        <v>3400</v>
      </c>
      <c r="C788" s="968">
        <v>4.8000000000000001E-5</v>
      </c>
      <c r="D788" s="968">
        <v>4.5800000000000002E-5</v>
      </c>
      <c r="E788" s="1007">
        <v>23435</v>
      </c>
      <c r="F788" s="1010">
        <v>0</v>
      </c>
      <c r="G788" s="969">
        <v>73331</v>
      </c>
      <c r="H788" s="969"/>
      <c r="I788" s="970">
        <v>4225</v>
      </c>
      <c r="J788" s="971">
        <v>17804</v>
      </c>
      <c r="K788" s="970">
        <v>10473</v>
      </c>
      <c r="L788" s="969">
        <v>5918</v>
      </c>
      <c r="M788" s="969"/>
      <c r="N788" s="970">
        <v>2076</v>
      </c>
      <c r="O788" s="970">
        <v>0</v>
      </c>
      <c r="P788" s="970">
        <v>0</v>
      </c>
      <c r="Q788" s="969">
        <v>11919</v>
      </c>
      <c r="R788" s="969"/>
      <c r="S788" s="970">
        <v>24713</v>
      </c>
      <c r="T788" s="972">
        <v>-9378</v>
      </c>
      <c r="U788" s="972">
        <f>15334+1</f>
        <v>15335</v>
      </c>
    </row>
    <row r="789" spans="1:21" x14ac:dyDescent="0.25">
      <c r="A789" s="966">
        <v>98517</v>
      </c>
      <c r="B789" s="967" t="s">
        <v>3401</v>
      </c>
      <c r="C789" s="968">
        <v>2.3E-6</v>
      </c>
      <c r="D789" s="968">
        <v>2.6000000000000001E-6</v>
      </c>
      <c r="E789" s="1007">
        <v>2484</v>
      </c>
      <c r="F789" s="1010">
        <v>0</v>
      </c>
      <c r="G789" s="969">
        <v>3514</v>
      </c>
      <c r="H789" s="969"/>
      <c r="I789" s="970">
        <v>202</v>
      </c>
      <c r="J789" s="971">
        <v>854</v>
      </c>
      <c r="K789" s="970">
        <v>502</v>
      </c>
      <c r="L789" s="969">
        <v>1623</v>
      </c>
      <c r="M789" s="969"/>
      <c r="N789" s="970">
        <v>99</v>
      </c>
      <c r="O789" s="970">
        <v>0</v>
      </c>
      <c r="P789" s="970">
        <v>0</v>
      </c>
      <c r="Q789" s="969">
        <v>0</v>
      </c>
      <c r="R789" s="969"/>
      <c r="S789" s="970">
        <v>1184</v>
      </c>
      <c r="T789" s="972">
        <v>589</v>
      </c>
      <c r="U789" s="972">
        <v>1773</v>
      </c>
    </row>
    <row r="790" spans="1:21" x14ac:dyDescent="0.25">
      <c r="A790" s="966">
        <v>98521</v>
      </c>
      <c r="B790" s="967" t="s">
        <v>3402</v>
      </c>
      <c r="C790" s="968">
        <v>6.6180000000000004E-4</v>
      </c>
      <c r="D790" s="968">
        <v>5.7059999999999999E-4</v>
      </c>
      <c r="E790" s="1007">
        <v>270882</v>
      </c>
      <c r="F790" s="1010">
        <v>0</v>
      </c>
      <c r="G790" s="969">
        <v>1011047</v>
      </c>
      <c r="H790" s="969"/>
      <c r="I790" s="970">
        <v>58246</v>
      </c>
      <c r="J790" s="971">
        <v>245484</v>
      </c>
      <c r="K790" s="970">
        <v>144392</v>
      </c>
      <c r="L790" s="969">
        <v>34795</v>
      </c>
      <c r="M790" s="969"/>
      <c r="N790" s="970">
        <v>28620</v>
      </c>
      <c r="O790" s="970">
        <v>0</v>
      </c>
      <c r="P790" s="970">
        <v>0</v>
      </c>
      <c r="Q790" s="969">
        <v>43967</v>
      </c>
      <c r="R790" s="969"/>
      <c r="S790" s="970">
        <v>340724</v>
      </c>
      <c r="T790" s="972">
        <v>-10201</v>
      </c>
      <c r="U790" s="972">
        <v>330523</v>
      </c>
    </row>
    <row r="791" spans="1:21" x14ac:dyDescent="0.25">
      <c r="A791" s="966">
        <v>98601</v>
      </c>
      <c r="B791" s="967" t="s">
        <v>3403</v>
      </c>
      <c r="C791" s="968">
        <v>3.4148E-3</v>
      </c>
      <c r="D791" s="968">
        <v>3.5065999999999999E-3</v>
      </c>
      <c r="E791" s="1007">
        <v>1494584</v>
      </c>
      <c r="F791" s="1010">
        <v>0</v>
      </c>
      <c r="G791" s="969">
        <v>5216869</v>
      </c>
      <c r="H791" s="969"/>
      <c r="I791" s="970">
        <v>300540</v>
      </c>
      <c r="J791" s="971">
        <v>1266662</v>
      </c>
      <c r="K791" s="970">
        <v>745041</v>
      </c>
      <c r="L791" s="969">
        <v>0</v>
      </c>
      <c r="M791" s="969"/>
      <c r="N791" s="970">
        <v>147673</v>
      </c>
      <c r="O791" s="970">
        <v>0</v>
      </c>
      <c r="P791" s="970">
        <v>0</v>
      </c>
      <c r="Q791" s="969">
        <v>216693</v>
      </c>
      <c r="R791" s="969"/>
      <c r="S791" s="970">
        <v>1758089</v>
      </c>
      <c r="T791" s="972">
        <v>-93549</v>
      </c>
      <c r="U791" s="972">
        <v>1664540</v>
      </c>
    </row>
    <row r="792" spans="1:21" x14ac:dyDescent="0.25">
      <c r="A792" s="966">
        <v>98604</v>
      </c>
      <c r="B792" s="967" t="s">
        <v>3404</v>
      </c>
      <c r="C792" s="968">
        <v>1.34E-5</v>
      </c>
      <c r="D792" s="968">
        <v>1.59E-5</v>
      </c>
      <c r="E792" s="1007">
        <v>7588</v>
      </c>
      <c r="F792" s="1010">
        <v>0</v>
      </c>
      <c r="G792" s="969">
        <v>20471</v>
      </c>
      <c r="H792" s="969"/>
      <c r="I792" s="970">
        <v>1179</v>
      </c>
      <c r="J792" s="971">
        <v>4970</v>
      </c>
      <c r="K792" s="970">
        <v>2924</v>
      </c>
      <c r="L792" s="969">
        <f>5979+2967</f>
        <v>8946</v>
      </c>
      <c r="M792" s="969"/>
      <c r="N792" s="970">
        <v>579</v>
      </c>
      <c r="O792" s="970">
        <v>0</v>
      </c>
      <c r="P792" s="970">
        <v>0</v>
      </c>
      <c r="Q792" s="969">
        <f>527+4977</f>
        <v>5504</v>
      </c>
      <c r="R792" s="969"/>
      <c r="S792" s="970">
        <v>6899</v>
      </c>
      <c r="T792" s="972">
        <f>1959+178</f>
        <v>2137</v>
      </c>
      <c r="U792" s="972">
        <f>8857+1+178</f>
        <v>9036</v>
      </c>
    </row>
    <row r="793" spans="1:21" x14ac:dyDescent="0.25">
      <c r="A793" s="966">
        <v>98607</v>
      </c>
      <c r="B793" s="967" t="s">
        <v>3405</v>
      </c>
      <c r="C793" s="968">
        <v>5.9000000000000003E-6</v>
      </c>
      <c r="D793" s="968">
        <v>5.9000000000000003E-6</v>
      </c>
      <c r="E793" s="1007">
        <v>2774</v>
      </c>
      <c r="F793" s="1010">
        <v>0</v>
      </c>
      <c r="G793" s="969">
        <v>9014</v>
      </c>
      <c r="H793" s="969"/>
      <c r="I793" s="970">
        <v>519</v>
      </c>
      <c r="J793" s="971">
        <v>2188</v>
      </c>
      <c r="K793" s="970">
        <v>1287</v>
      </c>
      <c r="L793" s="969">
        <v>52</v>
      </c>
      <c r="M793" s="969"/>
      <c r="N793" s="970">
        <v>255</v>
      </c>
      <c r="O793" s="970">
        <v>0</v>
      </c>
      <c r="P793" s="970">
        <v>0</v>
      </c>
      <c r="Q793" s="969">
        <v>1474</v>
      </c>
      <c r="R793" s="969"/>
      <c r="S793" s="970">
        <v>3038</v>
      </c>
      <c r="T793" s="972">
        <v>-861</v>
      </c>
      <c r="U793" s="972">
        <v>2177</v>
      </c>
    </row>
    <row r="794" spans="1:21" x14ac:dyDescent="0.25">
      <c r="A794" s="966">
        <v>98608</v>
      </c>
      <c r="B794" s="967" t="s">
        <v>3406</v>
      </c>
      <c r="C794" s="968">
        <v>4.9200000000000003E-5</v>
      </c>
      <c r="D794" s="968">
        <v>4.2299999999999998E-5</v>
      </c>
      <c r="E794" s="1007">
        <v>20059</v>
      </c>
      <c r="F794" s="1010">
        <v>0</v>
      </c>
      <c r="G794" s="969">
        <v>75164</v>
      </c>
      <c r="H794" s="969"/>
      <c r="I794" s="970">
        <v>4330</v>
      </c>
      <c r="J794" s="971">
        <v>18250</v>
      </c>
      <c r="K794" s="970">
        <v>10734</v>
      </c>
      <c r="L794" s="969">
        <v>6529</v>
      </c>
      <c r="M794" s="969"/>
      <c r="N794" s="970">
        <v>2128</v>
      </c>
      <c r="O794" s="970">
        <v>0</v>
      </c>
      <c r="P794" s="970">
        <v>0</v>
      </c>
      <c r="Q794" s="969">
        <v>5369</v>
      </c>
      <c r="R794" s="969"/>
      <c r="S794" s="970">
        <v>25330</v>
      </c>
      <c r="T794" s="972">
        <v>1217</v>
      </c>
      <c r="U794" s="972">
        <v>26547</v>
      </c>
    </row>
    <row r="795" spans="1:21" x14ac:dyDescent="0.25">
      <c r="A795" s="966">
        <v>98611</v>
      </c>
      <c r="B795" s="967" t="s">
        <v>3407</v>
      </c>
      <c r="C795" s="968">
        <v>8.6899999999999998E-5</v>
      </c>
      <c r="D795" s="968">
        <v>8.6700000000000007E-5</v>
      </c>
      <c r="E795" s="1007">
        <v>49931</v>
      </c>
      <c r="F795" s="1010">
        <v>0</v>
      </c>
      <c r="G795" s="969">
        <v>132759</v>
      </c>
      <c r="H795" s="969"/>
      <c r="I795" s="970">
        <v>7648</v>
      </c>
      <c r="J795" s="971">
        <v>32235</v>
      </c>
      <c r="K795" s="970">
        <v>18960</v>
      </c>
      <c r="L795" s="969">
        <v>10690</v>
      </c>
      <c r="M795" s="969"/>
      <c r="N795" s="970">
        <v>3758</v>
      </c>
      <c r="O795" s="970">
        <v>0</v>
      </c>
      <c r="P795" s="970">
        <v>0</v>
      </c>
      <c r="Q795" s="969">
        <v>9519</v>
      </c>
      <c r="R795" s="969"/>
      <c r="S795" s="970">
        <v>44740</v>
      </c>
      <c r="T795" s="972">
        <v>910</v>
      </c>
      <c r="U795" s="972">
        <f>45649+1</f>
        <v>45650</v>
      </c>
    </row>
    <row r="796" spans="1:21" x14ac:dyDescent="0.25">
      <c r="A796" s="966">
        <v>98621</v>
      </c>
      <c r="B796" s="967" t="s">
        <v>3408</v>
      </c>
      <c r="C796" s="968">
        <v>1.314E-4</v>
      </c>
      <c r="D796" s="968">
        <v>1.3239999999999999E-4</v>
      </c>
      <c r="E796" s="1007">
        <v>55891</v>
      </c>
      <c r="F796" s="1010">
        <v>0</v>
      </c>
      <c r="G796" s="969">
        <v>200743</v>
      </c>
      <c r="H796" s="969"/>
      <c r="I796" s="970">
        <v>11565</v>
      </c>
      <c r="J796" s="971">
        <v>48740</v>
      </c>
      <c r="K796" s="970">
        <v>28669</v>
      </c>
      <c r="L796" s="969">
        <v>473</v>
      </c>
      <c r="M796" s="969"/>
      <c r="N796" s="970">
        <v>5682</v>
      </c>
      <c r="O796" s="970">
        <v>0</v>
      </c>
      <c r="P796" s="970">
        <v>0</v>
      </c>
      <c r="Q796" s="969">
        <v>10727</v>
      </c>
      <c r="R796" s="969"/>
      <c r="S796" s="970">
        <v>67651</v>
      </c>
      <c r="T796" s="972">
        <v>-3535</v>
      </c>
      <c r="U796" s="972">
        <f>64115+1</f>
        <v>64116</v>
      </c>
    </row>
    <row r="797" spans="1:21" x14ac:dyDescent="0.25">
      <c r="A797" s="966">
        <v>98627</v>
      </c>
      <c r="B797" s="967" t="s">
        <v>3409</v>
      </c>
      <c r="C797" s="968">
        <v>8.6999999999999997E-6</v>
      </c>
      <c r="D797" s="968">
        <v>9.3999999999999998E-6</v>
      </c>
      <c r="E797" s="1007">
        <v>3354</v>
      </c>
      <c r="F797" s="1010">
        <v>0</v>
      </c>
      <c r="G797" s="969">
        <v>13291</v>
      </c>
      <c r="H797" s="969"/>
      <c r="I797" s="970">
        <v>766</v>
      </c>
      <c r="J797" s="971">
        <v>3227</v>
      </c>
      <c r="K797" s="970">
        <v>1898</v>
      </c>
      <c r="L797" s="969">
        <v>316</v>
      </c>
      <c r="M797" s="969"/>
      <c r="N797" s="970">
        <v>376</v>
      </c>
      <c r="O797" s="970">
        <v>0</v>
      </c>
      <c r="P797" s="970">
        <v>0</v>
      </c>
      <c r="Q797" s="969">
        <v>1098</v>
      </c>
      <c r="R797" s="969"/>
      <c r="S797" s="970">
        <v>4479</v>
      </c>
      <c r="T797" s="972">
        <v>-220</v>
      </c>
      <c r="U797" s="972">
        <v>4259</v>
      </c>
    </row>
    <row r="798" spans="1:21" x14ac:dyDescent="0.25">
      <c r="A798" s="966">
        <v>98631</v>
      </c>
      <c r="B798" s="967" t="s">
        <v>3410</v>
      </c>
      <c r="C798" s="968">
        <v>1.0051999999999999E-3</v>
      </c>
      <c r="D798" s="968">
        <v>1.0415000000000001E-3</v>
      </c>
      <c r="E798" s="1007">
        <v>466623</v>
      </c>
      <c r="F798" s="1010">
        <v>0</v>
      </c>
      <c r="G798" s="969">
        <v>1535667</v>
      </c>
      <c r="H798" s="969"/>
      <c r="I798" s="970">
        <v>88469</v>
      </c>
      <c r="J798" s="971">
        <v>372862</v>
      </c>
      <c r="K798" s="970">
        <v>219315</v>
      </c>
      <c r="L798" s="969">
        <v>0</v>
      </c>
      <c r="M798" s="969"/>
      <c r="N798" s="970">
        <v>43470</v>
      </c>
      <c r="O798" s="970">
        <v>0</v>
      </c>
      <c r="P798" s="970">
        <v>0</v>
      </c>
      <c r="Q798" s="969">
        <v>102113</v>
      </c>
      <c r="R798" s="969"/>
      <c r="S798" s="970">
        <v>517521</v>
      </c>
      <c r="T798" s="972">
        <v>-41744</v>
      </c>
      <c r="U798" s="972">
        <v>475777</v>
      </c>
    </row>
    <row r="799" spans="1:21" x14ac:dyDescent="0.25">
      <c r="A799" s="966">
        <v>98637</v>
      </c>
      <c r="B799" s="967" t="s">
        <v>3411</v>
      </c>
      <c r="C799" s="968">
        <v>2.0800000000000001E-5</v>
      </c>
      <c r="D799" s="968">
        <v>2.2200000000000001E-5</v>
      </c>
      <c r="E799" s="1007">
        <v>15729</v>
      </c>
      <c r="F799" s="1010">
        <v>0</v>
      </c>
      <c r="G799" s="969">
        <v>31777</v>
      </c>
      <c r="H799" s="969"/>
      <c r="I799" s="970">
        <v>1831</v>
      </c>
      <c r="J799" s="971">
        <v>7715</v>
      </c>
      <c r="K799" s="970">
        <v>4538</v>
      </c>
      <c r="L799" s="969">
        <v>8386</v>
      </c>
      <c r="M799" s="969"/>
      <c r="N799" s="970">
        <v>899</v>
      </c>
      <c r="O799" s="970">
        <v>0</v>
      </c>
      <c r="P799" s="970">
        <v>0</v>
      </c>
      <c r="Q799" s="969">
        <v>0</v>
      </c>
      <c r="R799" s="969"/>
      <c r="S799" s="970">
        <v>10709</v>
      </c>
      <c r="T799" s="972">
        <v>3206</v>
      </c>
      <c r="U799" s="972">
        <f>13914+1</f>
        <v>13915</v>
      </c>
    </row>
    <row r="800" spans="1:21" x14ac:dyDescent="0.25">
      <c r="A800" s="966">
        <v>98641</v>
      </c>
      <c r="B800" s="967" t="s">
        <v>3412</v>
      </c>
      <c r="C800" s="968">
        <v>2.965E-4</v>
      </c>
      <c r="D800" s="968">
        <v>3.0019999999999998E-4</v>
      </c>
      <c r="E800" s="1007">
        <v>140670</v>
      </c>
      <c r="F800" s="1010">
        <v>0</v>
      </c>
      <c r="G800" s="969">
        <v>452970</v>
      </c>
      <c r="H800" s="969"/>
      <c r="I800" s="970">
        <v>26095</v>
      </c>
      <c r="J800" s="971">
        <v>109981</v>
      </c>
      <c r="K800" s="970">
        <v>64690</v>
      </c>
      <c r="L800" s="969">
        <v>3407</v>
      </c>
      <c r="M800" s="969"/>
      <c r="N800" s="970">
        <v>12822</v>
      </c>
      <c r="O800" s="970">
        <v>0</v>
      </c>
      <c r="P800" s="970">
        <v>0</v>
      </c>
      <c r="Q800" s="969">
        <v>7840</v>
      </c>
      <c r="R800" s="969"/>
      <c r="S800" s="970">
        <v>152651</v>
      </c>
      <c r="T800" s="972">
        <v>-183</v>
      </c>
      <c r="U800" s="972">
        <v>152468</v>
      </c>
    </row>
    <row r="801" spans="1:21" x14ac:dyDescent="0.25">
      <c r="A801" s="966">
        <v>98701</v>
      </c>
      <c r="B801" s="967" t="s">
        <v>3414</v>
      </c>
      <c r="C801" s="968">
        <v>1.1333999999999999E-3</v>
      </c>
      <c r="D801" s="968">
        <v>1.1793000000000001E-3</v>
      </c>
      <c r="E801" s="1007">
        <v>514113</v>
      </c>
      <c r="F801" s="1010">
        <v>2502870</v>
      </c>
      <c r="G801" s="969">
        <v>1731521</v>
      </c>
      <c r="H801" s="969"/>
      <c r="I801" s="970">
        <v>99752</v>
      </c>
      <c r="J801" s="971">
        <v>420415</v>
      </c>
      <c r="K801" s="970">
        <v>247285</v>
      </c>
      <c r="L801" s="969">
        <v>3431</v>
      </c>
      <c r="M801" s="969"/>
      <c r="N801" s="970">
        <v>49014</v>
      </c>
      <c r="O801" s="970">
        <v>0</v>
      </c>
      <c r="P801" s="970">
        <v>0</v>
      </c>
      <c r="Q801" s="969">
        <v>66380</v>
      </c>
      <c r="R801" s="969"/>
      <c r="S801" s="970">
        <v>583524</v>
      </c>
      <c r="T801" s="972">
        <v>-25976</v>
      </c>
      <c r="U801" s="972">
        <v>557548</v>
      </c>
    </row>
    <row r="802" spans="1:21" x14ac:dyDescent="0.25">
      <c r="A802" s="966">
        <v>98711</v>
      </c>
      <c r="B802" s="967" t="s">
        <v>3415</v>
      </c>
      <c r="C802" s="968">
        <v>1.8369999999999999E-4</v>
      </c>
      <c r="D802" s="968">
        <v>1.8039999999999999E-4</v>
      </c>
      <c r="E802" s="1007">
        <v>70342</v>
      </c>
      <c r="F802" s="1010">
        <v>382869</v>
      </c>
      <c r="G802" s="969">
        <v>280643</v>
      </c>
      <c r="H802" s="969"/>
      <c r="I802" s="970">
        <v>16168</v>
      </c>
      <c r="J802" s="971">
        <v>68140</v>
      </c>
      <c r="K802" s="970">
        <v>40080</v>
      </c>
      <c r="L802" s="969">
        <v>1238</v>
      </c>
      <c r="M802" s="969"/>
      <c r="N802" s="970">
        <v>7944</v>
      </c>
      <c r="O802" s="970">
        <v>0</v>
      </c>
      <c r="P802" s="970">
        <v>0</v>
      </c>
      <c r="Q802" s="969">
        <v>16374</v>
      </c>
      <c r="R802" s="969"/>
      <c r="S802" s="970">
        <v>94577</v>
      </c>
      <c r="T802" s="972">
        <v>-4053</v>
      </c>
      <c r="U802" s="972">
        <v>90524</v>
      </c>
    </row>
    <row r="803" spans="1:21" x14ac:dyDescent="0.25">
      <c r="A803" s="966">
        <v>98717</v>
      </c>
      <c r="B803" s="967" t="s">
        <v>3416</v>
      </c>
      <c r="C803" s="968">
        <v>2.1100000000000001E-5</v>
      </c>
      <c r="D803" s="968">
        <v>1.8600000000000001E-5</v>
      </c>
      <c r="E803" s="1007">
        <v>8759</v>
      </c>
      <c r="F803" s="1010">
        <v>39475</v>
      </c>
      <c r="G803" s="969">
        <v>32235</v>
      </c>
      <c r="H803" s="969"/>
      <c r="I803" s="970">
        <v>1857</v>
      </c>
      <c r="J803" s="971">
        <v>7827</v>
      </c>
      <c r="K803" s="970">
        <v>4604</v>
      </c>
      <c r="L803" s="969">
        <v>1439</v>
      </c>
      <c r="M803" s="969"/>
      <c r="N803" s="970">
        <v>912</v>
      </c>
      <c r="O803" s="970">
        <v>0</v>
      </c>
      <c r="P803" s="970">
        <v>0</v>
      </c>
      <c r="Q803" s="969">
        <v>534</v>
      </c>
      <c r="R803" s="969"/>
      <c r="S803" s="970">
        <v>10863</v>
      </c>
      <c r="T803" s="972">
        <v>247</v>
      </c>
      <c r="U803" s="972">
        <v>11110</v>
      </c>
    </row>
    <row r="804" spans="1:21" x14ac:dyDescent="0.25">
      <c r="A804" s="966">
        <v>98801</v>
      </c>
      <c r="B804" s="967" t="s">
        <v>3417</v>
      </c>
      <c r="C804" s="968">
        <v>2.2859E-3</v>
      </c>
      <c r="D804" s="968">
        <v>2.1771999999999998E-3</v>
      </c>
      <c r="E804" s="1007">
        <v>1067051</v>
      </c>
      <c r="F804" s="1010">
        <v>4620748</v>
      </c>
      <c r="G804" s="969">
        <v>3492222</v>
      </c>
      <c r="H804" s="969"/>
      <c r="I804" s="970">
        <v>201184</v>
      </c>
      <c r="J804" s="971">
        <v>847916</v>
      </c>
      <c r="K804" s="970">
        <v>498738</v>
      </c>
      <c r="L804" s="969">
        <v>146068</v>
      </c>
      <c r="M804" s="969"/>
      <c r="N804" s="970">
        <v>98854</v>
      </c>
      <c r="O804" s="970">
        <v>0</v>
      </c>
      <c r="P804" s="970">
        <v>0</v>
      </c>
      <c r="Q804" s="969">
        <v>0</v>
      </c>
      <c r="R804" s="969"/>
      <c r="S804" s="970">
        <v>1176882</v>
      </c>
      <c r="T804" s="972">
        <v>55567</v>
      </c>
      <c r="U804" s="972">
        <v>1232449</v>
      </c>
    </row>
    <row r="805" spans="1:21" x14ac:dyDescent="0.25">
      <c r="A805" s="966">
        <v>98811</v>
      </c>
      <c r="B805" s="967" t="s">
        <v>3418</v>
      </c>
      <c r="C805" s="968">
        <v>6.5160000000000001E-4</v>
      </c>
      <c r="D805" s="968">
        <v>7.1120000000000005E-4</v>
      </c>
      <c r="E805" s="1007">
        <v>323262</v>
      </c>
      <c r="F805" s="1010">
        <v>1509405</v>
      </c>
      <c r="G805" s="969">
        <v>995464</v>
      </c>
      <c r="H805" s="969"/>
      <c r="I805" s="970">
        <v>57348</v>
      </c>
      <c r="J805" s="971">
        <v>241700</v>
      </c>
      <c r="K805" s="970">
        <v>142166</v>
      </c>
      <c r="L805" s="969">
        <v>16975</v>
      </c>
      <c r="M805" s="969"/>
      <c r="N805" s="970">
        <v>28178</v>
      </c>
      <c r="O805" s="970">
        <v>0</v>
      </c>
      <c r="P805" s="970">
        <v>0</v>
      </c>
      <c r="Q805" s="969">
        <v>46894</v>
      </c>
      <c r="R805" s="969"/>
      <c r="S805" s="970">
        <v>335472</v>
      </c>
      <c r="T805" s="972">
        <v>-312</v>
      </c>
      <c r="U805" s="972">
        <f>335161-1</f>
        <v>335160</v>
      </c>
    </row>
    <row r="806" spans="1:21" x14ac:dyDescent="0.25">
      <c r="A806" s="966">
        <v>98817</v>
      </c>
      <c r="B806" s="967" t="s">
        <v>3419</v>
      </c>
      <c r="C806" s="968">
        <v>2.5199999999999999E-5</v>
      </c>
      <c r="D806" s="968">
        <v>2.34E-5</v>
      </c>
      <c r="E806" s="1007">
        <v>14663</v>
      </c>
      <c r="F806" s="1010">
        <v>49663</v>
      </c>
      <c r="G806" s="969">
        <v>38499</v>
      </c>
      <c r="H806" s="969"/>
      <c r="I806" s="970">
        <v>2218</v>
      </c>
      <c r="J806" s="971">
        <v>9347</v>
      </c>
      <c r="K806" s="970">
        <v>5498</v>
      </c>
      <c r="L806" s="969">
        <v>3862</v>
      </c>
      <c r="M806" s="969"/>
      <c r="N806" s="970">
        <v>1090</v>
      </c>
      <c r="O806" s="970">
        <v>0</v>
      </c>
      <c r="P806" s="970">
        <v>0</v>
      </c>
      <c r="Q806" s="969">
        <v>2179</v>
      </c>
      <c r="R806" s="969"/>
      <c r="S806" s="970">
        <v>12974</v>
      </c>
      <c r="T806" s="972">
        <v>-1216</v>
      </c>
      <c r="U806" s="972">
        <v>11758</v>
      </c>
    </row>
    <row r="807" spans="1:21" x14ac:dyDescent="0.25">
      <c r="A807" s="966">
        <v>98901</v>
      </c>
      <c r="B807" s="967" t="s">
        <v>3420</v>
      </c>
      <c r="C807" s="968">
        <v>3.5050000000000001E-4</v>
      </c>
      <c r="D807" s="968">
        <v>3.392E-4</v>
      </c>
      <c r="E807" s="1007">
        <v>159126</v>
      </c>
      <c r="F807" s="1010">
        <v>719896</v>
      </c>
      <c r="G807" s="969">
        <v>535467</v>
      </c>
      <c r="H807" s="969"/>
      <c r="I807" s="970">
        <v>30848</v>
      </c>
      <c r="J807" s="971">
        <v>130012</v>
      </c>
      <c r="K807" s="970">
        <v>76472</v>
      </c>
      <c r="L807" s="969">
        <v>7505</v>
      </c>
      <c r="M807" s="969"/>
      <c r="N807" s="970">
        <v>15157</v>
      </c>
      <c r="O807" s="970">
        <v>0</v>
      </c>
      <c r="P807" s="970">
        <v>0</v>
      </c>
      <c r="Q807" s="969">
        <v>2530</v>
      </c>
      <c r="R807" s="969"/>
      <c r="S807" s="970">
        <v>180453</v>
      </c>
      <c r="T807" s="972">
        <v>975</v>
      </c>
      <c r="U807" s="972">
        <v>181428</v>
      </c>
    </row>
    <row r="808" spans="1:21" x14ac:dyDescent="0.25">
      <c r="A808" s="966">
        <v>98904</v>
      </c>
      <c r="B808" s="967" t="s">
        <v>3421</v>
      </c>
      <c r="C808" s="968">
        <v>2.7999999999999999E-6</v>
      </c>
      <c r="D808" s="968">
        <v>5.2000000000000002E-6</v>
      </c>
      <c r="E808" s="1007">
        <v>1608</v>
      </c>
      <c r="F808" s="1010">
        <v>11036</v>
      </c>
      <c r="G808" s="969">
        <v>4278</v>
      </c>
      <c r="H808" s="969"/>
      <c r="I808" s="970">
        <v>246</v>
      </c>
      <c r="J808" s="971">
        <v>1039</v>
      </c>
      <c r="K808" s="970">
        <v>611</v>
      </c>
      <c r="L808" s="969">
        <v>365</v>
      </c>
      <c r="M808" s="969"/>
      <c r="N808" s="970">
        <v>121</v>
      </c>
      <c r="O808" s="970">
        <v>0</v>
      </c>
      <c r="P808" s="970">
        <v>0</v>
      </c>
      <c r="Q808" s="969">
        <v>1887</v>
      </c>
      <c r="R808" s="969"/>
      <c r="S808" s="970">
        <v>1442</v>
      </c>
      <c r="T808" s="972">
        <v>-315</v>
      </c>
      <c r="U808" s="972">
        <f>1126+1</f>
        <v>1127</v>
      </c>
    </row>
    <row r="809" spans="1:21" x14ac:dyDescent="0.25">
      <c r="A809" s="966">
        <v>98911</v>
      </c>
      <c r="B809" s="967" t="s">
        <v>3422</v>
      </c>
      <c r="C809" s="968">
        <v>2.7900000000000001E-5</v>
      </c>
      <c r="D809" s="968">
        <v>2.8600000000000001E-5</v>
      </c>
      <c r="E809" s="1007">
        <v>17945</v>
      </c>
      <c r="F809" s="1010">
        <v>60699</v>
      </c>
      <c r="G809" s="969">
        <v>42623</v>
      </c>
      <c r="H809" s="969"/>
      <c r="I809" s="970">
        <v>2456</v>
      </c>
      <c r="J809" s="971">
        <v>10349</v>
      </c>
      <c r="K809" s="970">
        <v>6087</v>
      </c>
      <c r="L809" s="969">
        <v>12780</v>
      </c>
      <c r="M809" s="969"/>
      <c r="N809" s="970">
        <v>1207</v>
      </c>
      <c r="O809" s="970">
        <v>0</v>
      </c>
      <c r="P809" s="970">
        <v>0</v>
      </c>
      <c r="Q809" s="969">
        <v>0</v>
      </c>
      <c r="R809" s="969"/>
      <c r="S809" s="970">
        <v>14364</v>
      </c>
      <c r="T809" s="972">
        <v>5565</v>
      </c>
      <c r="U809" s="972">
        <v>19929</v>
      </c>
    </row>
    <row r="810" spans="1:21" x14ac:dyDescent="0.25">
      <c r="A810" s="966">
        <v>99001</v>
      </c>
      <c r="B810" s="967" t="s">
        <v>3423</v>
      </c>
      <c r="C810" s="968">
        <v>8.0949000000000004E-3</v>
      </c>
      <c r="D810" s="968">
        <v>7.8098999999999998E-3</v>
      </c>
      <c r="E810" s="1007">
        <v>3574723</v>
      </c>
      <c r="F810" s="1010">
        <v>16575224</v>
      </c>
      <c r="G810" s="969">
        <v>12366765</v>
      </c>
      <c r="H810" s="969"/>
      <c r="I810" s="970">
        <v>712440</v>
      </c>
      <c r="J810" s="971">
        <v>3002666</v>
      </c>
      <c r="K810" s="970">
        <v>1766145</v>
      </c>
      <c r="L810" s="969">
        <v>355732</v>
      </c>
      <c r="M810" s="969"/>
      <c r="N810" s="970">
        <v>350064</v>
      </c>
      <c r="O810" s="970">
        <v>0</v>
      </c>
      <c r="P810" s="970">
        <v>0</v>
      </c>
      <c r="Q810" s="969">
        <v>0</v>
      </c>
      <c r="R810" s="969"/>
      <c r="S810" s="970">
        <v>4167611</v>
      </c>
      <c r="T810" s="972">
        <v>186049</v>
      </c>
      <c r="U810" s="972">
        <v>4353660</v>
      </c>
    </row>
    <row r="811" spans="1:21" x14ac:dyDescent="0.25">
      <c r="A811" s="966">
        <v>99011</v>
      </c>
      <c r="B811" s="967" t="s">
        <v>3424</v>
      </c>
      <c r="C811" s="968">
        <v>3.8736999999999999E-3</v>
      </c>
      <c r="D811" s="968">
        <v>3.9039000000000001E-3</v>
      </c>
      <c r="E811" s="1007">
        <v>1767797</v>
      </c>
      <c r="F811" s="1010">
        <v>8285384</v>
      </c>
      <c r="G811" s="969">
        <v>5917941</v>
      </c>
      <c r="H811" s="969"/>
      <c r="I811" s="970">
        <v>340928</v>
      </c>
      <c r="J811" s="971">
        <v>1436883</v>
      </c>
      <c r="K811" s="970">
        <v>845164</v>
      </c>
      <c r="L811" s="969">
        <v>0</v>
      </c>
      <c r="M811" s="969"/>
      <c r="N811" s="970">
        <v>167518</v>
      </c>
      <c r="O811" s="970">
        <v>0</v>
      </c>
      <c r="P811" s="970">
        <v>0</v>
      </c>
      <c r="Q811" s="969">
        <v>396289</v>
      </c>
      <c r="R811" s="969"/>
      <c r="S811" s="970">
        <v>1994351</v>
      </c>
      <c r="T811" s="972">
        <v>-212974</v>
      </c>
      <c r="U811" s="972">
        <v>1781377</v>
      </c>
    </row>
    <row r="812" spans="1:21" x14ac:dyDescent="0.25">
      <c r="A812" s="966">
        <v>99013</v>
      </c>
      <c r="B812" s="967" t="s">
        <v>3425</v>
      </c>
      <c r="C812" s="968">
        <v>5.5999999999999999E-5</v>
      </c>
      <c r="D812" s="968">
        <v>6.02E-5</v>
      </c>
      <c r="E812" s="1007">
        <v>27133</v>
      </c>
      <c r="F812" s="1010">
        <v>127765</v>
      </c>
      <c r="G812" s="969">
        <v>85552</v>
      </c>
      <c r="H812" s="969"/>
      <c r="I812" s="970">
        <v>4929</v>
      </c>
      <c r="J812" s="971">
        <v>20773</v>
      </c>
      <c r="K812" s="970">
        <v>12218</v>
      </c>
      <c r="L812" s="969">
        <v>10</v>
      </c>
      <c r="M812" s="969"/>
      <c r="N812" s="970">
        <v>2422</v>
      </c>
      <c r="O812" s="970">
        <v>0</v>
      </c>
      <c r="P812" s="970">
        <v>0</v>
      </c>
      <c r="Q812" s="969">
        <v>8046</v>
      </c>
      <c r="R812" s="969"/>
      <c r="S812" s="970">
        <v>28831</v>
      </c>
      <c r="T812" s="972">
        <v>-2790</v>
      </c>
      <c r="U812" s="972">
        <f>26042-1</f>
        <v>26041</v>
      </c>
    </row>
    <row r="813" spans="1:21" x14ac:dyDescent="0.25">
      <c r="A813" s="966">
        <v>99014</v>
      </c>
      <c r="B813" s="967" t="s">
        <v>3426</v>
      </c>
      <c r="C813" s="968">
        <v>2.0100000000000001E-5</v>
      </c>
      <c r="D813" s="968">
        <v>2.4199999999999999E-5</v>
      </c>
      <c r="E813" s="1007">
        <v>13999</v>
      </c>
      <c r="F813" s="1010">
        <v>51361</v>
      </c>
      <c r="G813" s="969">
        <v>30707</v>
      </c>
      <c r="H813" s="969"/>
      <c r="I813" s="970">
        <v>1769</v>
      </c>
      <c r="J813" s="971">
        <v>7456</v>
      </c>
      <c r="K813" s="970">
        <v>4385</v>
      </c>
      <c r="L813" s="969">
        <v>12703</v>
      </c>
      <c r="M813" s="969"/>
      <c r="N813" s="970">
        <v>869</v>
      </c>
      <c r="O813" s="970">
        <v>0</v>
      </c>
      <c r="P813" s="970">
        <v>0</v>
      </c>
      <c r="Q813" s="969">
        <v>0</v>
      </c>
      <c r="R813" s="969"/>
      <c r="S813" s="970">
        <v>10348</v>
      </c>
      <c r="T813" s="972">
        <v>4335</v>
      </c>
      <c r="U813" s="972">
        <v>14683</v>
      </c>
    </row>
    <row r="814" spans="1:21" x14ac:dyDescent="0.25">
      <c r="A814" s="966">
        <v>99017</v>
      </c>
      <c r="B814" s="967" t="s">
        <v>3427</v>
      </c>
      <c r="C814" s="968">
        <v>5.13E-5</v>
      </c>
      <c r="D814" s="968">
        <v>4.6999999999999997E-5</v>
      </c>
      <c r="E814" s="1007">
        <v>25055</v>
      </c>
      <c r="F814" s="1010">
        <v>99750</v>
      </c>
      <c r="G814" s="969">
        <v>78372</v>
      </c>
      <c r="H814" s="969"/>
      <c r="I814" s="970">
        <v>4515</v>
      </c>
      <c r="J814" s="971">
        <v>19029</v>
      </c>
      <c r="K814" s="970">
        <v>11193</v>
      </c>
      <c r="L814" s="969">
        <v>8072</v>
      </c>
      <c r="M814" s="969"/>
      <c r="N814" s="970">
        <v>2218</v>
      </c>
      <c r="O814" s="970">
        <v>0</v>
      </c>
      <c r="P814" s="970">
        <v>0</v>
      </c>
      <c r="Q814" s="969">
        <v>3306</v>
      </c>
      <c r="R814" s="969"/>
      <c r="S814" s="970">
        <v>26411</v>
      </c>
      <c r="T814" s="972">
        <v>-629</v>
      </c>
      <c r="U814" s="972">
        <v>25782</v>
      </c>
    </row>
    <row r="815" spans="1:21" x14ac:dyDescent="0.25">
      <c r="A815" s="966">
        <v>99021</v>
      </c>
      <c r="B815" s="967" t="s">
        <v>3428</v>
      </c>
      <c r="C815" s="968">
        <v>1.5249999999999999E-4</v>
      </c>
      <c r="D815" s="968">
        <v>1.3420000000000001E-4</v>
      </c>
      <c r="E815" s="1007">
        <v>64601</v>
      </c>
      <c r="F815" s="1010">
        <v>284817</v>
      </c>
      <c r="G815" s="969">
        <v>232978</v>
      </c>
      <c r="H815" s="969"/>
      <c r="I815" s="970">
        <v>13422</v>
      </c>
      <c r="J815" s="971">
        <v>56568</v>
      </c>
      <c r="K815" s="970">
        <v>33272</v>
      </c>
      <c r="L815" s="969">
        <v>11565</v>
      </c>
      <c r="M815" s="969"/>
      <c r="N815" s="970">
        <v>6595</v>
      </c>
      <c r="O815" s="970">
        <v>0</v>
      </c>
      <c r="P815" s="970">
        <v>0</v>
      </c>
      <c r="Q815" s="969">
        <v>728</v>
      </c>
      <c r="R815" s="969"/>
      <c r="S815" s="970">
        <v>78514</v>
      </c>
      <c r="T815" s="972">
        <v>3978</v>
      </c>
      <c r="U815" s="972">
        <f>82491+1</f>
        <v>82492</v>
      </c>
    </row>
    <row r="816" spans="1:21" x14ac:dyDescent="0.25">
      <c r="A816" s="966">
        <v>99022</v>
      </c>
      <c r="B816" s="967" t="s">
        <v>1938</v>
      </c>
      <c r="C816" s="968">
        <v>1.08E-5</v>
      </c>
      <c r="D816" s="968">
        <v>1.1800000000000001E-5</v>
      </c>
      <c r="E816" s="1007">
        <v>11386</v>
      </c>
      <c r="F816" s="1010">
        <v>25044</v>
      </c>
      <c r="G816" s="969">
        <v>16499</v>
      </c>
      <c r="H816" s="969"/>
      <c r="I816" s="970">
        <v>951</v>
      </c>
      <c r="J816" s="971">
        <v>4006</v>
      </c>
      <c r="K816" s="970">
        <v>2356</v>
      </c>
      <c r="L816" s="969">
        <v>8944</v>
      </c>
      <c r="M816" s="969"/>
      <c r="N816" s="970">
        <v>467</v>
      </c>
      <c r="O816" s="970">
        <v>0</v>
      </c>
      <c r="P816" s="970">
        <v>0</v>
      </c>
      <c r="Q816" s="969">
        <v>132</v>
      </c>
      <c r="R816" s="969"/>
      <c r="S816" s="970">
        <v>5560</v>
      </c>
      <c r="T816" s="972">
        <v>2896</v>
      </c>
      <c r="U816" s="972">
        <v>8456</v>
      </c>
    </row>
    <row r="817" spans="1:21" x14ac:dyDescent="0.25">
      <c r="A817" s="966">
        <v>99031</v>
      </c>
      <c r="B817" s="967" t="s">
        <v>3429</v>
      </c>
      <c r="C817" s="968">
        <v>1.518E-4</v>
      </c>
      <c r="D817" s="968">
        <v>1.5970000000000001E-4</v>
      </c>
      <c r="E817" s="1007">
        <v>59833</v>
      </c>
      <c r="F817" s="1010">
        <v>338937</v>
      </c>
      <c r="G817" s="969">
        <v>231908</v>
      </c>
      <c r="H817" s="969"/>
      <c r="I817" s="970">
        <v>13360</v>
      </c>
      <c r="J817" s="971">
        <v>56308</v>
      </c>
      <c r="K817" s="970">
        <v>33120</v>
      </c>
      <c r="L817" s="969">
        <v>2845</v>
      </c>
      <c r="M817" s="969"/>
      <c r="N817" s="970">
        <v>6565</v>
      </c>
      <c r="O817" s="970">
        <v>0</v>
      </c>
      <c r="P817" s="970">
        <v>0</v>
      </c>
      <c r="Q817" s="969">
        <v>23907</v>
      </c>
      <c r="R817" s="969"/>
      <c r="S817" s="970">
        <v>78153</v>
      </c>
      <c r="T817" s="972">
        <v>-11727</v>
      </c>
      <c r="U817" s="972">
        <v>66426</v>
      </c>
    </row>
    <row r="818" spans="1:21" x14ac:dyDescent="0.25">
      <c r="A818" s="966">
        <v>99041</v>
      </c>
      <c r="B818" s="967" t="s">
        <v>3430</v>
      </c>
      <c r="C818" s="968">
        <v>6.3500000000000004E-4</v>
      </c>
      <c r="D818" s="968">
        <v>5.6289999999999997E-4</v>
      </c>
      <c r="E818" s="1007">
        <v>254000</v>
      </c>
      <c r="F818" s="1010">
        <v>1194662</v>
      </c>
      <c r="G818" s="969">
        <v>970104</v>
      </c>
      <c r="H818" s="969"/>
      <c r="I818" s="970">
        <v>55887</v>
      </c>
      <c r="J818" s="971">
        <v>235543</v>
      </c>
      <c r="K818" s="970">
        <v>138544</v>
      </c>
      <c r="L818" s="969">
        <v>52920</v>
      </c>
      <c r="M818" s="969"/>
      <c r="N818" s="970">
        <v>27461</v>
      </c>
      <c r="O818" s="970">
        <v>0</v>
      </c>
      <c r="P818" s="970">
        <v>0</v>
      </c>
      <c r="Q818" s="969">
        <v>0</v>
      </c>
      <c r="R818" s="969"/>
      <c r="S818" s="970">
        <v>326926</v>
      </c>
      <c r="T818" s="972">
        <v>28997</v>
      </c>
      <c r="U818" s="972">
        <v>355923</v>
      </c>
    </row>
    <row r="819" spans="1:21" x14ac:dyDescent="0.25">
      <c r="A819" s="966">
        <v>99047</v>
      </c>
      <c r="B819" s="967" t="s">
        <v>3431</v>
      </c>
      <c r="C819" s="968">
        <v>1.42E-5</v>
      </c>
      <c r="D819" s="968">
        <v>9.2E-6</v>
      </c>
      <c r="E819" s="1007">
        <v>7761</v>
      </c>
      <c r="F819" s="1010">
        <v>19525</v>
      </c>
      <c r="G819" s="969">
        <v>21694</v>
      </c>
      <c r="H819" s="969"/>
      <c r="I819" s="970">
        <v>1250</v>
      </c>
      <c r="J819" s="971">
        <v>5267</v>
      </c>
      <c r="K819" s="970">
        <v>3098</v>
      </c>
      <c r="L819" s="969">
        <v>6410</v>
      </c>
      <c r="M819" s="969"/>
      <c r="N819" s="970">
        <v>614</v>
      </c>
      <c r="O819" s="970">
        <v>0</v>
      </c>
      <c r="P819" s="970">
        <v>0</v>
      </c>
      <c r="Q819" s="969">
        <v>0</v>
      </c>
      <c r="R819" s="969"/>
      <c r="S819" s="970">
        <v>7311</v>
      </c>
      <c r="T819" s="972">
        <v>2345</v>
      </c>
      <c r="U819" s="972">
        <f>9655+1</f>
        <v>9656</v>
      </c>
    </row>
    <row r="820" spans="1:21" x14ac:dyDescent="0.25">
      <c r="A820" s="966">
        <v>99051</v>
      </c>
      <c r="B820" s="967" t="s">
        <v>3432</v>
      </c>
      <c r="C820" s="968">
        <v>3.5359999999999998E-4</v>
      </c>
      <c r="D820" s="968">
        <v>3.3349999999999997E-4</v>
      </c>
      <c r="E820" s="1007">
        <v>142317</v>
      </c>
      <c r="F820" s="1010">
        <v>707799</v>
      </c>
      <c r="G820" s="969">
        <v>540203</v>
      </c>
      <c r="H820" s="969"/>
      <c r="I820" s="970">
        <v>31121</v>
      </c>
      <c r="J820" s="971">
        <v>131162</v>
      </c>
      <c r="K820" s="970">
        <v>77148</v>
      </c>
      <c r="L820" s="969">
        <v>11433</v>
      </c>
      <c r="M820" s="969"/>
      <c r="N820" s="970">
        <v>15291</v>
      </c>
      <c r="O820" s="970">
        <v>0</v>
      </c>
      <c r="P820" s="970">
        <v>0</v>
      </c>
      <c r="Q820" s="969">
        <v>2536</v>
      </c>
      <c r="R820" s="969"/>
      <c r="S820" s="970">
        <v>182049</v>
      </c>
      <c r="T820" s="972">
        <v>4776</v>
      </c>
      <c r="U820" s="972">
        <f>186824+1</f>
        <v>186825</v>
      </c>
    </row>
    <row r="821" spans="1:21" x14ac:dyDescent="0.25">
      <c r="A821" s="966">
        <v>99061</v>
      </c>
      <c r="B821" s="967" t="s">
        <v>3433</v>
      </c>
      <c r="C821" s="968">
        <v>8.1000000000000004E-6</v>
      </c>
      <c r="D821" s="968">
        <v>8.3999999999999992E-6</v>
      </c>
      <c r="E821" s="1007">
        <v>7897</v>
      </c>
      <c r="F821" s="1010">
        <v>17828</v>
      </c>
      <c r="G821" s="969">
        <v>12375</v>
      </c>
      <c r="H821" s="969"/>
      <c r="I821" s="970">
        <v>713</v>
      </c>
      <c r="J821" s="971">
        <v>3005</v>
      </c>
      <c r="K821" s="970">
        <v>1767</v>
      </c>
      <c r="L821" s="969">
        <v>7276</v>
      </c>
      <c r="M821" s="969"/>
      <c r="N821" s="970">
        <v>350</v>
      </c>
      <c r="O821" s="970">
        <v>0</v>
      </c>
      <c r="P821" s="970">
        <v>0</v>
      </c>
      <c r="Q821" s="969">
        <v>0</v>
      </c>
      <c r="R821" s="969"/>
      <c r="S821" s="970">
        <v>4170</v>
      </c>
      <c r="T821" s="972">
        <v>2674</v>
      </c>
      <c r="U821" s="972">
        <v>6844</v>
      </c>
    </row>
    <row r="822" spans="1:21" x14ac:dyDescent="0.25">
      <c r="A822" s="966">
        <v>99071</v>
      </c>
      <c r="B822" s="967" t="s">
        <v>3434</v>
      </c>
      <c r="C822" s="968">
        <v>3.04E-5</v>
      </c>
      <c r="D822" s="968">
        <v>3.0499999999999999E-5</v>
      </c>
      <c r="E822" s="1007">
        <v>15062</v>
      </c>
      <c r="F822" s="1010">
        <v>64731</v>
      </c>
      <c r="G822" s="969">
        <v>46443</v>
      </c>
      <c r="H822" s="969"/>
      <c r="I822" s="970">
        <v>2676</v>
      </c>
      <c r="J822" s="971">
        <v>11277</v>
      </c>
      <c r="K822" s="970">
        <v>6633</v>
      </c>
      <c r="L822" s="969">
        <v>818</v>
      </c>
      <c r="M822" s="969"/>
      <c r="N822" s="970">
        <v>1315</v>
      </c>
      <c r="O822" s="970">
        <v>0</v>
      </c>
      <c r="P822" s="970">
        <v>0</v>
      </c>
      <c r="Q822" s="969">
        <v>2093</v>
      </c>
      <c r="R822" s="969"/>
      <c r="S822" s="970">
        <v>15651</v>
      </c>
      <c r="T822" s="972">
        <v>-1107</v>
      </c>
      <c r="U822" s="972">
        <v>14544</v>
      </c>
    </row>
    <row r="823" spans="1:21" x14ac:dyDescent="0.25">
      <c r="A823" s="966">
        <v>99081</v>
      </c>
      <c r="B823" s="967" t="s">
        <v>3435</v>
      </c>
      <c r="C823" s="968">
        <v>1.1E-5</v>
      </c>
      <c r="D823" s="968">
        <v>2.9600000000000001E-5</v>
      </c>
      <c r="E823" s="1007">
        <v>10195</v>
      </c>
      <c r="F823" s="1010">
        <v>62821</v>
      </c>
      <c r="G823" s="969">
        <v>16805</v>
      </c>
      <c r="H823" s="969"/>
      <c r="I823" s="970">
        <v>968</v>
      </c>
      <c r="J823" s="971">
        <v>4081</v>
      </c>
      <c r="K823" s="970">
        <v>2400</v>
      </c>
      <c r="L823" s="969">
        <v>3587</v>
      </c>
      <c r="M823" s="969"/>
      <c r="N823" s="970">
        <v>476</v>
      </c>
      <c r="O823" s="970">
        <v>0</v>
      </c>
      <c r="P823" s="970">
        <v>0</v>
      </c>
      <c r="Q823" s="969">
        <v>13215</v>
      </c>
      <c r="R823" s="969"/>
      <c r="S823" s="970">
        <v>5663</v>
      </c>
      <c r="T823" s="972">
        <v>-2898</v>
      </c>
      <c r="U823" s="972">
        <f>2766-1</f>
        <v>2765</v>
      </c>
    </row>
    <row r="824" spans="1:21" x14ac:dyDescent="0.25">
      <c r="A824" s="966">
        <v>99091</v>
      </c>
      <c r="B824" s="967" t="s">
        <v>3436</v>
      </c>
      <c r="C824" s="968">
        <v>3.9999999999999998E-6</v>
      </c>
      <c r="D824" s="968">
        <v>4.1999999999999996E-6</v>
      </c>
      <c r="E824" s="1007">
        <v>4831</v>
      </c>
      <c r="F824" s="1010">
        <v>8914</v>
      </c>
      <c r="G824" s="969">
        <v>6111</v>
      </c>
      <c r="H824" s="969"/>
      <c r="I824" s="970">
        <v>352</v>
      </c>
      <c r="J824" s="971">
        <v>1484</v>
      </c>
      <c r="K824" s="970">
        <v>873</v>
      </c>
      <c r="L824" s="969">
        <v>4105</v>
      </c>
      <c r="M824" s="969"/>
      <c r="N824" s="970">
        <v>173</v>
      </c>
      <c r="O824" s="970">
        <v>0</v>
      </c>
      <c r="P824" s="970">
        <v>0</v>
      </c>
      <c r="Q824" s="969">
        <v>3232</v>
      </c>
      <c r="R824" s="969"/>
      <c r="S824" s="970">
        <v>2059</v>
      </c>
      <c r="T824" s="972">
        <v>-1926</v>
      </c>
      <c r="U824" s="972">
        <f>134-1</f>
        <v>133</v>
      </c>
    </row>
    <row r="825" spans="1:21" x14ac:dyDescent="0.25">
      <c r="A825" s="966">
        <v>99101</v>
      </c>
      <c r="B825" s="967" t="s">
        <v>3437</v>
      </c>
      <c r="C825" s="968">
        <v>2.1724000000000001E-3</v>
      </c>
      <c r="D825" s="968">
        <v>2.0087999999999998E-3</v>
      </c>
      <c r="E825" s="1007">
        <v>914274</v>
      </c>
      <c r="F825" s="1010">
        <v>4263347</v>
      </c>
      <c r="G825" s="969">
        <v>3318825</v>
      </c>
      <c r="H825" s="969"/>
      <c r="I825" s="970">
        <v>191195</v>
      </c>
      <c r="J825" s="971">
        <v>805815</v>
      </c>
      <c r="K825" s="970">
        <v>473974</v>
      </c>
      <c r="L825" s="969">
        <v>48335</v>
      </c>
      <c r="M825" s="969"/>
      <c r="N825" s="970">
        <v>93945</v>
      </c>
      <c r="O825" s="970">
        <v>0</v>
      </c>
      <c r="P825" s="970">
        <v>0</v>
      </c>
      <c r="Q825" s="969">
        <v>44900</v>
      </c>
      <c r="R825" s="969"/>
      <c r="S825" s="970">
        <v>1118447</v>
      </c>
      <c r="T825" s="972">
        <v>-14151</v>
      </c>
      <c r="U825" s="972">
        <v>1104296</v>
      </c>
    </row>
    <row r="826" spans="1:21" x14ac:dyDescent="0.25">
      <c r="A826" s="966">
        <v>99104</v>
      </c>
      <c r="B826" s="967" t="s">
        <v>3438</v>
      </c>
      <c r="C826" s="968">
        <v>3.3500000000000001E-5</v>
      </c>
      <c r="D826" s="968">
        <v>3.4799999999999999E-5</v>
      </c>
      <c r="E826" s="1007">
        <v>22874</v>
      </c>
      <c r="F826" s="1010">
        <v>73857</v>
      </c>
      <c r="G826" s="969">
        <v>51179</v>
      </c>
      <c r="H826" s="969"/>
      <c r="I826" s="970">
        <v>2948</v>
      </c>
      <c r="J826" s="971">
        <v>12426</v>
      </c>
      <c r="K826" s="970">
        <v>7309</v>
      </c>
      <c r="L826" s="969">
        <v>15217</v>
      </c>
      <c r="M826" s="969"/>
      <c r="N826" s="970">
        <v>1449</v>
      </c>
      <c r="O826" s="970">
        <v>0</v>
      </c>
      <c r="P826" s="970">
        <v>0</v>
      </c>
      <c r="Q826" s="969">
        <v>0</v>
      </c>
      <c r="R826" s="969"/>
      <c r="S826" s="970">
        <v>17247</v>
      </c>
      <c r="T826" s="972">
        <v>6167</v>
      </c>
      <c r="U826" s="972">
        <f>23415-1</f>
        <v>23414</v>
      </c>
    </row>
    <row r="827" spans="1:21" x14ac:dyDescent="0.25">
      <c r="A827" s="966">
        <v>99109</v>
      </c>
      <c r="B827" s="967" t="s">
        <v>3439</v>
      </c>
      <c r="C827" s="968">
        <v>1.2339999999999999E-4</v>
      </c>
      <c r="D827" s="968">
        <v>1.1849999999999999E-4</v>
      </c>
      <c r="E827" s="1007">
        <v>56338</v>
      </c>
      <c r="F827" s="1010">
        <v>251497</v>
      </c>
      <c r="G827" s="969">
        <v>188521</v>
      </c>
      <c r="H827" s="969"/>
      <c r="I827" s="970">
        <v>10861</v>
      </c>
      <c r="J827" s="971">
        <v>45773</v>
      </c>
      <c r="K827" s="970">
        <v>26923</v>
      </c>
      <c r="L827" s="969">
        <v>6454</v>
      </c>
      <c r="M827" s="969"/>
      <c r="N827" s="970">
        <v>5336</v>
      </c>
      <c r="O827" s="970">
        <v>0</v>
      </c>
      <c r="P827" s="970">
        <v>0</v>
      </c>
      <c r="Q827" s="969">
        <v>14208</v>
      </c>
      <c r="R827" s="969"/>
      <c r="S827" s="970">
        <v>63532</v>
      </c>
      <c r="T827" s="972">
        <v>-5391</v>
      </c>
      <c r="U827" s="972">
        <f>58140+1</f>
        <v>58141</v>
      </c>
    </row>
    <row r="828" spans="1:21" x14ac:dyDescent="0.25">
      <c r="A828" s="966">
        <v>99110</v>
      </c>
      <c r="B828" s="967" t="s">
        <v>3440</v>
      </c>
      <c r="C828" s="968">
        <v>1.7670000000000001E-4</v>
      </c>
      <c r="D828" s="968">
        <v>1.8369999999999999E-4</v>
      </c>
      <c r="E828" s="1007">
        <v>119963</v>
      </c>
      <c r="F828" s="1010">
        <v>389873</v>
      </c>
      <c r="G828" s="969">
        <v>269949</v>
      </c>
      <c r="H828" s="969"/>
      <c r="I828" s="970">
        <v>15552</v>
      </c>
      <c r="J828" s="971">
        <v>65544</v>
      </c>
      <c r="K828" s="970">
        <v>38552</v>
      </c>
      <c r="L828" s="969">
        <v>69046</v>
      </c>
      <c r="M828" s="969"/>
      <c r="N828" s="970">
        <v>7641</v>
      </c>
      <c r="O828" s="970">
        <v>0</v>
      </c>
      <c r="P828" s="970">
        <v>0</v>
      </c>
      <c r="Q828" s="969">
        <v>0</v>
      </c>
      <c r="R828" s="969"/>
      <c r="S828" s="970">
        <v>90973</v>
      </c>
      <c r="T828" s="972">
        <v>27602</v>
      </c>
      <c r="U828" s="972">
        <v>118575</v>
      </c>
    </row>
    <row r="829" spans="1:21" x14ac:dyDescent="0.25">
      <c r="A829" s="966">
        <v>99111</v>
      </c>
      <c r="B829" s="967" t="s">
        <v>3441</v>
      </c>
      <c r="C829" s="968">
        <v>1.2618E-3</v>
      </c>
      <c r="D829" s="968">
        <v>1.2757000000000001E-3</v>
      </c>
      <c r="E829" s="1007">
        <v>543583</v>
      </c>
      <c r="F829" s="1010">
        <v>2707463</v>
      </c>
      <c r="G829" s="969">
        <v>1927681</v>
      </c>
      <c r="H829" s="969"/>
      <c r="I829" s="970">
        <v>111052</v>
      </c>
      <c r="J829" s="971">
        <v>468043</v>
      </c>
      <c r="K829" s="970">
        <v>275300</v>
      </c>
      <c r="L829" s="969">
        <v>0</v>
      </c>
      <c r="M829" s="969"/>
      <c r="N829" s="970">
        <v>54567</v>
      </c>
      <c r="O829" s="970">
        <v>0</v>
      </c>
      <c r="P829" s="970">
        <v>0</v>
      </c>
      <c r="Q829" s="969">
        <v>143900</v>
      </c>
      <c r="R829" s="969"/>
      <c r="S829" s="970">
        <v>649630</v>
      </c>
      <c r="T829" s="972">
        <v>-68554</v>
      </c>
      <c r="U829" s="972">
        <v>581076</v>
      </c>
    </row>
    <row r="830" spans="1:21" x14ac:dyDescent="0.25">
      <c r="A830" s="966">
        <v>99201</v>
      </c>
      <c r="B830" s="967" t="s">
        <v>3442</v>
      </c>
      <c r="C830" s="968">
        <v>3.3297199999999999E-2</v>
      </c>
      <c r="D830" s="968">
        <v>3.22145E-2</v>
      </c>
      <c r="E830" s="1007">
        <v>15084487</v>
      </c>
      <c r="F830" s="1010">
        <v>68369961</v>
      </c>
      <c r="G830" s="969">
        <v>50868898</v>
      </c>
      <c r="H830" s="969"/>
      <c r="I830" s="970">
        <v>2930520</v>
      </c>
      <c r="J830" s="971">
        <v>12351030</v>
      </c>
      <c r="K830" s="970">
        <v>7264783</v>
      </c>
      <c r="L830" s="969">
        <v>1320745</v>
      </c>
      <c r="M830" s="969"/>
      <c r="N830" s="970">
        <v>1439937</v>
      </c>
      <c r="O830" s="970">
        <v>0</v>
      </c>
      <c r="P830" s="970">
        <v>0</v>
      </c>
      <c r="Q830" s="969">
        <v>241517</v>
      </c>
      <c r="R830" s="969"/>
      <c r="S830" s="970">
        <v>17142864</v>
      </c>
      <c r="T830" s="972">
        <v>242815</v>
      </c>
      <c r="U830" s="972">
        <v>17385679</v>
      </c>
    </row>
    <row r="831" spans="1:21" x14ac:dyDescent="0.25">
      <c r="A831" s="966">
        <v>99202</v>
      </c>
      <c r="B831" s="967" t="s">
        <v>3443</v>
      </c>
      <c r="C831" s="968">
        <v>2.5855000000000001E-3</v>
      </c>
      <c r="D831" s="968">
        <v>2.5138000000000001E-3</v>
      </c>
      <c r="E831" s="1007">
        <v>1072068</v>
      </c>
      <c r="F831" s="1010">
        <v>5335126</v>
      </c>
      <c r="G831" s="969">
        <v>3949928</v>
      </c>
      <c r="H831" s="969"/>
      <c r="I831" s="970">
        <v>227552</v>
      </c>
      <c r="J831" s="971">
        <v>959048</v>
      </c>
      <c r="K831" s="970">
        <v>564104</v>
      </c>
      <c r="L831" s="969">
        <v>0</v>
      </c>
      <c r="M831" s="969"/>
      <c r="N831" s="970">
        <v>111810</v>
      </c>
      <c r="O831" s="970">
        <v>0</v>
      </c>
      <c r="P831" s="970">
        <v>0</v>
      </c>
      <c r="Q831" s="969">
        <v>184130</v>
      </c>
      <c r="R831" s="969"/>
      <c r="S831" s="970">
        <v>1331129</v>
      </c>
      <c r="T831" s="972">
        <v>-73084</v>
      </c>
      <c r="U831" s="972">
        <v>1258045</v>
      </c>
    </row>
    <row r="832" spans="1:21" x14ac:dyDescent="0.25">
      <c r="A832" s="966">
        <v>99203</v>
      </c>
      <c r="B832" s="967" t="s">
        <v>3444</v>
      </c>
      <c r="C832" s="968">
        <v>3.0410000000000002E-4</v>
      </c>
      <c r="D832" s="968">
        <v>3.1990000000000002E-4</v>
      </c>
      <c r="E832" s="1007">
        <v>126936</v>
      </c>
      <c r="F832" s="1010">
        <v>678935</v>
      </c>
      <c r="G832" s="969">
        <v>464581</v>
      </c>
      <c r="H832" s="969"/>
      <c r="I832" s="970">
        <v>26764</v>
      </c>
      <c r="J832" s="971">
        <v>112801</v>
      </c>
      <c r="K832" s="970">
        <v>66349</v>
      </c>
      <c r="L832" s="969">
        <v>24433</v>
      </c>
      <c r="M832" s="969"/>
      <c r="N832" s="970">
        <v>13151</v>
      </c>
      <c r="O832" s="970">
        <v>0</v>
      </c>
      <c r="P832" s="970">
        <v>0</v>
      </c>
      <c r="Q832" s="969">
        <v>20730</v>
      </c>
      <c r="R832" s="969"/>
      <c r="S832" s="970">
        <v>156564</v>
      </c>
      <c r="T832" s="972">
        <v>11213</v>
      </c>
      <c r="U832" s="972">
        <v>167777</v>
      </c>
    </row>
    <row r="833" spans="1:21" x14ac:dyDescent="0.25">
      <c r="A833" s="966">
        <v>99204</v>
      </c>
      <c r="B833" s="967" t="s">
        <v>3445</v>
      </c>
      <c r="C833" s="968">
        <v>8.3549999999999998E-4</v>
      </c>
      <c r="D833" s="968">
        <v>7.4910000000000005E-4</v>
      </c>
      <c r="E833" s="1007">
        <v>375261</v>
      </c>
      <c r="F833" s="1010">
        <v>1589841</v>
      </c>
      <c r="G833" s="969">
        <v>1276413</v>
      </c>
      <c r="H833" s="969"/>
      <c r="I833" s="970">
        <v>73533</v>
      </c>
      <c r="J833" s="971">
        <v>309914</v>
      </c>
      <c r="K833" s="970">
        <v>182289</v>
      </c>
      <c r="L833" s="969">
        <v>108607</v>
      </c>
      <c r="M833" s="969"/>
      <c r="N833" s="970">
        <v>36131</v>
      </c>
      <c r="O833" s="970">
        <v>0</v>
      </c>
      <c r="P833" s="970">
        <v>0</v>
      </c>
      <c r="Q833" s="969">
        <v>0</v>
      </c>
      <c r="R833" s="969"/>
      <c r="S833" s="970">
        <v>430152</v>
      </c>
      <c r="T833" s="972">
        <v>37657</v>
      </c>
      <c r="U833" s="972">
        <v>467809</v>
      </c>
    </row>
    <row r="834" spans="1:21" x14ac:dyDescent="0.25">
      <c r="A834" s="966">
        <v>99206</v>
      </c>
      <c r="B834" s="967" t="s">
        <v>3446</v>
      </c>
      <c r="C834" s="968">
        <v>1.6957999999999999E-3</v>
      </c>
      <c r="D834" s="968">
        <v>1.6665E-3</v>
      </c>
      <c r="E834" s="1007">
        <v>1210225</v>
      </c>
      <c r="F834" s="1010">
        <v>3536871</v>
      </c>
      <c r="G834" s="969">
        <v>2590713</v>
      </c>
      <c r="H834" s="969"/>
      <c r="I834" s="970">
        <v>149249</v>
      </c>
      <c r="J834" s="971">
        <v>629028</v>
      </c>
      <c r="K834" s="970">
        <v>369990</v>
      </c>
      <c r="L834" s="969">
        <v>641271</v>
      </c>
      <c r="M834" s="969"/>
      <c r="N834" s="970">
        <v>73335</v>
      </c>
      <c r="O834" s="970">
        <v>0</v>
      </c>
      <c r="P834" s="970">
        <v>0</v>
      </c>
      <c r="Q834" s="969">
        <v>6741</v>
      </c>
      <c r="R834" s="969"/>
      <c r="S834" s="970">
        <v>873072</v>
      </c>
      <c r="T834" s="972">
        <v>209066</v>
      </c>
      <c r="U834" s="972">
        <f>1082139-1</f>
        <v>1082138</v>
      </c>
    </row>
    <row r="835" spans="1:21" x14ac:dyDescent="0.25">
      <c r="A835" s="966">
        <v>99207</v>
      </c>
      <c r="B835" s="967" t="s">
        <v>3678</v>
      </c>
      <c r="C835" s="968">
        <v>1.3329999999999999E-4</v>
      </c>
      <c r="D835" s="968">
        <v>1.3430000000000001E-4</v>
      </c>
      <c r="E835" s="1007">
        <v>175075</v>
      </c>
      <c r="F835" s="1010">
        <v>0</v>
      </c>
      <c r="G835" s="969">
        <v>203645</v>
      </c>
      <c r="H835" s="969"/>
      <c r="I835" s="970">
        <v>11732</v>
      </c>
      <c r="J835" s="971">
        <v>49445</v>
      </c>
      <c r="K835" s="970">
        <v>29083</v>
      </c>
      <c r="L835" s="969">
        <v>145724</v>
      </c>
      <c r="M835" s="969"/>
      <c r="N835" s="970">
        <v>5765</v>
      </c>
      <c r="O835" s="970">
        <v>0</v>
      </c>
      <c r="P835" s="970">
        <v>0</v>
      </c>
      <c r="Q835" s="969">
        <v>0</v>
      </c>
      <c r="R835" s="969"/>
      <c r="S835" s="970">
        <v>68629</v>
      </c>
      <c r="T835" s="972">
        <v>46901</v>
      </c>
      <c r="U835" s="972">
        <v>115530</v>
      </c>
    </row>
    <row r="836" spans="1:21" x14ac:dyDescent="0.25">
      <c r="A836" s="966">
        <v>99208</v>
      </c>
      <c r="B836" s="967" t="s">
        <v>3448</v>
      </c>
      <c r="C836" s="968">
        <v>1.4569999999999999E-4</v>
      </c>
      <c r="D836" s="968">
        <v>1.3669999999999999E-4</v>
      </c>
      <c r="E836" s="1007">
        <v>57804</v>
      </c>
      <c r="F836" s="1010">
        <v>290123</v>
      </c>
      <c r="G836" s="969">
        <v>222589</v>
      </c>
      <c r="H836" s="969"/>
      <c r="I836" s="970">
        <v>12823</v>
      </c>
      <c r="J836" s="971">
        <v>54045</v>
      </c>
      <c r="K836" s="970">
        <v>31789</v>
      </c>
      <c r="L836" s="969">
        <v>0</v>
      </c>
      <c r="M836" s="969"/>
      <c r="N836" s="970">
        <v>6301</v>
      </c>
      <c r="O836" s="970">
        <v>0</v>
      </c>
      <c r="P836" s="970">
        <v>0</v>
      </c>
      <c r="Q836" s="969">
        <v>38521</v>
      </c>
      <c r="R836" s="969"/>
      <c r="S836" s="970">
        <v>75013</v>
      </c>
      <c r="T836" s="972">
        <v>-20543</v>
      </c>
      <c r="U836" s="972">
        <v>54470</v>
      </c>
    </row>
    <row r="837" spans="1:21" x14ac:dyDescent="0.25">
      <c r="A837" s="966">
        <v>99210</v>
      </c>
      <c r="B837" s="967" t="s">
        <v>3449</v>
      </c>
      <c r="C837" s="968">
        <v>1.5943999999999999E-3</v>
      </c>
      <c r="D837" s="968">
        <v>1.5945E-3</v>
      </c>
      <c r="E837" s="1007">
        <v>789521</v>
      </c>
      <c r="F837" s="1010">
        <v>3384063</v>
      </c>
      <c r="G837" s="969">
        <v>2435802</v>
      </c>
      <c r="H837" s="969"/>
      <c r="I837" s="970">
        <v>140325</v>
      </c>
      <c r="J837" s="971">
        <v>591415</v>
      </c>
      <c r="K837" s="970">
        <v>347866</v>
      </c>
      <c r="L837" s="969">
        <v>99237</v>
      </c>
      <c r="M837" s="969"/>
      <c r="N837" s="970">
        <v>68950</v>
      </c>
      <c r="O837" s="970">
        <v>0</v>
      </c>
      <c r="P837" s="970">
        <v>0</v>
      </c>
      <c r="Q837" s="969">
        <v>0</v>
      </c>
      <c r="R837" s="969"/>
      <c r="S837" s="970">
        <v>820867</v>
      </c>
      <c r="T837" s="972">
        <v>39106</v>
      </c>
      <c r="U837" s="972">
        <f>859974-1</f>
        <v>859973</v>
      </c>
    </row>
    <row r="838" spans="1:21" x14ac:dyDescent="0.25">
      <c r="A838" s="966">
        <v>99211</v>
      </c>
      <c r="B838" s="967" t="s">
        <v>3450</v>
      </c>
      <c r="C838" s="968">
        <v>3.7100599999999997E-2</v>
      </c>
      <c r="D838" s="968">
        <v>3.8233999999999997E-2</v>
      </c>
      <c r="E838" s="1007">
        <v>16957539</v>
      </c>
      <c r="F838" s="1010">
        <v>81145356</v>
      </c>
      <c r="G838" s="969">
        <v>56679440</v>
      </c>
      <c r="H838" s="969"/>
      <c r="I838" s="970">
        <v>3265261</v>
      </c>
      <c r="J838" s="971">
        <v>13761837</v>
      </c>
      <c r="K838" s="970">
        <v>8094609</v>
      </c>
      <c r="L838" s="969">
        <v>0</v>
      </c>
      <c r="M838" s="969"/>
      <c r="N838" s="970">
        <v>1604415</v>
      </c>
      <c r="O838" s="970">
        <v>0</v>
      </c>
      <c r="P838" s="970">
        <v>0</v>
      </c>
      <c r="Q838" s="969">
        <v>1838947</v>
      </c>
      <c r="R838" s="969"/>
      <c r="S838" s="970">
        <v>19101021</v>
      </c>
      <c r="T838" s="972">
        <v>-724653</v>
      </c>
      <c r="U838" s="972">
        <f>18376369-1</f>
        <v>18376368</v>
      </c>
    </row>
    <row r="839" spans="1:21" x14ac:dyDescent="0.25">
      <c r="A839" s="966">
        <v>99212</v>
      </c>
      <c r="B839" s="967" t="s">
        <v>3451</v>
      </c>
      <c r="C839" s="968">
        <v>8.14E-5</v>
      </c>
      <c r="D839" s="968">
        <v>7.4400000000000006E-5</v>
      </c>
      <c r="E839" s="1007">
        <v>31805</v>
      </c>
      <c r="F839" s="1010">
        <v>157902</v>
      </c>
      <c r="G839" s="969">
        <v>124357</v>
      </c>
      <c r="H839" s="969"/>
      <c r="I839" s="970">
        <v>7164</v>
      </c>
      <c r="J839" s="971">
        <v>30194</v>
      </c>
      <c r="K839" s="970">
        <v>17760</v>
      </c>
      <c r="L839" s="969">
        <v>242</v>
      </c>
      <c r="M839" s="969"/>
      <c r="N839" s="970">
        <v>3520</v>
      </c>
      <c r="O839" s="970">
        <v>0</v>
      </c>
      <c r="P839" s="970">
        <v>0</v>
      </c>
      <c r="Q839" s="969">
        <v>34044</v>
      </c>
      <c r="R839" s="969"/>
      <c r="S839" s="970">
        <v>41908</v>
      </c>
      <c r="T839" s="972">
        <v>-15261</v>
      </c>
      <c r="U839" s="972">
        <v>26647</v>
      </c>
    </row>
    <row r="840" spans="1:21" x14ac:dyDescent="0.25">
      <c r="A840" s="966">
        <v>99213</v>
      </c>
      <c r="B840" s="967" t="s">
        <v>3452</v>
      </c>
      <c r="C840" s="968">
        <v>7.5159999999999995E-4</v>
      </c>
      <c r="D840" s="968">
        <v>8.0730000000000005E-4</v>
      </c>
      <c r="E840" s="1007">
        <v>353817</v>
      </c>
      <c r="F840" s="1010">
        <v>1713361</v>
      </c>
      <c r="G840" s="969">
        <v>1148237</v>
      </c>
      <c r="H840" s="969"/>
      <c r="I840" s="970">
        <v>66149</v>
      </c>
      <c r="J840" s="971">
        <v>278793</v>
      </c>
      <c r="K840" s="970">
        <v>163984</v>
      </c>
      <c r="L840" s="969">
        <v>6057</v>
      </c>
      <c r="M840" s="969"/>
      <c r="N840" s="970">
        <v>32503</v>
      </c>
      <c r="O840" s="970">
        <v>0</v>
      </c>
      <c r="P840" s="970">
        <v>0</v>
      </c>
      <c r="Q840" s="969">
        <v>45468</v>
      </c>
      <c r="R840" s="969"/>
      <c r="S840" s="970">
        <v>386957</v>
      </c>
      <c r="T840" s="972">
        <v>-10310</v>
      </c>
      <c r="U840" s="972">
        <f>376646+1</f>
        <v>376647</v>
      </c>
    </row>
    <row r="841" spans="1:21" x14ac:dyDescent="0.25">
      <c r="A841" s="966">
        <v>99218</v>
      </c>
      <c r="B841" s="967" t="s">
        <v>3453</v>
      </c>
      <c r="C841" s="968">
        <v>3.1162E-3</v>
      </c>
      <c r="D841" s="968">
        <v>3.1227999999999998E-3</v>
      </c>
      <c r="E841" s="1007">
        <v>1493014</v>
      </c>
      <c r="F841" s="1010">
        <v>6627628</v>
      </c>
      <c r="G841" s="969">
        <v>4760690</v>
      </c>
      <c r="H841" s="969"/>
      <c r="I841" s="970">
        <v>274260</v>
      </c>
      <c r="J841" s="971">
        <v>1155902</v>
      </c>
      <c r="K841" s="970">
        <v>679893</v>
      </c>
      <c r="L841" s="969">
        <v>179789</v>
      </c>
      <c r="M841" s="969"/>
      <c r="N841" s="970">
        <v>134760</v>
      </c>
      <c r="O841" s="970">
        <v>0</v>
      </c>
      <c r="P841" s="970">
        <v>0</v>
      </c>
      <c r="Q841" s="969">
        <v>0</v>
      </c>
      <c r="R841" s="969"/>
      <c r="S841" s="970">
        <v>1604357</v>
      </c>
      <c r="T841" s="972">
        <v>66860</v>
      </c>
      <c r="U841" s="972">
        <v>1671217</v>
      </c>
    </row>
    <row r="842" spans="1:21" x14ac:dyDescent="0.25">
      <c r="A842" s="966">
        <v>99221</v>
      </c>
      <c r="B842" s="967" t="s">
        <v>3454</v>
      </c>
      <c r="C842" s="968">
        <v>1.27709E-2</v>
      </c>
      <c r="D842" s="968">
        <v>1.3092700000000001E-2</v>
      </c>
      <c r="E842" s="1007">
        <v>5876509</v>
      </c>
      <c r="F842" s="1010">
        <v>27787095</v>
      </c>
      <c r="G842" s="969">
        <v>19510398</v>
      </c>
      <c r="H842" s="969"/>
      <c r="I842" s="970">
        <v>1123980</v>
      </c>
      <c r="J842" s="971">
        <v>4737148</v>
      </c>
      <c r="K842" s="970">
        <v>2786355</v>
      </c>
      <c r="L842" s="969">
        <v>0</v>
      </c>
      <c r="M842" s="969"/>
      <c r="N842" s="970">
        <v>552278</v>
      </c>
      <c r="O842" s="970">
        <v>0</v>
      </c>
      <c r="P842" s="970">
        <v>0</v>
      </c>
      <c r="Q842" s="969">
        <v>687802</v>
      </c>
      <c r="R842" s="969"/>
      <c r="S842" s="970">
        <v>6575021</v>
      </c>
      <c r="T842" s="972">
        <v>-271922</v>
      </c>
      <c r="U842" s="972">
        <v>6303099</v>
      </c>
    </row>
    <row r="843" spans="1:21" x14ac:dyDescent="0.25">
      <c r="A843" s="966">
        <v>99222</v>
      </c>
      <c r="B843" s="967" t="s">
        <v>3455</v>
      </c>
      <c r="C843" s="968">
        <v>3.9100000000000002E-5</v>
      </c>
      <c r="D843" s="968">
        <v>4.0099999999999999E-5</v>
      </c>
      <c r="E843" s="1007">
        <v>15446</v>
      </c>
      <c r="F843" s="1010">
        <v>85106</v>
      </c>
      <c r="G843" s="969">
        <v>59734</v>
      </c>
      <c r="H843" s="969"/>
      <c r="I843" s="970">
        <v>3441</v>
      </c>
      <c r="J843" s="971">
        <v>14504</v>
      </c>
      <c r="K843" s="970">
        <v>8531</v>
      </c>
      <c r="L843" s="969">
        <v>2307</v>
      </c>
      <c r="M843" s="969"/>
      <c r="N843" s="970">
        <v>1691</v>
      </c>
      <c r="O843" s="970">
        <v>0</v>
      </c>
      <c r="P843" s="970">
        <v>0</v>
      </c>
      <c r="Q843" s="969">
        <v>3585</v>
      </c>
      <c r="R843" s="969"/>
      <c r="S843" s="970">
        <v>20130</v>
      </c>
      <c r="T843" s="972">
        <v>281</v>
      </c>
      <c r="U843" s="972">
        <v>20411</v>
      </c>
    </row>
    <row r="844" spans="1:21" x14ac:dyDescent="0.25">
      <c r="A844" s="966">
        <v>99231</v>
      </c>
      <c r="B844" s="967" t="s">
        <v>3456</v>
      </c>
      <c r="C844" s="968">
        <v>3.7179999999999998E-4</v>
      </c>
      <c r="D844" s="968">
        <v>3.7869999999999999E-4</v>
      </c>
      <c r="E844" s="1007">
        <v>156904</v>
      </c>
      <c r="F844" s="1010">
        <v>803728</v>
      </c>
      <c r="G844" s="969">
        <v>568007</v>
      </c>
      <c r="H844" s="969"/>
      <c r="I844" s="970">
        <v>32722</v>
      </c>
      <c r="J844" s="971">
        <v>137913</v>
      </c>
      <c r="K844" s="970">
        <v>81119</v>
      </c>
      <c r="L844" s="969">
        <v>0</v>
      </c>
      <c r="M844" s="969"/>
      <c r="N844" s="970">
        <v>16078</v>
      </c>
      <c r="O844" s="970">
        <v>0</v>
      </c>
      <c r="P844" s="970">
        <v>0</v>
      </c>
      <c r="Q844" s="969">
        <v>31773</v>
      </c>
      <c r="R844" s="969"/>
      <c r="S844" s="970">
        <v>191419</v>
      </c>
      <c r="T844" s="972">
        <v>-14995</v>
      </c>
      <c r="U844" s="972">
        <v>176424</v>
      </c>
    </row>
    <row r="845" spans="1:21" x14ac:dyDescent="0.25">
      <c r="A845" s="966">
        <v>99241</v>
      </c>
      <c r="B845" s="967" t="s">
        <v>3457</v>
      </c>
      <c r="C845" s="968">
        <v>5.5329999999999995E-4</v>
      </c>
      <c r="D845" s="968">
        <v>5.6039999999999996E-4</v>
      </c>
      <c r="E845" s="1007">
        <v>226042</v>
      </c>
      <c r="F845" s="1010">
        <v>1189357</v>
      </c>
      <c r="G845" s="969">
        <v>845289</v>
      </c>
      <c r="H845" s="969"/>
      <c r="I845" s="970">
        <v>48696</v>
      </c>
      <c r="J845" s="971">
        <v>205238</v>
      </c>
      <c r="K845" s="970">
        <v>120719</v>
      </c>
      <c r="L845" s="969">
        <v>0</v>
      </c>
      <c r="M845" s="969"/>
      <c r="N845" s="970">
        <v>23927</v>
      </c>
      <c r="O845" s="970">
        <v>0</v>
      </c>
      <c r="P845" s="970">
        <v>0</v>
      </c>
      <c r="Q845" s="969">
        <v>103885</v>
      </c>
      <c r="R845" s="969"/>
      <c r="S845" s="970">
        <v>284863</v>
      </c>
      <c r="T845" s="972">
        <v>-52289</v>
      </c>
      <c r="U845" s="972">
        <f>232575-1</f>
        <v>232574</v>
      </c>
    </row>
    <row r="846" spans="1:21" x14ac:dyDescent="0.25">
      <c r="A846" s="966">
        <v>99251</v>
      </c>
      <c r="B846" s="967" t="s">
        <v>3458</v>
      </c>
      <c r="C846" s="968">
        <v>1.6069000000000001E-3</v>
      </c>
      <c r="D846" s="968">
        <v>1.6521000000000001E-3</v>
      </c>
      <c r="E846" s="1007">
        <v>745408</v>
      </c>
      <c r="F846" s="1010">
        <v>3506310</v>
      </c>
      <c r="G846" s="969">
        <v>2454898</v>
      </c>
      <c r="H846" s="969"/>
      <c r="I846" s="970">
        <v>141425</v>
      </c>
      <c r="J846" s="971">
        <v>596053</v>
      </c>
      <c r="K846" s="970">
        <v>350593</v>
      </c>
      <c r="L846" s="969">
        <v>2758</v>
      </c>
      <c r="M846" s="969"/>
      <c r="N846" s="970">
        <v>69490</v>
      </c>
      <c r="O846" s="970">
        <v>0</v>
      </c>
      <c r="P846" s="970">
        <v>0</v>
      </c>
      <c r="Q846" s="969">
        <v>31200</v>
      </c>
      <c r="R846" s="969"/>
      <c r="S846" s="970">
        <v>827303</v>
      </c>
      <c r="T846" s="972">
        <v>-11932</v>
      </c>
      <c r="U846" s="972">
        <v>815371</v>
      </c>
    </row>
    <row r="847" spans="1:21" x14ac:dyDescent="0.25">
      <c r="A847" s="966">
        <v>99252</v>
      </c>
      <c r="B847" s="967" t="s">
        <v>3459</v>
      </c>
      <c r="C847" s="968">
        <v>6.1269999999999999E-4</v>
      </c>
      <c r="D847" s="968">
        <v>5.8279999999999996E-4</v>
      </c>
      <c r="E847" s="1007">
        <v>212386</v>
      </c>
      <c r="F847" s="1010">
        <v>1236897</v>
      </c>
      <c r="G847" s="969">
        <v>936036</v>
      </c>
      <c r="H847" s="969"/>
      <c r="I847" s="970">
        <v>53924</v>
      </c>
      <c r="J847" s="971">
        <v>227271</v>
      </c>
      <c r="K847" s="970">
        <v>133679</v>
      </c>
      <c r="L847" s="969">
        <v>0</v>
      </c>
      <c r="M847" s="969"/>
      <c r="N847" s="970">
        <v>26496</v>
      </c>
      <c r="O847" s="970">
        <v>0</v>
      </c>
      <c r="P847" s="970">
        <v>0</v>
      </c>
      <c r="Q847" s="969">
        <v>202059</v>
      </c>
      <c r="R847" s="969"/>
      <c r="S847" s="970">
        <v>315445</v>
      </c>
      <c r="T847" s="972">
        <v>-85968</v>
      </c>
      <c r="U847" s="972">
        <v>229477</v>
      </c>
    </row>
    <row r="848" spans="1:21" x14ac:dyDescent="0.25">
      <c r="A848" s="966">
        <v>99261</v>
      </c>
      <c r="B848" s="967" t="s">
        <v>3460</v>
      </c>
      <c r="C848" s="968">
        <v>1.9938E-3</v>
      </c>
      <c r="D848" s="968">
        <v>1.9145E-3</v>
      </c>
      <c r="E848" s="1007">
        <v>808835</v>
      </c>
      <c r="F848" s="1010">
        <v>4063210</v>
      </c>
      <c r="G848" s="969">
        <v>3045974</v>
      </c>
      <c r="H848" s="969"/>
      <c r="I848" s="970">
        <v>175476</v>
      </c>
      <c r="J848" s="971">
        <v>739566</v>
      </c>
      <c r="K848" s="970">
        <v>435007</v>
      </c>
      <c r="L848" s="969">
        <v>0</v>
      </c>
      <c r="M848" s="969"/>
      <c r="N848" s="970">
        <v>86222</v>
      </c>
      <c r="O848" s="970">
        <v>0</v>
      </c>
      <c r="P848" s="970">
        <v>0</v>
      </c>
      <c r="Q848" s="969">
        <v>148472</v>
      </c>
      <c r="R848" s="969"/>
      <c r="S848" s="970">
        <v>1026496</v>
      </c>
      <c r="T848" s="972">
        <v>-69364</v>
      </c>
      <c r="U848" s="972">
        <v>957132</v>
      </c>
    </row>
    <row r="849" spans="1:21" x14ac:dyDescent="0.25">
      <c r="A849" s="966">
        <v>99271</v>
      </c>
      <c r="B849" s="967" t="s">
        <v>3461</v>
      </c>
      <c r="C849" s="968">
        <v>4.0137000000000003E-3</v>
      </c>
      <c r="D849" s="968">
        <v>3.9248E-3</v>
      </c>
      <c r="E849" s="1007">
        <v>1751675</v>
      </c>
      <c r="F849" s="1010">
        <v>8329740</v>
      </c>
      <c r="G849" s="969">
        <v>6131822</v>
      </c>
      <c r="H849" s="969"/>
      <c r="I849" s="970">
        <v>353250</v>
      </c>
      <c r="J849" s="971">
        <v>1488814</v>
      </c>
      <c r="K849" s="970">
        <v>875709</v>
      </c>
      <c r="L849" s="969">
        <v>0</v>
      </c>
      <c r="M849" s="969"/>
      <c r="N849" s="970">
        <v>173572</v>
      </c>
      <c r="O849" s="970">
        <v>0</v>
      </c>
      <c r="P849" s="970">
        <v>0</v>
      </c>
      <c r="Q849" s="969">
        <v>122792</v>
      </c>
      <c r="R849" s="969"/>
      <c r="S849" s="970">
        <v>2066429</v>
      </c>
      <c r="T849" s="972">
        <v>-45302</v>
      </c>
      <c r="U849" s="972">
        <v>2021127</v>
      </c>
    </row>
    <row r="850" spans="1:21" x14ac:dyDescent="0.25">
      <c r="A850" s="966">
        <v>99281</v>
      </c>
      <c r="B850" s="967" t="s">
        <v>3462</v>
      </c>
      <c r="C850" s="968">
        <v>2.2918999999999999E-3</v>
      </c>
      <c r="D850" s="968">
        <v>2.2824E-3</v>
      </c>
      <c r="E850" s="1007">
        <v>984780</v>
      </c>
      <c r="F850" s="1010">
        <v>4844017</v>
      </c>
      <c r="G850" s="969">
        <v>3501388</v>
      </c>
      <c r="H850" s="969"/>
      <c r="I850" s="970">
        <v>201712</v>
      </c>
      <c r="J850" s="971">
        <v>850141</v>
      </c>
      <c r="K850" s="970">
        <v>500047</v>
      </c>
      <c r="L850" s="969">
        <v>6743</v>
      </c>
      <c r="M850" s="969"/>
      <c r="N850" s="970">
        <v>99113</v>
      </c>
      <c r="O850" s="970">
        <v>0</v>
      </c>
      <c r="P850" s="970">
        <v>0</v>
      </c>
      <c r="Q850" s="969">
        <v>128585</v>
      </c>
      <c r="R850" s="969"/>
      <c r="S850" s="970">
        <v>1179971</v>
      </c>
      <c r="T850" s="972">
        <v>-37280</v>
      </c>
      <c r="U850" s="972">
        <v>1142691</v>
      </c>
    </row>
    <row r="851" spans="1:21" x14ac:dyDescent="0.25">
      <c r="A851" s="966">
        <v>99291</v>
      </c>
      <c r="B851" s="967" t="s">
        <v>3463</v>
      </c>
      <c r="C851" s="968">
        <v>7.3499999999999998E-4</v>
      </c>
      <c r="D851" s="968">
        <v>7.7260000000000002E-4</v>
      </c>
      <c r="E851" s="1007">
        <v>299576</v>
      </c>
      <c r="F851" s="1010">
        <v>1639716</v>
      </c>
      <c r="G851" s="969">
        <v>1122876</v>
      </c>
      <c r="H851" s="969"/>
      <c r="I851" s="970">
        <v>64688</v>
      </c>
      <c r="J851" s="971">
        <v>272636</v>
      </c>
      <c r="K851" s="970">
        <v>160362</v>
      </c>
      <c r="L851" s="969">
        <v>0</v>
      </c>
      <c r="M851" s="969"/>
      <c r="N851" s="970">
        <v>31785</v>
      </c>
      <c r="O851" s="970">
        <v>0</v>
      </c>
      <c r="P851" s="970">
        <v>0</v>
      </c>
      <c r="Q851" s="969">
        <v>137813</v>
      </c>
      <c r="R851" s="969"/>
      <c r="S851" s="970">
        <v>378410</v>
      </c>
      <c r="T851" s="972">
        <v>-55575</v>
      </c>
      <c r="U851" s="972">
        <v>322835</v>
      </c>
    </row>
    <row r="852" spans="1:21" x14ac:dyDescent="0.25">
      <c r="A852" s="966">
        <v>99301</v>
      </c>
      <c r="B852" s="967" t="s">
        <v>3464</v>
      </c>
      <c r="C852" s="968">
        <v>1.7879E-3</v>
      </c>
      <c r="D852" s="968">
        <v>1.8458000000000001E-3</v>
      </c>
      <c r="E852" s="1007">
        <v>788880</v>
      </c>
      <c r="F852" s="1010">
        <v>3917406</v>
      </c>
      <c r="G852" s="969">
        <v>2731416</v>
      </c>
      <c r="H852" s="969"/>
      <c r="I852" s="970">
        <v>157355</v>
      </c>
      <c r="J852" s="971">
        <v>663191</v>
      </c>
      <c r="K852" s="970">
        <v>390084</v>
      </c>
      <c r="L852" s="969">
        <v>67408</v>
      </c>
      <c r="M852" s="969"/>
      <c r="N852" s="970">
        <v>77318</v>
      </c>
      <c r="O852" s="970">
        <v>0</v>
      </c>
      <c r="P852" s="970">
        <v>0</v>
      </c>
      <c r="Q852" s="969">
        <v>65062</v>
      </c>
      <c r="R852" s="969"/>
      <c r="S852" s="970">
        <v>920490</v>
      </c>
      <c r="T852" s="972">
        <v>38686</v>
      </c>
      <c r="U852" s="972">
        <f>959175+1</f>
        <v>959176</v>
      </c>
    </row>
    <row r="853" spans="1:21" x14ac:dyDescent="0.25">
      <c r="A853" s="966">
        <v>99304</v>
      </c>
      <c r="B853" s="967" t="s">
        <v>3465</v>
      </c>
      <c r="C853" s="968">
        <v>9.2E-6</v>
      </c>
      <c r="D853" s="968">
        <v>9.9000000000000001E-6</v>
      </c>
      <c r="E853" s="1007">
        <v>7554</v>
      </c>
      <c r="F853" s="1010">
        <v>21011</v>
      </c>
      <c r="G853" s="969">
        <v>14055</v>
      </c>
      <c r="H853" s="969"/>
      <c r="I853" s="970">
        <v>810</v>
      </c>
      <c r="J853" s="971">
        <v>3412</v>
      </c>
      <c r="K853" s="970">
        <v>2007</v>
      </c>
      <c r="L853" s="969">
        <v>4659</v>
      </c>
      <c r="M853" s="969"/>
      <c r="N853" s="970">
        <v>398</v>
      </c>
      <c r="O853" s="970">
        <v>0</v>
      </c>
      <c r="P853" s="970">
        <v>0</v>
      </c>
      <c r="Q853" s="969">
        <v>248</v>
      </c>
      <c r="R853" s="969"/>
      <c r="S853" s="970">
        <v>4737</v>
      </c>
      <c r="T853" s="972">
        <v>1371</v>
      </c>
      <c r="U853" s="972">
        <f>6107+1</f>
        <v>6108</v>
      </c>
    </row>
    <row r="854" spans="1:21" x14ac:dyDescent="0.25">
      <c r="A854" s="966">
        <v>99311</v>
      </c>
      <c r="B854" s="967" t="s">
        <v>3466</v>
      </c>
      <c r="C854" s="968">
        <v>5.4299999999999998E-5</v>
      </c>
      <c r="D854" s="968">
        <v>5.7599999999999997E-5</v>
      </c>
      <c r="E854" s="1007">
        <v>25361</v>
      </c>
      <c r="F854" s="1010">
        <v>122246</v>
      </c>
      <c r="G854" s="969">
        <v>82955</v>
      </c>
      <c r="H854" s="969"/>
      <c r="I854" s="970">
        <v>4779</v>
      </c>
      <c r="J854" s="971">
        <v>20142</v>
      </c>
      <c r="K854" s="970">
        <v>11847</v>
      </c>
      <c r="L854" s="969">
        <v>0</v>
      </c>
      <c r="M854" s="969"/>
      <c r="N854" s="970">
        <v>2348</v>
      </c>
      <c r="O854" s="970">
        <v>0</v>
      </c>
      <c r="P854" s="970">
        <v>0</v>
      </c>
      <c r="Q854" s="969">
        <v>6758</v>
      </c>
      <c r="R854" s="969"/>
      <c r="S854" s="970">
        <v>27956</v>
      </c>
      <c r="T854" s="972">
        <v>-3216</v>
      </c>
      <c r="U854" s="972">
        <v>24740</v>
      </c>
    </row>
    <row r="855" spans="1:21" x14ac:dyDescent="0.25">
      <c r="A855" s="966">
        <v>99321</v>
      </c>
      <c r="B855" s="967" t="s">
        <v>3467</v>
      </c>
      <c r="C855" s="968">
        <v>1.1E-4</v>
      </c>
      <c r="D855" s="968">
        <v>1.1909999999999999E-4</v>
      </c>
      <c r="E855" s="1007">
        <v>98498</v>
      </c>
      <c r="F855" s="1010">
        <v>252770</v>
      </c>
      <c r="G855" s="969">
        <v>168050</v>
      </c>
      <c r="H855" s="969"/>
      <c r="I855" s="970">
        <v>9681</v>
      </c>
      <c r="J855" s="971">
        <v>40803</v>
      </c>
      <c r="K855" s="970">
        <v>24000</v>
      </c>
      <c r="L855" s="969">
        <v>96146</v>
      </c>
      <c r="M855" s="969"/>
      <c r="N855" s="970">
        <v>4757</v>
      </c>
      <c r="O855" s="970">
        <v>0</v>
      </c>
      <c r="P855" s="970">
        <v>0</v>
      </c>
      <c r="Q855" s="969">
        <v>0</v>
      </c>
      <c r="R855" s="969"/>
      <c r="S855" s="970">
        <v>56633</v>
      </c>
      <c r="T855" s="972">
        <v>41980</v>
      </c>
      <c r="U855" s="972">
        <v>98613</v>
      </c>
    </row>
    <row r="856" spans="1:21" x14ac:dyDescent="0.25">
      <c r="A856" s="966">
        <v>99401</v>
      </c>
      <c r="B856" s="967" t="s">
        <v>3468</v>
      </c>
      <c r="C856" s="968">
        <v>9.2389999999999996E-4</v>
      </c>
      <c r="D856" s="968">
        <v>9.3869999999999999E-4</v>
      </c>
      <c r="E856" s="1007">
        <v>414565</v>
      </c>
      <c r="F856" s="1010">
        <v>1992236</v>
      </c>
      <c r="G856" s="969">
        <v>1411463</v>
      </c>
      <c r="H856" s="969"/>
      <c r="I856" s="970">
        <v>81313</v>
      </c>
      <c r="J856" s="971">
        <v>342705</v>
      </c>
      <c r="K856" s="970">
        <v>201577</v>
      </c>
      <c r="L856" s="969">
        <v>34240</v>
      </c>
      <c r="M856" s="969"/>
      <c r="N856" s="970">
        <v>39954</v>
      </c>
      <c r="O856" s="970">
        <v>0</v>
      </c>
      <c r="P856" s="970">
        <v>0</v>
      </c>
      <c r="Q856" s="969">
        <v>17589</v>
      </c>
      <c r="R856" s="969"/>
      <c r="S856" s="970">
        <v>475664</v>
      </c>
      <c r="T856" s="972">
        <v>22297</v>
      </c>
      <c r="U856" s="972">
        <v>497961</v>
      </c>
    </row>
    <row r="857" spans="1:21" x14ac:dyDescent="0.25">
      <c r="A857" s="966">
        <v>99404</v>
      </c>
      <c r="B857" s="967" t="s">
        <v>3469</v>
      </c>
      <c r="C857" s="968">
        <v>9.3999999999999998E-6</v>
      </c>
      <c r="D857" s="968">
        <v>9.5999999999999996E-6</v>
      </c>
      <c r="E857" s="1007">
        <v>5393</v>
      </c>
      <c r="F857" s="1010">
        <v>20374</v>
      </c>
      <c r="G857" s="969">
        <v>14361</v>
      </c>
      <c r="H857" s="969"/>
      <c r="I857" s="970">
        <v>827</v>
      </c>
      <c r="J857" s="971">
        <v>3487</v>
      </c>
      <c r="K857" s="970">
        <v>2051</v>
      </c>
      <c r="L857" s="969">
        <v>1334</v>
      </c>
      <c r="M857" s="969"/>
      <c r="N857" s="970">
        <v>407</v>
      </c>
      <c r="O857" s="970">
        <v>0</v>
      </c>
      <c r="P857" s="970">
        <v>0</v>
      </c>
      <c r="Q857" s="969">
        <v>0</v>
      </c>
      <c r="R857" s="969"/>
      <c r="S857" s="970">
        <v>4840</v>
      </c>
      <c r="T857" s="972">
        <v>466</v>
      </c>
      <c r="U857" s="972">
        <v>5306</v>
      </c>
    </row>
    <row r="858" spans="1:21" x14ac:dyDescent="0.25">
      <c r="A858" s="966">
        <v>99405</v>
      </c>
      <c r="B858" s="967" t="s">
        <v>3470</v>
      </c>
      <c r="C858" s="968">
        <v>6.2700000000000006E-5</v>
      </c>
      <c r="D858" s="968">
        <v>5.8100000000000003E-5</v>
      </c>
      <c r="E858" s="1007">
        <v>37798</v>
      </c>
      <c r="F858" s="1010">
        <v>123308</v>
      </c>
      <c r="G858" s="969">
        <v>95788</v>
      </c>
      <c r="H858" s="969"/>
      <c r="I858" s="970">
        <v>5518</v>
      </c>
      <c r="J858" s="971">
        <v>23258</v>
      </c>
      <c r="K858" s="970">
        <v>13680</v>
      </c>
      <c r="L858" s="969">
        <v>18380</v>
      </c>
      <c r="M858" s="969"/>
      <c r="N858" s="970">
        <v>2711</v>
      </c>
      <c r="O858" s="970">
        <v>0</v>
      </c>
      <c r="P858" s="970">
        <v>0</v>
      </c>
      <c r="Q858" s="969">
        <v>336</v>
      </c>
      <c r="R858" s="969"/>
      <c r="S858" s="970">
        <v>32281</v>
      </c>
      <c r="T858" s="972">
        <v>6084</v>
      </c>
      <c r="U858" s="972">
        <f>38364+1</f>
        <v>38365</v>
      </c>
    </row>
    <row r="859" spans="1:21" x14ac:dyDescent="0.25">
      <c r="A859" s="966">
        <v>99411</v>
      </c>
      <c r="B859" s="967" t="s">
        <v>3471</v>
      </c>
      <c r="C859" s="968">
        <v>1.583E-4</v>
      </c>
      <c r="D859" s="968">
        <v>1.2510000000000001E-4</v>
      </c>
      <c r="E859" s="1007">
        <v>75833</v>
      </c>
      <c r="F859" s="1010">
        <v>265504</v>
      </c>
      <c r="G859" s="969">
        <v>241839</v>
      </c>
      <c r="H859" s="969"/>
      <c r="I859" s="970">
        <v>13932</v>
      </c>
      <c r="J859" s="971">
        <v>58719</v>
      </c>
      <c r="K859" s="970">
        <v>34538</v>
      </c>
      <c r="L859" s="969">
        <v>41924</v>
      </c>
      <c r="M859" s="969"/>
      <c r="N859" s="970">
        <v>6846</v>
      </c>
      <c r="O859" s="970">
        <v>0</v>
      </c>
      <c r="P859" s="970">
        <v>0</v>
      </c>
      <c r="Q859" s="969">
        <v>4400</v>
      </c>
      <c r="R859" s="969"/>
      <c r="S859" s="970">
        <v>81500</v>
      </c>
      <c r="T859" s="972">
        <v>8626</v>
      </c>
      <c r="U859" s="972">
        <v>90126</v>
      </c>
    </row>
    <row r="860" spans="1:21" x14ac:dyDescent="0.25">
      <c r="A860" s="966">
        <v>99413</v>
      </c>
      <c r="B860" s="967" t="s">
        <v>3472</v>
      </c>
      <c r="C860" s="968">
        <v>3.1099999999999997E-5</v>
      </c>
      <c r="D860" s="968">
        <v>2.76E-5</v>
      </c>
      <c r="E860" s="1007">
        <v>18530</v>
      </c>
      <c r="F860" s="1010">
        <v>58576</v>
      </c>
      <c r="G860" s="969">
        <v>47512</v>
      </c>
      <c r="H860" s="969"/>
      <c r="I860" s="970">
        <v>2737</v>
      </c>
      <c r="J860" s="971">
        <v>11536</v>
      </c>
      <c r="K860" s="970">
        <v>6785</v>
      </c>
      <c r="L860" s="969">
        <v>5754</v>
      </c>
      <c r="M860" s="969"/>
      <c r="N860" s="970">
        <v>1345</v>
      </c>
      <c r="O860" s="970">
        <v>0</v>
      </c>
      <c r="P860" s="970">
        <v>0</v>
      </c>
      <c r="Q860" s="969">
        <v>3024</v>
      </c>
      <c r="R860" s="969"/>
      <c r="S860" s="970">
        <v>16012</v>
      </c>
      <c r="T860" s="972">
        <v>202</v>
      </c>
      <c r="U860" s="972">
        <v>16214</v>
      </c>
    </row>
    <row r="861" spans="1:21" x14ac:dyDescent="0.25">
      <c r="A861" s="966">
        <v>99421</v>
      </c>
      <c r="B861" s="967" t="s">
        <v>3473</v>
      </c>
      <c r="C861" s="968">
        <v>1.04E-5</v>
      </c>
      <c r="D861" s="968">
        <v>1.5E-5</v>
      </c>
      <c r="E861" s="1007">
        <v>6211</v>
      </c>
      <c r="F861" s="1010">
        <v>31835</v>
      </c>
      <c r="G861" s="969">
        <v>15888</v>
      </c>
      <c r="H861" s="969"/>
      <c r="I861" s="970">
        <v>915</v>
      </c>
      <c r="J861" s="971">
        <v>3858</v>
      </c>
      <c r="K861" s="970">
        <v>2269</v>
      </c>
      <c r="L861" s="969">
        <v>764</v>
      </c>
      <c r="M861" s="969"/>
      <c r="N861" s="970">
        <v>450</v>
      </c>
      <c r="O861" s="970">
        <v>0</v>
      </c>
      <c r="P861" s="970">
        <v>0</v>
      </c>
      <c r="Q861" s="969">
        <v>5440</v>
      </c>
      <c r="R861" s="969"/>
      <c r="S861" s="970">
        <v>5354</v>
      </c>
      <c r="T861" s="972">
        <v>-1116</v>
      </c>
      <c r="U861" s="972">
        <v>4238</v>
      </c>
    </row>
    <row r="862" spans="1:21" x14ac:dyDescent="0.25">
      <c r="A862" s="966">
        <v>99431</v>
      </c>
      <c r="B862" s="967" t="s">
        <v>3474</v>
      </c>
      <c r="C862" s="968">
        <v>2.2200000000000001E-5</v>
      </c>
      <c r="D862" s="968">
        <v>2.16E-5</v>
      </c>
      <c r="E862" s="1007">
        <v>7581</v>
      </c>
      <c r="F862" s="1010">
        <v>45842</v>
      </c>
      <c r="G862" s="969">
        <v>33915</v>
      </c>
      <c r="H862" s="969"/>
      <c r="I862" s="970">
        <v>1954</v>
      </c>
      <c r="J862" s="971">
        <v>8235</v>
      </c>
      <c r="K862" s="970">
        <v>4844</v>
      </c>
      <c r="L862" s="969">
        <v>1071</v>
      </c>
      <c r="M862" s="969"/>
      <c r="N862" s="970">
        <v>960</v>
      </c>
      <c r="O862" s="970">
        <v>0</v>
      </c>
      <c r="P862" s="970">
        <v>0</v>
      </c>
      <c r="Q862" s="969">
        <v>3001</v>
      </c>
      <c r="R862" s="969"/>
      <c r="S862" s="970">
        <v>11430</v>
      </c>
      <c r="T862" s="972">
        <v>119</v>
      </c>
      <c r="U862" s="972">
        <v>11549</v>
      </c>
    </row>
    <row r="863" spans="1:21" x14ac:dyDescent="0.25">
      <c r="A863" s="966">
        <v>99501</v>
      </c>
      <c r="B863" s="967" t="s">
        <v>3475</v>
      </c>
      <c r="C863" s="968">
        <v>1.6785000000000001E-3</v>
      </c>
      <c r="D863" s="968">
        <v>1.7390000000000001E-3</v>
      </c>
      <c r="E863" s="1007">
        <v>794395</v>
      </c>
      <c r="F863" s="1010">
        <v>3690741</v>
      </c>
      <c r="G863" s="969">
        <v>2564283</v>
      </c>
      <c r="H863" s="969"/>
      <c r="I863" s="970">
        <v>147726</v>
      </c>
      <c r="J863" s="971">
        <v>622611</v>
      </c>
      <c r="K863" s="970">
        <v>366215</v>
      </c>
      <c r="L863" s="969">
        <v>3764</v>
      </c>
      <c r="M863" s="969"/>
      <c r="N863" s="970">
        <v>72587</v>
      </c>
      <c r="O863" s="970">
        <v>0</v>
      </c>
      <c r="P863" s="970">
        <v>0</v>
      </c>
      <c r="Q863" s="969">
        <v>21505</v>
      </c>
      <c r="R863" s="969"/>
      <c r="S863" s="970">
        <v>864166</v>
      </c>
      <c r="T863" s="972">
        <v>-3415</v>
      </c>
      <c r="U863" s="972">
        <f>860750+1</f>
        <v>860751</v>
      </c>
    </row>
    <row r="864" spans="1:21" x14ac:dyDescent="0.25">
      <c r="A864" s="966">
        <v>99502</v>
      </c>
      <c r="B864" s="967" t="s">
        <v>3476</v>
      </c>
      <c r="C864" s="968">
        <v>1.373E-4</v>
      </c>
      <c r="D864" s="968">
        <v>1.3779999999999999E-4</v>
      </c>
      <c r="E864" s="1007">
        <v>65831</v>
      </c>
      <c r="F864" s="1010">
        <v>292458</v>
      </c>
      <c r="G864" s="969">
        <v>209756</v>
      </c>
      <c r="H864" s="969"/>
      <c r="I864" s="970">
        <v>12084</v>
      </c>
      <c r="J864" s="971">
        <v>50929</v>
      </c>
      <c r="K864" s="970">
        <v>29956</v>
      </c>
      <c r="L864" s="969">
        <v>21393</v>
      </c>
      <c r="M864" s="969"/>
      <c r="N864" s="970">
        <v>5938</v>
      </c>
      <c r="O864" s="970">
        <v>0</v>
      </c>
      <c r="P864" s="970">
        <v>0</v>
      </c>
      <c r="Q864" s="969">
        <v>71</v>
      </c>
      <c r="R864" s="969"/>
      <c r="S864" s="970">
        <v>70688</v>
      </c>
      <c r="T864" s="972">
        <v>9456</v>
      </c>
      <c r="U864" s="972">
        <v>80144</v>
      </c>
    </row>
    <row r="865" spans="1:21" x14ac:dyDescent="0.25">
      <c r="A865" s="966">
        <v>99508</v>
      </c>
      <c r="B865" s="967" t="s">
        <v>3477</v>
      </c>
      <c r="C865" s="968">
        <v>2.2099999999999998E-5</v>
      </c>
      <c r="D865" s="968">
        <v>2.1699999999999999E-5</v>
      </c>
      <c r="E865" s="1007">
        <v>9857</v>
      </c>
      <c r="F865" s="1010">
        <v>46055</v>
      </c>
      <c r="G865" s="969">
        <v>33763</v>
      </c>
      <c r="H865" s="969"/>
      <c r="I865" s="970">
        <v>1945</v>
      </c>
      <c r="J865" s="971">
        <v>8198</v>
      </c>
      <c r="K865" s="970">
        <v>4822</v>
      </c>
      <c r="L865" s="969">
        <v>37</v>
      </c>
      <c r="M865" s="969"/>
      <c r="N865" s="970">
        <v>956</v>
      </c>
      <c r="O865" s="970">
        <v>0</v>
      </c>
      <c r="P865" s="970">
        <v>0</v>
      </c>
      <c r="Q865" s="969">
        <v>1571</v>
      </c>
      <c r="R865" s="969"/>
      <c r="S865" s="970">
        <v>11378</v>
      </c>
      <c r="T865" s="972">
        <v>-984</v>
      </c>
      <c r="U865" s="972">
        <v>10394</v>
      </c>
    </row>
    <row r="866" spans="1:21" x14ac:dyDescent="0.25">
      <c r="A866" s="966">
        <v>99509</v>
      </c>
      <c r="B866" s="967" t="s">
        <v>3478</v>
      </c>
      <c r="C866" s="968">
        <v>2.76E-5</v>
      </c>
      <c r="D866" s="968">
        <v>2.8900000000000001E-5</v>
      </c>
      <c r="E866" s="1007">
        <v>11410</v>
      </c>
      <c r="F866" s="1010">
        <v>61335</v>
      </c>
      <c r="G866" s="969">
        <v>42165</v>
      </c>
      <c r="H866" s="969"/>
      <c r="I866" s="970">
        <v>2429</v>
      </c>
      <c r="J866" s="971">
        <v>10238</v>
      </c>
      <c r="K866" s="970">
        <v>6022</v>
      </c>
      <c r="L866" s="969">
        <v>0</v>
      </c>
      <c r="M866" s="969"/>
      <c r="N866" s="970">
        <v>1194</v>
      </c>
      <c r="O866" s="970">
        <v>0</v>
      </c>
      <c r="P866" s="970">
        <v>0</v>
      </c>
      <c r="Q866" s="969">
        <v>6512</v>
      </c>
      <c r="R866" s="969"/>
      <c r="S866" s="970">
        <v>14210</v>
      </c>
      <c r="T866" s="972">
        <v>-4301</v>
      </c>
      <c r="U866" s="972">
        <v>9909</v>
      </c>
    </row>
    <row r="867" spans="1:21" x14ac:dyDescent="0.25">
      <c r="A867" s="966">
        <v>99511</v>
      </c>
      <c r="B867" s="967" t="s">
        <v>3479</v>
      </c>
      <c r="C867" s="968">
        <v>1.4048999999999999E-3</v>
      </c>
      <c r="D867" s="968">
        <v>1.3638000000000001E-3</v>
      </c>
      <c r="E867" s="1007">
        <v>579707</v>
      </c>
      <c r="F867" s="1010">
        <v>2894440</v>
      </c>
      <c r="G867" s="969">
        <v>2146298</v>
      </c>
      <c r="H867" s="969"/>
      <c r="I867" s="970">
        <v>123647</v>
      </c>
      <c r="J867" s="971">
        <v>521124</v>
      </c>
      <c r="K867" s="970">
        <v>306521</v>
      </c>
      <c r="L867" s="969">
        <v>4500</v>
      </c>
      <c r="M867" s="969"/>
      <c r="N867" s="970">
        <v>60755</v>
      </c>
      <c r="O867" s="970">
        <v>0</v>
      </c>
      <c r="P867" s="970">
        <v>0</v>
      </c>
      <c r="Q867" s="969">
        <v>85381</v>
      </c>
      <c r="R867" s="969"/>
      <c r="S867" s="970">
        <v>723304</v>
      </c>
      <c r="T867" s="972">
        <v>-30654</v>
      </c>
      <c r="U867" s="972">
        <v>692650</v>
      </c>
    </row>
    <row r="868" spans="1:21" x14ac:dyDescent="0.25">
      <c r="A868" s="966">
        <v>99521</v>
      </c>
      <c r="B868" s="967" t="s">
        <v>3480</v>
      </c>
      <c r="C868" s="968">
        <v>4.2700000000000002E-4</v>
      </c>
      <c r="D868" s="968">
        <v>4.0180000000000001E-4</v>
      </c>
      <c r="E868" s="1007">
        <v>176536</v>
      </c>
      <c r="F868" s="1010">
        <v>852754</v>
      </c>
      <c r="G868" s="969">
        <v>652338</v>
      </c>
      <c r="H868" s="969"/>
      <c r="I868" s="970">
        <v>37581</v>
      </c>
      <c r="J868" s="971">
        <v>158389</v>
      </c>
      <c r="K868" s="970">
        <v>93163</v>
      </c>
      <c r="L868" s="969">
        <v>2015</v>
      </c>
      <c r="M868" s="969"/>
      <c r="N868" s="970">
        <v>18466</v>
      </c>
      <c r="O868" s="970">
        <v>0</v>
      </c>
      <c r="P868" s="970">
        <v>0</v>
      </c>
      <c r="Q868" s="969">
        <v>15563</v>
      </c>
      <c r="R868" s="969"/>
      <c r="S868" s="970">
        <v>219838</v>
      </c>
      <c r="T868" s="972">
        <v>-5081</v>
      </c>
      <c r="U868" s="972">
        <v>214757</v>
      </c>
    </row>
    <row r="869" spans="1:21" x14ac:dyDescent="0.25">
      <c r="A869" s="966">
        <v>99527</v>
      </c>
      <c r="B869" s="967" t="s">
        <v>3481</v>
      </c>
      <c r="C869" s="968">
        <v>1.19E-5</v>
      </c>
      <c r="D869" s="968">
        <v>1.2099999999999999E-5</v>
      </c>
      <c r="E869" s="1007">
        <v>5941</v>
      </c>
      <c r="F869" s="1010">
        <v>25680</v>
      </c>
      <c r="G869" s="969">
        <v>18180</v>
      </c>
      <c r="H869" s="969"/>
      <c r="I869" s="970">
        <v>1047</v>
      </c>
      <c r="J869" s="971">
        <v>4414</v>
      </c>
      <c r="K869" s="970">
        <v>2596</v>
      </c>
      <c r="L869" s="969">
        <v>1124</v>
      </c>
      <c r="M869" s="969"/>
      <c r="N869" s="970">
        <v>515</v>
      </c>
      <c r="O869" s="970">
        <v>0</v>
      </c>
      <c r="P869" s="970">
        <v>0</v>
      </c>
      <c r="Q869" s="969">
        <v>0</v>
      </c>
      <c r="R869" s="969"/>
      <c r="S869" s="970">
        <v>6127</v>
      </c>
      <c r="T869" s="972">
        <v>591</v>
      </c>
      <c r="U869" s="972">
        <v>6718</v>
      </c>
    </row>
    <row r="870" spans="1:21" x14ac:dyDescent="0.25">
      <c r="A870" s="966">
        <v>99531</v>
      </c>
      <c r="B870" s="967" t="s">
        <v>3482</v>
      </c>
      <c r="C870" s="968">
        <v>9.3499999999999996E-5</v>
      </c>
      <c r="D870" s="968">
        <v>8.7600000000000002E-5</v>
      </c>
      <c r="E870" s="1007">
        <v>72390</v>
      </c>
      <c r="F870" s="1010">
        <v>185917</v>
      </c>
      <c r="G870" s="969">
        <v>142842</v>
      </c>
      <c r="H870" s="969"/>
      <c r="I870" s="970">
        <v>8229</v>
      </c>
      <c r="J870" s="971">
        <v>34683</v>
      </c>
      <c r="K870" s="970">
        <v>20400</v>
      </c>
      <c r="L870" s="969">
        <v>55453</v>
      </c>
      <c r="M870" s="969"/>
      <c r="N870" s="970">
        <v>4043</v>
      </c>
      <c r="O870" s="970">
        <v>0</v>
      </c>
      <c r="P870" s="970">
        <v>0</v>
      </c>
      <c r="Q870" s="969">
        <v>0</v>
      </c>
      <c r="R870" s="969"/>
      <c r="S870" s="970">
        <v>48138</v>
      </c>
      <c r="T870" s="972">
        <v>18721</v>
      </c>
      <c r="U870" s="972">
        <v>66859</v>
      </c>
    </row>
    <row r="871" spans="1:21" x14ac:dyDescent="0.25">
      <c r="A871" s="966">
        <v>99601</v>
      </c>
      <c r="B871" s="967" t="s">
        <v>3483</v>
      </c>
      <c r="C871" s="968">
        <v>5.7812000000000002E-3</v>
      </c>
      <c r="D871" s="968">
        <v>5.2824999999999999E-3</v>
      </c>
      <c r="E871" s="1007">
        <v>2548954</v>
      </c>
      <c r="F871" s="1010">
        <v>11211235</v>
      </c>
      <c r="G871" s="969">
        <v>8832072</v>
      </c>
      <c r="H871" s="969"/>
      <c r="I871" s="970">
        <v>508809</v>
      </c>
      <c r="J871" s="971">
        <v>2144438</v>
      </c>
      <c r="K871" s="970">
        <v>1261342</v>
      </c>
      <c r="L871" s="969">
        <v>289372</v>
      </c>
      <c r="M871" s="969"/>
      <c r="N871" s="970">
        <v>250008</v>
      </c>
      <c r="O871" s="970">
        <v>0</v>
      </c>
      <c r="P871" s="970">
        <v>0</v>
      </c>
      <c r="Q871" s="969">
        <v>73071</v>
      </c>
      <c r="R871" s="969"/>
      <c r="S871" s="970">
        <v>2976416</v>
      </c>
      <c r="T871" s="972">
        <v>55175</v>
      </c>
      <c r="U871" s="972">
        <f>3031592-1</f>
        <v>3031591</v>
      </c>
    </row>
    <row r="872" spans="1:21" x14ac:dyDescent="0.25">
      <c r="A872" s="966">
        <v>99602</v>
      </c>
      <c r="B872" s="967" t="s">
        <v>3484</v>
      </c>
      <c r="C872" s="968">
        <v>6.19E-5</v>
      </c>
      <c r="D872" s="968">
        <v>5.1700000000000003E-5</v>
      </c>
      <c r="E872" s="1007">
        <v>28151</v>
      </c>
      <c r="F872" s="1010">
        <v>109725</v>
      </c>
      <c r="G872" s="969">
        <v>94566</v>
      </c>
      <c r="H872" s="969"/>
      <c r="I872" s="970">
        <v>5448</v>
      </c>
      <c r="J872" s="971">
        <v>22961</v>
      </c>
      <c r="K872" s="970">
        <v>13505</v>
      </c>
      <c r="L872" s="969">
        <v>10306</v>
      </c>
      <c r="M872" s="969"/>
      <c r="N872" s="970">
        <v>2677</v>
      </c>
      <c r="O872" s="970">
        <v>0</v>
      </c>
      <c r="P872" s="970">
        <v>0</v>
      </c>
      <c r="Q872" s="969">
        <v>2067</v>
      </c>
      <c r="R872" s="969"/>
      <c r="S872" s="970">
        <v>31869</v>
      </c>
      <c r="T872" s="972">
        <v>1298</v>
      </c>
      <c r="U872" s="972">
        <v>33167</v>
      </c>
    </row>
    <row r="873" spans="1:21" x14ac:dyDescent="0.25">
      <c r="A873" s="966">
        <v>99603</v>
      </c>
      <c r="B873" s="967" t="s">
        <v>3485</v>
      </c>
      <c r="C873" s="968">
        <v>1.615E-4</v>
      </c>
      <c r="D873" s="968">
        <v>1.4219999999999999E-4</v>
      </c>
      <c r="E873" s="1007">
        <v>87237</v>
      </c>
      <c r="F873" s="1010">
        <v>301796</v>
      </c>
      <c r="G873" s="969">
        <v>246727</v>
      </c>
      <c r="H873" s="969"/>
      <c r="I873" s="970">
        <v>14214</v>
      </c>
      <c r="J873" s="971">
        <v>59905</v>
      </c>
      <c r="K873" s="970">
        <v>35236</v>
      </c>
      <c r="L873" s="969">
        <v>95435</v>
      </c>
      <c r="M873" s="969"/>
      <c r="N873" s="970">
        <v>6984</v>
      </c>
      <c r="O873" s="970">
        <v>0</v>
      </c>
      <c r="P873" s="970">
        <v>0</v>
      </c>
      <c r="Q873" s="969">
        <v>0</v>
      </c>
      <c r="R873" s="969"/>
      <c r="S873" s="970">
        <v>83147</v>
      </c>
      <c r="T873" s="972">
        <v>37380</v>
      </c>
      <c r="U873" s="972">
        <v>120527</v>
      </c>
    </row>
    <row r="874" spans="1:21" x14ac:dyDescent="0.25">
      <c r="A874" s="966">
        <v>99604</v>
      </c>
      <c r="B874" s="967" t="s">
        <v>3486</v>
      </c>
      <c r="C874" s="968">
        <v>1.009E-4</v>
      </c>
      <c r="D874" s="968">
        <v>9.6899999999999997E-5</v>
      </c>
      <c r="E874" s="1007">
        <v>52378</v>
      </c>
      <c r="F874" s="1010">
        <v>205654</v>
      </c>
      <c r="G874" s="969">
        <v>154147</v>
      </c>
      <c r="H874" s="969"/>
      <c r="I874" s="970">
        <v>8880</v>
      </c>
      <c r="J874" s="971">
        <v>37427</v>
      </c>
      <c r="K874" s="970">
        <v>22014</v>
      </c>
      <c r="L874" s="969">
        <v>20530</v>
      </c>
      <c r="M874" s="969"/>
      <c r="N874" s="970">
        <v>4363</v>
      </c>
      <c r="O874" s="970">
        <v>0</v>
      </c>
      <c r="P874" s="970">
        <v>0</v>
      </c>
      <c r="Q874" s="969">
        <v>0</v>
      </c>
      <c r="R874" s="969"/>
      <c r="S874" s="970">
        <v>51948</v>
      </c>
      <c r="T874" s="972">
        <v>9479</v>
      </c>
      <c r="U874" s="972">
        <v>61427</v>
      </c>
    </row>
    <row r="875" spans="1:21" x14ac:dyDescent="0.25">
      <c r="A875" s="966">
        <v>99609</v>
      </c>
      <c r="B875" s="967" t="s">
        <v>3487</v>
      </c>
      <c r="C875" s="968">
        <v>1.52E-5</v>
      </c>
      <c r="D875" s="968">
        <v>2.0999999999999999E-5</v>
      </c>
      <c r="E875" s="1007">
        <v>9935</v>
      </c>
      <c r="F875" s="1010">
        <v>44569</v>
      </c>
      <c r="G875" s="969">
        <v>23221</v>
      </c>
      <c r="H875" s="969"/>
      <c r="I875" s="970">
        <v>1338</v>
      </c>
      <c r="J875" s="971">
        <v>5638</v>
      </c>
      <c r="K875" s="970">
        <v>3316</v>
      </c>
      <c r="L875" s="969">
        <v>3555</v>
      </c>
      <c r="M875" s="969"/>
      <c r="N875" s="970">
        <v>657</v>
      </c>
      <c r="O875" s="970">
        <v>0</v>
      </c>
      <c r="P875" s="970">
        <v>0</v>
      </c>
      <c r="Q875" s="969">
        <v>1523</v>
      </c>
      <c r="R875" s="969"/>
      <c r="S875" s="970">
        <v>7826</v>
      </c>
      <c r="T875" s="972">
        <v>1693</v>
      </c>
      <c r="U875" s="972">
        <v>9519</v>
      </c>
    </row>
    <row r="876" spans="1:21" x14ac:dyDescent="0.25">
      <c r="A876" s="966">
        <v>99610</v>
      </c>
      <c r="B876" s="967" t="s">
        <v>3488</v>
      </c>
      <c r="C876" s="968">
        <v>1.9440000000000001E-4</v>
      </c>
      <c r="D876" s="968">
        <v>1.9440000000000001E-4</v>
      </c>
      <c r="E876" s="1007">
        <v>85100</v>
      </c>
      <c r="F876" s="1010">
        <v>412582</v>
      </c>
      <c r="G876" s="969">
        <v>296989</v>
      </c>
      <c r="H876" s="969"/>
      <c r="I876" s="970">
        <v>17109</v>
      </c>
      <c r="J876" s="971">
        <v>72109</v>
      </c>
      <c r="K876" s="970">
        <v>42414</v>
      </c>
      <c r="L876" s="969">
        <v>2712</v>
      </c>
      <c r="M876" s="969"/>
      <c r="N876" s="970">
        <v>8407</v>
      </c>
      <c r="O876" s="970">
        <v>0</v>
      </c>
      <c r="P876" s="970">
        <v>0</v>
      </c>
      <c r="Q876" s="969">
        <v>4164</v>
      </c>
      <c r="R876" s="969"/>
      <c r="S876" s="970">
        <v>100086</v>
      </c>
      <c r="T876" s="972">
        <v>576</v>
      </c>
      <c r="U876" s="972">
        <v>100662</v>
      </c>
    </row>
    <row r="877" spans="1:21" x14ac:dyDescent="0.25">
      <c r="A877" s="966">
        <v>99611</v>
      </c>
      <c r="B877" s="967" t="s">
        <v>3489</v>
      </c>
      <c r="C877" s="968">
        <v>3.1959000000000002E-3</v>
      </c>
      <c r="D877" s="968">
        <v>3.1495999999999998E-3</v>
      </c>
      <c r="E877" s="1007">
        <v>1474037</v>
      </c>
      <c r="F877" s="1010">
        <v>6684506</v>
      </c>
      <c r="G877" s="969">
        <v>4882450</v>
      </c>
      <c r="H877" s="969"/>
      <c r="I877" s="970">
        <v>281274</v>
      </c>
      <c r="J877" s="971">
        <v>1185465</v>
      </c>
      <c r="K877" s="970">
        <v>697281</v>
      </c>
      <c r="L877" s="969">
        <v>36523</v>
      </c>
      <c r="M877" s="969"/>
      <c r="N877" s="970">
        <v>138207</v>
      </c>
      <c r="O877" s="970">
        <v>0</v>
      </c>
      <c r="P877" s="970">
        <v>0</v>
      </c>
      <c r="Q877" s="969">
        <v>197702</v>
      </c>
      <c r="R877" s="969"/>
      <c r="S877" s="970">
        <v>1645390</v>
      </c>
      <c r="T877" s="972">
        <v>-88518</v>
      </c>
      <c r="U877" s="972">
        <v>1556872</v>
      </c>
    </row>
    <row r="878" spans="1:21" x14ac:dyDescent="0.25">
      <c r="A878" s="966">
        <v>99613</v>
      </c>
      <c r="B878" s="967" t="s">
        <v>3490</v>
      </c>
      <c r="C878" s="968">
        <v>3.2909999999999998E-4</v>
      </c>
      <c r="D878" s="968">
        <v>3.369E-4</v>
      </c>
      <c r="E878" s="1007">
        <v>310915</v>
      </c>
      <c r="F878" s="1010">
        <v>715015</v>
      </c>
      <c r="G878" s="969">
        <v>502774</v>
      </c>
      <c r="H878" s="969"/>
      <c r="I878" s="970">
        <v>28964</v>
      </c>
      <c r="J878" s="971">
        <v>122074</v>
      </c>
      <c r="K878" s="970">
        <v>71803</v>
      </c>
      <c r="L878" s="969">
        <v>283917</v>
      </c>
      <c r="M878" s="969"/>
      <c r="N878" s="970">
        <v>14232</v>
      </c>
      <c r="O878" s="970">
        <v>0</v>
      </c>
      <c r="P878" s="970">
        <v>0</v>
      </c>
      <c r="Q878" s="969">
        <v>0</v>
      </c>
      <c r="R878" s="969"/>
      <c r="S878" s="970">
        <v>169435</v>
      </c>
      <c r="T878" s="972">
        <v>96572</v>
      </c>
      <c r="U878" s="972">
        <v>266007</v>
      </c>
    </row>
    <row r="879" spans="1:21" x14ac:dyDescent="0.25">
      <c r="A879" s="966">
        <v>99621</v>
      </c>
      <c r="B879" s="967" t="s">
        <v>3491</v>
      </c>
      <c r="C879" s="968">
        <v>3.7060000000000001E-4</v>
      </c>
      <c r="D879" s="968">
        <v>3.2850000000000002E-4</v>
      </c>
      <c r="E879" s="1007">
        <v>166448</v>
      </c>
      <c r="F879" s="1010">
        <v>697187</v>
      </c>
      <c r="G879" s="969">
        <v>566174</v>
      </c>
      <c r="H879" s="969"/>
      <c r="I879" s="970">
        <v>32617</v>
      </c>
      <c r="J879" s="971">
        <v>137468</v>
      </c>
      <c r="K879" s="970">
        <v>80858</v>
      </c>
      <c r="L879" s="969">
        <v>42182</v>
      </c>
      <c r="M879" s="969"/>
      <c r="N879" s="970">
        <v>16027</v>
      </c>
      <c r="O879" s="970">
        <v>0</v>
      </c>
      <c r="P879" s="970">
        <v>0</v>
      </c>
      <c r="Q879" s="969">
        <v>4670</v>
      </c>
      <c r="R879" s="969"/>
      <c r="S879" s="970">
        <v>190801</v>
      </c>
      <c r="T879" s="972">
        <v>12829</v>
      </c>
      <c r="U879" s="972">
        <v>203630</v>
      </c>
    </row>
    <row r="880" spans="1:21" x14ac:dyDescent="0.25">
      <c r="A880" s="966">
        <v>99623</v>
      </c>
      <c r="B880" s="967" t="s">
        <v>3492</v>
      </c>
      <c r="C880" s="968">
        <v>2.6400000000000001E-5</v>
      </c>
      <c r="D880" s="968">
        <v>2.9200000000000002E-5</v>
      </c>
      <c r="E880" s="1007">
        <v>11103</v>
      </c>
      <c r="F880" s="1010">
        <v>61972</v>
      </c>
      <c r="G880" s="969">
        <v>40332</v>
      </c>
      <c r="H880" s="969"/>
      <c r="I880" s="970">
        <v>2323</v>
      </c>
      <c r="J880" s="971">
        <v>9793</v>
      </c>
      <c r="K880" s="970">
        <v>5760</v>
      </c>
      <c r="L880" s="969">
        <v>2450</v>
      </c>
      <c r="M880" s="969"/>
      <c r="N880" s="970">
        <v>1142</v>
      </c>
      <c r="O880" s="970">
        <v>0</v>
      </c>
      <c r="P880" s="970">
        <v>0</v>
      </c>
      <c r="Q880" s="969">
        <v>2848</v>
      </c>
      <c r="R880" s="969"/>
      <c r="S880" s="970">
        <v>13592</v>
      </c>
      <c r="T880" s="972">
        <v>317</v>
      </c>
      <c r="U880" s="972">
        <f>13908+1</f>
        <v>13909</v>
      </c>
    </row>
    <row r="881" spans="1:21" x14ac:dyDescent="0.25">
      <c r="A881" s="966">
        <v>99631</v>
      </c>
      <c r="B881" s="967" t="s">
        <v>3493</v>
      </c>
      <c r="C881" s="968">
        <v>1.102E-4</v>
      </c>
      <c r="D881" s="968">
        <v>1.0340000000000001E-4</v>
      </c>
      <c r="E881" s="1007">
        <v>46231</v>
      </c>
      <c r="F881" s="1010">
        <v>219449</v>
      </c>
      <c r="G881" s="969">
        <v>168355</v>
      </c>
      <c r="H881" s="969"/>
      <c r="I881" s="970">
        <v>9699</v>
      </c>
      <c r="J881" s="971">
        <v>40877</v>
      </c>
      <c r="K881" s="970">
        <v>24043</v>
      </c>
      <c r="L881" s="969">
        <v>1071</v>
      </c>
      <c r="M881" s="969"/>
      <c r="N881" s="970">
        <v>4766</v>
      </c>
      <c r="O881" s="970">
        <v>0</v>
      </c>
      <c r="P881" s="970">
        <v>0</v>
      </c>
      <c r="Q881" s="969">
        <v>5159</v>
      </c>
      <c r="R881" s="969"/>
      <c r="S881" s="970">
        <v>56736</v>
      </c>
      <c r="T881" s="972">
        <v>-3954</v>
      </c>
      <c r="U881" s="972">
        <f>52781+1</f>
        <v>52782</v>
      </c>
    </row>
    <row r="882" spans="1:21" x14ac:dyDescent="0.25">
      <c r="A882" s="966">
        <v>99651</v>
      </c>
      <c r="B882" s="967" t="s">
        <v>3494</v>
      </c>
      <c r="C882" s="968">
        <v>6.7199999999999994E-5</v>
      </c>
      <c r="D882" s="968">
        <v>6.7100000000000005E-5</v>
      </c>
      <c r="E882" s="1007">
        <v>30231</v>
      </c>
      <c r="F882" s="1010">
        <v>142409</v>
      </c>
      <c r="G882" s="969">
        <v>102663</v>
      </c>
      <c r="H882" s="969"/>
      <c r="I882" s="970">
        <v>5914</v>
      </c>
      <c r="J882" s="971">
        <v>24927</v>
      </c>
      <c r="K882" s="970">
        <v>14662</v>
      </c>
      <c r="L882" s="969">
        <v>5944</v>
      </c>
      <c r="M882" s="969"/>
      <c r="N882" s="970">
        <v>2906</v>
      </c>
      <c r="O882" s="970">
        <v>0</v>
      </c>
      <c r="P882" s="970">
        <v>0</v>
      </c>
      <c r="Q882" s="969">
        <v>1841</v>
      </c>
      <c r="R882" s="969"/>
      <c r="S882" s="970">
        <v>34598</v>
      </c>
      <c r="T882" s="972">
        <v>1312</v>
      </c>
      <c r="U882" s="972">
        <v>35910</v>
      </c>
    </row>
    <row r="883" spans="1:21" x14ac:dyDescent="0.25">
      <c r="A883" s="966">
        <v>99661</v>
      </c>
      <c r="B883" s="967" t="s">
        <v>3495</v>
      </c>
      <c r="C883" s="968">
        <v>3.26E-5</v>
      </c>
      <c r="D883" s="968">
        <v>3.5500000000000002E-5</v>
      </c>
      <c r="E883" s="1007">
        <v>34513</v>
      </c>
      <c r="F883" s="1010">
        <v>75343</v>
      </c>
      <c r="G883" s="969">
        <v>49804</v>
      </c>
      <c r="H883" s="969"/>
      <c r="I883" s="970">
        <v>2869</v>
      </c>
      <c r="J883" s="971">
        <v>12092</v>
      </c>
      <c r="K883" s="970">
        <v>7113</v>
      </c>
      <c r="L883" s="969">
        <v>34726</v>
      </c>
      <c r="M883" s="969"/>
      <c r="N883" s="970">
        <v>1410</v>
      </c>
      <c r="O883" s="970">
        <v>0</v>
      </c>
      <c r="P883" s="970">
        <v>0</v>
      </c>
      <c r="Q883" s="969">
        <v>0</v>
      </c>
      <c r="R883" s="969"/>
      <c r="S883" s="970">
        <v>16784</v>
      </c>
      <c r="T883" s="972">
        <v>12838</v>
      </c>
      <c r="U883" s="972">
        <v>29622</v>
      </c>
    </row>
    <row r="884" spans="1:21" x14ac:dyDescent="0.25">
      <c r="A884" s="966">
        <v>99701</v>
      </c>
      <c r="B884" s="967" t="s">
        <v>3496</v>
      </c>
      <c r="C884" s="968">
        <v>2.9190000000000002E-3</v>
      </c>
      <c r="D884" s="968">
        <v>2.8774E-3</v>
      </c>
      <c r="E884" s="1007">
        <v>1295371</v>
      </c>
      <c r="F884" s="1010">
        <v>6106807</v>
      </c>
      <c r="G884" s="969">
        <v>4459423</v>
      </c>
      <c r="H884" s="969"/>
      <c r="I884" s="970">
        <v>256904</v>
      </c>
      <c r="J884" s="971">
        <v>1082754</v>
      </c>
      <c r="K884" s="970">
        <v>636867</v>
      </c>
      <c r="L884" s="969">
        <v>21162</v>
      </c>
      <c r="M884" s="969"/>
      <c r="N884" s="970">
        <v>126232</v>
      </c>
      <c r="O884" s="970">
        <v>0</v>
      </c>
      <c r="P884" s="970">
        <v>0</v>
      </c>
      <c r="Q884" s="969">
        <v>17651</v>
      </c>
      <c r="R884" s="969"/>
      <c r="S884" s="970">
        <v>1502830</v>
      </c>
      <c r="T884" s="972">
        <v>-1976</v>
      </c>
      <c r="U884" s="972">
        <f>1500853+1</f>
        <v>1500854</v>
      </c>
    </row>
    <row r="885" spans="1:21" x14ac:dyDescent="0.25">
      <c r="A885" s="966">
        <v>99705</v>
      </c>
      <c r="B885" s="967" t="s">
        <v>3497</v>
      </c>
      <c r="C885" s="968">
        <v>1.7229999999999999E-4</v>
      </c>
      <c r="D885" s="968">
        <v>1.7259999999999999E-4</v>
      </c>
      <c r="E885" s="1007">
        <v>85451</v>
      </c>
      <c r="F885" s="1010">
        <v>366315</v>
      </c>
      <c r="G885" s="969">
        <v>263227</v>
      </c>
      <c r="H885" s="969"/>
      <c r="I885" s="970">
        <v>15164</v>
      </c>
      <c r="J885" s="971">
        <v>63911</v>
      </c>
      <c r="K885" s="970">
        <v>37592</v>
      </c>
      <c r="L885" s="969">
        <v>10978</v>
      </c>
      <c r="M885" s="969"/>
      <c r="N885" s="970">
        <v>7451</v>
      </c>
      <c r="O885" s="970">
        <v>0</v>
      </c>
      <c r="P885" s="970">
        <v>0</v>
      </c>
      <c r="Q885" s="969">
        <v>544</v>
      </c>
      <c r="R885" s="969"/>
      <c r="S885" s="970">
        <v>88708</v>
      </c>
      <c r="T885" s="972">
        <v>5913</v>
      </c>
      <c r="U885" s="972">
        <v>94621</v>
      </c>
    </row>
    <row r="886" spans="1:21" x14ac:dyDescent="0.25">
      <c r="A886" s="966">
        <v>99711</v>
      </c>
      <c r="B886" s="967" t="s">
        <v>3498</v>
      </c>
      <c r="C886" s="968">
        <v>4.5459999999999999E-4</v>
      </c>
      <c r="D886" s="968">
        <v>4.3540000000000001E-4</v>
      </c>
      <c r="E886" s="1007">
        <v>209494</v>
      </c>
      <c r="F886" s="1010">
        <v>924065</v>
      </c>
      <c r="G886" s="969">
        <v>694503</v>
      </c>
      <c r="H886" s="969"/>
      <c r="I886" s="970">
        <v>40010</v>
      </c>
      <c r="J886" s="971">
        <v>168626</v>
      </c>
      <c r="K886" s="970">
        <v>99185</v>
      </c>
      <c r="L886" s="969">
        <v>14449</v>
      </c>
      <c r="M886" s="969"/>
      <c r="N886" s="970">
        <v>19659</v>
      </c>
      <c r="O886" s="970">
        <v>0</v>
      </c>
      <c r="P886" s="970">
        <v>0</v>
      </c>
      <c r="Q886" s="969">
        <v>10625</v>
      </c>
      <c r="R886" s="969"/>
      <c r="S886" s="970">
        <v>234048</v>
      </c>
      <c r="T886" s="972">
        <v>-1042</v>
      </c>
      <c r="U886" s="972">
        <v>233006</v>
      </c>
    </row>
    <row r="887" spans="1:21" x14ac:dyDescent="0.25">
      <c r="A887" s="966">
        <v>99717</v>
      </c>
      <c r="B887" s="967" t="s">
        <v>3499</v>
      </c>
      <c r="C887" s="968">
        <v>2.19E-5</v>
      </c>
      <c r="D887" s="968">
        <v>2.3200000000000001E-5</v>
      </c>
      <c r="E887" s="1007">
        <v>8060</v>
      </c>
      <c r="F887" s="1010">
        <v>49238</v>
      </c>
      <c r="G887" s="969">
        <v>33457</v>
      </c>
      <c r="H887" s="969"/>
      <c r="I887" s="970">
        <v>1927</v>
      </c>
      <c r="J887" s="971">
        <v>8123</v>
      </c>
      <c r="K887" s="970">
        <v>4778</v>
      </c>
      <c r="L887" s="969">
        <v>0</v>
      </c>
      <c r="M887" s="969"/>
      <c r="N887" s="970">
        <v>947</v>
      </c>
      <c r="O887" s="970">
        <v>0</v>
      </c>
      <c r="P887" s="970">
        <v>0</v>
      </c>
      <c r="Q887" s="969">
        <v>3936</v>
      </c>
      <c r="R887" s="969"/>
      <c r="S887" s="970">
        <v>11275</v>
      </c>
      <c r="T887" s="972">
        <v>-1270</v>
      </c>
      <c r="U887" s="972">
        <v>10005</v>
      </c>
    </row>
    <row r="888" spans="1:21" x14ac:dyDescent="0.25">
      <c r="A888" s="966">
        <v>99721</v>
      </c>
      <c r="B888" s="967" t="s">
        <v>3500</v>
      </c>
      <c r="C888" s="968">
        <v>5.7779999999999995E-4</v>
      </c>
      <c r="D888" s="968">
        <v>6.2449999999999995E-4</v>
      </c>
      <c r="E888" s="1007">
        <v>252725</v>
      </c>
      <c r="F888" s="1010">
        <v>1325398</v>
      </c>
      <c r="G888" s="969">
        <v>882718</v>
      </c>
      <c r="H888" s="969"/>
      <c r="I888" s="970">
        <v>50853</v>
      </c>
      <c r="J888" s="971">
        <v>214325</v>
      </c>
      <c r="K888" s="970">
        <v>126064</v>
      </c>
      <c r="L888" s="969">
        <v>0</v>
      </c>
      <c r="M888" s="969"/>
      <c r="N888" s="970">
        <v>24987</v>
      </c>
      <c r="O888" s="970">
        <v>0</v>
      </c>
      <c r="P888" s="970">
        <v>0</v>
      </c>
      <c r="Q888" s="969">
        <v>48789</v>
      </c>
      <c r="R888" s="969"/>
      <c r="S888" s="970">
        <v>297477</v>
      </c>
      <c r="T888" s="972">
        <v>-14223</v>
      </c>
      <c r="U888" s="972">
        <v>283254</v>
      </c>
    </row>
    <row r="889" spans="1:21" x14ac:dyDescent="0.25">
      <c r="A889" s="966">
        <v>99727</v>
      </c>
      <c r="B889" s="967" t="s">
        <v>3501</v>
      </c>
      <c r="C889" s="968">
        <v>2.3900000000000002E-5</v>
      </c>
      <c r="D889" s="968">
        <v>2.5299999999999998E-5</v>
      </c>
      <c r="E889" s="1007">
        <v>46315</v>
      </c>
      <c r="F889" s="1010">
        <v>53695</v>
      </c>
      <c r="G889" s="969">
        <v>36513</v>
      </c>
      <c r="H889" s="969"/>
      <c r="I889" s="970">
        <v>2103</v>
      </c>
      <c r="J889" s="971">
        <v>8865</v>
      </c>
      <c r="K889" s="970">
        <v>5215</v>
      </c>
      <c r="L889" s="969">
        <v>59484</v>
      </c>
      <c r="M889" s="969"/>
      <c r="N889" s="970">
        <v>1034</v>
      </c>
      <c r="O889" s="970">
        <v>0</v>
      </c>
      <c r="P889" s="970">
        <v>0</v>
      </c>
      <c r="Q889" s="969">
        <v>0</v>
      </c>
      <c r="R889" s="969"/>
      <c r="S889" s="970">
        <v>12305</v>
      </c>
      <c r="T889" s="972">
        <v>20983</v>
      </c>
      <c r="U889" s="972">
        <v>33288</v>
      </c>
    </row>
    <row r="890" spans="1:21" x14ac:dyDescent="0.25">
      <c r="A890" s="966">
        <v>99801</v>
      </c>
      <c r="B890" s="967" t="s">
        <v>3502</v>
      </c>
      <c r="C890" s="968">
        <v>5.1866000000000004E-3</v>
      </c>
      <c r="D890" s="968">
        <v>5.1954999999999996E-3</v>
      </c>
      <c r="E890" s="1007">
        <v>2259452</v>
      </c>
      <c r="F890" s="1010">
        <v>11026591</v>
      </c>
      <c r="G890" s="969">
        <v>7923688</v>
      </c>
      <c r="H890" s="969"/>
      <c r="I890" s="970">
        <v>456478</v>
      </c>
      <c r="J890" s="971">
        <v>1923881</v>
      </c>
      <c r="K890" s="970">
        <v>1131612</v>
      </c>
      <c r="L890" s="969">
        <v>17042</v>
      </c>
      <c r="M890" s="969"/>
      <c r="N890" s="970">
        <v>224295</v>
      </c>
      <c r="O890" s="970">
        <v>0</v>
      </c>
      <c r="P890" s="970">
        <v>0</v>
      </c>
      <c r="Q890" s="969">
        <v>150042</v>
      </c>
      <c r="R890" s="969"/>
      <c r="S890" s="970">
        <v>2670290</v>
      </c>
      <c r="T890" s="972">
        <v>-29556</v>
      </c>
      <c r="U890" s="972">
        <f>2640733+1</f>
        <v>2640734</v>
      </c>
    </row>
    <row r="891" spans="1:21" x14ac:dyDescent="0.25">
      <c r="A891" s="966">
        <v>99802</v>
      </c>
      <c r="B891" s="967" t="s">
        <v>3503</v>
      </c>
      <c r="C891" s="968">
        <v>6.0000000000000002E-6</v>
      </c>
      <c r="D891" s="968">
        <v>6.4999999999999996E-6</v>
      </c>
      <c r="E891" s="1007">
        <v>4581</v>
      </c>
      <c r="F891" s="1010">
        <v>13795</v>
      </c>
      <c r="G891" s="969">
        <v>9166</v>
      </c>
      <c r="H891" s="969"/>
      <c r="I891" s="970">
        <v>528</v>
      </c>
      <c r="J891" s="971">
        <v>2226</v>
      </c>
      <c r="K891" s="970">
        <v>1309</v>
      </c>
      <c r="L891" s="969">
        <v>1378</v>
      </c>
      <c r="M891" s="969"/>
      <c r="N891" s="970">
        <v>259</v>
      </c>
      <c r="O891" s="970">
        <v>0</v>
      </c>
      <c r="P891" s="970">
        <v>0</v>
      </c>
      <c r="Q891" s="969">
        <v>53</v>
      </c>
      <c r="R891" s="969"/>
      <c r="S891" s="970">
        <v>3089</v>
      </c>
      <c r="T891" s="972">
        <v>334</v>
      </c>
      <c r="U891" s="972">
        <v>3423</v>
      </c>
    </row>
    <row r="892" spans="1:21" x14ac:dyDescent="0.25">
      <c r="A892" s="966">
        <v>99804</v>
      </c>
      <c r="B892" s="967" t="s">
        <v>3504</v>
      </c>
      <c r="C892" s="968">
        <v>9.0500000000000004E-5</v>
      </c>
      <c r="D892" s="968">
        <v>8.6600000000000004E-5</v>
      </c>
      <c r="E892" s="1007">
        <v>46756</v>
      </c>
      <c r="F892" s="1010">
        <v>183794</v>
      </c>
      <c r="G892" s="969">
        <v>138259</v>
      </c>
      <c r="H892" s="969"/>
      <c r="I892" s="970">
        <v>7965</v>
      </c>
      <c r="J892" s="971">
        <v>33569</v>
      </c>
      <c r="K892" s="970">
        <v>19745</v>
      </c>
      <c r="L892" s="969">
        <v>13689</v>
      </c>
      <c r="M892" s="969"/>
      <c r="N892" s="970">
        <v>3914</v>
      </c>
      <c r="O892" s="970">
        <v>0</v>
      </c>
      <c r="P892" s="970">
        <v>0</v>
      </c>
      <c r="Q892" s="969">
        <v>0</v>
      </c>
      <c r="R892" s="969"/>
      <c r="S892" s="970">
        <v>46593</v>
      </c>
      <c r="T892" s="972">
        <v>4917</v>
      </c>
      <c r="U892" s="972">
        <v>51510</v>
      </c>
    </row>
    <row r="893" spans="1:21" x14ac:dyDescent="0.25">
      <c r="A893" s="966">
        <v>99811</v>
      </c>
      <c r="B893" s="967" t="s">
        <v>3505</v>
      </c>
      <c r="C893" s="968">
        <v>6.7026999999999998E-3</v>
      </c>
      <c r="D893" s="968">
        <v>6.8415000000000004E-3</v>
      </c>
      <c r="E893" s="1007">
        <v>2884356</v>
      </c>
      <c r="F893" s="1010">
        <v>14519955</v>
      </c>
      <c r="G893" s="969">
        <v>10239869</v>
      </c>
      <c r="H893" s="969"/>
      <c r="I893" s="970">
        <v>589911</v>
      </c>
      <c r="J893" s="971">
        <v>2486253</v>
      </c>
      <c r="K893" s="970">
        <v>1462395</v>
      </c>
      <c r="L893" s="969">
        <v>0</v>
      </c>
      <c r="M893" s="969"/>
      <c r="N893" s="970">
        <v>289858</v>
      </c>
      <c r="O893" s="970">
        <v>0</v>
      </c>
      <c r="P893" s="970">
        <v>0</v>
      </c>
      <c r="Q893" s="969">
        <v>598680</v>
      </c>
      <c r="R893" s="969"/>
      <c r="S893" s="970">
        <v>3450845</v>
      </c>
      <c r="T893" s="972">
        <v>-236953</v>
      </c>
      <c r="U893" s="972">
        <f>3213891+1</f>
        <v>3213892</v>
      </c>
    </row>
    <row r="894" spans="1:21" x14ac:dyDescent="0.25">
      <c r="A894" s="966">
        <v>99812</v>
      </c>
      <c r="B894" s="967" t="s">
        <v>3506</v>
      </c>
      <c r="C894" s="968">
        <v>2.2099999999999998E-5</v>
      </c>
      <c r="D894" s="968">
        <v>2.5599999999999999E-5</v>
      </c>
      <c r="E894" s="1007">
        <v>20069</v>
      </c>
      <c r="F894" s="1010">
        <v>54332</v>
      </c>
      <c r="G894" s="969">
        <v>33763</v>
      </c>
      <c r="H894" s="969"/>
      <c r="I894" s="970">
        <v>1945</v>
      </c>
      <c r="J894" s="971">
        <v>8198</v>
      </c>
      <c r="K894" s="970">
        <v>4822</v>
      </c>
      <c r="L894" s="969">
        <v>11652</v>
      </c>
      <c r="M894" s="969"/>
      <c r="N894" s="970">
        <v>956</v>
      </c>
      <c r="O894" s="970">
        <v>0</v>
      </c>
      <c r="P894" s="970">
        <v>0</v>
      </c>
      <c r="Q894" s="969">
        <v>0</v>
      </c>
      <c r="R894" s="969"/>
      <c r="S894" s="970">
        <v>11378</v>
      </c>
      <c r="T894" s="972">
        <v>4237</v>
      </c>
      <c r="U894" s="972">
        <v>15615</v>
      </c>
    </row>
    <row r="895" spans="1:21" x14ac:dyDescent="0.25">
      <c r="A895" s="966">
        <v>99818</v>
      </c>
      <c r="B895" s="967" t="s">
        <v>3507</v>
      </c>
      <c r="C895" s="968">
        <v>3.1600000000000002E-5</v>
      </c>
      <c r="D895" s="968">
        <v>3.7700000000000002E-5</v>
      </c>
      <c r="E895" s="1007">
        <v>14370</v>
      </c>
      <c r="F895" s="1010">
        <v>80012</v>
      </c>
      <c r="G895" s="969">
        <v>48276</v>
      </c>
      <c r="H895" s="969"/>
      <c r="I895" s="970">
        <v>2781</v>
      </c>
      <c r="J895" s="971">
        <v>11722</v>
      </c>
      <c r="K895" s="970">
        <v>6894</v>
      </c>
      <c r="L895" s="969">
        <v>3054</v>
      </c>
      <c r="M895" s="969"/>
      <c r="N895" s="970">
        <v>1367</v>
      </c>
      <c r="O895" s="970">
        <v>0</v>
      </c>
      <c r="P895" s="970">
        <v>0</v>
      </c>
      <c r="Q895" s="969">
        <v>6414</v>
      </c>
      <c r="R895" s="969"/>
      <c r="S895" s="970">
        <v>16269</v>
      </c>
      <c r="T895" s="972">
        <v>695</v>
      </c>
      <c r="U895" s="972">
        <v>16964</v>
      </c>
    </row>
    <row r="896" spans="1:21" x14ac:dyDescent="0.25">
      <c r="A896" s="966">
        <v>99821</v>
      </c>
      <c r="B896" s="967" t="s">
        <v>3508</v>
      </c>
      <c r="C896" s="968">
        <v>9.1100000000000005E-5</v>
      </c>
      <c r="D896" s="968">
        <v>8.2899999999999996E-5</v>
      </c>
      <c r="E896" s="1007">
        <v>48801</v>
      </c>
      <c r="F896" s="1010">
        <v>175942</v>
      </c>
      <c r="G896" s="969">
        <v>139176</v>
      </c>
      <c r="H896" s="969"/>
      <c r="I896" s="970">
        <v>8018</v>
      </c>
      <c r="J896" s="971">
        <v>33792</v>
      </c>
      <c r="K896" s="970">
        <v>19876</v>
      </c>
      <c r="L896" s="969">
        <v>21459</v>
      </c>
      <c r="M896" s="969"/>
      <c r="N896" s="970">
        <v>3940</v>
      </c>
      <c r="O896" s="970">
        <v>0</v>
      </c>
      <c r="P896" s="970">
        <v>0</v>
      </c>
      <c r="Q896" s="969">
        <v>555</v>
      </c>
      <c r="R896" s="969"/>
      <c r="S896" s="970">
        <v>46902</v>
      </c>
      <c r="T896" s="972">
        <v>9955</v>
      </c>
      <c r="U896" s="972">
        <v>56857</v>
      </c>
    </row>
    <row r="897" spans="1:21" x14ac:dyDescent="0.25">
      <c r="A897" s="966">
        <v>99831</v>
      </c>
      <c r="B897" s="967" t="s">
        <v>3509</v>
      </c>
      <c r="C897" s="968">
        <v>6.3299999999999994E-5</v>
      </c>
      <c r="D897" s="968">
        <v>5.5899999999999997E-5</v>
      </c>
      <c r="E897" s="1007">
        <v>28274</v>
      </c>
      <c r="F897" s="1010">
        <v>118639</v>
      </c>
      <c r="G897" s="969">
        <v>96705</v>
      </c>
      <c r="H897" s="969"/>
      <c r="I897" s="970">
        <v>5571</v>
      </c>
      <c r="J897" s="971">
        <v>23480</v>
      </c>
      <c r="K897" s="970">
        <v>13811</v>
      </c>
      <c r="L897" s="969">
        <v>7030</v>
      </c>
      <c r="M897" s="969"/>
      <c r="N897" s="970">
        <v>2737</v>
      </c>
      <c r="O897" s="970">
        <v>0</v>
      </c>
      <c r="P897" s="970">
        <v>0</v>
      </c>
      <c r="Q897" s="969">
        <v>564</v>
      </c>
      <c r="R897" s="969"/>
      <c r="S897" s="970">
        <v>32590</v>
      </c>
      <c r="T897" s="972">
        <v>1906</v>
      </c>
      <c r="U897" s="972">
        <f>34495+1</f>
        <v>34496</v>
      </c>
    </row>
    <row r="898" spans="1:21" x14ac:dyDescent="0.25">
      <c r="A898" s="966">
        <v>99841</v>
      </c>
      <c r="B898" s="967" t="s">
        <v>3510</v>
      </c>
      <c r="C898" s="968">
        <v>4.3399999999999998E-5</v>
      </c>
      <c r="D898" s="968">
        <v>4.6E-5</v>
      </c>
      <c r="E898" s="1007">
        <v>19338</v>
      </c>
      <c r="F898" s="1010">
        <v>97627</v>
      </c>
      <c r="G898" s="969">
        <v>66303</v>
      </c>
      <c r="H898" s="969"/>
      <c r="I898" s="970">
        <v>3820</v>
      </c>
      <c r="J898" s="971">
        <v>16098</v>
      </c>
      <c r="K898" s="970">
        <v>9469</v>
      </c>
      <c r="L898" s="969">
        <v>1271</v>
      </c>
      <c r="M898" s="969"/>
      <c r="N898" s="970">
        <v>1877</v>
      </c>
      <c r="O898" s="970">
        <v>0</v>
      </c>
      <c r="P898" s="970">
        <v>0</v>
      </c>
      <c r="Q898" s="969">
        <v>4060</v>
      </c>
      <c r="R898" s="969"/>
      <c r="S898" s="970">
        <v>22344</v>
      </c>
      <c r="T898" s="972">
        <v>-1214</v>
      </c>
      <c r="U898" s="972">
        <v>21130</v>
      </c>
    </row>
    <row r="899" spans="1:21" x14ac:dyDescent="0.25">
      <c r="A899" s="966">
        <v>99851</v>
      </c>
      <c r="B899" s="967" t="s">
        <v>3511</v>
      </c>
      <c r="C899" s="968">
        <v>2.23E-5</v>
      </c>
      <c r="D899" s="968">
        <v>2.1999999999999999E-5</v>
      </c>
      <c r="E899" s="1007">
        <v>7302</v>
      </c>
      <c r="F899" s="1010">
        <v>46691</v>
      </c>
      <c r="G899" s="969">
        <v>34068</v>
      </c>
      <c r="H899" s="969"/>
      <c r="I899" s="970">
        <v>1963</v>
      </c>
      <c r="J899" s="971">
        <v>8272</v>
      </c>
      <c r="K899" s="970">
        <v>4865</v>
      </c>
      <c r="L899" s="969">
        <v>142</v>
      </c>
      <c r="M899" s="969"/>
      <c r="N899" s="970">
        <v>964</v>
      </c>
      <c r="O899" s="970">
        <v>0</v>
      </c>
      <c r="P899" s="970">
        <v>0</v>
      </c>
      <c r="Q899" s="969">
        <v>3191</v>
      </c>
      <c r="R899" s="969"/>
      <c r="S899" s="970">
        <v>11481</v>
      </c>
      <c r="T899" s="972">
        <v>-847</v>
      </c>
      <c r="U899" s="972">
        <v>10634</v>
      </c>
    </row>
    <row r="900" spans="1:21" x14ac:dyDescent="0.25">
      <c r="A900" s="966">
        <v>99901</v>
      </c>
      <c r="B900" s="967" t="s">
        <v>3512</v>
      </c>
      <c r="C900" s="968">
        <v>1.6707E-3</v>
      </c>
      <c r="D900" s="968">
        <v>1.6371999999999999E-3</v>
      </c>
      <c r="E900" s="1007">
        <v>760400</v>
      </c>
      <c r="F900" s="1010">
        <v>3474687</v>
      </c>
      <c r="G900" s="969">
        <v>2552367</v>
      </c>
      <c r="H900" s="969"/>
      <c r="I900" s="970">
        <v>147040</v>
      </c>
      <c r="J900" s="971">
        <v>619718</v>
      </c>
      <c r="K900" s="970">
        <v>364513</v>
      </c>
      <c r="L900" s="969">
        <v>63407</v>
      </c>
      <c r="M900" s="969"/>
      <c r="N900" s="970">
        <v>72249</v>
      </c>
      <c r="O900" s="970">
        <v>0</v>
      </c>
      <c r="P900" s="970">
        <v>0</v>
      </c>
      <c r="Q900" s="969">
        <v>12021</v>
      </c>
      <c r="R900" s="969"/>
      <c r="S900" s="970">
        <v>860150</v>
      </c>
      <c r="T900" s="972">
        <v>13114</v>
      </c>
      <c r="U900" s="972">
        <v>873264</v>
      </c>
    </row>
    <row r="901" spans="1:21" x14ac:dyDescent="0.25">
      <c r="A901" s="966">
        <v>99911</v>
      </c>
      <c r="B901" s="967" t="s">
        <v>3513</v>
      </c>
      <c r="C901" s="968">
        <v>2.5980000000000003E-4</v>
      </c>
      <c r="D901" s="968">
        <v>2.5520000000000002E-4</v>
      </c>
      <c r="E901" s="1007">
        <v>122066</v>
      </c>
      <c r="F901" s="1010">
        <v>541620</v>
      </c>
      <c r="G901" s="969">
        <v>396902</v>
      </c>
      <c r="H901" s="969"/>
      <c r="I901" s="970">
        <v>22865</v>
      </c>
      <c r="J901" s="971">
        <v>96368</v>
      </c>
      <c r="K901" s="970">
        <v>56683</v>
      </c>
      <c r="L901" s="969">
        <v>7168</v>
      </c>
      <c r="M901" s="969"/>
      <c r="N901" s="970">
        <v>11235</v>
      </c>
      <c r="O901" s="970">
        <v>0</v>
      </c>
      <c r="P901" s="970">
        <v>0</v>
      </c>
      <c r="Q901" s="969">
        <v>12661</v>
      </c>
      <c r="R901" s="969"/>
      <c r="S901" s="970">
        <v>133756</v>
      </c>
      <c r="T901" s="972">
        <v>-5521</v>
      </c>
      <c r="U901" s="972">
        <v>128235</v>
      </c>
    </row>
    <row r="902" spans="1:21" x14ac:dyDescent="0.25">
      <c r="A902" s="966">
        <v>99921</v>
      </c>
      <c r="B902" s="967" t="s">
        <v>3514</v>
      </c>
      <c r="C902" s="968">
        <v>1.506E-4</v>
      </c>
      <c r="D902" s="968">
        <v>1.5129999999999999E-4</v>
      </c>
      <c r="E902" s="1007">
        <v>65165</v>
      </c>
      <c r="F902" s="1010">
        <v>321109</v>
      </c>
      <c r="G902" s="969">
        <v>230075</v>
      </c>
      <c r="H902" s="969"/>
      <c r="I902" s="970">
        <v>13254</v>
      </c>
      <c r="J902" s="971">
        <v>55863</v>
      </c>
      <c r="K902" s="970">
        <v>32858</v>
      </c>
      <c r="L902" s="969">
        <v>3258</v>
      </c>
      <c r="M902" s="969"/>
      <c r="N902" s="970">
        <v>6513</v>
      </c>
      <c r="O902" s="970">
        <v>0</v>
      </c>
      <c r="P902" s="970">
        <v>0</v>
      </c>
      <c r="Q902" s="969">
        <v>7306</v>
      </c>
      <c r="R902" s="969"/>
      <c r="S902" s="970">
        <v>77536</v>
      </c>
      <c r="T902" s="972">
        <v>-3057</v>
      </c>
      <c r="U902" s="972">
        <v>74479</v>
      </c>
    </row>
    <row r="903" spans="1:21" x14ac:dyDescent="0.25">
      <c r="A903" s="966">
        <v>99931</v>
      </c>
      <c r="B903" s="967" t="s">
        <v>3515</v>
      </c>
      <c r="C903" s="968">
        <v>1.5800000000000001E-5</v>
      </c>
      <c r="D903" s="968">
        <v>2.51E-5</v>
      </c>
      <c r="E903" s="1007">
        <v>8881</v>
      </c>
      <c r="F903" s="1010">
        <v>53271</v>
      </c>
      <c r="G903" s="969">
        <v>24138</v>
      </c>
      <c r="H903" s="969"/>
      <c r="I903" s="970">
        <v>1391</v>
      </c>
      <c r="J903" s="971">
        <v>5860</v>
      </c>
      <c r="K903" s="970">
        <v>3447</v>
      </c>
      <c r="L903" s="969">
        <v>0</v>
      </c>
      <c r="M903" s="969"/>
      <c r="N903" s="970">
        <v>683</v>
      </c>
      <c r="O903" s="970">
        <v>0</v>
      </c>
      <c r="P903" s="970">
        <v>0</v>
      </c>
      <c r="Q903" s="969">
        <v>8477</v>
      </c>
      <c r="R903" s="969"/>
      <c r="S903" s="970">
        <v>8135</v>
      </c>
      <c r="T903" s="972">
        <v>-3271</v>
      </c>
      <c r="U903" s="972">
        <v>4864</v>
      </c>
    </row>
    <row r="904" spans="1:21" x14ac:dyDescent="0.25">
      <c r="A904" s="966">
        <v>99941</v>
      </c>
      <c r="B904" s="967" t="s">
        <v>3516</v>
      </c>
      <c r="C904" s="968">
        <v>7.5400000000000003E-5</v>
      </c>
      <c r="D904" s="968">
        <v>7.8200000000000003E-5</v>
      </c>
      <c r="E904" s="1007">
        <v>32663</v>
      </c>
      <c r="F904" s="1010">
        <v>165967</v>
      </c>
      <c r="G904" s="969">
        <v>115190</v>
      </c>
      <c r="H904" s="969"/>
      <c r="I904" s="970">
        <v>6636</v>
      </c>
      <c r="J904" s="971">
        <v>27969</v>
      </c>
      <c r="K904" s="970">
        <v>16451</v>
      </c>
      <c r="L904" s="969">
        <v>0</v>
      </c>
      <c r="M904" s="969"/>
      <c r="N904" s="970">
        <v>3261</v>
      </c>
      <c r="O904" s="970">
        <v>0</v>
      </c>
      <c r="P904" s="970">
        <v>0</v>
      </c>
      <c r="Q904" s="969">
        <v>11647</v>
      </c>
      <c r="R904" s="969"/>
      <c r="S904" s="970">
        <v>38819</v>
      </c>
      <c r="T904" s="972">
        <v>-4535</v>
      </c>
      <c r="U904" s="972">
        <f>34285-1</f>
        <v>34284</v>
      </c>
    </row>
    <row r="905" spans="1:21" x14ac:dyDescent="0.25">
      <c r="A905" s="966">
        <v>99991</v>
      </c>
      <c r="B905" s="967" t="s">
        <v>3517</v>
      </c>
      <c r="C905" s="968">
        <v>5.3450000000000004E-4</v>
      </c>
      <c r="D905" s="968">
        <v>5.6990000000000003E-4</v>
      </c>
      <c r="E905" s="1007">
        <v>239781</v>
      </c>
      <c r="F905" s="1010">
        <v>1209519</v>
      </c>
      <c r="G905" s="969">
        <v>816568</v>
      </c>
      <c r="H905" s="969"/>
      <c r="I905" s="970">
        <v>47042</v>
      </c>
      <c r="J905" s="971">
        <v>198264</v>
      </c>
      <c r="K905" s="970">
        <v>116617</v>
      </c>
      <c r="L905" s="969">
        <v>28891</v>
      </c>
      <c r="M905" s="969"/>
      <c r="N905" s="970">
        <v>23114</v>
      </c>
      <c r="O905" s="970">
        <v>0</v>
      </c>
      <c r="P905" s="970">
        <v>0</v>
      </c>
      <c r="Q905" s="969">
        <v>28214</v>
      </c>
      <c r="R905" s="969"/>
      <c r="S905" s="970">
        <v>275184</v>
      </c>
      <c r="T905" s="972">
        <v>12361</v>
      </c>
      <c r="U905" s="972">
        <v>287545</v>
      </c>
    </row>
    <row r="906" spans="1:21" x14ac:dyDescent="0.25">
      <c r="A906" s="966">
        <v>99999</v>
      </c>
      <c r="B906" s="967" t="s">
        <v>3518</v>
      </c>
      <c r="C906" s="968">
        <v>8.7509999999999997E-4</v>
      </c>
      <c r="D906" s="968">
        <v>1.0101000000000001E-3</v>
      </c>
      <c r="E906" s="1007">
        <v>509176</v>
      </c>
      <c r="F906" s="1010">
        <v>2143771</v>
      </c>
      <c r="G906" s="969">
        <v>1336910</v>
      </c>
      <c r="H906" s="969"/>
      <c r="I906" s="970">
        <v>77018</v>
      </c>
      <c r="J906" s="971">
        <v>324603</v>
      </c>
      <c r="K906" s="970">
        <v>190929</v>
      </c>
      <c r="L906" s="969">
        <v>77711</v>
      </c>
      <c r="M906" s="969"/>
      <c r="N906" s="970">
        <v>37844</v>
      </c>
      <c r="O906" s="970">
        <v>0</v>
      </c>
      <c r="P906" s="970">
        <v>0</v>
      </c>
      <c r="Q906" s="969">
        <v>26259</v>
      </c>
      <c r="R906" s="969"/>
      <c r="S906" s="970">
        <v>450540</v>
      </c>
      <c r="T906" s="972">
        <v>10651</v>
      </c>
      <c r="U906" s="972">
        <v>461191</v>
      </c>
    </row>
    <row r="907" spans="1:21" x14ac:dyDescent="0.25">
      <c r="A907" s="966"/>
      <c r="B907" s="967"/>
      <c r="C907" s="968"/>
      <c r="D907" s="968"/>
      <c r="E907" s="1007"/>
      <c r="F907" s="1010"/>
      <c r="G907" s="969"/>
      <c r="H907" s="969"/>
      <c r="I907" s="970"/>
      <c r="J907" s="971"/>
      <c r="K907" s="970"/>
      <c r="L907" s="969"/>
      <c r="M907" s="969"/>
      <c r="N907" s="970"/>
      <c r="O907" s="970"/>
      <c r="P907" s="970"/>
      <c r="Q907" s="969"/>
      <c r="R907" s="969"/>
      <c r="S907" s="970"/>
      <c r="T907" s="972"/>
      <c r="U907" s="972"/>
    </row>
    <row r="908" spans="1:21" x14ac:dyDescent="0.25">
      <c r="A908" s="987" t="s">
        <v>2624</v>
      </c>
      <c r="B908" s="988" t="s">
        <v>2623</v>
      </c>
      <c r="C908" s="989">
        <v>2.6581E-3</v>
      </c>
      <c r="D908" s="989">
        <v>2.3587E-3</v>
      </c>
      <c r="E908" s="1008">
        <v>1110621</v>
      </c>
      <c r="F908" s="1010">
        <v>5005952</v>
      </c>
      <c r="G908" s="991">
        <v>4060841</v>
      </c>
      <c r="H908" s="991"/>
      <c r="I908" s="992">
        <v>233942</v>
      </c>
      <c r="J908" s="993">
        <v>985977</v>
      </c>
      <c r="K908" s="992">
        <v>579944</v>
      </c>
      <c r="L908" s="991">
        <v>130818</v>
      </c>
      <c r="M908" s="991"/>
      <c r="N908" s="992">
        <v>114950</v>
      </c>
      <c r="O908" s="992"/>
      <c r="P908" s="992">
        <v>0</v>
      </c>
      <c r="Q908" s="991">
        <v>31847</v>
      </c>
      <c r="R908" s="991"/>
      <c r="S908" s="992">
        <v>1368507</v>
      </c>
      <c r="T908" s="991">
        <v>33872</v>
      </c>
      <c r="U908" s="991">
        <v>1402379</v>
      </c>
    </row>
    <row r="909" spans="1:21" s="981" customFormat="1" x14ac:dyDescent="0.25">
      <c r="A909" s="975"/>
      <c r="B909" s="976"/>
      <c r="C909" s="977">
        <v>1</v>
      </c>
      <c r="D909" s="977">
        <v>1</v>
      </c>
      <c r="E909" s="1009">
        <f>SUM(E6:E906)</f>
        <v>459076658</v>
      </c>
      <c r="F909" s="978"/>
      <c r="G909" s="978">
        <f>SUM(G7:G906)</f>
        <v>1527723006</v>
      </c>
      <c r="H909" s="978"/>
      <c r="I909" s="979">
        <f>SUM(I7:I906)</f>
        <v>88010998</v>
      </c>
      <c r="J909" s="980">
        <v>370932998</v>
      </c>
      <c r="K909" s="979">
        <f>SUM(K7:K906)</f>
        <v>218179990</v>
      </c>
      <c r="L909" s="979">
        <f>SUM(L7:L906)</f>
        <v>44399345</v>
      </c>
      <c r="M909" s="979"/>
      <c r="N909" s="979">
        <f>SUM(N7:N906)</f>
        <v>43245007</v>
      </c>
      <c r="O909" s="979">
        <f>SUM(O7:O906)</f>
        <v>0</v>
      </c>
      <c r="P909" s="979">
        <f>SUM(P7:P906)</f>
        <v>0</v>
      </c>
      <c r="Q909" s="979">
        <f>SUM(Q7:Q906)</f>
        <v>44399369</v>
      </c>
      <c r="R909" s="979"/>
      <c r="S909" s="979">
        <f>SUM(S7:S906)</f>
        <v>514844016</v>
      </c>
      <c r="T909" s="979">
        <f>SUM(T7:T906)</f>
        <v>36</v>
      </c>
      <c r="U909" s="979">
        <f>SUM(U7:U906)</f>
        <v>514844052</v>
      </c>
    </row>
    <row r="910" spans="1:21" s="981" customFormat="1" x14ac:dyDescent="0.25">
      <c r="A910" s="975"/>
      <c r="B910" s="976"/>
      <c r="C910" s="977"/>
      <c r="D910" s="977"/>
      <c r="E910" s="1009"/>
      <c r="F910" s="986"/>
      <c r="G910" s="978"/>
      <c r="H910" s="978"/>
      <c r="I910" s="979"/>
      <c r="J910" s="980"/>
      <c r="K910" s="979"/>
      <c r="L910" s="979"/>
      <c r="M910" s="979"/>
      <c r="N910" s="979"/>
      <c r="O910" s="979"/>
      <c r="P910" s="979"/>
      <c r="Q910" s="979"/>
      <c r="R910" s="979"/>
      <c r="S910" s="979"/>
      <c r="T910" s="979"/>
      <c r="U910" s="979"/>
    </row>
    <row r="911" spans="1:21" s="981" customFormat="1" x14ac:dyDescent="0.25">
      <c r="A911" s="975"/>
      <c r="B911" s="976"/>
      <c r="C911" s="977"/>
      <c r="D911" s="977"/>
      <c r="E911" s="1009"/>
      <c r="F911" s="986"/>
      <c r="G911" s="978"/>
      <c r="H911" s="978"/>
      <c r="I911" s="979"/>
      <c r="J911" s="980"/>
      <c r="K911" s="979"/>
      <c r="L911" s="979"/>
      <c r="M911" s="979"/>
      <c r="N911" s="979"/>
      <c r="O911" s="979"/>
      <c r="P911" s="979"/>
      <c r="Q911" s="979"/>
      <c r="R911" s="979"/>
      <c r="S911" s="979"/>
      <c r="T911" s="979"/>
      <c r="U911" s="979"/>
    </row>
    <row r="912" spans="1:21" x14ac:dyDescent="0.25">
      <c r="B912" s="982" t="s">
        <v>2089</v>
      </c>
      <c r="C912" s="964" t="s">
        <v>825</v>
      </c>
    </row>
    <row r="913" spans="2:3" x14ac:dyDescent="0.25">
      <c r="B913" s="983" t="s">
        <v>2104</v>
      </c>
      <c r="C913" s="966">
        <v>96331</v>
      </c>
    </row>
    <row r="914" spans="2:3" x14ac:dyDescent="0.25">
      <c r="B914" s="983" t="s">
        <v>2105</v>
      </c>
      <c r="C914" s="966">
        <v>94611</v>
      </c>
    </row>
    <row r="915" spans="2:3" x14ac:dyDescent="0.25">
      <c r="B915" s="983" t="s">
        <v>1465</v>
      </c>
      <c r="C915" s="966">
        <v>93402</v>
      </c>
    </row>
    <row r="916" spans="2:3" x14ac:dyDescent="0.25">
      <c r="B916" s="983" t="s">
        <v>2106</v>
      </c>
      <c r="C916" s="966">
        <v>90151</v>
      </c>
    </row>
    <row r="917" spans="2:3" x14ac:dyDescent="0.25">
      <c r="B917" s="983" t="s">
        <v>3679</v>
      </c>
      <c r="C917" s="966">
        <v>94109</v>
      </c>
    </row>
    <row r="918" spans="2:3" x14ac:dyDescent="0.25">
      <c r="B918" s="983" t="s">
        <v>1170</v>
      </c>
      <c r="C918" s="966">
        <v>90101</v>
      </c>
    </row>
    <row r="919" spans="2:3" x14ac:dyDescent="0.25">
      <c r="B919" s="983" t="s">
        <v>3519</v>
      </c>
      <c r="C919" s="966">
        <v>90117</v>
      </c>
    </row>
    <row r="920" spans="2:3" x14ac:dyDescent="0.25">
      <c r="B920" s="983" t="s">
        <v>2107</v>
      </c>
      <c r="C920" s="966">
        <v>98411</v>
      </c>
    </row>
    <row r="921" spans="2:3" x14ac:dyDescent="0.25">
      <c r="B921" s="983" t="s">
        <v>3680</v>
      </c>
      <c r="C921" s="966">
        <v>98417</v>
      </c>
    </row>
    <row r="922" spans="2:3" x14ac:dyDescent="0.25">
      <c r="B922" s="983" t="s">
        <v>1766</v>
      </c>
      <c r="C922" s="966">
        <v>97008</v>
      </c>
    </row>
    <row r="923" spans="2:3" x14ac:dyDescent="0.25">
      <c r="B923" s="983" t="s">
        <v>1767</v>
      </c>
      <c r="C923" s="966">
        <v>97010</v>
      </c>
    </row>
    <row r="924" spans="2:3" x14ac:dyDescent="0.25">
      <c r="B924" s="983" t="s">
        <v>3520</v>
      </c>
      <c r="C924" s="966">
        <v>90096</v>
      </c>
    </row>
    <row r="925" spans="2:3" x14ac:dyDescent="0.25">
      <c r="B925" s="983" t="s">
        <v>1217</v>
      </c>
      <c r="C925" s="966">
        <v>90805</v>
      </c>
    </row>
    <row r="926" spans="2:3" x14ac:dyDescent="0.25">
      <c r="B926" s="983" t="s">
        <v>3681</v>
      </c>
      <c r="C926" s="966">
        <v>92109</v>
      </c>
    </row>
    <row r="927" spans="2:3" x14ac:dyDescent="0.25">
      <c r="B927" s="983" t="s">
        <v>1178</v>
      </c>
      <c r="C927" s="966">
        <v>90201</v>
      </c>
    </row>
    <row r="928" spans="2:3" x14ac:dyDescent="0.25">
      <c r="B928" s="983" t="s">
        <v>3682</v>
      </c>
      <c r="C928" s="966">
        <v>90206</v>
      </c>
    </row>
    <row r="929" spans="2:3" x14ac:dyDescent="0.25">
      <c r="B929" s="983" t="s">
        <v>3683</v>
      </c>
      <c r="C929" s="966">
        <v>90203</v>
      </c>
    </row>
    <row r="930" spans="2:3" x14ac:dyDescent="0.25">
      <c r="B930" s="983" t="s">
        <v>3684</v>
      </c>
      <c r="C930" s="966">
        <v>90205</v>
      </c>
    </row>
    <row r="931" spans="2:3" x14ac:dyDescent="0.25">
      <c r="B931" s="983" t="s">
        <v>1183</v>
      </c>
      <c r="C931" s="966">
        <v>90301</v>
      </c>
    </row>
    <row r="932" spans="2:3" x14ac:dyDescent="0.25">
      <c r="B932" s="983" t="s">
        <v>3685</v>
      </c>
      <c r="C932" s="966">
        <v>93209</v>
      </c>
    </row>
    <row r="933" spans="2:3" x14ac:dyDescent="0.25">
      <c r="B933" s="983" t="s">
        <v>2108</v>
      </c>
      <c r="C933" s="966">
        <v>92021</v>
      </c>
    </row>
    <row r="934" spans="2:3" x14ac:dyDescent="0.25">
      <c r="B934" s="983" t="s">
        <v>2109</v>
      </c>
      <c r="C934" s="966">
        <v>94351</v>
      </c>
    </row>
    <row r="935" spans="2:3" x14ac:dyDescent="0.25">
      <c r="B935" s="983" t="s">
        <v>3686</v>
      </c>
      <c r="C935" s="966">
        <v>94347</v>
      </c>
    </row>
    <row r="936" spans="2:3" x14ac:dyDescent="0.25">
      <c r="B936" s="983" t="s">
        <v>1186</v>
      </c>
      <c r="C936" s="966">
        <v>90401</v>
      </c>
    </row>
    <row r="937" spans="2:3" x14ac:dyDescent="0.25">
      <c r="B937" s="983" t="s">
        <v>2110</v>
      </c>
      <c r="C937" s="966">
        <v>90451</v>
      </c>
    </row>
    <row r="938" spans="2:3" x14ac:dyDescent="0.25">
      <c r="B938" s="983" t="s">
        <v>2111</v>
      </c>
      <c r="C938" s="966">
        <v>99271</v>
      </c>
    </row>
    <row r="939" spans="2:3" x14ac:dyDescent="0.25">
      <c r="B939" s="983" t="s">
        <v>3687</v>
      </c>
      <c r="C939" s="966">
        <v>90099</v>
      </c>
    </row>
    <row r="940" spans="2:3" x14ac:dyDescent="0.25">
      <c r="B940" s="983" t="s">
        <v>2006</v>
      </c>
      <c r="C940" s="966">
        <v>99705</v>
      </c>
    </row>
    <row r="941" spans="2:3" x14ac:dyDescent="0.25">
      <c r="B941" s="983" t="s">
        <v>2112</v>
      </c>
      <c r="C941" s="966">
        <v>97651</v>
      </c>
    </row>
    <row r="942" spans="2:3" x14ac:dyDescent="0.25">
      <c r="B942" s="983" t="s">
        <v>2113</v>
      </c>
      <c r="C942" s="966">
        <v>95106</v>
      </c>
    </row>
    <row r="943" spans="2:3" x14ac:dyDescent="0.25">
      <c r="B943" s="983" t="s">
        <v>1195</v>
      </c>
      <c r="C943" s="966">
        <v>90501</v>
      </c>
    </row>
    <row r="944" spans="2:3" x14ac:dyDescent="0.25">
      <c r="B944" s="983" t="s">
        <v>2114</v>
      </c>
      <c r="C944" s="966">
        <v>97611</v>
      </c>
    </row>
    <row r="945" spans="2:3" x14ac:dyDescent="0.25">
      <c r="B945" s="983" t="s">
        <v>3688</v>
      </c>
      <c r="C945" s="966">
        <v>97607</v>
      </c>
    </row>
    <row r="946" spans="2:3" x14ac:dyDescent="0.25">
      <c r="B946" s="983" t="s">
        <v>3689</v>
      </c>
      <c r="C946" s="966">
        <v>97613</v>
      </c>
    </row>
    <row r="947" spans="2:3" x14ac:dyDescent="0.25">
      <c r="B947" s="983" t="s">
        <v>2115</v>
      </c>
      <c r="C947" s="966">
        <v>91121</v>
      </c>
    </row>
    <row r="948" spans="2:3" x14ac:dyDescent="0.25">
      <c r="B948" s="983" t="s">
        <v>3690</v>
      </c>
      <c r="C948" s="966">
        <v>91127</v>
      </c>
    </row>
    <row r="949" spans="2:3" x14ac:dyDescent="0.25">
      <c r="B949" s="983" t="s">
        <v>1269</v>
      </c>
      <c r="C949" s="966">
        <v>91128</v>
      </c>
    </row>
    <row r="950" spans="2:3" x14ac:dyDescent="0.25">
      <c r="B950" s="983" t="s">
        <v>2116</v>
      </c>
      <c r="C950" s="966">
        <v>91681</v>
      </c>
    </row>
    <row r="951" spans="2:3" x14ac:dyDescent="0.25">
      <c r="B951" s="983" t="s">
        <v>2117</v>
      </c>
      <c r="C951" s="966">
        <v>90811</v>
      </c>
    </row>
    <row r="952" spans="2:3" x14ac:dyDescent="0.25">
      <c r="B952" s="983" t="s">
        <v>2118</v>
      </c>
      <c r="C952" s="966">
        <v>90721</v>
      </c>
    </row>
    <row r="953" spans="2:3" x14ac:dyDescent="0.25">
      <c r="B953" s="983" t="s">
        <v>2119</v>
      </c>
      <c r="C953" s="966">
        <v>98271</v>
      </c>
    </row>
    <row r="954" spans="2:3" x14ac:dyDescent="0.25">
      <c r="B954" s="983" t="s">
        <v>1199</v>
      </c>
      <c r="C954" s="966">
        <v>90601</v>
      </c>
    </row>
    <row r="955" spans="2:3" x14ac:dyDescent="0.25">
      <c r="B955" s="983" t="s">
        <v>3691</v>
      </c>
      <c r="C955" s="966">
        <v>90602</v>
      </c>
    </row>
    <row r="956" spans="2:3" x14ac:dyDescent="0.25">
      <c r="B956" s="983" t="s">
        <v>3692</v>
      </c>
      <c r="C956" s="966">
        <v>90605</v>
      </c>
    </row>
    <row r="957" spans="2:3" x14ac:dyDescent="0.25">
      <c r="B957" s="983" t="s">
        <v>2120</v>
      </c>
      <c r="C957" s="966">
        <v>97461</v>
      </c>
    </row>
    <row r="958" spans="2:3" x14ac:dyDescent="0.25">
      <c r="B958" s="983" t="s">
        <v>1799</v>
      </c>
      <c r="C958" s="966">
        <v>97463</v>
      </c>
    </row>
    <row r="959" spans="2:3" x14ac:dyDescent="0.25">
      <c r="B959" s="983" t="s">
        <v>3693</v>
      </c>
      <c r="C959" s="966">
        <v>90705</v>
      </c>
    </row>
    <row r="960" spans="2:3" x14ac:dyDescent="0.25">
      <c r="B960" s="983" t="s">
        <v>2121</v>
      </c>
      <c r="C960" s="966">
        <v>98451</v>
      </c>
    </row>
    <row r="961" spans="2:3" x14ac:dyDescent="0.25">
      <c r="B961" s="983" t="s">
        <v>2122</v>
      </c>
      <c r="C961" s="966">
        <v>96451</v>
      </c>
    </row>
    <row r="962" spans="2:3" x14ac:dyDescent="0.25">
      <c r="B962" s="983" t="s">
        <v>2123</v>
      </c>
      <c r="C962" s="966">
        <v>96121</v>
      </c>
    </row>
    <row r="963" spans="2:3" x14ac:dyDescent="0.25">
      <c r="B963" s="983" t="s">
        <v>2124</v>
      </c>
      <c r="C963" s="966">
        <v>91091</v>
      </c>
    </row>
    <row r="964" spans="2:3" x14ac:dyDescent="0.25">
      <c r="B964" s="983" t="s">
        <v>2125</v>
      </c>
      <c r="C964" s="966">
        <v>90611</v>
      </c>
    </row>
    <row r="965" spans="2:3" x14ac:dyDescent="0.25">
      <c r="B965" s="983" t="s">
        <v>1761</v>
      </c>
      <c r="C965" s="966">
        <v>96918</v>
      </c>
    </row>
    <row r="966" spans="2:3" x14ac:dyDescent="0.25">
      <c r="B966" s="983" t="s">
        <v>2126</v>
      </c>
      <c r="C966" s="966">
        <v>96911</v>
      </c>
    </row>
    <row r="967" spans="2:3" x14ac:dyDescent="0.25">
      <c r="B967" s="983" t="s">
        <v>1958</v>
      </c>
      <c r="C967" s="966">
        <v>99208</v>
      </c>
    </row>
    <row r="968" spans="2:3" x14ac:dyDescent="0.25">
      <c r="B968" s="983" t="s">
        <v>2127</v>
      </c>
      <c r="C968" s="966">
        <v>91631</v>
      </c>
    </row>
    <row r="969" spans="2:3" x14ac:dyDescent="0.25">
      <c r="B969" s="983" t="s">
        <v>1207</v>
      </c>
      <c r="C969" s="966">
        <v>90701</v>
      </c>
    </row>
    <row r="970" spans="2:3" x14ac:dyDescent="0.25">
      <c r="B970" s="983" t="s">
        <v>3694</v>
      </c>
      <c r="C970" s="966">
        <v>90704</v>
      </c>
    </row>
    <row r="971" spans="2:3" x14ac:dyDescent="0.25">
      <c r="B971" s="983" t="s">
        <v>3695</v>
      </c>
      <c r="C971" s="966">
        <v>91633</v>
      </c>
    </row>
    <row r="972" spans="2:3" x14ac:dyDescent="0.25">
      <c r="B972" s="983" t="s">
        <v>2128</v>
      </c>
      <c r="C972" s="966">
        <v>90631</v>
      </c>
    </row>
    <row r="973" spans="2:3" x14ac:dyDescent="0.25">
      <c r="B973" s="983" t="s">
        <v>2129</v>
      </c>
      <c r="C973" s="966">
        <v>90731</v>
      </c>
    </row>
    <row r="974" spans="2:3" x14ac:dyDescent="0.25">
      <c r="B974" s="983" t="s">
        <v>2130</v>
      </c>
      <c r="C974" s="966">
        <v>93621</v>
      </c>
    </row>
    <row r="975" spans="2:3" x14ac:dyDescent="0.25">
      <c r="B975" s="983" t="s">
        <v>1491</v>
      </c>
      <c r="C975" s="966">
        <v>93623</v>
      </c>
    </row>
    <row r="976" spans="2:3" x14ac:dyDescent="0.25">
      <c r="B976" s="983" t="s">
        <v>2131</v>
      </c>
      <c r="C976" s="966">
        <v>91020</v>
      </c>
    </row>
    <row r="977" spans="2:3" x14ac:dyDescent="0.25">
      <c r="B977" s="983" t="s">
        <v>2132</v>
      </c>
      <c r="C977" s="966">
        <v>95141</v>
      </c>
    </row>
    <row r="978" spans="2:3" x14ac:dyDescent="0.25">
      <c r="B978" s="983" t="s">
        <v>1609</v>
      </c>
      <c r="C978" s="966">
        <v>95103</v>
      </c>
    </row>
    <row r="979" spans="2:3" x14ac:dyDescent="0.25">
      <c r="B979" s="983" t="s">
        <v>2133</v>
      </c>
      <c r="C979" s="966">
        <v>93021</v>
      </c>
    </row>
    <row r="980" spans="2:3" x14ac:dyDescent="0.25">
      <c r="B980" s="983" t="s">
        <v>1215</v>
      </c>
      <c r="C980" s="966">
        <v>90801</v>
      </c>
    </row>
    <row r="981" spans="2:3" x14ac:dyDescent="0.25">
      <c r="B981" s="983" t="s">
        <v>3696</v>
      </c>
      <c r="C981" s="966">
        <v>90804</v>
      </c>
    </row>
    <row r="982" spans="2:3" x14ac:dyDescent="0.25">
      <c r="B982" s="983" t="s">
        <v>1218</v>
      </c>
      <c r="C982" s="966">
        <v>90808</v>
      </c>
    </row>
    <row r="983" spans="2:3" x14ac:dyDescent="0.25">
      <c r="B983" s="983" t="s">
        <v>2134</v>
      </c>
      <c r="C983" s="966">
        <v>93671</v>
      </c>
    </row>
    <row r="984" spans="2:3" x14ac:dyDescent="0.25">
      <c r="B984" s="983" t="s">
        <v>2135</v>
      </c>
      <c r="C984" s="966">
        <v>93677</v>
      </c>
    </row>
    <row r="985" spans="2:3" x14ac:dyDescent="0.25">
      <c r="B985" s="983" t="s">
        <v>2136</v>
      </c>
      <c r="C985" s="966">
        <v>97441</v>
      </c>
    </row>
    <row r="986" spans="2:3" x14ac:dyDescent="0.25">
      <c r="B986" s="983" t="s">
        <v>2137</v>
      </c>
      <c r="C986" s="966">
        <v>93111</v>
      </c>
    </row>
    <row r="987" spans="2:3" x14ac:dyDescent="0.25">
      <c r="B987" s="983" t="s">
        <v>2138</v>
      </c>
      <c r="C987" s="966">
        <v>91111</v>
      </c>
    </row>
    <row r="988" spans="2:3" x14ac:dyDescent="0.25">
      <c r="B988" s="983" t="s">
        <v>2139</v>
      </c>
      <c r="C988" s="966">
        <v>96231</v>
      </c>
    </row>
    <row r="989" spans="2:3" x14ac:dyDescent="0.25">
      <c r="B989" s="983" t="s">
        <v>2140</v>
      </c>
      <c r="C989" s="966">
        <v>99831</v>
      </c>
    </row>
    <row r="990" spans="2:3" x14ac:dyDescent="0.25">
      <c r="B990" s="983" t="s">
        <v>2141</v>
      </c>
      <c r="C990" s="966">
        <v>91151</v>
      </c>
    </row>
    <row r="991" spans="2:3" x14ac:dyDescent="0.25">
      <c r="B991" s="983" t="s">
        <v>3697</v>
      </c>
      <c r="C991" s="966">
        <v>91154</v>
      </c>
    </row>
    <row r="992" spans="2:3" x14ac:dyDescent="0.25">
      <c r="B992" s="983" t="s">
        <v>1223</v>
      </c>
      <c r="C992" s="966">
        <v>90901</v>
      </c>
    </row>
    <row r="993" spans="2:3" x14ac:dyDescent="0.25">
      <c r="B993" s="983" t="s">
        <v>2142</v>
      </c>
      <c r="C993" s="966">
        <v>90941</v>
      </c>
    </row>
    <row r="994" spans="2:3" x14ac:dyDescent="0.25">
      <c r="B994" s="983" t="s">
        <v>2143</v>
      </c>
      <c r="C994" s="966">
        <v>99521</v>
      </c>
    </row>
    <row r="995" spans="2:3" x14ac:dyDescent="0.25">
      <c r="B995" s="983" t="s">
        <v>3698</v>
      </c>
      <c r="C995" s="966">
        <v>99527</v>
      </c>
    </row>
    <row r="996" spans="2:3" x14ac:dyDescent="0.25">
      <c r="B996" s="983" t="s">
        <v>1987</v>
      </c>
      <c r="C996" s="966">
        <v>99508</v>
      </c>
    </row>
    <row r="997" spans="2:3" x14ac:dyDescent="0.25">
      <c r="B997" s="983" t="s">
        <v>1576</v>
      </c>
      <c r="C997" s="966">
        <v>94532</v>
      </c>
    </row>
    <row r="998" spans="2:3" x14ac:dyDescent="0.25">
      <c r="B998" s="983" t="s">
        <v>3699</v>
      </c>
      <c r="C998" s="966">
        <v>91071</v>
      </c>
    </row>
    <row r="999" spans="2:3" x14ac:dyDescent="0.25">
      <c r="B999" s="983" t="s">
        <v>3700</v>
      </c>
      <c r="C999" s="966">
        <v>91077</v>
      </c>
    </row>
    <row r="1000" spans="2:3" x14ac:dyDescent="0.25">
      <c r="B1000" s="983" t="s">
        <v>2144</v>
      </c>
      <c r="C1000" s="966">
        <v>92331</v>
      </c>
    </row>
    <row r="1001" spans="2:3" x14ac:dyDescent="0.25">
      <c r="B1001" s="983" t="s">
        <v>2145</v>
      </c>
      <c r="C1001" s="966">
        <v>92414</v>
      </c>
    </row>
    <row r="1002" spans="2:3" x14ac:dyDescent="0.25">
      <c r="B1002" s="983" t="s">
        <v>2146</v>
      </c>
      <c r="C1002" s="966">
        <v>99511</v>
      </c>
    </row>
    <row r="1003" spans="2:3" x14ac:dyDescent="0.25">
      <c r="B1003" s="983" t="s">
        <v>2147</v>
      </c>
      <c r="C1003" s="966">
        <v>99941</v>
      </c>
    </row>
    <row r="1004" spans="2:3" x14ac:dyDescent="0.25">
      <c r="B1004" s="983" t="s">
        <v>1713</v>
      </c>
      <c r="C1004" s="966">
        <v>96405</v>
      </c>
    </row>
    <row r="1005" spans="2:3" x14ac:dyDescent="0.25">
      <c r="B1005" s="983" t="s">
        <v>2148</v>
      </c>
      <c r="C1005" s="966">
        <v>98811</v>
      </c>
    </row>
    <row r="1006" spans="2:3" x14ac:dyDescent="0.25">
      <c r="B1006" s="983" t="s">
        <v>3701</v>
      </c>
      <c r="C1006" s="966">
        <v>98817</v>
      </c>
    </row>
    <row r="1007" spans="2:3" x14ac:dyDescent="0.25">
      <c r="B1007" s="983" t="s">
        <v>2149</v>
      </c>
      <c r="C1007" s="966">
        <v>92561</v>
      </c>
    </row>
    <row r="1008" spans="2:3" x14ac:dyDescent="0.25">
      <c r="B1008" s="983" t="s">
        <v>1872</v>
      </c>
      <c r="C1008" s="966">
        <v>98102</v>
      </c>
    </row>
    <row r="1009" spans="2:3" x14ac:dyDescent="0.25">
      <c r="B1009" s="983" t="s">
        <v>2150</v>
      </c>
      <c r="C1009" s="966">
        <v>95321</v>
      </c>
    </row>
    <row r="1010" spans="2:3" x14ac:dyDescent="0.25">
      <c r="B1010" s="983" t="s">
        <v>2151</v>
      </c>
      <c r="C1010" s="966">
        <v>91861</v>
      </c>
    </row>
    <row r="1011" spans="2:3" x14ac:dyDescent="0.25">
      <c r="B1011" s="983" t="s">
        <v>2152</v>
      </c>
      <c r="C1011" s="966">
        <v>92421</v>
      </c>
    </row>
    <row r="1012" spans="2:3" x14ac:dyDescent="0.25">
      <c r="B1012" s="983" t="s">
        <v>3702</v>
      </c>
      <c r="C1012" s="966">
        <v>91006</v>
      </c>
    </row>
    <row r="1013" spans="2:3" x14ac:dyDescent="0.25">
      <c r="B1013" s="983" t="s">
        <v>3703</v>
      </c>
      <c r="C1013" s="966">
        <v>91003</v>
      </c>
    </row>
    <row r="1014" spans="2:3" x14ac:dyDescent="0.25">
      <c r="B1014" s="983" t="s">
        <v>1230</v>
      </c>
      <c r="C1014" s="966">
        <v>91001</v>
      </c>
    </row>
    <row r="1015" spans="2:3" x14ac:dyDescent="0.25">
      <c r="B1015" s="983" t="s">
        <v>3704</v>
      </c>
      <c r="C1015" s="966">
        <v>91004</v>
      </c>
    </row>
    <row r="1016" spans="2:3" x14ac:dyDescent="0.25">
      <c r="B1016" s="983" t="s">
        <v>3705</v>
      </c>
      <c r="C1016" s="966">
        <v>91009</v>
      </c>
    </row>
    <row r="1017" spans="2:3" x14ac:dyDescent="0.25">
      <c r="B1017" s="983" t="s">
        <v>3706</v>
      </c>
      <c r="C1017" s="966">
        <v>91042</v>
      </c>
    </row>
    <row r="1018" spans="2:3" x14ac:dyDescent="0.25">
      <c r="B1018" s="983" t="s">
        <v>2153</v>
      </c>
      <c r="C1018" s="966">
        <v>98711</v>
      </c>
    </row>
    <row r="1019" spans="2:3" x14ac:dyDescent="0.25">
      <c r="B1019" s="983" t="s">
        <v>3707</v>
      </c>
      <c r="C1019" s="966">
        <v>98717</v>
      </c>
    </row>
    <row r="1020" spans="2:3" x14ac:dyDescent="0.25">
      <c r="B1020" s="983" t="s">
        <v>1258</v>
      </c>
      <c r="C1020" s="966">
        <v>91101</v>
      </c>
    </row>
    <row r="1021" spans="2:3" x14ac:dyDescent="0.25">
      <c r="B1021" s="983" t="s">
        <v>2154</v>
      </c>
      <c r="C1021" s="966">
        <v>93531</v>
      </c>
    </row>
    <row r="1022" spans="2:3" x14ac:dyDescent="0.25">
      <c r="B1022" s="983" t="s">
        <v>3708</v>
      </c>
      <c r="C1022" s="966">
        <v>93537</v>
      </c>
    </row>
    <row r="1023" spans="2:3" x14ac:dyDescent="0.25">
      <c r="B1023" s="983" t="s">
        <v>2155</v>
      </c>
      <c r="C1023" s="966">
        <v>97111</v>
      </c>
    </row>
    <row r="1024" spans="2:3" x14ac:dyDescent="0.25">
      <c r="B1024" s="983" t="s">
        <v>3709</v>
      </c>
      <c r="C1024" s="966">
        <v>91206</v>
      </c>
    </row>
    <row r="1025" spans="2:3" x14ac:dyDescent="0.25">
      <c r="B1025" s="983" t="s">
        <v>3710</v>
      </c>
      <c r="C1025" s="966">
        <v>91203</v>
      </c>
    </row>
    <row r="1026" spans="2:3" x14ac:dyDescent="0.25">
      <c r="B1026" s="983" t="s">
        <v>1277</v>
      </c>
      <c r="C1026" s="966">
        <v>91201</v>
      </c>
    </row>
    <row r="1027" spans="2:3" x14ac:dyDescent="0.25">
      <c r="B1027" s="983" t="s">
        <v>3711</v>
      </c>
      <c r="C1027" s="966">
        <v>91208</v>
      </c>
    </row>
    <row r="1028" spans="2:3" x14ac:dyDescent="0.25">
      <c r="B1028" s="983" t="s">
        <v>3712</v>
      </c>
      <c r="C1028" s="966">
        <v>91202</v>
      </c>
    </row>
    <row r="1029" spans="2:3" x14ac:dyDescent="0.25">
      <c r="B1029" s="983" t="s">
        <v>2156</v>
      </c>
      <c r="C1029" s="966">
        <v>90111</v>
      </c>
    </row>
    <row r="1030" spans="2:3" x14ac:dyDescent="0.25">
      <c r="B1030" s="983" t="s">
        <v>2157</v>
      </c>
      <c r="C1030" s="966">
        <v>90011</v>
      </c>
    </row>
    <row r="1031" spans="2:3" x14ac:dyDescent="0.25">
      <c r="B1031" s="983" t="s">
        <v>2158</v>
      </c>
      <c r="C1031" s="966">
        <v>93931</v>
      </c>
    </row>
    <row r="1032" spans="2:3" x14ac:dyDescent="0.25">
      <c r="B1032" s="983" t="s">
        <v>3713</v>
      </c>
      <c r="C1032" s="973">
        <v>91306</v>
      </c>
    </row>
    <row r="1033" spans="2:3" x14ac:dyDescent="0.25">
      <c r="B1033" s="983" t="s">
        <v>1291</v>
      </c>
      <c r="C1033" s="966">
        <v>91301</v>
      </c>
    </row>
    <row r="1034" spans="2:3" x14ac:dyDescent="0.25">
      <c r="B1034" s="983" t="s">
        <v>3714</v>
      </c>
      <c r="C1034" s="973">
        <v>91308</v>
      </c>
    </row>
    <row r="1035" spans="2:3" x14ac:dyDescent="0.25">
      <c r="B1035" s="983" t="s">
        <v>3715</v>
      </c>
      <c r="C1035" s="966">
        <v>91461</v>
      </c>
    </row>
    <row r="1036" spans="2:3" x14ac:dyDescent="0.25">
      <c r="B1036" s="983" t="s">
        <v>2159</v>
      </c>
      <c r="C1036" s="966">
        <v>91010</v>
      </c>
    </row>
    <row r="1037" spans="2:3" x14ac:dyDescent="0.25">
      <c r="B1037" s="983" t="s">
        <v>3716</v>
      </c>
      <c r="C1037" s="966">
        <v>91007</v>
      </c>
    </row>
    <row r="1038" spans="2:3" x14ac:dyDescent="0.25">
      <c r="B1038" s="983" t="s">
        <v>1301</v>
      </c>
      <c r="C1038" s="966">
        <v>91401</v>
      </c>
    </row>
    <row r="1039" spans="2:3" x14ac:dyDescent="0.25">
      <c r="B1039" s="983" t="s">
        <v>2160</v>
      </c>
      <c r="C1039" s="966">
        <v>93171</v>
      </c>
    </row>
    <row r="1040" spans="2:3" x14ac:dyDescent="0.25">
      <c r="B1040" s="983" t="s">
        <v>1311</v>
      </c>
      <c r="C1040" s="966">
        <v>91501</v>
      </c>
    </row>
    <row r="1041" spans="2:3" x14ac:dyDescent="0.25">
      <c r="B1041" s="983" t="s">
        <v>3717</v>
      </c>
      <c r="C1041" s="966">
        <v>91504</v>
      </c>
    </row>
    <row r="1042" spans="2:3" x14ac:dyDescent="0.25">
      <c r="B1042" s="983" t="s">
        <v>2161</v>
      </c>
      <c r="C1042" s="966">
        <v>96312</v>
      </c>
    </row>
    <row r="1043" spans="2:3" x14ac:dyDescent="0.25">
      <c r="B1043" s="983" t="s">
        <v>2162</v>
      </c>
      <c r="C1043" s="966">
        <v>96241</v>
      </c>
    </row>
    <row r="1044" spans="2:3" x14ac:dyDescent="0.25">
      <c r="B1044" s="983" t="s">
        <v>2163</v>
      </c>
      <c r="C1044" s="966">
        <v>94431</v>
      </c>
    </row>
    <row r="1045" spans="2:3" x14ac:dyDescent="0.25">
      <c r="B1045" s="983" t="s">
        <v>3718</v>
      </c>
      <c r="C1045" s="966">
        <v>94437</v>
      </c>
    </row>
    <row r="1046" spans="2:3" x14ac:dyDescent="0.25">
      <c r="B1046" s="983" t="s">
        <v>2164</v>
      </c>
      <c r="C1046" s="966">
        <v>91671</v>
      </c>
    </row>
    <row r="1047" spans="2:3" x14ac:dyDescent="0.25">
      <c r="B1047" s="983" t="s">
        <v>1235</v>
      </c>
      <c r="C1047" s="966">
        <v>91008</v>
      </c>
    </row>
    <row r="1048" spans="2:3" x14ac:dyDescent="0.25">
      <c r="B1048" s="983" t="s">
        <v>1727</v>
      </c>
      <c r="C1048" s="966">
        <v>96512</v>
      </c>
    </row>
    <row r="1049" spans="2:3" x14ac:dyDescent="0.25">
      <c r="B1049" s="983" t="s">
        <v>1724</v>
      </c>
      <c r="C1049" s="966">
        <v>96507</v>
      </c>
    </row>
    <row r="1050" spans="2:3" x14ac:dyDescent="0.25">
      <c r="B1050" s="983" t="s">
        <v>2165</v>
      </c>
      <c r="C1050" s="966">
        <v>96521</v>
      </c>
    </row>
    <row r="1051" spans="2:3" x14ac:dyDescent="0.25">
      <c r="B1051" s="983" t="s">
        <v>2166</v>
      </c>
      <c r="C1051" s="966">
        <v>91024</v>
      </c>
    </row>
    <row r="1052" spans="2:3" x14ac:dyDescent="0.25">
      <c r="B1052" s="983" t="s">
        <v>2167</v>
      </c>
      <c r="C1052" s="966">
        <v>96821</v>
      </c>
    </row>
    <row r="1053" spans="2:3" x14ac:dyDescent="0.25">
      <c r="B1053" s="983" t="s">
        <v>1313</v>
      </c>
      <c r="C1053" s="966">
        <v>91601</v>
      </c>
    </row>
    <row r="1054" spans="2:3" x14ac:dyDescent="0.25">
      <c r="B1054" s="983" t="s">
        <v>3719</v>
      </c>
      <c r="C1054" s="966">
        <v>91604</v>
      </c>
    </row>
    <row r="1055" spans="2:3" x14ac:dyDescent="0.25">
      <c r="B1055" s="983" t="s">
        <v>2168</v>
      </c>
      <c r="C1055" s="966">
        <v>96391</v>
      </c>
    </row>
    <row r="1056" spans="2:3" x14ac:dyDescent="0.25">
      <c r="B1056" s="983" t="s">
        <v>2169</v>
      </c>
      <c r="C1056" s="966">
        <v>99221</v>
      </c>
    </row>
    <row r="1057" spans="2:3" x14ac:dyDescent="0.25">
      <c r="B1057" s="983" t="s">
        <v>2170</v>
      </c>
      <c r="C1057" s="966">
        <v>91051</v>
      </c>
    </row>
    <row r="1058" spans="2:3" x14ac:dyDescent="0.25">
      <c r="B1058" s="983" t="s">
        <v>3720</v>
      </c>
      <c r="C1058" s="966">
        <v>91706</v>
      </c>
    </row>
    <row r="1059" spans="2:3" x14ac:dyDescent="0.25">
      <c r="B1059" s="983" t="s">
        <v>1326</v>
      </c>
      <c r="C1059" s="966">
        <v>91701</v>
      </c>
    </row>
    <row r="1060" spans="2:3" x14ac:dyDescent="0.25">
      <c r="B1060" s="983" t="s">
        <v>3721</v>
      </c>
      <c r="C1060" s="966">
        <v>91704</v>
      </c>
    </row>
    <row r="1061" spans="2:3" x14ac:dyDescent="0.25">
      <c r="B1061" s="983" t="s">
        <v>2171</v>
      </c>
      <c r="C1061" s="966">
        <v>91881</v>
      </c>
    </row>
    <row r="1062" spans="2:3" x14ac:dyDescent="0.25">
      <c r="B1062" s="983" t="s">
        <v>1329</v>
      </c>
      <c r="C1062" s="966">
        <v>91801</v>
      </c>
    </row>
    <row r="1063" spans="2:3" x14ac:dyDescent="0.25">
      <c r="B1063" s="983" t="s">
        <v>3722</v>
      </c>
      <c r="C1063" s="966">
        <v>91804</v>
      </c>
    </row>
    <row r="1064" spans="2:3" x14ac:dyDescent="0.25">
      <c r="B1064" s="983" t="s">
        <v>2172</v>
      </c>
      <c r="C1064" s="966">
        <v>91691</v>
      </c>
    </row>
    <row r="1065" spans="2:3" x14ac:dyDescent="0.25">
      <c r="B1065" s="983" t="s">
        <v>3723</v>
      </c>
      <c r="C1065" s="966">
        <v>99222</v>
      </c>
    </row>
    <row r="1066" spans="2:3" x14ac:dyDescent="0.25">
      <c r="B1066" s="983" t="s">
        <v>3525</v>
      </c>
      <c r="C1066" s="966">
        <v>93408</v>
      </c>
    </row>
    <row r="1067" spans="2:3" x14ac:dyDescent="0.25">
      <c r="B1067" s="983" t="s">
        <v>1675</v>
      </c>
      <c r="C1067" s="966">
        <v>96009</v>
      </c>
    </row>
    <row r="1068" spans="2:3" x14ac:dyDescent="0.25">
      <c r="B1068" s="983" t="s">
        <v>2173</v>
      </c>
      <c r="C1068" s="966">
        <v>92441</v>
      </c>
    </row>
    <row r="1069" spans="2:3" x14ac:dyDescent="0.25">
      <c r="B1069" s="983" t="s">
        <v>2174</v>
      </c>
      <c r="C1069" s="966">
        <v>96811</v>
      </c>
    </row>
    <row r="1070" spans="2:3" x14ac:dyDescent="0.25">
      <c r="B1070" s="983" t="s">
        <v>2175</v>
      </c>
      <c r="C1070" s="966">
        <v>96011</v>
      </c>
    </row>
    <row r="1071" spans="2:3" x14ac:dyDescent="0.25">
      <c r="B1071" s="983" t="s">
        <v>3724</v>
      </c>
      <c r="C1071" s="966">
        <v>96018</v>
      </c>
    </row>
    <row r="1072" spans="2:3" x14ac:dyDescent="0.25">
      <c r="B1072" s="983" t="s">
        <v>3725</v>
      </c>
      <c r="C1072" s="966">
        <v>96003</v>
      </c>
    </row>
    <row r="1073" spans="2:3" x14ac:dyDescent="0.25">
      <c r="B1073" s="983" t="s">
        <v>3726</v>
      </c>
      <c r="C1073" s="966">
        <v>96005</v>
      </c>
    </row>
    <row r="1074" spans="2:3" x14ac:dyDescent="0.25">
      <c r="B1074" s="983" t="s">
        <v>3526</v>
      </c>
      <c r="C1074" s="966">
        <v>96012</v>
      </c>
    </row>
    <row r="1075" spans="2:3" x14ac:dyDescent="0.25">
      <c r="B1075" s="983" t="s">
        <v>3727</v>
      </c>
      <c r="C1075" s="966">
        <v>91903</v>
      </c>
    </row>
    <row r="1076" spans="2:3" x14ac:dyDescent="0.25">
      <c r="B1076" s="983" t="s">
        <v>1343</v>
      </c>
      <c r="C1076" s="966">
        <v>91901</v>
      </c>
    </row>
    <row r="1077" spans="2:3" x14ac:dyDescent="0.25">
      <c r="B1077" s="983" t="s">
        <v>3728</v>
      </c>
      <c r="C1077" s="966">
        <v>91904</v>
      </c>
    </row>
    <row r="1078" spans="2:3" x14ac:dyDescent="0.25">
      <c r="B1078" s="983" t="s">
        <v>1350</v>
      </c>
      <c r="C1078" s="966">
        <v>92001</v>
      </c>
    </row>
    <row r="1079" spans="2:3" x14ac:dyDescent="0.25">
      <c r="B1079" s="983" t="s">
        <v>2176</v>
      </c>
      <c r="C1079" s="966">
        <v>93641</v>
      </c>
    </row>
    <row r="1080" spans="2:3" x14ac:dyDescent="0.25">
      <c r="B1080" s="983" t="s">
        <v>3729</v>
      </c>
      <c r="C1080" s="966">
        <v>93647</v>
      </c>
    </row>
    <row r="1081" spans="2:3" x14ac:dyDescent="0.25">
      <c r="B1081" s="983" t="s">
        <v>2177</v>
      </c>
      <c r="C1081" s="966">
        <v>98041</v>
      </c>
    </row>
    <row r="1082" spans="2:3" x14ac:dyDescent="0.25">
      <c r="B1082" s="983" t="s">
        <v>3730</v>
      </c>
      <c r="C1082" s="966">
        <v>96612</v>
      </c>
    </row>
    <row r="1083" spans="2:3" x14ac:dyDescent="0.25">
      <c r="B1083" s="983" t="s">
        <v>2178</v>
      </c>
      <c r="C1083" s="966">
        <v>90751</v>
      </c>
    </row>
    <row r="1084" spans="2:3" x14ac:dyDescent="0.25">
      <c r="B1084" s="983" t="s">
        <v>1355</v>
      </c>
      <c r="C1084" s="966">
        <v>92101</v>
      </c>
    </row>
    <row r="1085" spans="2:3" x14ac:dyDescent="0.25">
      <c r="B1085" s="983" t="s">
        <v>3731</v>
      </c>
      <c r="C1085" s="966">
        <v>92104</v>
      </c>
    </row>
    <row r="1086" spans="2:3" x14ac:dyDescent="0.25">
      <c r="B1086" s="983" t="s">
        <v>2179</v>
      </c>
      <c r="C1086" s="966">
        <v>91821</v>
      </c>
    </row>
    <row r="1087" spans="2:3" x14ac:dyDescent="0.25">
      <c r="B1087" s="983" t="s">
        <v>2180</v>
      </c>
      <c r="C1087" s="966">
        <v>90931</v>
      </c>
    </row>
    <row r="1088" spans="2:3" x14ac:dyDescent="0.25">
      <c r="B1088" s="983" t="s">
        <v>1360</v>
      </c>
      <c r="C1088" s="966">
        <v>92201</v>
      </c>
    </row>
    <row r="1089" spans="2:3" x14ac:dyDescent="0.25">
      <c r="B1089" s="983" t="s">
        <v>2181</v>
      </c>
      <c r="C1089" s="966">
        <v>95131</v>
      </c>
    </row>
    <row r="1090" spans="2:3" x14ac:dyDescent="0.25">
      <c r="B1090" s="983" t="s">
        <v>2182</v>
      </c>
      <c r="C1090" s="966">
        <v>93441</v>
      </c>
    </row>
    <row r="1091" spans="2:3" x14ac:dyDescent="0.25">
      <c r="B1091" s="983" t="s">
        <v>1472</v>
      </c>
      <c r="C1091" s="966">
        <v>93442</v>
      </c>
    </row>
    <row r="1092" spans="2:3" x14ac:dyDescent="0.25">
      <c r="B1092" s="983" t="s">
        <v>2183</v>
      </c>
      <c r="C1092" s="966">
        <v>98091</v>
      </c>
    </row>
    <row r="1093" spans="2:3" x14ac:dyDescent="0.25">
      <c r="B1093" s="983" t="s">
        <v>1361</v>
      </c>
      <c r="C1093" s="966">
        <v>92301</v>
      </c>
    </row>
    <row r="1094" spans="2:3" x14ac:dyDescent="0.25">
      <c r="B1094" s="983" t="s">
        <v>3732</v>
      </c>
      <c r="C1094" s="966">
        <v>92302</v>
      </c>
    </row>
    <row r="1095" spans="2:3" x14ac:dyDescent="0.25">
      <c r="B1095" s="983" t="s">
        <v>2184</v>
      </c>
      <c r="C1095" s="966">
        <v>98211</v>
      </c>
    </row>
    <row r="1096" spans="2:3" x14ac:dyDescent="0.25">
      <c r="B1096" s="983" t="s">
        <v>3733</v>
      </c>
      <c r="C1096" s="966">
        <v>98218</v>
      </c>
    </row>
    <row r="1097" spans="2:3" x14ac:dyDescent="0.25">
      <c r="B1097" s="983" t="s">
        <v>3734</v>
      </c>
      <c r="C1097" s="966">
        <v>92506</v>
      </c>
    </row>
    <row r="1098" spans="2:3" x14ac:dyDescent="0.25">
      <c r="B1098" s="983" t="s">
        <v>3735</v>
      </c>
      <c r="C1098" s="966">
        <v>92508</v>
      </c>
    </row>
    <row r="1099" spans="2:3" x14ac:dyDescent="0.25">
      <c r="B1099" s="983" t="s">
        <v>2185</v>
      </c>
      <c r="C1099" s="966">
        <v>94341</v>
      </c>
    </row>
    <row r="1100" spans="2:3" x14ac:dyDescent="0.25">
      <c r="B1100" s="983" t="s">
        <v>2186</v>
      </c>
      <c r="C1100" s="966">
        <v>94641</v>
      </c>
    </row>
    <row r="1101" spans="2:3" x14ac:dyDescent="0.25">
      <c r="B1101" s="983" t="s">
        <v>2187</v>
      </c>
      <c r="C1101" s="966">
        <v>90813</v>
      </c>
    </row>
    <row r="1102" spans="2:3" x14ac:dyDescent="0.25">
      <c r="B1102" s="983" t="s">
        <v>1537</v>
      </c>
      <c r="C1102" s="966">
        <v>94168</v>
      </c>
    </row>
    <row r="1103" spans="2:3" x14ac:dyDescent="0.25">
      <c r="B1103" s="983" t="s">
        <v>2188</v>
      </c>
      <c r="C1103" s="966">
        <v>98911</v>
      </c>
    </row>
    <row r="1104" spans="2:3" x14ac:dyDescent="0.25">
      <c r="B1104" s="983" t="s">
        <v>2189</v>
      </c>
      <c r="C1104" s="966">
        <v>97521</v>
      </c>
    </row>
    <row r="1105" spans="2:3" x14ac:dyDescent="0.25">
      <c r="B1105" s="983" t="s">
        <v>1370</v>
      </c>
      <c r="C1105" s="966">
        <v>92401</v>
      </c>
    </row>
    <row r="1106" spans="2:3" x14ac:dyDescent="0.25">
      <c r="B1106" s="983" t="s">
        <v>2190</v>
      </c>
      <c r="C1106" s="966">
        <v>91311</v>
      </c>
    </row>
    <row r="1107" spans="2:3" x14ac:dyDescent="0.25">
      <c r="B1107" s="983" t="s">
        <v>3736</v>
      </c>
      <c r="C1107" s="966">
        <v>91317</v>
      </c>
    </row>
    <row r="1108" spans="2:3" x14ac:dyDescent="0.25">
      <c r="B1108" s="983" t="s">
        <v>2191</v>
      </c>
      <c r="C1108" s="966">
        <v>91261</v>
      </c>
    </row>
    <row r="1109" spans="2:3" x14ac:dyDescent="0.25">
      <c r="B1109" s="983" t="s">
        <v>2192</v>
      </c>
      <c r="C1109" s="966">
        <v>91851</v>
      </c>
    </row>
    <row r="1110" spans="2:3" x14ac:dyDescent="0.25">
      <c r="B1110" s="983" t="s">
        <v>3737</v>
      </c>
      <c r="C1110" s="966">
        <v>97408</v>
      </c>
    </row>
    <row r="1111" spans="2:3" x14ac:dyDescent="0.25">
      <c r="B1111" s="983" t="s">
        <v>2193</v>
      </c>
      <c r="C1111" s="966">
        <v>96641</v>
      </c>
    </row>
    <row r="1112" spans="2:3" x14ac:dyDescent="0.25">
      <c r="B1112" s="983" t="s">
        <v>2194</v>
      </c>
      <c r="C1112" s="966">
        <v>93031</v>
      </c>
    </row>
    <row r="1113" spans="2:3" x14ac:dyDescent="0.25">
      <c r="B1113" s="983" t="s">
        <v>3738</v>
      </c>
      <c r="C1113" s="966">
        <v>93027</v>
      </c>
    </row>
    <row r="1114" spans="2:3" x14ac:dyDescent="0.25">
      <c r="B1114" s="983" t="s">
        <v>2195</v>
      </c>
      <c r="C1114" s="966">
        <v>96051</v>
      </c>
    </row>
    <row r="1115" spans="2:3" x14ac:dyDescent="0.25">
      <c r="B1115" s="983" t="s">
        <v>3739</v>
      </c>
      <c r="C1115" s="966">
        <v>94501</v>
      </c>
    </row>
    <row r="1116" spans="2:3" x14ac:dyDescent="0.25">
      <c r="B1116" s="983" t="s">
        <v>2196</v>
      </c>
      <c r="C1116" s="966">
        <v>92571</v>
      </c>
    </row>
    <row r="1117" spans="2:3" x14ac:dyDescent="0.25">
      <c r="B1117" s="983" t="s">
        <v>2197</v>
      </c>
      <c r="C1117" s="966">
        <v>93631</v>
      </c>
    </row>
    <row r="1118" spans="2:3" x14ac:dyDescent="0.25">
      <c r="B1118" s="983" t="s">
        <v>3740</v>
      </c>
      <c r="C1118" s="966">
        <v>92504</v>
      </c>
    </row>
    <row r="1119" spans="2:3" x14ac:dyDescent="0.25">
      <c r="B1119" s="983" t="s">
        <v>1381</v>
      </c>
      <c r="C1119" s="966">
        <v>92501</v>
      </c>
    </row>
    <row r="1120" spans="2:3" x14ac:dyDescent="0.25">
      <c r="B1120" s="983" t="s">
        <v>1384</v>
      </c>
      <c r="C1120" s="966">
        <v>92505</v>
      </c>
    </row>
    <row r="1121" spans="2:3" x14ac:dyDescent="0.25">
      <c r="B1121" s="983" t="s">
        <v>2198</v>
      </c>
      <c r="C1121" s="966">
        <v>93921</v>
      </c>
    </row>
    <row r="1122" spans="2:3" x14ac:dyDescent="0.25">
      <c r="B1122" s="983" t="s">
        <v>2199</v>
      </c>
      <c r="C1122" s="966">
        <v>99431</v>
      </c>
    </row>
    <row r="1123" spans="2:3" x14ac:dyDescent="0.25">
      <c r="B1123" s="983" t="s">
        <v>3741</v>
      </c>
      <c r="C1123" s="966">
        <v>92604</v>
      </c>
    </row>
    <row r="1124" spans="2:3" x14ac:dyDescent="0.25">
      <c r="B1124" s="983" t="s">
        <v>1395</v>
      </c>
      <c r="C1124" s="966">
        <v>92601</v>
      </c>
    </row>
    <row r="1125" spans="2:3" x14ac:dyDescent="0.25">
      <c r="B1125" s="983" t="s">
        <v>1398</v>
      </c>
      <c r="C1125" s="966">
        <v>92608</v>
      </c>
    </row>
    <row r="1126" spans="2:3" x14ac:dyDescent="0.25">
      <c r="B1126" s="983" t="s">
        <v>3742</v>
      </c>
      <c r="C1126" s="966">
        <v>92704</v>
      </c>
    </row>
    <row r="1127" spans="2:3" x14ac:dyDescent="0.25">
      <c r="B1127" s="983" t="s">
        <v>1409</v>
      </c>
      <c r="C1127" s="966">
        <v>92701</v>
      </c>
    </row>
    <row r="1128" spans="2:3" x14ac:dyDescent="0.25">
      <c r="B1128" s="983" t="s">
        <v>2200</v>
      </c>
      <c r="C1128" s="966">
        <v>93651</v>
      </c>
    </row>
    <row r="1129" spans="2:3" x14ac:dyDescent="0.25">
      <c r="B1129" s="983" t="s">
        <v>1411</v>
      </c>
      <c r="C1129" s="966">
        <v>92801</v>
      </c>
    </row>
    <row r="1130" spans="2:3" x14ac:dyDescent="0.25">
      <c r="B1130" s="983" t="s">
        <v>3743</v>
      </c>
      <c r="C1130" s="966">
        <v>92804</v>
      </c>
    </row>
    <row r="1131" spans="2:3" x14ac:dyDescent="0.25">
      <c r="B1131" s="983" t="s">
        <v>1412</v>
      </c>
      <c r="C1131" s="966">
        <v>92802</v>
      </c>
    </row>
    <row r="1132" spans="2:3" x14ac:dyDescent="0.25">
      <c r="B1132" s="983" t="s">
        <v>2201</v>
      </c>
      <c r="C1132" s="966">
        <v>96081</v>
      </c>
    </row>
    <row r="1133" spans="2:3" x14ac:dyDescent="0.25">
      <c r="B1133" s="983" t="s">
        <v>1420</v>
      </c>
      <c r="C1133" s="966">
        <v>92901</v>
      </c>
    </row>
    <row r="1134" spans="2:3" x14ac:dyDescent="0.25">
      <c r="B1134" s="983" t="s">
        <v>1427</v>
      </c>
      <c r="C1134" s="966">
        <v>93001</v>
      </c>
    </row>
    <row r="1135" spans="2:3" x14ac:dyDescent="0.25">
      <c r="B1135" s="983" t="s">
        <v>3744</v>
      </c>
      <c r="C1135" s="966">
        <v>93009</v>
      </c>
    </row>
    <row r="1136" spans="2:3" x14ac:dyDescent="0.25">
      <c r="B1136" s="983" t="s">
        <v>2202</v>
      </c>
      <c r="C1136" s="966">
        <v>92921</v>
      </c>
    </row>
    <row r="1137" spans="2:3" x14ac:dyDescent="0.25">
      <c r="B1137" s="983" t="s">
        <v>2203</v>
      </c>
      <c r="C1137" s="966">
        <v>98621</v>
      </c>
    </row>
    <row r="1138" spans="2:3" x14ac:dyDescent="0.25">
      <c r="B1138" s="983" t="s">
        <v>3745</v>
      </c>
      <c r="C1138" s="966">
        <v>98627</v>
      </c>
    </row>
    <row r="1139" spans="2:3" x14ac:dyDescent="0.25">
      <c r="B1139" s="983" t="s">
        <v>2204</v>
      </c>
      <c r="C1139" s="966">
        <v>91221</v>
      </c>
    </row>
    <row r="1140" spans="2:3" x14ac:dyDescent="0.25">
      <c r="B1140" s="983" t="s">
        <v>2205</v>
      </c>
      <c r="C1140" s="966">
        <v>92861</v>
      </c>
    </row>
    <row r="1141" spans="2:3" x14ac:dyDescent="0.25">
      <c r="B1141" s="983" t="s">
        <v>2206</v>
      </c>
      <c r="C1141" s="966">
        <v>94311</v>
      </c>
    </row>
    <row r="1142" spans="2:3" x14ac:dyDescent="0.25">
      <c r="B1142" s="983" t="s">
        <v>3746</v>
      </c>
      <c r="C1142" s="966">
        <v>94317</v>
      </c>
    </row>
    <row r="1143" spans="2:3" x14ac:dyDescent="0.25">
      <c r="B1143" s="983" t="s">
        <v>1552</v>
      </c>
      <c r="C1143" s="966">
        <v>94313</v>
      </c>
    </row>
    <row r="1144" spans="2:3" x14ac:dyDescent="0.25">
      <c r="B1144" s="983" t="s">
        <v>1433</v>
      </c>
      <c r="C1144" s="966">
        <v>93101</v>
      </c>
    </row>
    <row r="1145" spans="2:3" x14ac:dyDescent="0.25">
      <c r="B1145" s="983" t="s">
        <v>2207</v>
      </c>
      <c r="C1145" s="966">
        <v>93103</v>
      </c>
    </row>
    <row r="1146" spans="2:3" x14ac:dyDescent="0.25">
      <c r="B1146" s="983" t="s">
        <v>2208</v>
      </c>
      <c r="C1146" s="966">
        <v>93211</v>
      </c>
    </row>
    <row r="1147" spans="2:3" x14ac:dyDescent="0.25">
      <c r="B1147" s="983" t="s">
        <v>3747</v>
      </c>
      <c r="C1147" s="966">
        <v>93212</v>
      </c>
    </row>
    <row r="1148" spans="2:3" x14ac:dyDescent="0.25">
      <c r="B1148" s="983" t="s">
        <v>1446</v>
      </c>
      <c r="C1148" s="966">
        <v>93201</v>
      </c>
    </row>
    <row r="1149" spans="2:3" x14ac:dyDescent="0.25">
      <c r="B1149" s="983" t="s">
        <v>3748</v>
      </c>
      <c r="C1149" s="966">
        <v>93204</v>
      </c>
    </row>
    <row r="1150" spans="2:3" x14ac:dyDescent="0.25">
      <c r="B1150" s="983" t="s">
        <v>3749</v>
      </c>
      <c r="C1150" s="966">
        <v>99212</v>
      </c>
    </row>
    <row r="1151" spans="2:3" x14ac:dyDescent="0.25">
      <c r="B1151" s="983" t="s">
        <v>1765</v>
      </c>
      <c r="C1151" s="966">
        <v>97005</v>
      </c>
    </row>
    <row r="1152" spans="2:3" x14ac:dyDescent="0.25">
      <c r="B1152" s="983" t="s">
        <v>2209</v>
      </c>
      <c r="C1152" s="966">
        <v>99931</v>
      </c>
    </row>
    <row r="1153" spans="2:3" x14ac:dyDescent="0.25">
      <c r="B1153" s="983" t="s">
        <v>2210</v>
      </c>
      <c r="C1153" s="966">
        <v>98021</v>
      </c>
    </row>
    <row r="1154" spans="2:3" x14ac:dyDescent="0.25">
      <c r="B1154" s="983" t="s">
        <v>1863</v>
      </c>
      <c r="C1154" s="966">
        <v>98023</v>
      </c>
    </row>
    <row r="1155" spans="2:3" x14ac:dyDescent="0.25">
      <c r="B1155" s="983" t="s">
        <v>1160</v>
      </c>
      <c r="C1155" s="966">
        <v>70505</v>
      </c>
    </row>
    <row r="1156" spans="2:3" x14ac:dyDescent="0.25">
      <c r="B1156" s="983" t="s">
        <v>3750</v>
      </c>
      <c r="C1156" s="966">
        <v>99603</v>
      </c>
    </row>
    <row r="1157" spans="2:3" x14ac:dyDescent="0.25">
      <c r="B1157" s="983" t="s">
        <v>3751</v>
      </c>
      <c r="C1157" s="966">
        <v>99610</v>
      </c>
    </row>
    <row r="1158" spans="2:3" x14ac:dyDescent="0.25">
      <c r="B1158" s="983" t="s">
        <v>2211</v>
      </c>
      <c r="C1158" s="966">
        <v>92681</v>
      </c>
    </row>
    <row r="1159" spans="2:3" x14ac:dyDescent="0.25">
      <c r="B1159" s="983" t="s">
        <v>3529</v>
      </c>
      <c r="C1159" s="966">
        <v>93108</v>
      </c>
    </row>
    <row r="1160" spans="2:3" x14ac:dyDescent="0.25">
      <c r="B1160" s="983" t="s">
        <v>2212</v>
      </c>
      <c r="C1160" s="966">
        <v>97951</v>
      </c>
    </row>
    <row r="1161" spans="2:3" x14ac:dyDescent="0.25">
      <c r="B1161" s="983" t="s">
        <v>3752</v>
      </c>
      <c r="C1161" s="966">
        <v>97957</v>
      </c>
    </row>
    <row r="1162" spans="2:3" x14ac:dyDescent="0.25">
      <c r="B1162" s="983" t="s">
        <v>2213</v>
      </c>
      <c r="C1162" s="966">
        <v>92111</v>
      </c>
    </row>
    <row r="1163" spans="2:3" x14ac:dyDescent="0.25">
      <c r="B1163" s="983" t="s">
        <v>1453</v>
      </c>
      <c r="C1163" s="966">
        <v>93301</v>
      </c>
    </row>
    <row r="1164" spans="2:3" x14ac:dyDescent="0.25">
      <c r="B1164" s="983" t="s">
        <v>3753</v>
      </c>
      <c r="C1164" s="966">
        <v>93304</v>
      </c>
    </row>
    <row r="1165" spans="2:3" x14ac:dyDescent="0.25">
      <c r="B1165" s="983" t="s">
        <v>3754</v>
      </c>
      <c r="C1165" s="966">
        <v>93305</v>
      </c>
    </row>
    <row r="1166" spans="2:3" x14ac:dyDescent="0.25">
      <c r="B1166" s="983" t="s">
        <v>3755</v>
      </c>
      <c r="C1166" s="966">
        <v>99210</v>
      </c>
    </row>
    <row r="1167" spans="2:3" x14ac:dyDescent="0.25">
      <c r="B1167" s="983" t="s">
        <v>1768</v>
      </c>
      <c r="C1167" s="966">
        <v>97011</v>
      </c>
    </row>
    <row r="1168" spans="2:3" x14ac:dyDescent="0.25">
      <c r="B1168" s="983" t="s">
        <v>3756</v>
      </c>
      <c r="C1168" s="966">
        <v>97013</v>
      </c>
    </row>
    <row r="1169" spans="2:3" x14ac:dyDescent="0.25">
      <c r="B1169" s="983" t="s">
        <v>3757</v>
      </c>
      <c r="C1169" s="966">
        <v>97012</v>
      </c>
    </row>
    <row r="1170" spans="2:3" x14ac:dyDescent="0.25">
      <c r="B1170" s="983" t="s">
        <v>3758</v>
      </c>
      <c r="C1170" s="966">
        <v>97018</v>
      </c>
    </row>
    <row r="1171" spans="2:3" x14ac:dyDescent="0.25">
      <c r="B1171" s="983" t="s">
        <v>2214</v>
      </c>
      <c r="C1171" s="966">
        <v>90911</v>
      </c>
    </row>
    <row r="1172" spans="2:3" x14ac:dyDescent="0.25">
      <c r="B1172" s="983" t="s">
        <v>3759</v>
      </c>
      <c r="C1172" s="966">
        <v>90917</v>
      </c>
    </row>
    <row r="1173" spans="2:3" x14ac:dyDescent="0.25">
      <c r="B1173" s="983" t="s">
        <v>2215</v>
      </c>
      <c r="C1173" s="966">
        <v>90641</v>
      </c>
    </row>
    <row r="1174" spans="2:3" x14ac:dyDescent="0.25">
      <c r="B1174" s="983" t="s">
        <v>2216</v>
      </c>
      <c r="C1174" s="966">
        <v>98641</v>
      </c>
    </row>
    <row r="1175" spans="2:3" x14ac:dyDescent="0.25">
      <c r="B1175" s="983" t="s">
        <v>2217</v>
      </c>
      <c r="C1175" s="966">
        <v>98161</v>
      </c>
    </row>
    <row r="1176" spans="2:3" x14ac:dyDescent="0.25">
      <c r="B1176" s="983" t="s">
        <v>2218</v>
      </c>
      <c r="C1176" s="966">
        <v>97731</v>
      </c>
    </row>
    <row r="1177" spans="2:3" x14ac:dyDescent="0.25">
      <c r="B1177" s="983" t="s">
        <v>2219</v>
      </c>
      <c r="C1177" s="966">
        <v>99851</v>
      </c>
    </row>
    <row r="1178" spans="2:3" x14ac:dyDescent="0.25">
      <c r="B1178" s="983" t="s">
        <v>3760</v>
      </c>
      <c r="C1178" s="966">
        <v>90131</v>
      </c>
    </row>
    <row r="1179" spans="2:3" x14ac:dyDescent="0.25">
      <c r="B1179" s="983" t="s">
        <v>2220</v>
      </c>
      <c r="C1179" s="966">
        <v>91651</v>
      </c>
    </row>
    <row r="1180" spans="2:3" x14ac:dyDescent="0.25">
      <c r="B1180" s="983" t="s">
        <v>2221</v>
      </c>
      <c r="C1180" s="966">
        <v>94211</v>
      </c>
    </row>
    <row r="1181" spans="2:3" x14ac:dyDescent="0.25">
      <c r="B1181" s="983" t="s">
        <v>2222</v>
      </c>
      <c r="C1181" s="966">
        <v>94331</v>
      </c>
    </row>
    <row r="1182" spans="2:3" x14ac:dyDescent="0.25">
      <c r="B1182" s="983" t="s">
        <v>2223</v>
      </c>
      <c r="C1182" s="966">
        <v>92431</v>
      </c>
    </row>
    <row r="1183" spans="2:3" x14ac:dyDescent="0.25">
      <c r="B1183" s="983" t="s">
        <v>2224</v>
      </c>
      <c r="C1183" s="966">
        <v>97821</v>
      </c>
    </row>
    <row r="1184" spans="2:3" x14ac:dyDescent="0.25">
      <c r="B1184" s="983" t="s">
        <v>1835</v>
      </c>
      <c r="C1184" s="966">
        <v>97823</v>
      </c>
    </row>
    <row r="1185" spans="2:3" x14ac:dyDescent="0.25">
      <c r="B1185" s="983" t="s">
        <v>2225</v>
      </c>
      <c r="C1185" s="966">
        <v>93141</v>
      </c>
    </row>
    <row r="1186" spans="2:3" x14ac:dyDescent="0.25">
      <c r="B1186" s="983" t="s">
        <v>2226</v>
      </c>
      <c r="C1186" s="966">
        <v>98081</v>
      </c>
    </row>
    <row r="1187" spans="2:3" x14ac:dyDescent="0.25">
      <c r="B1187" s="983" t="s">
        <v>2227</v>
      </c>
      <c r="C1187" s="966">
        <v>92671</v>
      </c>
    </row>
    <row r="1188" spans="2:3" x14ac:dyDescent="0.25">
      <c r="B1188" s="983" t="s">
        <v>2228</v>
      </c>
      <c r="C1188" s="966">
        <v>97421</v>
      </c>
    </row>
    <row r="1189" spans="2:3" x14ac:dyDescent="0.25">
      <c r="B1189" s="983" t="s">
        <v>1794</v>
      </c>
      <c r="C1189" s="966">
        <v>97423</v>
      </c>
    </row>
    <row r="1190" spans="2:3" x14ac:dyDescent="0.25">
      <c r="B1190" s="983" t="s">
        <v>2229</v>
      </c>
      <c r="C1190" s="966">
        <v>92611</v>
      </c>
    </row>
    <row r="1191" spans="2:3" x14ac:dyDescent="0.25">
      <c r="B1191" s="983" t="s">
        <v>3761</v>
      </c>
      <c r="C1191" s="966">
        <v>92613</v>
      </c>
    </row>
    <row r="1192" spans="2:3" x14ac:dyDescent="0.25">
      <c r="B1192" s="983" t="s">
        <v>3762</v>
      </c>
      <c r="C1192" s="966">
        <v>92502</v>
      </c>
    </row>
    <row r="1193" spans="2:3" x14ac:dyDescent="0.25">
      <c r="B1193" s="983" t="s">
        <v>2230</v>
      </c>
      <c r="C1193" s="966">
        <v>94531</v>
      </c>
    </row>
    <row r="1194" spans="2:3" x14ac:dyDescent="0.25">
      <c r="B1194" s="983" t="s">
        <v>2231</v>
      </c>
      <c r="C1194" s="966">
        <v>94541</v>
      </c>
    </row>
    <row r="1195" spans="2:3" x14ac:dyDescent="0.25">
      <c r="B1195" s="983" t="s">
        <v>3763</v>
      </c>
      <c r="C1195" s="966">
        <v>94547</v>
      </c>
    </row>
    <row r="1196" spans="2:3" x14ac:dyDescent="0.25">
      <c r="B1196" s="983" t="s">
        <v>1604</v>
      </c>
      <c r="C1196" s="966">
        <v>95005</v>
      </c>
    </row>
    <row r="1197" spans="2:3" x14ac:dyDescent="0.25">
      <c r="B1197" s="983" t="s">
        <v>1876</v>
      </c>
      <c r="C1197" s="966">
        <v>98111</v>
      </c>
    </row>
    <row r="1198" spans="2:3" x14ac:dyDescent="0.25">
      <c r="B1198" s="983" t="s">
        <v>3764</v>
      </c>
      <c r="C1198" s="966">
        <v>98107</v>
      </c>
    </row>
    <row r="1199" spans="2:3" x14ac:dyDescent="0.25">
      <c r="B1199" s="983" t="s">
        <v>1877</v>
      </c>
      <c r="C1199" s="966">
        <v>98113</v>
      </c>
    </row>
    <row r="1200" spans="2:3" x14ac:dyDescent="0.25">
      <c r="B1200" s="983" t="s">
        <v>3765</v>
      </c>
      <c r="C1200" s="966">
        <v>99602</v>
      </c>
    </row>
    <row r="1201" spans="2:3" x14ac:dyDescent="0.25">
      <c r="B1201" s="983" t="s">
        <v>1464</v>
      </c>
      <c r="C1201" s="966">
        <v>93401</v>
      </c>
    </row>
    <row r="1202" spans="2:3" x14ac:dyDescent="0.25">
      <c r="B1202" s="983" t="s">
        <v>3766</v>
      </c>
      <c r="C1202" s="966">
        <v>97491</v>
      </c>
    </row>
    <row r="1203" spans="2:3" x14ac:dyDescent="0.25">
      <c r="B1203" s="983" t="s">
        <v>2232</v>
      </c>
      <c r="C1203" s="966">
        <v>95151</v>
      </c>
    </row>
    <row r="1204" spans="2:3" x14ac:dyDescent="0.25">
      <c r="B1204" s="983" t="s">
        <v>1709</v>
      </c>
      <c r="C1204" s="966">
        <v>96381</v>
      </c>
    </row>
    <row r="1205" spans="2:3" x14ac:dyDescent="0.25">
      <c r="B1205" s="983" t="s">
        <v>2233</v>
      </c>
      <c r="C1205" s="966">
        <v>95611</v>
      </c>
    </row>
    <row r="1206" spans="2:3" x14ac:dyDescent="0.25">
      <c r="B1206" s="983" t="s">
        <v>1476</v>
      </c>
      <c r="C1206" s="966">
        <v>93501</v>
      </c>
    </row>
    <row r="1207" spans="2:3" x14ac:dyDescent="0.25">
      <c r="B1207" s="983" t="s">
        <v>2234</v>
      </c>
      <c r="C1207" s="966">
        <v>93511</v>
      </c>
    </row>
    <row r="1208" spans="2:3" x14ac:dyDescent="0.25">
      <c r="B1208" s="983" t="s">
        <v>3767</v>
      </c>
      <c r="C1208" s="966">
        <v>93517</v>
      </c>
    </row>
    <row r="1209" spans="2:3" x14ac:dyDescent="0.25">
      <c r="B1209" s="983" t="s">
        <v>2235</v>
      </c>
      <c r="C1209" s="966">
        <v>99631</v>
      </c>
    </row>
    <row r="1210" spans="2:3" x14ac:dyDescent="0.25">
      <c r="B1210" s="983" t="s">
        <v>2236</v>
      </c>
      <c r="C1210" s="966">
        <v>99261</v>
      </c>
    </row>
    <row r="1211" spans="2:3" x14ac:dyDescent="0.25">
      <c r="B1211" s="983" t="s">
        <v>2237</v>
      </c>
      <c r="C1211" s="966">
        <v>98241</v>
      </c>
    </row>
    <row r="1212" spans="2:3" x14ac:dyDescent="0.25">
      <c r="B1212" s="983" t="s">
        <v>2238</v>
      </c>
      <c r="C1212" s="966">
        <v>99251</v>
      </c>
    </row>
    <row r="1213" spans="2:3" x14ac:dyDescent="0.25">
      <c r="B1213" s="983" t="s">
        <v>3768</v>
      </c>
      <c r="C1213" s="966">
        <v>99252</v>
      </c>
    </row>
    <row r="1214" spans="2:3" x14ac:dyDescent="0.25">
      <c r="B1214" s="983" t="s">
        <v>2239</v>
      </c>
      <c r="C1214" s="966">
        <v>96631</v>
      </c>
    </row>
    <row r="1215" spans="2:3" x14ac:dyDescent="0.25">
      <c r="B1215" s="983" t="s">
        <v>2240</v>
      </c>
      <c r="C1215" s="966">
        <v>96651</v>
      </c>
    </row>
    <row r="1216" spans="2:3" x14ac:dyDescent="0.25">
      <c r="B1216" s="983" t="s">
        <v>1484</v>
      </c>
      <c r="C1216" s="966">
        <v>93601</v>
      </c>
    </row>
    <row r="1217" spans="2:3" x14ac:dyDescent="0.25">
      <c r="B1217" s="983" t="s">
        <v>3769</v>
      </c>
      <c r="C1217" s="966">
        <v>93618</v>
      </c>
    </row>
    <row r="1218" spans="2:3" x14ac:dyDescent="0.25">
      <c r="B1218" s="983" t="s">
        <v>2241</v>
      </c>
      <c r="C1218" s="966">
        <v>93611</v>
      </c>
    </row>
    <row r="1219" spans="2:3" x14ac:dyDescent="0.25">
      <c r="B1219" s="983" t="s">
        <v>3770</v>
      </c>
      <c r="C1219" s="966">
        <v>93617</v>
      </c>
    </row>
    <row r="1220" spans="2:3" x14ac:dyDescent="0.25">
      <c r="B1220" s="983" t="s">
        <v>1501</v>
      </c>
      <c r="C1220" s="966">
        <v>93701</v>
      </c>
    </row>
    <row r="1221" spans="2:3" x14ac:dyDescent="0.25">
      <c r="B1221" s="983" t="s">
        <v>3771</v>
      </c>
      <c r="C1221" s="966">
        <v>93704</v>
      </c>
    </row>
    <row r="1222" spans="2:3" x14ac:dyDescent="0.25">
      <c r="B1222" s="983" t="s">
        <v>2242</v>
      </c>
      <c r="C1222" s="966">
        <v>98331</v>
      </c>
    </row>
    <row r="1223" spans="2:3" x14ac:dyDescent="0.25">
      <c r="B1223" s="983" t="s">
        <v>2243</v>
      </c>
      <c r="C1223" s="966">
        <v>94151</v>
      </c>
    </row>
    <row r="1224" spans="2:3" x14ac:dyDescent="0.25">
      <c r="B1224" s="983" t="s">
        <v>3772</v>
      </c>
      <c r="C1224" s="966">
        <v>94157</v>
      </c>
    </row>
    <row r="1225" spans="2:3" x14ac:dyDescent="0.25">
      <c r="B1225" s="983" t="s">
        <v>2244</v>
      </c>
      <c r="C1225" s="966">
        <v>91241</v>
      </c>
    </row>
    <row r="1226" spans="2:3" x14ac:dyDescent="0.25">
      <c r="B1226" s="983" t="s">
        <v>1638</v>
      </c>
      <c r="C1226" s="966">
        <v>95412</v>
      </c>
    </row>
    <row r="1227" spans="2:3" x14ac:dyDescent="0.25">
      <c r="B1227" s="983" t="s">
        <v>2245</v>
      </c>
      <c r="C1227" s="966">
        <v>99611</v>
      </c>
    </row>
    <row r="1228" spans="2:3" x14ac:dyDescent="0.25">
      <c r="B1228" s="983" t="s">
        <v>1346</v>
      </c>
      <c r="C1228" s="966">
        <v>91908</v>
      </c>
    </row>
    <row r="1229" spans="2:3" x14ac:dyDescent="0.25">
      <c r="B1229" s="983" t="s">
        <v>2246</v>
      </c>
      <c r="C1229" s="966">
        <v>90121</v>
      </c>
    </row>
    <row r="1230" spans="2:3" x14ac:dyDescent="0.25">
      <c r="B1230" s="983" t="s">
        <v>3773</v>
      </c>
      <c r="C1230" s="966">
        <v>93803</v>
      </c>
    </row>
    <row r="1231" spans="2:3" x14ac:dyDescent="0.25">
      <c r="B1231" s="983" t="s">
        <v>1503</v>
      </c>
      <c r="C1231" s="966">
        <v>93801</v>
      </c>
    </row>
    <row r="1232" spans="2:3" x14ac:dyDescent="0.25">
      <c r="B1232" s="983" t="s">
        <v>3774</v>
      </c>
      <c r="C1232" s="966">
        <v>93806</v>
      </c>
    </row>
    <row r="1233" spans="2:3" x14ac:dyDescent="0.25">
      <c r="B1233" s="983" t="s">
        <v>2247</v>
      </c>
      <c r="C1233" s="966">
        <v>91411</v>
      </c>
    </row>
    <row r="1234" spans="2:3" x14ac:dyDescent="0.25">
      <c r="B1234" s="983" t="s">
        <v>3775</v>
      </c>
      <c r="C1234" s="966">
        <v>91417</v>
      </c>
    </row>
    <row r="1235" spans="2:3" x14ac:dyDescent="0.25">
      <c r="B1235" s="983" t="s">
        <v>2248</v>
      </c>
      <c r="C1235" s="966">
        <v>98061</v>
      </c>
    </row>
    <row r="1236" spans="2:3" x14ac:dyDescent="0.25">
      <c r="B1236" s="983" t="s">
        <v>3776</v>
      </c>
      <c r="C1236" s="966">
        <v>93904</v>
      </c>
    </row>
    <row r="1237" spans="2:3" x14ac:dyDescent="0.25">
      <c r="B1237" s="983" t="s">
        <v>1506</v>
      </c>
      <c r="C1237" s="966">
        <v>93901</v>
      </c>
    </row>
    <row r="1238" spans="2:3" x14ac:dyDescent="0.25">
      <c r="B1238" s="983" t="s">
        <v>1508</v>
      </c>
      <c r="C1238" s="966">
        <v>93906</v>
      </c>
    </row>
    <row r="1239" spans="2:3" x14ac:dyDescent="0.25">
      <c r="B1239" s="983" t="s">
        <v>3777</v>
      </c>
      <c r="C1239" s="966">
        <v>93908</v>
      </c>
    </row>
    <row r="1240" spans="2:3" x14ac:dyDescent="0.25">
      <c r="B1240" s="983" t="s">
        <v>3778</v>
      </c>
      <c r="C1240" s="966">
        <v>94908</v>
      </c>
    </row>
    <row r="1241" spans="2:3" x14ac:dyDescent="0.25">
      <c r="B1241" s="983" t="s">
        <v>2249</v>
      </c>
      <c r="C1241" s="966">
        <v>90161</v>
      </c>
    </row>
    <row r="1242" spans="2:3" x14ac:dyDescent="0.25">
      <c r="B1242" s="983" t="s">
        <v>1516</v>
      </c>
      <c r="C1242" s="966">
        <v>94001</v>
      </c>
    </row>
    <row r="1243" spans="2:3" x14ac:dyDescent="0.25">
      <c r="B1243" s="983" t="s">
        <v>3779</v>
      </c>
      <c r="C1243" s="966">
        <v>94004</v>
      </c>
    </row>
    <row r="1244" spans="2:3" x14ac:dyDescent="0.25">
      <c r="B1244" s="983" t="s">
        <v>2250</v>
      </c>
      <c r="C1244" s="966">
        <v>94111</v>
      </c>
    </row>
    <row r="1245" spans="2:3" x14ac:dyDescent="0.25">
      <c r="B1245" s="983" t="s">
        <v>3780</v>
      </c>
      <c r="C1245" s="966">
        <v>94117</v>
      </c>
    </row>
    <row r="1246" spans="2:3" x14ac:dyDescent="0.25">
      <c r="B1246" s="983" t="s">
        <v>2251</v>
      </c>
      <c r="C1246" s="966">
        <v>97411</v>
      </c>
    </row>
    <row r="1247" spans="2:3" x14ac:dyDescent="0.25">
      <c r="B1247" s="983" t="s">
        <v>1792</v>
      </c>
      <c r="C1247" s="966">
        <v>97413</v>
      </c>
    </row>
    <row r="1248" spans="2:3" x14ac:dyDescent="0.25">
      <c r="B1248" s="983" t="s">
        <v>1791</v>
      </c>
      <c r="C1248" s="966">
        <v>97412</v>
      </c>
    </row>
    <row r="1249" spans="2:3" x14ac:dyDescent="0.25">
      <c r="B1249" s="983" t="s">
        <v>2252</v>
      </c>
      <c r="C1249" s="966">
        <v>97431</v>
      </c>
    </row>
    <row r="1250" spans="2:3" x14ac:dyDescent="0.25">
      <c r="B1250" s="983" t="s">
        <v>2253</v>
      </c>
      <c r="C1250" s="966">
        <v>97471</v>
      </c>
    </row>
    <row r="1251" spans="2:3" x14ac:dyDescent="0.25">
      <c r="B1251" s="983" t="s">
        <v>2254</v>
      </c>
      <c r="C1251" s="966">
        <v>92351</v>
      </c>
    </row>
    <row r="1252" spans="2:3" x14ac:dyDescent="0.25">
      <c r="B1252" s="983" t="s">
        <v>2255</v>
      </c>
      <c r="C1252" s="966">
        <v>94101</v>
      </c>
    </row>
    <row r="1253" spans="2:3" x14ac:dyDescent="0.25">
      <c r="B1253" s="983" t="s">
        <v>3781</v>
      </c>
      <c r="C1253" s="966">
        <v>94118</v>
      </c>
    </row>
    <row r="1254" spans="2:3" x14ac:dyDescent="0.25">
      <c r="B1254" s="983" t="s">
        <v>1524</v>
      </c>
      <c r="C1254" s="966">
        <v>94102</v>
      </c>
    </row>
    <row r="1255" spans="2:3" x14ac:dyDescent="0.25">
      <c r="B1255" s="983" t="s">
        <v>1540</v>
      </c>
      <c r="C1255" s="966">
        <v>94201</v>
      </c>
    </row>
    <row r="1256" spans="2:3" x14ac:dyDescent="0.25">
      <c r="B1256" s="983" t="s">
        <v>3782</v>
      </c>
      <c r="C1256" s="966">
        <v>94204</v>
      </c>
    </row>
    <row r="1257" spans="2:3" x14ac:dyDescent="0.25">
      <c r="B1257" s="983" t="s">
        <v>1542</v>
      </c>
      <c r="C1257" s="966">
        <v>94205</v>
      </c>
    </row>
    <row r="1258" spans="2:3" x14ac:dyDescent="0.25">
      <c r="B1258" s="983" t="s">
        <v>2256</v>
      </c>
      <c r="C1258" s="966">
        <v>95831</v>
      </c>
    </row>
    <row r="1259" spans="2:3" x14ac:dyDescent="0.25">
      <c r="B1259" s="983" t="s">
        <v>2257</v>
      </c>
      <c r="C1259" s="966">
        <v>97721</v>
      </c>
    </row>
    <row r="1260" spans="2:3" x14ac:dyDescent="0.25">
      <c r="B1260" s="983" t="s">
        <v>3783</v>
      </c>
      <c r="C1260" s="966">
        <v>97717</v>
      </c>
    </row>
    <row r="1261" spans="2:3" x14ac:dyDescent="0.25">
      <c r="B1261" s="983" t="s">
        <v>1550</v>
      </c>
      <c r="C1261" s="966">
        <v>94301</v>
      </c>
    </row>
    <row r="1262" spans="2:3" x14ac:dyDescent="0.25">
      <c r="B1262" s="983" t="s">
        <v>2258</v>
      </c>
      <c r="C1262" s="966">
        <v>91441</v>
      </c>
    </row>
    <row r="1263" spans="2:3" x14ac:dyDescent="0.25">
      <c r="B1263" s="983" t="s">
        <v>2259</v>
      </c>
      <c r="C1263" s="966">
        <v>92531</v>
      </c>
    </row>
    <row r="1264" spans="2:3" x14ac:dyDescent="0.25">
      <c r="B1264" s="983" t="s">
        <v>2260</v>
      </c>
      <c r="C1264" s="966">
        <v>90141</v>
      </c>
    </row>
    <row r="1265" spans="2:3" x14ac:dyDescent="0.25">
      <c r="B1265" s="983" t="s">
        <v>1559</v>
      </c>
      <c r="C1265" s="966">
        <v>94401</v>
      </c>
    </row>
    <row r="1266" spans="2:3" x14ac:dyDescent="0.25">
      <c r="B1266" s="983" t="s">
        <v>3784</v>
      </c>
      <c r="C1266" s="966">
        <v>94403</v>
      </c>
    </row>
    <row r="1267" spans="2:3" x14ac:dyDescent="0.25">
      <c r="B1267" s="983" t="s">
        <v>1560</v>
      </c>
      <c r="C1267" s="966">
        <v>94402</v>
      </c>
    </row>
    <row r="1268" spans="2:3" x14ac:dyDescent="0.25">
      <c r="B1268" s="983" t="s">
        <v>2261</v>
      </c>
      <c r="C1268" s="966">
        <v>99111</v>
      </c>
    </row>
    <row r="1269" spans="2:3" x14ac:dyDescent="0.25">
      <c r="B1269" s="983" t="s">
        <v>2262</v>
      </c>
      <c r="C1269" s="966">
        <v>94511</v>
      </c>
    </row>
    <row r="1270" spans="2:3" x14ac:dyDescent="0.25">
      <c r="B1270" s="983" t="s">
        <v>3785</v>
      </c>
      <c r="C1270" s="966">
        <v>94517</v>
      </c>
    </row>
    <row r="1271" spans="2:3" x14ac:dyDescent="0.25">
      <c r="B1271" s="983" t="s">
        <v>1571</v>
      </c>
      <c r="C1271" s="966">
        <v>94512</v>
      </c>
    </row>
    <row r="1272" spans="2:3" x14ac:dyDescent="0.25">
      <c r="B1272" s="983" t="s">
        <v>2263</v>
      </c>
      <c r="C1272" s="966">
        <v>97211</v>
      </c>
    </row>
    <row r="1273" spans="2:3" x14ac:dyDescent="0.25">
      <c r="B1273" s="983" t="s">
        <v>3786</v>
      </c>
      <c r="C1273" s="966">
        <v>97217</v>
      </c>
    </row>
    <row r="1274" spans="2:3" x14ac:dyDescent="0.25">
      <c r="B1274" s="983" t="s">
        <v>1580</v>
      </c>
      <c r="C1274" s="966">
        <v>94601</v>
      </c>
    </row>
    <row r="1275" spans="2:3" x14ac:dyDescent="0.25">
      <c r="B1275" s="983" t="s">
        <v>3787</v>
      </c>
      <c r="C1275" s="966">
        <v>94604</v>
      </c>
    </row>
    <row r="1276" spans="2:3" x14ac:dyDescent="0.25">
      <c r="B1276" s="983" t="s">
        <v>1582</v>
      </c>
      <c r="C1276" s="966">
        <v>94606</v>
      </c>
    </row>
    <row r="1277" spans="2:3" x14ac:dyDescent="0.25">
      <c r="B1277" s="983" t="s">
        <v>3788</v>
      </c>
      <c r="C1277" s="966">
        <v>97213</v>
      </c>
    </row>
    <row r="1278" spans="2:3" x14ac:dyDescent="0.25">
      <c r="B1278" s="983" t="s">
        <v>2264</v>
      </c>
      <c r="C1278" s="966">
        <v>91811</v>
      </c>
    </row>
    <row r="1279" spans="2:3" x14ac:dyDescent="0.25">
      <c r="B1279" s="983" t="s">
        <v>3789</v>
      </c>
      <c r="C1279" s="966">
        <v>91812</v>
      </c>
    </row>
    <row r="1280" spans="2:3" x14ac:dyDescent="0.25">
      <c r="B1280" s="983" t="s">
        <v>3790</v>
      </c>
      <c r="C1280" s="966">
        <v>91813</v>
      </c>
    </row>
    <row r="1281" spans="2:3" x14ac:dyDescent="0.25">
      <c r="B1281" s="983" t="s">
        <v>3791</v>
      </c>
      <c r="C1281" s="966">
        <v>90617</v>
      </c>
    </row>
    <row r="1282" spans="2:3" x14ac:dyDescent="0.25">
      <c r="B1282" s="983" t="s">
        <v>3792</v>
      </c>
      <c r="C1282" s="966">
        <v>94127</v>
      </c>
    </row>
    <row r="1283" spans="2:3" x14ac:dyDescent="0.25">
      <c r="B1283" s="983" t="s">
        <v>2265</v>
      </c>
      <c r="C1283" s="966">
        <v>95621</v>
      </c>
    </row>
    <row r="1284" spans="2:3" x14ac:dyDescent="0.25">
      <c r="B1284" s="983" t="s">
        <v>3793</v>
      </c>
      <c r="C1284" s="966">
        <v>95617</v>
      </c>
    </row>
    <row r="1285" spans="2:3" x14ac:dyDescent="0.25">
      <c r="B1285" s="983" t="s">
        <v>3794</v>
      </c>
      <c r="C1285" s="966">
        <v>94121</v>
      </c>
    </row>
    <row r="1286" spans="2:3" x14ac:dyDescent="0.25">
      <c r="B1286" s="983" t="s">
        <v>3795</v>
      </c>
      <c r="C1286" s="966">
        <v>91251</v>
      </c>
    </row>
    <row r="1287" spans="2:3" x14ac:dyDescent="0.25">
      <c r="B1287" s="983" t="s">
        <v>2266</v>
      </c>
      <c r="C1287" s="966">
        <v>96831</v>
      </c>
    </row>
    <row r="1288" spans="2:3" x14ac:dyDescent="0.25">
      <c r="B1288" s="983" t="s">
        <v>2267</v>
      </c>
      <c r="C1288" s="966">
        <v>94251</v>
      </c>
    </row>
    <row r="1289" spans="2:3" x14ac:dyDescent="0.25">
      <c r="B1289" s="983" t="s">
        <v>1587</v>
      </c>
      <c r="C1289" s="966">
        <v>94701</v>
      </c>
    </row>
    <row r="1290" spans="2:3" x14ac:dyDescent="0.25">
      <c r="B1290" s="983" t="s">
        <v>3796</v>
      </c>
      <c r="C1290" s="966">
        <v>94704</v>
      </c>
    </row>
    <row r="1291" spans="2:3" x14ac:dyDescent="0.25">
      <c r="B1291" s="983" t="s">
        <v>2268</v>
      </c>
      <c r="C1291" s="966">
        <v>91014</v>
      </c>
    </row>
    <row r="1292" spans="2:3" x14ac:dyDescent="0.25">
      <c r="B1292" s="983" t="s">
        <v>2269</v>
      </c>
      <c r="C1292" s="966">
        <v>96731</v>
      </c>
    </row>
    <row r="1293" spans="2:3" x14ac:dyDescent="0.25">
      <c r="B1293" s="983" t="s">
        <v>1749</v>
      </c>
      <c r="C1293" s="966">
        <v>96733</v>
      </c>
    </row>
    <row r="1294" spans="2:3" x14ac:dyDescent="0.25">
      <c r="B1294" s="983" t="s">
        <v>2270</v>
      </c>
      <c r="C1294" s="966">
        <v>99202</v>
      </c>
    </row>
    <row r="1295" spans="2:3" x14ac:dyDescent="0.25">
      <c r="B1295" s="983" t="s">
        <v>2271</v>
      </c>
      <c r="C1295" s="966">
        <v>94011</v>
      </c>
    </row>
    <row r="1296" spans="2:3" x14ac:dyDescent="0.25">
      <c r="B1296" s="983" t="s">
        <v>2272</v>
      </c>
      <c r="C1296" s="966">
        <v>92631</v>
      </c>
    </row>
    <row r="1297" spans="2:3" x14ac:dyDescent="0.25">
      <c r="B1297" s="983" t="s">
        <v>1655</v>
      </c>
      <c r="C1297" s="966">
        <v>95733</v>
      </c>
    </row>
    <row r="1298" spans="2:3" x14ac:dyDescent="0.25">
      <c r="B1298" s="983" t="s">
        <v>3797</v>
      </c>
      <c r="C1298" s="966">
        <v>95413</v>
      </c>
    </row>
    <row r="1299" spans="2:3" x14ac:dyDescent="0.25">
      <c r="B1299" s="983" t="s">
        <v>3798</v>
      </c>
      <c r="C1299" s="966">
        <v>98013</v>
      </c>
    </row>
    <row r="1300" spans="2:3" x14ac:dyDescent="0.25">
      <c r="B1300" s="983" t="s">
        <v>3799</v>
      </c>
      <c r="C1300" s="966">
        <v>99613</v>
      </c>
    </row>
    <row r="1301" spans="2:3" x14ac:dyDescent="0.25">
      <c r="B1301" s="983" t="s">
        <v>2273</v>
      </c>
      <c r="C1301" s="966">
        <v>91431</v>
      </c>
    </row>
    <row r="1302" spans="2:3" x14ac:dyDescent="0.25">
      <c r="B1302" s="983" t="s">
        <v>2274</v>
      </c>
      <c r="C1302" s="966">
        <v>96041</v>
      </c>
    </row>
    <row r="1303" spans="2:3" x14ac:dyDescent="0.25">
      <c r="B1303" s="983" t="s">
        <v>1590</v>
      </c>
      <c r="C1303" s="966">
        <v>94801</v>
      </c>
    </row>
    <row r="1304" spans="2:3" x14ac:dyDescent="0.25">
      <c r="B1304" s="983" t="s">
        <v>3800</v>
      </c>
      <c r="C1304" s="966">
        <v>94804</v>
      </c>
    </row>
    <row r="1305" spans="2:3" x14ac:dyDescent="0.25">
      <c r="B1305" s="983" t="s">
        <v>2275</v>
      </c>
      <c r="C1305" s="966">
        <v>91661</v>
      </c>
    </row>
    <row r="1306" spans="2:3" x14ac:dyDescent="0.25">
      <c r="B1306" s="983" t="s">
        <v>2276</v>
      </c>
      <c r="C1306" s="966">
        <v>99051</v>
      </c>
    </row>
    <row r="1307" spans="2:3" x14ac:dyDescent="0.25">
      <c r="B1307" s="983" t="s">
        <v>3532</v>
      </c>
      <c r="C1307" s="966">
        <v>99014</v>
      </c>
    </row>
    <row r="1308" spans="2:3" x14ac:dyDescent="0.25">
      <c r="B1308" s="983" t="s">
        <v>1593</v>
      </c>
      <c r="C1308" s="966">
        <v>94901</v>
      </c>
    </row>
    <row r="1309" spans="2:3" x14ac:dyDescent="0.25">
      <c r="B1309" s="983" t="s">
        <v>3801</v>
      </c>
      <c r="C1309" s="966">
        <v>98109</v>
      </c>
    </row>
    <row r="1310" spans="2:3" x14ac:dyDescent="0.25">
      <c r="B1310" s="983" t="s">
        <v>3802</v>
      </c>
      <c r="C1310" s="966">
        <v>98205</v>
      </c>
    </row>
    <row r="1311" spans="2:3" x14ac:dyDescent="0.25">
      <c r="B1311" s="983" t="s">
        <v>2277</v>
      </c>
      <c r="C1311" s="966">
        <v>96661</v>
      </c>
    </row>
    <row r="1312" spans="2:3" x14ac:dyDescent="0.25">
      <c r="B1312" s="983" t="s">
        <v>1602</v>
      </c>
      <c r="C1312" s="966">
        <v>95001</v>
      </c>
    </row>
    <row r="1313" spans="2:3" x14ac:dyDescent="0.25">
      <c r="B1313" s="983" t="s">
        <v>3533</v>
      </c>
      <c r="C1313" s="966">
        <v>95017</v>
      </c>
    </row>
    <row r="1314" spans="2:3" x14ac:dyDescent="0.25">
      <c r="B1314" s="983" t="s">
        <v>2278</v>
      </c>
      <c r="C1314" s="966">
        <v>96711</v>
      </c>
    </row>
    <row r="1315" spans="2:3" x14ac:dyDescent="0.25">
      <c r="B1315" s="983" t="s">
        <v>2279</v>
      </c>
      <c r="C1315" s="966">
        <v>94131</v>
      </c>
    </row>
    <row r="1316" spans="2:3" x14ac:dyDescent="0.25">
      <c r="B1316" s="983" t="s">
        <v>2280</v>
      </c>
      <c r="C1316" s="966">
        <v>95841</v>
      </c>
    </row>
    <row r="1317" spans="2:3" x14ac:dyDescent="0.25">
      <c r="B1317" s="983" t="s">
        <v>2281</v>
      </c>
      <c r="C1317" s="966">
        <v>90511</v>
      </c>
    </row>
    <row r="1318" spans="2:3" x14ac:dyDescent="0.25">
      <c r="B1318" s="983" t="s">
        <v>1608</v>
      </c>
      <c r="C1318" s="966">
        <v>95101</v>
      </c>
    </row>
    <row r="1319" spans="2:3" x14ac:dyDescent="0.25">
      <c r="B1319" s="983" t="s">
        <v>3803</v>
      </c>
      <c r="C1319" s="966">
        <v>95104</v>
      </c>
    </row>
    <row r="1320" spans="2:3" x14ac:dyDescent="0.25">
      <c r="B1320" s="983" t="s">
        <v>3534</v>
      </c>
      <c r="C1320" s="966">
        <v>95110</v>
      </c>
    </row>
    <row r="1321" spans="2:3" x14ac:dyDescent="0.25">
      <c r="B1321" s="983" t="s">
        <v>1625</v>
      </c>
      <c r="C1321" s="966">
        <v>95201</v>
      </c>
    </row>
    <row r="1322" spans="2:3" x14ac:dyDescent="0.25">
      <c r="B1322" s="983" t="s">
        <v>3804</v>
      </c>
      <c r="C1322" s="966">
        <v>95204</v>
      </c>
    </row>
    <row r="1323" spans="2:3" x14ac:dyDescent="0.25">
      <c r="B1323" s="983" t="s">
        <v>2282</v>
      </c>
      <c r="C1323" s="966">
        <v>99921</v>
      </c>
    </row>
    <row r="1324" spans="2:3" x14ac:dyDescent="0.25">
      <c r="B1324" s="983" t="s">
        <v>1561</v>
      </c>
      <c r="C1324" s="966">
        <v>94408</v>
      </c>
    </row>
    <row r="1325" spans="2:3" x14ac:dyDescent="0.25">
      <c r="B1325" s="983" t="s">
        <v>2283</v>
      </c>
      <c r="C1325" s="966">
        <v>91331</v>
      </c>
    </row>
    <row r="1326" spans="2:3" x14ac:dyDescent="0.25">
      <c r="B1326" s="983" t="s">
        <v>2284</v>
      </c>
      <c r="C1326" s="966">
        <v>93121</v>
      </c>
    </row>
    <row r="1327" spans="2:3" x14ac:dyDescent="0.25">
      <c r="B1327" s="983" t="s">
        <v>3805</v>
      </c>
      <c r="C1327" s="966">
        <v>93127</v>
      </c>
    </row>
    <row r="1328" spans="2:3" x14ac:dyDescent="0.25">
      <c r="B1328" s="983" t="s">
        <v>2285</v>
      </c>
      <c r="C1328" s="966">
        <v>95171</v>
      </c>
    </row>
    <row r="1329" spans="2:3" x14ac:dyDescent="0.25">
      <c r="B1329" s="983" t="s">
        <v>2286</v>
      </c>
      <c r="C1329" s="966">
        <v>93421</v>
      </c>
    </row>
    <row r="1330" spans="2:3" x14ac:dyDescent="0.25">
      <c r="B1330" s="983" t="s">
        <v>3806</v>
      </c>
      <c r="C1330" s="966">
        <v>99110</v>
      </c>
    </row>
    <row r="1331" spans="2:3" x14ac:dyDescent="0.25">
      <c r="B1331" s="983" t="s">
        <v>3807</v>
      </c>
      <c r="C1331" s="966">
        <v>99109</v>
      </c>
    </row>
    <row r="1332" spans="2:3" x14ac:dyDescent="0.25">
      <c r="B1332" s="983" t="s">
        <v>2287</v>
      </c>
      <c r="C1332" s="966">
        <v>92821</v>
      </c>
    </row>
    <row r="1333" spans="2:3" x14ac:dyDescent="0.25">
      <c r="B1333" s="983" t="s">
        <v>2288</v>
      </c>
      <c r="C1333" s="966">
        <v>98521</v>
      </c>
    </row>
    <row r="1334" spans="2:3" x14ac:dyDescent="0.25">
      <c r="B1334" s="983" t="s">
        <v>3808</v>
      </c>
      <c r="C1334" s="966">
        <v>92327</v>
      </c>
    </row>
    <row r="1335" spans="2:3" x14ac:dyDescent="0.25">
      <c r="B1335" s="983" t="s">
        <v>3809</v>
      </c>
      <c r="C1335" s="966">
        <v>92321</v>
      </c>
    </row>
    <row r="1336" spans="2:3" x14ac:dyDescent="0.25">
      <c r="B1336" s="983" t="s">
        <v>2289</v>
      </c>
      <c r="C1336" s="966">
        <v>95411</v>
      </c>
    </row>
    <row r="1337" spans="2:3" x14ac:dyDescent="0.25">
      <c r="B1337" s="983" t="s">
        <v>3810</v>
      </c>
      <c r="C1337" s="966">
        <v>95415</v>
      </c>
    </row>
    <row r="1338" spans="2:3" x14ac:dyDescent="0.25">
      <c r="B1338" s="983" t="s">
        <v>2290</v>
      </c>
      <c r="C1338" s="966">
        <v>92851</v>
      </c>
    </row>
    <row r="1339" spans="2:3" x14ac:dyDescent="0.25">
      <c r="B1339" s="983" t="s">
        <v>2291</v>
      </c>
      <c r="C1339" s="966">
        <v>99291</v>
      </c>
    </row>
    <row r="1340" spans="2:3" x14ac:dyDescent="0.25">
      <c r="B1340" s="983" t="s">
        <v>2292</v>
      </c>
      <c r="C1340" s="966">
        <v>96541</v>
      </c>
    </row>
    <row r="1341" spans="2:3" x14ac:dyDescent="0.25">
      <c r="B1341" s="983" t="s">
        <v>2293</v>
      </c>
      <c r="C1341" s="966">
        <v>95431</v>
      </c>
    </row>
    <row r="1342" spans="2:3" x14ac:dyDescent="0.25">
      <c r="B1342" s="983" t="s">
        <v>2294</v>
      </c>
      <c r="C1342" s="966">
        <v>98131</v>
      </c>
    </row>
    <row r="1343" spans="2:3" x14ac:dyDescent="0.25">
      <c r="B1343" s="983" t="s">
        <v>3811</v>
      </c>
      <c r="C1343" s="966">
        <v>92461</v>
      </c>
    </row>
    <row r="1344" spans="2:3" x14ac:dyDescent="0.25">
      <c r="B1344" s="983" t="s">
        <v>3812</v>
      </c>
      <c r="C1344" s="966">
        <v>92427</v>
      </c>
    </row>
    <row r="1345" spans="2:3" x14ac:dyDescent="0.25">
      <c r="B1345" s="983" t="s">
        <v>2295</v>
      </c>
      <c r="C1345" s="966">
        <v>98051</v>
      </c>
    </row>
    <row r="1346" spans="2:3" x14ac:dyDescent="0.25">
      <c r="B1346" s="983" t="s">
        <v>1259</v>
      </c>
      <c r="C1346" s="966">
        <v>91102</v>
      </c>
    </row>
    <row r="1347" spans="2:3" x14ac:dyDescent="0.25">
      <c r="B1347" s="983" t="s">
        <v>2296</v>
      </c>
      <c r="C1347" s="966">
        <v>94521</v>
      </c>
    </row>
    <row r="1348" spans="2:3" x14ac:dyDescent="0.25">
      <c r="B1348" s="983" t="s">
        <v>3813</v>
      </c>
      <c r="C1348" s="966">
        <v>94527</v>
      </c>
    </row>
    <row r="1349" spans="2:3" x14ac:dyDescent="0.25">
      <c r="B1349" s="983" t="s">
        <v>2297</v>
      </c>
      <c r="C1349" s="966">
        <v>98311</v>
      </c>
    </row>
    <row r="1350" spans="2:3" x14ac:dyDescent="0.25">
      <c r="B1350" s="983" t="s">
        <v>3814</v>
      </c>
      <c r="C1350" s="966">
        <v>98313</v>
      </c>
    </row>
    <row r="1351" spans="2:3" x14ac:dyDescent="0.25">
      <c r="B1351" s="983" t="s">
        <v>1896</v>
      </c>
      <c r="C1351" s="966">
        <v>98308</v>
      </c>
    </row>
    <row r="1352" spans="2:3" x14ac:dyDescent="0.25">
      <c r="B1352" s="983" t="s">
        <v>2298</v>
      </c>
      <c r="C1352" s="966">
        <v>92341</v>
      </c>
    </row>
    <row r="1353" spans="2:3" x14ac:dyDescent="0.25">
      <c r="B1353" s="983" t="s">
        <v>1630</v>
      </c>
      <c r="C1353" s="966">
        <v>95301</v>
      </c>
    </row>
    <row r="1354" spans="2:3" x14ac:dyDescent="0.25">
      <c r="B1354" s="983" t="s">
        <v>2299</v>
      </c>
      <c r="C1354" s="966">
        <v>91002</v>
      </c>
    </row>
    <row r="1355" spans="2:3" x14ac:dyDescent="0.25">
      <c r="B1355" s="983" t="s">
        <v>2300</v>
      </c>
      <c r="C1355" s="966">
        <v>91451</v>
      </c>
    </row>
    <row r="1356" spans="2:3" x14ac:dyDescent="0.25">
      <c r="B1356" s="983" t="s">
        <v>1634</v>
      </c>
      <c r="C1356" s="966">
        <v>95401</v>
      </c>
    </row>
    <row r="1357" spans="2:3" x14ac:dyDescent="0.25">
      <c r="B1357" s="983" t="s">
        <v>3815</v>
      </c>
      <c r="C1357" s="966">
        <v>95404</v>
      </c>
    </row>
    <row r="1358" spans="2:3" x14ac:dyDescent="0.25">
      <c r="B1358" s="983" t="s">
        <v>1305</v>
      </c>
      <c r="C1358" s="966">
        <v>91423</v>
      </c>
    </row>
    <row r="1359" spans="2:3" x14ac:dyDescent="0.25">
      <c r="B1359" s="983" t="s">
        <v>3816</v>
      </c>
      <c r="C1359" s="966">
        <v>91457</v>
      </c>
    </row>
    <row r="1360" spans="2:3" x14ac:dyDescent="0.25">
      <c r="B1360" s="983" t="s">
        <v>3817</v>
      </c>
      <c r="C1360" s="966">
        <v>90861</v>
      </c>
    </row>
    <row r="1361" spans="2:3" x14ac:dyDescent="0.25">
      <c r="B1361" s="983" t="s">
        <v>2301</v>
      </c>
      <c r="C1361" s="966">
        <v>93451</v>
      </c>
    </row>
    <row r="1362" spans="2:3" x14ac:dyDescent="0.25">
      <c r="B1362" s="983" t="s">
        <v>2302</v>
      </c>
      <c r="C1362" s="966">
        <v>92931</v>
      </c>
    </row>
    <row r="1363" spans="2:3" x14ac:dyDescent="0.25">
      <c r="B1363" s="983" t="s">
        <v>3818</v>
      </c>
      <c r="C1363" s="966">
        <v>92917</v>
      </c>
    </row>
    <row r="1364" spans="2:3" x14ac:dyDescent="0.25">
      <c r="B1364" s="983" t="s">
        <v>2303</v>
      </c>
      <c r="C1364" s="966">
        <v>97631</v>
      </c>
    </row>
    <row r="1365" spans="2:3" x14ac:dyDescent="0.25">
      <c r="B1365" s="983" t="s">
        <v>3819</v>
      </c>
      <c r="C1365" s="966">
        <v>97637</v>
      </c>
    </row>
    <row r="1366" spans="2:3" x14ac:dyDescent="0.25">
      <c r="B1366" s="983" t="s">
        <v>2304</v>
      </c>
      <c r="C1366" s="966">
        <v>90421</v>
      </c>
    </row>
    <row r="1367" spans="2:3" x14ac:dyDescent="0.25">
      <c r="B1367" s="983" t="s">
        <v>2305</v>
      </c>
      <c r="C1367" s="966">
        <v>94321</v>
      </c>
    </row>
    <row r="1368" spans="2:3" x14ac:dyDescent="0.25">
      <c r="B1368" s="983" t="s">
        <v>1643</v>
      </c>
      <c r="C1368" s="966">
        <v>95501</v>
      </c>
    </row>
    <row r="1369" spans="2:3" x14ac:dyDescent="0.25">
      <c r="B1369" s="983" t="s">
        <v>3820</v>
      </c>
      <c r="C1369" s="966">
        <v>95504</v>
      </c>
    </row>
    <row r="1370" spans="2:3" x14ac:dyDescent="0.25">
      <c r="B1370" s="983" t="s">
        <v>2306</v>
      </c>
      <c r="C1370" s="966">
        <v>95511</v>
      </c>
    </row>
    <row r="1371" spans="2:3" x14ac:dyDescent="0.25">
      <c r="B1371" s="983" t="s">
        <v>3821</v>
      </c>
      <c r="C1371" s="966">
        <v>95517</v>
      </c>
    </row>
    <row r="1372" spans="2:3" x14ac:dyDescent="0.25">
      <c r="B1372" s="983" t="s">
        <v>1646</v>
      </c>
      <c r="C1372" s="966">
        <v>95513</v>
      </c>
    </row>
    <row r="1373" spans="2:3" x14ac:dyDescent="0.25">
      <c r="B1373" s="983" t="s">
        <v>2307</v>
      </c>
      <c r="C1373" s="966">
        <v>92651</v>
      </c>
    </row>
    <row r="1374" spans="2:3" x14ac:dyDescent="0.25">
      <c r="B1374" s="983" t="s">
        <v>2308</v>
      </c>
      <c r="C1374" s="966">
        <v>94261</v>
      </c>
    </row>
    <row r="1375" spans="2:3" x14ac:dyDescent="0.25">
      <c r="B1375" s="983" t="s">
        <v>2309</v>
      </c>
      <c r="C1375" s="966">
        <v>98431</v>
      </c>
    </row>
    <row r="1376" spans="2:3" x14ac:dyDescent="0.25">
      <c r="B1376" s="983" t="s">
        <v>3822</v>
      </c>
      <c r="C1376" s="966">
        <v>98404</v>
      </c>
    </row>
    <row r="1377" spans="2:3" x14ac:dyDescent="0.25">
      <c r="B1377" s="983" t="s">
        <v>3823</v>
      </c>
      <c r="C1377" s="966">
        <v>91841</v>
      </c>
    </row>
    <row r="1378" spans="2:3" x14ac:dyDescent="0.25">
      <c r="B1378" s="983" t="s">
        <v>2310</v>
      </c>
      <c r="C1378" s="966">
        <v>93521</v>
      </c>
    </row>
    <row r="1379" spans="2:3" x14ac:dyDescent="0.25">
      <c r="B1379" s="983" t="s">
        <v>3824</v>
      </c>
      <c r="C1379" s="966">
        <v>93527</v>
      </c>
    </row>
    <row r="1380" spans="2:3" x14ac:dyDescent="0.25">
      <c r="B1380" s="983" t="s">
        <v>2311</v>
      </c>
      <c r="C1380" s="966">
        <v>93661</v>
      </c>
    </row>
    <row r="1381" spans="2:3" x14ac:dyDescent="0.25">
      <c r="B1381" s="983" t="s">
        <v>1725</v>
      </c>
      <c r="C1381" s="966">
        <v>96508</v>
      </c>
    </row>
    <row r="1382" spans="2:3" x14ac:dyDescent="0.25">
      <c r="B1382" s="983" t="s">
        <v>2312</v>
      </c>
      <c r="C1382" s="966">
        <v>99841</v>
      </c>
    </row>
    <row r="1383" spans="2:3" x14ac:dyDescent="0.25">
      <c r="B1383" s="983" t="s">
        <v>1828</v>
      </c>
      <c r="C1383" s="966">
        <v>97802</v>
      </c>
    </row>
    <row r="1384" spans="2:3" x14ac:dyDescent="0.25">
      <c r="B1384" s="983" t="s">
        <v>2313</v>
      </c>
      <c r="C1384" s="966">
        <v>97811</v>
      </c>
    </row>
    <row r="1385" spans="2:3" x14ac:dyDescent="0.25">
      <c r="B1385" s="983" t="s">
        <v>3825</v>
      </c>
      <c r="C1385" s="966">
        <v>97817</v>
      </c>
    </row>
    <row r="1386" spans="2:3" x14ac:dyDescent="0.25">
      <c r="B1386" s="983" t="s">
        <v>3826</v>
      </c>
      <c r="C1386" s="966">
        <v>97818</v>
      </c>
    </row>
    <row r="1387" spans="2:3" x14ac:dyDescent="0.25">
      <c r="B1387" s="983" t="s">
        <v>2314</v>
      </c>
      <c r="C1387" s="966">
        <v>93341</v>
      </c>
    </row>
    <row r="1388" spans="2:3" x14ac:dyDescent="0.25">
      <c r="B1388" s="983" t="s">
        <v>1648</v>
      </c>
      <c r="C1388" s="966">
        <v>95601</v>
      </c>
    </row>
    <row r="1389" spans="2:3" x14ac:dyDescent="0.25">
      <c r="B1389" s="983" t="s">
        <v>2315</v>
      </c>
      <c r="C1389" s="966">
        <v>97941</v>
      </c>
    </row>
    <row r="1390" spans="2:3" x14ac:dyDescent="0.25">
      <c r="B1390" s="983" t="s">
        <v>3827</v>
      </c>
      <c r="C1390" s="966">
        <v>97947</v>
      </c>
    </row>
    <row r="1391" spans="2:3" x14ac:dyDescent="0.25">
      <c r="B1391" s="983" t="s">
        <v>1652</v>
      </c>
      <c r="C1391" s="966">
        <v>95701</v>
      </c>
    </row>
    <row r="1392" spans="2:3" x14ac:dyDescent="0.25">
      <c r="B1392" s="983" t="s">
        <v>1853</v>
      </c>
      <c r="C1392" s="966">
        <v>97948</v>
      </c>
    </row>
    <row r="1393" spans="2:3" x14ac:dyDescent="0.25">
      <c r="B1393" s="983" t="s">
        <v>2316</v>
      </c>
      <c r="C1393" s="966">
        <v>94421</v>
      </c>
    </row>
    <row r="1394" spans="2:3" x14ac:dyDescent="0.25">
      <c r="B1394" s="983" t="s">
        <v>3828</v>
      </c>
      <c r="C1394" s="966">
        <v>94427</v>
      </c>
    </row>
    <row r="1395" spans="2:3" x14ac:dyDescent="0.25">
      <c r="B1395" s="983" t="s">
        <v>3829</v>
      </c>
      <c r="C1395" s="966">
        <v>94428</v>
      </c>
    </row>
    <row r="1396" spans="2:3" x14ac:dyDescent="0.25">
      <c r="B1396" s="983" t="s">
        <v>2317</v>
      </c>
      <c r="C1396" s="966">
        <v>93191</v>
      </c>
    </row>
    <row r="1397" spans="2:3" x14ac:dyDescent="0.25">
      <c r="B1397" s="983" t="s">
        <v>2318</v>
      </c>
      <c r="C1397" s="966">
        <v>91831</v>
      </c>
    </row>
    <row r="1398" spans="2:3" x14ac:dyDescent="0.25">
      <c r="B1398" s="983" t="s">
        <v>2319</v>
      </c>
      <c r="C1398" s="966">
        <v>92831</v>
      </c>
    </row>
    <row r="1399" spans="2:3" x14ac:dyDescent="0.25">
      <c r="B1399" s="983" t="s">
        <v>2320</v>
      </c>
      <c r="C1399" s="966">
        <v>95911</v>
      </c>
    </row>
    <row r="1400" spans="2:3" x14ac:dyDescent="0.25">
      <c r="B1400" s="983" t="s">
        <v>3830</v>
      </c>
      <c r="C1400" s="966">
        <v>95917</v>
      </c>
    </row>
    <row r="1401" spans="2:3" x14ac:dyDescent="0.25">
      <c r="B1401" s="983" t="s">
        <v>2321</v>
      </c>
      <c r="C1401" s="966">
        <v>95711</v>
      </c>
    </row>
    <row r="1402" spans="2:3" x14ac:dyDescent="0.25">
      <c r="B1402" s="983" t="s">
        <v>2322</v>
      </c>
      <c r="C1402" s="966">
        <v>95721</v>
      </c>
    </row>
    <row r="1403" spans="2:3" x14ac:dyDescent="0.25">
      <c r="B1403" s="983" t="s">
        <v>2323</v>
      </c>
      <c r="C1403" s="966">
        <v>99021</v>
      </c>
    </row>
    <row r="1404" spans="2:3" x14ac:dyDescent="0.25">
      <c r="B1404" s="983" t="s">
        <v>3831</v>
      </c>
      <c r="C1404" s="966">
        <v>95802</v>
      </c>
    </row>
    <row r="1405" spans="2:3" x14ac:dyDescent="0.25">
      <c r="B1405" s="983" t="s">
        <v>1656</v>
      </c>
      <c r="C1405" s="966">
        <v>95801</v>
      </c>
    </row>
    <row r="1406" spans="2:3" x14ac:dyDescent="0.25">
      <c r="B1406" s="983" t="s">
        <v>3832</v>
      </c>
      <c r="C1406" s="966">
        <v>95804</v>
      </c>
    </row>
    <row r="1407" spans="2:3" x14ac:dyDescent="0.25">
      <c r="B1407" s="983" t="s">
        <v>3833</v>
      </c>
      <c r="C1407" s="966">
        <v>90092</v>
      </c>
    </row>
    <row r="1408" spans="2:3" x14ac:dyDescent="0.25">
      <c r="B1408" s="983" t="s">
        <v>2324</v>
      </c>
      <c r="C1408" s="966">
        <v>99081</v>
      </c>
    </row>
    <row r="1409" spans="2:3" x14ac:dyDescent="0.25">
      <c r="B1409" s="983" t="s">
        <v>2325</v>
      </c>
      <c r="C1409" s="966">
        <v>96071</v>
      </c>
    </row>
    <row r="1410" spans="2:3" x14ac:dyDescent="0.25">
      <c r="B1410" s="983" t="s">
        <v>1517</v>
      </c>
      <c r="C1410" s="966">
        <v>94002</v>
      </c>
    </row>
    <row r="1411" spans="2:3" x14ac:dyDescent="0.25">
      <c r="B1411" s="983" t="s">
        <v>2326</v>
      </c>
      <c r="C1411" s="966">
        <v>97840</v>
      </c>
    </row>
    <row r="1412" spans="2:3" x14ac:dyDescent="0.25">
      <c r="B1412" s="983" t="s">
        <v>3834</v>
      </c>
      <c r="C1412" s="966">
        <v>97847</v>
      </c>
    </row>
    <row r="1413" spans="2:3" x14ac:dyDescent="0.25">
      <c r="B1413" s="983" t="s">
        <v>2327</v>
      </c>
      <c r="C1413" s="966">
        <v>97921</v>
      </c>
    </row>
    <row r="1414" spans="2:3" x14ac:dyDescent="0.25">
      <c r="B1414" s="983" t="s">
        <v>2328</v>
      </c>
      <c r="C1414" s="966">
        <v>95221</v>
      </c>
    </row>
    <row r="1415" spans="2:3" x14ac:dyDescent="0.25">
      <c r="B1415" s="983" t="s">
        <v>2329</v>
      </c>
      <c r="C1415" s="966">
        <v>93610</v>
      </c>
    </row>
    <row r="1416" spans="2:3" x14ac:dyDescent="0.25">
      <c r="B1416" s="983" t="s">
        <v>3835</v>
      </c>
      <c r="C1416" s="966">
        <v>95901</v>
      </c>
    </row>
    <row r="1417" spans="2:3" x14ac:dyDescent="0.25">
      <c r="B1417" s="983" t="s">
        <v>2087</v>
      </c>
      <c r="C1417" s="966">
        <v>90114</v>
      </c>
    </row>
    <row r="1418" spans="2:3" x14ac:dyDescent="0.25">
      <c r="B1418" s="983" t="s">
        <v>1670</v>
      </c>
      <c r="C1418" s="966">
        <v>96001</v>
      </c>
    </row>
    <row r="1419" spans="2:3" x14ac:dyDescent="0.25">
      <c r="B1419" s="983" t="s">
        <v>3836</v>
      </c>
      <c r="C1419" s="966">
        <v>96004</v>
      </c>
    </row>
    <row r="1420" spans="2:3" x14ac:dyDescent="0.25">
      <c r="B1420" s="983" t="s">
        <v>3837</v>
      </c>
      <c r="C1420" s="966">
        <v>96008</v>
      </c>
    </row>
    <row r="1421" spans="2:3" x14ac:dyDescent="0.25">
      <c r="B1421" s="983" t="s">
        <v>1262</v>
      </c>
      <c r="C1421" s="966">
        <v>91108</v>
      </c>
    </row>
    <row r="1422" spans="2:3" x14ac:dyDescent="0.25">
      <c r="B1422" s="983" t="s">
        <v>3838</v>
      </c>
      <c r="C1422" s="966">
        <v>94941</v>
      </c>
    </row>
    <row r="1423" spans="2:3" x14ac:dyDescent="0.25">
      <c r="B1423" s="983" t="s">
        <v>2330</v>
      </c>
      <c r="C1423" s="966">
        <v>95122</v>
      </c>
    </row>
    <row r="1424" spans="2:3" x14ac:dyDescent="0.25">
      <c r="B1424" s="983" t="s">
        <v>3839</v>
      </c>
      <c r="C1424" s="966">
        <v>92607</v>
      </c>
    </row>
    <row r="1425" spans="2:3" x14ac:dyDescent="0.25">
      <c r="B1425" s="983" t="s">
        <v>2331</v>
      </c>
      <c r="C1425" s="966">
        <v>96431</v>
      </c>
    </row>
    <row r="1426" spans="2:3" x14ac:dyDescent="0.25">
      <c r="B1426" s="983" t="s">
        <v>3537</v>
      </c>
      <c r="C1426" s="966">
        <v>90709</v>
      </c>
    </row>
    <row r="1427" spans="2:3" x14ac:dyDescent="0.25">
      <c r="B1427" s="983" t="s">
        <v>2332</v>
      </c>
      <c r="C1427" s="966">
        <v>91341</v>
      </c>
    </row>
    <row r="1428" spans="2:3" x14ac:dyDescent="0.25">
      <c r="B1428" s="983" t="s">
        <v>2333</v>
      </c>
      <c r="C1428" s="966">
        <v>92941</v>
      </c>
    </row>
    <row r="1429" spans="2:3" x14ac:dyDescent="0.25">
      <c r="B1429" s="983" t="s">
        <v>2334</v>
      </c>
      <c r="C1429" s="966">
        <v>94551</v>
      </c>
    </row>
    <row r="1430" spans="2:3" x14ac:dyDescent="0.25">
      <c r="B1430" s="983" t="s">
        <v>2335</v>
      </c>
      <c r="C1430" s="966">
        <v>99022</v>
      </c>
    </row>
    <row r="1431" spans="2:3" x14ac:dyDescent="0.25">
      <c r="B1431" s="983" t="s">
        <v>2336</v>
      </c>
      <c r="C1431" s="966">
        <v>96031</v>
      </c>
    </row>
    <row r="1432" spans="2:3" x14ac:dyDescent="0.25">
      <c r="B1432" s="983" t="s">
        <v>2337</v>
      </c>
      <c r="C1432" s="966">
        <v>98414</v>
      </c>
    </row>
    <row r="1433" spans="2:3" x14ac:dyDescent="0.25">
      <c r="B1433" s="983" t="s">
        <v>1685</v>
      </c>
      <c r="C1433" s="966">
        <v>96101</v>
      </c>
    </row>
    <row r="1434" spans="2:3" x14ac:dyDescent="0.25">
      <c r="B1434" s="983" t="s">
        <v>3840</v>
      </c>
      <c r="C1434" s="966">
        <v>96102</v>
      </c>
    </row>
    <row r="1435" spans="2:3" x14ac:dyDescent="0.25">
      <c r="B1435" s="983" t="s">
        <v>2338</v>
      </c>
      <c r="C1435" s="966">
        <v>93011</v>
      </c>
    </row>
    <row r="1436" spans="2:3" x14ac:dyDescent="0.25">
      <c r="B1436" s="983" t="s">
        <v>2339</v>
      </c>
      <c r="C1436" s="966">
        <v>99011</v>
      </c>
    </row>
    <row r="1437" spans="2:3" x14ac:dyDescent="0.25">
      <c r="B1437" s="983" t="s">
        <v>3841</v>
      </c>
      <c r="C1437" s="966">
        <v>99017</v>
      </c>
    </row>
    <row r="1438" spans="2:3" x14ac:dyDescent="0.25">
      <c r="B1438" s="983" t="s">
        <v>3842</v>
      </c>
      <c r="C1438" s="966">
        <v>99013</v>
      </c>
    </row>
    <row r="1439" spans="2:3" x14ac:dyDescent="0.25">
      <c r="B1439" s="983" t="s">
        <v>1689</v>
      </c>
      <c r="C1439" s="966">
        <v>96201</v>
      </c>
    </row>
    <row r="1440" spans="2:3" x14ac:dyDescent="0.25">
      <c r="B1440" s="983" t="s">
        <v>3843</v>
      </c>
      <c r="C1440" s="966">
        <v>96204</v>
      </c>
    </row>
    <row r="1441" spans="2:3" x14ac:dyDescent="0.25">
      <c r="B1441" s="983" t="s">
        <v>2340</v>
      </c>
      <c r="C1441" s="966">
        <v>91161</v>
      </c>
    </row>
    <row r="1442" spans="2:3" x14ac:dyDescent="0.25">
      <c r="B1442" s="983" t="s">
        <v>1696</v>
      </c>
      <c r="C1442" s="966">
        <v>96301</v>
      </c>
    </row>
    <row r="1443" spans="2:3" x14ac:dyDescent="0.25">
      <c r="B1443" s="983" t="s">
        <v>3844</v>
      </c>
      <c r="C1443" s="966">
        <v>96304</v>
      </c>
    </row>
    <row r="1444" spans="2:3" x14ac:dyDescent="0.25">
      <c r="B1444" s="983" t="s">
        <v>1700</v>
      </c>
      <c r="C1444" s="966">
        <v>96310</v>
      </c>
    </row>
    <row r="1445" spans="2:3" x14ac:dyDescent="0.25">
      <c r="B1445" s="983" t="s">
        <v>3845</v>
      </c>
      <c r="C1445" s="966">
        <v>96305</v>
      </c>
    </row>
    <row r="1446" spans="2:3" x14ac:dyDescent="0.25">
      <c r="B1446" s="983" t="s">
        <v>2341</v>
      </c>
      <c r="C1446" s="966">
        <v>94921</v>
      </c>
    </row>
    <row r="1447" spans="2:3" x14ac:dyDescent="0.25">
      <c r="B1447" s="983" t="s">
        <v>3846</v>
      </c>
      <c r="C1447" s="966">
        <v>94927</v>
      </c>
    </row>
    <row r="1448" spans="2:3" x14ac:dyDescent="0.25">
      <c r="B1448" s="983" t="s">
        <v>1598</v>
      </c>
      <c r="C1448" s="966">
        <v>94923</v>
      </c>
    </row>
    <row r="1449" spans="2:3" x14ac:dyDescent="0.25">
      <c r="B1449" s="983" t="s">
        <v>2342</v>
      </c>
      <c r="C1449" s="966">
        <v>91611</v>
      </c>
    </row>
    <row r="1450" spans="2:3" x14ac:dyDescent="0.25">
      <c r="B1450" s="983" t="s">
        <v>2343</v>
      </c>
      <c r="C1450" s="966">
        <v>91231</v>
      </c>
    </row>
    <row r="1451" spans="2:3" x14ac:dyDescent="0.25">
      <c r="B1451" s="983" t="s">
        <v>3847</v>
      </c>
      <c r="C1451" s="966">
        <v>91217</v>
      </c>
    </row>
    <row r="1452" spans="2:3" x14ac:dyDescent="0.25">
      <c r="B1452" s="983" t="s">
        <v>1287</v>
      </c>
      <c r="C1452" s="966">
        <v>91233</v>
      </c>
    </row>
    <row r="1453" spans="2:3" x14ac:dyDescent="0.25">
      <c r="B1453" s="983" t="s">
        <v>2344</v>
      </c>
      <c r="C1453" s="966">
        <v>99206</v>
      </c>
    </row>
    <row r="1454" spans="2:3" x14ac:dyDescent="0.25">
      <c r="B1454" s="983" t="s">
        <v>2345</v>
      </c>
      <c r="C1454" s="966">
        <v>90461</v>
      </c>
    </row>
    <row r="1455" spans="2:3" x14ac:dyDescent="0.25">
      <c r="B1455" s="983" t="s">
        <v>3848</v>
      </c>
      <c r="C1455" s="966">
        <v>98637</v>
      </c>
    </row>
    <row r="1456" spans="2:3" x14ac:dyDescent="0.25">
      <c r="B1456" s="983" t="s">
        <v>2346</v>
      </c>
      <c r="C1456" s="966">
        <v>96251</v>
      </c>
    </row>
    <row r="1457" spans="2:3" x14ac:dyDescent="0.25">
      <c r="B1457" s="983" t="s">
        <v>2347</v>
      </c>
      <c r="C1457" s="966">
        <v>99621</v>
      </c>
    </row>
    <row r="1458" spans="2:3" x14ac:dyDescent="0.25">
      <c r="B1458" s="983" t="s">
        <v>2348</v>
      </c>
      <c r="C1458" s="966">
        <v>91321</v>
      </c>
    </row>
    <row r="1459" spans="2:3" x14ac:dyDescent="0.25">
      <c r="B1459" s="983" t="s">
        <v>3849</v>
      </c>
      <c r="C1459" s="966">
        <v>98631</v>
      </c>
    </row>
    <row r="1460" spans="2:3" x14ac:dyDescent="0.25">
      <c r="B1460" s="983" t="s">
        <v>3850</v>
      </c>
      <c r="C1460" s="966">
        <v>93691</v>
      </c>
    </row>
    <row r="1461" spans="2:3" x14ac:dyDescent="0.25">
      <c r="B1461" s="983" t="s">
        <v>3851</v>
      </c>
      <c r="C1461" s="966">
        <v>99623</v>
      </c>
    </row>
    <row r="1462" spans="2:3" x14ac:dyDescent="0.25">
      <c r="B1462" s="983" t="s">
        <v>3852</v>
      </c>
      <c r="C1462" s="966">
        <v>91327</v>
      </c>
    </row>
    <row r="1463" spans="2:3" x14ac:dyDescent="0.25">
      <c r="B1463" s="983" t="s">
        <v>2349</v>
      </c>
      <c r="C1463" s="966">
        <v>94621</v>
      </c>
    </row>
    <row r="1464" spans="2:3" x14ac:dyDescent="0.25">
      <c r="B1464" s="983" t="s">
        <v>2350</v>
      </c>
      <c r="C1464" s="966">
        <v>92011</v>
      </c>
    </row>
    <row r="1465" spans="2:3" x14ac:dyDescent="0.25">
      <c r="B1465" s="983" t="s">
        <v>3853</v>
      </c>
      <c r="C1465" s="966">
        <v>92017</v>
      </c>
    </row>
    <row r="1466" spans="2:3" x14ac:dyDescent="0.25">
      <c r="B1466" s="983" t="s">
        <v>3854</v>
      </c>
      <c r="C1466" s="966">
        <v>99991</v>
      </c>
    </row>
    <row r="1467" spans="2:3" x14ac:dyDescent="0.25">
      <c r="B1467" s="983" t="s">
        <v>3855</v>
      </c>
      <c r="C1467" s="966">
        <v>99999</v>
      </c>
    </row>
    <row r="1468" spans="2:3" x14ac:dyDescent="0.25">
      <c r="B1468" s="983" t="s">
        <v>2351</v>
      </c>
      <c r="C1468" s="966">
        <v>92811</v>
      </c>
    </row>
    <row r="1469" spans="2:3" x14ac:dyDescent="0.25">
      <c r="B1469" s="983" t="s">
        <v>1351</v>
      </c>
      <c r="C1469" s="966">
        <v>92005</v>
      </c>
    </row>
    <row r="1470" spans="2:3" x14ac:dyDescent="0.25">
      <c r="B1470" s="983" t="s">
        <v>1711</v>
      </c>
      <c r="C1470" s="966">
        <v>96401</v>
      </c>
    </row>
    <row r="1471" spans="2:3" x14ac:dyDescent="0.25">
      <c r="B1471" s="983" t="s">
        <v>3856</v>
      </c>
      <c r="C1471" s="966">
        <v>96404</v>
      </c>
    </row>
    <row r="1472" spans="2:3" x14ac:dyDescent="0.25">
      <c r="B1472" s="983" t="s">
        <v>2352</v>
      </c>
      <c r="C1472" s="966">
        <v>96421</v>
      </c>
    </row>
    <row r="1473" spans="2:3" x14ac:dyDescent="0.25">
      <c r="B1473" s="983" t="s">
        <v>2353</v>
      </c>
      <c r="C1473" s="966">
        <v>91026</v>
      </c>
    </row>
    <row r="1474" spans="2:3" x14ac:dyDescent="0.25">
      <c r="B1474" s="983" t="s">
        <v>1636</v>
      </c>
      <c r="C1474" s="966">
        <v>95405</v>
      </c>
    </row>
    <row r="1475" spans="2:3" x14ac:dyDescent="0.25">
      <c r="B1475" s="983" t="s">
        <v>3857</v>
      </c>
      <c r="C1475" s="966">
        <v>94005</v>
      </c>
    </row>
    <row r="1476" spans="2:3" x14ac:dyDescent="0.25">
      <c r="B1476" s="983" t="s">
        <v>3858</v>
      </c>
      <c r="C1476" s="966">
        <v>95205</v>
      </c>
    </row>
    <row r="1477" spans="2:3" x14ac:dyDescent="0.25">
      <c r="B1477" s="983" t="s">
        <v>1386</v>
      </c>
      <c r="C1477" s="966">
        <v>92507</v>
      </c>
    </row>
    <row r="1478" spans="2:3" x14ac:dyDescent="0.25">
      <c r="B1478" s="983" t="s">
        <v>3859</v>
      </c>
      <c r="C1478" s="966">
        <v>92113</v>
      </c>
    </row>
    <row r="1479" spans="2:3" x14ac:dyDescent="0.25">
      <c r="B1479" s="983" t="s">
        <v>3860</v>
      </c>
      <c r="C1479" s="966">
        <v>96502</v>
      </c>
    </row>
    <row r="1480" spans="2:3" x14ac:dyDescent="0.25">
      <c r="B1480" s="983" t="s">
        <v>1720</v>
      </c>
      <c r="C1480" s="966">
        <v>96501</v>
      </c>
    </row>
    <row r="1481" spans="2:3" x14ac:dyDescent="0.25">
      <c r="B1481" s="983" t="s">
        <v>3861</v>
      </c>
      <c r="C1481" s="966">
        <v>96504</v>
      </c>
    </row>
    <row r="1482" spans="2:3" x14ac:dyDescent="0.25">
      <c r="B1482" s="983" t="s">
        <v>3862</v>
      </c>
      <c r="C1482" s="966">
        <v>97913</v>
      </c>
    </row>
    <row r="1483" spans="2:3" x14ac:dyDescent="0.25">
      <c r="B1483" s="983" t="s">
        <v>3863</v>
      </c>
      <c r="C1483" s="966">
        <v>92511</v>
      </c>
    </row>
    <row r="1484" spans="2:3" x14ac:dyDescent="0.25">
      <c r="B1484" s="983" t="s">
        <v>2354</v>
      </c>
      <c r="C1484" s="966">
        <v>90621</v>
      </c>
    </row>
    <row r="1485" spans="2:3" x14ac:dyDescent="0.25">
      <c r="B1485" s="983" t="s">
        <v>2355</v>
      </c>
      <c r="C1485" s="966">
        <v>91621</v>
      </c>
    </row>
    <row r="1486" spans="2:3" x14ac:dyDescent="0.25">
      <c r="B1486" s="983" t="s">
        <v>2356</v>
      </c>
      <c r="C1486" s="966">
        <v>91871</v>
      </c>
    </row>
    <row r="1487" spans="2:3" x14ac:dyDescent="0.25">
      <c r="B1487" s="983" t="s">
        <v>2357</v>
      </c>
      <c r="C1487" s="966">
        <v>98231</v>
      </c>
    </row>
    <row r="1488" spans="2:3" x14ac:dyDescent="0.25">
      <c r="B1488" s="983" t="s">
        <v>2358</v>
      </c>
      <c r="C1488" s="966">
        <v>99311</v>
      </c>
    </row>
    <row r="1489" spans="2:3" x14ac:dyDescent="0.25">
      <c r="B1489" s="983" t="s">
        <v>2359</v>
      </c>
      <c r="C1489" s="966">
        <v>96751</v>
      </c>
    </row>
    <row r="1490" spans="2:3" x14ac:dyDescent="0.25">
      <c r="B1490" s="983" t="s">
        <v>2360</v>
      </c>
      <c r="C1490" s="966">
        <v>99711</v>
      </c>
    </row>
    <row r="1491" spans="2:3" x14ac:dyDescent="0.25">
      <c r="B1491" s="983" t="s">
        <v>3864</v>
      </c>
      <c r="C1491" s="966">
        <v>99717</v>
      </c>
    </row>
    <row r="1492" spans="2:3" x14ac:dyDescent="0.25">
      <c r="B1492" s="983" t="s">
        <v>1732</v>
      </c>
      <c r="C1492" s="966">
        <v>96601</v>
      </c>
    </row>
    <row r="1493" spans="2:3" x14ac:dyDescent="0.25">
      <c r="B1493" s="983" t="s">
        <v>3865</v>
      </c>
      <c r="C1493" s="966">
        <v>96604</v>
      </c>
    </row>
    <row r="1494" spans="2:3" x14ac:dyDescent="0.25">
      <c r="B1494" s="983" t="s">
        <v>2361</v>
      </c>
      <c r="C1494" s="966">
        <v>91012</v>
      </c>
    </row>
    <row r="1495" spans="2:3" x14ac:dyDescent="0.25">
      <c r="B1495" s="983" t="s">
        <v>1184</v>
      </c>
      <c r="C1495" s="966">
        <v>90305</v>
      </c>
    </row>
    <row r="1496" spans="2:3" x14ac:dyDescent="0.25">
      <c r="B1496" s="983" t="s">
        <v>2362</v>
      </c>
      <c r="C1496" s="966">
        <v>98421</v>
      </c>
    </row>
    <row r="1497" spans="2:3" x14ac:dyDescent="0.25">
      <c r="B1497" s="983" t="s">
        <v>3866</v>
      </c>
      <c r="C1497" s="966">
        <v>98427</v>
      </c>
    </row>
    <row r="1498" spans="2:3" x14ac:dyDescent="0.25">
      <c r="B1498" s="983" t="s">
        <v>2363</v>
      </c>
      <c r="C1498" s="966">
        <v>95821</v>
      </c>
    </row>
    <row r="1499" spans="2:3" x14ac:dyDescent="0.25">
      <c r="B1499" s="983" t="s">
        <v>2364</v>
      </c>
      <c r="C1499" s="966">
        <v>91021</v>
      </c>
    </row>
    <row r="1500" spans="2:3" x14ac:dyDescent="0.25">
      <c r="B1500" s="983" t="s">
        <v>3867</v>
      </c>
      <c r="C1500" s="966">
        <v>91027</v>
      </c>
    </row>
    <row r="1501" spans="2:3" x14ac:dyDescent="0.25">
      <c r="B1501" s="983" t="s">
        <v>2365</v>
      </c>
      <c r="C1501" s="966">
        <v>94161</v>
      </c>
    </row>
    <row r="1502" spans="2:3" x14ac:dyDescent="0.25">
      <c r="B1502" s="983" t="s">
        <v>2366</v>
      </c>
      <c r="C1502" s="966">
        <v>98441</v>
      </c>
    </row>
    <row r="1503" spans="2:3" x14ac:dyDescent="0.25">
      <c r="B1503" s="983" t="s">
        <v>2367</v>
      </c>
      <c r="C1503" s="966">
        <v>91061</v>
      </c>
    </row>
    <row r="1504" spans="2:3" x14ac:dyDescent="0.25">
      <c r="B1504" s="983" t="s">
        <v>3868</v>
      </c>
      <c r="C1504" s="966">
        <v>91067</v>
      </c>
    </row>
    <row r="1505" spans="2:3" x14ac:dyDescent="0.25">
      <c r="B1505" s="983" t="s">
        <v>3869</v>
      </c>
      <c r="C1505" s="966">
        <v>94812</v>
      </c>
    </row>
    <row r="1506" spans="2:3" x14ac:dyDescent="0.25">
      <c r="B1506" s="983" t="s">
        <v>2368</v>
      </c>
      <c r="C1506" s="966">
        <v>95921</v>
      </c>
    </row>
    <row r="1507" spans="2:3" x14ac:dyDescent="0.25">
      <c r="B1507" s="983" t="s">
        <v>1743</v>
      </c>
      <c r="C1507" s="966">
        <v>96701</v>
      </c>
    </row>
    <row r="1508" spans="2:3" x14ac:dyDescent="0.25">
      <c r="B1508" s="983" t="s">
        <v>3870</v>
      </c>
      <c r="C1508" s="966">
        <v>96704</v>
      </c>
    </row>
    <row r="1509" spans="2:3" x14ac:dyDescent="0.25">
      <c r="B1509" s="983" t="s">
        <v>3871</v>
      </c>
      <c r="C1509" s="966">
        <v>96708</v>
      </c>
    </row>
    <row r="1510" spans="2:3" x14ac:dyDescent="0.25">
      <c r="B1510" s="983" t="s">
        <v>1752</v>
      </c>
      <c r="C1510" s="966">
        <v>96801</v>
      </c>
    </row>
    <row r="1511" spans="2:3" x14ac:dyDescent="0.25">
      <c r="B1511" s="983" t="s">
        <v>3872</v>
      </c>
      <c r="C1511" s="966">
        <v>96804</v>
      </c>
    </row>
    <row r="1512" spans="2:3" x14ac:dyDescent="0.25">
      <c r="B1512" s="983" t="s">
        <v>3873</v>
      </c>
      <c r="C1512" s="966">
        <v>96808</v>
      </c>
    </row>
    <row r="1513" spans="2:3" x14ac:dyDescent="0.25">
      <c r="B1513" s="983" t="s">
        <v>2369</v>
      </c>
      <c r="C1513" s="966">
        <v>96912</v>
      </c>
    </row>
    <row r="1514" spans="2:3" x14ac:dyDescent="0.25">
      <c r="B1514" s="983" t="s">
        <v>2370</v>
      </c>
      <c r="C1514" s="966">
        <v>93911</v>
      </c>
    </row>
    <row r="1515" spans="2:3" x14ac:dyDescent="0.25">
      <c r="B1515" s="983" t="s">
        <v>1512</v>
      </c>
      <c r="C1515" s="966">
        <v>93913</v>
      </c>
    </row>
    <row r="1516" spans="2:3" x14ac:dyDescent="0.25">
      <c r="B1516" s="983" t="s">
        <v>1758</v>
      </c>
      <c r="C1516" s="966">
        <v>96901</v>
      </c>
    </row>
    <row r="1517" spans="2:3" x14ac:dyDescent="0.25">
      <c r="B1517" s="983" t="s">
        <v>3874</v>
      </c>
      <c r="C1517" s="966">
        <v>97841</v>
      </c>
    </row>
    <row r="1518" spans="2:3" x14ac:dyDescent="0.25">
      <c r="B1518" s="983" t="s">
        <v>1447</v>
      </c>
      <c r="C1518" s="966">
        <v>93202</v>
      </c>
    </row>
    <row r="1519" spans="2:3" x14ac:dyDescent="0.25">
      <c r="B1519" s="983" t="s">
        <v>3540</v>
      </c>
      <c r="C1519" s="966">
        <v>93609</v>
      </c>
    </row>
    <row r="1520" spans="2:3" x14ac:dyDescent="0.25">
      <c r="B1520" s="983" t="s">
        <v>3875</v>
      </c>
      <c r="C1520" s="966">
        <v>97004</v>
      </c>
    </row>
    <row r="1521" spans="2:3" x14ac:dyDescent="0.25">
      <c r="B1521" s="983" t="s">
        <v>1762</v>
      </c>
      <c r="C1521" s="966">
        <v>97001</v>
      </c>
    </row>
    <row r="1522" spans="2:3" x14ac:dyDescent="0.25">
      <c r="B1522" s="983" t="s">
        <v>1763</v>
      </c>
      <c r="C1522" s="966">
        <v>97002</v>
      </c>
    </row>
    <row r="1523" spans="2:3" x14ac:dyDescent="0.25">
      <c r="B1523" s="983" t="s">
        <v>1771</v>
      </c>
      <c r="C1523" s="966">
        <v>97015</v>
      </c>
    </row>
    <row r="1524" spans="2:3" x14ac:dyDescent="0.25">
      <c r="B1524" s="983" t="s">
        <v>2371</v>
      </c>
      <c r="C1524" s="966">
        <v>90441</v>
      </c>
    </row>
    <row r="1525" spans="2:3" x14ac:dyDescent="0.25">
      <c r="B1525" s="983" t="s">
        <v>2372</v>
      </c>
      <c r="C1525" s="966">
        <v>97851</v>
      </c>
    </row>
    <row r="1526" spans="2:3" x14ac:dyDescent="0.25">
      <c r="B1526" s="983" t="s">
        <v>1841</v>
      </c>
      <c r="C1526" s="966">
        <v>97853</v>
      </c>
    </row>
    <row r="1527" spans="2:3" x14ac:dyDescent="0.25">
      <c r="B1527" s="983" t="s">
        <v>1773</v>
      </c>
      <c r="C1527" s="966">
        <v>97101</v>
      </c>
    </row>
    <row r="1528" spans="2:3" x14ac:dyDescent="0.25">
      <c r="B1528" s="983" t="s">
        <v>3876</v>
      </c>
      <c r="C1528" s="966">
        <v>97104</v>
      </c>
    </row>
    <row r="1529" spans="2:3" x14ac:dyDescent="0.25">
      <c r="B1529" s="983" t="s">
        <v>1778</v>
      </c>
      <c r="C1529" s="966">
        <v>97201</v>
      </c>
    </row>
    <row r="1530" spans="2:3" x14ac:dyDescent="0.25">
      <c r="B1530" s="983" t="s">
        <v>3877</v>
      </c>
      <c r="C1530" s="966">
        <v>97304</v>
      </c>
    </row>
    <row r="1531" spans="2:3" x14ac:dyDescent="0.25">
      <c r="B1531" s="983" t="s">
        <v>1783</v>
      </c>
      <c r="C1531" s="966">
        <v>97301</v>
      </c>
    </row>
    <row r="1532" spans="2:3" x14ac:dyDescent="0.25">
      <c r="B1532" s="983" t="s">
        <v>1980</v>
      </c>
      <c r="C1532" s="966">
        <v>99405</v>
      </c>
    </row>
    <row r="1533" spans="2:3" x14ac:dyDescent="0.25">
      <c r="B1533" s="983" t="s">
        <v>1162</v>
      </c>
      <c r="C1533" s="966">
        <v>72265</v>
      </c>
    </row>
    <row r="1534" spans="2:3" x14ac:dyDescent="0.25">
      <c r="B1534" s="983" t="s">
        <v>3878</v>
      </c>
      <c r="C1534" s="966">
        <v>94112</v>
      </c>
    </row>
    <row r="1535" spans="2:3" x14ac:dyDescent="0.25">
      <c r="B1535" s="983" t="s">
        <v>1466</v>
      </c>
      <c r="C1535" s="966">
        <v>93406</v>
      </c>
    </row>
    <row r="1536" spans="2:3" x14ac:dyDescent="0.25">
      <c r="B1536" s="983" t="s">
        <v>2373</v>
      </c>
      <c r="C1536" s="966">
        <v>99651</v>
      </c>
    </row>
    <row r="1537" spans="2:3" x14ac:dyDescent="0.25">
      <c r="B1537" s="983" t="s">
        <v>2374</v>
      </c>
      <c r="C1537" s="966">
        <v>98611</v>
      </c>
    </row>
    <row r="1538" spans="2:3" x14ac:dyDescent="0.25">
      <c r="B1538" s="983" t="s">
        <v>3879</v>
      </c>
      <c r="C1538" s="966">
        <v>98607</v>
      </c>
    </row>
    <row r="1539" spans="2:3" x14ac:dyDescent="0.25">
      <c r="B1539" s="983" t="s">
        <v>2375</v>
      </c>
      <c r="C1539" s="966">
        <v>91641</v>
      </c>
    </row>
    <row r="1540" spans="2:3" x14ac:dyDescent="0.25">
      <c r="B1540" s="983" t="s">
        <v>2376</v>
      </c>
      <c r="C1540" s="966">
        <v>95161</v>
      </c>
    </row>
    <row r="1541" spans="2:3" x14ac:dyDescent="0.25">
      <c r="B1541" s="983" t="s">
        <v>2377</v>
      </c>
      <c r="C1541" s="966">
        <v>96361</v>
      </c>
    </row>
    <row r="1542" spans="2:3" x14ac:dyDescent="0.25">
      <c r="B1542" s="983" t="s">
        <v>3880</v>
      </c>
      <c r="C1542" s="966">
        <v>94108</v>
      </c>
    </row>
    <row r="1543" spans="2:3" x14ac:dyDescent="0.25">
      <c r="B1543" s="983" t="s">
        <v>2378</v>
      </c>
      <c r="C1543" s="966">
        <v>96351</v>
      </c>
    </row>
    <row r="1544" spans="2:3" x14ac:dyDescent="0.25">
      <c r="B1544" s="983" t="s">
        <v>2379</v>
      </c>
      <c r="C1544" s="966">
        <v>93331</v>
      </c>
    </row>
    <row r="1545" spans="2:3" x14ac:dyDescent="0.25">
      <c r="B1545" s="983" t="s">
        <v>2380</v>
      </c>
      <c r="C1545" s="966">
        <v>96021</v>
      </c>
    </row>
    <row r="1546" spans="2:3" x14ac:dyDescent="0.25">
      <c r="B1546" s="983" t="s">
        <v>2381</v>
      </c>
      <c r="C1546" s="966">
        <v>95421</v>
      </c>
    </row>
    <row r="1547" spans="2:3" x14ac:dyDescent="0.25">
      <c r="B1547" s="983" t="s">
        <v>1786</v>
      </c>
      <c r="C1547" s="966">
        <v>97401</v>
      </c>
    </row>
    <row r="1548" spans="2:3" x14ac:dyDescent="0.25">
      <c r="B1548" s="983" t="s">
        <v>3881</v>
      </c>
      <c r="C1548" s="966">
        <v>97404</v>
      </c>
    </row>
    <row r="1549" spans="2:3" x14ac:dyDescent="0.25">
      <c r="B1549" s="983" t="s">
        <v>3882</v>
      </c>
      <c r="C1549" s="966">
        <v>97402</v>
      </c>
    </row>
    <row r="1550" spans="2:3" x14ac:dyDescent="0.25">
      <c r="B1550" s="983" t="s">
        <v>2382</v>
      </c>
      <c r="C1550" s="966">
        <v>91921</v>
      </c>
    </row>
    <row r="1551" spans="2:3" x14ac:dyDescent="0.25">
      <c r="B1551" s="983" t="s">
        <v>3883</v>
      </c>
      <c r="C1551" s="966">
        <v>95908</v>
      </c>
    </row>
    <row r="1552" spans="2:3" x14ac:dyDescent="0.25">
      <c r="B1552" s="983" t="s">
        <v>2383</v>
      </c>
      <c r="C1552" s="966">
        <v>99411</v>
      </c>
    </row>
    <row r="1553" spans="2:3" x14ac:dyDescent="0.25">
      <c r="B1553" s="983" t="s">
        <v>1982</v>
      </c>
      <c r="C1553" s="966">
        <v>99413</v>
      </c>
    </row>
    <row r="1554" spans="2:3" x14ac:dyDescent="0.25">
      <c r="B1554" s="983" t="s">
        <v>1803</v>
      </c>
      <c r="C1554" s="966">
        <v>97501</v>
      </c>
    </row>
    <row r="1555" spans="2:3" x14ac:dyDescent="0.25">
      <c r="B1555" s="983" t="s">
        <v>2384</v>
      </c>
      <c r="C1555" s="966">
        <v>90431</v>
      </c>
    </row>
    <row r="1556" spans="2:3" x14ac:dyDescent="0.25">
      <c r="B1556" s="983" t="s">
        <v>2385</v>
      </c>
      <c r="C1556" s="966">
        <v>95211</v>
      </c>
    </row>
    <row r="1557" spans="2:3" x14ac:dyDescent="0.25">
      <c r="B1557" s="983" t="s">
        <v>2386</v>
      </c>
      <c r="C1557" s="966">
        <v>95181</v>
      </c>
    </row>
    <row r="1558" spans="2:3" x14ac:dyDescent="0.25">
      <c r="B1558" s="983" t="s">
        <v>2387</v>
      </c>
      <c r="C1558" s="966">
        <v>93351</v>
      </c>
    </row>
    <row r="1559" spans="2:3" x14ac:dyDescent="0.25">
      <c r="B1559" s="983" t="s">
        <v>3884</v>
      </c>
      <c r="C1559" s="966">
        <v>95105</v>
      </c>
    </row>
    <row r="1560" spans="2:3" x14ac:dyDescent="0.25">
      <c r="B1560" s="983" t="s">
        <v>3885</v>
      </c>
      <c r="C1560" s="966">
        <v>92614</v>
      </c>
    </row>
    <row r="1561" spans="2:3" x14ac:dyDescent="0.25">
      <c r="B1561" s="983" t="s">
        <v>2388</v>
      </c>
      <c r="C1561" s="966">
        <v>94711</v>
      </c>
    </row>
    <row r="1562" spans="2:3" x14ac:dyDescent="0.25">
      <c r="B1562" s="983" t="s">
        <v>2389</v>
      </c>
      <c r="C1562" s="966">
        <v>99211</v>
      </c>
    </row>
    <row r="1563" spans="2:3" x14ac:dyDescent="0.25">
      <c r="B1563" s="983" t="s">
        <v>1963</v>
      </c>
      <c r="C1563" s="966">
        <v>99218</v>
      </c>
    </row>
    <row r="1564" spans="2:3" x14ac:dyDescent="0.25">
      <c r="B1564" s="983" t="s">
        <v>3886</v>
      </c>
      <c r="C1564" s="966">
        <v>99213</v>
      </c>
    </row>
    <row r="1565" spans="2:3" x14ac:dyDescent="0.25">
      <c r="B1565" s="983" t="s">
        <v>2390</v>
      </c>
      <c r="C1565" s="966">
        <v>97641</v>
      </c>
    </row>
    <row r="1566" spans="2:3" x14ac:dyDescent="0.25">
      <c r="B1566" s="983" t="s">
        <v>2391</v>
      </c>
      <c r="C1566" s="966">
        <v>97621</v>
      </c>
    </row>
    <row r="1567" spans="2:3" x14ac:dyDescent="0.25">
      <c r="B1567" s="983" t="s">
        <v>3887</v>
      </c>
      <c r="C1567" s="966">
        <v>97627</v>
      </c>
    </row>
    <row r="1568" spans="2:3" x14ac:dyDescent="0.25">
      <c r="B1568" s="983" t="s">
        <v>3888</v>
      </c>
      <c r="C1568" s="966">
        <v>97623</v>
      </c>
    </row>
    <row r="1569" spans="2:3" x14ac:dyDescent="0.25">
      <c r="B1569" s="983" t="s">
        <v>1807</v>
      </c>
      <c r="C1569" s="966">
        <v>97601</v>
      </c>
    </row>
    <row r="1570" spans="2:3" x14ac:dyDescent="0.25">
      <c r="B1570" s="983" t="s">
        <v>2392</v>
      </c>
      <c r="C1570" s="966">
        <v>93681</v>
      </c>
    </row>
    <row r="1571" spans="2:3" x14ac:dyDescent="0.25">
      <c r="B1571" s="983" t="s">
        <v>2393</v>
      </c>
      <c r="C1571" s="966">
        <v>97871</v>
      </c>
    </row>
    <row r="1572" spans="2:3" x14ac:dyDescent="0.25">
      <c r="B1572" s="983" t="s">
        <v>3889</v>
      </c>
      <c r="C1572" s="966">
        <v>97877</v>
      </c>
    </row>
    <row r="1573" spans="2:3" x14ac:dyDescent="0.25">
      <c r="B1573" s="983" t="s">
        <v>1986</v>
      </c>
      <c r="C1573" s="966">
        <v>99502</v>
      </c>
    </row>
    <row r="1574" spans="2:3" x14ac:dyDescent="0.25">
      <c r="B1574" s="983" t="s">
        <v>2394</v>
      </c>
      <c r="C1574" s="966">
        <v>97911</v>
      </c>
    </row>
    <row r="1575" spans="2:3" x14ac:dyDescent="0.25">
      <c r="B1575" s="983" t="s">
        <v>3890</v>
      </c>
      <c r="C1575" s="966">
        <v>97917</v>
      </c>
    </row>
    <row r="1576" spans="2:3" x14ac:dyDescent="0.25">
      <c r="B1576" s="983" t="s">
        <v>2395</v>
      </c>
      <c r="C1576" s="966">
        <v>96611</v>
      </c>
    </row>
    <row r="1577" spans="2:3" x14ac:dyDescent="0.25">
      <c r="B1577" s="983" t="s">
        <v>2396</v>
      </c>
      <c r="C1577" s="966">
        <v>96741</v>
      </c>
    </row>
    <row r="1578" spans="2:3" x14ac:dyDescent="0.25">
      <c r="B1578" s="983" t="s">
        <v>1819</v>
      </c>
      <c r="C1578" s="966">
        <v>97701</v>
      </c>
    </row>
    <row r="1579" spans="2:3" x14ac:dyDescent="0.25">
      <c r="B1579" s="983" t="s">
        <v>2397</v>
      </c>
      <c r="C1579" s="966">
        <v>92541</v>
      </c>
    </row>
    <row r="1580" spans="2:3" x14ac:dyDescent="0.25">
      <c r="B1580" s="983" t="s">
        <v>1543</v>
      </c>
      <c r="C1580" s="966">
        <v>94209</v>
      </c>
    </row>
    <row r="1581" spans="2:3" x14ac:dyDescent="0.25">
      <c r="B1581" s="983" t="s">
        <v>3891</v>
      </c>
      <c r="C1581" s="966">
        <v>94221</v>
      </c>
    </row>
    <row r="1582" spans="2:3" x14ac:dyDescent="0.25">
      <c r="B1582" s="983" t="s">
        <v>2398</v>
      </c>
      <c r="C1582" s="966">
        <v>96341</v>
      </c>
    </row>
    <row r="1583" spans="2:3" x14ac:dyDescent="0.25">
      <c r="B1583" s="983" t="s">
        <v>2399</v>
      </c>
      <c r="C1583" s="966">
        <v>93821</v>
      </c>
    </row>
    <row r="1584" spans="2:3" x14ac:dyDescent="0.25">
      <c r="B1584" s="983" t="s">
        <v>2400</v>
      </c>
      <c r="C1584" s="966">
        <v>95851</v>
      </c>
    </row>
    <row r="1585" spans="2:3" x14ac:dyDescent="0.25">
      <c r="B1585" s="983" t="s">
        <v>1665</v>
      </c>
      <c r="C1585" s="966">
        <v>95853</v>
      </c>
    </row>
    <row r="1586" spans="2:3" x14ac:dyDescent="0.25">
      <c r="B1586" s="983" t="s">
        <v>1827</v>
      </c>
      <c r="C1586" s="966">
        <v>97801</v>
      </c>
    </row>
    <row r="1587" spans="2:3" x14ac:dyDescent="0.25">
      <c r="B1587" s="983" t="s">
        <v>1829</v>
      </c>
      <c r="C1587" s="966">
        <v>97803</v>
      </c>
    </row>
    <row r="1588" spans="2:3" x14ac:dyDescent="0.25">
      <c r="B1588" s="983" t="s">
        <v>1830</v>
      </c>
      <c r="C1588" s="966">
        <v>97805</v>
      </c>
    </row>
    <row r="1589" spans="2:3" x14ac:dyDescent="0.25">
      <c r="B1589" s="983" t="s">
        <v>2401</v>
      </c>
      <c r="C1589" s="966">
        <v>97711</v>
      </c>
    </row>
    <row r="1590" spans="2:3" x14ac:dyDescent="0.25">
      <c r="B1590" s="983" t="s">
        <v>1845</v>
      </c>
      <c r="C1590" s="966">
        <v>97901</v>
      </c>
    </row>
    <row r="1591" spans="2:3" x14ac:dyDescent="0.25">
      <c r="B1591" s="983" t="s">
        <v>1822</v>
      </c>
      <c r="C1591" s="966">
        <v>97713</v>
      </c>
    </row>
    <row r="1592" spans="2:3" x14ac:dyDescent="0.25">
      <c r="B1592" s="983" t="s">
        <v>3892</v>
      </c>
      <c r="C1592" s="966">
        <v>97727</v>
      </c>
    </row>
    <row r="1593" spans="2:3" x14ac:dyDescent="0.25">
      <c r="B1593" s="983" t="s">
        <v>2402</v>
      </c>
      <c r="C1593" s="966">
        <v>98071</v>
      </c>
    </row>
    <row r="1594" spans="2:3" x14ac:dyDescent="0.25">
      <c r="B1594" s="983" t="s">
        <v>1459</v>
      </c>
      <c r="C1594" s="966">
        <v>93323</v>
      </c>
    </row>
    <row r="1595" spans="2:3" x14ac:dyDescent="0.25">
      <c r="B1595" s="983" t="s">
        <v>3893</v>
      </c>
      <c r="C1595" s="966">
        <v>93333</v>
      </c>
    </row>
    <row r="1596" spans="2:3" x14ac:dyDescent="0.25">
      <c r="B1596" s="983" t="s">
        <v>3894</v>
      </c>
      <c r="C1596" s="966">
        <v>93321</v>
      </c>
    </row>
    <row r="1597" spans="2:3" x14ac:dyDescent="0.25">
      <c r="B1597" s="983" t="s">
        <v>2403</v>
      </c>
      <c r="C1597" s="966">
        <v>99203</v>
      </c>
    </row>
    <row r="1598" spans="2:3" x14ac:dyDescent="0.25">
      <c r="B1598" s="983" t="s">
        <v>2404</v>
      </c>
      <c r="C1598" s="966">
        <v>99421</v>
      </c>
    </row>
    <row r="1599" spans="2:3" x14ac:dyDescent="0.25">
      <c r="B1599" s="983" t="s">
        <v>2405</v>
      </c>
      <c r="C1599" s="966">
        <v>93161</v>
      </c>
    </row>
    <row r="1600" spans="2:3" x14ac:dyDescent="0.25">
      <c r="B1600" s="983" t="s">
        <v>2406</v>
      </c>
      <c r="C1600" s="966">
        <v>98261</v>
      </c>
    </row>
    <row r="1601" spans="2:3" x14ac:dyDescent="0.25">
      <c r="B1601" s="983" t="s">
        <v>3895</v>
      </c>
      <c r="C1601" s="966">
        <v>98237</v>
      </c>
    </row>
    <row r="1602" spans="2:3" x14ac:dyDescent="0.25">
      <c r="B1602" s="983" t="s">
        <v>3896</v>
      </c>
      <c r="C1602" s="966">
        <v>98003</v>
      </c>
    </row>
    <row r="1603" spans="2:3" x14ac:dyDescent="0.25">
      <c r="B1603" s="983" t="s">
        <v>3897</v>
      </c>
      <c r="C1603" s="966">
        <v>98008</v>
      </c>
    </row>
    <row r="1604" spans="2:3" x14ac:dyDescent="0.25">
      <c r="B1604" s="983" t="s">
        <v>3898</v>
      </c>
      <c r="C1604" s="966">
        <v>98002</v>
      </c>
    </row>
    <row r="1605" spans="2:3" x14ac:dyDescent="0.25">
      <c r="B1605" s="983" t="s">
        <v>1856</v>
      </c>
      <c r="C1605" s="966">
        <v>98001</v>
      </c>
    </row>
    <row r="1606" spans="2:3" x14ac:dyDescent="0.25">
      <c r="B1606" s="983" t="s">
        <v>3899</v>
      </c>
      <c r="C1606" s="966">
        <v>98004</v>
      </c>
    </row>
    <row r="1607" spans="2:3" x14ac:dyDescent="0.25">
      <c r="B1607" s="983" t="s">
        <v>2407</v>
      </c>
      <c r="C1607" s="966">
        <v>97861</v>
      </c>
    </row>
    <row r="1608" spans="2:3" x14ac:dyDescent="0.25">
      <c r="B1608" s="983" t="s">
        <v>2408</v>
      </c>
      <c r="C1608" s="966">
        <v>97311</v>
      </c>
    </row>
    <row r="1609" spans="2:3" x14ac:dyDescent="0.25">
      <c r="B1609" s="983" t="s">
        <v>2409</v>
      </c>
      <c r="C1609" s="966">
        <v>93431</v>
      </c>
    </row>
    <row r="1610" spans="2:3" x14ac:dyDescent="0.25">
      <c r="B1610" s="983" t="s">
        <v>2410</v>
      </c>
      <c r="C1610" s="966">
        <v>91214</v>
      </c>
    </row>
    <row r="1611" spans="2:3" x14ac:dyDescent="0.25">
      <c r="B1611" s="983" t="s">
        <v>1871</v>
      </c>
      <c r="C1611" s="966">
        <v>98101</v>
      </c>
    </row>
    <row r="1612" spans="2:3" x14ac:dyDescent="0.25">
      <c r="B1612" s="983" t="s">
        <v>3900</v>
      </c>
      <c r="C1612" s="966">
        <v>98103</v>
      </c>
    </row>
    <row r="1613" spans="2:3" x14ac:dyDescent="0.25">
      <c r="B1613" s="983" t="s">
        <v>2411</v>
      </c>
      <c r="C1613" s="966">
        <v>98141</v>
      </c>
    </row>
    <row r="1614" spans="2:3" x14ac:dyDescent="0.25">
      <c r="B1614" s="983" t="s">
        <v>3901</v>
      </c>
      <c r="C1614" s="966">
        <v>98147</v>
      </c>
    </row>
    <row r="1615" spans="2:3" x14ac:dyDescent="0.25">
      <c r="B1615" s="983" t="s">
        <v>2412</v>
      </c>
      <c r="C1615" s="966">
        <v>98221</v>
      </c>
    </row>
    <row r="1616" spans="2:3" x14ac:dyDescent="0.25">
      <c r="B1616" s="983" t="s">
        <v>2413</v>
      </c>
      <c r="C1616" s="966">
        <v>98011</v>
      </c>
    </row>
    <row r="1617" spans="2:3" x14ac:dyDescent="0.25">
      <c r="B1617" s="983" t="s">
        <v>2414</v>
      </c>
      <c r="C1617" s="966">
        <v>97531</v>
      </c>
    </row>
    <row r="1618" spans="2:3" x14ac:dyDescent="0.25">
      <c r="B1618" s="983" t="s">
        <v>1883</v>
      </c>
      <c r="C1618" s="966">
        <v>98201</v>
      </c>
    </row>
    <row r="1619" spans="2:3" x14ac:dyDescent="0.25">
      <c r="B1619" s="983" t="s">
        <v>1820</v>
      </c>
      <c r="C1619" s="966">
        <v>97705</v>
      </c>
    </row>
    <row r="1620" spans="2:3" x14ac:dyDescent="0.25">
      <c r="B1620" s="983" t="s">
        <v>3542</v>
      </c>
      <c r="C1620" s="966">
        <v>96318</v>
      </c>
    </row>
    <row r="1621" spans="2:3" x14ac:dyDescent="0.25">
      <c r="B1621" s="983" t="s">
        <v>2415</v>
      </c>
      <c r="C1621" s="966">
        <v>95311</v>
      </c>
    </row>
    <row r="1622" spans="2:3" x14ac:dyDescent="0.25">
      <c r="B1622" s="983" t="s">
        <v>3902</v>
      </c>
      <c r="C1622" s="966">
        <v>95317</v>
      </c>
    </row>
    <row r="1623" spans="2:3" x14ac:dyDescent="0.25">
      <c r="B1623" s="983" t="s">
        <v>2416</v>
      </c>
      <c r="C1623" s="966">
        <v>91421</v>
      </c>
    </row>
    <row r="1624" spans="2:3" x14ac:dyDescent="0.25">
      <c r="B1624" s="983" t="s">
        <v>1894</v>
      </c>
      <c r="C1624" s="966">
        <v>98301</v>
      </c>
    </row>
    <row r="1625" spans="2:3" x14ac:dyDescent="0.25">
      <c r="B1625" s="983" t="s">
        <v>3903</v>
      </c>
      <c r="C1625" s="966">
        <v>98304</v>
      </c>
    </row>
    <row r="1626" spans="2:3" x14ac:dyDescent="0.25">
      <c r="B1626" s="983" t="s">
        <v>2417</v>
      </c>
      <c r="C1626" s="966">
        <v>94241</v>
      </c>
    </row>
    <row r="1627" spans="2:3" x14ac:dyDescent="0.25">
      <c r="B1627" s="983" t="s">
        <v>2418</v>
      </c>
      <c r="C1627" s="966">
        <v>96681</v>
      </c>
    </row>
    <row r="1628" spans="2:3" x14ac:dyDescent="0.25">
      <c r="B1628" s="983" t="s">
        <v>3904</v>
      </c>
      <c r="C1628" s="966">
        <v>72593</v>
      </c>
    </row>
    <row r="1629" spans="2:3" x14ac:dyDescent="0.25">
      <c r="B1629" s="983" t="s">
        <v>2419</v>
      </c>
      <c r="C1629" s="966">
        <v>95121</v>
      </c>
    </row>
    <row r="1630" spans="2:3" x14ac:dyDescent="0.25">
      <c r="B1630" s="983" t="s">
        <v>1617</v>
      </c>
      <c r="C1630" s="966">
        <v>95123</v>
      </c>
    </row>
    <row r="1631" spans="2:3" x14ac:dyDescent="0.25">
      <c r="B1631" s="983" t="s">
        <v>2420</v>
      </c>
      <c r="C1631" s="966">
        <v>99531</v>
      </c>
    </row>
    <row r="1632" spans="2:3" x14ac:dyDescent="0.25">
      <c r="B1632" s="983" t="s">
        <v>2421</v>
      </c>
      <c r="C1632" s="966">
        <v>96671</v>
      </c>
    </row>
    <row r="1633" spans="2:3" x14ac:dyDescent="0.25">
      <c r="B1633" s="983" t="s">
        <v>2422</v>
      </c>
      <c r="C1633" s="966">
        <v>91081</v>
      </c>
    </row>
    <row r="1634" spans="2:3" x14ac:dyDescent="0.25">
      <c r="B1634" s="983" t="s">
        <v>3905</v>
      </c>
      <c r="C1634" s="966">
        <v>91057</v>
      </c>
    </row>
    <row r="1635" spans="2:3" x14ac:dyDescent="0.25">
      <c r="B1635" s="983" t="s">
        <v>2423</v>
      </c>
      <c r="C1635" s="966">
        <v>96461</v>
      </c>
    </row>
    <row r="1636" spans="2:3" x14ac:dyDescent="0.25">
      <c r="B1636" s="983" t="s">
        <v>2424</v>
      </c>
      <c r="C1636" s="966">
        <v>92311</v>
      </c>
    </row>
    <row r="1637" spans="2:3" x14ac:dyDescent="0.25">
      <c r="B1637" s="983" t="s">
        <v>3906</v>
      </c>
      <c r="C1637" s="966">
        <v>92317</v>
      </c>
    </row>
    <row r="1638" spans="2:3" x14ac:dyDescent="0.25">
      <c r="B1638" s="983" t="s">
        <v>1789</v>
      </c>
      <c r="C1638" s="966">
        <v>97405</v>
      </c>
    </row>
    <row r="1639" spans="2:3" x14ac:dyDescent="0.25">
      <c r="B1639" s="983" t="s">
        <v>2425</v>
      </c>
      <c r="C1639" s="966">
        <v>91911</v>
      </c>
    </row>
    <row r="1640" spans="2:3" x14ac:dyDescent="0.25">
      <c r="B1640" s="983" t="s">
        <v>3907</v>
      </c>
      <c r="C1640" s="966">
        <v>91917</v>
      </c>
    </row>
    <row r="1641" spans="2:3" x14ac:dyDescent="0.25">
      <c r="B1641" s="983" t="s">
        <v>2426</v>
      </c>
      <c r="C1641" s="966">
        <v>97481</v>
      </c>
    </row>
    <row r="1642" spans="2:3" x14ac:dyDescent="0.25">
      <c r="B1642" s="983" t="s">
        <v>3908</v>
      </c>
      <c r="C1642" s="966">
        <v>91138</v>
      </c>
    </row>
    <row r="1643" spans="2:3" x14ac:dyDescent="0.25">
      <c r="B1643" s="983" t="s">
        <v>2427</v>
      </c>
      <c r="C1643" s="966">
        <v>95111</v>
      </c>
    </row>
    <row r="1644" spans="2:3" x14ac:dyDescent="0.25">
      <c r="B1644" s="983" t="s">
        <v>1614</v>
      </c>
      <c r="C1644" s="966">
        <v>95113</v>
      </c>
    </row>
    <row r="1645" spans="2:3" x14ac:dyDescent="0.25">
      <c r="B1645" s="983" t="s">
        <v>2428</v>
      </c>
      <c r="C1645" s="966">
        <v>94021</v>
      </c>
    </row>
    <row r="1646" spans="2:3" x14ac:dyDescent="0.25">
      <c r="B1646" s="983" t="s">
        <v>3909</v>
      </c>
      <c r="C1646" s="966">
        <v>90918</v>
      </c>
    </row>
    <row r="1647" spans="2:3" x14ac:dyDescent="0.25">
      <c r="B1647" s="983" t="s">
        <v>3910</v>
      </c>
      <c r="C1647" s="966">
        <v>93910</v>
      </c>
    </row>
    <row r="1648" spans="2:3" x14ac:dyDescent="0.25">
      <c r="B1648" s="983" t="s">
        <v>3543</v>
      </c>
      <c r="C1648" s="966">
        <v>91013</v>
      </c>
    </row>
    <row r="1649" spans="2:3" x14ac:dyDescent="0.25">
      <c r="B1649" s="983" t="s">
        <v>2429</v>
      </c>
      <c r="C1649" s="966">
        <v>96311</v>
      </c>
    </row>
    <row r="1650" spans="2:3" x14ac:dyDescent="0.25">
      <c r="B1650" s="983" t="s">
        <v>2430</v>
      </c>
      <c r="C1650" s="966">
        <v>92841</v>
      </c>
    </row>
    <row r="1651" spans="2:3" x14ac:dyDescent="0.25">
      <c r="B1651" s="983" t="s">
        <v>1997</v>
      </c>
      <c r="C1651" s="966">
        <v>99609</v>
      </c>
    </row>
    <row r="1652" spans="2:3" x14ac:dyDescent="0.25">
      <c r="B1652" s="983" t="s">
        <v>2431</v>
      </c>
      <c r="C1652" s="966">
        <v>91011</v>
      </c>
    </row>
    <row r="1653" spans="2:3" x14ac:dyDescent="0.25">
      <c r="B1653" s="983" t="s">
        <v>3911</v>
      </c>
      <c r="C1653" s="966">
        <v>91017</v>
      </c>
    </row>
    <row r="1654" spans="2:3" x14ac:dyDescent="0.25">
      <c r="B1654" s="983" t="s">
        <v>3912</v>
      </c>
      <c r="C1654" s="966">
        <v>95008</v>
      </c>
    </row>
    <row r="1655" spans="2:3" x14ac:dyDescent="0.25">
      <c r="B1655" s="983" t="s">
        <v>2432</v>
      </c>
      <c r="C1655" s="966">
        <v>72657</v>
      </c>
    </row>
    <row r="1656" spans="2:3" x14ac:dyDescent="0.25">
      <c r="B1656" s="983" t="s">
        <v>3913</v>
      </c>
      <c r="C1656" s="966">
        <v>90307</v>
      </c>
    </row>
    <row r="1657" spans="2:3" x14ac:dyDescent="0.25">
      <c r="B1657" s="983" t="s">
        <v>2433</v>
      </c>
      <c r="C1657" s="966">
        <v>98031</v>
      </c>
    </row>
    <row r="1658" spans="2:3" x14ac:dyDescent="0.25">
      <c r="B1658" s="983" t="s">
        <v>2434</v>
      </c>
      <c r="C1658" s="966">
        <v>98121</v>
      </c>
    </row>
    <row r="1659" spans="2:3" x14ac:dyDescent="0.25">
      <c r="B1659" s="983" t="s">
        <v>2435</v>
      </c>
      <c r="C1659" s="966">
        <v>96411</v>
      </c>
    </row>
    <row r="1660" spans="2:3" x14ac:dyDescent="0.25">
      <c r="B1660" s="983" t="s">
        <v>2436</v>
      </c>
      <c r="C1660" s="966">
        <v>92661</v>
      </c>
    </row>
    <row r="1661" spans="2:3" x14ac:dyDescent="0.25">
      <c r="B1661" s="983" t="s">
        <v>2437</v>
      </c>
      <c r="C1661" s="966">
        <v>96111</v>
      </c>
    </row>
    <row r="1662" spans="2:3" x14ac:dyDescent="0.25">
      <c r="B1662" s="983" t="s">
        <v>3914</v>
      </c>
      <c r="C1662" s="966">
        <v>91032</v>
      </c>
    </row>
    <row r="1663" spans="2:3" x14ac:dyDescent="0.25">
      <c r="B1663" s="983" t="s">
        <v>3915</v>
      </c>
      <c r="C1663" s="966">
        <v>97831</v>
      </c>
    </row>
    <row r="1664" spans="2:3" x14ac:dyDescent="0.25">
      <c r="B1664" s="983" t="s">
        <v>3916</v>
      </c>
      <c r="C1664" s="966">
        <v>97837</v>
      </c>
    </row>
    <row r="1665" spans="2:3" x14ac:dyDescent="0.25">
      <c r="B1665" s="983" t="s">
        <v>2438</v>
      </c>
      <c r="C1665" s="966">
        <v>96061</v>
      </c>
    </row>
    <row r="1666" spans="2:3" x14ac:dyDescent="0.25">
      <c r="B1666" s="983" t="s">
        <v>2439</v>
      </c>
      <c r="C1666" s="966">
        <v>98481</v>
      </c>
    </row>
    <row r="1667" spans="2:3" x14ac:dyDescent="0.25">
      <c r="B1667" s="983" t="s">
        <v>2440</v>
      </c>
      <c r="C1667" s="966">
        <v>93602</v>
      </c>
    </row>
    <row r="1668" spans="2:3" x14ac:dyDescent="0.25">
      <c r="B1668" s="983" t="s">
        <v>1901</v>
      </c>
      <c r="C1668" s="966">
        <v>98401</v>
      </c>
    </row>
    <row r="1669" spans="2:3" x14ac:dyDescent="0.25">
      <c r="B1669" s="983" t="s">
        <v>2441</v>
      </c>
      <c r="C1669" s="966">
        <v>99821</v>
      </c>
    </row>
    <row r="1670" spans="2:3" x14ac:dyDescent="0.25">
      <c r="B1670" s="983" t="s">
        <v>2442</v>
      </c>
      <c r="C1670" s="966">
        <v>96211</v>
      </c>
    </row>
    <row r="1671" spans="2:3" x14ac:dyDescent="0.25">
      <c r="B1671" s="983" t="s">
        <v>2443</v>
      </c>
      <c r="C1671" s="966">
        <v>94911</v>
      </c>
    </row>
    <row r="1672" spans="2:3" x14ac:dyDescent="0.25">
      <c r="B1672" s="983" t="s">
        <v>3917</v>
      </c>
      <c r="C1672" s="966">
        <v>94917</v>
      </c>
    </row>
    <row r="1673" spans="2:3" x14ac:dyDescent="0.25">
      <c r="B1673" s="983" t="s">
        <v>2444</v>
      </c>
      <c r="C1673" s="966">
        <v>92621</v>
      </c>
    </row>
    <row r="1674" spans="2:3" x14ac:dyDescent="0.25">
      <c r="B1674" s="983" t="s">
        <v>1910</v>
      </c>
      <c r="C1674" s="966">
        <v>98501</v>
      </c>
    </row>
    <row r="1675" spans="2:3" x14ac:dyDescent="0.25">
      <c r="B1675" s="983" t="s">
        <v>2445</v>
      </c>
      <c r="C1675" s="966">
        <v>97931</v>
      </c>
    </row>
    <row r="1676" spans="2:3" x14ac:dyDescent="0.25">
      <c r="B1676" s="983" t="s">
        <v>2446</v>
      </c>
      <c r="C1676" s="966">
        <v>93914</v>
      </c>
    </row>
    <row r="1677" spans="2:3" x14ac:dyDescent="0.25">
      <c r="B1677" s="983" t="s">
        <v>2447</v>
      </c>
      <c r="C1677" s="966">
        <v>90651</v>
      </c>
    </row>
    <row r="1678" spans="2:3" x14ac:dyDescent="0.25">
      <c r="B1678" s="983" t="s">
        <v>2448</v>
      </c>
      <c r="C1678" s="966">
        <v>94171</v>
      </c>
    </row>
    <row r="1679" spans="2:3" x14ac:dyDescent="0.25">
      <c r="B1679" s="983" t="s">
        <v>1539</v>
      </c>
      <c r="C1679" s="966">
        <v>94172</v>
      </c>
    </row>
    <row r="1680" spans="2:3" x14ac:dyDescent="0.25">
      <c r="B1680" s="983" t="s">
        <v>2449</v>
      </c>
      <c r="C1680" s="966">
        <v>91041</v>
      </c>
    </row>
    <row r="1681" spans="2:3" x14ac:dyDescent="0.25">
      <c r="B1681" s="983" t="s">
        <v>3918</v>
      </c>
      <c r="C1681" s="966">
        <v>91047</v>
      </c>
    </row>
    <row r="1682" spans="2:3" x14ac:dyDescent="0.25">
      <c r="B1682" s="983" t="s">
        <v>1777</v>
      </c>
      <c r="C1682" s="966">
        <v>97131</v>
      </c>
    </row>
    <row r="1683" spans="2:3" x14ac:dyDescent="0.25">
      <c r="B1683" s="983" t="s">
        <v>1914</v>
      </c>
      <c r="C1683" s="966">
        <v>98601</v>
      </c>
    </row>
    <row r="1684" spans="2:3" x14ac:dyDescent="0.25">
      <c r="B1684" s="983" t="s">
        <v>1924</v>
      </c>
      <c r="C1684" s="966">
        <v>98701</v>
      </c>
    </row>
    <row r="1685" spans="2:3" x14ac:dyDescent="0.25">
      <c r="B1685" s="983" t="s">
        <v>2450</v>
      </c>
      <c r="C1685" s="966">
        <v>96721</v>
      </c>
    </row>
    <row r="1686" spans="2:3" x14ac:dyDescent="0.25">
      <c r="B1686" s="983" t="s">
        <v>2451</v>
      </c>
      <c r="C1686" s="966">
        <v>95011</v>
      </c>
    </row>
    <row r="1687" spans="2:3" x14ac:dyDescent="0.25">
      <c r="B1687" s="983" t="s">
        <v>2452</v>
      </c>
      <c r="C1687" s="966">
        <v>92451</v>
      </c>
    </row>
    <row r="1688" spans="2:3" x14ac:dyDescent="0.25">
      <c r="B1688" s="983" t="s">
        <v>2453</v>
      </c>
      <c r="C1688" s="966">
        <v>93311</v>
      </c>
    </row>
    <row r="1689" spans="2:3" x14ac:dyDescent="0.25">
      <c r="B1689" s="983" t="s">
        <v>1457</v>
      </c>
      <c r="C1689" s="966">
        <v>93317</v>
      </c>
    </row>
    <row r="1690" spans="2:3" x14ac:dyDescent="0.25">
      <c r="B1690" s="983" t="s">
        <v>2454</v>
      </c>
      <c r="C1690" s="966">
        <v>90211</v>
      </c>
    </row>
    <row r="1691" spans="2:3" x14ac:dyDescent="0.25">
      <c r="B1691" s="983" t="s">
        <v>2455</v>
      </c>
      <c r="C1691" s="966">
        <v>96302</v>
      </c>
    </row>
    <row r="1692" spans="2:3" x14ac:dyDescent="0.25">
      <c r="B1692" s="983" t="s">
        <v>2456</v>
      </c>
      <c r="C1692" s="966">
        <v>93181</v>
      </c>
    </row>
    <row r="1693" spans="2:3" x14ac:dyDescent="0.25">
      <c r="B1693" s="983" t="s">
        <v>2457</v>
      </c>
      <c r="C1693" s="966">
        <v>92911</v>
      </c>
    </row>
    <row r="1694" spans="2:3" x14ac:dyDescent="0.25">
      <c r="B1694" s="983" t="s">
        <v>3919</v>
      </c>
      <c r="C1694" s="966">
        <v>92914</v>
      </c>
    </row>
    <row r="1695" spans="2:3" x14ac:dyDescent="0.25">
      <c r="B1695" s="983" t="s">
        <v>1422</v>
      </c>
      <c r="C1695" s="966">
        <v>92913</v>
      </c>
    </row>
    <row r="1696" spans="2:3" x14ac:dyDescent="0.25">
      <c r="B1696" s="983" t="s">
        <v>2458</v>
      </c>
      <c r="C1696" s="966">
        <v>93471</v>
      </c>
    </row>
    <row r="1697" spans="2:3" x14ac:dyDescent="0.25">
      <c r="B1697" s="983" t="s">
        <v>3920</v>
      </c>
      <c r="C1697" s="966">
        <v>90098</v>
      </c>
    </row>
    <row r="1698" spans="2:3" x14ac:dyDescent="0.25">
      <c r="B1698" s="983" t="s">
        <v>2459</v>
      </c>
      <c r="C1698" s="966">
        <v>97121</v>
      </c>
    </row>
    <row r="1699" spans="2:3" x14ac:dyDescent="0.25">
      <c r="B1699" s="983" t="s">
        <v>1927</v>
      </c>
      <c r="C1699" s="966">
        <v>98801</v>
      </c>
    </row>
    <row r="1700" spans="2:3" x14ac:dyDescent="0.25">
      <c r="B1700" s="983" t="s">
        <v>2460</v>
      </c>
      <c r="C1700" s="966">
        <v>92521</v>
      </c>
    </row>
    <row r="1701" spans="2:3" x14ac:dyDescent="0.25">
      <c r="B1701" s="983" t="s">
        <v>3544</v>
      </c>
      <c r="C1701" s="966">
        <v>93417</v>
      </c>
    </row>
    <row r="1702" spans="2:3" x14ac:dyDescent="0.25">
      <c r="B1702" s="983" t="s">
        <v>1452</v>
      </c>
      <c r="C1702" s="966">
        <v>93219</v>
      </c>
    </row>
    <row r="1703" spans="2:3" x14ac:dyDescent="0.25">
      <c r="B1703" s="983" t="s">
        <v>3545</v>
      </c>
      <c r="C1703" s="966">
        <v>92513</v>
      </c>
    </row>
    <row r="1704" spans="2:3" x14ac:dyDescent="0.25">
      <c r="B1704" s="983" t="s">
        <v>2461</v>
      </c>
      <c r="C1704" s="966">
        <v>97661</v>
      </c>
    </row>
    <row r="1705" spans="2:3" x14ac:dyDescent="0.25">
      <c r="B1705" s="983" t="s">
        <v>2462</v>
      </c>
      <c r="C1705" s="966">
        <v>94931</v>
      </c>
    </row>
    <row r="1706" spans="2:3" x14ac:dyDescent="0.25">
      <c r="B1706" s="983" t="s">
        <v>2463</v>
      </c>
      <c r="C1706" s="966">
        <v>96221</v>
      </c>
    </row>
    <row r="1707" spans="2:3" x14ac:dyDescent="0.25">
      <c r="B1707" s="983" t="s">
        <v>2464</v>
      </c>
      <c r="C1707" s="966">
        <v>97511</v>
      </c>
    </row>
    <row r="1708" spans="2:3" x14ac:dyDescent="0.25">
      <c r="B1708" s="983" t="s">
        <v>3921</v>
      </c>
      <c r="C1708" s="966">
        <v>95002</v>
      </c>
    </row>
    <row r="1709" spans="2:3" x14ac:dyDescent="0.25">
      <c r="B1709" s="983" t="s">
        <v>2465</v>
      </c>
      <c r="C1709" s="966">
        <v>98251</v>
      </c>
    </row>
    <row r="1710" spans="2:3" x14ac:dyDescent="0.25">
      <c r="B1710" s="983" t="s">
        <v>3922</v>
      </c>
      <c r="C1710" s="966">
        <v>98904</v>
      </c>
    </row>
    <row r="1711" spans="2:3" x14ac:dyDescent="0.25">
      <c r="B1711" s="983" t="s">
        <v>1930</v>
      </c>
      <c r="C1711" s="966">
        <v>98901</v>
      </c>
    </row>
    <row r="1712" spans="2:3" x14ac:dyDescent="0.25">
      <c r="B1712" s="983" t="s">
        <v>1933</v>
      </c>
      <c r="C1712" s="966">
        <v>99001</v>
      </c>
    </row>
    <row r="1713" spans="2:3" x14ac:dyDescent="0.25">
      <c r="B1713" s="983" t="s">
        <v>2466</v>
      </c>
      <c r="C1713" s="966">
        <v>99061</v>
      </c>
    </row>
    <row r="1714" spans="2:3" x14ac:dyDescent="0.25">
      <c r="B1714" s="983" t="s">
        <v>3923</v>
      </c>
      <c r="C1714" s="966">
        <v>93309</v>
      </c>
    </row>
    <row r="1715" spans="2:3" x14ac:dyDescent="0.25">
      <c r="B1715" s="983" t="s">
        <v>2467</v>
      </c>
      <c r="C1715" s="966">
        <v>91211</v>
      </c>
    </row>
    <row r="1716" spans="2:3" x14ac:dyDescent="0.25">
      <c r="B1716" s="983" t="s">
        <v>1282</v>
      </c>
      <c r="C1716" s="966">
        <v>91213</v>
      </c>
    </row>
    <row r="1717" spans="2:3" x14ac:dyDescent="0.25">
      <c r="B1717" s="983" t="s">
        <v>1947</v>
      </c>
      <c r="C1717" s="966">
        <v>99101</v>
      </c>
    </row>
    <row r="1718" spans="2:3" x14ac:dyDescent="0.25">
      <c r="B1718" s="983" t="s">
        <v>3924</v>
      </c>
      <c r="C1718" s="966">
        <v>99104</v>
      </c>
    </row>
    <row r="1719" spans="2:3" x14ac:dyDescent="0.25">
      <c r="B1719" s="983" t="s">
        <v>2468</v>
      </c>
      <c r="C1719" s="966">
        <v>92551</v>
      </c>
    </row>
    <row r="1720" spans="2:3" x14ac:dyDescent="0.25">
      <c r="B1720" s="983" t="s">
        <v>2469</v>
      </c>
      <c r="C1720" s="966">
        <v>96321</v>
      </c>
    </row>
    <row r="1721" spans="2:3" x14ac:dyDescent="0.25">
      <c r="B1721" s="983" t="s">
        <v>3925</v>
      </c>
      <c r="C1721" s="966">
        <v>95009</v>
      </c>
    </row>
    <row r="1722" spans="2:3" x14ac:dyDescent="0.25">
      <c r="B1722" s="983" t="s">
        <v>2470</v>
      </c>
      <c r="C1722" s="966">
        <v>92641</v>
      </c>
    </row>
    <row r="1723" spans="2:3" x14ac:dyDescent="0.25">
      <c r="B1723" s="983" t="s">
        <v>2471</v>
      </c>
      <c r="C1723" s="966">
        <v>90411</v>
      </c>
    </row>
    <row r="1724" spans="2:3" x14ac:dyDescent="0.25">
      <c r="B1724" s="983" t="s">
        <v>3926</v>
      </c>
      <c r="C1724" s="966">
        <v>90417</v>
      </c>
    </row>
    <row r="1725" spans="2:3" x14ac:dyDescent="0.25">
      <c r="B1725" s="983" t="s">
        <v>1188</v>
      </c>
      <c r="C1725" s="966">
        <v>90413</v>
      </c>
    </row>
    <row r="1726" spans="2:3" x14ac:dyDescent="0.25">
      <c r="B1726" s="983" t="s">
        <v>2472</v>
      </c>
      <c r="C1726" s="966">
        <v>98321</v>
      </c>
    </row>
    <row r="1727" spans="2:3" x14ac:dyDescent="0.25">
      <c r="B1727" s="983" t="s">
        <v>1952</v>
      </c>
      <c r="C1727" s="966">
        <v>99201</v>
      </c>
    </row>
    <row r="1728" spans="2:3" x14ac:dyDescent="0.25">
      <c r="B1728" s="983" t="s">
        <v>3927</v>
      </c>
      <c r="C1728" s="966">
        <v>99204</v>
      </c>
    </row>
    <row r="1729" spans="2:3" x14ac:dyDescent="0.25">
      <c r="B1729" s="983" t="s">
        <v>1957</v>
      </c>
      <c r="C1729" s="966">
        <v>99207</v>
      </c>
    </row>
    <row r="1730" spans="2:3" x14ac:dyDescent="0.25">
      <c r="B1730" s="983" t="s">
        <v>2473</v>
      </c>
      <c r="C1730" s="966">
        <v>99281</v>
      </c>
    </row>
    <row r="1731" spans="2:3" x14ac:dyDescent="0.25">
      <c r="B1731" s="983" t="s">
        <v>2474</v>
      </c>
      <c r="C1731" s="966">
        <v>93461</v>
      </c>
    </row>
    <row r="1732" spans="2:3" x14ac:dyDescent="0.25">
      <c r="B1732" s="983" t="s">
        <v>2475</v>
      </c>
      <c r="C1732" s="966">
        <v>93151</v>
      </c>
    </row>
    <row r="1733" spans="2:3" x14ac:dyDescent="0.25">
      <c r="B1733" s="983" t="s">
        <v>3928</v>
      </c>
      <c r="C1733" s="966">
        <v>93157</v>
      </c>
    </row>
    <row r="1734" spans="2:3" x14ac:dyDescent="0.25">
      <c r="B1734" s="983" t="s">
        <v>2476</v>
      </c>
      <c r="C1734" s="966">
        <v>98511</v>
      </c>
    </row>
    <row r="1735" spans="2:3" x14ac:dyDescent="0.25">
      <c r="B1735" s="983" t="s">
        <v>3929</v>
      </c>
      <c r="C1735" s="966">
        <v>98517</v>
      </c>
    </row>
    <row r="1736" spans="2:3" x14ac:dyDescent="0.25">
      <c r="B1736" s="983" t="s">
        <v>2477</v>
      </c>
      <c r="C1736" s="966">
        <v>99661</v>
      </c>
    </row>
    <row r="1737" spans="2:3" x14ac:dyDescent="0.25">
      <c r="B1737" s="983" t="s">
        <v>2478</v>
      </c>
      <c r="C1737" s="966">
        <v>94031</v>
      </c>
    </row>
    <row r="1738" spans="2:3" x14ac:dyDescent="0.25">
      <c r="B1738" s="983" t="s">
        <v>1974</v>
      </c>
      <c r="C1738" s="966">
        <v>99301</v>
      </c>
    </row>
    <row r="1739" spans="2:3" x14ac:dyDescent="0.25">
      <c r="B1739" s="983" t="s">
        <v>3930</v>
      </c>
      <c r="C1739" s="966">
        <v>99304</v>
      </c>
    </row>
    <row r="1740" spans="2:3" x14ac:dyDescent="0.25">
      <c r="B1740" s="983" t="s">
        <v>2479</v>
      </c>
      <c r="C1740" s="966">
        <v>99321</v>
      </c>
    </row>
    <row r="1741" spans="2:3" x14ac:dyDescent="0.25">
      <c r="B1741" s="983" t="s">
        <v>2480</v>
      </c>
      <c r="C1741" s="966">
        <v>93131</v>
      </c>
    </row>
    <row r="1742" spans="2:3" x14ac:dyDescent="0.25">
      <c r="B1742" s="983" t="s">
        <v>3931</v>
      </c>
      <c r="C1742" s="966">
        <v>93137</v>
      </c>
    </row>
    <row r="1743" spans="2:3" x14ac:dyDescent="0.25">
      <c r="B1743" s="983" t="s">
        <v>2481</v>
      </c>
      <c r="C1743" s="966">
        <v>90711</v>
      </c>
    </row>
    <row r="1744" spans="2:3" x14ac:dyDescent="0.25">
      <c r="B1744" s="983" t="s">
        <v>1978</v>
      </c>
      <c r="C1744" s="966">
        <v>99401</v>
      </c>
    </row>
    <row r="1745" spans="2:3" x14ac:dyDescent="0.25">
      <c r="B1745" s="983" t="s">
        <v>3932</v>
      </c>
      <c r="C1745" s="966">
        <v>99404</v>
      </c>
    </row>
    <row r="1746" spans="2:3" x14ac:dyDescent="0.25">
      <c r="B1746" s="983" t="s">
        <v>2482</v>
      </c>
      <c r="C1746" s="966">
        <v>90741</v>
      </c>
    </row>
    <row r="1747" spans="2:3" x14ac:dyDescent="0.25">
      <c r="B1747" s="983" t="s">
        <v>1985</v>
      </c>
      <c r="C1747" s="966">
        <v>99501</v>
      </c>
    </row>
    <row r="1748" spans="2:3" x14ac:dyDescent="0.25">
      <c r="B1748" s="983" t="s">
        <v>3933</v>
      </c>
      <c r="C1748" s="966">
        <v>99509</v>
      </c>
    </row>
    <row r="1749" spans="2:3" x14ac:dyDescent="0.25">
      <c r="B1749" s="983" t="s">
        <v>3934</v>
      </c>
      <c r="C1749" s="973">
        <v>91302</v>
      </c>
    </row>
    <row r="1750" spans="2:3" x14ac:dyDescent="0.25">
      <c r="B1750" s="983" t="s">
        <v>2483</v>
      </c>
      <c r="C1750" s="966">
        <v>99041</v>
      </c>
    </row>
    <row r="1751" spans="2:3" x14ac:dyDescent="0.25">
      <c r="B1751" s="983" t="s">
        <v>3935</v>
      </c>
      <c r="C1751" s="966">
        <v>99047</v>
      </c>
    </row>
    <row r="1752" spans="2:3" x14ac:dyDescent="0.25">
      <c r="B1752" s="983" t="s">
        <v>1993</v>
      </c>
      <c r="C1752" s="966">
        <v>99601</v>
      </c>
    </row>
    <row r="1753" spans="2:3" x14ac:dyDescent="0.25">
      <c r="B1753" s="983" t="s">
        <v>3936</v>
      </c>
      <c r="C1753" s="966">
        <v>99604</v>
      </c>
    </row>
    <row r="1754" spans="2:3" x14ac:dyDescent="0.25">
      <c r="B1754" s="983" t="s">
        <v>2484</v>
      </c>
      <c r="C1754" s="966">
        <v>94411</v>
      </c>
    </row>
    <row r="1755" spans="2:3" x14ac:dyDescent="0.25">
      <c r="B1755" s="983" t="s">
        <v>3937</v>
      </c>
      <c r="C1755" s="966">
        <v>94412</v>
      </c>
    </row>
    <row r="1756" spans="2:3" x14ac:dyDescent="0.25">
      <c r="B1756" s="983" t="s">
        <v>2485</v>
      </c>
      <c r="C1756" s="966">
        <v>91141</v>
      </c>
    </row>
    <row r="1757" spans="2:3" x14ac:dyDescent="0.25">
      <c r="B1757" s="983" t="s">
        <v>3938</v>
      </c>
      <c r="C1757" s="966">
        <v>91147</v>
      </c>
    </row>
    <row r="1758" spans="2:3" x14ac:dyDescent="0.25">
      <c r="B1758" s="983" t="s">
        <v>2486</v>
      </c>
      <c r="C1758" s="966">
        <v>99071</v>
      </c>
    </row>
    <row r="1759" spans="2:3" x14ac:dyDescent="0.25">
      <c r="B1759" s="983" t="s">
        <v>2487</v>
      </c>
      <c r="C1759" s="966">
        <v>94231</v>
      </c>
    </row>
    <row r="1760" spans="2:3" x14ac:dyDescent="0.25">
      <c r="B1760" s="983" t="s">
        <v>2488</v>
      </c>
      <c r="C1760" s="966">
        <v>99231</v>
      </c>
    </row>
    <row r="1761" spans="2:3" x14ac:dyDescent="0.25">
      <c r="B1761" s="983" t="s">
        <v>2489</v>
      </c>
      <c r="C1761" s="966">
        <v>99091</v>
      </c>
    </row>
    <row r="1762" spans="2:3" x14ac:dyDescent="0.25">
      <c r="B1762" s="983" t="s">
        <v>3939</v>
      </c>
      <c r="C1762" s="966">
        <v>91120</v>
      </c>
    </row>
    <row r="1763" spans="2:3" x14ac:dyDescent="0.25">
      <c r="B1763" s="983" t="s">
        <v>3547</v>
      </c>
      <c r="C1763" s="966">
        <v>92444</v>
      </c>
    </row>
    <row r="1764" spans="2:3" x14ac:dyDescent="0.25">
      <c r="B1764" s="983" t="s">
        <v>2490</v>
      </c>
      <c r="C1764" s="966">
        <v>90521</v>
      </c>
    </row>
    <row r="1765" spans="2:3" x14ac:dyDescent="0.25">
      <c r="B1765" s="983" t="s">
        <v>3940</v>
      </c>
      <c r="C1765" s="966">
        <v>90507</v>
      </c>
    </row>
    <row r="1766" spans="2:3" x14ac:dyDescent="0.25">
      <c r="B1766" s="983" t="s">
        <v>3941</v>
      </c>
      <c r="C1766" s="966">
        <v>92602</v>
      </c>
    </row>
    <row r="1767" spans="2:3" x14ac:dyDescent="0.25">
      <c r="B1767" s="983" t="s">
        <v>3942</v>
      </c>
      <c r="C1767" s="966">
        <v>91608</v>
      </c>
    </row>
    <row r="1768" spans="2:3" x14ac:dyDescent="0.25">
      <c r="B1768" s="983" t="s">
        <v>2491</v>
      </c>
      <c r="C1768" s="966">
        <v>91119</v>
      </c>
    </row>
    <row r="1769" spans="2:3" x14ac:dyDescent="0.25">
      <c r="B1769" s="983" t="s">
        <v>3943</v>
      </c>
      <c r="C1769" s="966">
        <v>91107</v>
      </c>
    </row>
    <row r="1770" spans="2:3" x14ac:dyDescent="0.25">
      <c r="B1770" s="983" t="s">
        <v>3944</v>
      </c>
      <c r="C1770" s="966">
        <v>91818</v>
      </c>
    </row>
    <row r="1771" spans="2:3" x14ac:dyDescent="0.25">
      <c r="B1771" s="983" t="s">
        <v>1335</v>
      </c>
      <c r="C1771" s="966">
        <v>91819</v>
      </c>
    </row>
    <row r="1772" spans="2:3" x14ac:dyDescent="0.25">
      <c r="B1772" s="983" t="s">
        <v>2492</v>
      </c>
      <c r="C1772" s="966">
        <v>96371</v>
      </c>
    </row>
    <row r="1773" spans="2:3" x14ac:dyDescent="0.25">
      <c r="B1773" s="983" t="s">
        <v>2493</v>
      </c>
      <c r="C1773" s="966">
        <v>96441</v>
      </c>
    </row>
    <row r="1774" spans="2:3" x14ac:dyDescent="0.25">
      <c r="B1774" s="983" t="s">
        <v>2494</v>
      </c>
      <c r="C1774" s="966">
        <v>90921</v>
      </c>
    </row>
    <row r="1775" spans="2:3" x14ac:dyDescent="0.25">
      <c r="B1775" s="983" t="s">
        <v>2495</v>
      </c>
      <c r="C1775" s="966">
        <v>92411</v>
      </c>
    </row>
    <row r="1776" spans="2:3" x14ac:dyDescent="0.25">
      <c r="B1776" s="983" t="s">
        <v>3945</v>
      </c>
      <c r="C1776" s="966">
        <v>92417</v>
      </c>
    </row>
    <row r="1777" spans="2:3" x14ac:dyDescent="0.25">
      <c r="B1777" s="983" t="s">
        <v>1371</v>
      </c>
      <c r="C1777" s="966">
        <v>92403</v>
      </c>
    </row>
    <row r="1778" spans="2:3" x14ac:dyDescent="0.25">
      <c r="B1778" s="983" t="s">
        <v>2005</v>
      </c>
      <c r="C1778" s="966">
        <v>99701</v>
      </c>
    </row>
    <row r="1779" spans="2:3" x14ac:dyDescent="0.25">
      <c r="B1779" s="983" t="s">
        <v>2496</v>
      </c>
      <c r="C1779" s="966">
        <v>99721</v>
      </c>
    </row>
    <row r="1780" spans="2:3" x14ac:dyDescent="0.25">
      <c r="B1780" s="983" t="s">
        <v>3946</v>
      </c>
      <c r="C1780" s="966">
        <v>99727</v>
      </c>
    </row>
    <row r="1781" spans="2:3" x14ac:dyDescent="0.25">
      <c r="B1781" s="983" t="s">
        <v>2497</v>
      </c>
      <c r="C1781" s="966">
        <v>95811</v>
      </c>
    </row>
    <row r="1782" spans="2:3" x14ac:dyDescent="0.25">
      <c r="B1782" s="983" t="s">
        <v>1660</v>
      </c>
      <c r="C1782" s="966">
        <v>95813</v>
      </c>
    </row>
    <row r="1783" spans="2:3" x14ac:dyDescent="0.25">
      <c r="B1783" s="983" t="s">
        <v>2498</v>
      </c>
      <c r="C1783" s="966">
        <v>96531</v>
      </c>
    </row>
    <row r="1784" spans="2:3" x14ac:dyDescent="0.25">
      <c r="B1784" s="983" t="s">
        <v>1722</v>
      </c>
      <c r="C1784" s="966">
        <v>96503</v>
      </c>
    </row>
    <row r="1785" spans="2:3" x14ac:dyDescent="0.25">
      <c r="B1785" s="983" t="s">
        <v>2499</v>
      </c>
      <c r="C1785" s="966">
        <v>99811</v>
      </c>
    </row>
    <row r="1786" spans="2:3" x14ac:dyDescent="0.25">
      <c r="B1786" s="983" t="s">
        <v>3947</v>
      </c>
      <c r="C1786" s="966">
        <v>99818</v>
      </c>
    </row>
    <row r="1787" spans="2:3" x14ac:dyDescent="0.25">
      <c r="B1787" s="983" t="s">
        <v>2011</v>
      </c>
      <c r="C1787" s="966">
        <v>99801</v>
      </c>
    </row>
    <row r="1788" spans="2:3" x14ac:dyDescent="0.25">
      <c r="B1788" s="983" t="s">
        <v>3948</v>
      </c>
      <c r="C1788" s="966">
        <v>99804</v>
      </c>
    </row>
    <row r="1789" spans="2:3" x14ac:dyDescent="0.25">
      <c r="B1789" s="983" t="s">
        <v>3949</v>
      </c>
      <c r="C1789" s="966">
        <v>99802</v>
      </c>
    </row>
    <row r="1790" spans="2:3" x14ac:dyDescent="0.25">
      <c r="B1790" s="983" t="s">
        <v>3950</v>
      </c>
      <c r="C1790" s="966">
        <v>99812</v>
      </c>
    </row>
    <row r="1791" spans="2:3" x14ac:dyDescent="0.25">
      <c r="B1791" s="983" t="s">
        <v>3951</v>
      </c>
      <c r="C1791" s="966">
        <v>95191</v>
      </c>
    </row>
    <row r="1792" spans="2:3" x14ac:dyDescent="0.25">
      <c r="B1792" s="983" t="s">
        <v>2500</v>
      </c>
      <c r="C1792" s="966">
        <v>90812</v>
      </c>
    </row>
    <row r="1793" spans="2:3" x14ac:dyDescent="0.25">
      <c r="B1793" s="983" t="s">
        <v>2501</v>
      </c>
      <c r="C1793" s="966">
        <v>97221</v>
      </c>
    </row>
    <row r="1794" spans="2:3" x14ac:dyDescent="0.25">
      <c r="B1794" s="983" t="s">
        <v>2502</v>
      </c>
      <c r="C1794" s="966">
        <v>99031</v>
      </c>
    </row>
    <row r="1795" spans="2:3" x14ac:dyDescent="0.25">
      <c r="B1795" s="983" t="s">
        <v>2503</v>
      </c>
      <c r="C1795" s="966">
        <v>93411</v>
      </c>
    </row>
    <row r="1796" spans="2:3" x14ac:dyDescent="0.25">
      <c r="B1796" s="983" t="s">
        <v>1468</v>
      </c>
      <c r="C1796" s="966">
        <v>93413</v>
      </c>
    </row>
    <row r="1797" spans="2:3" x14ac:dyDescent="0.25">
      <c r="B1797" s="983" t="s">
        <v>2504</v>
      </c>
      <c r="C1797" s="966">
        <v>97451</v>
      </c>
    </row>
    <row r="1798" spans="2:3" x14ac:dyDescent="0.25">
      <c r="B1798" s="983" t="s">
        <v>2505</v>
      </c>
      <c r="C1798" s="966">
        <v>94631</v>
      </c>
    </row>
    <row r="1799" spans="2:3" x14ac:dyDescent="0.25">
      <c r="B1799" s="983" t="s">
        <v>2506</v>
      </c>
      <c r="C1799" s="966">
        <v>91171</v>
      </c>
    </row>
    <row r="1800" spans="2:3" x14ac:dyDescent="0.25">
      <c r="B1800" s="983" t="s">
        <v>1260</v>
      </c>
      <c r="C1800" s="966">
        <v>91104</v>
      </c>
    </row>
    <row r="1801" spans="2:3" x14ac:dyDescent="0.25">
      <c r="B1801" s="983" t="s">
        <v>3952</v>
      </c>
      <c r="C1801" s="966">
        <v>91109</v>
      </c>
    </row>
    <row r="1802" spans="2:3" x14ac:dyDescent="0.25">
      <c r="B1802" s="983" t="s">
        <v>2507</v>
      </c>
      <c r="C1802" s="966">
        <v>96621</v>
      </c>
    </row>
    <row r="1803" spans="2:3" x14ac:dyDescent="0.25">
      <c r="B1803" s="983" t="s">
        <v>2508</v>
      </c>
      <c r="C1803" s="966">
        <v>96511</v>
      </c>
    </row>
    <row r="1804" spans="2:3" x14ac:dyDescent="0.25">
      <c r="B1804" s="983" t="s">
        <v>2021</v>
      </c>
      <c r="C1804" s="966">
        <v>99901</v>
      </c>
    </row>
    <row r="1805" spans="2:3" x14ac:dyDescent="0.25">
      <c r="B1805" s="983" t="s">
        <v>3548</v>
      </c>
      <c r="C1805" s="966">
        <v>98604</v>
      </c>
    </row>
    <row r="1806" spans="2:3" x14ac:dyDescent="0.25">
      <c r="B1806" s="983" t="s">
        <v>1916</v>
      </c>
      <c r="C1806" s="966">
        <v>98608</v>
      </c>
    </row>
    <row r="1807" spans="2:3" x14ac:dyDescent="0.25">
      <c r="B1807" s="983" t="s">
        <v>2509</v>
      </c>
      <c r="C1807" s="966">
        <v>99911</v>
      </c>
    </row>
    <row r="1808" spans="2:3" x14ac:dyDescent="0.25">
      <c r="B1808" s="983" t="s">
        <v>1164</v>
      </c>
      <c r="C1808" s="966">
        <v>90001</v>
      </c>
    </row>
    <row r="1809" spans="2:3" x14ac:dyDescent="0.25">
      <c r="B1809" s="983" t="s">
        <v>3953</v>
      </c>
      <c r="C1809" s="966">
        <v>90002</v>
      </c>
    </row>
    <row r="1810" spans="2:3" x14ac:dyDescent="0.25">
      <c r="B1810" s="983" t="s">
        <v>2510</v>
      </c>
      <c r="C1810" s="966">
        <v>91719</v>
      </c>
    </row>
    <row r="1811" spans="2:3" x14ac:dyDescent="0.25">
      <c r="B1811" s="983" t="s">
        <v>2511</v>
      </c>
      <c r="C1811" s="966">
        <v>93541</v>
      </c>
    </row>
    <row r="1812" spans="2:3" x14ac:dyDescent="0.25">
      <c r="B1812" s="983" t="s">
        <v>2512</v>
      </c>
      <c r="C1812" s="966">
        <v>99241</v>
      </c>
    </row>
    <row r="1813" spans="2:3" x14ac:dyDescent="0.25">
      <c r="B1813" s="795" t="s">
        <v>2623</v>
      </c>
      <c r="C1813" s="822" t="s">
        <v>2624</v>
      </c>
    </row>
  </sheetData>
  <customSheetViews>
    <customSheetView guid="{C1197650-3ED8-49E4-8E4C-0D1D4B503FC0}" scale="90" fitToPage="1" state="hidden">
      <selection activeCell="E7" sqref="E7"/>
      <pageMargins left="0" right="0" top="0.75" bottom="0.75" header="0.3" footer="0.3"/>
      <pageSetup scale="46" fitToHeight="0" orientation="landscape" r:id="rId1"/>
    </customSheetView>
    <customSheetView guid="{D2B860EA-92EC-4999-9A59-C624E1F8C7FB}" scale="90" fitToPage="1" state="hidden">
      <selection activeCell="E7" sqref="E7"/>
      <pageMargins left="0" right="0" top="0.75" bottom="0.75" header="0.3" footer="0.3"/>
      <pageSetup scale="46" fitToHeight="0" orientation="landscape" r:id="rId2"/>
    </customSheetView>
  </customSheetViews>
  <pageMargins left="0" right="0" top="0.75" bottom="0.75" header="0.3" footer="0.3"/>
  <pageSetup scale="46" fitToHeight="0" orientation="landscape"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4:U1810"/>
  <sheetViews>
    <sheetView workbookViewId="0"/>
  </sheetViews>
  <sheetFormatPr defaultColWidth="9.140625" defaultRowHeight="15" x14ac:dyDescent="0.25"/>
  <cols>
    <col min="1" max="1" width="15.28515625" style="795" customWidth="1"/>
    <col min="2" max="2" width="39.5703125" style="795" customWidth="1"/>
    <col min="3" max="5" width="13.85546875" style="795" customWidth="1"/>
    <col min="6" max="6" width="13.42578125" style="795" customWidth="1"/>
    <col min="7" max="7" width="18.28515625" style="795" customWidth="1"/>
    <col min="8" max="8" width="4.140625" style="795" customWidth="1"/>
    <col min="9" max="9" width="18.28515625" style="795" customWidth="1"/>
    <col min="10" max="10" width="20" style="795" customWidth="1"/>
    <col min="11" max="11" width="14.42578125" style="795" customWidth="1"/>
    <col min="12" max="12" width="19.42578125" style="795" customWidth="1"/>
    <col min="13" max="13" width="3" style="795" customWidth="1"/>
    <col min="14" max="14" width="18.28515625" style="795" customWidth="1"/>
    <col min="15" max="15" width="20" style="795" customWidth="1"/>
    <col min="16" max="16" width="9.140625" style="795" customWidth="1"/>
    <col min="17" max="17" width="19.42578125" style="795" customWidth="1"/>
    <col min="18" max="18" width="2.42578125" style="795" customWidth="1"/>
    <col min="19" max="19" width="13.85546875" style="795" customWidth="1"/>
    <col min="20" max="20" width="22.42578125" style="795" customWidth="1"/>
    <col min="21" max="21" width="14.28515625" style="795" customWidth="1"/>
    <col min="22" max="16384" width="9.140625" style="795"/>
  </cols>
  <sheetData>
    <row r="4" spans="1:21" x14ac:dyDescent="0.25">
      <c r="A4" s="794" t="s">
        <v>2627</v>
      </c>
      <c r="I4" s="796" t="s">
        <v>1147</v>
      </c>
      <c r="J4" s="796"/>
      <c r="K4" s="796"/>
      <c r="L4" s="796"/>
      <c r="N4" s="796" t="s">
        <v>1148</v>
      </c>
      <c r="O4" s="796"/>
      <c r="P4" s="796"/>
      <c r="Q4" s="796"/>
      <c r="S4" s="796" t="s">
        <v>1149</v>
      </c>
      <c r="T4" s="796"/>
      <c r="U4" s="796"/>
    </row>
    <row r="5" spans="1:21" ht="120" x14ac:dyDescent="0.25">
      <c r="A5" s="962" t="s">
        <v>1150</v>
      </c>
      <c r="B5" s="797" t="s">
        <v>1151</v>
      </c>
      <c r="C5" s="797" t="s">
        <v>2090</v>
      </c>
      <c r="D5" s="797" t="s">
        <v>2091</v>
      </c>
      <c r="E5" s="797" t="s">
        <v>2628</v>
      </c>
      <c r="F5" s="797" t="s">
        <v>2629</v>
      </c>
      <c r="G5" s="797" t="s">
        <v>1152</v>
      </c>
      <c r="H5" s="797"/>
      <c r="I5" s="797" t="s">
        <v>1153</v>
      </c>
      <c r="J5" s="797" t="s">
        <v>1154</v>
      </c>
      <c r="K5" s="797" t="s">
        <v>1155</v>
      </c>
      <c r="L5" s="797" t="s">
        <v>1156</v>
      </c>
      <c r="M5" s="797"/>
      <c r="N5" s="797" t="s">
        <v>1153</v>
      </c>
      <c r="O5" s="797" t="s">
        <v>1154</v>
      </c>
      <c r="P5" s="797" t="s">
        <v>1155</v>
      </c>
      <c r="Q5" s="797" t="s">
        <v>1156</v>
      </c>
      <c r="R5" s="797"/>
      <c r="S5" s="797" t="s">
        <v>1157</v>
      </c>
      <c r="T5" s="797" t="s">
        <v>1158</v>
      </c>
      <c r="U5" s="797" t="s">
        <v>1159</v>
      </c>
    </row>
    <row r="6" spans="1:21" x14ac:dyDescent="0.25">
      <c r="A6" s="797" t="s">
        <v>825</v>
      </c>
      <c r="B6" s="798" t="s">
        <v>2089</v>
      </c>
      <c r="C6" s="797"/>
      <c r="D6" s="797"/>
      <c r="E6" s="797"/>
      <c r="F6" s="797"/>
      <c r="G6" s="797"/>
      <c r="H6" s="797"/>
      <c r="I6" s="797"/>
      <c r="J6" s="797"/>
      <c r="K6" s="797"/>
      <c r="L6" s="797"/>
      <c r="M6" s="797"/>
      <c r="N6" s="797"/>
      <c r="O6" s="797"/>
      <c r="P6" s="797"/>
      <c r="Q6" s="797"/>
      <c r="R6" s="797"/>
      <c r="S6" s="797"/>
      <c r="T6" s="797"/>
      <c r="U6" s="797"/>
    </row>
    <row r="7" spans="1:21" x14ac:dyDescent="0.25">
      <c r="A7" s="799">
        <v>70505</v>
      </c>
      <c r="B7" s="800" t="s">
        <v>2630</v>
      </c>
      <c r="C7" s="801">
        <v>4.6880000000000001E-4</v>
      </c>
      <c r="D7" s="801">
        <v>5.0319999999999998E-4</v>
      </c>
      <c r="E7" s="802">
        <v>186822</v>
      </c>
      <c r="F7" s="802">
        <v>225833</v>
      </c>
      <c r="G7" s="802">
        <v>994951</v>
      </c>
      <c r="H7" s="802"/>
      <c r="I7" s="803">
        <v>18693</v>
      </c>
      <c r="J7" s="803">
        <v>871894</v>
      </c>
      <c r="K7" s="803">
        <v>68145</v>
      </c>
      <c r="L7" s="802">
        <v>0</v>
      </c>
      <c r="M7" s="802"/>
      <c r="N7" s="803">
        <v>34864</v>
      </c>
      <c r="O7" s="803">
        <v>321812</v>
      </c>
      <c r="P7" s="803">
        <v>0</v>
      </c>
      <c r="Q7" s="802">
        <v>31773</v>
      </c>
      <c r="R7" s="802"/>
      <c r="S7" s="803">
        <v>265936</v>
      </c>
      <c r="T7" s="804">
        <v>-10267</v>
      </c>
      <c r="U7" s="804">
        <v>255668</v>
      </c>
    </row>
    <row r="8" spans="1:21" x14ac:dyDescent="0.25">
      <c r="A8" s="799">
        <v>71786</v>
      </c>
      <c r="B8" s="800" t="s">
        <v>2631</v>
      </c>
      <c r="C8" s="801">
        <v>4.3600000000000003E-5</v>
      </c>
      <c r="D8" s="801">
        <v>4.3699999999999998E-5</v>
      </c>
      <c r="E8" s="802">
        <v>14646.29</v>
      </c>
      <c r="F8" s="802">
        <v>19612</v>
      </c>
      <c r="G8" s="802">
        <v>92534</v>
      </c>
      <c r="H8" s="802"/>
      <c r="I8" s="803">
        <v>1739</v>
      </c>
      <c r="J8" s="803">
        <v>81089</v>
      </c>
      <c r="K8" s="803">
        <v>6338</v>
      </c>
      <c r="L8" s="802">
        <v>0</v>
      </c>
      <c r="M8" s="802"/>
      <c r="N8" s="803">
        <v>3242</v>
      </c>
      <c r="O8" s="803">
        <v>29930</v>
      </c>
      <c r="P8" s="803">
        <v>0</v>
      </c>
      <c r="Q8" s="802">
        <v>6350</v>
      </c>
      <c r="R8" s="802"/>
      <c r="S8" s="803">
        <v>24733</v>
      </c>
      <c r="T8" s="804">
        <v>-2337</v>
      </c>
      <c r="U8" s="804">
        <v>22396</v>
      </c>
    </row>
    <row r="9" spans="1:21" x14ac:dyDescent="0.25">
      <c r="A9" s="799">
        <v>72265</v>
      </c>
      <c r="B9" s="800" t="s">
        <v>2632</v>
      </c>
      <c r="C9" s="801">
        <v>1.327E-4</v>
      </c>
      <c r="D9" s="801">
        <v>1.3329999999999999E-4</v>
      </c>
      <c r="E9" s="802">
        <v>48905</v>
      </c>
      <c r="F9" s="802">
        <v>59824</v>
      </c>
      <c r="G9" s="802">
        <v>281634</v>
      </c>
      <c r="H9" s="802"/>
      <c r="I9" s="803">
        <v>5291</v>
      </c>
      <c r="J9" s="803">
        <v>246801</v>
      </c>
      <c r="K9" s="803">
        <v>19289</v>
      </c>
      <c r="L9" s="802">
        <v>7214</v>
      </c>
      <c r="M9" s="802"/>
      <c r="N9" s="803">
        <v>9869</v>
      </c>
      <c r="O9" s="803">
        <v>91093</v>
      </c>
      <c r="P9" s="803">
        <v>0</v>
      </c>
      <c r="Q9" s="802">
        <v>5063</v>
      </c>
      <c r="R9" s="802"/>
      <c r="S9" s="803">
        <v>75277</v>
      </c>
      <c r="T9" s="804">
        <v>2291</v>
      </c>
      <c r="U9" s="804">
        <v>77567</v>
      </c>
    </row>
    <row r="10" spans="1:21" x14ac:dyDescent="0.25">
      <c r="A10" s="799">
        <v>72657</v>
      </c>
      <c r="B10" s="800" t="s">
        <v>2633</v>
      </c>
      <c r="C10" s="801">
        <v>4.2799999999999997E-5</v>
      </c>
      <c r="D10" s="801">
        <v>4.0800000000000002E-5</v>
      </c>
      <c r="E10" s="802">
        <v>15356.17</v>
      </c>
      <c r="F10" s="802">
        <v>18311</v>
      </c>
      <c r="G10" s="802">
        <v>90836</v>
      </c>
      <c r="H10" s="802"/>
      <c r="I10" s="803">
        <v>1707</v>
      </c>
      <c r="J10" s="803">
        <v>79601</v>
      </c>
      <c r="K10" s="803">
        <v>6221</v>
      </c>
      <c r="L10" s="802">
        <v>6577</v>
      </c>
      <c r="M10" s="802"/>
      <c r="N10" s="803">
        <v>3183</v>
      </c>
      <c r="O10" s="803">
        <v>29380</v>
      </c>
      <c r="P10" s="803">
        <v>0</v>
      </c>
      <c r="Q10" s="802">
        <v>4643</v>
      </c>
      <c r="R10" s="802"/>
      <c r="S10" s="803">
        <v>24279</v>
      </c>
      <c r="T10" s="804">
        <v>1725</v>
      </c>
      <c r="U10" s="804">
        <v>26005</v>
      </c>
    </row>
    <row r="11" spans="1:21" x14ac:dyDescent="0.25">
      <c r="A11" s="799">
        <v>90001</v>
      </c>
      <c r="B11" s="800" t="s">
        <v>2634</v>
      </c>
      <c r="C11" s="801">
        <v>8.6910000000000004E-4</v>
      </c>
      <c r="D11" s="801">
        <v>8.2339999999999996E-4</v>
      </c>
      <c r="E11" s="802">
        <v>342848</v>
      </c>
      <c r="F11" s="802">
        <v>369537</v>
      </c>
      <c r="G11" s="802">
        <v>1844521</v>
      </c>
      <c r="H11" s="802"/>
      <c r="I11" s="803">
        <v>34655</v>
      </c>
      <c r="J11" s="803">
        <v>1616389</v>
      </c>
      <c r="K11" s="803">
        <v>126333</v>
      </c>
      <c r="L11" s="802">
        <v>17611</v>
      </c>
      <c r="M11" s="802"/>
      <c r="N11" s="803">
        <v>64634</v>
      </c>
      <c r="O11" s="803">
        <v>596601</v>
      </c>
      <c r="P11" s="803">
        <v>0</v>
      </c>
      <c r="Q11" s="802">
        <v>4549</v>
      </c>
      <c r="R11" s="802"/>
      <c r="S11" s="803">
        <v>493013</v>
      </c>
      <c r="T11" s="804">
        <v>4026</v>
      </c>
      <c r="U11" s="804">
        <v>497039</v>
      </c>
    </row>
    <row r="12" spans="1:21" x14ac:dyDescent="0.25">
      <c r="A12" s="799">
        <v>90002</v>
      </c>
      <c r="B12" s="800" t="s">
        <v>2635</v>
      </c>
      <c r="C12" s="801">
        <v>1.15E-5</v>
      </c>
      <c r="D12" s="801">
        <v>1.15E-5</v>
      </c>
      <c r="E12" s="802">
        <v>5945</v>
      </c>
      <c r="F12" s="802">
        <v>5161</v>
      </c>
      <c r="G12" s="802">
        <v>24407</v>
      </c>
      <c r="H12" s="802"/>
      <c r="I12" s="803">
        <v>458.5625</v>
      </c>
      <c r="J12" s="803">
        <v>21388</v>
      </c>
      <c r="K12" s="803">
        <v>1672</v>
      </c>
      <c r="L12" s="802">
        <v>1428</v>
      </c>
      <c r="M12" s="802"/>
      <c r="N12" s="803">
        <v>855</v>
      </c>
      <c r="O12" s="803">
        <v>7894</v>
      </c>
      <c r="P12" s="803">
        <v>0</v>
      </c>
      <c r="Q12" s="802">
        <v>0</v>
      </c>
      <c r="R12" s="802"/>
      <c r="S12" s="803">
        <v>6524</v>
      </c>
      <c r="T12" s="804">
        <v>436</v>
      </c>
      <c r="U12" s="804">
        <v>6960</v>
      </c>
    </row>
    <row r="13" spans="1:21" x14ac:dyDescent="0.25">
      <c r="A13" s="799">
        <v>90011</v>
      </c>
      <c r="B13" s="800" t="s">
        <v>2636</v>
      </c>
      <c r="C13" s="801">
        <v>2.0819999999999999E-4</v>
      </c>
      <c r="D13" s="801">
        <v>2.2800000000000001E-4</v>
      </c>
      <c r="E13" s="802">
        <v>74534</v>
      </c>
      <c r="F13" s="802">
        <v>102325</v>
      </c>
      <c r="G13" s="802">
        <v>441870</v>
      </c>
      <c r="H13" s="802"/>
      <c r="I13" s="803">
        <v>8302</v>
      </c>
      <c r="J13" s="803">
        <v>387219</v>
      </c>
      <c r="K13" s="803">
        <v>30264</v>
      </c>
      <c r="L13" s="802">
        <v>4623</v>
      </c>
      <c r="M13" s="802"/>
      <c r="N13" s="803">
        <v>15484</v>
      </c>
      <c r="O13" s="803">
        <v>142921</v>
      </c>
      <c r="P13" s="803">
        <v>0</v>
      </c>
      <c r="Q13" s="802">
        <v>24562</v>
      </c>
      <c r="R13" s="802"/>
      <c r="S13" s="803">
        <v>118105</v>
      </c>
      <c r="T13" s="804">
        <v>-4521</v>
      </c>
      <c r="U13" s="804">
        <v>113585</v>
      </c>
    </row>
    <row r="14" spans="1:21" x14ac:dyDescent="0.25">
      <c r="A14" s="799">
        <v>90092</v>
      </c>
      <c r="B14" s="800" t="s">
        <v>2637</v>
      </c>
      <c r="C14" s="801">
        <v>3.946E-4</v>
      </c>
      <c r="D14" s="801">
        <v>4.8670000000000001E-4</v>
      </c>
      <c r="E14" s="802">
        <v>169426.22</v>
      </c>
      <c r="F14" s="802">
        <v>218428</v>
      </c>
      <c r="G14" s="802">
        <v>837473</v>
      </c>
      <c r="H14" s="802"/>
      <c r="I14" s="803">
        <v>15735</v>
      </c>
      <c r="J14" s="803">
        <v>733894</v>
      </c>
      <c r="K14" s="803">
        <v>57359</v>
      </c>
      <c r="L14" s="802">
        <v>0</v>
      </c>
      <c r="M14" s="802"/>
      <c r="N14" s="803">
        <v>29346</v>
      </c>
      <c r="O14" s="803">
        <v>270876</v>
      </c>
      <c r="P14" s="803">
        <v>0</v>
      </c>
      <c r="Q14" s="802">
        <v>115870</v>
      </c>
      <c r="R14" s="802"/>
      <c r="S14" s="803">
        <v>223844</v>
      </c>
      <c r="T14" s="804">
        <v>-40775</v>
      </c>
      <c r="U14" s="804">
        <v>183070</v>
      </c>
    </row>
    <row r="15" spans="1:21" x14ac:dyDescent="0.25">
      <c r="A15" s="799">
        <v>90096</v>
      </c>
      <c r="B15" s="800" t="s">
        <v>2638</v>
      </c>
      <c r="C15" s="801">
        <v>1.3860999999999999E-3</v>
      </c>
      <c r="D15" s="801">
        <v>1.4866E-3</v>
      </c>
      <c r="E15" s="802">
        <v>582268</v>
      </c>
      <c r="F15" s="802">
        <v>667177</v>
      </c>
      <c r="G15" s="802">
        <v>2941769</v>
      </c>
      <c r="H15" s="802"/>
      <c r="I15" s="803">
        <v>55271</v>
      </c>
      <c r="J15" s="803">
        <v>2577927</v>
      </c>
      <c r="K15" s="803">
        <v>201485</v>
      </c>
      <c r="L15" s="802">
        <v>79002</v>
      </c>
      <c r="M15" s="802"/>
      <c r="N15" s="803">
        <v>103083</v>
      </c>
      <c r="O15" s="803">
        <v>951499</v>
      </c>
      <c r="P15" s="803">
        <v>0</v>
      </c>
      <c r="Q15" s="802">
        <v>44718</v>
      </c>
      <c r="R15" s="802"/>
      <c r="S15" s="803">
        <v>786292</v>
      </c>
      <c r="T15" s="804">
        <v>23820</v>
      </c>
      <c r="U15" s="804">
        <v>810111</v>
      </c>
    </row>
    <row r="16" spans="1:21" x14ac:dyDescent="0.25">
      <c r="A16" s="799">
        <v>90098</v>
      </c>
      <c r="B16" s="800" t="s">
        <v>2639</v>
      </c>
      <c r="C16" s="801">
        <v>2.9280000000000002E-4</v>
      </c>
      <c r="D16" s="801">
        <v>5.0869999999999995E-4</v>
      </c>
      <c r="E16" s="802">
        <v>129330</v>
      </c>
      <c r="F16" s="802">
        <v>228302</v>
      </c>
      <c r="G16" s="802">
        <v>621420</v>
      </c>
      <c r="H16" s="802"/>
      <c r="I16" s="803">
        <v>11675</v>
      </c>
      <c r="J16" s="803">
        <v>544562</v>
      </c>
      <c r="K16" s="803">
        <v>42562</v>
      </c>
      <c r="L16" s="802">
        <v>0</v>
      </c>
      <c r="M16" s="802"/>
      <c r="N16" s="803">
        <v>21775</v>
      </c>
      <c r="O16" s="803">
        <v>200995</v>
      </c>
      <c r="P16" s="803">
        <v>0</v>
      </c>
      <c r="Q16" s="802">
        <v>163662</v>
      </c>
      <c r="R16" s="802"/>
      <c r="S16" s="803">
        <v>166096</v>
      </c>
      <c r="T16" s="804">
        <v>-52769</v>
      </c>
      <c r="U16" s="804">
        <v>113327</v>
      </c>
    </row>
    <row r="17" spans="1:21" x14ac:dyDescent="0.25">
      <c r="A17" s="799">
        <v>90099</v>
      </c>
      <c r="B17" s="800" t="s">
        <v>2640</v>
      </c>
      <c r="C17" s="801">
        <v>4.9330000000000001E-4</v>
      </c>
      <c r="D17" s="801">
        <v>5.9599999999999996E-4</v>
      </c>
      <c r="E17" s="802">
        <v>207476.25</v>
      </c>
      <c r="F17" s="802">
        <v>267481</v>
      </c>
      <c r="G17" s="802">
        <v>1046948</v>
      </c>
      <c r="H17" s="802"/>
      <c r="I17" s="803">
        <v>19670</v>
      </c>
      <c r="J17" s="803">
        <v>917460</v>
      </c>
      <c r="K17" s="803">
        <v>71707</v>
      </c>
      <c r="L17" s="802">
        <v>4838</v>
      </c>
      <c r="M17" s="802"/>
      <c r="N17" s="803">
        <v>36686</v>
      </c>
      <c r="O17" s="803">
        <v>338630</v>
      </c>
      <c r="P17" s="803">
        <v>0</v>
      </c>
      <c r="Q17" s="802">
        <v>60491</v>
      </c>
      <c r="R17" s="802"/>
      <c r="S17" s="803">
        <v>279834</v>
      </c>
      <c r="T17" s="804">
        <v>-14054</v>
      </c>
      <c r="U17" s="804">
        <v>265780</v>
      </c>
    </row>
    <row r="18" spans="1:21" x14ac:dyDescent="0.25">
      <c r="A18" s="799">
        <v>90101</v>
      </c>
      <c r="B18" s="800" t="s">
        <v>2641</v>
      </c>
      <c r="C18" s="801">
        <v>6.3996000000000001E-3</v>
      </c>
      <c r="D18" s="801">
        <v>6.1599000000000003E-3</v>
      </c>
      <c r="E18" s="802">
        <v>2594375.06</v>
      </c>
      <c r="F18" s="802">
        <v>2764526</v>
      </c>
      <c r="G18" s="802">
        <v>13582095</v>
      </c>
      <c r="H18" s="802"/>
      <c r="I18" s="803">
        <v>255184</v>
      </c>
      <c r="J18" s="803">
        <v>11902245</v>
      </c>
      <c r="K18" s="803">
        <v>930252</v>
      </c>
      <c r="L18" s="802">
        <v>229062</v>
      </c>
      <c r="M18" s="802"/>
      <c r="N18" s="803">
        <v>475932</v>
      </c>
      <c r="O18" s="803">
        <v>4393057</v>
      </c>
      <c r="P18" s="803">
        <v>0</v>
      </c>
      <c r="Q18" s="802">
        <v>51491</v>
      </c>
      <c r="R18" s="802"/>
      <c r="S18" s="803">
        <v>3630295</v>
      </c>
      <c r="T18" s="804">
        <v>45786</v>
      </c>
      <c r="U18" s="804">
        <v>3676081</v>
      </c>
    </row>
    <row r="19" spans="1:21" x14ac:dyDescent="0.25">
      <c r="A19" s="799">
        <v>90111</v>
      </c>
      <c r="B19" s="800" t="s">
        <v>2642</v>
      </c>
      <c r="C19" s="801">
        <v>4.8874000000000001E-3</v>
      </c>
      <c r="D19" s="801">
        <v>4.9893000000000003E-3</v>
      </c>
      <c r="E19" s="802">
        <v>1973481.4</v>
      </c>
      <c r="F19" s="802">
        <v>2239168</v>
      </c>
      <c r="G19" s="802">
        <v>10372700</v>
      </c>
      <c r="H19" s="802"/>
      <c r="I19" s="803">
        <v>194885</v>
      </c>
      <c r="J19" s="803">
        <v>9089792</v>
      </c>
      <c r="K19" s="803">
        <v>710437</v>
      </c>
      <c r="L19" s="802">
        <v>0</v>
      </c>
      <c r="M19" s="802"/>
      <c r="N19" s="803">
        <v>363471</v>
      </c>
      <c r="O19" s="803">
        <v>3354995</v>
      </c>
      <c r="P19" s="803">
        <v>0</v>
      </c>
      <c r="Q19" s="802">
        <v>163983</v>
      </c>
      <c r="R19" s="802"/>
      <c r="S19" s="803">
        <v>2772471</v>
      </c>
      <c r="T19" s="804">
        <v>-57381</v>
      </c>
      <c r="U19" s="804">
        <v>2715090</v>
      </c>
    </row>
    <row r="20" spans="1:21" x14ac:dyDescent="0.25">
      <c r="A20" s="799">
        <v>90114</v>
      </c>
      <c r="B20" s="800" t="s">
        <v>2643</v>
      </c>
      <c r="C20" s="801">
        <v>1.0681E-3</v>
      </c>
      <c r="D20" s="801">
        <v>1.0043000000000001E-3</v>
      </c>
      <c r="E20" s="802">
        <v>1022992</v>
      </c>
      <c r="F20" s="802">
        <v>450724</v>
      </c>
      <c r="G20" s="802">
        <v>2266866</v>
      </c>
      <c r="H20" s="802"/>
      <c r="I20" s="803">
        <v>42590</v>
      </c>
      <c r="J20" s="803">
        <v>1986497</v>
      </c>
      <c r="K20" s="803">
        <v>155260</v>
      </c>
      <c r="L20" s="802">
        <v>821100</v>
      </c>
      <c r="M20" s="802"/>
      <c r="N20" s="803">
        <v>79434</v>
      </c>
      <c r="O20" s="803">
        <v>733206</v>
      </c>
      <c r="P20" s="803">
        <v>0</v>
      </c>
      <c r="Q20" s="802">
        <v>0</v>
      </c>
      <c r="R20" s="802"/>
      <c r="S20" s="803">
        <v>605900</v>
      </c>
      <c r="T20" s="804">
        <v>245765</v>
      </c>
      <c r="U20" s="804">
        <v>851665</v>
      </c>
    </row>
    <row r="21" spans="1:21" x14ac:dyDescent="0.25">
      <c r="A21" s="799">
        <v>90117</v>
      </c>
      <c r="B21" s="800" t="s">
        <v>2644</v>
      </c>
      <c r="C21" s="801">
        <v>1.35E-4</v>
      </c>
      <c r="D21" s="801">
        <v>1.3019999999999999E-4</v>
      </c>
      <c r="E21" s="802">
        <v>78954</v>
      </c>
      <c r="F21" s="802">
        <v>58433</v>
      </c>
      <c r="G21" s="802">
        <v>286515</v>
      </c>
      <c r="H21" s="802"/>
      <c r="I21" s="803">
        <v>5383.125</v>
      </c>
      <c r="J21" s="803">
        <v>251078.67</v>
      </c>
      <c r="K21" s="803">
        <v>19624</v>
      </c>
      <c r="L21" s="802">
        <v>42554</v>
      </c>
      <c r="M21" s="802"/>
      <c r="N21" s="803">
        <v>10040</v>
      </c>
      <c r="O21" s="803">
        <v>92671.83</v>
      </c>
      <c r="P21" s="803">
        <v>0</v>
      </c>
      <c r="Q21" s="802">
        <v>0</v>
      </c>
      <c r="R21" s="802"/>
      <c r="S21" s="803">
        <v>76581</v>
      </c>
      <c r="T21" s="804">
        <v>14293</v>
      </c>
      <c r="U21" s="804">
        <v>90874</v>
      </c>
    </row>
    <row r="22" spans="1:21" x14ac:dyDescent="0.25">
      <c r="A22" s="799">
        <v>90121</v>
      </c>
      <c r="B22" s="800" t="s">
        <v>2645</v>
      </c>
      <c r="C22" s="801">
        <v>1.0789E-3</v>
      </c>
      <c r="D22" s="801">
        <v>1.1057E-3</v>
      </c>
      <c r="E22" s="802">
        <v>394126</v>
      </c>
      <c r="F22" s="802">
        <v>496232</v>
      </c>
      <c r="G22" s="802">
        <v>2289787</v>
      </c>
      <c r="H22" s="802"/>
      <c r="I22" s="803">
        <v>43021</v>
      </c>
      <c r="J22" s="803">
        <v>2006584</v>
      </c>
      <c r="K22" s="803">
        <v>156830</v>
      </c>
      <c r="L22" s="802">
        <v>6521</v>
      </c>
      <c r="M22" s="802"/>
      <c r="N22" s="803">
        <v>80237</v>
      </c>
      <c r="O22" s="803">
        <v>740620</v>
      </c>
      <c r="P22" s="803">
        <v>0</v>
      </c>
      <c r="Q22" s="802">
        <v>74370</v>
      </c>
      <c r="R22" s="802"/>
      <c r="S22" s="803">
        <v>612027</v>
      </c>
      <c r="T22" s="804">
        <v>-17947</v>
      </c>
      <c r="U22" s="804">
        <v>594079</v>
      </c>
    </row>
    <row r="23" spans="1:21" x14ac:dyDescent="0.25">
      <c r="A23" s="799">
        <v>90131</v>
      </c>
      <c r="B23" s="800" t="s">
        <v>2646</v>
      </c>
      <c r="C23" s="801">
        <v>5.0440000000000001E-4</v>
      </c>
      <c r="D23" s="801">
        <v>4.727E-4</v>
      </c>
      <c r="E23" s="802">
        <v>173703</v>
      </c>
      <c r="F23" s="802">
        <v>212145</v>
      </c>
      <c r="G23" s="802">
        <v>1070506</v>
      </c>
      <c r="H23" s="802"/>
      <c r="I23" s="803">
        <v>20112.95</v>
      </c>
      <c r="J23" s="803">
        <v>938104</v>
      </c>
      <c r="K23" s="803">
        <v>73320</v>
      </c>
      <c r="L23" s="802">
        <v>0</v>
      </c>
      <c r="M23" s="802"/>
      <c r="N23" s="803">
        <v>37512</v>
      </c>
      <c r="O23" s="803">
        <v>346249</v>
      </c>
      <c r="P23" s="803">
        <v>0</v>
      </c>
      <c r="Q23" s="802">
        <v>23072</v>
      </c>
      <c r="R23" s="802"/>
      <c r="S23" s="803">
        <v>286130</v>
      </c>
      <c r="T23" s="804">
        <v>-8951</v>
      </c>
      <c r="U23" s="804">
        <v>277180</v>
      </c>
    </row>
    <row r="24" spans="1:21" x14ac:dyDescent="0.25">
      <c r="A24" s="799">
        <v>90141</v>
      </c>
      <c r="B24" s="800" t="s">
        <v>2647</v>
      </c>
      <c r="C24" s="801">
        <v>1.306E-4</v>
      </c>
      <c r="D24" s="801">
        <v>1.5919999999999999E-4</v>
      </c>
      <c r="E24" s="802">
        <v>55925.87</v>
      </c>
      <c r="F24" s="802">
        <v>71448</v>
      </c>
      <c r="G24" s="802">
        <v>277177</v>
      </c>
      <c r="H24" s="802"/>
      <c r="I24" s="803">
        <v>5208</v>
      </c>
      <c r="J24" s="803">
        <v>242895</v>
      </c>
      <c r="K24" s="803">
        <v>18984</v>
      </c>
      <c r="L24" s="802">
        <v>2143</v>
      </c>
      <c r="M24" s="802"/>
      <c r="N24" s="803">
        <v>9713</v>
      </c>
      <c r="O24" s="803">
        <v>89651</v>
      </c>
      <c r="P24" s="803">
        <v>0</v>
      </c>
      <c r="Q24" s="802">
        <v>13732</v>
      </c>
      <c r="R24" s="802"/>
      <c r="S24" s="803">
        <v>74085</v>
      </c>
      <c r="T24" s="804">
        <v>-2701</v>
      </c>
      <c r="U24" s="804">
        <v>71385</v>
      </c>
    </row>
    <row r="25" spans="1:21" x14ac:dyDescent="0.25">
      <c r="A25" s="799">
        <v>90151</v>
      </c>
      <c r="B25" s="800" t="s">
        <v>2648</v>
      </c>
      <c r="C25" s="801">
        <v>1.0000000000000001E-5</v>
      </c>
      <c r="D25" s="801">
        <v>9.7999999999999993E-6</v>
      </c>
      <c r="E25" s="802">
        <v>2703</v>
      </c>
      <c r="F25" s="802">
        <v>4398</v>
      </c>
      <c r="G25" s="802">
        <v>21223</v>
      </c>
      <c r="H25" s="802"/>
      <c r="I25" s="803">
        <v>399</v>
      </c>
      <c r="J25" s="803">
        <v>18598</v>
      </c>
      <c r="K25" s="803">
        <v>1454</v>
      </c>
      <c r="L25" s="802">
        <v>0</v>
      </c>
      <c r="M25" s="802"/>
      <c r="N25" s="803">
        <v>743.69</v>
      </c>
      <c r="O25" s="803">
        <v>6865</v>
      </c>
      <c r="P25" s="803">
        <v>0</v>
      </c>
      <c r="Q25" s="802">
        <v>2266</v>
      </c>
      <c r="R25" s="802"/>
      <c r="S25" s="803">
        <v>5673</v>
      </c>
      <c r="T25" s="804">
        <v>-782</v>
      </c>
      <c r="U25" s="804">
        <v>4891</v>
      </c>
    </row>
    <row r="26" spans="1:21" x14ac:dyDescent="0.25">
      <c r="A26" s="799">
        <v>90161</v>
      </c>
      <c r="B26" s="800" t="s">
        <v>2649</v>
      </c>
      <c r="C26" s="801">
        <v>3.4799999999999999E-5</v>
      </c>
      <c r="D26" s="801">
        <v>2.6299999999999999E-5</v>
      </c>
      <c r="E26" s="802">
        <v>13115.62</v>
      </c>
      <c r="F26" s="802">
        <v>11803</v>
      </c>
      <c r="G26" s="802">
        <v>73857</v>
      </c>
      <c r="H26" s="802"/>
      <c r="I26" s="803">
        <v>1388</v>
      </c>
      <c r="J26" s="803">
        <v>64723</v>
      </c>
      <c r="K26" s="803">
        <v>5059</v>
      </c>
      <c r="L26" s="802">
        <v>5728</v>
      </c>
      <c r="M26" s="802"/>
      <c r="N26" s="803">
        <v>2588</v>
      </c>
      <c r="O26" s="803">
        <v>23889</v>
      </c>
      <c r="P26" s="803">
        <v>0</v>
      </c>
      <c r="Q26" s="802">
        <v>0</v>
      </c>
      <c r="R26" s="802"/>
      <c r="S26" s="803">
        <v>19741</v>
      </c>
      <c r="T26" s="804">
        <v>1706</v>
      </c>
      <c r="U26" s="804">
        <v>21447</v>
      </c>
    </row>
    <row r="27" spans="1:21" x14ac:dyDescent="0.25">
      <c r="A27" s="799">
        <v>90201</v>
      </c>
      <c r="B27" s="800" t="s">
        <v>2650</v>
      </c>
      <c r="C27" s="801">
        <v>1.2419E-3</v>
      </c>
      <c r="D27" s="801">
        <v>1.1842999999999999E-3</v>
      </c>
      <c r="E27" s="802">
        <v>470870</v>
      </c>
      <c r="F27" s="802">
        <v>531507</v>
      </c>
      <c r="G27" s="802">
        <v>2635728</v>
      </c>
      <c r="H27" s="802"/>
      <c r="I27" s="803">
        <v>49521</v>
      </c>
      <c r="J27" s="803">
        <v>2309738</v>
      </c>
      <c r="K27" s="803">
        <v>180524</v>
      </c>
      <c r="L27" s="802">
        <v>70694</v>
      </c>
      <c r="M27" s="802"/>
      <c r="N27" s="803">
        <v>92359</v>
      </c>
      <c r="O27" s="803">
        <v>852512</v>
      </c>
      <c r="P27" s="803">
        <v>0</v>
      </c>
      <c r="Q27" s="802">
        <v>450</v>
      </c>
      <c r="R27" s="802"/>
      <c r="S27" s="803">
        <v>704491</v>
      </c>
      <c r="T27" s="804">
        <v>33957</v>
      </c>
      <c r="U27" s="804">
        <v>738448</v>
      </c>
    </row>
    <row r="28" spans="1:21" x14ac:dyDescent="0.25">
      <c r="A28" s="799">
        <v>90203</v>
      </c>
      <c r="B28" s="800" t="s">
        <v>2651</v>
      </c>
      <c r="C28" s="801">
        <v>2.3680000000000001E-4</v>
      </c>
      <c r="D28" s="801">
        <v>2.7530000000000002E-4</v>
      </c>
      <c r="E28" s="802">
        <v>95318</v>
      </c>
      <c r="F28" s="802">
        <v>123553</v>
      </c>
      <c r="G28" s="802">
        <v>502569</v>
      </c>
      <c r="H28" s="802"/>
      <c r="I28" s="803">
        <v>9442.4</v>
      </c>
      <c r="J28" s="803">
        <v>440411</v>
      </c>
      <c r="K28" s="803">
        <v>34421</v>
      </c>
      <c r="L28" s="802">
        <v>3338</v>
      </c>
      <c r="M28" s="802"/>
      <c r="N28" s="803">
        <v>17611</v>
      </c>
      <c r="O28" s="803">
        <v>162553</v>
      </c>
      <c r="P28" s="803">
        <v>0</v>
      </c>
      <c r="Q28" s="802">
        <v>36458</v>
      </c>
      <c r="R28" s="802"/>
      <c r="S28" s="803">
        <v>134329</v>
      </c>
      <c r="T28" s="804">
        <v>-11660</v>
      </c>
      <c r="U28" s="804">
        <v>122669</v>
      </c>
    </row>
    <row r="29" spans="1:21" x14ac:dyDescent="0.25">
      <c r="A29" s="799">
        <v>90205</v>
      </c>
      <c r="B29" s="800" t="s">
        <v>2652</v>
      </c>
      <c r="C29" s="801">
        <v>3.3599999999999997E-5</v>
      </c>
      <c r="D29" s="801">
        <v>3.5299999999999997E-5</v>
      </c>
      <c r="E29" s="802">
        <v>13992.72</v>
      </c>
      <c r="F29" s="802">
        <v>15842</v>
      </c>
      <c r="G29" s="802">
        <v>71310</v>
      </c>
      <c r="H29" s="802"/>
      <c r="I29" s="803">
        <v>1339.8</v>
      </c>
      <c r="J29" s="803">
        <v>62491</v>
      </c>
      <c r="K29" s="803">
        <v>4884</v>
      </c>
      <c r="L29" s="802">
        <v>1378</v>
      </c>
      <c r="M29" s="802"/>
      <c r="N29" s="803">
        <v>2499</v>
      </c>
      <c r="O29" s="803">
        <v>23065</v>
      </c>
      <c r="P29" s="803">
        <v>0</v>
      </c>
      <c r="Q29" s="802">
        <v>782</v>
      </c>
      <c r="R29" s="802"/>
      <c r="S29" s="803">
        <v>19060</v>
      </c>
      <c r="T29" s="804">
        <v>406</v>
      </c>
      <c r="U29" s="804">
        <v>19467</v>
      </c>
    </row>
    <row r="30" spans="1:21" x14ac:dyDescent="0.25">
      <c r="A30" s="799">
        <v>90206</v>
      </c>
      <c r="B30" s="800" t="s">
        <v>2653</v>
      </c>
      <c r="C30" s="801">
        <v>4.347E-4</v>
      </c>
      <c r="D30" s="801">
        <v>4.3810000000000002E-4</v>
      </c>
      <c r="E30" s="802">
        <v>170440.57</v>
      </c>
      <c r="F30" s="802">
        <v>196617</v>
      </c>
      <c r="G30" s="802">
        <v>922579</v>
      </c>
      <c r="H30" s="802"/>
      <c r="I30" s="803">
        <v>17334</v>
      </c>
      <c r="J30" s="803">
        <v>808473</v>
      </c>
      <c r="K30" s="803">
        <v>63188</v>
      </c>
      <c r="L30" s="802">
        <v>18047</v>
      </c>
      <c r="M30" s="802"/>
      <c r="N30" s="803">
        <v>32328</v>
      </c>
      <c r="O30" s="803">
        <v>298403</v>
      </c>
      <c r="P30" s="803">
        <v>0</v>
      </c>
      <c r="Q30" s="802">
        <v>12515</v>
      </c>
      <c r="R30" s="802"/>
      <c r="S30" s="803">
        <v>246592</v>
      </c>
      <c r="T30" s="804">
        <v>5439</v>
      </c>
      <c r="U30" s="804">
        <v>252031</v>
      </c>
    </row>
    <row r="31" spans="1:21" x14ac:dyDescent="0.25">
      <c r="A31" s="799">
        <v>90211</v>
      </c>
      <c r="B31" s="800" t="s">
        <v>2654</v>
      </c>
      <c r="C31" s="801">
        <v>1.5689999999999999E-4</v>
      </c>
      <c r="D31" s="801">
        <v>1.708E-4</v>
      </c>
      <c r="E31" s="802">
        <v>58970</v>
      </c>
      <c r="F31" s="802">
        <v>76654</v>
      </c>
      <c r="G31" s="802">
        <v>332994</v>
      </c>
      <c r="H31" s="802"/>
      <c r="I31" s="803">
        <v>6256</v>
      </c>
      <c r="J31" s="803">
        <v>291809</v>
      </c>
      <c r="K31" s="803">
        <v>22807</v>
      </c>
      <c r="L31" s="802">
        <v>0</v>
      </c>
      <c r="M31" s="802"/>
      <c r="N31" s="803">
        <v>11668</v>
      </c>
      <c r="O31" s="803">
        <v>107705</v>
      </c>
      <c r="P31" s="803">
        <v>0</v>
      </c>
      <c r="Q31" s="802">
        <v>17335</v>
      </c>
      <c r="R31" s="802"/>
      <c r="S31" s="803">
        <v>89005</v>
      </c>
      <c r="T31" s="804">
        <v>-5305</v>
      </c>
      <c r="U31" s="804">
        <v>83699</v>
      </c>
    </row>
    <row r="32" spans="1:21" x14ac:dyDescent="0.25">
      <c r="A32" s="799">
        <v>90301</v>
      </c>
      <c r="B32" s="800" t="s">
        <v>2655</v>
      </c>
      <c r="C32" s="801">
        <v>6.4000000000000005E-4</v>
      </c>
      <c r="D32" s="801">
        <v>6.2489999999999996E-4</v>
      </c>
      <c r="E32" s="802">
        <v>241334.31</v>
      </c>
      <c r="F32" s="802">
        <v>280451</v>
      </c>
      <c r="G32" s="802">
        <v>1358294</v>
      </c>
      <c r="H32" s="802"/>
      <c r="I32" s="803">
        <v>25520</v>
      </c>
      <c r="J32" s="803">
        <v>1190299</v>
      </c>
      <c r="K32" s="803">
        <v>93031</v>
      </c>
      <c r="L32" s="802">
        <v>6684</v>
      </c>
      <c r="M32" s="802"/>
      <c r="N32" s="803">
        <v>47596.160000000003</v>
      </c>
      <c r="O32" s="803">
        <v>439333</v>
      </c>
      <c r="P32" s="803">
        <v>0</v>
      </c>
      <c r="Q32" s="802">
        <v>19561</v>
      </c>
      <c r="R32" s="802"/>
      <c r="S32" s="803">
        <v>363052</v>
      </c>
      <c r="T32" s="804">
        <v>-5224</v>
      </c>
      <c r="U32" s="804">
        <v>357828</v>
      </c>
    </row>
    <row r="33" spans="1:21" x14ac:dyDescent="0.25">
      <c r="A33" s="799">
        <v>90305</v>
      </c>
      <c r="B33" s="800" t="s">
        <v>2656</v>
      </c>
      <c r="C33" s="801">
        <v>1.7009999999999999E-4</v>
      </c>
      <c r="D33" s="801">
        <v>1.773E-4</v>
      </c>
      <c r="E33" s="802">
        <v>84901.17</v>
      </c>
      <c r="F33" s="802">
        <v>79571</v>
      </c>
      <c r="G33" s="802">
        <v>361009</v>
      </c>
      <c r="H33" s="802"/>
      <c r="I33" s="803">
        <v>6783</v>
      </c>
      <c r="J33" s="803">
        <v>316359</v>
      </c>
      <c r="K33" s="803">
        <v>24726</v>
      </c>
      <c r="L33" s="802">
        <v>26122</v>
      </c>
      <c r="M33" s="802"/>
      <c r="N33" s="803">
        <v>12650</v>
      </c>
      <c r="O33" s="803">
        <v>116767</v>
      </c>
      <c r="P33" s="803">
        <v>0</v>
      </c>
      <c r="Q33" s="802">
        <v>0</v>
      </c>
      <c r="R33" s="802"/>
      <c r="S33" s="803">
        <v>96492</v>
      </c>
      <c r="T33" s="804">
        <v>9101</v>
      </c>
      <c r="U33" s="804">
        <v>105594</v>
      </c>
    </row>
    <row r="34" spans="1:21" x14ac:dyDescent="0.25">
      <c r="A34" s="799">
        <v>90307</v>
      </c>
      <c r="B34" s="800" t="s">
        <v>2657</v>
      </c>
      <c r="C34" s="801">
        <v>7.7000000000000008E-6</v>
      </c>
      <c r="D34" s="801">
        <v>8.4999999999999999E-6</v>
      </c>
      <c r="E34" s="802">
        <v>3744</v>
      </c>
      <c r="F34" s="802">
        <v>3815</v>
      </c>
      <c r="G34" s="802">
        <v>16342</v>
      </c>
      <c r="H34" s="802"/>
      <c r="I34" s="803">
        <v>307</v>
      </c>
      <c r="J34" s="803">
        <v>14321</v>
      </c>
      <c r="K34" s="803">
        <v>1119</v>
      </c>
      <c r="L34" s="802">
        <v>213</v>
      </c>
      <c r="M34" s="802"/>
      <c r="N34" s="803">
        <v>573</v>
      </c>
      <c r="O34" s="803">
        <v>5286</v>
      </c>
      <c r="P34" s="803">
        <v>0</v>
      </c>
      <c r="Q34" s="802">
        <v>80</v>
      </c>
      <c r="R34" s="802"/>
      <c r="S34" s="803">
        <v>4368</v>
      </c>
      <c r="T34" s="804">
        <v>33</v>
      </c>
      <c r="U34" s="804">
        <v>4401</v>
      </c>
    </row>
    <row r="35" spans="1:21" x14ac:dyDescent="0.25">
      <c r="A35" s="799">
        <v>90401</v>
      </c>
      <c r="B35" s="800" t="s">
        <v>2658</v>
      </c>
      <c r="C35" s="801">
        <v>1.3626999999999999E-3</v>
      </c>
      <c r="D35" s="801">
        <v>1.359E-3</v>
      </c>
      <c r="E35" s="802">
        <v>569788.09</v>
      </c>
      <c r="F35" s="802">
        <v>609911</v>
      </c>
      <c r="G35" s="802">
        <v>2892106</v>
      </c>
      <c r="H35" s="802"/>
      <c r="I35" s="803">
        <v>54338</v>
      </c>
      <c r="J35" s="803">
        <v>2534407</v>
      </c>
      <c r="K35" s="803">
        <v>198083</v>
      </c>
      <c r="L35" s="802">
        <v>70826</v>
      </c>
      <c r="M35" s="802"/>
      <c r="N35" s="803">
        <v>101343</v>
      </c>
      <c r="O35" s="803">
        <v>935436</v>
      </c>
      <c r="P35" s="803">
        <v>0</v>
      </c>
      <c r="Q35" s="802">
        <v>0</v>
      </c>
      <c r="R35" s="802"/>
      <c r="S35" s="803">
        <v>773017</v>
      </c>
      <c r="T35" s="804">
        <v>26807</v>
      </c>
      <c r="U35" s="804">
        <v>799824</v>
      </c>
    </row>
    <row r="36" spans="1:21" x14ac:dyDescent="0.25">
      <c r="A36" s="799">
        <v>90411</v>
      </c>
      <c r="B36" s="800" t="s">
        <v>2659</v>
      </c>
      <c r="C36" s="801">
        <v>3.5490000000000001E-4</v>
      </c>
      <c r="D36" s="801">
        <v>4.0069999999999998E-4</v>
      </c>
      <c r="E36" s="802">
        <v>139271.16</v>
      </c>
      <c r="F36" s="802">
        <v>179832</v>
      </c>
      <c r="G36" s="802">
        <v>753217</v>
      </c>
      <c r="H36" s="802"/>
      <c r="I36" s="803">
        <v>14152</v>
      </c>
      <c r="J36" s="803">
        <v>660058</v>
      </c>
      <c r="K36" s="803">
        <v>51589</v>
      </c>
      <c r="L36" s="802">
        <v>0</v>
      </c>
      <c r="M36" s="802"/>
      <c r="N36" s="803">
        <v>26394</v>
      </c>
      <c r="O36" s="803">
        <v>243624</v>
      </c>
      <c r="P36" s="803">
        <v>0</v>
      </c>
      <c r="Q36" s="802">
        <v>45866</v>
      </c>
      <c r="R36" s="802"/>
      <c r="S36" s="803">
        <v>201324</v>
      </c>
      <c r="T36" s="804">
        <v>-13553</v>
      </c>
      <c r="U36" s="804">
        <v>187770</v>
      </c>
    </row>
    <row r="37" spans="1:21" x14ac:dyDescent="0.25">
      <c r="A37" s="799">
        <v>90413</v>
      </c>
      <c r="B37" s="800" t="s">
        <v>2660</v>
      </c>
      <c r="C37" s="801">
        <v>3.7299999999999999E-5</v>
      </c>
      <c r="D37" s="801">
        <v>3.6399999999999997E-5</v>
      </c>
      <c r="E37" s="802">
        <v>16560</v>
      </c>
      <c r="F37" s="802">
        <v>16336</v>
      </c>
      <c r="G37" s="802">
        <v>79163</v>
      </c>
      <c r="H37" s="802"/>
      <c r="I37" s="803">
        <v>1487</v>
      </c>
      <c r="J37" s="803">
        <v>69372</v>
      </c>
      <c r="K37" s="803">
        <v>5422</v>
      </c>
      <c r="L37" s="802">
        <v>9568</v>
      </c>
      <c r="M37" s="802"/>
      <c r="N37" s="803">
        <v>2774</v>
      </c>
      <c r="O37" s="803">
        <v>25605</v>
      </c>
      <c r="P37" s="803">
        <v>0</v>
      </c>
      <c r="Q37" s="802">
        <v>0</v>
      </c>
      <c r="R37" s="802"/>
      <c r="S37" s="803">
        <v>21159</v>
      </c>
      <c r="T37" s="804">
        <v>3645</v>
      </c>
      <c r="U37" s="804">
        <v>24804</v>
      </c>
    </row>
    <row r="38" spans="1:21" x14ac:dyDescent="0.25">
      <c r="A38" s="799">
        <v>90417</v>
      </c>
      <c r="B38" s="800" t="s">
        <v>2661</v>
      </c>
      <c r="C38" s="801">
        <v>1.2099999999999999E-5</v>
      </c>
      <c r="D38" s="801">
        <v>1.38E-5</v>
      </c>
      <c r="E38" s="802">
        <v>7492</v>
      </c>
      <c r="F38" s="802">
        <v>6193</v>
      </c>
      <c r="G38" s="802">
        <v>25680</v>
      </c>
      <c r="H38" s="802"/>
      <c r="I38" s="803">
        <v>482</v>
      </c>
      <c r="J38" s="803">
        <v>22504</v>
      </c>
      <c r="K38" s="803">
        <v>1759</v>
      </c>
      <c r="L38" s="802">
        <v>2032</v>
      </c>
      <c r="M38" s="802"/>
      <c r="N38" s="803">
        <v>900</v>
      </c>
      <c r="O38" s="803">
        <v>8306</v>
      </c>
      <c r="P38" s="803">
        <v>0</v>
      </c>
      <c r="Q38" s="802">
        <v>0</v>
      </c>
      <c r="R38" s="802"/>
      <c r="S38" s="803">
        <v>6864</v>
      </c>
      <c r="T38" s="804">
        <v>687</v>
      </c>
      <c r="U38" s="804">
        <v>7551</v>
      </c>
    </row>
    <row r="39" spans="1:21" x14ac:dyDescent="0.25">
      <c r="A39" s="799">
        <v>90421</v>
      </c>
      <c r="B39" s="800" t="s">
        <v>2662</v>
      </c>
      <c r="C39" s="801">
        <v>2.3600000000000001E-5</v>
      </c>
      <c r="D39" s="801">
        <v>2.4700000000000001E-5</v>
      </c>
      <c r="E39" s="802">
        <v>7745.31</v>
      </c>
      <c r="F39" s="802">
        <v>11085</v>
      </c>
      <c r="G39" s="802">
        <v>50087</v>
      </c>
      <c r="H39" s="802"/>
      <c r="I39" s="803">
        <v>941</v>
      </c>
      <c r="J39" s="803">
        <v>43892</v>
      </c>
      <c r="K39" s="803">
        <v>3431</v>
      </c>
      <c r="L39" s="802">
        <v>0</v>
      </c>
      <c r="M39" s="802"/>
      <c r="N39" s="803">
        <v>1755</v>
      </c>
      <c r="O39" s="803">
        <v>16200</v>
      </c>
      <c r="P39" s="803">
        <v>0</v>
      </c>
      <c r="Q39" s="802">
        <v>3590</v>
      </c>
      <c r="R39" s="802"/>
      <c r="S39" s="803">
        <v>13388</v>
      </c>
      <c r="T39" s="804">
        <v>-1226</v>
      </c>
      <c r="U39" s="804">
        <v>12162</v>
      </c>
    </row>
    <row r="40" spans="1:21" x14ac:dyDescent="0.25">
      <c r="A40" s="799">
        <v>90431</v>
      </c>
      <c r="B40" s="800" t="s">
        <v>2663</v>
      </c>
      <c r="C40" s="801">
        <v>4.2799999999999997E-5</v>
      </c>
      <c r="D40" s="801">
        <v>4.7599999999999998E-5</v>
      </c>
      <c r="E40" s="802">
        <v>18711.07</v>
      </c>
      <c r="F40" s="802">
        <v>21363</v>
      </c>
      <c r="G40" s="802">
        <v>90836</v>
      </c>
      <c r="H40" s="802"/>
      <c r="I40" s="803">
        <v>1707</v>
      </c>
      <c r="J40" s="803">
        <v>79601</v>
      </c>
      <c r="K40" s="803">
        <v>6221</v>
      </c>
      <c r="L40" s="802">
        <v>8478</v>
      </c>
      <c r="M40" s="802"/>
      <c r="N40" s="803">
        <v>3183</v>
      </c>
      <c r="O40" s="803">
        <v>29380</v>
      </c>
      <c r="P40" s="803">
        <v>0</v>
      </c>
      <c r="Q40" s="802">
        <v>1719</v>
      </c>
      <c r="R40" s="802"/>
      <c r="S40" s="803">
        <v>24279</v>
      </c>
      <c r="T40" s="804">
        <v>2793</v>
      </c>
      <c r="U40" s="804">
        <v>27072</v>
      </c>
    </row>
    <row r="41" spans="1:21" x14ac:dyDescent="0.25">
      <c r="A41" s="799">
        <v>90441</v>
      </c>
      <c r="B41" s="800" t="s">
        <v>2664</v>
      </c>
      <c r="C41" s="801">
        <v>9.3999999999999998E-6</v>
      </c>
      <c r="D41" s="801">
        <v>1.03E-5</v>
      </c>
      <c r="E41" s="802">
        <v>4675</v>
      </c>
      <c r="F41" s="802">
        <v>4623</v>
      </c>
      <c r="G41" s="802">
        <v>19950</v>
      </c>
      <c r="H41" s="802"/>
      <c r="I41" s="803">
        <v>374.82499999999999</v>
      </c>
      <c r="J41" s="803">
        <v>17483</v>
      </c>
      <c r="K41" s="803">
        <v>1366</v>
      </c>
      <c r="L41" s="802">
        <v>1367</v>
      </c>
      <c r="M41" s="802"/>
      <c r="N41" s="803">
        <v>699</v>
      </c>
      <c r="O41" s="803">
        <v>6453</v>
      </c>
      <c r="P41" s="803">
        <v>0</v>
      </c>
      <c r="Q41" s="802">
        <v>200</v>
      </c>
      <c r="R41" s="802"/>
      <c r="S41" s="803">
        <v>5332</v>
      </c>
      <c r="T41" s="804">
        <v>578</v>
      </c>
      <c r="U41" s="804">
        <v>5911</v>
      </c>
    </row>
    <row r="42" spans="1:21" x14ac:dyDescent="0.25">
      <c r="A42" s="799">
        <v>90451</v>
      </c>
      <c r="B42" s="800" t="s">
        <v>2665</v>
      </c>
      <c r="C42" s="801">
        <v>1.7900000000000001E-5</v>
      </c>
      <c r="D42" s="801">
        <v>1.2099999999999999E-5</v>
      </c>
      <c r="E42" s="802">
        <v>6772.25</v>
      </c>
      <c r="F42" s="802">
        <v>5430</v>
      </c>
      <c r="G42" s="802">
        <v>37990</v>
      </c>
      <c r="H42" s="802"/>
      <c r="I42" s="803">
        <v>713.76250000000005</v>
      </c>
      <c r="J42" s="803">
        <v>33291</v>
      </c>
      <c r="K42" s="803">
        <v>2602</v>
      </c>
      <c r="L42" s="802">
        <v>3118</v>
      </c>
      <c r="M42" s="802"/>
      <c r="N42" s="803">
        <v>1331</v>
      </c>
      <c r="O42" s="803">
        <v>12288</v>
      </c>
      <c r="P42" s="803">
        <v>0</v>
      </c>
      <c r="Q42" s="802">
        <v>288</v>
      </c>
      <c r="R42" s="802"/>
      <c r="S42" s="803">
        <v>10154</v>
      </c>
      <c r="T42" s="804">
        <v>814</v>
      </c>
      <c r="U42" s="804">
        <v>10968</v>
      </c>
    </row>
    <row r="43" spans="1:21" x14ac:dyDescent="0.25">
      <c r="A43" s="799">
        <v>90461</v>
      </c>
      <c r="B43" s="800" t="s">
        <v>2666</v>
      </c>
      <c r="C43" s="801">
        <v>1.7200000000000001E-5</v>
      </c>
      <c r="D43" s="801">
        <v>1.7200000000000001E-5</v>
      </c>
      <c r="E43" s="802">
        <v>6466.34</v>
      </c>
      <c r="F43" s="802">
        <v>7719</v>
      </c>
      <c r="G43" s="802">
        <v>36504</v>
      </c>
      <c r="H43" s="802"/>
      <c r="I43" s="803">
        <v>685.85</v>
      </c>
      <c r="J43" s="803">
        <v>31989</v>
      </c>
      <c r="K43" s="803">
        <v>2500</v>
      </c>
      <c r="L43" s="802">
        <v>4750</v>
      </c>
      <c r="M43" s="802"/>
      <c r="N43" s="803">
        <v>1279</v>
      </c>
      <c r="O43" s="803">
        <v>11807</v>
      </c>
      <c r="P43" s="803">
        <v>0</v>
      </c>
      <c r="Q43" s="802">
        <v>2426</v>
      </c>
      <c r="R43" s="802"/>
      <c r="S43" s="803">
        <v>9757</v>
      </c>
      <c r="T43" s="804">
        <v>583</v>
      </c>
      <c r="U43" s="804">
        <v>10340</v>
      </c>
    </row>
    <row r="44" spans="1:21" x14ac:dyDescent="0.25">
      <c r="A44" s="799">
        <v>90501</v>
      </c>
      <c r="B44" s="800" t="s">
        <v>2667</v>
      </c>
      <c r="C44" s="801">
        <v>1.4001E-3</v>
      </c>
      <c r="D44" s="801">
        <v>1.4352E-3</v>
      </c>
      <c r="E44" s="802">
        <v>603983</v>
      </c>
      <c r="F44" s="802">
        <v>644109</v>
      </c>
      <c r="G44" s="802">
        <v>2971481</v>
      </c>
      <c r="H44" s="802"/>
      <c r="I44" s="803">
        <v>55829</v>
      </c>
      <c r="J44" s="803">
        <v>2603965</v>
      </c>
      <c r="K44" s="803">
        <v>203520</v>
      </c>
      <c r="L44" s="802">
        <v>46994</v>
      </c>
      <c r="M44" s="802"/>
      <c r="N44" s="803">
        <v>104124</v>
      </c>
      <c r="O44" s="803">
        <v>961110</v>
      </c>
      <c r="P44" s="803">
        <v>0</v>
      </c>
      <c r="Q44" s="802">
        <v>0</v>
      </c>
      <c r="R44" s="802"/>
      <c r="S44" s="803">
        <v>794233</v>
      </c>
      <c r="T44" s="804">
        <v>20332</v>
      </c>
      <c r="U44" s="804">
        <v>814566</v>
      </c>
    </row>
    <row r="45" spans="1:21" x14ac:dyDescent="0.25">
      <c r="A45" s="799">
        <v>90507</v>
      </c>
      <c r="B45" s="800" t="s">
        <v>1196</v>
      </c>
      <c r="C45" s="801">
        <v>7.3000000000000004E-6</v>
      </c>
      <c r="D45" s="801">
        <v>7.7000000000000008E-6</v>
      </c>
      <c r="E45" s="802">
        <v>9534.18</v>
      </c>
      <c r="F45" s="802">
        <v>3456</v>
      </c>
      <c r="G45" s="802">
        <v>15493</v>
      </c>
      <c r="H45" s="802"/>
      <c r="I45" s="803">
        <v>291</v>
      </c>
      <c r="J45" s="803">
        <v>13577</v>
      </c>
      <c r="K45" s="803">
        <v>1061</v>
      </c>
      <c r="L45" s="802">
        <v>8871</v>
      </c>
      <c r="M45" s="802"/>
      <c r="N45" s="803">
        <v>543</v>
      </c>
      <c r="O45" s="803">
        <v>5011</v>
      </c>
      <c r="P45" s="803">
        <v>0</v>
      </c>
      <c r="Q45" s="802">
        <v>0</v>
      </c>
      <c r="R45" s="802"/>
      <c r="S45" s="803">
        <v>4141</v>
      </c>
      <c r="T45" s="804">
        <v>2759</v>
      </c>
      <c r="U45" s="804">
        <v>6900</v>
      </c>
    </row>
    <row r="46" spans="1:21" x14ac:dyDescent="0.25">
      <c r="A46" s="799">
        <v>90511</v>
      </c>
      <c r="B46" s="800" t="s">
        <v>2668</v>
      </c>
      <c r="C46" s="801">
        <v>9.5500000000000004E-5</v>
      </c>
      <c r="D46" s="801">
        <v>9.0699999999999996E-5</v>
      </c>
      <c r="E46" s="802">
        <v>45634.76</v>
      </c>
      <c r="F46" s="802">
        <v>40706</v>
      </c>
      <c r="G46" s="802">
        <v>202683</v>
      </c>
      <c r="H46" s="802"/>
      <c r="I46" s="803">
        <v>3808.0625</v>
      </c>
      <c r="J46" s="803">
        <v>177615</v>
      </c>
      <c r="K46" s="803">
        <v>13882</v>
      </c>
      <c r="L46" s="802">
        <v>15579</v>
      </c>
      <c r="M46" s="802"/>
      <c r="N46" s="803">
        <v>7102</v>
      </c>
      <c r="O46" s="803">
        <v>65557</v>
      </c>
      <c r="P46" s="803">
        <v>0</v>
      </c>
      <c r="Q46" s="802">
        <v>0</v>
      </c>
      <c r="R46" s="802"/>
      <c r="S46" s="803">
        <v>54174</v>
      </c>
      <c r="T46" s="804">
        <v>5418</v>
      </c>
      <c r="U46" s="804">
        <v>59592</v>
      </c>
    </row>
    <row r="47" spans="1:21" x14ac:dyDescent="0.25">
      <c r="A47" s="799">
        <v>90521</v>
      </c>
      <c r="B47" s="800" t="s">
        <v>2669</v>
      </c>
      <c r="C47" s="801">
        <v>1.395E-4</v>
      </c>
      <c r="D47" s="801">
        <v>1.451E-4</v>
      </c>
      <c r="E47" s="802">
        <v>47723.41</v>
      </c>
      <c r="F47" s="802">
        <v>65120</v>
      </c>
      <c r="G47" s="802">
        <v>296066</v>
      </c>
      <c r="H47" s="802"/>
      <c r="I47" s="803">
        <v>5562.5625</v>
      </c>
      <c r="J47" s="803">
        <v>259448</v>
      </c>
      <c r="K47" s="803">
        <v>20278</v>
      </c>
      <c r="L47" s="802">
        <v>0</v>
      </c>
      <c r="M47" s="802"/>
      <c r="N47" s="803">
        <v>10374</v>
      </c>
      <c r="O47" s="803">
        <v>95761</v>
      </c>
      <c r="P47" s="803">
        <v>0</v>
      </c>
      <c r="Q47" s="802">
        <v>17468</v>
      </c>
      <c r="R47" s="802"/>
      <c r="S47" s="803">
        <v>79134</v>
      </c>
      <c r="T47" s="804">
        <v>-5509</v>
      </c>
      <c r="U47" s="804">
        <v>73625</v>
      </c>
    </row>
    <row r="48" spans="1:21" x14ac:dyDescent="0.25">
      <c r="A48" s="799">
        <v>90601</v>
      </c>
      <c r="B48" s="800" t="s">
        <v>2670</v>
      </c>
      <c r="C48" s="801">
        <v>1.1785999999999999E-3</v>
      </c>
      <c r="D48" s="801">
        <v>1.2051E-3</v>
      </c>
      <c r="E48" s="802">
        <v>469146.06</v>
      </c>
      <c r="F48" s="802">
        <v>540842</v>
      </c>
      <c r="G48" s="802">
        <v>2501384</v>
      </c>
      <c r="H48" s="802"/>
      <c r="I48" s="803">
        <v>46997</v>
      </c>
      <c r="J48" s="803">
        <v>2192010</v>
      </c>
      <c r="K48" s="803">
        <v>171322</v>
      </c>
      <c r="L48" s="802">
        <v>32298</v>
      </c>
      <c r="M48" s="802"/>
      <c r="N48" s="803">
        <v>87651</v>
      </c>
      <c r="O48" s="803">
        <v>809059</v>
      </c>
      <c r="P48" s="803">
        <v>0</v>
      </c>
      <c r="Q48" s="802">
        <v>26702</v>
      </c>
      <c r="R48" s="802"/>
      <c r="S48" s="803">
        <v>668583</v>
      </c>
      <c r="T48" s="804">
        <v>7604</v>
      </c>
      <c r="U48" s="804">
        <v>676188</v>
      </c>
    </row>
    <row r="49" spans="1:21" x14ac:dyDescent="0.25">
      <c r="A49" s="799">
        <v>90602</v>
      </c>
      <c r="B49" s="800" t="s">
        <v>2102</v>
      </c>
      <c r="C49" s="801">
        <v>6.3299999999999994E-5</v>
      </c>
      <c r="D49" s="801">
        <v>0</v>
      </c>
      <c r="E49" s="802">
        <v>31566.720000000001</v>
      </c>
      <c r="F49" s="802">
        <v>0</v>
      </c>
      <c r="G49" s="802">
        <v>134344</v>
      </c>
      <c r="H49" s="802"/>
      <c r="I49" s="803">
        <v>2524</v>
      </c>
      <c r="J49" s="803">
        <v>117728</v>
      </c>
      <c r="K49" s="803">
        <v>9201</v>
      </c>
      <c r="L49" s="802">
        <v>46975</v>
      </c>
      <c r="M49" s="802"/>
      <c r="N49" s="803">
        <v>4708</v>
      </c>
      <c r="O49" s="803">
        <v>43453</v>
      </c>
      <c r="P49" s="803">
        <v>0</v>
      </c>
      <c r="Q49" s="802">
        <v>0</v>
      </c>
      <c r="R49" s="802"/>
      <c r="S49" s="803">
        <v>35908</v>
      </c>
      <c r="T49" s="804">
        <v>12962</v>
      </c>
      <c r="U49" s="804">
        <v>48870</v>
      </c>
    </row>
    <row r="50" spans="1:21" x14ac:dyDescent="0.25">
      <c r="A50" s="799">
        <v>90605</v>
      </c>
      <c r="B50" s="800" t="s">
        <v>2671</v>
      </c>
      <c r="C50" s="801">
        <v>3.8399999999999998E-5</v>
      </c>
      <c r="D50" s="801">
        <v>3.6399999999999997E-5</v>
      </c>
      <c r="E50" s="802">
        <v>22332.880000000001</v>
      </c>
      <c r="F50" s="802">
        <v>16336</v>
      </c>
      <c r="G50" s="802">
        <v>81498</v>
      </c>
      <c r="H50" s="802"/>
      <c r="I50" s="803">
        <v>1531</v>
      </c>
      <c r="J50" s="803">
        <v>71418</v>
      </c>
      <c r="K50" s="803">
        <v>5582</v>
      </c>
      <c r="L50" s="802">
        <v>11852</v>
      </c>
      <c r="M50" s="802"/>
      <c r="N50" s="803">
        <v>2856</v>
      </c>
      <c r="O50" s="803">
        <v>26360</v>
      </c>
      <c r="P50" s="803">
        <v>0</v>
      </c>
      <c r="Q50" s="802">
        <v>0</v>
      </c>
      <c r="R50" s="802"/>
      <c r="S50" s="803">
        <v>21783</v>
      </c>
      <c r="T50" s="804">
        <v>3784</v>
      </c>
      <c r="U50" s="804">
        <v>25567</v>
      </c>
    </row>
    <row r="51" spans="1:21" x14ac:dyDescent="0.25">
      <c r="A51" s="799">
        <v>90611</v>
      </c>
      <c r="B51" s="800" t="s">
        <v>2672</v>
      </c>
      <c r="C51" s="801">
        <v>1.5669999999999999E-4</v>
      </c>
      <c r="D51" s="801">
        <v>1.663E-4</v>
      </c>
      <c r="E51" s="802">
        <v>56254</v>
      </c>
      <c r="F51" s="802">
        <v>74634</v>
      </c>
      <c r="G51" s="802">
        <v>332570</v>
      </c>
      <c r="H51" s="802"/>
      <c r="I51" s="803">
        <v>6248</v>
      </c>
      <c r="J51" s="803">
        <v>291437</v>
      </c>
      <c r="K51" s="803">
        <v>22778</v>
      </c>
      <c r="L51" s="802">
        <v>5072.51</v>
      </c>
      <c r="M51" s="802"/>
      <c r="N51" s="803">
        <v>11654</v>
      </c>
      <c r="O51" s="803">
        <v>107568</v>
      </c>
      <c r="P51" s="803">
        <v>0</v>
      </c>
      <c r="Q51" s="802">
        <v>13074</v>
      </c>
      <c r="R51" s="802"/>
      <c r="S51" s="803">
        <v>88891</v>
      </c>
      <c r="T51" s="804">
        <v>-969</v>
      </c>
      <c r="U51" s="804">
        <v>87922</v>
      </c>
    </row>
    <row r="52" spans="1:21" x14ac:dyDescent="0.25">
      <c r="A52" s="799">
        <v>90617</v>
      </c>
      <c r="B52" s="800" t="s">
        <v>2673</v>
      </c>
      <c r="C52" s="801">
        <v>2.6800000000000001E-5</v>
      </c>
      <c r="D52" s="801">
        <v>2.6599999999999999E-5</v>
      </c>
      <c r="E52" s="802">
        <v>14103</v>
      </c>
      <c r="F52" s="802">
        <v>11938</v>
      </c>
      <c r="G52" s="802">
        <v>56879</v>
      </c>
      <c r="H52" s="802"/>
      <c r="I52" s="803">
        <v>1069</v>
      </c>
      <c r="J52" s="803">
        <v>49844</v>
      </c>
      <c r="K52" s="803">
        <v>3896</v>
      </c>
      <c r="L52" s="802">
        <v>8505</v>
      </c>
      <c r="M52" s="802"/>
      <c r="N52" s="803">
        <v>1993</v>
      </c>
      <c r="O52" s="803">
        <v>18397</v>
      </c>
      <c r="P52" s="803">
        <v>0</v>
      </c>
      <c r="Q52" s="802">
        <v>0</v>
      </c>
      <c r="R52" s="802"/>
      <c r="S52" s="803">
        <v>15203</v>
      </c>
      <c r="T52" s="804">
        <v>3445</v>
      </c>
      <c r="U52" s="804">
        <v>18647</v>
      </c>
    </row>
    <row r="53" spans="1:21" x14ac:dyDescent="0.25">
      <c r="A53" s="799">
        <v>90621</v>
      </c>
      <c r="B53" s="800" t="s">
        <v>2674</v>
      </c>
      <c r="C53" s="801">
        <v>8.2100000000000003E-5</v>
      </c>
      <c r="D53" s="801">
        <v>7.9400000000000006E-5</v>
      </c>
      <c r="E53" s="802">
        <v>28252</v>
      </c>
      <c r="F53" s="802">
        <v>35634</v>
      </c>
      <c r="G53" s="802">
        <v>174244</v>
      </c>
      <c r="H53" s="802"/>
      <c r="I53" s="803">
        <v>3274</v>
      </c>
      <c r="J53" s="803">
        <v>152693</v>
      </c>
      <c r="K53" s="803">
        <v>11934</v>
      </c>
      <c r="L53" s="802">
        <v>1182</v>
      </c>
      <c r="M53" s="802"/>
      <c r="N53" s="803">
        <v>6106</v>
      </c>
      <c r="O53" s="803">
        <v>56358</v>
      </c>
      <c r="P53" s="803">
        <v>0</v>
      </c>
      <c r="Q53" s="802">
        <v>7913</v>
      </c>
      <c r="R53" s="802"/>
      <c r="S53" s="803">
        <v>46573</v>
      </c>
      <c r="T53" s="804">
        <v>-1933</v>
      </c>
      <c r="U53" s="804">
        <v>44639</v>
      </c>
    </row>
    <row r="54" spans="1:21" x14ac:dyDescent="0.25">
      <c r="A54" s="799">
        <v>90631</v>
      </c>
      <c r="B54" s="800" t="s">
        <v>2675</v>
      </c>
      <c r="C54" s="801">
        <v>3.8000000000000002E-4</v>
      </c>
      <c r="D54" s="801">
        <v>3.4539999999999999E-4</v>
      </c>
      <c r="E54" s="802">
        <v>153531.72</v>
      </c>
      <c r="F54" s="802">
        <v>155013</v>
      </c>
      <c r="G54" s="802">
        <v>806487.3</v>
      </c>
      <c r="H54" s="802"/>
      <c r="I54" s="803">
        <v>15152.5</v>
      </c>
      <c r="J54" s="803">
        <v>706740</v>
      </c>
      <c r="K54" s="803">
        <v>55237.18</v>
      </c>
      <c r="L54" s="802">
        <v>16567</v>
      </c>
      <c r="M54" s="802"/>
      <c r="N54" s="803">
        <v>28260.22</v>
      </c>
      <c r="O54" s="803">
        <v>260854.04</v>
      </c>
      <c r="P54" s="803">
        <v>0</v>
      </c>
      <c r="Q54" s="802">
        <v>14381</v>
      </c>
      <c r="R54" s="802"/>
      <c r="S54" s="803">
        <v>215562.22</v>
      </c>
      <c r="T54" s="804">
        <v>-1856</v>
      </c>
      <c r="U54" s="804">
        <v>213706</v>
      </c>
    </row>
    <row r="55" spans="1:21" x14ac:dyDescent="0.25">
      <c r="A55" s="799">
        <v>90641</v>
      </c>
      <c r="B55" s="800" t="s">
        <v>2676</v>
      </c>
      <c r="C55" s="801">
        <v>1.4399999999999999E-5</v>
      </c>
      <c r="D55" s="801">
        <v>1.5400000000000002E-5</v>
      </c>
      <c r="E55" s="802">
        <v>5940.04</v>
      </c>
      <c r="F55" s="802">
        <v>6911</v>
      </c>
      <c r="G55" s="802">
        <v>30562</v>
      </c>
      <c r="H55" s="802"/>
      <c r="I55" s="803">
        <v>574</v>
      </c>
      <c r="J55" s="803">
        <v>26782</v>
      </c>
      <c r="K55" s="803">
        <v>2093</v>
      </c>
      <c r="L55" s="802">
        <v>340</v>
      </c>
      <c r="M55" s="802"/>
      <c r="N55" s="803">
        <v>1071</v>
      </c>
      <c r="O55" s="803">
        <v>9885</v>
      </c>
      <c r="P55" s="803">
        <v>0</v>
      </c>
      <c r="Q55" s="802">
        <v>782</v>
      </c>
      <c r="R55" s="802"/>
      <c r="S55" s="803">
        <v>8169</v>
      </c>
      <c r="T55" s="804">
        <v>-144</v>
      </c>
      <c r="U55" s="804">
        <v>8025</v>
      </c>
    </row>
    <row r="56" spans="1:21" x14ac:dyDescent="0.25">
      <c r="A56" s="799">
        <v>90651</v>
      </c>
      <c r="B56" s="800" t="s">
        <v>2677</v>
      </c>
      <c r="C56" s="801">
        <v>1.108E-4</v>
      </c>
      <c r="D56" s="801">
        <v>1.042E-4</v>
      </c>
      <c r="E56" s="802">
        <v>96248</v>
      </c>
      <c r="F56" s="802">
        <v>46764</v>
      </c>
      <c r="G56" s="802">
        <v>235155</v>
      </c>
      <c r="H56" s="802"/>
      <c r="I56" s="803">
        <v>4418</v>
      </c>
      <c r="J56" s="803">
        <v>206070</v>
      </c>
      <c r="K56" s="803">
        <v>16106</v>
      </c>
      <c r="L56" s="802">
        <v>73167</v>
      </c>
      <c r="M56" s="802"/>
      <c r="N56" s="803">
        <v>8240</v>
      </c>
      <c r="O56" s="803">
        <v>76060</v>
      </c>
      <c r="P56" s="803">
        <v>0</v>
      </c>
      <c r="Q56" s="802">
        <v>9364.94</v>
      </c>
      <c r="R56" s="802"/>
      <c r="S56" s="803">
        <v>62853</v>
      </c>
      <c r="T56" s="804">
        <v>17052</v>
      </c>
      <c r="U56" s="804">
        <v>79906</v>
      </c>
    </row>
    <row r="57" spans="1:21" x14ac:dyDescent="0.25">
      <c r="A57" s="799">
        <v>90701</v>
      </c>
      <c r="B57" s="800" t="s">
        <v>2678</v>
      </c>
      <c r="C57" s="801">
        <v>2.3587E-3</v>
      </c>
      <c r="D57" s="801">
        <v>2.3326000000000002E-3</v>
      </c>
      <c r="E57" s="802">
        <v>908617.53</v>
      </c>
      <c r="F57" s="802">
        <v>1046857</v>
      </c>
      <c r="G57" s="802">
        <v>5005952</v>
      </c>
      <c r="H57" s="802"/>
      <c r="I57" s="803">
        <v>94053</v>
      </c>
      <c r="J57" s="803">
        <v>4386809</v>
      </c>
      <c r="K57" s="803">
        <v>342863</v>
      </c>
      <c r="L57" s="802">
        <v>35812.04</v>
      </c>
      <c r="M57" s="802"/>
      <c r="N57" s="803">
        <v>175414</v>
      </c>
      <c r="O57" s="803">
        <v>1619148</v>
      </c>
      <c r="P57" s="803">
        <v>0</v>
      </c>
      <c r="Q57" s="802">
        <v>44222</v>
      </c>
      <c r="R57" s="802"/>
      <c r="S57" s="803">
        <v>1338017</v>
      </c>
      <c r="T57" s="804">
        <v>5621</v>
      </c>
      <c r="U57" s="804">
        <v>1343639</v>
      </c>
    </row>
    <row r="58" spans="1:21" x14ac:dyDescent="0.25">
      <c r="A58" s="799">
        <v>90704</v>
      </c>
      <c r="B58" s="800" t="s">
        <v>2679</v>
      </c>
      <c r="C58" s="801">
        <v>3.4900000000000001E-5</v>
      </c>
      <c r="D58" s="801">
        <v>3.3300000000000003E-5</v>
      </c>
      <c r="E58" s="802">
        <v>22788</v>
      </c>
      <c r="F58" s="802">
        <v>14945</v>
      </c>
      <c r="G58" s="802">
        <v>74069</v>
      </c>
      <c r="H58" s="802"/>
      <c r="I58" s="803">
        <v>1392</v>
      </c>
      <c r="J58" s="803">
        <v>64908</v>
      </c>
      <c r="K58" s="803">
        <v>5073</v>
      </c>
      <c r="L58" s="802">
        <v>13042</v>
      </c>
      <c r="M58" s="802"/>
      <c r="N58" s="803">
        <v>2595</v>
      </c>
      <c r="O58" s="803">
        <v>23957</v>
      </c>
      <c r="P58" s="803">
        <v>0</v>
      </c>
      <c r="Q58" s="802">
        <v>0</v>
      </c>
      <c r="R58" s="802"/>
      <c r="S58" s="803">
        <v>19798</v>
      </c>
      <c r="T58" s="804">
        <v>4197</v>
      </c>
      <c r="U58" s="804">
        <v>23995</v>
      </c>
    </row>
    <row r="59" spans="1:21" x14ac:dyDescent="0.25">
      <c r="A59" s="799">
        <v>90705</v>
      </c>
      <c r="B59" s="800" t="s">
        <v>2680</v>
      </c>
      <c r="C59" s="801">
        <v>3.3899999999999997E-5</v>
      </c>
      <c r="D59" s="801">
        <v>3.0599999999999998E-5</v>
      </c>
      <c r="E59" s="802">
        <v>17670</v>
      </c>
      <c r="F59" s="802">
        <v>13733</v>
      </c>
      <c r="G59" s="802">
        <v>71947</v>
      </c>
      <c r="H59" s="802"/>
      <c r="I59" s="803">
        <v>1352</v>
      </c>
      <c r="J59" s="803">
        <v>63049</v>
      </c>
      <c r="K59" s="803">
        <v>4928</v>
      </c>
      <c r="L59" s="802">
        <v>9785</v>
      </c>
      <c r="M59" s="802"/>
      <c r="N59" s="803">
        <v>2521</v>
      </c>
      <c r="O59" s="803">
        <v>23271</v>
      </c>
      <c r="P59" s="803">
        <v>0</v>
      </c>
      <c r="Q59" s="802">
        <v>0</v>
      </c>
      <c r="R59" s="802"/>
      <c r="S59" s="803">
        <v>19230</v>
      </c>
      <c r="T59" s="804">
        <v>3239</v>
      </c>
      <c r="U59" s="804">
        <v>22470</v>
      </c>
    </row>
    <row r="60" spans="1:21" x14ac:dyDescent="0.25">
      <c r="A60" s="799">
        <v>90709</v>
      </c>
      <c r="B60" s="800" t="s">
        <v>2681</v>
      </c>
      <c r="C60" s="801">
        <v>1.4569999999999999E-4</v>
      </c>
      <c r="D60" s="801">
        <v>2.1790000000000001E-4</v>
      </c>
      <c r="E60" s="802">
        <v>59289.13</v>
      </c>
      <c r="F60" s="802">
        <v>97792</v>
      </c>
      <c r="G60" s="802">
        <v>309224</v>
      </c>
      <c r="H60" s="802"/>
      <c r="I60" s="803">
        <v>5810</v>
      </c>
      <c r="J60" s="803">
        <v>270979</v>
      </c>
      <c r="K60" s="803">
        <v>21179</v>
      </c>
      <c r="L60" s="802">
        <v>10221</v>
      </c>
      <c r="M60" s="802"/>
      <c r="N60" s="803">
        <v>10836</v>
      </c>
      <c r="O60" s="803">
        <v>100017</v>
      </c>
      <c r="P60" s="803">
        <v>0</v>
      </c>
      <c r="Q60" s="802">
        <v>44565</v>
      </c>
      <c r="R60" s="802"/>
      <c r="S60" s="803">
        <v>82651</v>
      </c>
      <c r="T60" s="804">
        <v>-6883</v>
      </c>
      <c r="U60" s="804">
        <v>75769</v>
      </c>
    </row>
    <row r="61" spans="1:21" x14ac:dyDescent="0.25">
      <c r="A61" s="799">
        <v>90711</v>
      </c>
      <c r="B61" s="800" t="s">
        <v>2682</v>
      </c>
      <c r="C61" s="801">
        <v>1.7302000000000001E-3</v>
      </c>
      <c r="D61" s="801">
        <v>1.8802000000000001E-3</v>
      </c>
      <c r="E61" s="802">
        <v>667293.38</v>
      </c>
      <c r="F61" s="802">
        <v>843822</v>
      </c>
      <c r="G61" s="802">
        <v>3672064</v>
      </c>
      <c r="H61" s="802"/>
      <c r="I61" s="803">
        <v>68992</v>
      </c>
      <c r="J61" s="803">
        <v>3217899</v>
      </c>
      <c r="K61" s="803">
        <v>251504</v>
      </c>
      <c r="L61" s="802">
        <v>0</v>
      </c>
      <c r="M61" s="802"/>
      <c r="N61" s="803">
        <v>128673</v>
      </c>
      <c r="O61" s="803">
        <v>1187710</v>
      </c>
      <c r="P61" s="803">
        <v>0</v>
      </c>
      <c r="Q61" s="802">
        <v>193488</v>
      </c>
      <c r="R61" s="802"/>
      <c r="S61" s="803">
        <v>981489</v>
      </c>
      <c r="T61" s="804">
        <v>-61566</v>
      </c>
      <c r="U61" s="804">
        <v>919922</v>
      </c>
    </row>
    <row r="62" spans="1:21" x14ac:dyDescent="0.25">
      <c r="A62" s="799">
        <v>90721</v>
      </c>
      <c r="B62" s="800" t="s">
        <v>2683</v>
      </c>
      <c r="C62" s="801">
        <v>3.7299999999999999E-5</v>
      </c>
      <c r="D62" s="801">
        <v>3.82E-5</v>
      </c>
      <c r="E62" s="802">
        <v>14531.46</v>
      </c>
      <c r="F62" s="802">
        <v>17144</v>
      </c>
      <c r="G62" s="802">
        <v>79163</v>
      </c>
      <c r="H62" s="802"/>
      <c r="I62" s="803">
        <v>1487</v>
      </c>
      <c r="J62" s="803">
        <v>69372</v>
      </c>
      <c r="K62" s="803">
        <v>5422</v>
      </c>
      <c r="L62" s="802">
        <v>5347</v>
      </c>
      <c r="M62" s="802"/>
      <c r="N62" s="803">
        <v>2774</v>
      </c>
      <c r="O62" s="803">
        <v>25605</v>
      </c>
      <c r="P62" s="803">
        <v>0</v>
      </c>
      <c r="Q62" s="802">
        <v>1129</v>
      </c>
      <c r="R62" s="802"/>
      <c r="S62" s="803">
        <v>21159</v>
      </c>
      <c r="T62" s="804">
        <v>2098</v>
      </c>
      <c r="U62" s="804">
        <v>23258</v>
      </c>
    </row>
    <row r="63" spans="1:21" x14ac:dyDescent="0.25">
      <c r="A63" s="799">
        <v>90731</v>
      </c>
      <c r="B63" s="800" t="s">
        <v>2684</v>
      </c>
      <c r="C63" s="801">
        <v>1.917E-4</v>
      </c>
      <c r="D63" s="801">
        <v>1.9459999999999999E-4</v>
      </c>
      <c r="E63" s="802">
        <v>77066</v>
      </c>
      <c r="F63" s="802">
        <v>87335</v>
      </c>
      <c r="G63" s="802">
        <v>406852</v>
      </c>
      <c r="H63" s="802"/>
      <c r="I63" s="803">
        <v>7644</v>
      </c>
      <c r="J63" s="803">
        <v>356532</v>
      </c>
      <c r="K63" s="803">
        <v>27866</v>
      </c>
      <c r="L63" s="802">
        <v>0</v>
      </c>
      <c r="M63" s="802"/>
      <c r="N63" s="803">
        <v>14257</v>
      </c>
      <c r="O63" s="803">
        <v>131594</v>
      </c>
      <c r="P63" s="803">
        <v>0</v>
      </c>
      <c r="Q63" s="802">
        <v>10037</v>
      </c>
      <c r="R63" s="802"/>
      <c r="S63" s="803">
        <v>108745</v>
      </c>
      <c r="T63" s="804">
        <v>-3998</v>
      </c>
      <c r="U63" s="804">
        <v>104747</v>
      </c>
    </row>
    <row r="64" spans="1:21" x14ac:dyDescent="0.25">
      <c r="A64" s="799">
        <v>90741</v>
      </c>
      <c r="B64" s="800" t="s">
        <v>2685</v>
      </c>
      <c r="C64" s="801">
        <v>1.2099999999999999E-5</v>
      </c>
      <c r="D64" s="801">
        <v>1.2799999999999999E-5</v>
      </c>
      <c r="E64" s="802">
        <v>6754</v>
      </c>
      <c r="F64" s="802">
        <v>5745</v>
      </c>
      <c r="G64" s="802">
        <v>25680</v>
      </c>
      <c r="H64" s="802"/>
      <c r="I64" s="803">
        <v>482</v>
      </c>
      <c r="J64" s="803">
        <v>22504</v>
      </c>
      <c r="K64" s="803">
        <v>1759</v>
      </c>
      <c r="L64" s="802">
        <v>3208</v>
      </c>
      <c r="M64" s="802"/>
      <c r="N64" s="803">
        <v>900</v>
      </c>
      <c r="O64" s="803">
        <v>8306</v>
      </c>
      <c r="P64" s="803">
        <v>0</v>
      </c>
      <c r="Q64" s="802">
        <v>1496</v>
      </c>
      <c r="R64" s="802"/>
      <c r="S64" s="803">
        <v>6864</v>
      </c>
      <c r="T64" s="804">
        <v>287</v>
      </c>
      <c r="U64" s="804">
        <v>7151</v>
      </c>
    </row>
    <row r="65" spans="1:21" x14ac:dyDescent="0.25">
      <c r="A65" s="799">
        <v>90751</v>
      </c>
      <c r="B65" s="800" t="s">
        <v>2686</v>
      </c>
      <c r="C65" s="801">
        <v>6.5599999999999995E-5</v>
      </c>
      <c r="D65" s="801">
        <v>6.2000000000000003E-5</v>
      </c>
      <c r="E65" s="802">
        <v>24796.57</v>
      </c>
      <c r="F65" s="802">
        <v>27825</v>
      </c>
      <c r="G65" s="802">
        <v>139225</v>
      </c>
      <c r="H65" s="802"/>
      <c r="I65" s="803">
        <v>2616</v>
      </c>
      <c r="J65" s="803">
        <v>122006</v>
      </c>
      <c r="K65" s="803">
        <v>9536</v>
      </c>
      <c r="L65" s="802">
        <v>8610</v>
      </c>
      <c r="M65" s="802"/>
      <c r="N65" s="803">
        <v>4879</v>
      </c>
      <c r="O65" s="803">
        <v>45032</v>
      </c>
      <c r="P65" s="803">
        <v>0</v>
      </c>
      <c r="Q65" s="802">
        <v>0</v>
      </c>
      <c r="R65" s="802"/>
      <c r="S65" s="803">
        <v>37213</v>
      </c>
      <c r="T65" s="804">
        <v>3670</v>
      </c>
      <c r="U65" s="804">
        <v>40883</v>
      </c>
    </row>
    <row r="66" spans="1:21" x14ac:dyDescent="0.25">
      <c r="A66" s="799">
        <v>90801</v>
      </c>
      <c r="B66" s="800" t="s">
        <v>2687</v>
      </c>
      <c r="C66" s="801">
        <v>1.1404E-3</v>
      </c>
      <c r="D66" s="801">
        <v>1.0472000000000001E-3</v>
      </c>
      <c r="E66" s="802">
        <v>442982.95</v>
      </c>
      <c r="F66" s="802">
        <v>469977</v>
      </c>
      <c r="G66" s="802">
        <v>2420311</v>
      </c>
      <c r="H66" s="802"/>
      <c r="I66" s="803">
        <v>45473.45</v>
      </c>
      <c r="J66" s="803">
        <v>2120964</v>
      </c>
      <c r="K66" s="803">
        <v>165770</v>
      </c>
      <c r="L66" s="802">
        <v>156481</v>
      </c>
      <c r="M66" s="802"/>
      <c r="N66" s="803">
        <v>84810</v>
      </c>
      <c r="O66" s="803">
        <v>782837</v>
      </c>
      <c r="P66" s="803">
        <v>0</v>
      </c>
      <c r="Q66" s="802">
        <v>0</v>
      </c>
      <c r="R66" s="802"/>
      <c r="S66" s="803">
        <v>646914</v>
      </c>
      <c r="T66" s="804">
        <v>53264</v>
      </c>
      <c r="U66" s="804">
        <v>700177</v>
      </c>
    </row>
    <row r="67" spans="1:21" x14ac:dyDescent="0.25">
      <c r="A67" s="799">
        <v>90804</v>
      </c>
      <c r="B67" s="800" t="s">
        <v>2688</v>
      </c>
      <c r="C67" s="801">
        <v>6.0000000000000002E-6</v>
      </c>
      <c r="D67" s="801">
        <v>4.6999999999999999E-6</v>
      </c>
      <c r="E67" s="802">
        <v>2490.12</v>
      </c>
      <c r="F67" s="802">
        <v>2109</v>
      </c>
      <c r="G67" s="802">
        <v>12734.01</v>
      </c>
      <c r="H67" s="802"/>
      <c r="I67" s="803">
        <v>239.25</v>
      </c>
      <c r="J67" s="803">
        <v>11159</v>
      </c>
      <c r="K67" s="803">
        <v>872</v>
      </c>
      <c r="L67" s="802">
        <v>2282</v>
      </c>
      <c r="M67" s="802"/>
      <c r="N67" s="803">
        <v>446</v>
      </c>
      <c r="O67" s="803">
        <v>4119</v>
      </c>
      <c r="P67" s="803">
        <v>0</v>
      </c>
      <c r="Q67" s="802">
        <v>0</v>
      </c>
      <c r="R67" s="802"/>
      <c r="S67" s="803">
        <v>3404</v>
      </c>
      <c r="T67" s="804">
        <v>878</v>
      </c>
      <c r="U67" s="804">
        <v>4282</v>
      </c>
    </row>
    <row r="68" spans="1:21" x14ac:dyDescent="0.25">
      <c r="A68" s="799">
        <v>90805</v>
      </c>
      <c r="B68" s="800" t="s">
        <v>2689</v>
      </c>
      <c r="C68" s="801">
        <v>5.5099999999999998E-5</v>
      </c>
      <c r="D68" s="801">
        <v>5.2800000000000003E-5</v>
      </c>
      <c r="E68" s="802">
        <v>34303</v>
      </c>
      <c r="F68" s="802">
        <v>23696</v>
      </c>
      <c r="G68" s="802">
        <v>116941</v>
      </c>
      <c r="H68" s="802"/>
      <c r="I68" s="803">
        <v>2197</v>
      </c>
      <c r="J68" s="803">
        <v>102477</v>
      </c>
      <c r="K68" s="803">
        <v>8009</v>
      </c>
      <c r="L68" s="802">
        <v>22372</v>
      </c>
      <c r="M68" s="802"/>
      <c r="N68" s="803">
        <v>4098</v>
      </c>
      <c r="O68" s="803">
        <v>37824</v>
      </c>
      <c r="P68" s="803">
        <v>0</v>
      </c>
      <c r="Q68" s="802">
        <v>0</v>
      </c>
      <c r="R68" s="802"/>
      <c r="S68" s="803">
        <v>31257</v>
      </c>
      <c r="T68" s="804">
        <v>7625</v>
      </c>
      <c r="U68" s="804">
        <v>38881</v>
      </c>
    </row>
    <row r="69" spans="1:21" x14ac:dyDescent="0.25">
      <c r="A69" s="799">
        <v>90808</v>
      </c>
      <c r="B69" s="800" t="s">
        <v>2690</v>
      </c>
      <c r="C69" s="801">
        <v>1.109E-4</v>
      </c>
      <c r="D69" s="801">
        <v>1.176E-4</v>
      </c>
      <c r="E69" s="802">
        <v>47437.34</v>
      </c>
      <c r="F69" s="802">
        <v>52778</v>
      </c>
      <c r="G69" s="802">
        <v>235367</v>
      </c>
      <c r="H69" s="802"/>
      <c r="I69" s="803">
        <v>4422</v>
      </c>
      <c r="J69" s="803">
        <v>206256</v>
      </c>
      <c r="K69" s="803">
        <v>16121</v>
      </c>
      <c r="L69" s="802">
        <v>1422</v>
      </c>
      <c r="M69" s="802"/>
      <c r="N69" s="803">
        <v>8248</v>
      </c>
      <c r="O69" s="803">
        <v>76128</v>
      </c>
      <c r="P69" s="803">
        <v>0</v>
      </c>
      <c r="Q69" s="802">
        <v>2972</v>
      </c>
      <c r="R69" s="802"/>
      <c r="S69" s="803">
        <v>62910</v>
      </c>
      <c r="T69" s="804">
        <v>-460</v>
      </c>
      <c r="U69" s="804">
        <v>62451</v>
      </c>
    </row>
    <row r="70" spans="1:21" x14ac:dyDescent="0.25">
      <c r="A70" s="799">
        <v>90811</v>
      </c>
      <c r="B70" s="800" t="s">
        <v>2691</v>
      </c>
      <c r="C70" s="801">
        <v>4.0000000000000003E-5</v>
      </c>
      <c r="D70" s="801">
        <v>3.6199999999999999E-5</v>
      </c>
      <c r="E70" s="802">
        <v>12069.34</v>
      </c>
      <c r="F70" s="802">
        <v>16246</v>
      </c>
      <c r="G70" s="802">
        <v>84893</v>
      </c>
      <c r="H70" s="802"/>
      <c r="I70" s="803">
        <v>1595</v>
      </c>
      <c r="J70" s="803">
        <v>74394</v>
      </c>
      <c r="K70" s="803">
        <v>5814</v>
      </c>
      <c r="L70" s="802">
        <v>947</v>
      </c>
      <c r="M70" s="802"/>
      <c r="N70" s="803">
        <v>2974.76</v>
      </c>
      <c r="O70" s="803">
        <v>27458</v>
      </c>
      <c r="P70" s="803">
        <v>0</v>
      </c>
      <c r="Q70" s="802">
        <v>2175</v>
      </c>
      <c r="R70" s="802"/>
      <c r="S70" s="803">
        <v>22691</v>
      </c>
      <c r="T70" s="804">
        <v>-159</v>
      </c>
      <c r="U70" s="804">
        <v>22531</v>
      </c>
    </row>
    <row r="71" spans="1:21" x14ac:dyDescent="0.25">
      <c r="A71" s="799">
        <v>90812</v>
      </c>
      <c r="B71" s="800" t="s">
        <v>2692</v>
      </c>
      <c r="C71" s="801">
        <v>2.13E-4</v>
      </c>
      <c r="D71" s="801">
        <v>2.409E-4</v>
      </c>
      <c r="E71" s="802">
        <v>88699.09</v>
      </c>
      <c r="F71" s="802">
        <v>108114</v>
      </c>
      <c r="G71" s="802">
        <v>452057</v>
      </c>
      <c r="H71" s="802"/>
      <c r="I71" s="803">
        <v>8493.375</v>
      </c>
      <c r="J71" s="803">
        <v>396146</v>
      </c>
      <c r="K71" s="803">
        <v>30962</v>
      </c>
      <c r="L71" s="802">
        <v>8573</v>
      </c>
      <c r="M71" s="802"/>
      <c r="N71" s="803">
        <v>15841</v>
      </c>
      <c r="O71" s="803">
        <v>146216</v>
      </c>
      <c r="P71" s="803">
        <v>0</v>
      </c>
      <c r="Q71" s="802">
        <v>14237</v>
      </c>
      <c r="R71" s="802"/>
      <c r="S71" s="803">
        <v>120828</v>
      </c>
      <c r="T71" s="804">
        <v>453</v>
      </c>
      <c r="U71" s="804">
        <v>121281</v>
      </c>
    </row>
    <row r="72" spans="1:21" x14ac:dyDescent="0.25">
      <c r="A72" s="799">
        <v>90813</v>
      </c>
      <c r="B72" s="800" t="s">
        <v>2693</v>
      </c>
      <c r="C72" s="801">
        <v>5.4999999999999999E-6</v>
      </c>
      <c r="D72" s="801">
        <v>5.4E-6</v>
      </c>
      <c r="E72" s="802">
        <v>1841</v>
      </c>
      <c r="F72" s="802">
        <v>2423</v>
      </c>
      <c r="G72" s="802">
        <v>11673</v>
      </c>
      <c r="H72" s="802"/>
      <c r="I72" s="803">
        <v>219.3125</v>
      </c>
      <c r="J72" s="803">
        <v>10229</v>
      </c>
      <c r="K72" s="803">
        <v>799</v>
      </c>
      <c r="L72" s="802">
        <v>0</v>
      </c>
      <c r="M72" s="802"/>
      <c r="N72" s="803">
        <v>409</v>
      </c>
      <c r="O72" s="803">
        <v>3776</v>
      </c>
      <c r="P72" s="803">
        <v>0</v>
      </c>
      <c r="Q72" s="802">
        <v>1089</v>
      </c>
      <c r="R72" s="802"/>
      <c r="S72" s="803">
        <v>3120</v>
      </c>
      <c r="T72" s="804">
        <v>-397</v>
      </c>
      <c r="U72" s="804">
        <v>2723</v>
      </c>
    </row>
    <row r="73" spans="1:21" x14ac:dyDescent="0.25">
      <c r="A73" s="799">
        <v>90861</v>
      </c>
      <c r="B73" s="800" t="s">
        <v>2694</v>
      </c>
      <c r="C73" s="801">
        <v>4.7999999999999998E-6</v>
      </c>
      <c r="D73" s="801">
        <v>5.3000000000000001E-6</v>
      </c>
      <c r="E73" s="802">
        <v>3510</v>
      </c>
      <c r="F73" s="802">
        <v>2379</v>
      </c>
      <c r="G73" s="802">
        <v>10187</v>
      </c>
      <c r="H73" s="802"/>
      <c r="I73" s="803">
        <v>191</v>
      </c>
      <c r="J73" s="803">
        <v>8927</v>
      </c>
      <c r="K73" s="803">
        <v>698</v>
      </c>
      <c r="L73" s="802">
        <v>3258</v>
      </c>
      <c r="M73" s="802"/>
      <c r="N73" s="803">
        <v>357</v>
      </c>
      <c r="O73" s="803">
        <v>3295</v>
      </c>
      <c r="P73" s="803">
        <v>0</v>
      </c>
      <c r="Q73" s="802">
        <v>2245</v>
      </c>
      <c r="R73" s="802"/>
      <c r="S73" s="803">
        <v>2723</v>
      </c>
      <c r="T73" s="804">
        <v>-63</v>
      </c>
      <c r="U73" s="804">
        <v>2659</v>
      </c>
    </row>
    <row r="74" spans="1:21" x14ac:dyDescent="0.25">
      <c r="A74" s="799">
        <v>90901</v>
      </c>
      <c r="B74" s="800" t="s">
        <v>2695</v>
      </c>
      <c r="C74" s="801">
        <v>2.1302999999999999E-3</v>
      </c>
      <c r="D74" s="801">
        <v>2.2187000000000001E-3</v>
      </c>
      <c r="E74" s="802">
        <v>886463</v>
      </c>
      <c r="F74" s="802">
        <v>995739</v>
      </c>
      <c r="G74" s="802">
        <v>4521210</v>
      </c>
      <c r="H74" s="802"/>
      <c r="I74" s="803">
        <v>84946</v>
      </c>
      <c r="J74" s="803">
        <v>3962021</v>
      </c>
      <c r="K74" s="803">
        <v>309663</v>
      </c>
      <c r="L74" s="802">
        <v>9118.18</v>
      </c>
      <c r="M74" s="802"/>
      <c r="N74" s="803">
        <v>158428</v>
      </c>
      <c r="O74" s="803">
        <v>1462361</v>
      </c>
      <c r="P74" s="803">
        <v>0</v>
      </c>
      <c r="Q74" s="802">
        <v>53019</v>
      </c>
      <c r="R74" s="802"/>
      <c r="S74" s="803">
        <v>1208453</v>
      </c>
      <c r="T74" s="804">
        <v>-10432</v>
      </c>
      <c r="U74" s="804">
        <v>1198021</v>
      </c>
    </row>
    <row r="75" spans="1:21" x14ac:dyDescent="0.25">
      <c r="A75" s="799">
        <v>90911</v>
      </c>
      <c r="B75" s="800" t="s">
        <v>2696</v>
      </c>
      <c r="C75" s="801">
        <v>3.6010000000000003E-4</v>
      </c>
      <c r="D75" s="801">
        <v>3.6860000000000001E-4</v>
      </c>
      <c r="E75" s="802">
        <v>130625.3</v>
      </c>
      <c r="F75" s="802">
        <v>165425</v>
      </c>
      <c r="G75" s="802">
        <v>764253</v>
      </c>
      <c r="H75" s="802"/>
      <c r="I75" s="803">
        <v>14359</v>
      </c>
      <c r="J75" s="803">
        <v>669729</v>
      </c>
      <c r="K75" s="803">
        <v>52344</v>
      </c>
      <c r="L75" s="802">
        <v>0</v>
      </c>
      <c r="M75" s="802"/>
      <c r="N75" s="803">
        <v>26780</v>
      </c>
      <c r="O75" s="803">
        <v>247194</v>
      </c>
      <c r="P75" s="803">
        <v>0</v>
      </c>
      <c r="Q75" s="802">
        <v>51509</v>
      </c>
      <c r="R75" s="802"/>
      <c r="S75" s="803">
        <v>204274</v>
      </c>
      <c r="T75" s="804">
        <v>-20027</v>
      </c>
      <c r="U75" s="804">
        <v>184246</v>
      </c>
    </row>
    <row r="76" spans="1:21" x14ac:dyDescent="0.25">
      <c r="A76" s="799">
        <v>90917</v>
      </c>
      <c r="B76" s="800" t="s">
        <v>2697</v>
      </c>
      <c r="C76" s="801">
        <v>1.42E-5</v>
      </c>
      <c r="D76" s="801">
        <v>1.01E-5</v>
      </c>
      <c r="E76" s="802">
        <v>5169</v>
      </c>
      <c r="F76" s="802">
        <v>4533</v>
      </c>
      <c r="G76" s="802">
        <v>30137</v>
      </c>
      <c r="H76" s="802"/>
      <c r="I76" s="803">
        <v>566.22500000000002</v>
      </c>
      <c r="J76" s="803">
        <v>26410</v>
      </c>
      <c r="K76" s="803">
        <v>2064</v>
      </c>
      <c r="L76" s="802">
        <v>2014</v>
      </c>
      <c r="M76" s="802"/>
      <c r="N76" s="803">
        <v>1056</v>
      </c>
      <c r="O76" s="803">
        <v>9748</v>
      </c>
      <c r="P76" s="803">
        <v>0</v>
      </c>
      <c r="Q76" s="802">
        <v>881.57</v>
      </c>
      <c r="R76" s="802"/>
      <c r="S76" s="803">
        <v>8055</v>
      </c>
      <c r="T76" s="804">
        <v>110</v>
      </c>
      <c r="U76" s="804">
        <v>8165</v>
      </c>
    </row>
    <row r="77" spans="1:21" x14ac:dyDescent="0.25">
      <c r="A77" s="799">
        <v>90918</v>
      </c>
      <c r="B77" s="800" t="s">
        <v>2698</v>
      </c>
      <c r="C77" s="801">
        <v>1.24E-5</v>
      </c>
      <c r="D77" s="801">
        <v>1.3499999999999999E-5</v>
      </c>
      <c r="E77" s="802">
        <v>4291.66</v>
      </c>
      <c r="F77" s="802">
        <v>6059</v>
      </c>
      <c r="G77" s="802">
        <v>26317</v>
      </c>
      <c r="H77" s="802"/>
      <c r="I77" s="803">
        <v>494.45</v>
      </c>
      <c r="J77" s="803">
        <v>23062</v>
      </c>
      <c r="K77" s="803">
        <v>1802</v>
      </c>
      <c r="L77" s="802">
        <v>0</v>
      </c>
      <c r="M77" s="802"/>
      <c r="N77" s="803">
        <v>922</v>
      </c>
      <c r="O77" s="803">
        <v>8512</v>
      </c>
      <c r="P77" s="803">
        <v>0</v>
      </c>
      <c r="Q77" s="802">
        <v>2531</v>
      </c>
      <c r="R77" s="802"/>
      <c r="S77" s="803">
        <v>7034</v>
      </c>
      <c r="T77" s="804">
        <v>-865</v>
      </c>
      <c r="U77" s="804">
        <v>6169</v>
      </c>
    </row>
    <row r="78" spans="1:21" x14ac:dyDescent="0.25">
      <c r="A78" s="799">
        <v>90921</v>
      </c>
      <c r="B78" s="800" t="s">
        <v>2699</v>
      </c>
      <c r="C78" s="801">
        <v>8.7399999999999997E-5</v>
      </c>
      <c r="D78" s="801">
        <v>1.149E-4</v>
      </c>
      <c r="E78" s="802">
        <v>45670.59</v>
      </c>
      <c r="F78" s="802">
        <v>51566</v>
      </c>
      <c r="G78" s="802">
        <v>185492</v>
      </c>
      <c r="H78" s="802"/>
      <c r="I78" s="803">
        <v>3485</v>
      </c>
      <c r="J78" s="803">
        <v>162550</v>
      </c>
      <c r="K78" s="803">
        <v>12705</v>
      </c>
      <c r="L78" s="802">
        <v>4488</v>
      </c>
      <c r="M78" s="802"/>
      <c r="N78" s="803">
        <v>6500</v>
      </c>
      <c r="O78" s="803">
        <v>59996</v>
      </c>
      <c r="P78" s="803">
        <v>0</v>
      </c>
      <c r="Q78" s="802">
        <v>10576</v>
      </c>
      <c r="R78" s="802"/>
      <c r="S78" s="803">
        <v>49579</v>
      </c>
      <c r="T78" s="804">
        <v>-1977</v>
      </c>
      <c r="U78" s="804">
        <v>47602</v>
      </c>
    </row>
    <row r="79" spans="1:21" x14ac:dyDescent="0.25">
      <c r="A79" s="799">
        <v>90931</v>
      </c>
      <c r="B79" s="800" t="s">
        <v>2700</v>
      </c>
      <c r="C79" s="801">
        <v>5.1900000000000001E-5</v>
      </c>
      <c r="D79" s="801">
        <v>6.2700000000000006E-5</v>
      </c>
      <c r="E79" s="802">
        <v>20869.29</v>
      </c>
      <c r="F79" s="802">
        <v>28139</v>
      </c>
      <c r="G79" s="802">
        <v>110149</v>
      </c>
      <c r="H79" s="802"/>
      <c r="I79" s="803">
        <v>2070</v>
      </c>
      <c r="J79" s="803">
        <v>96526</v>
      </c>
      <c r="K79" s="803">
        <v>7544</v>
      </c>
      <c r="L79" s="802">
        <v>6439</v>
      </c>
      <c r="M79" s="802"/>
      <c r="N79" s="803">
        <v>3860</v>
      </c>
      <c r="O79" s="803">
        <v>35627</v>
      </c>
      <c r="P79" s="803">
        <v>0</v>
      </c>
      <c r="Q79" s="802">
        <v>6227</v>
      </c>
      <c r="R79" s="802"/>
      <c r="S79" s="803">
        <v>29441</v>
      </c>
      <c r="T79" s="804">
        <v>1082</v>
      </c>
      <c r="U79" s="804">
        <v>30524</v>
      </c>
    </row>
    <row r="80" spans="1:21" x14ac:dyDescent="0.25">
      <c r="A80" s="799">
        <v>90941</v>
      </c>
      <c r="B80" s="800" t="s">
        <v>2701</v>
      </c>
      <c r="C80" s="801">
        <v>9.0799999999999998E-5</v>
      </c>
      <c r="D80" s="801">
        <v>8.1199999999999995E-5</v>
      </c>
      <c r="E80" s="802">
        <v>33657.32</v>
      </c>
      <c r="F80" s="802">
        <v>36442</v>
      </c>
      <c r="G80" s="802">
        <v>192708</v>
      </c>
      <c r="H80" s="802"/>
      <c r="I80" s="803">
        <v>3620.65</v>
      </c>
      <c r="J80" s="803">
        <v>168874</v>
      </c>
      <c r="K80" s="803">
        <v>13199</v>
      </c>
      <c r="L80" s="802">
        <v>2275</v>
      </c>
      <c r="M80" s="802"/>
      <c r="N80" s="803">
        <v>6753</v>
      </c>
      <c r="O80" s="803">
        <v>62330</v>
      </c>
      <c r="P80" s="803">
        <v>0</v>
      </c>
      <c r="Q80" s="802">
        <v>7609</v>
      </c>
      <c r="R80" s="802"/>
      <c r="S80" s="803">
        <v>51508</v>
      </c>
      <c r="T80" s="804">
        <v>-2188</v>
      </c>
      <c r="U80" s="804">
        <v>49320</v>
      </c>
    </row>
    <row r="81" spans="1:21" x14ac:dyDescent="0.25">
      <c r="A81" s="799">
        <v>91001</v>
      </c>
      <c r="B81" s="800" t="s">
        <v>2702</v>
      </c>
      <c r="C81" s="801">
        <v>6.6189999999999999E-3</v>
      </c>
      <c r="D81" s="801">
        <v>6.5719999999999997E-3</v>
      </c>
      <c r="E81" s="802">
        <v>2476167.31</v>
      </c>
      <c r="F81" s="802">
        <v>2949474</v>
      </c>
      <c r="G81" s="802">
        <v>14047735</v>
      </c>
      <c r="H81" s="802"/>
      <c r="I81" s="803">
        <v>263933</v>
      </c>
      <c r="J81" s="803">
        <v>12310294</v>
      </c>
      <c r="K81" s="803">
        <v>962144</v>
      </c>
      <c r="L81" s="802">
        <v>72024</v>
      </c>
      <c r="M81" s="802"/>
      <c r="N81" s="803">
        <v>492248</v>
      </c>
      <c r="O81" s="803">
        <v>4543666</v>
      </c>
      <c r="P81" s="803">
        <v>0</v>
      </c>
      <c r="Q81" s="802">
        <v>203248</v>
      </c>
      <c r="R81" s="802"/>
      <c r="S81" s="803">
        <v>3754754</v>
      </c>
      <c r="T81" s="804">
        <v>-19657</v>
      </c>
      <c r="U81" s="804">
        <v>3735096</v>
      </c>
    </row>
    <row r="82" spans="1:21" x14ac:dyDescent="0.25">
      <c r="A82" s="799">
        <v>91002</v>
      </c>
      <c r="B82" s="800" t="s">
        <v>2703</v>
      </c>
      <c r="C82" s="801">
        <v>5.6360000000000004E-4</v>
      </c>
      <c r="D82" s="801">
        <v>5.8929999999999996E-4</v>
      </c>
      <c r="E82" s="802">
        <v>198213.95</v>
      </c>
      <c r="F82" s="802">
        <v>264474</v>
      </c>
      <c r="G82" s="802">
        <v>1196148</v>
      </c>
      <c r="H82" s="802"/>
      <c r="I82" s="803">
        <v>22474</v>
      </c>
      <c r="J82" s="803">
        <v>1048207</v>
      </c>
      <c r="K82" s="803">
        <v>81925</v>
      </c>
      <c r="L82" s="802">
        <v>5287.43</v>
      </c>
      <c r="M82" s="802"/>
      <c r="N82" s="803">
        <v>41914</v>
      </c>
      <c r="O82" s="803">
        <v>386888</v>
      </c>
      <c r="P82" s="803">
        <v>0</v>
      </c>
      <c r="Q82" s="802">
        <v>69296</v>
      </c>
      <c r="R82" s="802"/>
      <c r="S82" s="803">
        <v>319713</v>
      </c>
      <c r="T82" s="804">
        <v>-18039</v>
      </c>
      <c r="U82" s="804">
        <v>301674</v>
      </c>
    </row>
    <row r="83" spans="1:21" x14ac:dyDescent="0.25">
      <c r="A83" s="799">
        <v>91003</v>
      </c>
      <c r="B83" s="800" t="s">
        <v>2704</v>
      </c>
      <c r="C83" s="801">
        <v>5.6550000000000003E-4</v>
      </c>
      <c r="D83" s="801">
        <v>6.4320000000000002E-4</v>
      </c>
      <c r="E83" s="802">
        <v>237083</v>
      </c>
      <c r="F83" s="802">
        <v>288664</v>
      </c>
      <c r="G83" s="802">
        <v>1200180</v>
      </c>
      <c r="H83" s="802"/>
      <c r="I83" s="803">
        <v>22549.3125</v>
      </c>
      <c r="J83" s="803">
        <v>1051741</v>
      </c>
      <c r="K83" s="803">
        <v>82202</v>
      </c>
      <c r="L83" s="802">
        <v>33107</v>
      </c>
      <c r="M83" s="802"/>
      <c r="N83" s="803">
        <v>42056</v>
      </c>
      <c r="O83" s="803">
        <v>388192</v>
      </c>
      <c r="P83" s="803">
        <v>0</v>
      </c>
      <c r="Q83" s="802">
        <v>38498</v>
      </c>
      <c r="R83" s="802"/>
      <c r="S83" s="803">
        <v>320791</v>
      </c>
      <c r="T83" s="804">
        <v>4893</v>
      </c>
      <c r="U83" s="804">
        <v>325683</v>
      </c>
    </row>
    <row r="84" spans="1:21" x14ac:dyDescent="0.25">
      <c r="A84" s="799">
        <v>91004</v>
      </c>
      <c r="B84" s="800" t="s">
        <v>2705</v>
      </c>
      <c r="C84" s="801">
        <v>1.7499999999999998E-5</v>
      </c>
      <c r="D84" s="801">
        <v>1.8199999999999999E-5</v>
      </c>
      <c r="E84" s="802">
        <v>9480</v>
      </c>
      <c r="F84" s="802">
        <v>8168</v>
      </c>
      <c r="G84" s="802">
        <v>37141</v>
      </c>
      <c r="H84" s="802"/>
      <c r="I84" s="803">
        <v>698</v>
      </c>
      <c r="J84" s="803">
        <v>32547</v>
      </c>
      <c r="K84" s="803">
        <v>2544</v>
      </c>
      <c r="L84" s="802">
        <v>7859</v>
      </c>
      <c r="M84" s="802"/>
      <c r="N84" s="803">
        <v>1301.4575</v>
      </c>
      <c r="O84" s="803">
        <v>12013</v>
      </c>
      <c r="P84" s="803">
        <v>0</v>
      </c>
      <c r="Q84" s="802">
        <v>217</v>
      </c>
      <c r="R84" s="802"/>
      <c r="S84" s="803">
        <v>9927</v>
      </c>
      <c r="T84" s="804">
        <v>2541</v>
      </c>
      <c r="U84" s="804">
        <v>12468</v>
      </c>
    </row>
    <row r="85" spans="1:21" x14ac:dyDescent="0.25">
      <c r="A85" s="799">
        <v>91006</v>
      </c>
      <c r="B85" s="800" t="s">
        <v>2706</v>
      </c>
      <c r="C85" s="801">
        <v>1.0096E-3</v>
      </c>
      <c r="D85" s="801">
        <v>1.0097000000000001E-3</v>
      </c>
      <c r="E85" s="802">
        <v>387783</v>
      </c>
      <c r="F85" s="802">
        <v>453147</v>
      </c>
      <c r="G85" s="802">
        <v>2142709</v>
      </c>
      <c r="H85" s="802"/>
      <c r="I85" s="803">
        <v>40258</v>
      </c>
      <c r="J85" s="803">
        <v>1877696</v>
      </c>
      <c r="K85" s="803">
        <v>146756</v>
      </c>
      <c r="L85" s="802">
        <v>28780</v>
      </c>
      <c r="M85" s="802"/>
      <c r="N85" s="803">
        <v>75083</v>
      </c>
      <c r="O85" s="803">
        <v>693048</v>
      </c>
      <c r="P85" s="803">
        <v>0</v>
      </c>
      <c r="Q85" s="802">
        <v>21822</v>
      </c>
      <c r="R85" s="802"/>
      <c r="S85" s="803">
        <v>572715</v>
      </c>
      <c r="T85" s="804">
        <v>4927</v>
      </c>
      <c r="U85" s="804">
        <v>577642</v>
      </c>
    </row>
    <row r="86" spans="1:21" x14ac:dyDescent="0.25">
      <c r="A86" s="799">
        <v>91007</v>
      </c>
      <c r="B86" s="800" t="s">
        <v>2707</v>
      </c>
      <c r="C86" s="801">
        <v>1.2500000000000001E-5</v>
      </c>
      <c r="D86" s="801">
        <v>9.5999999999999996E-6</v>
      </c>
      <c r="E86" s="802">
        <v>10106.58</v>
      </c>
      <c r="F86" s="802">
        <v>4308</v>
      </c>
      <c r="G86" s="802">
        <v>26529.1875</v>
      </c>
      <c r="H86" s="802"/>
      <c r="I86" s="803">
        <v>498.4375</v>
      </c>
      <c r="J86" s="803">
        <v>23248</v>
      </c>
      <c r="K86" s="803">
        <v>1817</v>
      </c>
      <c r="L86" s="802">
        <v>7512</v>
      </c>
      <c r="M86" s="802"/>
      <c r="N86" s="803">
        <v>930</v>
      </c>
      <c r="O86" s="803">
        <v>8581</v>
      </c>
      <c r="P86" s="803">
        <v>0</v>
      </c>
      <c r="Q86" s="802">
        <v>1019</v>
      </c>
      <c r="R86" s="802"/>
      <c r="S86" s="803">
        <v>7091</v>
      </c>
      <c r="T86" s="804">
        <v>1625</v>
      </c>
      <c r="U86" s="804">
        <v>8716</v>
      </c>
    </row>
    <row r="87" spans="1:21" x14ac:dyDescent="0.25">
      <c r="A87" s="799">
        <v>91008</v>
      </c>
      <c r="B87" s="800" t="s">
        <v>2708</v>
      </c>
      <c r="C87" s="801">
        <v>1.273E-4</v>
      </c>
      <c r="D87" s="801">
        <v>1.1629999999999999E-4</v>
      </c>
      <c r="E87" s="802">
        <v>64143</v>
      </c>
      <c r="F87" s="802">
        <v>52195</v>
      </c>
      <c r="G87" s="802">
        <v>270173</v>
      </c>
      <c r="H87" s="802"/>
      <c r="I87" s="803">
        <v>5076</v>
      </c>
      <c r="J87" s="803">
        <v>236758</v>
      </c>
      <c r="K87" s="803">
        <v>18504</v>
      </c>
      <c r="L87" s="802">
        <v>45460</v>
      </c>
      <c r="M87" s="802"/>
      <c r="N87" s="803">
        <v>9467</v>
      </c>
      <c r="O87" s="803">
        <v>87386</v>
      </c>
      <c r="P87" s="803">
        <v>0</v>
      </c>
      <c r="Q87" s="802">
        <v>0</v>
      </c>
      <c r="R87" s="802"/>
      <c r="S87" s="803">
        <v>72213</v>
      </c>
      <c r="T87" s="804">
        <v>15722</v>
      </c>
      <c r="U87" s="804">
        <v>87935</v>
      </c>
    </row>
    <row r="88" spans="1:21" x14ac:dyDescent="0.25">
      <c r="A88" s="799">
        <v>91009</v>
      </c>
      <c r="B88" s="800" t="s">
        <v>2709</v>
      </c>
      <c r="C88" s="801">
        <v>1.8700000000000001E-5</v>
      </c>
      <c r="D88" s="801">
        <v>1.5099999999999999E-5</v>
      </c>
      <c r="E88" s="802">
        <v>10450.36</v>
      </c>
      <c r="F88" s="802">
        <v>6777</v>
      </c>
      <c r="G88" s="802">
        <v>39688</v>
      </c>
      <c r="H88" s="802"/>
      <c r="I88" s="803">
        <v>745.66250000000002</v>
      </c>
      <c r="J88" s="803">
        <v>34779</v>
      </c>
      <c r="K88" s="803">
        <v>2718</v>
      </c>
      <c r="L88" s="802">
        <v>4142</v>
      </c>
      <c r="M88" s="802"/>
      <c r="N88" s="803">
        <v>1391</v>
      </c>
      <c r="O88" s="803">
        <v>12837</v>
      </c>
      <c r="P88" s="803">
        <v>0</v>
      </c>
      <c r="Q88" s="802">
        <v>3815</v>
      </c>
      <c r="R88" s="802"/>
      <c r="S88" s="803">
        <v>10608</v>
      </c>
      <c r="T88" s="804">
        <v>-284</v>
      </c>
      <c r="U88" s="804">
        <v>10324</v>
      </c>
    </row>
    <row r="89" spans="1:21" x14ac:dyDescent="0.25">
      <c r="A89" s="799">
        <v>91010</v>
      </c>
      <c r="B89" s="800" t="s">
        <v>2710</v>
      </c>
      <c r="C89" s="801">
        <v>6.8399999999999996E-5</v>
      </c>
      <c r="D89" s="801">
        <v>7.08E-5</v>
      </c>
      <c r="E89" s="802">
        <v>29262</v>
      </c>
      <c r="F89" s="802">
        <v>31775</v>
      </c>
      <c r="G89" s="802">
        <v>145168</v>
      </c>
      <c r="H89" s="802"/>
      <c r="I89" s="803">
        <v>2727.45</v>
      </c>
      <c r="J89" s="803">
        <v>127213</v>
      </c>
      <c r="K89" s="803">
        <v>9943</v>
      </c>
      <c r="L89" s="802">
        <v>10683</v>
      </c>
      <c r="M89" s="802"/>
      <c r="N89" s="803">
        <v>5087</v>
      </c>
      <c r="O89" s="803">
        <v>46954</v>
      </c>
      <c r="P89" s="803">
        <v>0</v>
      </c>
      <c r="Q89" s="802">
        <v>400</v>
      </c>
      <c r="R89" s="802"/>
      <c r="S89" s="803">
        <v>38801</v>
      </c>
      <c r="T89" s="804">
        <v>4384</v>
      </c>
      <c r="U89" s="804">
        <v>43185</v>
      </c>
    </row>
    <row r="90" spans="1:21" x14ac:dyDescent="0.25">
      <c r="A90" s="799">
        <v>91011</v>
      </c>
      <c r="B90" s="800" t="s">
        <v>2711</v>
      </c>
      <c r="C90" s="801">
        <v>3.1789999999999998E-4</v>
      </c>
      <c r="D90" s="801">
        <v>3.0249999999999998E-4</v>
      </c>
      <c r="E90" s="802">
        <v>134881.49</v>
      </c>
      <c r="F90" s="802">
        <v>135760</v>
      </c>
      <c r="G90" s="802">
        <v>674690</v>
      </c>
      <c r="H90" s="802"/>
      <c r="I90" s="803">
        <v>12676</v>
      </c>
      <c r="J90" s="803">
        <v>591244</v>
      </c>
      <c r="K90" s="803">
        <v>46210</v>
      </c>
      <c r="L90" s="802">
        <v>30818</v>
      </c>
      <c r="M90" s="802"/>
      <c r="N90" s="803">
        <v>23642</v>
      </c>
      <c r="O90" s="803">
        <v>218225</v>
      </c>
      <c r="P90" s="803">
        <v>0</v>
      </c>
      <c r="Q90" s="802">
        <v>0</v>
      </c>
      <c r="R90" s="802"/>
      <c r="S90" s="803">
        <v>180335</v>
      </c>
      <c r="T90" s="804">
        <v>10335</v>
      </c>
      <c r="U90" s="804">
        <v>190670</v>
      </c>
    </row>
    <row r="91" spans="1:21" x14ac:dyDescent="0.25">
      <c r="A91" s="799">
        <v>91012</v>
      </c>
      <c r="B91" s="800" t="s">
        <v>2712</v>
      </c>
      <c r="C91" s="801">
        <v>1.49E-5</v>
      </c>
      <c r="D91" s="801">
        <v>1.08E-5</v>
      </c>
      <c r="E91" s="802">
        <v>7817.43</v>
      </c>
      <c r="F91" s="802">
        <v>4847</v>
      </c>
      <c r="G91" s="802">
        <v>31623</v>
      </c>
      <c r="H91" s="802"/>
      <c r="I91" s="803">
        <v>594</v>
      </c>
      <c r="J91" s="803">
        <v>27712</v>
      </c>
      <c r="K91" s="803">
        <v>2166</v>
      </c>
      <c r="L91" s="802">
        <v>3563</v>
      </c>
      <c r="M91" s="802"/>
      <c r="N91" s="803">
        <v>1108</v>
      </c>
      <c r="O91" s="803">
        <v>10228</v>
      </c>
      <c r="P91" s="803">
        <v>0</v>
      </c>
      <c r="Q91" s="802">
        <v>4733</v>
      </c>
      <c r="R91" s="802"/>
      <c r="S91" s="803">
        <v>8452</v>
      </c>
      <c r="T91" s="804">
        <v>-1352</v>
      </c>
      <c r="U91" s="804">
        <v>7100</v>
      </c>
    </row>
    <row r="92" spans="1:21" x14ac:dyDescent="0.25">
      <c r="A92" s="799">
        <v>91013</v>
      </c>
      <c r="B92" s="800" t="s">
        <v>2713</v>
      </c>
      <c r="C92" s="801">
        <v>2.1800000000000001E-5</v>
      </c>
      <c r="D92" s="801">
        <v>0</v>
      </c>
      <c r="E92" s="802">
        <v>20992.21</v>
      </c>
      <c r="F92" s="802">
        <v>0</v>
      </c>
      <c r="G92" s="802">
        <v>46267</v>
      </c>
      <c r="H92" s="802"/>
      <c r="I92" s="803">
        <v>869</v>
      </c>
      <c r="J92" s="803">
        <v>40545</v>
      </c>
      <c r="K92" s="803">
        <v>3169</v>
      </c>
      <c r="L92" s="802">
        <v>21362</v>
      </c>
      <c r="M92" s="802"/>
      <c r="N92" s="803">
        <v>1621</v>
      </c>
      <c r="O92" s="803">
        <v>14965</v>
      </c>
      <c r="P92" s="803">
        <v>0</v>
      </c>
      <c r="Q92" s="802">
        <v>0</v>
      </c>
      <c r="R92" s="802"/>
      <c r="S92" s="803">
        <v>12366</v>
      </c>
      <c r="T92" s="804">
        <v>5534</v>
      </c>
      <c r="U92" s="804">
        <v>17901</v>
      </c>
    </row>
    <row r="93" spans="1:21" x14ac:dyDescent="0.25">
      <c r="A93" s="799">
        <v>91014</v>
      </c>
      <c r="B93" s="800" t="s">
        <v>2714</v>
      </c>
      <c r="C93" s="801">
        <v>2.1499999999999999E-4</v>
      </c>
      <c r="D93" s="801">
        <v>2.241E-4</v>
      </c>
      <c r="E93" s="802">
        <v>84391.47</v>
      </c>
      <c r="F93" s="802">
        <v>100575</v>
      </c>
      <c r="G93" s="802">
        <v>456302</v>
      </c>
      <c r="H93" s="802"/>
      <c r="I93" s="803">
        <v>8573.125</v>
      </c>
      <c r="J93" s="803">
        <v>399866</v>
      </c>
      <c r="K93" s="803">
        <v>31253</v>
      </c>
      <c r="L93" s="802">
        <v>0</v>
      </c>
      <c r="M93" s="802"/>
      <c r="N93" s="803">
        <v>15989</v>
      </c>
      <c r="O93" s="803">
        <v>147588.47</v>
      </c>
      <c r="P93" s="803">
        <v>0</v>
      </c>
      <c r="Q93" s="802">
        <v>17744</v>
      </c>
      <c r="R93" s="802"/>
      <c r="S93" s="803">
        <v>121963</v>
      </c>
      <c r="T93" s="804">
        <v>-6457</v>
      </c>
      <c r="U93" s="804">
        <v>115506</v>
      </c>
    </row>
    <row r="94" spans="1:21" x14ac:dyDescent="0.25">
      <c r="A94" s="799">
        <v>91017</v>
      </c>
      <c r="B94" s="800" t="s">
        <v>2715</v>
      </c>
      <c r="C94" s="801">
        <v>2.3E-5</v>
      </c>
      <c r="D94" s="801">
        <v>1.01E-5</v>
      </c>
      <c r="E94" s="802">
        <v>10837.78</v>
      </c>
      <c r="F94" s="802">
        <v>4533</v>
      </c>
      <c r="G94" s="802">
        <v>48814</v>
      </c>
      <c r="H94" s="802"/>
      <c r="I94" s="803">
        <v>917.125</v>
      </c>
      <c r="J94" s="803">
        <v>42776</v>
      </c>
      <c r="K94" s="803">
        <v>3343</v>
      </c>
      <c r="L94" s="802">
        <v>11872</v>
      </c>
      <c r="M94" s="802"/>
      <c r="N94" s="803">
        <v>1710</v>
      </c>
      <c r="O94" s="803">
        <v>15789</v>
      </c>
      <c r="P94" s="803">
        <v>0</v>
      </c>
      <c r="Q94" s="802">
        <v>0</v>
      </c>
      <c r="R94" s="802"/>
      <c r="S94" s="803">
        <v>13047</v>
      </c>
      <c r="T94" s="804">
        <v>3546</v>
      </c>
      <c r="U94" s="804">
        <v>16593</v>
      </c>
    </row>
    <row r="95" spans="1:21" x14ac:dyDescent="0.25">
      <c r="A95" s="799">
        <v>91020</v>
      </c>
      <c r="B95" s="800" t="s">
        <v>2716</v>
      </c>
      <c r="C95" s="801">
        <v>1.9899999999999999E-5</v>
      </c>
      <c r="D95" s="801">
        <v>1.7E-5</v>
      </c>
      <c r="E95" s="802">
        <v>8500.07</v>
      </c>
      <c r="F95" s="802">
        <v>7629</v>
      </c>
      <c r="G95" s="802">
        <v>42234</v>
      </c>
      <c r="H95" s="802"/>
      <c r="I95" s="803">
        <v>794</v>
      </c>
      <c r="J95" s="803">
        <v>37011</v>
      </c>
      <c r="K95" s="803">
        <v>2893</v>
      </c>
      <c r="L95" s="802">
        <v>2656</v>
      </c>
      <c r="M95" s="802"/>
      <c r="N95" s="803">
        <v>1480</v>
      </c>
      <c r="O95" s="803">
        <v>13661</v>
      </c>
      <c r="P95" s="803">
        <v>0</v>
      </c>
      <c r="Q95" s="802">
        <v>582</v>
      </c>
      <c r="R95" s="802"/>
      <c r="S95" s="803">
        <v>11289</v>
      </c>
      <c r="T95" s="804">
        <v>685</v>
      </c>
      <c r="U95" s="804">
        <v>11973</v>
      </c>
    </row>
    <row r="96" spans="1:21" x14ac:dyDescent="0.25">
      <c r="A96" s="799">
        <v>91021</v>
      </c>
      <c r="B96" s="800" t="s">
        <v>2717</v>
      </c>
      <c r="C96" s="801">
        <v>8.6989999999999995E-4</v>
      </c>
      <c r="D96" s="801">
        <v>9.4979999999999999E-4</v>
      </c>
      <c r="E96" s="802">
        <v>366474.75</v>
      </c>
      <c r="F96" s="802">
        <v>426265</v>
      </c>
      <c r="G96" s="802">
        <v>1846219</v>
      </c>
      <c r="H96" s="802"/>
      <c r="I96" s="803">
        <v>34687</v>
      </c>
      <c r="J96" s="803">
        <v>1617877</v>
      </c>
      <c r="K96" s="803">
        <v>126450</v>
      </c>
      <c r="L96" s="802">
        <v>0</v>
      </c>
      <c r="M96" s="802"/>
      <c r="N96" s="803">
        <v>64694</v>
      </c>
      <c r="O96" s="803">
        <v>597150</v>
      </c>
      <c r="P96" s="803">
        <v>0</v>
      </c>
      <c r="Q96" s="802">
        <v>117733</v>
      </c>
      <c r="R96" s="802"/>
      <c r="S96" s="803">
        <v>493467</v>
      </c>
      <c r="T96" s="804">
        <v>-45954</v>
      </c>
      <c r="U96" s="804">
        <v>447513</v>
      </c>
    </row>
    <row r="97" spans="1:21" x14ac:dyDescent="0.25">
      <c r="A97" s="799">
        <v>91024</v>
      </c>
      <c r="B97" s="800" t="s">
        <v>2718</v>
      </c>
      <c r="C97" s="801">
        <v>6.6299999999999999E-5</v>
      </c>
      <c r="D97" s="801">
        <v>4.3800000000000001E-5</v>
      </c>
      <c r="E97" s="802">
        <v>26295.57</v>
      </c>
      <c r="F97" s="802">
        <v>19657</v>
      </c>
      <c r="G97" s="802">
        <v>140711</v>
      </c>
      <c r="H97" s="802"/>
      <c r="I97" s="803">
        <v>2644</v>
      </c>
      <c r="J97" s="803">
        <v>123308</v>
      </c>
      <c r="K97" s="803">
        <v>9637</v>
      </c>
      <c r="L97" s="802">
        <v>28363</v>
      </c>
      <c r="M97" s="802"/>
      <c r="N97" s="803">
        <v>4931</v>
      </c>
      <c r="O97" s="803">
        <v>45512</v>
      </c>
      <c r="P97" s="803">
        <v>0</v>
      </c>
      <c r="Q97" s="802">
        <v>0</v>
      </c>
      <c r="R97" s="802"/>
      <c r="S97" s="803">
        <v>37610</v>
      </c>
      <c r="T97" s="804">
        <v>9531</v>
      </c>
      <c r="U97" s="804">
        <v>47141</v>
      </c>
    </row>
    <row r="98" spans="1:21" x14ac:dyDescent="0.25">
      <c r="A98" s="799">
        <v>91026</v>
      </c>
      <c r="B98" s="800" t="s">
        <v>1245</v>
      </c>
      <c r="C98" s="801">
        <v>6.0900000000000003E-5</v>
      </c>
      <c r="D98" s="801">
        <v>5.4700000000000001E-5</v>
      </c>
      <c r="E98" s="802">
        <v>45660</v>
      </c>
      <c r="F98" s="802">
        <v>24549</v>
      </c>
      <c r="G98" s="802">
        <v>129250</v>
      </c>
      <c r="H98" s="802"/>
      <c r="I98" s="803">
        <v>2428</v>
      </c>
      <c r="J98" s="803">
        <v>113264</v>
      </c>
      <c r="K98" s="803">
        <v>8852</v>
      </c>
      <c r="L98" s="802">
        <v>43564</v>
      </c>
      <c r="M98" s="802"/>
      <c r="N98" s="803">
        <v>4529</v>
      </c>
      <c r="O98" s="803">
        <v>41805</v>
      </c>
      <c r="P98" s="803">
        <v>0</v>
      </c>
      <c r="Q98" s="802">
        <v>6237</v>
      </c>
      <c r="R98" s="802"/>
      <c r="S98" s="803">
        <v>34547</v>
      </c>
      <c r="T98" s="804">
        <v>10429</v>
      </c>
      <c r="U98" s="804">
        <v>44976</v>
      </c>
    </row>
    <row r="99" spans="1:21" x14ac:dyDescent="0.25">
      <c r="A99" s="799">
        <v>91027</v>
      </c>
      <c r="B99" s="800" t="s">
        <v>2719</v>
      </c>
      <c r="C99" s="801">
        <v>1.6099999999999998E-5</v>
      </c>
      <c r="D99" s="801">
        <v>1.6099999999999998E-5</v>
      </c>
      <c r="E99" s="802">
        <v>15581</v>
      </c>
      <c r="F99" s="802">
        <v>7226</v>
      </c>
      <c r="G99" s="802">
        <v>34170</v>
      </c>
      <c r="H99" s="802"/>
      <c r="I99" s="803">
        <v>642</v>
      </c>
      <c r="J99" s="803">
        <v>29943</v>
      </c>
      <c r="K99" s="803">
        <v>2340</v>
      </c>
      <c r="L99" s="802">
        <v>15162</v>
      </c>
      <c r="M99" s="802"/>
      <c r="N99" s="803">
        <v>1197</v>
      </c>
      <c r="O99" s="803">
        <v>11052</v>
      </c>
      <c r="P99" s="803">
        <v>0</v>
      </c>
      <c r="Q99" s="802">
        <v>0</v>
      </c>
      <c r="R99" s="802"/>
      <c r="S99" s="803">
        <v>9133</v>
      </c>
      <c r="T99" s="804">
        <v>5044</v>
      </c>
      <c r="U99" s="804">
        <v>14177</v>
      </c>
    </row>
    <row r="100" spans="1:21" x14ac:dyDescent="0.25">
      <c r="A100" s="799">
        <v>91032</v>
      </c>
      <c r="B100" s="800" t="s">
        <v>2720</v>
      </c>
      <c r="C100" s="801">
        <v>1.8600000000000001E-5</v>
      </c>
      <c r="D100" s="801">
        <v>2.12E-5</v>
      </c>
      <c r="E100" s="802">
        <v>14204.55</v>
      </c>
      <c r="F100" s="802">
        <v>9514</v>
      </c>
      <c r="G100" s="802">
        <v>39475</v>
      </c>
      <c r="H100" s="802"/>
      <c r="I100" s="803">
        <v>742</v>
      </c>
      <c r="J100" s="803">
        <v>34593</v>
      </c>
      <c r="K100" s="803">
        <v>2704</v>
      </c>
      <c r="L100" s="802">
        <v>14052</v>
      </c>
      <c r="M100" s="802"/>
      <c r="N100" s="803">
        <v>1383</v>
      </c>
      <c r="O100" s="803">
        <v>12768</v>
      </c>
      <c r="P100" s="803">
        <v>0</v>
      </c>
      <c r="Q100" s="802">
        <v>0</v>
      </c>
      <c r="R100" s="802"/>
      <c r="S100" s="803">
        <v>10551</v>
      </c>
      <c r="T100" s="804">
        <v>4978</v>
      </c>
      <c r="U100" s="804">
        <v>15529</v>
      </c>
    </row>
    <row r="101" spans="1:21" x14ac:dyDescent="0.25">
      <c r="A101" s="799">
        <v>91041</v>
      </c>
      <c r="B101" s="800" t="s">
        <v>2721</v>
      </c>
      <c r="C101" s="801">
        <v>4.3609999999999998E-4</v>
      </c>
      <c r="D101" s="801">
        <v>4.8910000000000002E-4</v>
      </c>
      <c r="E101" s="802">
        <v>143841.5</v>
      </c>
      <c r="F101" s="802">
        <v>219505</v>
      </c>
      <c r="G101" s="802">
        <v>925550</v>
      </c>
      <c r="H101" s="802"/>
      <c r="I101" s="803">
        <v>17389</v>
      </c>
      <c r="J101" s="803">
        <v>811077</v>
      </c>
      <c r="K101" s="803">
        <v>63392</v>
      </c>
      <c r="L101" s="802">
        <v>0</v>
      </c>
      <c r="M101" s="802"/>
      <c r="N101" s="803">
        <v>32432</v>
      </c>
      <c r="O101" s="803">
        <v>299364</v>
      </c>
      <c r="P101" s="803">
        <v>0</v>
      </c>
      <c r="Q101" s="802">
        <v>93669</v>
      </c>
      <c r="R101" s="802"/>
      <c r="S101" s="803">
        <v>247386</v>
      </c>
      <c r="T101" s="804">
        <v>-28115</v>
      </c>
      <c r="U101" s="804">
        <v>219271</v>
      </c>
    </row>
    <row r="102" spans="1:21" x14ac:dyDescent="0.25">
      <c r="A102" s="799">
        <v>91042</v>
      </c>
      <c r="B102" s="800" t="s">
        <v>2722</v>
      </c>
      <c r="C102" s="801">
        <v>2.062E-4</v>
      </c>
      <c r="D102" s="801">
        <v>2.1579999999999999E-4</v>
      </c>
      <c r="E102" s="802">
        <v>79476</v>
      </c>
      <c r="F102" s="802">
        <v>96850</v>
      </c>
      <c r="G102" s="802">
        <v>437625</v>
      </c>
      <c r="H102" s="802"/>
      <c r="I102" s="803">
        <v>8222</v>
      </c>
      <c r="J102" s="803">
        <v>383499</v>
      </c>
      <c r="K102" s="803">
        <v>29973</v>
      </c>
      <c r="L102" s="802">
        <v>241</v>
      </c>
      <c r="M102" s="802"/>
      <c r="N102" s="803">
        <v>15335</v>
      </c>
      <c r="O102" s="803">
        <v>141548</v>
      </c>
      <c r="P102" s="803">
        <v>0</v>
      </c>
      <c r="Q102" s="802">
        <v>9427</v>
      </c>
      <c r="R102" s="802"/>
      <c r="S102" s="803">
        <v>116971</v>
      </c>
      <c r="T102" s="804">
        <v>-2338</v>
      </c>
      <c r="U102" s="804">
        <v>114633</v>
      </c>
    </row>
    <row r="103" spans="1:21" x14ac:dyDescent="0.25">
      <c r="A103" s="799">
        <v>91047</v>
      </c>
      <c r="B103" s="800" t="s">
        <v>2723</v>
      </c>
      <c r="C103" s="801">
        <v>1.3200000000000001E-5</v>
      </c>
      <c r="D103" s="801">
        <v>1.29E-5</v>
      </c>
      <c r="E103" s="802">
        <v>17711.78</v>
      </c>
      <c r="F103" s="802">
        <v>5789</v>
      </c>
      <c r="G103" s="802">
        <v>28015</v>
      </c>
      <c r="H103" s="802"/>
      <c r="I103" s="803">
        <v>526.35</v>
      </c>
      <c r="J103" s="803">
        <v>24550</v>
      </c>
      <c r="K103" s="803">
        <v>1919</v>
      </c>
      <c r="L103" s="802">
        <v>17767</v>
      </c>
      <c r="M103" s="802"/>
      <c r="N103" s="803">
        <v>982</v>
      </c>
      <c r="O103" s="803">
        <v>9061</v>
      </c>
      <c r="P103" s="803">
        <v>0</v>
      </c>
      <c r="Q103" s="802">
        <v>0</v>
      </c>
      <c r="R103" s="802"/>
      <c r="S103" s="803">
        <v>7488</v>
      </c>
      <c r="T103" s="804">
        <v>5499</v>
      </c>
      <c r="U103" s="804">
        <v>12987</v>
      </c>
    </row>
    <row r="104" spans="1:21" x14ac:dyDescent="0.25">
      <c r="A104" s="799">
        <v>91051</v>
      </c>
      <c r="B104" s="800" t="s">
        <v>2724</v>
      </c>
      <c r="C104" s="801">
        <v>7.6600000000000005E-5</v>
      </c>
      <c r="D104" s="801">
        <v>8.14E-5</v>
      </c>
      <c r="E104" s="802">
        <v>31833</v>
      </c>
      <c r="F104" s="802">
        <v>36532</v>
      </c>
      <c r="G104" s="802">
        <v>162571</v>
      </c>
      <c r="H104" s="802"/>
      <c r="I104" s="803">
        <v>3054</v>
      </c>
      <c r="J104" s="803">
        <v>142464</v>
      </c>
      <c r="K104" s="803">
        <v>11135</v>
      </c>
      <c r="L104" s="802">
        <v>2509</v>
      </c>
      <c r="M104" s="802"/>
      <c r="N104" s="803">
        <v>5697</v>
      </c>
      <c r="O104" s="803">
        <v>52583</v>
      </c>
      <c r="P104" s="803">
        <v>0</v>
      </c>
      <c r="Q104" s="802">
        <v>2829</v>
      </c>
      <c r="R104" s="802"/>
      <c r="S104" s="803">
        <v>43453</v>
      </c>
      <c r="T104" s="804">
        <v>37</v>
      </c>
      <c r="U104" s="804">
        <v>43490</v>
      </c>
    </row>
    <row r="105" spans="1:21" x14ac:dyDescent="0.25">
      <c r="A105" s="799">
        <v>91057</v>
      </c>
      <c r="B105" s="800" t="s">
        <v>2725</v>
      </c>
      <c r="C105" s="801">
        <v>1.5E-5</v>
      </c>
      <c r="D105" s="801">
        <v>1.49E-5</v>
      </c>
      <c r="E105" s="802">
        <v>9524.76</v>
      </c>
      <c r="F105" s="802">
        <v>6687</v>
      </c>
      <c r="G105" s="802">
        <v>31835</v>
      </c>
      <c r="H105" s="802"/>
      <c r="I105" s="803">
        <v>598.125</v>
      </c>
      <c r="J105" s="803">
        <v>27897.63</v>
      </c>
      <c r="K105" s="803">
        <v>2180.415</v>
      </c>
      <c r="L105" s="802">
        <v>5494</v>
      </c>
      <c r="M105" s="802"/>
      <c r="N105" s="803">
        <v>1116</v>
      </c>
      <c r="O105" s="803">
        <v>10297</v>
      </c>
      <c r="P105" s="803">
        <v>0</v>
      </c>
      <c r="Q105" s="802">
        <v>0</v>
      </c>
      <c r="R105" s="802"/>
      <c r="S105" s="803">
        <v>8509</v>
      </c>
      <c r="T105" s="804">
        <v>1691</v>
      </c>
      <c r="U105" s="804">
        <v>10200</v>
      </c>
    </row>
    <row r="106" spans="1:21" x14ac:dyDescent="0.25">
      <c r="A106" s="799">
        <v>91061</v>
      </c>
      <c r="B106" s="800" t="s">
        <v>2726</v>
      </c>
      <c r="C106" s="801">
        <v>3.7730000000000001E-4</v>
      </c>
      <c r="D106" s="801">
        <v>3.322E-4</v>
      </c>
      <c r="E106" s="802">
        <v>141049.84</v>
      </c>
      <c r="F106" s="802">
        <v>149089</v>
      </c>
      <c r="G106" s="802">
        <v>800757</v>
      </c>
      <c r="H106" s="802"/>
      <c r="I106" s="803">
        <v>15045</v>
      </c>
      <c r="J106" s="803">
        <v>701718</v>
      </c>
      <c r="K106" s="803">
        <v>54845</v>
      </c>
      <c r="L106" s="802">
        <v>13223</v>
      </c>
      <c r="M106" s="802"/>
      <c r="N106" s="803">
        <v>28059</v>
      </c>
      <c r="O106" s="803">
        <v>259001</v>
      </c>
      <c r="P106" s="803">
        <v>0</v>
      </c>
      <c r="Q106" s="802">
        <v>46977</v>
      </c>
      <c r="R106" s="802"/>
      <c r="S106" s="803">
        <v>214031</v>
      </c>
      <c r="T106" s="804">
        <v>-15751</v>
      </c>
      <c r="U106" s="804">
        <v>198279</v>
      </c>
    </row>
    <row r="107" spans="1:21" x14ac:dyDescent="0.25">
      <c r="A107" s="799">
        <v>91067</v>
      </c>
      <c r="B107" s="800" t="s">
        <v>2727</v>
      </c>
      <c r="C107" s="801">
        <v>1.8499999999999999E-5</v>
      </c>
      <c r="D107" s="801">
        <v>1.7099999999999999E-5</v>
      </c>
      <c r="E107" s="802">
        <v>8476</v>
      </c>
      <c r="F107" s="802">
        <v>7674</v>
      </c>
      <c r="G107" s="802">
        <v>39263</v>
      </c>
      <c r="H107" s="802"/>
      <c r="I107" s="803">
        <v>737.6875</v>
      </c>
      <c r="J107" s="803">
        <v>34407</v>
      </c>
      <c r="K107" s="803">
        <v>2689</v>
      </c>
      <c r="L107" s="802">
        <v>3670</v>
      </c>
      <c r="M107" s="802"/>
      <c r="N107" s="803">
        <v>1376</v>
      </c>
      <c r="O107" s="803">
        <v>12699</v>
      </c>
      <c r="P107" s="803">
        <v>0</v>
      </c>
      <c r="Q107" s="802">
        <v>0</v>
      </c>
      <c r="R107" s="802"/>
      <c r="S107" s="803">
        <v>10494</v>
      </c>
      <c r="T107" s="804">
        <v>1258</v>
      </c>
      <c r="U107" s="804">
        <v>11752</v>
      </c>
    </row>
    <row r="108" spans="1:21" x14ac:dyDescent="0.25">
      <c r="A108" s="799">
        <v>91071</v>
      </c>
      <c r="B108" s="800" t="s">
        <v>2728</v>
      </c>
      <c r="C108" s="801">
        <v>2.4379999999999999E-4</v>
      </c>
      <c r="D108" s="801">
        <v>2.321E-4</v>
      </c>
      <c r="E108" s="802">
        <v>89648</v>
      </c>
      <c r="F108" s="802">
        <v>104165</v>
      </c>
      <c r="G108" s="802">
        <v>517425</v>
      </c>
      <c r="H108" s="802"/>
      <c r="I108" s="803">
        <v>9722</v>
      </c>
      <c r="J108" s="803">
        <v>453429</v>
      </c>
      <c r="K108" s="803">
        <v>35439</v>
      </c>
      <c r="L108" s="802">
        <v>16829.43</v>
      </c>
      <c r="M108" s="802"/>
      <c r="N108" s="803">
        <v>18131</v>
      </c>
      <c r="O108" s="803">
        <v>167358</v>
      </c>
      <c r="P108" s="803">
        <v>0</v>
      </c>
      <c r="Q108" s="802">
        <v>3799</v>
      </c>
      <c r="R108" s="802"/>
      <c r="S108" s="803">
        <v>138300</v>
      </c>
      <c r="T108" s="804">
        <v>7310</v>
      </c>
      <c r="U108" s="804">
        <v>145610</v>
      </c>
    </row>
    <row r="109" spans="1:21" x14ac:dyDescent="0.25">
      <c r="A109" s="799">
        <v>91077</v>
      </c>
      <c r="B109" s="800" t="s">
        <v>2729</v>
      </c>
      <c r="C109" s="801">
        <v>3.9999999999999998E-6</v>
      </c>
      <c r="D109" s="801">
        <v>4.7999999999999998E-6</v>
      </c>
      <c r="E109" s="802">
        <v>2964.42</v>
      </c>
      <c r="F109" s="802">
        <v>2154</v>
      </c>
      <c r="G109" s="802">
        <v>8489.34</v>
      </c>
      <c r="H109" s="802"/>
      <c r="I109" s="803">
        <v>159.5</v>
      </c>
      <c r="J109" s="803">
        <v>7439</v>
      </c>
      <c r="K109" s="803">
        <v>581</v>
      </c>
      <c r="L109" s="802">
        <v>1140</v>
      </c>
      <c r="M109" s="802"/>
      <c r="N109" s="803">
        <v>297</v>
      </c>
      <c r="O109" s="803">
        <v>2746</v>
      </c>
      <c r="P109" s="803">
        <v>0</v>
      </c>
      <c r="Q109" s="802">
        <v>103</v>
      </c>
      <c r="R109" s="802"/>
      <c r="S109" s="803">
        <v>2269</v>
      </c>
      <c r="T109" s="804">
        <v>294</v>
      </c>
      <c r="U109" s="804">
        <v>2563</v>
      </c>
    </row>
    <row r="110" spans="1:21" x14ac:dyDescent="0.25">
      <c r="A110" s="799">
        <v>91081</v>
      </c>
      <c r="B110" s="800" t="s">
        <v>2730</v>
      </c>
      <c r="C110" s="801">
        <v>3.6499999999999998E-4</v>
      </c>
      <c r="D110" s="801">
        <v>3.5750000000000002E-4</v>
      </c>
      <c r="E110" s="802">
        <v>146436</v>
      </c>
      <c r="F110" s="802">
        <v>160444</v>
      </c>
      <c r="G110" s="802">
        <v>774652</v>
      </c>
      <c r="H110" s="802"/>
      <c r="I110" s="803">
        <v>14554.375</v>
      </c>
      <c r="J110" s="803">
        <v>678842.33</v>
      </c>
      <c r="K110" s="803">
        <v>53057</v>
      </c>
      <c r="L110" s="802">
        <v>1642</v>
      </c>
      <c r="M110" s="802"/>
      <c r="N110" s="803">
        <v>27145</v>
      </c>
      <c r="O110" s="803">
        <v>250557</v>
      </c>
      <c r="P110" s="803">
        <v>0</v>
      </c>
      <c r="Q110" s="802">
        <v>27235</v>
      </c>
      <c r="R110" s="802"/>
      <c r="S110" s="803">
        <v>207053</v>
      </c>
      <c r="T110" s="804">
        <v>-13214</v>
      </c>
      <c r="U110" s="804">
        <v>193840</v>
      </c>
    </row>
    <row r="111" spans="1:21" x14ac:dyDescent="0.25">
      <c r="A111" s="799">
        <v>91091</v>
      </c>
      <c r="B111" s="800" t="s">
        <v>2731</v>
      </c>
      <c r="C111" s="801">
        <v>5.6380000000000004E-4</v>
      </c>
      <c r="D111" s="801">
        <v>5.3359999999999996E-4</v>
      </c>
      <c r="E111" s="802">
        <v>203382.8</v>
      </c>
      <c r="F111" s="802">
        <v>239476</v>
      </c>
      <c r="G111" s="802">
        <v>1196572</v>
      </c>
      <c r="H111" s="802"/>
      <c r="I111" s="803">
        <v>22482</v>
      </c>
      <c r="J111" s="803">
        <v>1048579</v>
      </c>
      <c r="K111" s="803">
        <v>81955</v>
      </c>
      <c r="L111" s="802">
        <v>0</v>
      </c>
      <c r="M111" s="802"/>
      <c r="N111" s="803">
        <v>41929</v>
      </c>
      <c r="O111" s="803">
        <v>387025</v>
      </c>
      <c r="P111" s="803">
        <v>0</v>
      </c>
      <c r="Q111" s="802">
        <v>54149</v>
      </c>
      <c r="R111" s="802"/>
      <c r="S111" s="803">
        <v>319826</v>
      </c>
      <c r="T111" s="804">
        <v>-22256</v>
      </c>
      <c r="U111" s="804">
        <v>297571</v>
      </c>
    </row>
    <row r="112" spans="1:21" x14ac:dyDescent="0.25">
      <c r="A112" s="799">
        <v>91101</v>
      </c>
      <c r="B112" s="800" t="s">
        <v>2732</v>
      </c>
      <c r="C112" s="801">
        <v>1.36685E-2</v>
      </c>
      <c r="D112" s="801">
        <v>1.3700499999999999E-2</v>
      </c>
      <c r="E112" s="802">
        <v>5218349</v>
      </c>
      <c r="F112" s="802">
        <v>6148702</v>
      </c>
      <c r="G112" s="802">
        <v>29009136</v>
      </c>
      <c r="H112" s="802"/>
      <c r="I112" s="803">
        <v>545031</v>
      </c>
      <c r="J112" s="803">
        <v>25421250</v>
      </c>
      <c r="K112" s="803">
        <v>1986867</v>
      </c>
      <c r="L112" s="802">
        <v>791280</v>
      </c>
      <c r="M112" s="802"/>
      <c r="N112" s="803">
        <v>1016513</v>
      </c>
      <c r="O112" s="803">
        <v>9382851</v>
      </c>
      <c r="P112" s="803">
        <v>0</v>
      </c>
      <c r="Q112" s="802">
        <v>337196</v>
      </c>
      <c r="R112" s="802"/>
      <c r="S112" s="803">
        <v>7753716</v>
      </c>
      <c r="T112" s="804">
        <v>232315</v>
      </c>
      <c r="U112" s="804">
        <v>7986031</v>
      </c>
    </row>
    <row r="113" spans="1:21" x14ac:dyDescent="0.25">
      <c r="A113" s="799">
        <v>91102</v>
      </c>
      <c r="B113" s="800" t="s">
        <v>2733</v>
      </c>
      <c r="C113" s="801">
        <v>3.034E-4</v>
      </c>
      <c r="D113" s="801">
        <v>2.834E-4</v>
      </c>
      <c r="E113" s="802">
        <v>133771</v>
      </c>
      <c r="F113" s="802">
        <v>127188</v>
      </c>
      <c r="G113" s="802">
        <v>643916</v>
      </c>
      <c r="H113" s="802"/>
      <c r="I113" s="803">
        <v>12098</v>
      </c>
      <c r="J113" s="803">
        <v>564276</v>
      </c>
      <c r="K113" s="803">
        <v>44103</v>
      </c>
      <c r="L113" s="802">
        <v>18534</v>
      </c>
      <c r="M113" s="802"/>
      <c r="N113" s="803">
        <v>22564</v>
      </c>
      <c r="O113" s="803">
        <v>208271</v>
      </c>
      <c r="P113" s="803">
        <v>0</v>
      </c>
      <c r="Q113" s="802">
        <v>52648</v>
      </c>
      <c r="R113" s="802"/>
      <c r="S113" s="803">
        <v>172109</v>
      </c>
      <c r="T113" s="804">
        <v>-13734</v>
      </c>
      <c r="U113" s="804">
        <v>158376</v>
      </c>
    </row>
    <row r="114" spans="1:21" x14ac:dyDescent="0.25">
      <c r="A114" s="799">
        <v>91104</v>
      </c>
      <c r="B114" s="800" t="s">
        <v>2734</v>
      </c>
      <c r="C114" s="801">
        <v>8.1999999999999994E-6</v>
      </c>
      <c r="D114" s="801">
        <v>9.2E-6</v>
      </c>
      <c r="E114" s="802">
        <v>5034.29</v>
      </c>
      <c r="F114" s="802">
        <v>4129</v>
      </c>
      <c r="G114" s="802">
        <v>17403</v>
      </c>
      <c r="H114" s="802"/>
      <c r="I114" s="803">
        <v>327</v>
      </c>
      <c r="J114" s="803">
        <v>15251</v>
      </c>
      <c r="K114" s="803">
        <v>1192</v>
      </c>
      <c r="L114" s="802">
        <v>993</v>
      </c>
      <c r="M114" s="802"/>
      <c r="N114" s="803">
        <v>610</v>
      </c>
      <c r="O114" s="803">
        <v>5629</v>
      </c>
      <c r="P114" s="803">
        <v>0</v>
      </c>
      <c r="Q114" s="802">
        <v>78</v>
      </c>
      <c r="R114" s="802"/>
      <c r="S114" s="803">
        <v>4652</v>
      </c>
      <c r="T114" s="804">
        <v>239</v>
      </c>
      <c r="U114" s="804">
        <v>4890</v>
      </c>
    </row>
    <row r="115" spans="1:21" x14ac:dyDescent="0.25">
      <c r="A115" s="799">
        <v>91107</v>
      </c>
      <c r="B115" s="800" t="s">
        <v>2735</v>
      </c>
      <c r="C115" s="801">
        <v>6.7899999999999997E-5</v>
      </c>
      <c r="D115" s="801">
        <v>6.3999999999999997E-5</v>
      </c>
      <c r="E115" s="802">
        <v>34872.559999999998</v>
      </c>
      <c r="F115" s="802">
        <v>28723</v>
      </c>
      <c r="G115" s="802">
        <v>144107</v>
      </c>
      <c r="H115" s="802"/>
      <c r="I115" s="803">
        <v>2708</v>
      </c>
      <c r="J115" s="803">
        <v>126283</v>
      </c>
      <c r="K115" s="803">
        <v>9870</v>
      </c>
      <c r="L115" s="802">
        <v>11761</v>
      </c>
      <c r="M115" s="802"/>
      <c r="N115" s="803">
        <v>5050</v>
      </c>
      <c r="O115" s="803">
        <v>46610</v>
      </c>
      <c r="P115" s="803">
        <v>0</v>
      </c>
      <c r="Q115" s="802">
        <v>0</v>
      </c>
      <c r="R115" s="802"/>
      <c r="S115" s="803">
        <v>38518</v>
      </c>
      <c r="T115" s="804">
        <v>3853</v>
      </c>
      <c r="U115" s="804">
        <v>42371</v>
      </c>
    </row>
    <row r="116" spans="1:21" x14ac:dyDescent="0.25">
      <c r="A116" s="799">
        <v>91108</v>
      </c>
      <c r="B116" s="800" t="s">
        <v>2736</v>
      </c>
      <c r="C116" s="801">
        <v>1.2622E-3</v>
      </c>
      <c r="D116" s="801">
        <v>1.2565E-3</v>
      </c>
      <c r="E116" s="802">
        <v>552346.72</v>
      </c>
      <c r="F116" s="802">
        <v>563910</v>
      </c>
      <c r="G116" s="802">
        <v>2678811</v>
      </c>
      <c r="H116" s="802"/>
      <c r="I116" s="803">
        <v>50330</v>
      </c>
      <c r="J116" s="803">
        <v>2347493</v>
      </c>
      <c r="K116" s="803">
        <v>183475</v>
      </c>
      <c r="L116" s="802">
        <v>83626</v>
      </c>
      <c r="M116" s="802"/>
      <c r="N116" s="803">
        <v>93869</v>
      </c>
      <c r="O116" s="803">
        <v>866447</v>
      </c>
      <c r="P116" s="803">
        <v>0</v>
      </c>
      <c r="Q116" s="802">
        <v>0</v>
      </c>
      <c r="R116" s="802"/>
      <c r="S116" s="803">
        <v>716007</v>
      </c>
      <c r="T116" s="804">
        <v>29649</v>
      </c>
      <c r="U116" s="804">
        <v>745656</v>
      </c>
    </row>
    <row r="117" spans="1:21" x14ac:dyDescent="0.25">
      <c r="A117" s="799">
        <v>91109</v>
      </c>
      <c r="B117" s="800" t="s">
        <v>2737</v>
      </c>
      <c r="C117" s="801">
        <v>9.2100000000000003E-5</v>
      </c>
      <c r="D117" s="801">
        <v>9.6600000000000003E-5</v>
      </c>
      <c r="E117" s="802">
        <v>40330</v>
      </c>
      <c r="F117" s="802">
        <v>43354</v>
      </c>
      <c r="G117" s="802">
        <v>195467</v>
      </c>
      <c r="H117" s="802"/>
      <c r="I117" s="803">
        <v>3672</v>
      </c>
      <c r="J117" s="803">
        <v>171291</v>
      </c>
      <c r="K117" s="803">
        <v>13388</v>
      </c>
      <c r="L117" s="802">
        <v>2200</v>
      </c>
      <c r="M117" s="802"/>
      <c r="N117" s="803">
        <v>6849</v>
      </c>
      <c r="O117" s="803">
        <v>63223</v>
      </c>
      <c r="P117" s="803">
        <v>0</v>
      </c>
      <c r="Q117" s="802">
        <v>1611</v>
      </c>
      <c r="R117" s="802"/>
      <c r="S117" s="803">
        <v>52245</v>
      </c>
      <c r="T117" s="804">
        <v>89</v>
      </c>
      <c r="U117" s="804">
        <v>52335</v>
      </c>
    </row>
    <row r="118" spans="1:21" x14ac:dyDescent="0.25">
      <c r="A118" s="799">
        <v>91111</v>
      </c>
      <c r="B118" s="800" t="s">
        <v>2738</v>
      </c>
      <c r="C118" s="801">
        <v>2.2359999999999999E-4</v>
      </c>
      <c r="D118" s="801">
        <v>2.2049999999999999E-4</v>
      </c>
      <c r="E118" s="802">
        <v>98685</v>
      </c>
      <c r="F118" s="802">
        <v>98959</v>
      </c>
      <c r="G118" s="802">
        <v>474554</v>
      </c>
      <c r="H118" s="802"/>
      <c r="I118" s="803">
        <v>8916</v>
      </c>
      <c r="J118" s="803">
        <v>415861</v>
      </c>
      <c r="K118" s="803">
        <v>32503</v>
      </c>
      <c r="L118" s="802">
        <v>26669</v>
      </c>
      <c r="M118" s="802"/>
      <c r="N118" s="803">
        <v>16629</v>
      </c>
      <c r="O118" s="803">
        <v>153492</v>
      </c>
      <c r="P118" s="803">
        <v>0</v>
      </c>
      <c r="Q118" s="802">
        <v>0</v>
      </c>
      <c r="R118" s="802"/>
      <c r="S118" s="803">
        <v>126841</v>
      </c>
      <c r="T118" s="804">
        <v>8870</v>
      </c>
      <c r="U118" s="804">
        <v>135711</v>
      </c>
    </row>
    <row r="119" spans="1:21" x14ac:dyDescent="0.25">
      <c r="A119" s="799">
        <v>91119</v>
      </c>
      <c r="B119" s="800" t="s">
        <v>1265</v>
      </c>
      <c r="C119" s="801">
        <v>0</v>
      </c>
      <c r="D119" s="801">
        <v>0</v>
      </c>
      <c r="E119" s="802">
        <v>0</v>
      </c>
      <c r="F119" s="802">
        <v>0</v>
      </c>
      <c r="G119" s="802">
        <v>0</v>
      </c>
      <c r="H119" s="802"/>
      <c r="I119" s="803">
        <v>0</v>
      </c>
      <c r="J119" s="803">
        <v>0</v>
      </c>
      <c r="K119" s="803">
        <v>0</v>
      </c>
      <c r="L119" s="802">
        <v>0</v>
      </c>
      <c r="M119" s="802"/>
      <c r="N119" s="803">
        <v>0</v>
      </c>
      <c r="O119" s="803">
        <v>0</v>
      </c>
      <c r="P119" s="803">
        <v>0</v>
      </c>
      <c r="Q119" s="802">
        <v>645424.66</v>
      </c>
      <c r="R119" s="802"/>
      <c r="S119" s="803">
        <v>0</v>
      </c>
      <c r="T119" s="804">
        <v>-324334</v>
      </c>
      <c r="U119" s="804">
        <v>-324334</v>
      </c>
    </row>
    <row r="120" spans="1:21" x14ac:dyDescent="0.25">
      <c r="A120" s="799">
        <v>91120</v>
      </c>
      <c r="B120" s="800" t="s">
        <v>2739</v>
      </c>
      <c r="C120" s="801">
        <v>1.184E-4</v>
      </c>
      <c r="D120" s="801">
        <v>1.161E-4</v>
      </c>
      <c r="E120" s="802">
        <v>42592.1</v>
      </c>
      <c r="F120" s="802">
        <v>52105</v>
      </c>
      <c r="G120" s="802">
        <v>251284</v>
      </c>
      <c r="H120" s="802"/>
      <c r="I120" s="803">
        <v>4721.2</v>
      </c>
      <c r="J120" s="803">
        <v>220205</v>
      </c>
      <c r="K120" s="803">
        <v>17211</v>
      </c>
      <c r="L120" s="802">
        <v>0</v>
      </c>
      <c r="M120" s="802"/>
      <c r="N120" s="803">
        <v>8805</v>
      </c>
      <c r="O120" s="803">
        <v>81277</v>
      </c>
      <c r="P120" s="803">
        <v>0</v>
      </c>
      <c r="Q120" s="802">
        <v>29635</v>
      </c>
      <c r="R120" s="802"/>
      <c r="S120" s="803">
        <v>67165</v>
      </c>
      <c r="T120" s="804">
        <v>-11244</v>
      </c>
      <c r="U120" s="804">
        <v>55921</v>
      </c>
    </row>
    <row r="121" spans="1:21" x14ac:dyDescent="0.25">
      <c r="A121" s="799">
        <v>91121</v>
      </c>
      <c r="B121" s="800" t="s">
        <v>2740</v>
      </c>
      <c r="C121" s="801">
        <v>9.7842999999999992E-3</v>
      </c>
      <c r="D121" s="801">
        <v>1.0167600000000001E-2</v>
      </c>
      <c r="E121" s="802">
        <v>3705845</v>
      </c>
      <c r="F121" s="802">
        <v>4563158</v>
      </c>
      <c r="G121" s="802">
        <v>20765562</v>
      </c>
      <c r="H121" s="802"/>
      <c r="I121" s="803">
        <v>390149</v>
      </c>
      <c r="J121" s="803">
        <v>18197252</v>
      </c>
      <c r="K121" s="803">
        <v>1422256</v>
      </c>
      <c r="L121" s="802">
        <v>0</v>
      </c>
      <c r="M121" s="802"/>
      <c r="N121" s="803">
        <v>727649</v>
      </c>
      <c r="O121" s="803">
        <v>6716511</v>
      </c>
      <c r="P121" s="803">
        <v>0</v>
      </c>
      <c r="Q121" s="802">
        <v>834506</v>
      </c>
      <c r="R121" s="802"/>
      <c r="S121" s="803">
        <v>5550330</v>
      </c>
      <c r="T121" s="804">
        <v>-296106</v>
      </c>
      <c r="U121" s="804">
        <v>5254224</v>
      </c>
    </row>
    <row r="122" spans="1:21" x14ac:dyDescent="0.25">
      <c r="A122" s="799">
        <v>91127</v>
      </c>
      <c r="B122" s="800" t="s">
        <v>2741</v>
      </c>
      <c r="C122" s="801">
        <v>2.8229999999999998E-4</v>
      </c>
      <c r="D122" s="801">
        <v>2.7680000000000001E-4</v>
      </c>
      <c r="E122" s="802">
        <v>136473</v>
      </c>
      <c r="F122" s="802">
        <v>124226</v>
      </c>
      <c r="G122" s="802">
        <v>599135</v>
      </c>
      <c r="H122" s="802"/>
      <c r="I122" s="803">
        <v>11257</v>
      </c>
      <c r="J122" s="803">
        <v>525033</v>
      </c>
      <c r="K122" s="803">
        <v>41035</v>
      </c>
      <c r="L122" s="802">
        <v>59704</v>
      </c>
      <c r="M122" s="802"/>
      <c r="N122" s="803">
        <v>20994</v>
      </c>
      <c r="O122" s="803">
        <v>193787</v>
      </c>
      <c r="P122" s="803">
        <v>0</v>
      </c>
      <c r="Q122" s="802">
        <v>0</v>
      </c>
      <c r="R122" s="802"/>
      <c r="S122" s="803">
        <v>160140</v>
      </c>
      <c r="T122" s="804">
        <v>22617</v>
      </c>
      <c r="U122" s="804">
        <v>182757</v>
      </c>
    </row>
    <row r="123" spans="1:21" x14ac:dyDescent="0.25">
      <c r="A123" s="799">
        <v>91128</v>
      </c>
      <c r="B123" s="800" t="s">
        <v>2742</v>
      </c>
      <c r="C123" s="801">
        <v>5.0929999999999997E-4</v>
      </c>
      <c r="D123" s="801">
        <v>5.042E-4</v>
      </c>
      <c r="E123" s="802">
        <v>208474</v>
      </c>
      <c r="F123" s="802">
        <v>226282</v>
      </c>
      <c r="G123" s="802">
        <v>1080905</v>
      </c>
      <c r="H123" s="802"/>
      <c r="I123" s="803">
        <v>20308</v>
      </c>
      <c r="J123" s="803">
        <v>947218</v>
      </c>
      <c r="K123" s="803">
        <v>74032</v>
      </c>
      <c r="L123" s="802">
        <v>10827</v>
      </c>
      <c r="M123" s="802"/>
      <c r="N123" s="803">
        <v>37876</v>
      </c>
      <c r="O123" s="803">
        <v>349613</v>
      </c>
      <c r="P123" s="803">
        <v>0</v>
      </c>
      <c r="Q123" s="802">
        <v>12589</v>
      </c>
      <c r="R123" s="802"/>
      <c r="S123" s="803">
        <v>288910</v>
      </c>
      <c r="T123" s="804">
        <v>-2677</v>
      </c>
      <c r="U123" s="804">
        <v>286233</v>
      </c>
    </row>
    <row r="124" spans="1:21" x14ac:dyDescent="0.25">
      <c r="A124" s="799">
        <v>91138</v>
      </c>
      <c r="B124" s="800" t="s">
        <v>2743</v>
      </c>
      <c r="C124" s="801">
        <v>6.2350000000000003E-4</v>
      </c>
      <c r="D124" s="801">
        <v>6.6279999999999996E-4</v>
      </c>
      <c r="E124" s="802">
        <v>190650</v>
      </c>
      <c r="F124" s="802">
        <v>297461</v>
      </c>
      <c r="G124" s="802">
        <v>1323276</v>
      </c>
      <c r="H124" s="802"/>
      <c r="I124" s="803">
        <v>24862.0625</v>
      </c>
      <c r="J124" s="803">
        <v>1159611</v>
      </c>
      <c r="K124" s="803">
        <v>90633</v>
      </c>
      <c r="L124" s="802">
        <v>0</v>
      </c>
      <c r="M124" s="802"/>
      <c r="N124" s="803">
        <v>46369</v>
      </c>
      <c r="O124" s="803">
        <v>428007</v>
      </c>
      <c r="P124" s="803">
        <v>0</v>
      </c>
      <c r="Q124" s="802">
        <v>111983</v>
      </c>
      <c r="R124" s="802"/>
      <c r="S124" s="803">
        <v>353692</v>
      </c>
      <c r="T124" s="804">
        <v>-35624</v>
      </c>
      <c r="U124" s="804">
        <v>318068</v>
      </c>
    </row>
    <row r="125" spans="1:21" x14ac:dyDescent="0.25">
      <c r="A125" s="799">
        <v>91141</v>
      </c>
      <c r="B125" s="800" t="s">
        <v>2744</v>
      </c>
      <c r="C125" s="801">
        <v>5.5679999999999998E-4</v>
      </c>
      <c r="D125" s="801">
        <v>6.2560000000000003E-4</v>
      </c>
      <c r="E125" s="802">
        <v>214309.96</v>
      </c>
      <c r="F125" s="802">
        <v>280766</v>
      </c>
      <c r="G125" s="802">
        <v>1181716</v>
      </c>
      <c r="H125" s="802"/>
      <c r="I125" s="803">
        <v>22202</v>
      </c>
      <c r="J125" s="803">
        <v>1035560</v>
      </c>
      <c r="K125" s="803">
        <v>80937</v>
      </c>
      <c r="L125" s="802">
        <v>0</v>
      </c>
      <c r="M125" s="802"/>
      <c r="N125" s="803">
        <v>41409</v>
      </c>
      <c r="O125" s="803">
        <v>382220</v>
      </c>
      <c r="P125" s="803">
        <v>0</v>
      </c>
      <c r="Q125" s="802">
        <v>106380</v>
      </c>
      <c r="R125" s="802"/>
      <c r="S125" s="803">
        <v>315855</v>
      </c>
      <c r="T125" s="804">
        <v>-35698</v>
      </c>
      <c r="U125" s="804">
        <v>280157</v>
      </c>
    </row>
    <row r="126" spans="1:21" x14ac:dyDescent="0.25">
      <c r="A126" s="799">
        <v>91147</v>
      </c>
      <c r="B126" s="800" t="s">
        <v>2745</v>
      </c>
      <c r="C126" s="801">
        <v>2.4199999999999999E-5</v>
      </c>
      <c r="D126" s="801">
        <v>2.1399999999999998E-5</v>
      </c>
      <c r="E126" s="802">
        <v>10371</v>
      </c>
      <c r="F126" s="802">
        <v>9604</v>
      </c>
      <c r="G126" s="802">
        <v>51361</v>
      </c>
      <c r="H126" s="802"/>
      <c r="I126" s="803">
        <v>965</v>
      </c>
      <c r="J126" s="803">
        <v>45008</v>
      </c>
      <c r="K126" s="803">
        <v>3518</v>
      </c>
      <c r="L126" s="802">
        <v>10859</v>
      </c>
      <c r="M126" s="802"/>
      <c r="N126" s="803">
        <v>1800</v>
      </c>
      <c r="O126" s="803">
        <v>16612</v>
      </c>
      <c r="P126" s="803">
        <v>0</v>
      </c>
      <c r="Q126" s="802">
        <v>0</v>
      </c>
      <c r="R126" s="802"/>
      <c r="S126" s="803">
        <v>13728</v>
      </c>
      <c r="T126" s="804">
        <v>3941</v>
      </c>
      <c r="U126" s="804">
        <v>17669</v>
      </c>
    </row>
    <row r="127" spans="1:21" x14ac:dyDescent="0.25">
      <c r="A127" s="799">
        <v>91151</v>
      </c>
      <c r="B127" s="800" t="s">
        <v>2746</v>
      </c>
      <c r="C127" s="801">
        <v>6.1180000000000002E-4</v>
      </c>
      <c r="D127" s="801">
        <v>6.4479999999999995E-4</v>
      </c>
      <c r="E127" s="802">
        <v>222681.43</v>
      </c>
      <c r="F127" s="802">
        <v>289382</v>
      </c>
      <c r="G127" s="802">
        <v>1298445</v>
      </c>
      <c r="H127" s="802"/>
      <c r="I127" s="803">
        <v>24396</v>
      </c>
      <c r="J127" s="803">
        <v>1137851</v>
      </c>
      <c r="K127" s="803">
        <v>88932</v>
      </c>
      <c r="L127" s="802">
        <v>10702</v>
      </c>
      <c r="M127" s="802"/>
      <c r="N127" s="803">
        <v>45499</v>
      </c>
      <c r="O127" s="803">
        <v>419975</v>
      </c>
      <c r="P127" s="803">
        <v>0</v>
      </c>
      <c r="Q127" s="802">
        <v>50740</v>
      </c>
      <c r="R127" s="802"/>
      <c r="S127" s="803">
        <v>347055</v>
      </c>
      <c r="T127" s="804">
        <v>-11759</v>
      </c>
      <c r="U127" s="804">
        <v>335296</v>
      </c>
    </row>
    <row r="128" spans="1:21" x14ac:dyDescent="0.25">
      <c r="A128" s="799">
        <v>91154</v>
      </c>
      <c r="B128" s="800" t="s">
        <v>2747</v>
      </c>
      <c r="C128" s="801">
        <v>1.9599999999999999E-5</v>
      </c>
      <c r="D128" s="801">
        <v>1.59E-5</v>
      </c>
      <c r="E128" s="802">
        <v>8048.64</v>
      </c>
      <c r="F128" s="802">
        <v>7136</v>
      </c>
      <c r="G128" s="802">
        <v>41598</v>
      </c>
      <c r="H128" s="802"/>
      <c r="I128" s="803">
        <v>781.55</v>
      </c>
      <c r="J128" s="803">
        <v>36453</v>
      </c>
      <c r="K128" s="803">
        <v>2849</v>
      </c>
      <c r="L128" s="802">
        <v>5846</v>
      </c>
      <c r="M128" s="802"/>
      <c r="N128" s="803">
        <v>1458</v>
      </c>
      <c r="O128" s="803">
        <v>13455</v>
      </c>
      <c r="P128" s="803">
        <v>0</v>
      </c>
      <c r="Q128" s="802">
        <v>0</v>
      </c>
      <c r="R128" s="802"/>
      <c r="S128" s="803">
        <v>11118</v>
      </c>
      <c r="T128" s="804">
        <v>2074</v>
      </c>
      <c r="U128" s="804">
        <v>13192</v>
      </c>
    </row>
    <row r="129" spans="1:21" x14ac:dyDescent="0.25">
      <c r="A129" s="799">
        <v>91161</v>
      </c>
      <c r="B129" s="800" t="s">
        <v>2748</v>
      </c>
      <c r="C129" s="801">
        <v>9.4599999999999996E-5</v>
      </c>
      <c r="D129" s="801">
        <v>1.0670000000000001E-4</v>
      </c>
      <c r="E129" s="802">
        <v>44114</v>
      </c>
      <c r="F129" s="802">
        <v>47886</v>
      </c>
      <c r="G129" s="802">
        <v>200773</v>
      </c>
      <c r="H129" s="802"/>
      <c r="I129" s="803">
        <v>3772</v>
      </c>
      <c r="J129" s="803">
        <v>175941</v>
      </c>
      <c r="K129" s="803">
        <v>13751</v>
      </c>
      <c r="L129" s="802">
        <v>7920</v>
      </c>
      <c r="M129" s="802"/>
      <c r="N129" s="803">
        <v>7035</v>
      </c>
      <c r="O129" s="803">
        <v>64939</v>
      </c>
      <c r="P129" s="803">
        <v>0</v>
      </c>
      <c r="Q129" s="802">
        <v>5006</v>
      </c>
      <c r="R129" s="802"/>
      <c r="S129" s="803">
        <v>53664</v>
      </c>
      <c r="T129" s="804">
        <v>881</v>
      </c>
      <c r="U129" s="804">
        <v>54545</v>
      </c>
    </row>
    <row r="130" spans="1:21" x14ac:dyDescent="0.25">
      <c r="A130" s="799">
        <v>91171</v>
      </c>
      <c r="B130" s="800" t="s">
        <v>2749</v>
      </c>
      <c r="C130" s="801">
        <v>2.5589999999999999E-4</v>
      </c>
      <c r="D130" s="801">
        <v>2.5240000000000001E-4</v>
      </c>
      <c r="E130" s="802">
        <v>90093.88</v>
      </c>
      <c r="F130" s="802">
        <v>113276</v>
      </c>
      <c r="G130" s="802">
        <v>543106</v>
      </c>
      <c r="H130" s="802"/>
      <c r="I130" s="803">
        <v>10204</v>
      </c>
      <c r="J130" s="803">
        <v>475934</v>
      </c>
      <c r="K130" s="803">
        <v>37198</v>
      </c>
      <c r="L130" s="802">
        <v>0</v>
      </c>
      <c r="M130" s="802"/>
      <c r="N130" s="803">
        <v>19031</v>
      </c>
      <c r="O130" s="803">
        <v>175665</v>
      </c>
      <c r="P130" s="803">
        <v>0</v>
      </c>
      <c r="Q130" s="802">
        <v>32510</v>
      </c>
      <c r="R130" s="802"/>
      <c r="S130" s="803">
        <v>145164</v>
      </c>
      <c r="T130" s="804">
        <v>-12018</v>
      </c>
      <c r="U130" s="804">
        <v>133146</v>
      </c>
    </row>
    <row r="131" spans="1:21" x14ac:dyDescent="0.25">
      <c r="A131" s="799">
        <v>91201</v>
      </c>
      <c r="B131" s="800" t="s">
        <v>2750</v>
      </c>
      <c r="C131" s="801">
        <v>2.3127999999999998E-3</v>
      </c>
      <c r="D131" s="801">
        <v>2.2309000000000001E-3</v>
      </c>
      <c r="E131" s="802">
        <v>868644</v>
      </c>
      <c r="F131" s="802">
        <v>1001215</v>
      </c>
      <c r="G131" s="802">
        <v>4908536</v>
      </c>
      <c r="H131" s="802"/>
      <c r="I131" s="803">
        <v>92222.9</v>
      </c>
      <c r="J131" s="803">
        <v>4301443</v>
      </c>
      <c r="K131" s="803">
        <v>336191</v>
      </c>
      <c r="L131" s="802">
        <v>65448</v>
      </c>
      <c r="M131" s="802"/>
      <c r="N131" s="803">
        <v>172001</v>
      </c>
      <c r="O131" s="803">
        <v>1587640</v>
      </c>
      <c r="P131" s="803">
        <v>0</v>
      </c>
      <c r="Q131" s="802">
        <v>21142</v>
      </c>
      <c r="R131" s="802"/>
      <c r="S131" s="803">
        <v>1311980</v>
      </c>
      <c r="T131" s="804">
        <v>19623</v>
      </c>
      <c r="U131" s="804">
        <v>1331603</v>
      </c>
    </row>
    <row r="132" spans="1:21" x14ac:dyDescent="0.25">
      <c r="A132" s="799">
        <v>91202</v>
      </c>
      <c r="B132" s="800" t="s">
        <v>2751</v>
      </c>
      <c r="C132" s="801">
        <v>1.897E-4</v>
      </c>
      <c r="D132" s="801">
        <v>1.7560000000000001E-4</v>
      </c>
      <c r="E132" s="802">
        <v>85259.9</v>
      </c>
      <c r="F132" s="802">
        <v>78808</v>
      </c>
      <c r="G132" s="802">
        <v>402607</v>
      </c>
      <c r="H132" s="802"/>
      <c r="I132" s="803">
        <v>7564</v>
      </c>
      <c r="J132" s="803">
        <v>352812</v>
      </c>
      <c r="K132" s="803">
        <v>27575</v>
      </c>
      <c r="L132" s="802">
        <v>29505</v>
      </c>
      <c r="M132" s="802"/>
      <c r="N132" s="803">
        <v>14108</v>
      </c>
      <c r="O132" s="803">
        <v>130221</v>
      </c>
      <c r="P132" s="803">
        <v>0</v>
      </c>
      <c r="Q132" s="802">
        <v>0</v>
      </c>
      <c r="R132" s="802"/>
      <c r="S132" s="803">
        <v>107611</v>
      </c>
      <c r="T132" s="804">
        <v>10216</v>
      </c>
      <c r="U132" s="804">
        <v>117827</v>
      </c>
    </row>
    <row r="133" spans="1:21" x14ac:dyDescent="0.25">
      <c r="A133" s="799">
        <v>91203</v>
      </c>
      <c r="B133" s="800" t="s">
        <v>2752</v>
      </c>
      <c r="C133" s="801">
        <v>2.4479999999999999E-4</v>
      </c>
      <c r="D133" s="801">
        <v>2.4909999999999998E-4</v>
      </c>
      <c r="E133" s="802">
        <v>123805</v>
      </c>
      <c r="F133" s="802">
        <v>111795</v>
      </c>
      <c r="G133" s="802">
        <v>519548</v>
      </c>
      <c r="H133" s="802"/>
      <c r="I133" s="803">
        <v>9761.4</v>
      </c>
      <c r="J133" s="803">
        <v>455289</v>
      </c>
      <c r="K133" s="803">
        <v>35584</v>
      </c>
      <c r="L133" s="802">
        <v>32505</v>
      </c>
      <c r="M133" s="802"/>
      <c r="N133" s="803">
        <v>18206</v>
      </c>
      <c r="O133" s="803">
        <v>168045</v>
      </c>
      <c r="P133" s="803">
        <v>0</v>
      </c>
      <c r="Q133" s="802">
        <v>0</v>
      </c>
      <c r="R133" s="802"/>
      <c r="S133" s="803">
        <v>138867</v>
      </c>
      <c r="T133" s="804">
        <v>11460</v>
      </c>
      <c r="U133" s="804">
        <v>150327</v>
      </c>
    </row>
    <row r="134" spans="1:21" x14ac:dyDescent="0.25">
      <c r="A134" s="799">
        <v>91206</v>
      </c>
      <c r="B134" s="800" t="s">
        <v>2753</v>
      </c>
      <c r="C134" s="801">
        <v>8.2129999999999996E-4</v>
      </c>
      <c r="D134" s="801">
        <v>8.1959999999999997E-4</v>
      </c>
      <c r="E134" s="802">
        <v>334673.01</v>
      </c>
      <c r="F134" s="802">
        <v>367832</v>
      </c>
      <c r="G134" s="802">
        <v>1743074</v>
      </c>
      <c r="H134" s="802"/>
      <c r="I134" s="803">
        <v>32749</v>
      </c>
      <c r="J134" s="803">
        <v>1527488</v>
      </c>
      <c r="K134" s="803">
        <v>119385</v>
      </c>
      <c r="L134" s="802">
        <v>21519</v>
      </c>
      <c r="M134" s="802"/>
      <c r="N134" s="803">
        <v>61079</v>
      </c>
      <c r="O134" s="803">
        <v>563788</v>
      </c>
      <c r="P134" s="803">
        <v>0</v>
      </c>
      <c r="Q134" s="802">
        <v>1526</v>
      </c>
      <c r="R134" s="802"/>
      <c r="S134" s="803">
        <v>465898</v>
      </c>
      <c r="T134" s="804">
        <v>10203</v>
      </c>
      <c r="U134" s="804">
        <v>476101</v>
      </c>
    </row>
    <row r="135" spans="1:21" x14ac:dyDescent="0.25">
      <c r="A135" s="799">
        <v>91208</v>
      </c>
      <c r="B135" s="800" t="s">
        <v>2754</v>
      </c>
      <c r="C135" s="801">
        <v>1.3699999999999999E-5</v>
      </c>
      <c r="D135" s="801">
        <v>1.2999999999999999E-5</v>
      </c>
      <c r="E135" s="802">
        <v>5593</v>
      </c>
      <c r="F135" s="802">
        <v>5834</v>
      </c>
      <c r="G135" s="802">
        <v>29076</v>
      </c>
      <c r="H135" s="802"/>
      <c r="I135" s="803">
        <v>546.28750000000002</v>
      </c>
      <c r="J135" s="803">
        <v>25480</v>
      </c>
      <c r="K135" s="803">
        <v>1991</v>
      </c>
      <c r="L135" s="802">
        <v>7123</v>
      </c>
      <c r="M135" s="802"/>
      <c r="N135" s="803">
        <v>1019</v>
      </c>
      <c r="O135" s="803">
        <v>9404</v>
      </c>
      <c r="P135" s="803">
        <v>0</v>
      </c>
      <c r="Q135" s="802">
        <v>0</v>
      </c>
      <c r="R135" s="802"/>
      <c r="S135" s="803">
        <v>7772</v>
      </c>
      <c r="T135" s="804">
        <v>3401</v>
      </c>
      <c r="U135" s="804">
        <v>11172</v>
      </c>
    </row>
    <row r="136" spans="1:21" x14ac:dyDescent="0.25">
      <c r="A136" s="799">
        <v>91211</v>
      </c>
      <c r="B136" s="800" t="s">
        <v>2755</v>
      </c>
      <c r="C136" s="801">
        <v>4.6789999999999999E-4</v>
      </c>
      <c r="D136" s="801">
        <v>4.6260000000000002E-4</v>
      </c>
      <c r="E136" s="802">
        <v>192012</v>
      </c>
      <c r="F136" s="802">
        <v>207612</v>
      </c>
      <c r="G136" s="802">
        <v>993041</v>
      </c>
      <c r="H136" s="802"/>
      <c r="I136" s="803">
        <v>18658</v>
      </c>
      <c r="J136" s="803">
        <v>870220</v>
      </c>
      <c r="K136" s="803">
        <v>68014</v>
      </c>
      <c r="L136" s="802">
        <v>5989</v>
      </c>
      <c r="M136" s="802"/>
      <c r="N136" s="803">
        <v>34797</v>
      </c>
      <c r="O136" s="803">
        <v>321194</v>
      </c>
      <c r="P136" s="803">
        <v>0</v>
      </c>
      <c r="Q136" s="802">
        <v>5137</v>
      </c>
      <c r="R136" s="802"/>
      <c r="S136" s="803">
        <v>265425</v>
      </c>
      <c r="T136" s="804">
        <v>568</v>
      </c>
      <c r="U136" s="804">
        <v>265993</v>
      </c>
    </row>
    <row r="137" spans="1:21" x14ac:dyDescent="0.25">
      <c r="A137" s="799">
        <v>91213</v>
      </c>
      <c r="B137" s="800" t="s">
        <v>2756</v>
      </c>
      <c r="C137" s="801">
        <v>3.57E-5</v>
      </c>
      <c r="D137" s="801">
        <v>3.5500000000000002E-5</v>
      </c>
      <c r="E137" s="802">
        <v>11312</v>
      </c>
      <c r="F137" s="802">
        <v>15932</v>
      </c>
      <c r="G137" s="802">
        <v>75767</v>
      </c>
      <c r="H137" s="802"/>
      <c r="I137" s="803">
        <v>1424</v>
      </c>
      <c r="J137" s="803">
        <v>66396</v>
      </c>
      <c r="K137" s="803">
        <v>5189</v>
      </c>
      <c r="L137" s="802">
        <v>0</v>
      </c>
      <c r="M137" s="802"/>
      <c r="N137" s="803">
        <v>2655</v>
      </c>
      <c r="O137" s="803">
        <v>24507</v>
      </c>
      <c r="P137" s="803">
        <v>0</v>
      </c>
      <c r="Q137" s="802">
        <v>4828</v>
      </c>
      <c r="R137" s="802"/>
      <c r="S137" s="803">
        <v>20252</v>
      </c>
      <c r="T137" s="804">
        <v>-1558</v>
      </c>
      <c r="U137" s="804">
        <v>18694</v>
      </c>
    </row>
    <row r="138" spans="1:21" x14ac:dyDescent="0.25">
      <c r="A138" s="799">
        <v>91214</v>
      </c>
      <c r="B138" s="800" t="s">
        <v>2757</v>
      </c>
      <c r="C138" s="801">
        <v>2.8200000000000001E-5</v>
      </c>
      <c r="D138" s="801">
        <v>2.6800000000000001E-5</v>
      </c>
      <c r="E138" s="802">
        <v>8297</v>
      </c>
      <c r="F138" s="802">
        <v>12028</v>
      </c>
      <c r="G138" s="802">
        <v>59850</v>
      </c>
      <c r="H138" s="802"/>
      <c r="I138" s="803">
        <v>1124</v>
      </c>
      <c r="J138" s="803">
        <v>52448</v>
      </c>
      <c r="K138" s="803">
        <v>4099</v>
      </c>
      <c r="L138" s="802">
        <v>2071</v>
      </c>
      <c r="M138" s="802"/>
      <c r="N138" s="803">
        <v>2097</v>
      </c>
      <c r="O138" s="803">
        <v>19358</v>
      </c>
      <c r="P138" s="803">
        <v>0</v>
      </c>
      <c r="Q138" s="802">
        <v>1863</v>
      </c>
      <c r="R138" s="802"/>
      <c r="S138" s="803">
        <v>15997</v>
      </c>
      <c r="T138" s="804">
        <v>289</v>
      </c>
      <c r="U138" s="804">
        <v>16286</v>
      </c>
    </row>
    <row r="139" spans="1:21" x14ac:dyDescent="0.25">
      <c r="A139" s="799">
        <v>91217</v>
      </c>
      <c r="B139" s="800" t="s">
        <v>2758</v>
      </c>
      <c r="C139" s="801">
        <v>2.6699999999999998E-5</v>
      </c>
      <c r="D139" s="801">
        <v>1.8700000000000001E-5</v>
      </c>
      <c r="E139" s="802">
        <v>15053.92</v>
      </c>
      <c r="F139" s="802">
        <v>8392</v>
      </c>
      <c r="G139" s="802">
        <v>56666</v>
      </c>
      <c r="H139" s="802"/>
      <c r="I139" s="803">
        <v>1065</v>
      </c>
      <c r="J139" s="803">
        <v>49658</v>
      </c>
      <c r="K139" s="803">
        <v>3881</v>
      </c>
      <c r="L139" s="802">
        <v>11622</v>
      </c>
      <c r="M139" s="802"/>
      <c r="N139" s="803">
        <v>1986</v>
      </c>
      <c r="O139" s="803">
        <v>18328</v>
      </c>
      <c r="P139" s="803">
        <v>0</v>
      </c>
      <c r="Q139" s="802">
        <v>0</v>
      </c>
      <c r="R139" s="802"/>
      <c r="S139" s="803">
        <v>15146</v>
      </c>
      <c r="T139" s="804">
        <v>3617</v>
      </c>
      <c r="U139" s="804">
        <v>18763</v>
      </c>
    </row>
    <row r="140" spans="1:21" x14ac:dyDescent="0.25">
      <c r="A140" s="799">
        <v>91221</v>
      </c>
      <c r="B140" s="800" t="s">
        <v>2759</v>
      </c>
      <c r="C140" s="801">
        <v>1.294E-4</v>
      </c>
      <c r="D140" s="801">
        <v>1.404E-4</v>
      </c>
      <c r="E140" s="802">
        <v>50416</v>
      </c>
      <c r="F140" s="802">
        <v>63011</v>
      </c>
      <c r="G140" s="802">
        <v>274630</v>
      </c>
      <c r="H140" s="802"/>
      <c r="I140" s="803">
        <v>5160</v>
      </c>
      <c r="J140" s="803">
        <v>240664</v>
      </c>
      <c r="K140" s="803">
        <v>18810</v>
      </c>
      <c r="L140" s="802">
        <v>7496</v>
      </c>
      <c r="M140" s="802"/>
      <c r="N140" s="803">
        <v>9623</v>
      </c>
      <c r="O140" s="803">
        <v>88828</v>
      </c>
      <c r="P140" s="803">
        <v>0</v>
      </c>
      <c r="Q140" s="802">
        <v>9810</v>
      </c>
      <c r="R140" s="802"/>
      <c r="S140" s="803">
        <v>73405</v>
      </c>
      <c r="T140" s="804">
        <v>1070</v>
      </c>
      <c r="U140" s="804">
        <v>74475</v>
      </c>
    </row>
    <row r="141" spans="1:21" x14ac:dyDescent="0.25">
      <c r="A141" s="799">
        <v>91231</v>
      </c>
      <c r="B141" s="800" t="s">
        <v>2760</v>
      </c>
      <c r="C141" s="801">
        <v>1.9957E-3</v>
      </c>
      <c r="D141" s="801">
        <v>2.0203999999999999E-3</v>
      </c>
      <c r="E141" s="802">
        <v>763104.33</v>
      </c>
      <c r="F141" s="802">
        <v>906743</v>
      </c>
      <c r="G141" s="802">
        <v>4235544</v>
      </c>
      <c r="H141" s="802"/>
      <c r="I141" s="803">
        <v>79579</v>
      </c>
      <c r="J141" s="803">
        <v>3711687</v>
      </c>
      <c r="K141" s="803">
        <v>290097</v>
      </c>
      <c r="L141" s="802">
        <v>21281.06</v>
      </c>
      <c r="M141" s="802"/>
      <c r="N141" s="803">
        <v>148418</v>
      </c>
      <c r="O141" s="803">
        <v>1369964</v>
      </c>
      <c r="P141" s="803">
        <v>0</v>
      </c>
      <c r="Q141" s="802">
        <v>85796</v>
      </c>
      <c r="R141" s="802"/>
      <c r="S141" s="803">
        <v>1132099</v>
      </c>
      <c r="T141" s="804">
        <v>-14080</v>
      </c>
      <c r="U141" s="804">
        <v>1118019</v>
      </c>
    </row>
    <row r="142" spans="1:21" x14ac:dyDescent="0.25">
      <c r="A142" s="799">
        <v>91233</v>
      </c>
      <c r="B142" s="800" t="s">
        <v>2761</v>
      </c>
      <c r="C142" s="801">
        <v>4.5599999999999997E-5</v>
      </c>
      <c r="D142" s="801">
        <v>4.3399999999999998E-5</v>
      </c>
      <c r="E142" s="802">
        <v>17053</v>
      </c>
      <c r="F142" s="802">
        <v>19478</v>
      </c>
      <c r="G142" s="802">
        <v>96778</v>
      </c>
      <c r="H142" s="802"/>
      <c r="I142" s="803">
        <v>1818.3</v>
      </c>
      <c r="J142" s="803">
        <v>84809</v>
      </c>
      <c r="K142" s="803">
        <v>6628</v>
      </c>
      <c r="L142" s="802">
        <v>8243</v>
      </c>
      <c r="M142" s="802"/>
      <c r="N142" s="803">
        <v>3391</v>
      </c>
      <c r="O142" s="803">
        <v>31302</v>
      </c>
      <c r="P142" s="803">
        <v>0</v>
      </c>
      <c r="Q142" s="802">
        <v>159</v>
      </c>
      <c r="R142" s="802"/>
      <c r="S142" s="803">
        <v>25867</v>
      </c>
      <c r="T142" s="804">
        <v>3163</v>
      </c>
      <c r="U142" s="804">
        <v>29031</v>
      </c>
    </row>
    <row r="143" spans="1:21" x14ac:dyDescent="0.25">
      <c r="A143" s="799">
        <v>91241</v>
      </c>
      <c r="B143" s="800" t="s">
        <v>2762</v>
      </c>
      <c r="C143" s="801">
        <v>3.68E-5</v>
      </c>
      <c r="D143" s="801">
        <v>4.0800000000000002E-5</v>
      </c>
      <c r="E143" s="802">
        <v>13967</v>
      </c>
      <c r="F143" s="802">
        <v>18311</v>
      </c>
      <c r="G143" s="802">
        <v>78102</v>
      </c>
      <c r="H143" s="802"/>
      <c r="I143" s="803">
        <v>1467.4</v>
      </c>
      <c r="J143" s="803">
        <v>68442</v>
      </c>
      <c r="K143" s="803">
        <v>5349</v>
      </c>
      <c r="L143" s="802">
        <v>0</v>
      </c>
      <c r="M143" s="802"/>
      <c r="N143" s="803">
        <v>2737</v>
      </c>
      <c r="O143" s="803">
        <v>25262</v>
      </c>
      <c r="P143" s="803">
        <v>0</v>
      </c>
      <c r="Q143" s="802">
        <v>6784</v>
      </c>
      <c r="R143" s="802"/>
      <c r="S143" s="803">
        <v>20875</v>
      </c>
      <c r="T143" s="804">
        <v>-2529</v>
      </c>
      <c r="U143" s="804">
        <v>18346</v>
      </c>
    </row>
    <row r="144" spans="1:21" x14ac:dyDescent="0.25">
      <c r="A144" s="799">
        <v>91251</v>
      </c>
      <c r="B144" s="800" t="s">
        <v>2763</v>
      </c>
      <c r="C144" s="801">
        <v>2.65E-5</v>
      </c>
      <c r="D144" s="801">
        <v>2.6699999999999998E-5</v>
      </c>
      <c r="E144" s="802">
        <v>9989</v>
      </c>
      <c r="F144" s="802">
        <v>11983</v>
      </c>
      <c r="G144" s="802">
        <v>56242</v>
      </c>
      <c r="H144" s="802"/>
      <c r="I144" s="803">
        <v>1056.6875</v>
      </c>
      <c r="J144" s="803">
        <v>49286</v>
      </c>
      <c r="K144" s="803">
        <v>3852</v>
      </c>
      <c r="L144" s="802">
        <v>4706</v>
      </c>
      <c r="M144" s="802"/>
      <c r="N144" s="803">
        <v>1971</v>
      </c>
      <c r="O144" s="803">
        <v>18191</v>
      </c>
      <c r="P144" s="803">
        <v>0</v>
      </c>
      <c r="Q144" s="802">
        <v>1236</v>
      </c>
      <c r="R144" s="802"/>
      <c r="S144" s="803">
        <v>15033</v>
      </c>
      <c r="T144" s="804">
        <v>2006</v>
      </c>
      <c r="U144" s="804">
        <v>17039</v>
      </c>
    </row>
    <row r="145" spans="1:21" x14ac:dyDescent="0.25">
      <c r="A145" s="799">
        <v>91261</v>
      </c>
      <c r="B145" s="800" t="s">
        <v>2764</v>
      </c>
      <c r="C145" s="801">
        <v>9.5000000000000005E-6</v>
      </c>
      <c r="D145" s="801">
        <v>8.8000000000000004E-6</v>
      </c>
      <c r="E145" s="802">
        <v>4130</v>
      </c>
      <c r="F145" s="802">
        <v>3949</v>
      </c>
      <c r="G145" s="802">
        <v>20162</v>
      </c>
      <c r="H145" s="802"/>
      <c r="I145" s="803">
        <v>378.8125</v>
      </c>
      <c r="J145" s="803">
        <v>17668</v>
      </c>
      <c r="K145" s="803">
        <v>1381</v>
      </c>
      <c r="L145" s="802">
        <v>2027</v>
      </c>
      <c r="M145" s="802"/>
      <c r="N145" s="803">
        <v>707</v>
      </c>
      <c r="O145" s="803">
        <v>6521</v>
      </c>
      <c r="P145" s="803">
        <v>0</v>
      </c>
      <c r="Q145" s="802">
        <v>0</v>
      </c>
      <c r="R145" s="802"/>
      <c r="S145" s="803">
        <v>5389</v>
      </c>
      <c r="T145" s="804">
        <v>729</v>
      </c>
      <c r="U145" s="804">
        <v>6118</v>
      </c>
    </row>
    <row r="146" spans="1:21" x14ac:dyDescent="0.25">
      <c r="A146" s="805">
        <v>91301</v>
      </c>
      <c r="B146" s="800" t="s">
        <v>2765</v>
      </c>
      <c r="C146" s="801">
        <v>7.7765000000000004E-3</v>
      </c>
      <c r="D146" s="801">
        <v>7.2360999999999997E-3</v>
      </c>
      <c r="E146" s="802">
        <v>2863288</v>
      </c>
      <c r="F146" s="802">
        <v>3247518</v>
      </c>
      <c r="G146" s="802">
        <v>16504338</v>
      </c>
      <c r="H146" s="802"/>
      <c r="I146" s="803">
        <v>310088</v>
      </c>
      <c r="J146" s="803">
        <v>14463061</v>
      </c>
      <c r="K146" s="803">
        <v>1130400</v>
      </c>
      <c r="L146" s="802">
        <v>26878</v>
      </c>
      <c r="M146" s="802"/>
      <c r="N146" s="803">
        <v>578331</v>
      </c>
      <c r="O146" s="803">
        <v>5338241</v>
      </c>
      <c r="P146" s="803">
        <v>0</v>
      </c>
      <c r="Q146" s="802">
        <v>184573</v>
      </c>
      <c r="R146" s="802"/>
      <c r="S146" s="803">
        <v>4411367</v>
      </c>
      <c r="T146" s="804">
        <v>-64544</v>
      </c>
      <c r="U146" s="804">
        <v>4346824</v>
      </c>
    </row>
    <row r="147" spans="1:21" x14ac:dyDescent="0.25">
      <c r="A147" s="805">
        <v>91302</v>
      </c>
      <c r="B147" s="800" t="s">
        <v>2766</v>
      </c>
      <c r="C147" s="801">
        <v>5.9190000000000002E-4</v>
      </c>
      <c r="D147" s="801">
        <v>5.8169999999999999E-4</v>
      </c>
      <c r="E147" s="802">
        <v>242052.32</v>
      </c>
      <c r="F147" s="802">
        <v>261063</v>
      </c>
      <c r="G147" s="802">
        <v>1256210</v>
      </c>
      <c r="H147" s="802"/>
      <c r="I147" s="803">
        <v>23602</v>
      </c>
      <c r="J147" s="803">
        <v>1100840</v>
      </c>
      <c r="K147" s="803">
        <v>86039</v>
      </c>
      <c r="L147" s="802">
        <v>53000</v>
      </c>
      <c r="M147" s="802"/>
      <c r="N147" s="803">
        <v>44019</v>
      </c>
      <c r="O147" s="803">
        <v>406314</v>
      </c>
      <c r="P147" s="803">
        <v>0</v>
      </c>
      <c r="Q147" s="802">
        <v>0</v>
      </c>
      <c r="R147" s="802"/>
      <c r="S147" s="803">
        <v>335767</v>
      </c>
      <c r="T147" s="804">
        <v>20102</v>
      </c>
      <c r="U147" s="804">
        <v>355869</v>
      </c>
    </row>
    <row r="148" spans="1:21" x14ac:dyDescent="0.25">
      <c r="A148" s="805">
        <v>91306</v>
      </c>
      <c r="B148" s="800" t="s">
        <v>2767</v>
      </c>
      <c r="C148" s="801">
        <v>1.6676E-3</v>
      </c>
      <c r="D148" s="801">
        <v>1.5539E-3</v>
      </c>
      <c r="E148" s="802">
        <v>693271</v>
      </c>
      <c r="F148" s="802">
        <v>697381</v>
      </c>
      <c r="G148" s="802">
        <v>3539206</v>
      </c>
      <c r="H148" s="802"/>
      <c r="I148" s="803">
        <v>66495.55</v>
      </c>
      <c r="J148" s="803">
        <v>3101473</v>
      </c>
      <c r="K148" s="803">
        <v>242404</v>
      </c>
      <c r="L148" s="802">
        <v>174697</v>
      </c>
      <c r="M148" s="802"/>
      <c r="N148" s="803">
        <v>124018</v>
      </c>
      <c r="O148" s="803">
        <v>1144737</v>
      </c>
      <c r="P148" s="803">
        <v>0</v>
      </c>
      <c r="Q148" s="802">
        <v>0</v>
      </c>
      <c r="R148" s="802"/>
      <c r="S148" s="803">
        <v>945978</v>
      </c>
      <c r="T148" s="804">
        <v>60990</v>
      </c>
      <c r="U148" s="804">
        <v>1006968</v>
      </c>
    </row>
    <row r="149" spans="1:21" x14ac:dyDescent="0.25">
      <c r="A149" s="799">
        <v>91308</v>
      </c>
      <c r="B149" s="800" t="s">
        <v>2768</v>
      </c>
      <c r="C149" s="801">
        <v>2.05E-4</v>
      </c>
      <c r="D149" s="801">
        <v>1.8650000000000001E-4</v>
      </c>
      <c r="E149" s="802">
        <v>71992.33</v>
      </c>
      <c r="F149" s="802">
        <v>83700</v>
      </c>
      <c r="G149" s="802">
        <v>435079</v>
      </c>
      <c r="H149" s="802"/>
      <c r="I149" s="803">
        <v>8174.375</v>
      </c>
      <c r="J149" s="803">
        <v>381267.61</v>
      </c>
      <c r="K149" s="803">
        <v>29799</v>
      </c>
      <c r="L149" s="802">
        <v>4790</v>
      </c>
      <c r="M149" s="802"/>
      <c r="N149" s="803">
        <v>15246</v>
      </c>
      <c r="O149" s="803">
        <v>140724</v>
      </c>
      <c r="P149" s="803">
        <v>0</v>
      </c>
      <c r="Q149" s="802">
        <v>3858</v>
      </c>
      <c r="R149" s="802"/>
      <c r="S149" s="803">
        <v>116290</v>
      </c>
      <c r="T149" s="804">
        <v>980</v>
      </c>
      <c r="U149" s="804">
        <v>117270</v>
      </c>
    </row>
    <row r="150" spans="1:21" x14ac:dyDescent="0.25">
      <c r="A150" s="799">
        <v>91311</v>
      </c>
      <c r="B150" s="800" t="s">
        <v>2769</v>
      </c>
      <c r="C150" s="801">
        <v>7.6649999999999999E-3</v>
      </c>
      <c r="D150" s="801">
        <v>7.9313999999999999E-3</v>
      </c>
      <c r="E150" s="802">
        <v>2915494</v>
      </c>
      <c r="F150" s="802">
        <v>3559565</v>
      </c>
      <c r="G150" s="802">
        <v>16267698</v>
      </c>
      <c r="H150" s="802"/>
      <c r="I150" s="803">
        <v>305642</v>
      </c>
      <c r="J150" s="803">
        <v>14255689</v>
      </c>
      <c r="K150" s="803">
        <v>1114192</v>
      </c>
      <c r="L150" s="802">
        <v>121391</v>
      </c>
      <c r="M150" s="802"/>
      <c r="N150" s="803">
        <v>570038</v>
      </c>
      <c r="O150" s="803">
        <v>5261700.57</v>
      </c>
      <c r="P150" s="803">
        <v>0</v>
      </c>
      <c r="Q150" s="802">
        <v>535505</v>
      </c>
      <c r="R150" s="802"/>
      <c r="S150" s="803">
        <v>4348117</v>
      </c>
      <c r="T150" s="804">
        <v>-145156</v>
      </c>
      <c r="U150" s="804">
        <v>4202961</v>
      </c>
    </row>
    <row r="151" spans="1:21" x14ac:dyDescent="0.25">
      <c r="A151" s="799">
        <v>91317</v>
      </c>
      <c r="B151" s="800" t="s">
        <v>2770</v>
      </c>
      <c r="C151" s="801">
        <v>9.0500000000000004E-5</v>
      </c>
      <c r="D151" s="801">
        <v>9.59E-5</v>
      </c>
      <c r="E151" s="802">
        <v>39328.85</v>
      </c>
      <c r="F151" s="802">
        <v>43039</v>
      </c>
      <c r="G151" s="802">
        <v>192071</v>
      </c>
      <c r="H151" s="802"/>
      <c r="I151" s="803">
        <v>3608.6875</v>
      </c>
      <c r="J151" s="803">
        <v>168316</v>
      </c>
      <c r="K151" s="803">
        <v>13155</v>
      </c>
      <c r="L151" s="802">
        <v>3623</v>
      </c>
      <c r="M151" s="802"/>
      <c r="N151" s="803">
        <v>6730</v>
      </c>
      <c r="O151" s="803">
        <v>62124</v>
      </c>
      <c r="P151" s="803">
        <v>0</v>
      </c>
      <c r="Q151" s="802">
        <v>2926</v>
      </c>
      <c r="R151" s="802"/>
      <c r="S151" s="803">
        <v>51338</v>
      </c>
      <c r="T151" s="804">
        <v>118</v>
      </c>
      <c r="U151" s="804">
        <v>51456</v>
      </c>
    </row>
    <row r="152" spans="1:21" x14ac:dyDescent="0.25">
      <c r="A152" s="799">
        <v>91321</v>
      </c>
      <c r="B152" s="800" t="s">
        <v>2771</v>
      </c>
      <c r="C152" s="801">
        <v>4.1999999999999998E-5</v>
      </c>
      <c r="D152" s="801">
        <v>3.1999999999999999E-5</v>
      </c>
      <c r="E152" s="802">
        <v>17123</v>
      </c>
      <c r="F152" s="802">
        <v>14361</v>
      </c>
      <c r="G152" s="802">
        <v>89138</v>
      </c>
      <c r="H152" s="802"/>
      <c r="I152" s="803">
        <v>1674.75</v>
      </c>
      <c r="J152" s="803">
        <v>78113</v>
      </c>
      <c r="K152" s="803">
        <v>6105</v>
      </c>
      <c r="L152" s="802">
        <v>6260</v>
      </c>
      <c r="M152" s="802"/>
      <c r="N152" s="803">
        <v>3123</v>
      </c>
      <c r="O152" s="803">
        <v>28831</v>
      </c>
      <c r="P152" s="803">
        <v>0</v>
      </c>
      <c r="Q152" s="802">
        <v>5826</v>
      </c>
      <c r="R152" s="802"/>
      <c r="S152" s="803">
        <v>23825</v>
      </c>
      <c r="T152" s="804">
        <v>-210</v>
      </c>
      <c r="U152" s="804">
        <v>23615</v>
      </c>
    </row>
    <row r="153" spans="1:21" x14ac:dyDescent="0.25">
      <c r="A153" s="799">
        <v>91327</v>
      </c>
      <c r="B153" s="800" t="s">
        <v>2772</v>
      </c>
      <c r="C153" s="801">
        <v>1.03E-5</v>
      </c>
      <c r="D153" s="801">
        <v>1.13E-5</v>
      </c>
      <c r="E153" s="802">
        <v>4112</v>
      </c>
      <c r="F153" s="802">
        <v>5071</v>
      </c>
      <c r="G153" s="802">
        <v>21860</v>
      </c>
      <c r="H153" s="802"/>
      <c r="I153" s="803">
        <v>410.71249999999998</v>
      </c>
      <c r="J153" s="803">
        <v>19156</v>
      </c>
      <c r="K153" s="803">
        <v>1497</v>
      </c>
      <c r="L153" s="802">
        <v>72</v>
      </c>
      <c r="M153" s="802"/>
      <c r="N153" s="803">
        <v>766</v>
      </c>
      <c r="O153" s="803">
        <v>7071</v>
      </c>
      <c r="P153" s="803">
        <v>0</v>
      </c>
      <c r="Q153" s="802">
        <v>1050</v>
      </c>
      <c r="R153" s="802"/>
      <c r="S153" s="803">
        <v>5843</v>
      </c>
      <c r="T153" s="804">
        <v>-275</v>
      </c>
      <c r="U153" s="804">
        <v>5568</v>
      </c>
    </row>
    <row r="154" spans="1:21" x14ac:dyDescent="0.25">
      <c r="A154" s="799">
        <v>91331</v>
      </c>
      <c r="B154" s="800" t="s">
        <v>2773</v>
      </c>
      <c r="C154" s="801">
        <v>2.8509999999999998E-3</v>
      </c>
      <c r="D154" s="801">
        <v>3.0317E-3</v>
      </c>
      <c r="E154" s="802">
        <v>1040695.76</v>
      </c>
      <c r="F154" s="802">
        <v>1360609</v>
      </c>
      <c r="G154" s="802">
        <v>6050777</v>
      </c>
      <c r="H154" s="802"/>
      <c r="I154" s="803">
        <v>113684</v>
      </c>
      <c r="J154" s="803">
        <v>5302410</v>
      </c>
      <c r="K154" s="803">
        <v>414424</v>
      </c>
      <c r="L154" s="802">
        <v>0</v>
      </c>
      <c r="M154" s="802"/>
      <c r="N154" s="803">
        <v>212026</v>
      </c>
      <c r="O154" s="803">
        <v>1957092</v>
      </c>
      <c r="P154" s="803">
        <v>0</v>
      </c>
      <c r="Q154" s="802">
        <v>459221</v>
      </c>
      <c r="R154" s="802"/>
      <c r="S154" s="803">
        <v>1617284</v>
      </c>
      <c r="T154" s="804">
        <v>-164462</v>
      </c>
      <c r="U154" s="804">
        <v>1452822</v>
      </c>
    </row>
    <row r="155" spans="1:21" x14ac:dyDescent="0.25">
      <c r="A155" s="799">
        <v>91341</v>
      </c>
      <c r="B155" s="800" t="s">
        <v>2774</v>
      </c>
      <c r="C155" s="801">
        <v>1.4399999999999999E-5</v>
      </c>
      <c r="D155" s="801">
        <v>2.1299999999999999E-5</v>
      </c>
      <c r="E155" s="802">
        <v>7639.09</v>
      </c>
      <c r="F155" s="802">
        <v>9559</v>
      </c>
      <c r="G155" s="802">
        <v>30562</v>
      </c>
      <c r="H155" s="802"/>
      <c r="I155" s="803">
        <v>574</v>
      </c>
      <c r="J155" s="803">
        <v>26782</v>
      </c>
      <c r="K155" s="803">
        <v>2093</v>
      </c>
      <c r="L155" s="802">
        <v>514</v>
      </c>
      <c r="M155" s="802"/>
      <c r="N155" s="803">
        <v>1071</v>
      </c>
      <c r="O155" s="803">
        <v>9885</v>
      </c>
      <c r="P155" s="803">
        <v>0</v>
      </c>
      <c r="Q155" s="802">
        <v>2374</v>
      </c>
      <c r="R155" s="802"/>
      <c r="S155" s="803">
        <v>8169</v>
      </c>
      <c r="T155" s="804">
        <v>-382</v>
      </c>
      <c r="U155" s="804">
        <v>7786</v>
      </c>
    </row>
    <row r="156" spans="1:21" x14ac:dyDescent="0.25">
      <c r="A156" s="799">
        <v>91401</v>
      </c>
      <c r="B156" s="800" t="s">
        <v>2775</v>
      </c>
      <c r="C156" s="801">
        <v>3.6841E-3</v>
      </c>
      <c r="D156" s="801">
        <v>3.5414999999999999E-3</v>
      </c>
      <c r="E156" s="802">
        <v>1403464.74</v>
      </c>
      <c r="F156" s="802">
        <v>1589404</v>
      </c>
      <c r="G156" s="802">
        <v>7818894</v>
      </c>
      <c r="H156" s="802"/>
      <c r="I156" s="803">
        <v>146903</v>
      </c>
      <c r="J156" s="803">
        <v>6851844</v>
      </c>
      <c r="K156" s="803">
        <v>535524</v>
      </c>
      <c r="L156" s="802">
        <v>30858</v>
      </c>
      <c r="M156" s="802"/>
      <c r="N156" s="803">
        <v>273983</v>
      </c>
      <c r="O156" s="803">
        <v>2528980</v>
      </c>
      <c r="P156" s="803">
        <v>0</v>
      </c>
      <c r="Q156" s="802">
        <v>11385</v>
      </c>
      <c r="R156" s="802"/>
      <c r="S156" s="803">
        <v>2089876</v>
      </c>
      <c r="T156" s="804">
        <v>10463</v>
      </c>
      <c r="U156" s="804">
        <v>2100338</v>
      </c>
    </row>
    <row r="157" spans="1:21" x14ac:dyDescent="0.25">
      <c r="A157" s="799">
        <v>91411</v>
      </c>
      <c r="B157" s="800" t="s">
        <v>2776</v>
      </c>
      <c r="C157" s="801">
        <v>3.5379999999999998E-4</v>
      </c>
      <c r="D157" s="801">
        <v>3.1189999999999999E-4</v>
      </c>
      <c r="E157" s="802">
        <v>141435.49</v>
      </c>
      <c r="F157" s="802">
        <v>139979</v>
      </c>
      <c r="G157" s="802">
        <v>750882</v>
      </c>
      <c r="H157" s="802"/>
      <c r="I157" s="803">
        <v>14108</v>
      </c>
      <c r="J157" s="803">
        <v>658012</v>
      </c>
      <c r="K157" s="803">
        <v>51429</v>
      </c>
      <c r="L157" s="802">
        <v>22528</v>
      </c>
      <c r="M157" s="802"/>
      <c r="N157" s="803">
        <v>26312</v>
      </c>
      <c r="O157" s="803">
        <v>242869</v>
      </c>
      <c r="P157" s="803">
        <v>0</v>
      </c>
      <c r="Q157" s="802">
        <v>2801.92</v>
      </c>
      <c r="R157" s="802"/>
      <c r="S157" s="803">
        <v>200700</v>
      </c>
      <c r="T157" s="804">
        <v>4720</v>
      </c>
      <c r="U157" s="804">
        <v>205420</v>
      </c>
    </row>
    <row r="158" spans="1:21" x14ac:dyDescent="0.25">
      <c r="A158" s="799">
        <v>91417</v>
      </c>
      <c r="B158" s="800" t="s">
        <v>2777</v>
      </c>
      <c r="C158" s="801">
        <v>9.9000000000000001E-6</v>
      </c>
      <c r="D158" s="801">
        <v>1.04E-5</v>
      </c>
      <c r="E158" s="802">
        <v>4800</v>
      </c>
      <c r="F158" s="802">
        <v>4667</v>
      </c>
      <c r="G158" s="802">
        <v>21011</v>
      </c>
      <c r="H158" s="802"/>
      <c r="I158" s="803">
        <v>394.76249999999999</v>
      </c>
      <c r="J158" s="803">
        <v>18412</v>
      </c>
      <c r="K158" s="803">
        <v>1439</v>
      </c>
      <c r="L158" s="802">
        <v>3686</v>
      </c>
      <c r="M158" s="802"/>
      <c r="N158" s="803">
        <v>736</v>
      </c>
      <c r="O158" s="803">
        <v>6796</v>
      </c>
      <c r="P158" s="803">
        <v>0</v>
      </c>
      <c r="Q158" s="802">
        <v>0</v>
      </c>
      <c r="R158" s="802"/>
      <c r="S158" s="803">
        <v>5616</v>
      </c>
      <c r="T158" s="804">
        <v>1711</v>
      </c>
      <c r="U158" s="804">
        <v>7327</v>
      </c>
    </row>
    <row r="159" spans="1:21" x14ac:dyDescent="0.25">
      <c r="A159" s="799">
        <v>91421</v>
      </c>
      <c r="B159" s="800" t="s">
        <v>2778</v>
      </c>
      <c r="C159" s="801">
        <v>7.0400000000000004E-5</v>
      </c>
      <c r="D159" s="801">
        <v>7.3399999999999995E-5</v>
      </c>
      <c r="E159" s="802">
        <v>30683</v>
      </c>
      <c r="F159" s="802">
        <v>32941</v>
      </c>
      <c r="G159" s="802">
        <v>149412</v>
      </c>
      <c r="H159" s="802"/>
      <c r="I159" s="803">
        <v>2807</v>
      </c>
      <c r="J159" s="803">
        <v>130933</v>
      </c>
      <c r="K159" s="803">
        <v>10233</v>
      </c>
      <c r="L159" s="802">
        <v>2567</v>
      </c>
      <c r="M159" s="802"/>
      <c r="N159" s="803">
        <v>5236</v>
      </c>
      <c r="O159" s="803">
        <v>48327</v>
      </c>
      <c r="P159" s="803">
        <v>0</v>
      </c>
      <c r="Q159" s="802">
        <v>4833</v>
      </c>
      <c r="R159" s="802"/>
      <c r="S159" s="803">
        <v>39936</v>
      </c>
      <c r="T159" s="804">
        <v>-400</v>
      </c>
      <c r="U159" s="804">
        <v>39536</v>
      </c>
    </row>
    <row r="160" spans="1:21" x14ac:dyDescent="0.25">
      <c r="A160" s="799">
        <v>91423</v>
      </c>
      <c r="B160" s="800" t="s">
        <v>2779</v>
      </c>
      <c r="C160" s="801">
        <v>3.8699999999999999E-5</v>
      </c>
      <c r="D160" s="801">
        <v>3.9499999999999998E-5</v>
      </c>
      <c r="E160" s="802">
        <v>17177.96</v>
      </c>
      <c r="F160" s="802">
        <v>17727</v>
      </c>
      <c r="G160" s="802">
        <v>82134</v>
      </c>
      <c r="H160" s="802"/>
      <c r="I160" s="803">
        <v>1543</v>
      </c>
      <c r="J160" s="803">
        <v>71976</v>
      </c>
      <c r="K160" s="803">
        <v>5625</v>
      </c>
      <c r="L160" s="802">
        <v>10132</v>
      </c>
      <c r="M160" s="802"/>
      <c r="N160" s="803">
        <v>2878</v>
      </c>
      <c r="O160" s="803">
        <v>26566</v>
      </c>
      <c r="P160" s="803">
        <v>0</v>
      </c>
      <c r="Q160" s="802">
        <v>4072</v>
      </c>
      <c r="R160" s="802"/>
      <c r="S160" s="803">
        <v>21953</v>
      </c>
      <c r="T160" s="804">
        <v>1493</v>
      </c>
      <c r="U160" s="804">
        <v>23446</v>
      </c>
    </row>
    <row r="161" spans="1:21" x14ac:dyDescent="0.25">
      <c r="A161" s="799">
        <v>91431</v>
      </c>
      <c r="B161" s="800" t="s">
        <v>2780</v>
      </c>
      <c r="C161" s="801">
        <v>1.417E-4</v>
      </c>
      <c r="D161" s="801">
        <v>1.606E-4</v>
      </c>
      <c r="E161" s="802">
        <v>68459</v>
      </c>
      <c r="F161" s="802">
        <v>72076</v>
      </c>
      <c r="G161" s="802">
        <v>300735</v>
      </c>
      <c r="H161" s="802"/>
      <c r="I161" s="803">
        <v>5650</v>
      </c>
      <c r="J161" s="803">
        <v>263540</v>
      </c>
      <c r="K161" s="803">
        <v>20598</v>
      </c>
      <c r="L161" s="802">
        <v>1741</v>
      </c>
      <c r="M161" s="802"/>
      <c r="N161" s="803">
        <v>10538</v>
      </c>
      <c r="O161" s="803">
        <v>97271</v>
      </c>
      <c r="P161" s="803">
        <v>0</v>
      </c>
      <c r="Q161" s="802">
        <v>2500</v>
      </c>
      <c r="R161" s="802"/>
      <c r="S161" s="803">
        <v>80382</v>
      </c>
      <c r="T161" s="804">
        <v>-116</v>
      </c>
      <c r="U161" s="804">
        <v>80266</v>
      </c>
    </row>
    <row r="162" spans="1:21" x14ac:dyDescent="0.25">
      <c r="A162" s="799">
        <v>91441</v>
      </c>
      <c r="B162" s="800" t="s">
        <v>2781</v>
      </c>
      <c r="C162" s="801">
        <v>7.3800000000000005E-4</v>
      </c>
      <c r="D162" s="801">
        <v>8.0199999999999998E-4</v>
      </c>
      <c r="E162" s="802">
        <v>243177.92</v>
      </c>
      <c r="F162" s="802">
        <v>359933</v>
      </c>
      <c r="G162" s="802">
        <v>1566283</v>
      </c>
      <c r="H162" s="802"/>
      <c r="I162" s="803">
        <v>29428</v>
      </c>
      <c r="J162" s="803">
        <v>1372563</v>
      </c>
      <c r="K162" s="803">
        <v>107276</v>
      </c>
      <c r="L162" s="802">
        <v>0</v>
      </c>
      <c r="M162" s="802"/>
      <c r="N162" s="803">
        <v>54884</v>
      </c>
      <c r="O162" s="803">
        <v>506606</v>
      </c>
      <c r="P162" s="803">
        <v>0</v>
      </c>
      <c r="Q162" s="802">
        <v>154968</v>
      </c>
      <c r="R162" s="802"/>
      <c r="S162" s="803">
        <v>418645</v>
      </c>
      <c r="T162" s="804">
        <v>-51667</v>
      </c>
      <c r="U162" s="804">
        <v>366977</v>
      </c>
    </row>
    <row r="163" spans="1:21" x14ac:dyDescent="0.25">
      <c r="A163" s="799">
        <v>91451</v>
      </c>
      <c r="B163" s="800" t="s">
        <v>2782</v>
      </c>
      <c r="C163" s="801">
        <v>1.5629000000000001E-3</v>
      </c>
      <c r="D163" s="801">
        <v>1.7028E-3</v>
      </c>
      <c r="E163" s="802">
        <v>596685</v>
      </c>
      <c r="F163" s="802">
        <v>764206</v>
      </c>
      <c r="G163" s="802">
        <v>3316997</v>
      </c>
      <c r="H163" s="802"/>
      <c r="I163" s="803">
        <v>62321</v>
      </c>
      <c r="J163" s="803">
        <v>2906747</v>
      </c>
      <c r="K163" s="803">
        <v>227185</v>
      </c>
      <c r="L163" s="802">
        <v>0</v>
      </c>
      <c r="M163" s="802"/>
      <c r="N163" s="803">
        <v>116231</v>
      </c>
      <c r="O163" s="803">
        <v>1072865</v>
      </c>
      <c r="P163" s="803">
        <v>0</v>
      </c>
      <c r="Q163" s="802">
        <v>204791</v>
      </c>
      <c r="R163" s="802"/>
      <c r="S163" s="803">
        <v>886585</v>
      </c>
      <c r="T163" s="804">
        <v>-69029</v>
      </c>
      <c r="U163" s="804">
        <v>817556</v>
      </c>
    </row>
    <row r="164" spans="1:21" x14ac:dyDescent="0.25">
      <c r="A164" s="799">
        <v>91457</v>
      </c>
      <c r="B164" s="800" t="s">
        <v>2783</v>
      </c>
      <c r="C164" s="801">
        <v>2.58E-5</v>
      </c>
      <c r="D164" s="801">
        <v>2.7500000000000001E-5</v>
      </c>
      <c r="E164" s="802">
        <v>28421</v>
      </c>
      <c r="F164" s="802">
        <v>12342</v>
      </c>
      <c r="G164" s="802">
        <v>54756</v>
      </c>
      <c r="H164" s="802"/>
      <c r="I164" s="803">
        <v>1029</v>
      </c>
      <c r="J164" s="803">
        <v>47984</v>
      </c>
      <c r="K164" s="803">
        <v>3750</v>
      </c>
      <c r="L164" s="802">
        <v>24288</v>
      </c>
      <c r="M164" s="802"/>
      <c r="N164" s="803">
        <v>1919</v>
      </c>
      <c r="O164" s="803">
        <v>17711</v>
      </c>
      <c r="P164" s="803">
        <v>0</v>
      </c>
      <c r="Q164" s="802">
        <v>0</v>
      </c>
      <c r="R164" s="802"/>
      <c r="S164" s="803">
        <v>14636</v>
      </c>
      <c r="T164" s="804">
        <v>7429</v>
      </c>
      <c r="U164" s="804">
        <v>22065</v>
      </c>
    </row>
    <row r="165" spans="1:21" x14ac:dyDescent="0.25">
      <c r="A165" s="799">
        <v>91461</v>
      </c>
      <c r="B165" s="800" t="s">
        <v>2784</v>
      </c>
      <c r="C165" s="801">
        <v>8.6999999999999997E-6</v>
      </c>
      <c r="D165" s="801">
        <v>6.3999999999999997E-6</v>
      </c>
      <c r="E165" s="802">
        <v>2697</v>
      </c>
      <c r="F165" s="802">
        <v>2872</v>
      </c>
      <c r="G165" s="802">
        <v>18464</v>
      </c>
      <c r="H165" s="802"/>
      <c r="I165" s="803">
        <v>347</v>
      </c>
      <c r="J165" s="803">
        <v>16181</v>
      </c>
      <c r="K165" s="803">
        <v>1265</v>
      </c>
      <c r="L165" s="802">
        <v>3156</v>
      </c>
      <c r="M165" s="802"/>
      <c r="N165" s="803">
        <v>647</v>
      </c>
      <c r="O165" s="803">
        <v>5972</v>
      </c>
      <c r="P165" s="803">
        <v>0</v>
      </c>
      <c r="Q165" s="802">
        <v>0</v>
      </c>
      <c r="R165" s="802"/>
      <c r="S165" s="803">
        <v>4935</v>
      </c>
      <c r="T165" s="804">
        <v>1104</v>
      </c>
      <c r="U165" s="804">
        <v>6039</v>
      </c>
    </row>
    <row r="166" spans="1:21" x14ac:dyDescent="0.25">
      <c r="A166" s="799">
        <v>91501</v>
      </c>
      <c r="B166" s="800" t="s">
        <v>2785</v>
      </c>
      <c r="C166" s="801">
        <v>5.1099999999999995E-4</v>
      </c>
      <c r="D166" s="801">
        <v>4.8660000000000001E-4</v>
      </c>
      <c r="E166" s="802">
        <v>207396</v>
      </c>
      <c r="F166" s="802">
        <v>218383</v>
      </c>
      <c r="G166" s="802">
        <v>1084513</v>
      </c>
      <c r="H166" s="802"/>
      <c r="I166" s="803">
        <v>20376</v>
      </c>
      <c r="J166" s="803">
        <v>950379</v>
      </c>
      <c r="K166" s="803">
        <v>74279</v>
      </c>
      <c r="L166" s="802">
        <v>41752</v>
      </c>
      <c r="M166" s="802"/>
      <c r="N166" s="803">
        <v>38003</v>
      </c>
      <c r="O166" s="803">
        <v>350780</v>
      </c>
      <c r="P166" s="803">
        <v>0</v>
      </c>
      <c r="Q166" s="802">
        <v>0</v>
      </c>
      <c r="R166" s="802"/>
      <c r="S166" s="803">
        <v>289874</v>
      </c>
      <c r="T166" s="804">
        <v>17322</v>
      </c>
      <c r="U166" s="804">
        <v>307197</v>
      </c>
    </row>
    <row r="167" spans="1:21" x14ac:dyDescent="0.25">
      <c r="A167" s="799">
        <v>91504</v>
      </c>
      <c r="B167" s="800" t="s">
        <v>2786</v>
      </c>
      <c r="C167" s="801">
        <v>1.0200000000000001E-5</v>
      </c>
      <c r="D167" s="801">
        <v>9.7999999999999993E-6</v>
      </c>
      <c r="E167" s="802">
        <v>5951</v>
      </c>
      <c r="F167" s="802">
        <v>4398</v>
      </c>
      <c r="G167" s="802">
        <v>21648</v>
      </c>
      <c r="H167" s="802"/>
      <c r="I167" s="803">
        <v>406.72500000000002</v>
      </c>
      <c r="J167" s="803">
        <v>18970</v>
      </c>
      <c r="K167" s="803">
        <v>1483</v>
      </c>
      <c r="L167" s="802">
        <v>6563</v>
      </c>
      <c r="M167" s="802"/>
      <c r="N167" s="803">
        <v>759</v>
      </c>
      <c r="O167" s="803">
        <v>7002</v>
      </c>
      <c r="P167" s="803">
        <v>0</v>
      </c>
      <c r="Q167" s="802">
        <v>0</v>
      </c>
      <c r="R167" s="802"/>
      <c r="S167" s="803">
        <v>5786</v>
      </c>
      <c r="T167" s="804">
        <v>2270</v>
      </c>
      <c r="U167" s="804">
        <v>8056</v>
      </c>
    </row>
    <row r="168" spans="1:21" x14ac:dyDescent="0.25">
      <c r="A168" s="799">
        <v>91601</v>
      </c>
      <c r="B168" s="800" t="s">
        <v>2787</v>
      </c>
      <c r="C168" s="801">
        <v>2.9077999999999999E-3</v>
      </c>
      <c r="D168" s="801">
        <v>2.5893000000000001E-3</v>
      </c>
      <c r="E168" s="802">
        <v>1153048.76</v>
      </c>
      <c r="F168" s="802">
        <v>1162062</v>
      </c>
      <c r="G168" s="802">
        <v>6171326</v>
      </c>
      <c r="H168" s="802"/>
      <c r="I168" s="803">
        <v>115949</v>
      </c>
      <c r="J168" s="803">
        <v>5408049</v>
      </c>
      <c r="K168" s="803">
        <v>422681</v>
      </c>
      <c r="L168" s="802">
        <v>254754</v>
      </c>
      <c r="M168" s="802"/>
      <c r="N168" s="803">
        <v>216250</v>
      </c>
      <c r="O168" s="803">
        <v>1996083</v>
      </c>
      <c r="P168" s="803">
        <v>0</v>
      </c>
      <c r="Q168" s="802">
        <v>0</v>
      </c>
      <c r="R168" s="802"/>
      <c r="S168" s="803">
        <v>1649505</v>
      </c>
      <c r="T168" s="804">
        <v>86224</v>
      </c>
      <c r="U168" s="804">
        <v>1735729</v>
      </c>
    </row>
    <row r="169" spans="1:21" x14ac:dyDescent="0.25">
      <c r="A169" s="799">
        <v>91604</v>
      </c>
      <c r="B169" s="800" t="s">
        <v>2788</v>
      </c>
      <c r="C169" s="801">
        <v>8.6799999999999996E-5</v>
      </c>
      <c r="D169" s="801">
        <v>8.5000000000000006E-5</v>
      </c>
      <c r="E169" s="802">
        <v>47160</v>
      </c>
      <c r="F169" s="802">
        <v>38147</v>
      </c>
      <c r="G169" s="802">
        <v>184219</v>
      </c>
      <c r="H169" s="802"/>
      <c r="I169" s="803">
        <v>3461</v>
      </c>
      <c r="J169" s="803">
        <v>161434</v>
      </c>
      <c r="K169" s="803">
        <v>12617</v>
      </c>
      <c r="L169" s="802">
        <v>17354</v>
      </c>
      <c r="M169" s="802"/>
      <c r="N169" s="803">
        <v>6455</v>
      </c>
      <c r="O169" s="803">
        <v>59585</v>
      </c>
      <c r="P169" s="803">
        <v>0</v>
      </c>
      <c r="Q169" s="802">
        <v>0</v>
      </c>
      <c r="R169" s="802"/>
      <c r="S169" s="803">
        <v>49239</v>
      </c>
      <c r="T169" s="804">
        <v>5419</v>
      </c>
      <c r="U169" s="804">
        <v>54658</v>
      </c>
    </row>
    <row r="170" spans="1:21" x14ac:dyDescent="0.25">
      <c r="A170" s="799">
        <v>91608</v>
      </c>
      <c r="B170" s="800" t="s">
        <v>2789</v>
      </c>
      <c r="C170" s="801">
        <v>1.208E-4</v>
      </c>
      <c r="D170" s="801">
        <v>1.178E-4</v>
      </c>
      <c r="E170" s="802">
        <v>33634</v>
      </c>
      <c r="F170" s="802">
        <v>52868</v>
      </c>
      <c r="G170" s="802">
        <v>256378</v>
      </c>
      <c r="H170" s="802"/>
      <c r="I170" s="803">
        <v>4817</v>
      </c>
      <c r="J170" s="803">
        <v>224669</v>
      </c>
      <c r="K170" s="803">
        <v>17560</v>
      </c>
      <c r="L170" s="802">
        <v>1751</v>
      </c>
      <c r="M170" s="802"/>
      <c r="N170" s="803">
        <v>8984</v>
      </c>
      <c r="O170" s="803">
        <v>82924</v>
      </c>
      <c r="P170" s="803">
        <v>0</v>
      </c>
      <c r="Q170" s="802">
        <v>42921</v>
      </c>
      <c r="R170" s="802"/>
      <c r="S170" s="803">
        <v>68526</v>
      </c>
      <c r="T170" s="804">
        <v>-13278</v>
      </c>
      <c r="U170" s="804">
        <v>55248</v>
      </c>
    </row>
    <row r="171" spans="1:21" x14ac:dyDescent="0.25">
      <c r="A171" s="799">
        <v>91611</v>
      </c>
      <c r="B171" s="800" t="s">
        <v>2790</v>
      </c>
      <c r="C171" s="801">
        <v>1.4345E-3</v>
      </c>
      <c r="D171" s="801">
        <v>1.3361E-3</v>
      </c>
      <c r="E171" s="802">
        <v>495192</v>
      </c>
      <c r="F171" s="802">
        <v>599634</v>
      </c>
      <c r="G171" s="802">
        <v>3044490</v>
      </c>
      <c r="H171" s="802"/>
      <c r="I171" s="803">
        <v>57201</v>
      </c>
      <c r="J171" s="803">
        <v>2667943</v>
      </c>
      <c r="K171" s="803">
        <v>208520</v>
      </c>
      <c r="L171" s="802">
        <v>36769</v>
      </c>
      <c r="M171" s="802"/>
      <c r="N171" s="803">
        <v>106682</v>
      </c>
      <c r="O171" s="803">
        <v>984724</v>
      </c>
      <c r="P171" s="803">
        <v>0</v>
      </c>
      <c r="Q171" s="802">
        <v>21938</v>
      </c>
      <c r="R171" s="802"/>
      <c r="S171" s="803">
        <v>813747</v>
      </c>
      <c r="T171" s="804">
        <v>11752</v>
      </c>
      <c r="U171" s="804">
        <v>825500</v>
      </c>
    </row>
    <row r="172" spans="1:21" x14ac:dyDescent="0.25">
      <c r="A172" s="799">
        <v>91621</v>
      </c>
      <c r="B172" s="800" t="s">
        <v>2791</v>
      </c>
      <c r="C172" s="801">
        <v>2.5240000000000001E-4</v>
      </c>
      <c r="D172" s="801">
        <v>2.6200000000000003E-4</v>
      </c>
      <c r="E172" s="802">
        <v>102644</v>
      </c>
      <c r="F172" s="802">
        <v>117584</v>
      </c>
      <c r="G172" s="802">
        <v>535677</v>
      </c>
      <c r="H172" s="802"/>
      <c r="I172" s="803">
        <v>10064</v>
      </c>
      <c r="J172" s="803">
        <v>469424</v>
      </c>
      <c r="K172" s="803">
        <v>36689</v>
      </c>
      <c r="L172" s="802">
        <v>20545</v>
      </c>
      <c r="M172" s="802"/>
      <c r="N172" s="803">
        <v>18771</v>
      </c>
      <c r="O172" s="803">
        <v>173262</v>
      </c>
      <c r="P172" s="803">
        <v>0</v>
      </c>
      <c r="Q172" s="802">
        <v>25591</v>
      </c>
      <c r="R172" s="802"/>
      <c r="S172" s="803">
        <v>143179</v>
      </c>
      <c r="T172" s="804">
        <v>-4085</v>
      </c>
      <c r="U172" s="804">
        <v>139094</v>
      </c>
    </row>
    <row r="173" spans="1:21" x14ac:dyDescent="0.25">
      <c r="A173" s="799">
        <v>91631</v>
      </c>
      <c r="B173" s="800" t="s">
        <v>2792</v>
      </c>
      <c r="C173" s="801">
        <v>5.3870000000000003E-4</v>
      </c>
      <c r="D173" s="801">
        <v>5.4830000000000005E-4</v>
      </c>
      <c r="E173" s="802">
        <v>189554.94</v>
      </c>
      <c r="F173" s="802">
        <v>246074</v>
      </c>
      <c r="G173" s="802">
        <v>1143302</v>
      </c>
      <c r="H173" s="802"/>
      <c r="I173" s="803">
        <v>21481</v>
      </c>
      <c r="J173" s="803">
        <v>1001897</v>
      </c>
      <c r="K173" s="803">
        <v>78306</v>
      </c>
      <c r="L173" s="802">
        <v>0</v>
      </c>
      <c r="M173" s="802"/>
      <c r="N173" s="803">
        <v>40063</v>
      </c>
      <c r="O173" s="803">
        <v>369795</v>
      </c>
      <c r="P173" s="803">
        <v>0</v>
      </c>
      <c r="Q173" s="802">
        <v>35292</v>
      </c>
      <c r="R173" s="802"/>
      <c r="S173" s="803">
        <v>305588</v>
      </c>
      <c r="T173" s="804">
        <v>-10001</v>
      </c>
      <c r="U173" s="804">
        <v>295587</v>
      </c>
    </row>
    <row r="174" spans="1:21" x14ac:dyDescent="0.25">
      <c r="A174" s="799">
        <v>91633</v>
      </c>
      <c r="B174" s="800" t="s">
        <v>2793</v>
      </c>
      <c r="C174" s="801">
        <v>2.3799999999999999E-5</v>
      </c>
      <c r="D174" s="801">
        <v>2.3200000000000001E-5</v>
      </c>
      <c r="E174" s="802">
        <v>11149</v>
      </c>
      <c r="F174" s="802">
        <v>10412</v>
      </c>
      <c r="G174" s="802">
        <v>50512</v>
      </c>
      <c r="H174" s="802"/>
      <c r="I174" s="803">
        <v>949.02499999999998</v>
      </c>
      <c r="J174" s="803">
        <v>44264</v>
      </c>
      <c r="K174" s="803">
        <v>3460</v>
      </c>
      <c r="L174" s="802">
        <v>1407</v>
      </c>
      <c r="M174" s="802"/>
      <c r="N174" s="803">
        <v>1770</v>
      </c>
      <c r="O174" s="803">
        <v>16338</v>
      </c>
      <c r="P174" s="803">
        <v>0</v>
      </c>
      <c r="Q174" s="802">
        <v>5064</v>
      </c>
      <c r="R174" s="802"/>
      <c r="S174" s="803">
        <v>13501</v>
      </c>
      <c r="T174" s="804">
        <v>-1485</v>
      </c>
      <c r="U174" s="804">
        <v>12016</v>
      </c>
    </row>
    <row r="175" spans="1:21" x14ac:dyDescent="0.25">
      <c r="A175" s="799">
        <v>91641</v>
      </c>
      <c r="B175" s="800" t="s">
        <v>2794</v>
      </c>
      <c r="C175" s="801">
        <v>2.742E-4</v>
      </c>
      <c r="D175" s="801">
        <v>3.1080000000000002E-4</v>
      </c>
      <c r="E175" s="802">
        <v>90324.84</v>
      </c>
      <c r="F175" s="802">
        <v>139485</v>
      </c>
      <c r="G175" s="802">
        <v>581944</v>
      </c>
      <c r="H175" s="802"/>
      <c r="I175" s="803">
        <v>10934</v>
      </c>
      <c r="J175" s="803">
        <v>509969</v>
      </c>
      <c r="K175" s="803">
        <v>39858</v>
      </c>
      <c r="L175" s="802">
        <v>0</v>
      </c>
      <c r="M175" s="802"/>
      <c r="N175" s="803">
        <v>20392</v>
      </c>
      <c r="O175" s="803">
        <v>188227</v>
      </c>
      <c r="P175" s="803">
        <v>0</v>
      </c>
      <c r="Q175" s="802">
        <v>73613</v>
      </c>
      <c r="R175" s="802"/>
      <c r="S175" s="803">
        <v>155545</v>
      </c>
      <c r="T175" s="804">
        <v>-24397</v>
      </c>
      <c r="U175" s="804">
        <v>131148</v>
      </c>
    </row>
    <row r="176" spans="1:21" x14ac:dyDescent="0.25">
      <c r="A176" s="799">
        <v>91651</v>
      </c>
      <c r="B176" s="800" t="s">
        <v>2795</v>
      </c>
      <c r="C176" s="801">
        <v>4.6099999999999998E-4</v>
      </c>
      <c r="D176" s="801">
        <v>4.797E-4</v>
      </c>
      <c r="E176" s="802">
        <v>182169.7</v>
      </c>
      <c r="F176" s="802">
        <v>215286</v>
      </c>
      <c r="G176" s="802">
        <v>978396</v>
      </c>
      <c r="H176" s="802"/>
      <c r="I176" s="803">
        <v>18382.375</v>
      </c>
      <c r="J176" s="803">
        <v>857387</v>
      </c>
      <c r="K176" s="803">
        <v>67011</v>
      </c>
      <c r="L176" s="802">
        <v>0</v>
      </c>
      <c r="M176" s="802"/>
      <c r="N176" s="803">
        <v>34284</v>
      </c>
      <c r="O176" s="803">
        <v>316457</v>
      </c>
      <c r="P176" s="803">
        <v>0</v>
      </c>
      <c r="Q176" s="802">
        <v>30276</v>
      </c>
      <c r="R176" s="802"/>
      <c r="S176" s="803">
        <v>261511</v>
      </c>
      <c r="T176" s="804">
        <v>-9842</v>
      </c>
      <c r="U176" s="804">
        <v>251669</v>
      </c>
    </row>
    <row r="177" spans="1:21" x14ac:dyDescent="0.25">
      <c r="A177" s="799">
        <v>91661</v>
      </c>
      <c r="B177" s="800" t="s">
        <v>2796</v>
      </c>
      <c r="C177" s="801">
        <v>1.6750000000000001E-4</v>
      </c>
      <c r="D177" s="801">
        <v>1.9149999999999999E-4</v>
      </c>
      <c r="E177" s="802">
        <v>50933.13</v>
      </c>
      <c r="F177" s="802">
        <v>85944</v>
      </c>
      <c r="G177" s="802">
        <v>355491</v>
      </c>
      <c r="H177" s="802"/>
      <c r="I177" s="803">
        <v>6679.0625</v>
      </c>
      <c r="J177" s="803">
        <v>311524</v>
      </c>
      <c r="K177" s="803">
        <v>24348</v>
      </c>
      <c r="L177" s="802">
        <v>0</v>
      </c>
      <c r="M177" s="802"/>
      <c r="N177" s="803">
        <v>12457</v>
      </c>
      <c r="O177" s="803">
        <v>114982</v>
      </c>
      <c r="P177" s="803">
        <v>0</v>
      </c>
      <c r="Q177" s="802">
        <v>40976</v>
      </c>
      <c r="R177" s="802"/>
      <c r="S177" s="803">
        <v>95018</v>
      </c>
      <c r="T177" s="804">
        <v>-12042</v>
      </c>
      <c r="U177" s="804">
        <v>82975</v>
      </c>
    </row>
    <row r="178" spans="1:21" x14ac:dyDescent="0.25">
      <c r="A178" s="799">
        <v>91671</v>
      </c>
      <c r="B178" s="800" t="s">
        <v>2797</v>
      </c>
      <c r="C178" s="801">
        <v>9.7600000000000001E-5</v>
      </c>
      <c r="D178" s="801">
        <v>9.0000000000000006E-5</v>
      </c>
      <c r="E178" s="802">
        <v>40599.14</v>
      </c>
      <c r="F178" s="802">
        <v>40391.46</v>
      </c>
      <c r="G178" s="802">
        <v>207140</v>
      </c>
      <c r="H178" s="802"/>
      <c r="I178" s="803">
        <v>3891.8</v>
      </c>
      <c r="J178" s="803">
        <v>181521</v>
      </c>
      <c r="K178" s="803">
        <v>14187</v>
      </c>
      <c r="L178" s="802">
        <v>17521</v>
      </c>
      <c r="M178" s="802"/>
      <c r="N178" s="803">
        <v>7258</v>
      </c>
      <c r="O178" s="803">
        <v>66998</v>
      </c>
      <c r="P178" s="803">
        <v>0</v>
      </c>
      <c r="Q178" s="802">
        <v>0</v>
      </c>
      <c r="R178" s="802"/>
      <c r="S178" s="803">
        <v>55365</v>
      </c>
      <c r="T178" s="804">
        <v>6024</v>
      </c>
      <c r="U178" s="804">
        <v>61390</v>
      </c>
    </row>
    <row r="179" spans="1:21" x14ac:dyDescent="0.25">
      <c r="A179" s="799">
        <v>91681</v>
      </c>
      <c r="B179" s="800" t="s">
        <v>2798</v>
      </c>
      <c r="C179" s="801">
        <v>4.7130000000000002E-4</v>
      </c>
      <c r="D179" s="801">
        <v>5.2590000000000004E-4</v>
      </c>
      <c r="E179" s="802">
        <v>361073.65</v>
      </c>
      <c r="F179" s="802">
        <v>236021</v>
      </c>
      <c r="G179" s="802">
        <v>1000256</v>
      </c>
      <c r="H179" s="802"/>
      <c r="I179" s="803">
        <v>18793</v>
      </c>
      <c r="J179" s="803">
        <v>876544</v>
      </c>
      <c r="K179" s="803">
        <v>68509</v>
      </c>
      <c r="L179" s="802">
        <v>196447</v>
      </c>
      <c r="M179" s="802"/>
      <c r="N179" s="803">
        <v>35050</v>
      </c>
      <c r="O179" s="803">
        <v>323528</v>
      </c>
      <c r="P179" s="803">
        <v>0</v>
      </c>
      <c r="Q179" s="802">
        <v>9078</v>
      </c>
      <c r="R179" s="802"/>
      <c r="S179" s="803">
        <v>267354</v>
      </c>
      <c r="T179" s="804">
        <v>55234</v>
      </c>
      <c r="U179" s="804">
        <v>322588</v>
      </c>
    </row>
    <row r="180" spans="1:21" x14ac:dyDescent="0.25">
      <c r="A180" s="799">
        <v>91691</v>
      </c>
      <c r="B180" s="800" t="s">
        <v>2799</v>
      </c>
      <c r="C180" s="801">
        <v>2.4199999999999999E-5</v>
      </c>
      <c r="D180" s="801">
        <v>1.8700000000000001E-5</v>
      </c>
      <c r="E180" s="802">
        <v>9114</v>
      </c>
      <c r="F180" s="802">
        <v>8392</v>
      </c>
      <c r="G180" s="802">
        <v>51361</v>
      </c>
      <c r="H180" s="802"/>
      <c r="I180" s="803">
        <v>965</v>
      </c>
      <c r="J180" s="803">
        <v>45008</v>
      </c>
      <c r="K180" s="803">
        <v>3518</v>
      </c>
      <c r="L180" s="802">
        <v>2449</v>
      </c>
      <c r="M180" s="802"/>
      <c r="N180" s="803">
        <v>1800</v>
      </c>
      <c r="O180" s="803">
        <v>16612</v>
      </c>
      <c r="P180" s="803">
        <v>0</v>
      </c>
      <c r="Q180" s="802">
        <v>801</v>
      </c>
      <c r="R180" s="802"/>
      <c r="S180" s="803">
        <v>13728</v>
      </c>
      <c r="T180" s="804">
        <v>383</v>
      </c>
      <c r="U180" s="804">
        <v>14111</v>
      </c>
    </row>
    <row r="181" spans="1:21" x14ac:dyDescent="0.25">
      <c r="A181" s="799">
        <v>91701</v>
      </c>
      <c r="B181" s="800" t="s">
        <v>2800</v>
      </c>
      <c r="C181" s="801">
        <v>1.0897000000000001E-3</v>
      </c>
      <c r="D181" s="801">
        <v>1.0575999999999999E-3</v>
      </c>
      <c r="E181" s="802">
        <v>448773</v>
      </c>
      <c r="F181" s="802">
        <v>474645</v>
      </c>
      <c r="G181" s="802">
        <v>2312708</v>
      </c>
      <c r="H181" s="802"/>
      <c r="I181" s="803">
        <v>43452</v>
      </c>
      <c r="J181" s="803">
        <v>2026670</v>
      </c>
      <c r="K181" s="803">
        <v>158400</v>
      </c>
      <c r="L181" s="802">
        <v>20132</v>
      </c>
      <c r="M181" s="802"/>
      <c r="N181" s="803">
        <v>81040</v>
      </c>
      <c r="O181" s="803">
        <v>748033</v>
      </c>
      <c r="P181" s="803">
        <v>0</v>
      </c>
      <c r="Q181" s="802">
        <v>13968</v>
      </c>
      <c r="R181" s="802"/>
      <c r="S181" s="803">
        <v>618153</v>
      </c>
      <c r="T181" s="804">
        <v>-1590</v>
      </c>
      <c r="U181" s="804">
        <v>616563</v>
      </c>
    </row>
    <row r="182" spans="1:21" x14ac:dyDescent="0.25">
      <c r="A182" s="799">
        <v>91704</v>
      </c>
      <c r="B182" s="800" t="s">
        <v>2801</v>
      </c>
      <c r="C182" s="801">
        <v>1.6699999999999999E-5</v>
      </c>
      <c r="D182" s="801">
        <v>1.66E-5</v>
      </c>
      <c r="E182" s="802">
        <v>6924</v>
      </c>
      <c r="F182" s="802">
        <v>7450</v>
      </c>
      <c r="G182" s="802">
        <v>35443</v>
      </c>
      <c r="H182" s="802"/>
      <c r="I182" s="803">
        <v>665.91250000000002</v>
      </c>
      <c r="J182" s="803">
        <v>31059</v>
      </c>
      <c r="K182" s="803">
        <v>2428</v>
      </c>
      <c r="L182" s="802">
        <v>1658</v>
      </c>
      <c r="M182" s="802"/>
      <c r="N182" s="803">
        <v>1242</v>
      </c>
      <c r="O182" s="803">
        <v>11464</v>
      </c>
      <c r="P182" s="803">
        <v>0</v>
      </c>
      <c r="Q182" s="802">
        <v>0</v>
      </c>
      <c r="R182" s="802"/>
      <c r="S182" s="803">
        <v>9473</v>
      </c>
      <c r="T182" s="804">
        <v>628</v>
      </c>
      <c r="U182" s="804">
        <v>10101</v>
      </c>
    </row>
    <row r="183" spans="1:21" x14ac:dyDescent="0.25">
      <c r="A183" s="799">
        <v>91706</v>
      </c>
      <c r="B183" s="800" t="s">
        <v>2802</v>
      </c>
      <c r="C183" s="801">
        <v>2.4279999999999999E-4</v>
      </c>
      <c r="D183" s="801">
        <v>2.565E-4</v>
      </c>
      <c r="E183" s="802">
        <v>104554</v>
      </c>
      <c r="F183" s="802">
        <v>115116</v>
      </c>
      <c r="G183" s="802">
        <v>515303</v>
      </c>
      <c r="H183" s="802"/>
      <c r="I183" s="803">
        <v>9681.65</v>
      </c>
      <c r="J183" s="803">
        <v>451570</v>
      </c>
      <c r="K183" s="803">
        <v>35294</v>
      </c>
      <c r="L183" s="802">
        <v>807</v>
      </c>
      <c r="M183" s="802"/>
      <c r="N183" s="803">
        <v>18057</v>
      </c>
      <c r="O183" s="803">
        <v>166672</v>
      </c>
      <c r="P183" s="803">
        <v>0</v>
      </c>
      <c r="Q183" s="802">
        <v>14823</v>
      </c>
      <c r="R183" s="802"/>
      <c r="S183" s="803">
        <v>137733</v>
      </c>
      <c r="T183" s="804">
        <v>-6265</v>
      </c>
      <c r="U183" s="804">
        <v>131468</v>
      </c>
    </row>
    <row r="184" spans="1:21" x14ac:dyDescent="0.25">
      <c r="A184" s="799">
        <v>91719</v>
      </c>
      <c r="B184" s="800" t="s">
        <v>2803</v>
      </c>
      <c r="C184" s="801">
        <v>4.9299999999999999E-5</v>
      </c>
      <c r="D184" s="801">
        <v>4.4199999999999997E-5</v>
      </c>
      <c r="E184" s="802">
        <v>15848</v>
      </c>
      <c r="F184" s="802">
        <v>19837</v>
      </c>
      <c r="G184" s="802">
        <v>104631</v>
      </c>
      <c r="H184" s="802"/>
      <c r="I184" s="803">
        <v>1966</v>
      </c>
      <c r="J184" s="803">
        <v>91690</v>
      </c>
      <c r="K184" s="803">
        <v>7166</v>
      </c>
      <c r="L184" s="802">
        <v>6810</v>
      </c>
      <c r="M184" s="802"/>
      <c r="N184" s="803">
        <v>3666</v>
      </c>
      <c r="O184" s="803">
        <v>33842</v>
      </c>
      <c r="P184" s="803">
        <v>0</v>
      </c>
      <c r="Q184" s="802">
        <v>3972</v>
      </c>
      <c r="R184" s="802"/>
      <c r="S184" s="803">
        <v>27966</v>
      </c>
      <c r="T184" s="804">
        <v>602</v>
      </c>
      <c r="U184" s="804">
        <v>28568</v>
      </c>
    </row>
    <row r="185" spans="1:21" x14ac:dyDescent="0.25">
      <c r="A185" s="799">
        <v>91801</v>
      </c>
      <c r="B185" s="800" t="s">
        <v>2804</v>
      </c>
      <c r="C185" s="801">
        <v>8.3853999999999995E-3</v>
      </c>
      <c r="D185" s="801">
        <v>8.1784000000000006E-3</v>
      </c>
      <c r="E185" s="802">
        <v>3229080.93</v>
      </c>
      <c r="F185" s="802">
        <v>3670417</v>
      </c>
      <c r="G185" s="802">
        <v>17796628</v>
      </c>
      <c r="H185" s="802"/>
      <c r="I185" s="803">
        <v>334368</v>
      </c>
      <c r="J185" s="803">
        <v>15595519</v>
      </c>
      <c r="K185" s="803">
        <v>1218910</v>
      </c>
      <c r="L185" s="802">
        <v>0</v>
      </c>
      <c r="M185" s="802"/>
      <c r="N185" s="803">
        <v>623614</v>
      </c>
      <c r="O185" s="803">
        <v>5756225</v>
      </c>
      <c r="P185" s="803">
        <v>0</v>
      </c>
      <c r="Q185" s="802">
        <v>122778</v>
      </c>
      <c r="R185" s="802"/>
      <c r="S185" s="803">
        <v>4756777</v>
      </c>
      <c r="T185" s="804">
        <v>-45736</v>
      </c>
      <c r="U185" s="804">
        <v>4711042</v>
      </c>
    </row>
    <row r="186" spans="1:21" x14ac:dyDescent="0.25">
      <c r="A186" s="799">
        <v>91804</v>
      </c>
      <c r="B186" s="800" t="s">
        <v>2805</v>
      </c>
      <c r="C186" s="801">
        <v>1.462E-4</v>
      </c>
      <c r="D186" s="801">
        <v>1.4349999999999999E-4</v>
      </c>
      <c r="E186" s="802">
        <v>90420.56</v>
      </c>
      <c r="F186" s="802">
        <v>64402</v>
      </c>
      <c r="G186" s="802">
        <v>310285</v>
      </c>
      <c r="H186" s="802"/>
      <c r="I186" s="803">
        <v>5830</v>
      </c>
      <c r="J186" s="803">
        <v>271909</v>
      </c>
      <c r="K186" s="803">
        <v>21252</v>
      </c>
      <c r="L186" s="802">
        <v>55024</v>
      </c>
      <c r="M186" s="802"/>
      <c r="N186" s="803">
        <v>10873</v>
      </c>
      <c r="O186" s="803">
        <v>100360</v>
      </c>
      <c r="P186" s="803">
        <v>0</v>
      </c>
      <c r="Q186" s="802">
        <v>0</v>
      </c>
      <c r="R186" s="802"/>
      <c r="S186" s="803">
        <v>82935</v>
      </c>
      <c r="T186" s="804">
        <v>18762</v>
      </c>
      <c r="U186" s="804">
        <v>101697</v>
      </c>
    </row>
    <row r="187" spans="1:21" x14ac:dyDescent="0.25">
      <c r="A187" s="799">
        <v>91811</v>
      </c>
      <c r="B187" s="800" t="s">
        <v>2806</v>
      </c>
      <c r="C187" s="801">
        <v>4.6454000000000001E-3</v>
      </c>
      <c r="D187" s="801">
        <v>5.0266E-3</v>
      </c>
      <c r="E187" s="802">
        <v>1763088</v>
      </c>
      <c r="F187" s="802">
        <v>2255908</v>
      </c>
      <c r="G187" s="802">
        <v>9859095</v>
      </c>
      <c r="H187" s="802"/>
      <c r="I187" s="803">
        <v>185235</v>
      </c>
      <c r="J187" s="803">
        <v>8639710</v>
      </c>
      <c r="K187" s="803">
        <v>675260</v>
      </c>
      <c r="L187" s="802">
        <v>0</v>
      </c>
      <c r="M187" s="802"/>
      <c r="N187" s="803">
        <v>345474</v>
      </c>
      <c r="O187" s="803">
        <v>3188872</v>
      </c>
      <c r="P187" s="803">
        <v>0</v>
      </c>
      <c r="Q187" s="802">
        <v>514506</v>
      </c>
      <c r="R187" s="802"/>
      <c r="S187" s="803">
        <v>2635191</v>
      </c>
      <c r="T187" s="804">
        <v>-157089</v>
      </c>
      <c r="U187" s="804">
        <v>2478102</v>
      </c>
    </row>
    <row r="188" spans="1:21" x14ac:dyDescent="0.25">
      <c r="A188" s="799">
        <v>91812</v>
      </c>
      <c r="B188" s="800" t="s">
        <v>2807</v>
      </c>
      <c r="C188" s="801">
        <v>5.8199999999999998E-5</v>
      </c>
      <c r="D188" s="801">
        <v>4.1499999999999999E-5</v>
      </c>
      <c r="E188" s="802">
        <v>24707</v>
      </c>
      <c r="F188" s="802">
        <v>18625</v>
      </c>
      <c r="G188" s="802">
        <v>123520</v>
      </c>
      <c r="H188" s="802"/>
      <c r="I188" s="803">
        <v>2320.7249999999999</v>
      </c>
      <c r="J188" s="803">
        <v>108243</v>
      </c>
      <c r="K188" s="803">
        <v>8460</v>
      </c>
      <c r="L188" s="802">
        <v>16587</v>
      </c>
      <c r="M188" s="802"/>
      <c r="N188" s="803">
        <v>4328</v>
      </c>
      <c r="O188" s="803">
        <v>39952</v>
      </c>
      <c r="P188" s="803">
        <v>0</v>
      </c>
      <c r="Q188" s="802">
        <v>0</v>
      </c>
      <c r="R188" s="802"/>
      <c r="S188" s="803">
        <v>33015</v>
      </c>
      <c r="T188" s="804">
        <v>5261</v>
      </c>
      <c r="U188" s="804">
        <v>38276</v>
      </c>
    </row>
    <row r="189" spans="1:21" x14ac:dyDescent="0.25">
      <c r="A189" s="799">
        <v>91813</v>
      </c>
      <c r="B189" s="800" t="s">
        <v>2808</v>
      </c>
      <c r="C189" s="801">
        <v>1.083E-4</v>
      </c>
      <c r="D189" s="801">
        <v>9.6100000000000005E-5</v>
      </c>
      <c r="E189" s="802">
        <v>43088.72</v>
      </c>
      <c r="F189" s="802">
        <v>43129</v>
      </c>
      <c r="G189" s="802">
        <v>229849</v>
      </c>
      <c r="H189" s="802"/>
      <c r="I189" s="803">
        <v>4318</v>
      </c>
      <c r="J189" s="803">
        <v>201421</v>
      </c>
      <c r="K189" s="803">
        <v>15743</v>
      </c>
      <c r="L189" s="802">
        <v>16214</v>
      </c>
      <c r="M189" s="802"/>
      <c r="N189" s="803">
        <v>8054</v>
      </c>
      <c r="O189" s="803">
        <v>74343</v>
      </c>
      <c r="P189" s="803">
        <v>0</v>
      </c>
      <c r="Q189" s="802">
        <v>5268</v>
      </c>
      <c r="R189" s="802"/>
      <c r="S189" s="803">
        <v>61435</v>
      </c>
      <c r="T189" s="804">
        <v>2581</v>
      </c>
      <c r="U189" s="804">
        <v>64016</v>
      </c>
    </row>
    <row r="190" spans="1:21" x14ac:dyDescent="0.25">
      <c r="A190" s="799">
        <v>91818</v>
      </c>
      <c r="B190" s="800" t="s">
        <v>2809</v>
      </c>
      <c r="C190" s="801">
        <v>3.8559999999999999E-4</v>
      </c>
      <c r="D190" s="801">
        <v>3.8890000000000002E-4</v>
      </c>
      <c r="E190" s="802">
        <v>416376</v>
      </c>
      <c r="F190" s="802">
        <v>174536</v>
      </c>
      <c r="G190" s="802">
        <v>818372</v>
      </c>
      <c r="H190" s="802"/>
      <c r="I190" s="803">
        <v>15375.8</v>
      </c>
      <c r="J190" s="803">
        <v>717155</v>
      </c>
      <c r="K190" s="803">
        <v>56051</v>
      </c>
      <c r="L190" s="802">
        <v>347266</v>
      </c>
      <c r="M190" s="802"/>
      <c r="N190" s="803">
        <v>28677</v>
      </c>
      <c r="O190" s="803">
        <v>264698</v>
      </c>
      <c r="P190" s="803">
        <v>0</v>
      </c>
      <c r="Q190" s="802">
        <v>10099</v>
      </c>
      <c r="R190" s="802"/>
      <c r="S190" s="803">
        <v>218739</v>
      </c>
      <c r="T190" s="804">
        <v>98677</v>
      </c>
      <c r="U190" s="804">
        <v>317416</v>
      </c>
    </row>
    <row r="191" spans="1:21" x14ac:dyDescent="0.25">
      <c r="A191" s="799">
        <v>91819</v>
      </c>
      <c r="B191" s="800" t="s">
        <v>2810</v>
      </c>
      <c r="C191" s="801">
        <v>2.8200000000000002E-4</v>
      </c>
      <c r="D191" s="801">
        <v>2.9609999999999999E-4</v>
      </c>
      <c r="E191" s="802">
        <v>118267.02</v>
      </c>
      <c r="F191" s="802">
        <v>132888</v>
      </c>
      <c r="G191" s="802">
        <v>598498</v>
      </c>
      <c r="H191" s="802"/>
      <c r="I191" s="803">
        <v>11245</v>
      </c>
      <c r="J191" s="803">
        <v>524475</v>
      </c>
      <c r="K191" s="803">
        <v>40992</v>
      </c>
      <c r="L191" s="802">
        <v>13743</v>
      </c>
      <c r="M191" s="802"/>
      <c r="N191" s="803">
        <v>20972</v>
      </c>
      <c r="O191" s="803">
        <v>193581</v>
      </c>
      <c r="P191" s="803">
        <v>0</v>
      </c>
      <c r="Q191" s="802">
        <v>11963</v>
      </c>
      <c r="R191" s="802"/>
      <c r="S191" s="803">
        <v>159970</v>
      </c>
      <c r="T191" s="804">
        <v>3219</v>
      </c>
      <c r="U191" s="804">
        <v>163189</v>
      </c>
    </row>
    <row r="192" spans="1:21" x14ac:dyDescent="0.25">
      <c r="A192" s="799">
        <v>91821</v>
      </c>
      <c r="B192" s="800" t="s">
        <v>2811</v>
      </c>
      <c r="C192" s="801">
        <v>1.63E-4</v>
      </c>
      <c r="D192" s="801">
        <v>1.5799999999999999E-4</v>
      </c>
      <c r="E192" s="802">
        <v>61732.91</v>
      </c>
      <c r="F192" s="802">
        <v>70909</v>
      </c>
      <c r="G192" s="802">
        <v>345941</v>
      </c>
      <c r="H192" s="802"/>
      <c r="I192" s="803">
        <v>6499.625</v>
      </c>
      <c r="J192" s="803">
        <v>303154</v>
      </c>
      <c r="K192" s="803">
        <v>23694</v>
      </c>
      <c r="L192" s="802">
        <v>4196</v>
      </c>
      <c r="M192" s="802"/>
      <c r="N192" s="803">
        <v>12122</v>
      </c>
      <c r="O192" s="803">
        <v>111893</v>
      </c>
      <c r="P192" s="803">
        <v>0</v>
      </c>
      <c r="Q192" s="802">
        <v>1501</v>
      </c>
      <c r="R192" s="802"/>
      <c r="S192" s="803">
        <v>92465</v>
      </c>
      <c r="T192" s="804">
        <v>1532</v>
      </c>
      <c r="U192" s="804">
        <v>93997</v>
      </c>
    </row>
    <row r="193" spans="1:21" x14ac:dyDescent="0.25">
      <c r="A193" s="799">
        <v>91831</v>
      </c>
      <c r="B193" s="800" t="s">
        <v>2812</v>
      </c>
      <c r="C193" s="801">
        <v>3.414E-4</v>
      </c>
      <c r="D193" s="801">
        <v>3.344E-4</v>
      </c>
      <c r="E193" s="802">
        <v>124107.91</v>
      </c>
      <c r="F193" s="802">
        <v>150077</v>
      </c>
      <c r="G193" s="802">
        <v>724565</v>
      </c>
      <c r="H193" s="802"/>
      <c r="I193" s="803">
        <v>13613</v>
      </c>
      <c r="J193" s="803">
        <v>634950</v>
      </c>
      <c r="K193" s="803">
        <v>49626</v>
      </c>
      <c r="L193" s="802">
        <v>12411</v>
      </c>
      <c r="M193" s="802"/>
      <c r="N193" s="803">
        <v>25390</v>
      </c>
      <c r="O193" s="803">
        <v>234357</v>
      </c>
      <c r="P193" s="803">
        <v>0</v>
      </c>
      <c r="Q193" s="802">
        <v>9146</v>
      </c>
      <c r="R193" s="802"/>
      <c r="S193" s="803">
        <v>193666</v>
      </c>
      <c r="T193" s="804">
        <v>2194</v>
      </c>
      <c r="U193" s="804">
        <v>195860</v>
      </c>
    </row>
    <row r="194" spans="1:21" x14ac:dyDescent="0.25">
      <c r="A194" s="799">
        <v>91841</v>
      </c>
      <c r="B194" s="800" t="s">
        <v>2813</v>
      </c>
      <c r="C194" s="801">
        <v>2.63E-4</v>
      </c>
      <c r="D194" s="801">
        <v>2.7290000000000002E-4</v>
      </c>
      <c r="E194" s="802">
        <v>112188.05</v>
      </c>
      <c r="F194" s="802">
        <v>122476</v>
      </c>
      <c r="G194" s="802">
        <v>558174</v>
      </c>
      <c r="H194" s="802"/>
      <c r="I194" s="803">
        <v>10487.125</v>
      </c>
      <c r="J194" s="803">
        <v>489138</v>
      </c>
      <c r="K194" s="803">
        <v>38230</v>
      </c>
      <c r="L194" s="802">
        <v>0</v>
      </c>
      <c r="M194" s="802"/>
      <c r="N194" s="803">
        <v>19559</v>
      </c>
      <c r="O194" s="803">
        <v>180538</v>
      </c>
      <c r="P194" s="803">
        <v>0</v>
      </c>
      <c r="Q194" s="802">
        <v>24859</v>
      </c>
      <c r="R194" s="802"/>
      <c r="S194" s="803">
        <v>149192</v>
      </c>
      <c r="T194" s="804">
        <v>-10148</v>
      </c>
      <c r="U194" s="804">
        <v>139044</v>
      </c>
    </row>
    <row r="195" spans="1:21" x14ac:dyDescent="0.25">
      <c r="A195" s="799">
        <v>91851</v>
      </c>
      <c r="B195" s="800" t="s">
        <v>2814</v>
      </c>
      <c r="C195" s="801">
        <v>7.2059999999999995E-4</v>
      </c>
      <c r="D195" s="801">
        <v>7.8410000000000003E-4</v>
      </c>
      <c r="E195" s="802">
        <v>289167</v>
      </c>
      <c r="F195" s="802">
        <v>351899</v>
      </c>
      <c r="G195" s="802">
        <v>1529355</v>
      </c>
      <c r="H195" s="802"/>
      <c r="I195" s="803">
        <v>28734</v>
      </c>
      <c r="J195" s="803">
        <v>1340202</v>
      </c>
      <c r="K195" s="803">
        <v>104747</v>
      </c>
      <c r="L195" s="802">
        <v>7182</v>
      </c>
      <c r="M195" s="802"/>
      <c r="N195" s="803">
        <v>53590</v>
      </c>
      <c r="O195" s="803">
        <v>494662</v>
      </c>
      <c r="P195" s="803">
        <v>0</v>
      </c>
      <c r="Q195" s="802">
        <v>62684</v>
      </c>
      <c r="R195" s="802"/>
      <c r="S195" s="803">
        <v>408774</v>
      </c>
      <c r="T195" s="804">
        <v>-14788</v>
      </c>
      <c r="U195" s="804">
        <v>393986</v>
      </c>
    </row>
    <row r="196" spans="1:21" x14ac:dyDescent="0.25">
      <c r="A196" s="799">
        <v>91861</v>
      </c>
      <c r="B196" s="800" t="s">
        <v>2815</v>
      </c>
      <c r="C196" s="801">
        <v>1.9899999999999999E-5</v>
      </c>
      <c r="D196" s="801">
        <v>1.8499999999999999E-5</v>
      </c>
      <c r="E196" s="802">
        <v>7958</v>
      </c>
      <c r="F196" s="802">
        <v>8303</v>
      </c>
      <c r="G196" s="802">
        <v>42234</v>
      </c>
      <c r="H196" s="802"/>
      <c r="I196" s="803">
        <v>794</v>
      </c>
      <c r="J196" s="803">
        <v>37011</v>
      </c>
      <c r="K196" s="803">
        <v>2893</v>
      </c>
      <c r="L196" s="802">
        <v>3091</v>
      </c>
      <c r="M196" s="802"/>
      <c r="N196" s="803">
        <v>1480</v>
      </c>
      <c r="O196" s="803">
        <v>13661</v>
      </c>
      <c r="P196" s="803">
        <v>0</v>
      </c>
      <c r="Q196" s="802">
        <v>221</v>
      </c>
      <c r="R196" s="802"/>
      <c r="S196" s="803">
        <v>11289</v>
      </c>
      <c r="T196" s="804">
        <v>930</v>
      </c>
      <c r="U196" s="804">
        <v>12219</v>
      </c>
    </row>
    <row r="197" spans="1:21" x14ac:dyDescent="0.25">
      <c r="A197" s="799">
        <v>91871</v>
      </c>
      <c r="B197" s="800" t="s">
        <v>2816</v>
      </c>
      <c r="C197" s="801">
        <v>1.2712000000000001E-3</v>
      </c>
      <c r="D197" s="801">
        <v>1.3523000000000001E-3</v>
      </c>
      <c r="E197" s="802">
        <v>508749.63</v>
      </c>
      <c r="F197" s="802">
        <v>606904</v>
      </c>
      <c r="G197" s="802">
        <v>2697912</v>
      </c>
      <c r="H197" s="802"/>
      <c r="I197" s="803">
        <v>50689</v>
      </c>
      <c r="J197" s="803">
        <v>2364231</v>
      </c>
      <c r="K197" s="803">
        <v>184783</v>
      </c>
      <c r="L197" s="802">
        <v>0</v>
      </c>
      <c r="M197" s="802"/>
      <c r="N197" s="803">
        <v>94538</v>
      </c>
      <c r="O197" s="803">
        <v>872625</v>
      </c>
      <c r="P197" s="803">
        <v>0</v>
      </c>
      <c r="Q197" s="802">
        <v>108234</v>
      </c>
      <c r="R197" s="802"/>
      <c r="S197" s="803">
        <v>721112</v>
      </c>
      <c r="T197" s="804">
        <v>-34437</v>
      </c>
      <c r="U197" s="804">
        <v>686676</v>
      </c>
    </row>
    <row r="198" spans="1:21" x14ac:dyDescent="0.25">
      <c r="A198" s="799">
        <v>91881</v>
      </c>
      <c r="B198" s="800" t="s">
        <v>2817</v>
      </c>
      <c r="C198" s="801">
        <v>1.01E-5</v>
      </c>
      <c r="D198" s="801">
        <v>2.1399999999999998E-5</v>
      </c>
      <c r="E198" s="802">
        <v>5881.13</v>
      </c>
      <c r="F198" s="802">
        <v>9604</v>
      </c>
      <c r="G198" s="802">
        <v>21436</v>
      </c>
      <c r="H198" s="802"/>
      <c r="I198" s="803">
        <v>402.73750000000001</v>
      </c>
      <c r="J198" s="803">
        <v>18784</v>
      </c>
      <c r="K198" s="803">
        <v>1468</v>
      </c>
      <c r="L198" s="802">
        <v>0</v>
      </c>
      <c r="M198" s="802"/>
      <c r="N198" s="803">
        <v>751</v>
      </c>
      <c r="O198" s="803">
        <v>6933</v>
      </c>
      <c r="P198" s="803">
        <v>0</v>
      </c>
      <c r="Q198" s="802">
        <v>14714</v>
      </c>
      <c r="R198" s="802"/>
      <c r="S198" s="803">
        <v>5729</v>
      </c>
      <c r="T198" s="804">
        <v>-5904</v>
      </c>
      <c r="U198" s="804">
        <v>-175</v>
      </c>
    </row>
    <row r="199" spans="1:21" x14ac:dyDescent="0.25">
      <c r="A199" s="799">
        <v>91901</v>
      </c>
      <c r="B199" s="800" t="s">
        <v>2818</v>
      </c>
      <c r="C199" s="801">
        <v>3.6564000000000002E-3</v>
      </c>
      <c r="D199" s="801">
        <v>3.4198000000000002E-3</v>
      </c>
      <c r="E199" s="802">
        <v>1388384.1</v>
      </c>
      <c r="F199" s="802">
        <v>1534786</v>
      </c>
      <c r="G199" s="802">
        <v>7760106</v>
      </c>
      <c r="H199" s="802"/>
      <c r="I199" s="803">
        <v>145799</v>
      </c>
      <c r="J199" s="803">
        <v>6800326</v>
      </c>
      <c r="K199" s="803">
        <v>531498</v>
      </c>
      <c r="L199" s="802">
        <v>147570</v>
      </c>
      <c r="M199" s="802"/>
      <c r="N199" s="803">
        <v>271923</v>
      </c>
      <c r="O199" s="803">
        <v>2509965</v>
      </c>
      <c r="P199" s="803">
        <v>0</v>
      </c>
      <c r="Q199" s="802">
        <v>0</v>
      </c>
      <c r="R199" s="802"/>
      <c r="S199" s="803">
        <v>2074162</v>
      </c>
      <c r="T199" s="804">
        <v>57850</v>
      </c>
      <c r="U199" s="804">
        <v>2132013</v>
      </c>
    </row>
    <row r="200" spans="1:21" x14ac:dyDescent="0.25">
      <c r="A200" s="799">
        <v>91903</v>
      </c>
      <c r="B200" s="800" t="s">
        <v>2819</v>
      </c>
      <c r="C200" s="801">
        <v>8.3999999999999992E-6</v>
      </c>
      <c r="D200" s="801">
        <v>9.5000000000000005E-6</v>
      </c>
      <c r="E200" s="802">
        <v>4422</v>
      </c>
      <c r="F200" s="802">
        <v>4264</v>
      </c>
      <c r="G200" s="802">
        <v>17828</v>
      </c>
      <c r="H200" s="802"/>
      <c r="I200" s="803">
        <v>334.95</v>
      </c>
      <c r="J200" s="803">
        <v>15623</v>
      </c>
      <c r="K200" s="803">
        <v>1221</v>
      </c>
      <c r="L200" s="802">
        <v>656</v>
      </c>
      <c r="M200" s="802"/>
      <c r="N200" s="803">
        <v>625</v>
      </c>
      <c r="O200" s="803">
        <v>5766</v>
      </c>
      <c r="P200" s="803">
        <v>0</v>
      </c>
      <c r="Q200" s="802">
        <v>6052</v>
      </c>
      <c r="R200" s="802"/>
      <c r="S200" s="803">
        <v>4765</v>
      </c>
      <c r="T200" s="804">
        <v>-2825</v>
      </c>
      <c r="U200" s="804">
        <v>1940</v>
      </c>
    </row>
    <row r="201" spans="1:21" x14ac:dyDescent="0.25">
      <c r="A201" s="799">
        <v>91904</v>
      </c>
      <c r="B201" s="800" t="s">
        <v>2820</v>
      </c>
      <c r="C201" s="801">
        <v>2.3300000000000001E-5</v>
      </c>
      <c r="D201" s="801">
        <v>1.1600000000000001E-5</v>
      </c>
      <c r="E201" s="802">
        <v>9195</v>
      </c>
      <c r="F201" s="802">
        <v>5206</v>
      </c>
      <c r="G201" s="802">
        <v>49450</v>
      </c>
      <c r="H201" s="802"/>
      <c r="I201" s="803">
        <v>929.08749999999998</v>
      </c>
      <c r="J201" s="803">
        <v>43334</v>
      </c>
      <c r="K201" s="803">
        <v>3387</v>
      </c>
      <c r="L201" s="802">
        <v>9161</v>
      </c>
      <c r="M201" s="802"/>
      <c r="N201" s="803">
        <v>1733</v>
      </c>
      <c r="O201" s="803">
        <v>15994</v>
      </c>
      <c r="P201" s="803">
        <v>0</v>
      </c>
      <c r="Q201" s="802">
        <v>0</v>
      </c>
      <c r="R201" s="802"/>
      <c r="S201" s="803">
        <v>13217</v>
      </c>
      <c r="T201" s="804">
        <v>3062</v>
      </c>
      <c r="U201" s="804">
        <v>16279</v>
      </c>
    </row>
    <row r="202" spans="1:21" x14ac:dyDescent="0.25">
      <c r="A202" s="799">
        <v>91908</v>
      </c>
      <c r="B202" s="800" t="s">
        <v>2821</v>
      </c>
      <c r="C202" s="801">
        <v>1.3699999999999999E-5</v>
      </c>
      <c r="D202" s="801">
        <v>1.73E-5</v>
      </c>
      <c r="E202" s="802">
        <v>3751.2</v>
      </c>
      <c r="F202" s="802">
        <v>7764</v>
      </c>
      <c r="G202" s="802">
        <v>29076</v>
      </c>
      <c r="H202" s="802"/>
      <c r="I202" s="803">
        <v>546.28750000000002</v>
      </c>
      <c r="J202" s="803">
        <v>25480</v>
      </c>
      <c r="K202" s="803">
        <v>1991</v>
      </c>
      <c r="L202" s="802">
        <v>1638</v>
      </c>
      <c r="M202" s="802"/>
      <c r="N202" s="803">
        <v>1019</v>
      </c>
      <c r="O202" s="803">
        <v>9404</v>
      </c>
      <c r="P202" s="803">
        <v>0</v>
      </c>
      <c r="Q202" s="802">
        <v>3446</v>
      </c>
      <c r="R202" s="802"/>
      <c r="S202" s="803">
        <v>7772</v>
      </c>
      <c r="T202" s="804">
        <v>-83</v>
      </c>
      <c r="U202" s="804">
        <v>7689</v>
      </c>
    </row>
    <row r="203" spans="1:21" x14ac:dyDescent="0.25">
      <c r="A203" s="799">
        <v>91911</v>
      </c>
      <c r="B203" s="800" t="s">
        <v>2822</v>
      </c>
      <c r="C203" s="801">
        <v>4.639E-4</v>
      </c>
      <c r="D203" s="801">
        <v>4.4079999999999998E-4</v>
      </c>
      <c r="E203" s="802">
        <v>186806.7</v>
      </c>
      <c r="F203" s="802">
        <v>197828</v>
      </c>
      <c r="G203" s="802">
        <v>984551</v>
      </c>
      <c r="H203" s="802"/>
      <c r="I203" s="803">
        <v>18498</v>
      </c>
      <c r="J203" s="803">
        <v>862781</v>
      </c>
      <c r="K203" s="803">
        <v>67433</v>
      </c>
      <c r="L203" s="802">
        <v>9361</v>
      </c>
      <c r="M203" s="802"/>
      <c r="N203" s="803">
        <v>34500</v>
      </c>
      <c r="O203" s="803">
        <v>318448</v>
      </c>
      <c r="P203" s="803">
        <v>0</v>
      </c>
      <c r="Q203" s="802">
        <v>8482</v>
      </c>
      <c r="R203" s="802"/>
      <c r="S203" s="803">
        <v>263156</v>
      </c>
      <c r="T203" s="804">
        <v>-1046</v>
      </c>
      <c r="U203" s="804">
        <v>262110</v>
      </c>
    </row>
    <row r="204" spans="1:21" x14ac:dyDescent="0.25">
      <c r="A204" s="799">
        <v>91917</v>
      </c>
      <c r="B204" s="800" t="s">
        <v>2823</v>
      </c>
      <c r="C204" s="801">
        <v>1.36E-5</v>
      </c>
      <c r="D204" s="801">
        <v>1.42E-5</v>
      </c>
      <c r="E204" s="802">
        <v>6743.42</v>
      </c>
      <c r="F204" s="802">
        <v>6373</v>
      </c>
      <c r="G204" s="802">
        <v>28864</v>
      </c>
      <c r="H204" s="802"/>
      <c r="I204" s="803">
        <v>542</v>
      </c>
      <c r="J204" s="803">
        <v>25294</v>
      </c>
      <c r="K204" s="803">
        <v>1977</v>
      </c>
      <c r="L204" s="802">
        <v>731</v>
      </c>
      <c r="M204" s="802"/>
      <c r="N204" s="803">
        <v>1011</v>
      </c>
      <c r="O204" s="803">
        <v>9336</v>
      </c>
      <c r="P204" s="803">
        <v>0</v>
      </c>
      <c r="Q204" s="802">
        <v>0</v>
      </c>
      <c r="R204" s="802"/>
      <c r="S204" s="803">
        <v>7715</v>
      </c>
      <c r="T204" s="804">
        <v>203</v>
      </c>
      <c r="U204" s="804">
        <v>7918</v>
      </c>
    </row>
    <row r="205" spans="1:21" x14ac:dyDescent="0.25">
      <c r="A205" s="799">
        <v>91921</v>
      </c>
      <c r="B205" s="800" t="s">
        <v>2824</v>
      </c>
      <c r="C205" s="801">
        <v>3.6600000000000001E-4</v>
      </c>
      <c r="D205" s="801">
        <v>3.4840000000000001E-4</v>
      </c>
      <c r="E205" s="802">
        <v>136994.49</v>
      </c>
      <c r="F205" s="802">
        <v>156360</v>
      </c>
      <c r="G205" s="802">
        <v>776774.61</v>
      </c>
      <c r="H205" s="802"/>
      <c r="I205" s="803">
        <v>14594.25</v>
      </c>
      <c r="J205" s="803">
        <v>680702</v>
      </c>
      <c r="K205" s="803">
        <v>53202</v>
      </c>
      <c r="L205" s="802">
        <v>0</v>
      </c>
      <c r="M205" s="802"/>
      <c r="N205" s="803">
        <v>27219</v>
      </c>
      <c r="O205" s="803">
        <v>251244</v>
      </c>
      <c r="P205" s="803">
        <v>0</v>
      </c>
      <c r="Q205" s="802">
        <v>12578</v>
      </c>
      <c r="R205" s="802"/>
      <c r="S205" s="803">
        <v>207620</v>
      </c>
      <c r="T205" s="804">
        <v>-4638</v>
      </c>
      <c r="U205" s="804">
        <v>202982</v>
      </c>
    </row>
    <row r="206" spans="1:21" x14ac:dyDescent="0.25">
      <c r="A206" s="799">
        <v>92001</v>
      </c>
      <c r="B206" s="800" t="s">
        <v>2825</v>
      </c>
      <c r="C206" s="801">
        <v>1.9604000000000002E-3</v>
      </c>
      <c r="D206" s="801">
        <v>1.7531000000000001E-3</v>
      </c>
      <c r="E206" s="802">
        <v>743048.49</v>
      </c>
      <c r="F206" s="802">
        <v>786781</v>
      </c>
      <c r="G206" s="802">
        <v>4160626</v>
      </c>
      <c r="H206" s="802"/>
      <c r="I206" s="803">
        <v>78171</v>
      </c>
      <c r="J206" s="803">
        <v>3646034</v>
      </c>
      <c r="K206" s="803">
        <v>284966</v>
      </c>
      <c r="L206" s="802">
        <v>65513</v>
      </c>
      <c r="M206" s="802"/>
      <c r="N206" s="803">
        <v>145793</v>
      </c>
      <c r="O206" s="803">
        <v>1345732</v>
      </c>
      <c r="P206" s="803">
        <v>0</v>
      </c>
      <c r="Q206" s="802">
        <v>52440.480000000003</v>
      </c>
      <c r="R206" s="802"/>
      <c r="S206" s="803">
        <v>1112074</v>
      </c>
      <c r="T206" s="804">
        <v>-9057</v>
      </c>
      <c r="U206" s="804">
        <v>1103017</v>
      </c>
    </row>
    <row r="207" spans="1:21" x14ac:dyDescent="0.25">
      <c r="A207" s="799">
        <v>92005</v>
      </c>
      <c r="B207" s="800" t="s">
        <v>2826</v>
      </c>
      <c r="C207" s="801">
        <v>4.6499999999999999E-5</v>
      </c>
      <c r="D207" s="801">
        <v>4.5800000000000002E-5</v>
      </c>
      <c r="E207" s="802">
        <v>20891.13</v>
      </c>
      <c r="F207" s="802">
        <v>20555</v>
      </c>
      <c r="G207" s="802">
        <v>98689</v>
      </c>
      <c r="H207" s="802"/>
      <c r="I207" s="803">
        <v>1854.1875</v>
      </c>
      <c r="J207" s="803">
        <v>86483</v>
      </c>
      <c r="K207" s="803">
        <v>6759</v>
      </c>
      <c r="L207" s="802">
        <v>2627</v>
      </c>
      <c r="M207" s="802"/>
      <c r="N207" s="803">
        <v>3458</v>
      </c>
      <c r="O207" s="803">
        <v>31920</v>
      </c>
      <c r="P207" s="803">
        <v>0</v>
      </c>
      <c r="Q207" s="802">
        <v>597</v>
      </c>
      <c r="R207" s="802"/>
      <c r="S207" s="803">
        <v>26378</v>
      </c>
      <c r="T207" s="804">
        <v>674</v>
      </c>
      <c r="U207" s="804">
        <v>27053</v>
      </c>
    </row>
    <row r="208" spans="1:21" x14ac:dyDescent="0.25">
      <c r="A208" s="799">
        <v>92011</v>
      </c>
      <c r="B208" s="800" t="s">
        <v>2827</v>
      </c>
      <c r="C208" s="801">
        <v>1.8660000000000001E-4</v>
      </c>
      <c r="D208" s="801">
        <v>1.8230000000000001E-4</v>
      </c>
      <c r="E208" s="802">
        <v>77716</v>
      </c>
      <c r="F208" s="802">
        <v>81815</v>
      </c>
      <c r="G208" s="802">
        <v>396028</v>
      </c>
      <c r="H208" s="802"/>
      <c r="I208" s="803">
        <v>7441</v>
      </c>
      <c r="J208" s="803">
        <v>347047</v>
      </c>
      <c r="K208" s="803">
        <v>27124</v>
      </c>
      <c r="L208" s="802">
        <v>17408</v>
      </c>
      <c r="M208" s="802"/>
      <c r="N208" s="803">
        <v>13877</v>
      </c>
      <c r="O208" s="803">
        <v>128093</v>
      </c>
      <c r="P208" s="803">
        <v>0</v>
      </c>
      <c r="Q208" s="802">
        <v>0</v>
      </c>
      <c r="R208" s="802"/>
      <c r="S208" s="803">
        <v>105852</v>
      </c>
      <c r="T208" s="804">
        <v>7783</v>
      </c>
      <c r="U208" s="804">
        <v>113635</v>
      </c>
    </row>
    <row r="209" spans="1:21" x14ac:dyDescent="0.25">
      <c r="A209" s="799">
        <v>92017</v>
      </c>
      <c r="B209" s="800" t="s">
        <v>2828</v>
      </c>
      <c r="C209" s="801">
        <v>3.5099999999999999E-5</v>
      </c>
      <c r="D209" s="801">
        <v>3.7100000000000001E-5</v>
      </c>
      <c r="E209" s="802">
        <v>14855.15</v>
      </c>
      <c r="F209" s="802">
        <v>16650</v>
      </c>
      <c r="G209" s="802">
        <v>74494</v>
      </c>
      <c r="H209" s="802"/>
      <c r="I209" s="803">
        <v>1400</v>
      </c>
      <c r="J209" s="803">
        <v>65280</v>
      </c>
      <c r="K209" s="803">
        <v>5102</v>
      </c>
      <c r="L209" s="802">
        <v>388</v>
      </c>
      <c r="M209" s="802"/>
      <c r="N209" s="803">
        <v>2610</v>
      </c>
      <c r="O209" s="803">
        <v>24095</v>
      </c>
      <c r="P209" s="803">
        <v>0</v>
      </c>
      <c r="Q209" s="802">
        <v>2160</v>
      </c>
      <c r="R209" s="802"/>
      <c r="S209" s="803">
        <v>19911</v>
      </c>
      <c r="T209" s="804">
        <v>-766</v>
      </c>
      <c r="U209" s="804">
        <v>19146</v>
      </c>
    </row>
    <row r="210" spans="1:21" x14ac:dyDescent="0.25">
      <c r="A210" s="799">
        <v>92021</v>
      </c>
      <c r="B210" s="800" t="s">
        <v>2829</v>
      </c>
      <c r="C210" s="801">
        <v>1.4249999999999999E-4</v>
      </c>
      <c r="D210" s="801">
        <v>9.8999999999999994E-5</v>
      </c>
      <c r="E210" s="802">
        <v>63077</v>
      </c>
      <c r="F210" s="802">
        <v>44431</v>
      </c>
      <c r="G210" s="802">
        <v>302433</v>
      </c>
      <c r="H210" s="802"/>
      <c r="I210" s="803">
        <v>5682.1875</v>
      </c>
      <c r="J210" s="803">
        <v>265027</v>
      </c>
      <c r="K210" s="803">
        <v>20714</v>
      </c>
      <c r="L210" s="802">
        <v>27119</v>
      </c>
      <c r="M210" s="802"/>
      <c r="N210" s="803">
        <v>10598</v>
      </c>
      <c r="O210" s="803">
        <v>97820</v>
      </c>
      <c r="P210" s="803">
        <v>0</v>
      </c>
      <c r="Q210" s="802">
        <v>18999</v>
      </c>
      <c r="R210" s="802"/>
      <c r="S210" s="803">
        <v>80836</v>
      </c>
      <c r="T210" s="804">
        <v>-831</v>
      </c>
      <c r="U210" s="804">
        <v>80004</v>
      </c>
    </row>
    <row r="211" spans="1:21" x14ac:dyDescent="0.25">
      <c r="A211" s="799">
        <v>92101</v>
      </c>
      <c r="B211" s="800" t="s">
        <v>2830</v>
      </c>
      <c r="C211" s="801">
        <v>8.6870000000000003E-4</v>
      </c>
      <c r="D211" s="801">
        <v>9.1750000000000002E-4</v>
      </c>
      <c r="E211" s="802">
        <v>332881</v>
      </c>
      <c r="F211" s="802">
        <v>411768</v>
      </c>
      <c r="G211" s="802">
        <v>1843672</v>
      </c>
      <c r="H211" s="802"/>
      <c r="I211" s="803">
        <v>34639</v>
      </c>
      <c r="J211" s="803">
        <v>1615645</v>
      </c>
      <c r="K211" s="803">
        <v>126275</v>
      </c>
      <c r="L211" s="802">
        <v>18519</v>
      </c>
      <c r="M211" s="802"/>
      <c r="N211" s="803">
        <v>64604</v>
      </c>
      <c r="O211" s="803">
        <v>596326</v>
      </c>
      <c r="P211" s="803">
        <v>0</v>
      </c>
      <c r="Q211" s="802">
        <v>45788</v>
      </c>
      <c r="R211" s="802"/>
      <c r="S211" s="803">
        <v>492787</v>
      </c>
      <c r="T211" s="804">
        <v>-2848</v>
      </c>
      <c r="U211" s="804">
        <v>489939</v>
      </c>
    </row>
    <row r="212" spans="1:21" x14ac:dyDescent="0.25">
      <c r="A212" s="799">
        <v>92104</v>
      </c>
      <c r="B212" s="800" t="s">
        <v>2831</v>
      </c>
      <c r="C212" s="801">
        <v>8.8000000000000004E-6</v>
      </c>
      <c r="D212" s="801">
        <v>8.1000000000000004E-6</v>
      </c>
      <c r="E212" s="802">
        <v>4596</v>
      </c>
      <c r="F212" s="802">
        <v>3635</v>
      </c>
      <c r="G212" s="802">
        <v>18677</v>
      </c>
      <c r="H212" s="802"/>
      <c r="I212" s="803">
        <v>351</v>
      </c>
      <c r="J212" s="803">
        <v>16367</v>
      </c>
      <c r="K212" s="803">
        <v>1279</v>
      </c>
      <c r="L212" s="802">
        <v>4163</v>
      </c>
      <c r="M212" s="802"/>
      <c r="N212" s="803">
        <v>654</v>
      </c>
      <c r="O212" s="803">
        <v>6041</v>
      </c>
      <c r="P212" s="803">
        <v>0</v>
      </c>
      <c r="Q212" s="802">
        <v>0</v>
      </c>
      <c r="R212" s="802"/>
      <c r="S212" s="803">
        <v>4992</v>
      </c>
      <c r="T212" s="804">
        <v>1637</v>
      </c>
      <c r="U212" s="804">
        <v>6629</v>
      </c>
    </row>
    <row r="213" spans="1:21" x14ac:dyDescent="0.25">
      <c r="A213" s="799">
        <v>92109</v>
      </c>
      <c r="B213" s="800" t="s">
        <v>2832</v>
      </c>
      <c r="C213" s="801">
        <v>1.7909999999999999E-4</v>
      </c>
      <c r="D213" s="801">
        <v>1.7310000000000001E-4</v>
      </c>
      <c r="E213" s="802">
        <v>70342</v>
      </c>
      <c r="F213" s="802">
        <v>77686</v>
      </c>
      <c r="G213" s="802">
        <v>380110</v>
      </c>
      <c r="H213" s="802"/>
      <c r="I213" s="803">
        <v>7142</v>
      </c>
      <c r="J213" s="803">
        <v>333098</v>
      </c>
      <c r="K213" s="803">
        <v>26034</v>
      </c>
      <c r="L213" s="802">
        <v>3189</v>
      </c>
      <c r="M213" s="802"/>
      <c r="N213" s="803">
        <v>13319</v>
      </c>
      <c r="O213" s="803">
        <v>122945</v>
      </c>
      <c r="P213" s="803">
        <v>0</v>
      </c>
      <c r="Q213" s="802">
        <v>19542</v>
      </c>
      <c r="R213" s="802"/>
      <c r="S213" s="803">
        <v>101598</v>
      </c>
      <c r="T213" s="804">
        <v>-5478</v>
      </c>
      <c r="U213" s="804">
        <v>96120</v>
      </c>
    </row>
    <row r="214" spans="1:21" x14ac:dyDescent="0.25">
      <c r="A214" s="799">
        <v>92111</v>
      </c>
      <c r="B214" s="800" t="s">
        <v>2833</v>
      </c>
      <c r="C214" s="801">
        <v>5.0009999999999996E-4</v>
      </c>
      <c r="D214" s="801">
        <v>5.3319999999999995E-4</v>
      </c>
      <c r="E214" s="802">
        <v>205690.42</v>
      </c>
      <c r="F214" s="802">
        <v>239297</v>
      </c>
      <c r="G214" s="802">
        <v>1061380</v>
      </c>
      <c r="H214" s="802"/>
      <c r="I214" s="803">
        <v>19941</v>
      </c>
      <c r="J214" s="803">
        <v>930107</v>
      </c>
      <c r="K214" s="803">
        <v>72695</v>
      </c>
      <c r="L214" s="802">
        <v>14524</v>
      </c>
      <c r="M214" s="802"/>
      <c r="N214" s="803">
        <v>37192</v>
      </c>
      <c r="O214" s="803">
        <v>343298</v>
      </c>
      <c r="P214" s="803">
        <v>0</v>
      </c>
      <c r="Q214" s="802">
        <v>17909</v>
      </c>
      <c r="R214" s="802"/>
      <c r="S214" s="803">
        <v>283691</v>
      </c>
      <c r="T214" s="804">
        <v>1816</v>
      </c>
      <c r="U214" s="804">
        <v>285507</v>
      </c>
    </row>
    <row r="215" spans="1:21" x14ac:dyDescent="0.25">
      <c r="A215" s="799">
        <v>92113</v>
      </c>
      <c r="B215" s="800" t="s">
        <v>2834</v>
      </c>
      <c r="C215" s="801">
        <v>2.2099999999999998E-5</v>
      </c>
      <c r="D215" s="801">
        <v>2.2900000000000001E-5</v>
      </c>
      <c r="E215" s="802">
        <v>27800</v>
      </c>
      <c r="F215" s="802">
        <v>10277</v>
      </c>
      <c r="G215" s="802">
        <v>46904</v>
      </c>
      <c r="H215" s="802"/>
      <c r="I215" s="803">
        <v>881.23749999999995</v>
      </c>
      <c r="J215" s="803">
        <v>41103</v>
      </c>
      <c r="K215" s="803">
        <v>3212</v>
      </c>
      <c r="L215" s="802">
        <v>25322</v>
      </c>
      <c r="M215" s="802"/>
      <c r="N215" s="803">
        <v>1644</v>
      </c>
      <c r="O215" s="803">
        <v>15171</v>
      </c>
      <c r="P215" s="803">
        <v>0</v>
      </c>
      <c r="Q215" s="802">
        <v>0</v>
      </c>
      <c r="R215" s="802"/>
      <c r="S215" s="803">
        <v>12537</v>
      </c>
      <c r="T215" s="804">
        <v>7718</v>
      </c>
      <c r="U215" s="804">
        <v>20255</v>
      </c>
    </row>
    <row r="216" spans="1:21" x14ac:dyDescent="0.25">
      <c r="A216" s="799">
        <v>92201</v>
      </c>
      <c r="B216" s="800" t="s">
        <v>2835</v>
      </c>
      <c r="C216" s="801">
        <v>1.0267E-3</v>
      </c>
      <c r="D216" s="801">
        <v>9.8930000000000003E-4</v>
      </c>
      <c r="E216" s="802">
        <v>411545</v>
      </c>
      <c r="F216" s="802">
        <v>443992</v>
      </c>
      <c r="G216" s="802">
        <v>2179001</v>
      </c>
      <c r="H216" s="802"/>
      <c r="I216" s="803">
        <v>40940</v>
      </c>
      <c r="J216" s="803">
        <v>1909500</v>
      </c>
      <c r="K216" s="803">
        <v>149242</v>
      </c>
      <c r="L216" s="802">
        <v>60698</v>
      </c>
      <c r="M216" s="802"/>
      <c r="N216" s="803">
        <v>76355</v>
      </c>
      <c r="O216" s="803">
        <v>704786</v>
      </c>
      <c r="P216" s="803">
        <v>0</v>
      </c>
      <c r="Q216" s="802">
        <v>0</v>
      </c>
      <c r="R216" s="802"/>
      <c r="S216" s="803">
        <v>582415</v>
      </c>
      <c r="T216" s="804">
        <v>23895</v>
      </c>
      <c r="U216" s="804">
        <v>606310</v>
      </c>
    </row>
    <row r="217" spans="1:21" x14ac:dyDescent="0.25">
      <c r="A217" s="799">
        <v>92301</v>
      </c>
      <c r="B217" s="800" t="s">
        <v>2836</v>
      </c>
      <c r="C217" s="801">
        <v>5.2411000000000003E-3</v>
      </c>
      <c r="D217" s="801">
        <v>5.0804999999999999E-3</v>
      </c>
      <c r="E217" s="802">
        <v>2094643.33</v>
      </c>
      <c r="F217" s="802">
        <v>2280098</v>
      </c>
      <c r="G217" s="802">
        <v>11123370</v>
      </c>
      <c r="H217" s="802"/>
      <c r="I217" s="803">
        <v>208989</v>
      </c>
      <c r="J217" s="803">
        <v>9747618</v>
      </c>
      <c r="K217" s="803">
        <v>761852</v>
      </c>
      <c r="L217" s="802">
        <v>77417</v>
      </c>
      <c r="M217" s="802"/>
      <c r="N217" s="803">
        <v>389775</v>
      </c>
      <c r="O217" s="803">
        <v>3597795</v>
      </c>
      <c r="P217" s="803">
        <v>0</v>
      </c>
      <c r="Q217" s="802">
        <v>16658.29</v>
      </c>
      <c r="R217" s="802"/>
      <c r="S217" s="803">
        <v>2973114</v>
      </c>
      <c r="T217" s="804">
        <v>15378</v>
      </c>
      <c r="U217" s="804">
        <v>2988491</v>
      </c>
    </row>
    <row r="218" spans="1:21" x14ac:dyDescent="0.25">
      <c r="A218" s="799">
        <v>92302</v>
      </c>
      <c r="B218" s="800" t="s">
        <v>2837</v>
      </c>
      <c r="C218" s="801">
        <v>3.168E-4</v>
      </c>
      <c r="D218" s="801">
        <v>2.9910000000000001E-4</v>
      </c>
      <c r="E218" s="802">
        <v>116637</v>
      </c>
      <c r="F218" s="802">
        <v>134234</v>
      </c>
      <c r="G218" s="802">
        <v>672356</v>
      </c>
      <c r="H218" s="802"/>
      <c r="I218" s="803">
        <v>12632.4</v>
      </c>
      <c r="J218" s="803">
        <v>589198</v>
      </c>
      <c r="K218" s="803">
        <v>46050</v>
      </c>
      <c r="L218" s="802">
        <v>0</v>
      </c>
      <c r="M218" s="802"/>
      <c r="N218" s="803">
        <v>23560</v>
      </c>
      <c r="O218" s="803">
        <v>217470</v>
      </c>
      <c r="P218" s="803">
        <v>0</v>
      </c>
      <c r="Q218" s="802">
        <v>9658</v>
      </c>
      <c r="R218" s="802"/>
      <c r="S218" s="803">
        <v>179711</v>
      </c>
      <c r="T218" s="804">
        <v>-3995</v>
      </c>
      <c r="U218" s="804">
        <v>175716</v>
      </c>
    </row>
    <row r="219" spans="1:21" x14ac:dyDescent="0.25">
      <c r="A219" s="799">
        <v>92311</v>
      </c>
      <c r="B219" s="800" t="s">
        <v>2838</v>
      </c>
      <c r="C219" s="801">
        <v>2.1857000000000001E-3</v>
      </c>
      <c r="D219" s="801">
        <v>2.1316E-3</v>
      </c>
      <c r="E219" s="802">
        <v>841005.71</v>
      </c>
      <c r="F219" s="802">
        <v>956649</v>
      </c>
      <c r="G219" s="802">
        <v>4638788</v>
      </c>
      <c r="H219" s="802"/>
      <c r="I219" s="803">
        <v>87155</v>
      </c>
      <c r="J219" s="803">
        <v>4065057</v>
      </c>
      <c r="K219" s="803">
        <v>317716</v>
      </c>
      <c r="L219" s="802">
        <v>0</v>
      </c>
      <c r="M219" s="802"/>
      <c r="N219" s="803">
        <v>162548</v>
      </c>
      <c r="O219" s="803">
        <v>1500391</v>
      </c>
      <c r="P219" s="803">
        <v>0</v>
      </c>
      <c r="Q219" s="802">
        <v>92864</v>
      </c>
      <c r="R219" s="802"/>
      <c r="S219" s="803">
        <v>1239880</v>
      </c>
      <c r="T219" s="804">
        <v>-38618</v>
      </c>
      <c r="U219" s="804">
        <v>1201261</v>
      </c>
    </row>
    <row r="220" spans="1:21" x14ac:dyDescent="0.25">
      <c r="A220" s="799">
        <v>92317</v>
      </c>
      <c r="B220" s="800" t="s">
        <v>2839</v>
      </c>
      <c r="C220" s="801">
        <v>2.9600000000000001E-5</v>
      </c>
      <c r="D220" s="801">
        <v>3.3300000000000003E-5</v>
      </c>
      <c r="E220" s="802">
        <v>20482</v>
      </c>
      <c r="F220" s="802">
        <v>14945</v>
      </c>
      <c r="G220" s="802">
        <v>62821</v>
      </c>
      <c r="H220" s="802"/>
      <c r="I220" s="803">
        <v>1180.3</v>
      </c>
      <c r="J220" s="803">
        <v>55051</v>
      </c>
      <c r="K220" s="803">
        <v>4303</v>
      </c>
      <c r="L220" s="802">
        <v>12749</v>
      </c>
      <c r="M220" s="802"/>
      <c r="N220" s="803">
        <v>2201</v>
      </c>
      <c r="O220" s="803">
        <v>20319</v>
      </c>
      <c r="P220" s="803">
        <v>0</v>
      </c>
      <c r="Q220" s="802">
        <v>0</v>
      </c>
      <c r="R220" s="802"/>
      <c r="S220" s="803">
        <v>16791</v>
      </c>
      <c r="T220" s="804">
        <v>4401</v>
      </c>
      <c r="U220" s="804">
        <v>21192</v>
      </c>
    </row>
    <row r="221" spans="1:21" x14ac:dyDescent="0.25">
      <c r="A221" s="799">
        <v>92321</v>
      </c>
      <c r="B221" s="800" t="s">
        <v>2840</v>
      </c>
      <c r="C221" s="801">
        <v>1.2218999999999999E-3</v>
      </c>
      <c r="D221" s="801">
        <v>1.1936E-3</v>
      </c>
      <c r="E221" s="802">
        <v>481504.52</v>
      </c>
      <c r="F221" s="802">
        <v>535681</v>
      </c>
      <c r="G221" s="802">
        <v>2593281</v>
      </c>
      <c r="H221" s="802"/>
      <c r="I221" s="803">
        <v>48723</v>
      </c>
      <c r="J221" s="803">
        <v>2272541</v>
      </c>
      <c r="K221" s="803">
        <v>177617</v>
      </c>
      <c r="L221" s="802">
        <v>61228</v>
      </c>
      <c r="M221" s="802"/>
      <c r="N221" s="803">
        <v>90871</v>
      </c>
      <c r="O221" s="803">
        <v>838783</v>
      </c>
      <c r="P221" s="803">
        <v>0</v>
      </c>
      <c r="Q221" s="802">
        <v>1343</v>
      </c>
      <c r="R221" s="802"/>
      <c r="S221" s="803">
        <v>693146</v>
      </c>
      <c r="T221" s="804">
        <v>25416</v>
      </c>
      <c r="U221" s="804">
        <v>718562</v>
      </c>
    </row>
    <row r="222" spans="1:21" x14ac:dyDescent="0.25">
      <c r="A222" s="799">
        <v>92327</v>
      </c>
      <c r="B222" s="800" t="s">
        <v>2841</v>
      </c>
      <c r="C222" s="801">
        <v>7.6000000000000001E-6</v>
      </c>
      <c r="D222" s="801">
        <v>7.7999999999999999E-6</v>
      </c>
      <c r="E222" s="802">
        <v>5004.42</v>
      </c>
      <c r="F222" s="802">
        <v>3501</v>
      </c>
      <c r="G222" s="802">
        <v>16130</v>
      </c>
      <c r="H222" s="802"/>
      <c r="I222" s="803">
        <v>303.05</v>
      </c>
      <c r="J222" s="803">
        <v>14135</v>
      </c>
      <c r="K222" s="803">
        <v>1105</v>
      </c>
      <c r="L222" s="802">
        <v>2630</v>
      </c>
      <c r="M222" s="802"/>
      <c r="N222" s="803">
        <v>565</v>
      </c>
      <c r="O222" s="803">
        <v>5217</v>
      </c>
      <c r="P222" s="803">
        <v>0</v>
      </c>
      <c r="Q222" s="802">
        <v>0</v>
      </c>
      <c r="R222" s="802"/>
      <c r="S222" s="803">
        <v>4311</v>
      </c>
      <c r="T222" s="804">
        <v>853</v>
      </c>
      <c r="U222" s="804">
        <v>5165</v>
      </c>
    </row>
    <row r="223" spans="1:21" x14ac:dyDescent="0.25">
      <c r="A223" s="799">
        <v>92331</v>
      </c>
      <c r="B223" s="800" t="s">
        <v>2842</v>
      </c>
      <c r="C223" s="801">
        <v>1.393E-4</v>
      </c>
      <c r="D223" s="801">
        <v>1.4789999999999999E-4</v>
      </c>
      <c r="E223" s="802">
        <v>54278.720000000001</v>
      </c>
      <c r="F223" s="802">
        <v>66377</v>
      </c>
      <c r="G223" s="802">
        <v>295641</v>
      </c>
      <c r="H223" s="802"/>
      <c r="I223" s="803">
        <v>5555</v>
      </c>
      <c r="J223" s="803">
        <v>259076</v>
      </c>
      <c r="K223" s="803">
        <v>20249</v>
      </c>
      <c r="L223" s="802">
        <v>3725</v>
      </c>
      <c r="M223" s="802"/>
      <c r="N223" s="803">
        <v>10360</v>
      </c>
      <c r="O223" s="803">
        <v>95624</v>
      </c>
      <c r="P223" s="803">
        <v>0</v>
      </c>
      <c r="Q223" s="802">
        <v>7047</v>
      </c>
      <c r="R223" s="802"/>
      <c r="S223" s="803">
        <v>79021</v>
      </c>
      <c r="T223" s="804">
        <v>-171</v>
      </c>
      <c r="U223" s="804">
        <v>78850</v>
      </c>
    </row>
    <row r="224" spans="1:21" x14ac:dyDescent="0.25">
      <c r="A224" s="799">
        <v>92341</v>
      </c>
      <c r="B224" s="800" t="s">
        <v>2843</v>
      </c>
      <c r="C224" s="801">
        <v>7.9000000000000006E-6</v>
      </c>
      <c r="D224" s="801">
        <v>6.3999999999999997E-6</v>
      </c>
      <c r="E224" s="802">
        <v>2572</v>
      </c>
      <c r="F224" s="802">
        <v>2872</v>
      </c>
      <c r="G224" s="802">
        <v>16766</v>
      </c>
      <c r="H224" s="802"/>
      <c r="I224" s="803">
        <v>315</v>
      </c>
      <c r="J224" s="803">
        <v>14693</v>
      </c>
      <c r="K224" s="803">
        <v>1148</v>
      </c>
      <c r="L224" s="802">
        <v>478</v>
      </c>
      <c r="M224" s="802"/>
      <c r="N224" s="803">
        <v>588</v>
      </c>
      <c r="O224" s="803">
        <v>5423</v>
      </c>
      <c r="P224" s="803">
        <v>0</v>
      </c>
      <c r="Q224" s="802">
        <v>3063</v>
      </c>
      <c r="R224" s="802"/>
      <c r="S224" s="803">
        <v>4481</v>
      </c>
      <c r="T224" s="804">
        <v>-913</v>
      </c>
      <c r="U224" s="804">
        <v>3568</v>
      </c>
    </row>
    <row r="225" spans="1:21" x14ac:dyDescent="0.25">
      <c r="A225" s="799">
        <v>92351</v>
      </c>
      <c r="B225" s="800" t="s">
        <v>2844</v>
      </c>
      <c r="C225" s="801">
        <v>1.95E-5</v>
      </c>
      <c r="D225" s="801">
        <v>2.8399999999999999E-5</v>
      </c>
      <c r="E225" s="802">
        <v>8512</v>
      </c>
      <c r="F225" s="802">
        <v>12746</v>
      </c>
      <c r="G225" s="802">
        <v>41386</v>
      </c>
      <c r="H225" s="802"/>
      <c r="I225" s="803">
        <v>777.5625</v>
      </c>
      <c r="J225" s="803">
        <v>36267</v>
      </c>
      <c r="K225" s="803">
        <v>2835</v>
      </c>
      <c r="L225" s="802">
        <v>1156.19</v>
      </c>
      <c r="M225" s="802"/>
      <c r="N225" s="803">
        <v>1450</v>
      </c>
      <c r="O225" s="803">
        <v>13386</v>
      </c>
      <c r="P225" s="803">
        <v>0</v>
      </c>
      <c r="Q225" s="802">
        <v>5799</v>
      </c>
      <c r="R225" s="802"/>
      <c r="S225" s="803">
        <v>11062</v>
      </c>
      <c r="T225" s="804">
        <v>-1052</v>
      </c>
      <c r="U225" s="804">
        <v>10010</v>
      </c>
    </row>
    <row r="226" spans="1:21" x14ac:dyDescent="0.25">
      <c r="A226" s="799">
        <v>92401</v>
      </c>
      <c r="B226" s="800" t="s">
        <v>2845</v>
      </c>
      <c r="C226" s="801">
        <v>2.7449000000000002E-3</v>
      </c>
      <c r="D226" s="801">
        <v>2.7921999999999999E-3</v>
      </c>
      <c r="E226" s="802">
        <v>1162719</v>
      </c>
      <c r="F226" s="802">
        <v>1253123</v>
      </c>
      <c r="G226" s="802">
        <v>5825597</v>
      </c>
      <c r="H226" s="802"/>
      <c r="I226" s="803">
        <v>109453</v>
      </c>
      <c r="J226" s="803">
        <v>5105080</v>
      </c>
      <c r="K226" s="803">
        <v>399001</v>
      </c>
      <c r="L226" s="802">
        <v>33227</v>
      </c>
      <c r="M226" s="802"/>
      <c r="N226" s="803">
        <v>204135</v>
      </c>
      <c r="O226" s="803">
        <v>1884259</v>
      </c>
      <c r="P226" s="803">
        <v>0</v>
      </c>
      <c r="Q226" s="802">
        <v>5343</v>
      </c>
      <c r="R226" s="802"/>
      <c r="S226" s="803">
        <v>1557097</v>
      </c>
      <c r="T226" s="804">
        <v>14486</v>
      </c>
      <c r="U226" s="804">
        <v>1571583</v>
      </c>
    </row>
    <row r="227" spans="1:21" x14ac:dyDescent="0.25">
      <c r="A227" s="799">
        <v>92403</v>
      </c>
      <c r="B227" s="800" t="s">
        <v>2846</v>
      </c>
      <c r="C227" s="801">
        <v>9.7999999999999993E-6</v>
      </c>
      <c r="D227" s="801">
        <v>1.59E-5</v>
      </c>
      <c r="E227" s="802">
        <v>5969</v>
      </c>
      <c r="F227" s="802">
        <v>7136</v>
      </c>
      <c r="G227" s="802">
        <v>20799</v>
      </c>
      <c r="H227" s="802"/>
      <c r="I227" s="803">
        <v>390.77499999999998</v>
      </c>
      <c r="J227" s="803">
        <v>18226</v>
      </c>
      <c r="K227" s="803">
        <v>1425</v>
      </c>
      <c r="L227" s="802">
        <v>564</v>
      </c>
      <c r="M227" s="802"/>
      <c r="N227" s="803">
        <v>729</v>
      </c>
      <c r="O227" s="803">
        <v>6727</v>
      </c>
      <c r="P227" s="803">
        <v>0</v>
      </c>
      <c r="Q227" s="802">
        <v>1764</v>
      </c>
      <c r="R227" s="802"/>
      <c r="S227" s="803">
        <v>5559</v>
      </c>
      <c r="T227" s="804">
        <v>-243</v>
      </c>
      <c r="U227" s="804">
        <v>5317</v>
      </c>
    </row>
    <row r="228" spans="1:21" x14ac:dyDescent="0.25">
      <c r="A228" s="799">
        <v>92411</v>
      </c>
      <c r="B228" s="800" t="s">
        <v>2847</v>
      </c>
      <c r="C228" s="801">
        <v>4.8030000000000002E-4</v>
      </c>
      <c r="D228" s="801">
        <v>5.2820000000000005E-4</v>
      </c>
      <c r="E228" s="802">
        <v>173749.71</v>
      </c>
      <c r="F228" s="802">
        <v>237053</v>
      </c>
      <c r="G228" s="802">
        <v>1019358</v>
      </c>
      <c r="H228" s="802"/>
      <c r="I228" s="803">
        <v>19152</v>
      </c>
      <c r="J228" s="803">
        <v>893282</v>
      </c>
      <c r="K228" s="803">
        <v>69817</v>
      </c>
      <c r="L228" s="802">
        <v>572</v>
      </c>
      <c r="M228" s="802"/>
      <c r="N228" s="803">
        <v>35719</v>
      </c>
      <c r="O228" s="803">
        <v>329706</v>
      </c>
      <c r="P228" s="803">
        <v>0</v>
      </c>
      <c r="Q228" s="802">
        <v>54750</v>
      </c>
      <c r="R228" s="802"/>
      <c r="S228" s="803">
        <v>272459</v>
      </c>
      <c r="T228" s="804">
        <v>-16396</v>
      </c>
      <c r="U228" s="804">
        <v>256063</v>
      </c>
    </row>
    <row r="229" spans="1:21" x14ac:dyDescent="0.25">
      <c r="A229" s="799">
        <v>92414</v>
      </c>
      <c r="B229" s="800" t="s">
        <v>1373</v>
      </c>
      <c r="C229" s="801">
        <v>0</v>
      </c>
      <c r="D229" s="801">
        <v>9.7999999999999993E-6</v>
      </c>
      <c r="E229" s="802">
        <v>0</v>
      </c>
      <c r="F229" s="802">
        <v>4398</v>
      </c>
      <c r="G229" s="802">
        <v>0</v>
      </c>
      <c r="H229" s="802"/>
      <c r="I229" s="803">
        <v>0</v>
      </c>
      <c r="J229" s="803">
        <v>0</v>
      </c>
      <c r="K229" s="803">
        <v>0</v>
      </c>
      <c r="L229" s="802">
        <v>0</v>
      </c>
      <c r="M229" s="802"/>
      <c r="N229" s="803">
        <v>0</v>
      </c>
      <c r="O229" s="803">
        <v>0</v>
      </c>
      <c r="P229" s="803">
        <v>0</v>
      </c>
      <c r="Q229" s="802">
        <v>8157</v>
      </c>
      <c r="R229" s="802"/>
      <c r="S229" s="803">
        <v>0</v>
      </c>
      <c r="T229" s="804">
        <v>-2445</v>
      </c>
      <c r="U229" s="804">
        <v>-2445</v>
      </c>
    </row>
    <row r="230" spans="1:21" x14ac:dyDescent="0.25">
      <c r="A230" s="799">
        <v>92417</v>
      </c>
      <c r="B230" s="800" t="s">
        <v>2848</v>
      </c>
      <c r="C230" s="801">
        <v>1.77E-5</v>
      </c>
      <c r="D230" s="801">
        <v>1.6699999999999999E-5</v>
      </c>
      <c r="E230" s="802">
        <v>5354.85</v>
      </c>
      <c r="F230" s="802">
        <v>7495</v>
      </c>
      <c r="G230" s="802">
        <v>37565</v>
      </c>
      <c r="H230" s="802"/>
      <c r="I230" s="803">
        <v>705.78750000000002</v>
      </c>
      <c r="J230" s="803">
        <v>32919</v>
      </c>
      <c r="K230" s="803">
        <v>2573</v>
      </c>
      <c r="L230" s="802">
        <v>0</v>
      </c>
      <c r="M230" s="802"/>
      <c r="N230" s="803">
        <v>1316</v>
      </c>
      <c r="O230" s="803">
        <v>12150</v>
      </c>
      <c r="P230" s="803">
        <v>0</v>
      </c>
      <c r="Q230" s="802">
        <v>1694</v>
      </c>
      <c r="R230" s="802"/>
      <c r="S230" s="803">
        <v>10041</v>
      </c>
      <c r="T230" s="804">
        <v>-509</v>
      </c>
      <c r="U230" s="804">
        <v>9531</v>
      </c>
    </row>
    <row r="231" spans="1:21" x14ac:dyDescent="0.25">
      <c r="A231" s="799">
        <v>92421</v>
      </c>
      <c r="B231" s="800" t="s">
        <v>2849</v>
      </c>
      <c r="C231" s="801">
        <v>9.0000000000000002E-6</v>
      </c>
      <c r="D231" s="801">
        <v>1.98E-5</v>
      </c>
      <c r="E231" s="802">
        <v>9114.76</v>
      </c>
      <c r="F231" s="802">
        <v>8886</v>
      </c>
      <c r="G231" s="802">
        <v>19101</v>
      </c>
      <c r="H231" s="802"/>
      <c r="I231" s="803">
        <v>358.875</v>
      </c>
      <c r="J231" s="803">
        <v>16739</v>
      </c>
      <c r="K231" s="803">
        <v>1308</v>
      </c>
      <c r="L231" s="802">
        <v>1510</v>
      </c>
      <c r="M231" s="802"/>
      <c r="N231" s="803">
        <v>669</v>
      </c>
      <c r="O231" s="803">
        <v>6178</v>
      </c>
      <c r="P231" s="803">
        <v>0</v>
      </c>
      <c r="Q231" s="802">
        <v>1551</v>
      </c>
      <c r="R231" s="802"/>
      <c r="S231" s="803">
        <v>5105</v>
      </c>
      <c r="T231" s="804">
        <v>261</v>
      </c>
      <c r="U231" s="804">
        <v>5366</v>
      </c>
    </row>
    <row r="232" spans="1:21" x14ac:dyDescent="0.25">
      <c r="A232" s="799">
        <v>92427</v>
      </c>
      <c r="B232" s="800" t="s">
        <v>2850</v>
      </c>
      <c r="C232" s="801">
        <v>6.9999999999999997E-7</v>
      </c>
      <c r="D232" s="801">
        <v>8.9999999999999996E-7</v>
      </c>
      <c r="E232" s="802">
        <v>1425.53</v>
      </c>
      <c r="F232" s="802">
        <v>404</v>
      </c>
      <c r="G232" s="802">
        <v>1486</v>
      </c>
      <c r="H232" s="802"/>
      <c r="I232" s="803">
        <v>28</v>
      </c>
      <c r="J232" s="803">
        <v>1302</v>
      </c>
      <c r="K232" s="803">
        <v>102</v>
      </c>
      <c r="L232" s="802">
        <v>1812</v>
      </c>
      <c r="M232" s="802"/>
      <c r="N232" s="803">
        <v>52</v>
      </c>
      <c r="O232" s="803">
        <v>481</v>
      </c>
      <c r="P232" s="803">
        <v>0</v>
      </c>
      <c r="Q232" s="802">
        <v>0</v>
      </c>
      <c r="R232" s="802"/>
      <c r="S232" s="803">
        <v>397</v>
      </c>
      <c r="T232" s="804">
        <v>636</v>
      </c>
      <c r="U232" s="804">
        <v>1033</v>
      </c>
    </row>
    <row r="233" spans="1:21" x14ac:dyDescent="0.25">
      <c r="A233" s="799">
        <v>92431</v>
      </c>
      <c r="B233" s="800" t="s">
        <v>2851</v>
      </c>
      <c r="C233" s="801">
        <v>1.8499999999999999E-5</v>
      </c>
      <c r="D233" s="801">
        <v>4.0800000000000002E-5</v>
      </c>
      <c r="E233" s="802">
        <v>17502.95</v>
      </c>
      <c r="F233" s="802">
        <v>18311</v>
      </c>
      <c r="G233" s="802">
        <v>39263</v>
      </c>
      <c r="H233" s="802"/>
      <c r="I233" s="803">
        <v>737.6875</v>
      </c>
      <c r="J233" s="803">
        <v>34407</v>
      </c>
      <c r="K233" s="803">
        <v>2689</v>
      </c>
      <c r="L233" s="802">
        <v>6093</v>
      </c>
      <c r="M233" s="802"/>
      <c r="N233" s="803">
        <v>1376</v>
      </c>
      <c r="O233" s="803">
        <v>12699</v>
      </c>
      <c r="P233" s="803">
        <v>0</v>
      </c>
      <c r="Q233" s="802">
        <v>5505</v>
      </c>
      <c r="R233" s="802"/>
      <c r="S233" s="803">
        <v>10494</v>
      </c>
      <c r="T233" s="804">
        <v>422</v>
      </c>
      <c r="U233" s="804">
        <v>10917</v>
      </c>
    </row>
    <row r="234" spans="1:21" x14ac:dyDescent="0.25">
      <c r="A234" s="799">
        <v>92441</v>
      </c>
      <c r="B234" s="800" t="s">
        <v>2852</v>
      </c>
      <c r="C234" s="801">
        <v>9.2299999999999994E-5</v>
      </c>
      <c r="D234" s="801">
        <v>1.0170000000000001E-4</v>
      </c>
      <c r="E234" s="802">
        <v>38127.360000000001</v>
      </c>
      <c r="F234" s="802">
        <v>45642</v>
      </c>
      <c r="G234" s="802">
        <v>195892</v>
      </c>
      <c r="H234" s="802"/>
      <c r="I234" s="803">
        <v>3680</v>
      </c>
      <c r="J234" s="803">
        <v>171663</v>
      </c>
      <c r="K234" s="803">
        <v>13417</v>
      </c>
      <c r="L234" s="802">
        <v>0</v>
      </c>
      <c r="M234" s="802"/>
      <c r="N234" s="803">
        <v>6864</v>
      </c>
      <c r="O234" s="803">
        <v>63360</v>
      </c>
      <c r="P234" s="803">
        <v>0</v>
      </c>
      <c r="Q234" s="802">
        <v>12688</v>
      </c>
      <c r="R234" s="802"/>
      <c r="S234" s="803">
        <v>52359</v>
      </c>
      <c r="T234" s="804">
        <v>-5069</v>
      </c>
      <c r="U234" s="804">
        <v>47290</v>
      </c>
    </row>
    <row r="235" spans="1:21" x14ac:dyDescent="0.25">
      <c r="A235" s="799">
        <v>92444</v>
      </c>
      <c r="B235" s="800" t="s">
        <v>2853</v>
      </c>
      <c r="C235" s="801">
        <v>1.9999999999999999E-6</v>
      </c>
      <c r="D235" s="801">
        <v>1.7999999999999999E-6</v>
      </c>
      <c r="E235" s="802">
        <v>1966</v>
      </c>
      <c r="F235" s="802">
        <v>808</v>
      </c>
      <c r="G235" s="802">
        <v>4244.67</v>
      </c>
      <c r="H235" s="802"/>
      <c r="I235" s="803">
        <v>79.75</v>
      </c>
      <c r="J235" s="803">
        <v>3720</v>
      </c>
      <c r="K235" s="803">
        <v>291</v>
      </c>
      <c r="L235" s="802">
        <v>2653</v>
      </c>
      <c r="M235" s="802"/>
      <c r="N235" s="803">
        <v>149</v>
      </c>
      <c r="O235" s="803">
        <v>1373</v>
      </c>
      <c r="P235" s="803">
        <v>0</v>
      </c>
      <c r="Q235" s="802">
        <v>0</v>
      </c>
      <c r="R235" s="802"/>
      <c r="S235" s="803">
        <v>1135</v>
      </c>
      <c r="T235" s="804">
        <v>971</v>
      </c>
      <c r="U235" s="804">
        <v>2106</v>
      </c>
    </row>
    <row r="236" spans="1:21" x14ac:dyDescent="0.25">
      <c r="A236" s="799">
        <v>92451</v>
      </c>
      <c r="B236" s="800" t="s">
        <v>2854</v>
      </c>
      <c r="C236" s="801">
        <v>1.4559999999999999E-4</v>
      </c>
      <c r="D236" s="801">
        <v>1.132E-4</v>
      </c>
      <c r="E236" s="802">
        <v>67281</v>
      </c>
      <c r="F236" s="802">
        <v>50803</v>
      </c>
      <c r="G236" s="802">
        <v>309012</v>
      </c>
      <c r="H236" s="802"/>
      <c r="I236" s="803">
        <v>5806</v>
      </c>
      <c r="J236" s="803">
        <v>270793</v>
      </c>
      <c r="K236" s="803">
        <v>21165</v>
      </c>
      <c r="L236" s="802">
        <v>36170</v>
      </c>
      <c r="M236" s="802"/>
      <c r="N236" s="803">
        <v>10828</v>
      </c>
      <c r="O236" s="803">
        <v>99948</v>
      </c>
      <c r="P236" s="803">
        <v>0</v>
      </c>
      <c r="Q236" s="802">
        <v>0</v>
      </c>
      <c r="R236" s="802"/>
      <c r="S236" s="803">
        <v>82594</v>
      </c>
      <c r="T236" s="804">
        <v>11273</v>
      </c>
      <c r="U236" s="804">
        <v>93868</v>
      </c>
    </row>
    <row r="237" spans="1:21" x14ac:dyDescent="0.25">
      <c r="A237" s="799">
        <v>92461</v>
      </c>
      <c r="B237" s="800" t="s">
        <v>2855</v>
      </c>
      <c r="C237" s="801">
        <v>7.2999999999999999E-5</v>
      </c>
      <c r="D237" s="801">
        <v>6.3499999999999999E-5</v>
      </c>
      <c r="E237" s="802">
        <v>36576</v>
      </c>
      <c r="F237" s="802">
        <v>28498</v>
      </c>
      <c r="G237" s="802">
        <v>154930</v>
      </c>
      <c r="H237" s="802"/>
      <c r="I237" s="803">
        <v>2910.875</v>
      </c>
      <c r="J237" s="803">
        <v>135768</v>
      </c>
      <c r="K237" s="803">
        <v>10611</v>
      </c>
      <c r="L237" s="802">
        <v>10353</v>
      </c>
      <c r="M237" s="802"/>
      <c r="N237" s="803">
        <v>5429</v>
      </c>
      <c r="O237" s="803">
        <v>50111</v>
      </c>
      <c r="P237" s="803">
        <v>0</v>
      </c>
      <c r="Q237" s="802">
        <v>7817</v>
      </c>
      <c r="R237" s="802"/>
      <c r="S237" s="803">
        <v>41411</v>
      </c>
      <c r="T237" s="804">
        <v>-170</v>
      </c>
      <c r="U237" s="804">
        <v>41240</v>
      </c>
    </row>
    <row r="238" spans="1:21" x14ac:dyDescent="0.25">
      <c r="A238" s="799">
        <v>92501</v>
      </c>
      <c r="B238" s="800" t="s">
        <v>2856</v>
      </c>
      <c r="C238" s="801">
        <v>3.8141E-3</v>
      </c>
      <c r="D238" s="801">
        <v>3.8955999999999999E-3</v>
      </c>
      <c r="E238" s="802">
        <v>1660692.83</v>
      </c>
      <c r="F238" s="802">
        <v>1748322</v>
      </c>
      <c r="G238" s="802">
        <v>8094798</v>
      </c>
      <c r="H238" s="802"/>
      <c r="I238" s="803">
        <v>152087</v>
      </c>
      <c r="J238" s="803">
        <v>7093623</v>
      </c>
      <c r="K238" s="803">
        <v>554421</v>
      </c>
      <c r="L238" s="802">
        <v>65347</v>
      </c>
      <c r="M238" s="802"/>
      <c r="N238" s="803">
        <v>283651</v>
      </c>
      <c r="O238" s="803">
        <v>2618219</v>
      </c>
      <c r="P238" s="803">
        <v>0</v>
      </c>
      <c r="Q238" s="802">
        <v>13995</v>
      </c>
      <c r="R238" s="802"/>
      <c r="S238" s="803">
        <v>2163621</v>
      </c>
      <c r="T238" s="804">
        <v>20802</v>
      </c>
      <c r="U238" s="804">
        <v>2184422</v>
      </c>
    </row>
    <row r="239" spans="1:21" x14ac:dyDescent="0.25">
      <c r="A239" s="799">
        <v>92502</v>
      </c>
      <c r="B239" s="800" t="s">
        <v>2857</v>
      </c>
      <c r="C239" s="801">
        <v>2.8799999999999999E-5</v>
      </c>
      <c r="D239" s="801">
        <v>2.1399999999999998E-5</v>
      </c>
      <c r="E239" s="802">
        <v>12881</v>
      </c>
      <c r="F239" s="802">
        <v>9604</v>
      </c>
      <c r="G239" s="802">
        <v>61123</v>
      </c>
      <c r="H239" s="802"/>
      <c r="I239" s="803">
        <v>1148</v>
      </c>
      <c r="J239" s="803">
        <v>53563</v>
      </c>
      <c r="K239" s="803">
        <v>4186</v>
      </c>
      <c r="L239" s="802">
        <v>4833</v>
      </c>
      <c r="M239" s="802"/>
      <c r="N239" s="803">
        <v>2142</v>
      </c>
      <c r="O239" s="803">
        <v>19770</v>
      </c>
      <c r="P239" s="803">
        <v>0</v>
      </c>
      <c r="Q239" s="802">
        <v>3509</v>
      </c>
      <c r="R239" s="802"/>
      <c r="S239" s="803">
        <v>16337</v>
      </c>
      <c r="T239" s="804">
        <v>-103</v>
      </c>
      <c r="U239" s="804">
        <v>16234</v>
      </c>
    </row>
    <row r="240" spans="1:21" x14ac:dyDescent="0.25">
      <c r="A240" s="799">
        <v>92504</v>
      </c>
      <c r="B240" s="800" t="s">
        <v>2858</v>
      </c>
      <c r="C240" s="801">
        <v>7.2799999999999994E-5</v>
      </c>
      <c r="D240" s="801">
        <v>7.3499999999999998E-5</v>
      </c>
      <c r="E240" s="802">
        <v>38689</v>
      </c>
      <c r="F240" s="802">
        <v>32986</v>
      </c>
      <c r="G240" s="802">
        <v>154506</v>
      </c>
      <c r="H240" s="802"/>
      <c r="I240" s="803">
        <v>2903</v>
      </c>
      <c r="J240" s="803">
        <v>135396</v>
      </c>
      <c r="K240" s="803">
        <v>10582</v>
      </c>
      <c r="L240" s="802">
        <v>18501</v>
      </c>
      <c r="M240" s="802"/>
      <c r="N240" s="803">
        <v>5414</v>
      </c>
      <c r="O240" s="803">
        <v>49974</v>
      </c>
      <c r="P240" s="803">
        <v>0</v>
      </c>
      <c r="Q240" s="802">
        <v>54</v>
      </c>
      <c r="R240" s="802"/>
      <c r="S240" s="803">
        <v>41297</v>
      </c>
      <c r="T240" s="804">
        <v>5906</v>
      </c>
      <c r="U240" s="804">
        <v>47203</v>
      </c>
    </row>
    <row r="241" spans="1:21" x14ac:dyDescent="0.25">
      <c r="A241" s="799">
        <v>92505</v>
      </c>
      <c r="B241" s="800" t="s">
        <v>2859</v>
      </c>
      <c r="C241" s="801">
        <v>1.8709999999999999E-4</v>
      </c>
      <c r="D241" s="801">
        <v>1.9699999999999999E-4</v>
      </c>
      <c r="E241" s="802">
        <v>106739.73</v>
      </c>
      <c r="F241" s="802">
        <v>88412</v>
      </c>
      <c r="G241" s="802">
        <v>397089</v>
      </c>
      <c r="H241" s="802"/>
      <c r="I241" s="803">
        <v>7461</v>
      </c>
      <c r="J241" s="803">
        <v>347976</v>
      </c>
      <c r="K241" s="803">
        <v>27197</v>
      </c>
      <c r="L241" s="802">
        <v>47178</v>
      </c>
      <c r="M241" s="802"/>
      <c r="N241" s="803">
        <v>13914</v>
      </c>
      <c r="O241" s="803">
        <v>128436</v>
      </c>
      <c r="P241" s="803">
        <v>0</v>
      </c>
      <c r="Q241" s="802">
        <v>0</v>
      </c>
      <c r="R241" s="802"/>
      <c r="S241" s="803">
        <v>106136</v>
      </c>
      <c r="T241" s="804">
        <v>16270</v>
      </c>
      <c r="U241" s="804">
        <v>122406</v>
      </c>
    </row>
    <row r="242" spans="1:21" x14ac:dyDescent="0.25">
      <c r="A242" s="799">
        <v>92506</v>
      </c>
      <c r="B242" s="800" t="s">
        <v>2860</v>
      </c>
      <c r="C242" s="801">
        <v>4.3699999999999998E-5</v>
      </c>
      <c r="D242" s="801">
        <v>3.8999999999999999E-5</v>
      </c>
      <c r="E242" s="802">
        <v>23626</v>
      </c>
      <c r="F242" s="802">
        <v>17503</v>
      </c>
      <c r="G242" s="802">
        <v>92746</v>
      </c>
      <c r="H242" s="802"/>
      <c r="I242" s="803">
        <v>1743</v>
      </c>
      <c r="J242" s="803">
        <v>81275</v>
      </c>
      <c r="K242" s="803">
        <v>6352</v>
      </c>
      <c r="L242" s="802">
        <v>17344</v>
      </c>
      <c r="M242" s="802"/>
      <c r="N242" s="803">
        <v>3250</v>
      </c>
      <c r="O242" s="803">
        <v>29998</v>
      </c>
      <c r="P242" s="803">
        <v>0</v>
      </c>
      <c r="Q242" s="802">
        <v>0</v>
      </c>
      <c r="R242" s="802"/>
      <c r="S242" s="803">
        <v>24790</v>
      </c>
      <c r="T242" s="804">
        <v>5809</v>
      </c>
      <c r="U242" s="804">
        <v>30599</v>
      </c>
    </row>
    <row r="243" spans="1:21" x14ac:dyDescent="0.25">
      <c r="A243" s="799">
        <v>92507</v>
      </c>
      <c r="B243" s="800" t="s">
        <v>2861</v>
      </c>
      <c r="C243" s="801">
        <v>7.6799999999999997E-5</v>
      </c>
      <c r="D243" s="801">
        <v>1.032E-4</v>
      </c>
      <c r="E243" s="802">
        <v>33480.47</v>
      </c>
      <c r="F243" s="802">
        <v>46316</v>
      </c>
      <c r="G243" s="802">
        <v>162995</v>
      </c>
      <c r="H243" s="802"/>
      <c r="I243" s="803">
        <v>3062</v>
      </c>
      <c r="J243" s="803">
        <v>142836</v>
      </c>
      <c r="K243" s="803">
        <v>11164</v>
      </c>
      <c r="L243" s="802">
        <v>348</v>
      </c>
      <c r="M243" s="802"/>
      <c r="N243" s="803">
        <v>5712</v>
      </c>
      <c r="O243" s="803">
        <v>52720</v>
      </c>
      <c r="P243" s="803">
        <v>0</v>
      </c>
      <c r="Q243" s="802">
        <v>22450</v>
      </c>
      <c r="R243" s="802"/>
      <c r="S243" s="803">
        <v>43566</v>
      </c>
      <c r="T243" s="804">
        <v>-8043</v>
      </c>
      <c r="U243" s="804">
        <v>35523</v>
      </c>
    </row>
    <row r="244" spans="1:21" x14ac:dyDescent="0.25">
      <c r="A244" s="799">
        <v>92508</v>
      </c>
      <c r="B244" s="800" t="s">
        <v>2862</v>
      </c>
      <c r="C244" s="801">
        <v>3.1930000000000001E-4</v>
      </c>
      <c r="D244" s="801">
        <v>3.2959999999999999E-4</v>
      </c>
      <c r="E244" s="802">
        <v>135945</v>
      </c>
      <c r="F244" s="802">
        <v>147923</v>
      </c>
      <c r="G244" s="802">
        <v>677662</v>
      </c>
      <c r="H244" s="802"/>
      <c r="I244" s="803">
        <v>12732</v>
      </c>
      <c r="J244" s="803">
        <v>593848</v>
      </c>
      <c r="K244" s="803">
        <v>46414</v>
      </c>
      <c r="L244" s="802">
        <v>7876</v>
      </c>
      <c r="M244" s="802"/>
      <c r="N244" s="803">
        <v>23746</v>
      </c>
      <c r="O244" s="803">
        <v>219186</v>
      </c>
      <c r="P244" s="803">
        <v>0</v>
      </c>
      <c r="Q244" s="802">
        <v>1898</v>
      </c>
      <c r="R244" s="802"/>
      <c r="S244" s="803">
        <v>181129</v>
      </c>
      <c r="T244" s="804">
        <v>3029</v>
      </c>
      <c r="U244" s="804">
        <v>184158</v>
      </c>
    </row>
    <row r="245" spans="1:21" x14ac:dyDescent="0.25">
      <c r="A245" s="799">
        <v>92509</v>
      </c>
      <c r="B245" s="800" t="s">
        <v>2863</v>
      </c>
      <c r="C245" s="801">
        <v>0</v>
      </c>
      <c r="D245" s="801">
        <v>2.1614E-3</v>
      </c>
      <c r="E245" s="802">
        <v>0</v>
      </c>
      <c r="F245" s="802">
        <v>970023</v>
      </c>
      <c r="G245" s="802">
        <v>0</v>
      </c>
      <c r="H245" s="802"/>
      <c r="I245" s="803">
        <v>0</v>
      </c>
      <c r="J245" s="803">
        <v>0</v>
      </c>
      <c r="K245" s="803">
        <v>0</v>
      </c>
      <c r="L245" s="802">
        <v>166634</v>
      </c>
      <c r="M245" s="802"/>
      <c r="N245" s="803">
        <v>0</v>
      </c>
      <c r="O245" s="803">
        <v>0</v>
      </c>
      <c r="P245" s="803">
        <v>0</v>
      </c>
      <c r="Q245" s="802">
        <v>1170867</v>
      </c>
      <c r="R245" s="802"/>
      <c r="S245" s="803">
        <v>0</v>
      </c>
      <c r="T245" s="804">
        <v>-223763</v>
      </c>
      <c r="U245" s="804">
        <v>-223763</v>
      </c>
    </row>
    <row r="246" spans="1:21" x14ac:dyDescent="0.25">
      <c r="A246" s="799">
        <v>92511</v>
      </c>
      <c r="B246" s="800" t="s">
        <v>2864</v>
      </c>
      <c r="C246" s="801">
        <v>3.4164E-3</v>
      </c>
      <c r="D246" s="801">
        <v>3.6713000000000002E-3</v>
      </c>
      <c r="E246" s="802">
        <v>1353009</v>
      </c>
      <c r="F246" s="802">
        <v>1647657</v>
      </c>
      <c r="G246" s="802">
        <v>7250745</v>
      </c>
      <c r="H246" s="802"/>
      <c r="I246" s="803">
        <v>136229</v>
      </c>
      <c r="J246" s="803">
        <v>6353964</v>
      </c>
      <c r="K246" s="803">
        <v>496611</v>
      </c>
      <c r="L246" s="802">
        <v>24415.31</v>
      </c>
      <c r="M246" s="802"/>
      <c r="N246" s="803">
        <v>254074</v>
      </c>
      <c r="O246" s="803">
        <v>2345215</v>
      </c>
      <c r="P246" s="803">
        <v>0</v>
      </c>
      <c r="Q246" s="802">
        <v>243809</v>
      </c>
      <c r="R246" s="802"/>
      <c r="S246" s="803">
        <v>1938018</v>
      </c>
      <c r="T246" s="804">
        <v>-57052</v>
      </c>
      <c r="U246" s="804">
        <v>1880965</v>
      </c>
    </row>
    <row r="247" spans="1:21" x14ac:dyDescent="0.25">
      <c r="A247" s="799">
        <v>92513</v>
      </c>
      <c r="B247" s="800" t="s">
        <v>2865</v>
      </c>
      <c r="C247" s="801">
        <v>3.9753000000000002E-3</v>
      </c>
      <c r="D247" s="801">
        <v>0</v>
      </c>
      <c r="E247" s="802">
        <v>1441013</v>
      </c>
      <c r="F247" s="802">
        <v>0</v>
      </c>
      <c r="G247" s="802">
        <v>8436918</v>
      </c>
      <c r="H247" s="802"/>
      <c r="I247" s="803">
        <v>158515</v>
      </c>
      <c r="J247" s="803">
        <v>7393430</v>
      </c>
      <c r="K247" s="803">
        <v>577854</v>
      </c>
      <c r="L247" s="802">
        <v>1999562</v>
      </c>
      <c r="M247" s="802"/>
      <c r="N247" s="803">
        <v>295639</v>
      </c>
      <c r="O247" s="803">
        <v>2728876</v>
      </c>
      <c r="P247" s="803">
        <v>0</v>
      </c>
      <c r="Q247" s="802">
        <v>0</v>
      </c>
      <c r="R247" s="802"/>
      <c r="S247" s="803">
        <v>2255064</v>
      </c>
      <c r="T247" s="804">
        <v>518021</v>
      </c>
      <c r="U247" s="804">
        <v>2773086</v>
      </c>
    </row>
    <row r="248" spans="1:21" x14ac:dyDescent="0.25">
      <c r="A248" s="799">
        <v>92521</v>
      </c>
      <c r="B248" s="800" t="s">
        <v>2866</v>
      </c>
      <c r="C248" s="801">
        <v>8.9800000000000001E-5</v>
      </c>
      <c r="D248" s="801">
        <v>9.59E-5</v>
      </c>
      <c r="E248" s="802">
        <v>32294.23</v>
      </c>
      <c r="F248" s="802">
        <v>43039</v>
      </c>
      <c r="G248" s="802">
        <v>190586</v>
      </c>
      <c r="H248" s="802"/>
      <c r="I248" s="803">
        <v>3581</v>
      </c>
      <c r="J248" s="803">
        <v>167014</v>
      </c>
      <c r="K248" s="803">
        <v>13053</v>
      </c>
      <c r="L248" s="802">
        <v>4908</v>
      </c>
      <c r="M248" s="802"/>
      <c r="N248" s="803">
        <v>6678</v>
      </c>
      <c r="O248" s="803">
        <v>61644</v>
      </c>
      <c r="P248" s="803">
        <v>0</v>
      </c>
      <c r="Q248" s="802">
        <v>9965</v>
      </c>
      <c r="R248" s="802"/>
      <c r="S248" s="803">
        <v>50941</v>
      </c>
      <c r="T248" s="804">
        <v>-1566</v>
      </c>
      <c r="U248" s="804">
        <v>49374</v>
      </c>
    </row>
    <row r="249" spans="1:21" x14ac:dyDescent="0.25">
      <c r="A249" s="799">
        <v>92531</v>
      </c>
      <c r="B249" s="800" t="s">
        <v>2867</v>
      </c>
      <c r="C249" s="801">
        <v>8.3779999999999998E-4</v>
      </c>
      <c r="D249" s="801">
        <v>9.3610000000000004E-4</v>
      </c>
      <c r="E249" s="802">
        <v>310253</v>
      </c>
      <c r="F249" s="802">
        <v>420116</v>
      </c>
      <c r="G249" s="802">
        <v>1778092</v>
      </c>
      <c r="H249" s="802"/>
      <c r="I249" s="803">
        <v>33407</v>
      </c>
      <c r="J249" s="803">
        <v>1558176</v>
      </c>
      <c r="K249" s="803">
        <v>121783</v>
      </c>
      <c r="L249" s="802">
        <v>0</v>
      </c>
      <c r="M249" s="802"/>
      <c r="N249" s="803">
        <v>62306</v>
      </c>
      <c r="O249" s="803">
        <v>575115</v>
      </c>
      <c r="P249" s="803">
        <v>0</v>
      </c>
      <c r="Q249" s="802">
        <v>169554</v>
      </c>
      <c r="R249" s="802"/>
      <c r="S249" s="803">
        <v>475258</v>
      </c>
      <c r="T249" s="804">
        <v>-58220</v>
      </c>
      <c r="U249" s="804">
        <v>417038</v>
      </c>
    </row>
    <row r="250" spans="1:21" x14ac:dyDescent="0.25">
      <c r="A250" s="799">
        <v>92541</v>
      </c>
      <c r="B250" s="800" t="s">
        <v>2868</v>
      </c>
      <c r="C250" s="801">
        <v>1.4300000000000001E-4</v>
      </c>
      <c r="D250" s="801">
        <v>1.2679999999999999E-4</v>
      </c>
      <c r="E250" s="802">
        <v>54919</v>
      </c>
      <c r="F250" s="802">
        <v>56907</v>
      </c>
      <c r="G250" s="802">
        <v>303494</v>
      </c>
      <c r="H250" s="802"/>
      <c r="I250" s="803">
        <v>5702.125</v>
      </c>
      <c r="J250" s="803">
        <v>265957</v>
      </c>
      <c r="K250" s="803">
        <v>20787</v>
      </c>
      <c r="L250" s="802">
        <v>11874</v>
      </c>
      <c r="M250" s="802"/>
      <c r="N250" s="803">
        <v>10635</v>
      </c>
      <c r="O250" s="803">
        <v>98163</v>
      </c>
      <c r="P250" s="803">
        <v>0</v>
      </c>
      <c r="Q250" s="802">
        <v>3822</v>
      </c>
      <c r="R250" s="802"/>
      <c r="S250" s="803">
        <v>81119</v>
      </c>
      <c r="T250" s="804">
        <v>3227</v>
      </c>
      <c r="U250" s="804">
        <v>84346</v>
      </c>
    </row>
    <row r="251" spans="1:21" x14ac:dyDescent="0.25">
      <c r="A251" s="799">
        <v>92551</v>
      </c>
      <c r="B251" s="800" t="s">
        <v>2869</v>
      </c>
      <c r="C251" s="801">
        <v>4.18E-5</v>
      </c>
      <c r="D251" s="801">
        <v>5.4799999999999997E-5</v>
      </c>
      <c r="E251" s="802">
        <v>16805.93</v>
      </c>
      <c r="F251" s="802">
        <v>24594</v>
      </c>
      <c r="G251" s="802">
        <v>88714</v>
      </c>
      <c r="H251" s="802"/>
      <c r="I251" s="803">
        <v>1666.7750000000001</v>
      </c>
      <c r="J251" s="803">
        <v>77741</v>
      </c>
      <c r="K251" s="803">
        <v>6076</v>
      </c>
      <c r="L251" s="802">
        <v>6834</v>
      </c>
      <c r="M251" s="802"/>
      <c r="N251" s="803">
        <v>3109</v>
      </c>
      <c r="O251" s="803">
        <v>28694</v>
      </c>
      <c r="P251" s="803">
        <v>0</v>
      </c>
      <c r="Q251" s="802">
        <v>11864</v>
      </c>
      <c r="R251" s="802"/>
      <c r="S251" s="803">
        <v>23712</v>
      </c>
      <c r="T251" s="804">
        <v>-71</v>
      </c>
      <c r="U251" s="804">
        <v>23641</v>
      </c>
    </row>
    <row r="252" spans="1:21" x14ac:dyDescent="0.25">
      <c r="A252" s="799">
        <v>92561</v>
      </c>
      <c r="B252" s="800" t="s">
        <v>2870</v>
      </c>
      <c r="C252" s="801">
        <v>2.2900000000000001E-5</v>
      </c>
      <c r="D252" s="801">
        <v>2.1800000000000001E-5</v>
      </c>
      <c r="E252" s="802">
        <v>12865.05</v>
      </c>
      <c r="F252" s="802">
        <v>9784</v>
      </c>
      <c r="G252" s="802">
        <v>48601</v>
      </c>
      <c r="H252" s="802"/>
      <c r="I252" s="803">
        <v>913.13750000000005</v>
      </c>
      <c r="J252" s="803">
        <v>42590</v>
      </c>
      <c r="K252" s="803">
        <v>3329</v>
      </c>
      <c r="L252" s="802">
        <v>7071</v>
      </c>
      <c r="M252" s="802"/>
      <c r="N252" s="803">
        <v>1703</v>
      </c>
      <c r="O252" s="803">
        <v>15720</v>
      </c>
      <c r="P252" s="803">
        <v>0</v>
      </c>
      <c r="Q252" s="802">
        <v>0</v>
      </c>
      <c r="R252" s="802"/>
      <c r="S252" s="803">
        <v>12990</v>
      </c>
      <c r="T252" s="804">
        <v>2451</v>
      </c>
      <c r="U252" s="804">
        <v>15442</v>
      </c>
    </row>
    <row r="253" spans="1:21" x14ac:dyDescent="0.25">
      <c r="A253" s="799">
        <v>92571</v>
      </c>
      <c r="B253" s="800" t="s">
        <v>2871</v>
      </c>
      <c r="C253" s="801">
        <v>3.1E-6</v>
      </c>
      <c r="D253" s="801">
        <v>3.8E-6</v>
      </c>
      <c r="E253" s="802">
        <v>6093</v>
      </c>
      <c r="F253" s="802">
        <v>1705</v>
      </c>
      <c r="G253" s="802">
        <v>6579</v>
      </c>
      <c r="H253" s="802"/>
      <c r="I253" s="803">
        <v>123.6125</v>
      </c>
      <c r="J253" s="803">
        <v>5766</v>
      </c>
      <c r="K253" s="803">
        <v>451</v>
      </c>
      <c r="L253" s="802">
        <v>4439</v>
      </c>
      <c r="M253" s="802"/>
      <c r="N253" s="803">
        <v>231</v>
      </c>
      <c r="O253" s="803">
        <v>2128</v>
      </c>
      <c r="P253" s="803">
        <v>0</v>
      </c>
      <c r="Q253" s="802">
        <v>200.99</v>
      </c>
      <c r="R253" s="802"/>
      <c r="S253" s="803">
        <v>1759</v>
      </c>
      <c r="T253" s="804">
        <v>1144</v>
      </c>
      <c r="U253" s="804">
        <v>2902</v>
      </c>
    </row>
    <row r="254" spans="1:21" x14ac:dyDescent="0.25">
      <c r="A254" s="799">
        <v>92601</v>
      </c>
      <c r="B254" s="800" t="s">
        <v>2872</v>
      </c>
      <c r="C254" s="801">
        <v>1.54185E-2</v>
      </c>
      <c r="D254" s="801">
        <v>1.5052899999999999E-2</v>
      </c>
      <c r="E254" s="802">
        <v>6115436</v>
      </c>
      <c r="F254" s="802">
        <v>6755651</v>
      </c>
      <c r="G254" s="802">
        <v>32723222</v>
      </c>
      <c r="H254" s="802"/>
      <c r="I254" s="803">
        <v>614813</v>
      </c>
      <c r="J254" s="803">
        <v>28675974</v>
      </c>
      <c r="K254" s="803">
        <v>2241249</v>
      </c>
      <c r="L254" s="802">
        <v>258399</v>
      </c>
      <c r="M254" s="802"/>
      <c r="N254" s="803">
        <v>1146658</v>
      </c>
      <c r="O254" s="803">
        <v>10584153</v>
      </c>
      <c r="P254" s="803">
        <v>0</v>
      </c>
      <c r="Q254" s="802">
        <v>0</v>
      </c>
      <c r="R254" s="802"/>
      <c r="S254" s="803">
        <v>8746437</v>
      </c>
      <c r="T254" s="804">
        <v>123589</v>
      </c>
      <c r="U254" s="804">
        <v>8870026</v>
      </c>
    </row>
    <row r="255" spans="1:21" x14ac:dyDescent="0.25">
      <c r="A255" s="799">
        <v>92602</v>
      </c>
      <c r="B255" s="800" t="s">
        <v>2873</v>
      </c>
      <c r="C255" s="801">
        <v>8.1999999999999994E-6</v>
      </c>
      <c r="D255" s="801">
        <v>8.3999999999999992E-6</v>
      </c>
      <c r="E255" s="802">
        <v>3297.75</v>
      </c>
      <c r="F255" s="802">
        <v>3770</v>
      </c>
      <c r="G255" s="802">
        <v>17403</v>
      </c>
      <c r="H255" s="802"/>
      <c r="I255" s="803">
        <v>327</v>
      </c>
      <c r="J255" s="803">
        <v>15251</v>
      </c>
      <c r="K255" s="803">
        <v>1192</v>
      </c>
      <c r="L255" s="802">
        <v>708.44</v>
      </c>
      <c r="M255" s="802"/>
      <c r="N255" s="803">
        <v>610</v>
      </c>
      <c r="O255" s="803">
        <v>5629</v>
      </c>
      <c r="P255" s="803">
        <v>0</v>
      </c>
      <c r="Q255" s="802">
        <v>1260</v>
      </c>
      <c r="R255" s="802"/>
      <c r="S255" s="803">
        <v>4652</v>
      </c>
      <c r="T255" s="804">
        <v>-75</v>
      </c>
      <c r="U255" s="804">
        <v>4577</v>
      </c>
    </row>
    <row r="256" spans="1:21" x14ac:dyDescent="0.25">
      <c r="A256" s="799">
        <v>92604</v>
      </c>
      <c r="B256" s="800" t="s">
        <v>2874</v>
      </c>
      <c r="C256" s="801">
        <v>3.4380000000000001E-4</v>
      </c>
      <c r="D256" s="801">
        <v>3.2019999999999998E-4</v>
      </c>
      <c r="E256" s="802">
        <v>164086</v>
      </c>
      <c r="F256" s="802">
        <v>143704</v>
      </c>
      <c r="G256" s="802">
        <v>729659</v>
      </c>
      <c r="H256" s="802"/>
      <c r="I256" s="803">
        <v>13709</v>
      </c>
      <c r="J256" s="803">
        <v>639414</v>
      </c>
      <c r="K256" s="803">
        <v>49975</v>
      </c>
      <c r="L256" s="802">
        <v>56939</v>
      </c>
      <c r="M256" s="802"/>
      <c r="N256" s="803">
        <v>25568</v>
      </c>
      <c r="O256" s="803">
        <v>236004</v>
      </c>
      <c r="P256" s="803">
        <v>0</v>
      </c>
      <c r="Q256" s="802">
        <v>0</v>
      </c>
      <c r="R256" s="802"/>
      <c r="S256" s="803">
        <v>195027</v>
      </c>
      <c r="T256" s="804">
        <v>20016</v>
      </c>
      <c r="U256" s="804">
        <v>215043</v>
      </c>
    </row>
    <row r="257" spans="1:21" x14ac:dyDescent="0.25">
      <c r="A257" s="799">
        <v>92607</v>
      </c>
      <c r="B257" s="800" t="s">
        <v>2875</v>
      </c>
      <c r="C257" s="801">
        <v>7.0400000000000004E-5</v>
      </c>
      <c r="D257" s="801">
        <v>7.4099999999999999E-5</v>
      </c>
      <c r="E257" s="802">
        <v>34300</v>
      </c>
      <c r="F257" s="802">
        <v>33256</v>
      </c>
      <c r="G257" s="802">
        <v>149412</v>
      </c>
      <c r="H257" s="802"/>
      <c r="I257" s="803">
        <v>2807</v>
      </c>
      <c r="J257" s="803">
        <v>130933</v>
      </c>
      <c r="K257" s="803">
        <v>10233</v>
      </c>
      <c r="L257" s="802">
        <v>9606</v>
      </c>
      <c r="M257" s="802"/>
      <c r="N257" s="803">
        <v>5236</v>
      </c>
      <c r="O257" s="803">
        <v>48327</v>
      </c>
      <c r="P257" s="803">
        <v>0</v>
      </c>
      <c r="Q257" s="802">
        <v>0</v>
      </c>
      <c r="R257" s="802"/>
      <c r="S257" s="803">
        <v>39936</v>
      </c>
      <c r="T257" s="804">
        <v>3862</v>
      </c>
      <c r="U257" s="804">
        <v>43798</v>
      </c>
    </row>
    <row r="258" spans="1:21" x14ac:dyDescent="0.25">
      <c r="A258" s="799">
        <v>92608</v>
      </c>
      <c r="B258" s="800" t="s">
        <v>2876</v>
      </c>
      <c r="C258" s="801">
        <v>0</v>
      </c>
      <c r="D258" s="801">
        <v>0</v>
      </c>
      <c r="E258" s="802">
        <v>0</v>
      </c>
      <c r="F258" s="802">
        <v>0</v>
      </c>
      <c r="G258" s="802">
        <v>0</v>
      </c>
      <c r="H258" s="802"/>
      <c r="I258" s="803">
        <v>0</v>
      </c>
      <c r="J258" s="803">
        <v>0</v>
      </c>
      <c r="K258" s="803">
        <v>0</v>
      </c>
      <c r="L258" s="802">
        <v>0</v>
      </c>
      <c r="M258" s="802"/>
      <c r="N258" s="803">
        <v>0</v>
      </c>
      <c r="O258" s="803">
        <v>0</v>
      </c>
      <c r="P258" s="803">
        <v>0</v>
      </c>
      <c r="Q258" s="802">
        <v>139807</v>
      </c>
      <c r="R258" s="802"/>
      <c r="S258" s="803">
        <v>0</v>
      </c>
      <c r="T258" s="804">
        <v>-69872</v>
      </c>
      <c r="U258" s="804">
        <v>-69872</v>
      </c>
    </row>
    <row r="259" spans="1:21" x14ac:dyDescent="0.25">
      <c r="A259" s="799">
        <v>92611</v>
      </c>
      <c r="B259" s="800" t="s">
        <v>2877</v>
      </c>
      <c r="C259" s="801">
        <v>1.3650799999999999E-2</v>
      </c>
      <c r="D259" s="801">
        <v>1.3731999999999999E-2</v>
      </c>
      <c r="E259" s="802">
        <v>5062641</v>
      </c>
      <c r="F259" s="802">
        <v>6162839</v>
      </c>
      <c r="G259" s="802">
        <v>28971571</v>
      </c>
      <c r="H259" s="802"/>
      <c r="I259" s="803">
        <v>544325.65</v>
      </c>
      <c r="J259" s="803">
        <v>25388331</v>
      </c>
      <c r="K259" s="803">
        <v>1984294</v>
      </c>
      <c r="L259" s="802">
        <v>20320</v>
      </c>
      <c r="M259" s="802"/>
      <c r="N259" s="803">
        <v>1015196</v>
      </c>
      <c r="O259" s="803">
        <v>9370701</v>
      </c>
      <c r="P259" s="803">
        <v>0</v>
      </c>
      <c r="Q259" s="802">
        <v>707501</v>
      </c>
      <c r="R259" s="802"/>
      <c r="S259" s="803">
        <v>7743676</v>
      </c>
      <c r="T259" s="804">
        <v>-194650</v>
      </c>
      <c r="U259" s="804">
        <v>7549026</v>
      </c>
    </row>
    <row r="260" spans="1:21" x14ac:dyDescent="0.25">
      <c r="A260" s="799">
        <v>92613</v>
      </c>
      <c r="B260" s="800" t="s">
        <v>2878</v>
      </c>
      <c r="C260" s="801">
        <v>2.81E-4</v>
      </c>
      <c r="D260" s="801">
        <v>2.9250000000000001E-4</v>
      </c>
      <c r="E260" s="802">
        <v>141183</v>
      </c>
      <c r="F260" s="802">
        <v>131272</v>
      </c>
      <c r="G260" s="802">
        <v>596376</v>
      </c>
      <c r="H260" s="802"/>
      <c r="I260" s="803">
        <v>11204.875</v>
      </c>
      <c r="J260" s="803">
        <v>522616</v>
      </c>
      <c r="K260" s="803">
        <v>40846</v>
      </c>
      <c r="L260" s="802">
        <v>119119</v>
      </c>
      <c r="M260" s="802"/>
      <c r="N260" s="803">
        <v>20898</v>
      </c>
      <c r="O260" s="803">
        <v>192895</v>
      </c>
      <c r="P260" s="803">
        <v>0</v>
      </c>
      <c r="Q260" s="802">
        <v>1892</v>
      </c>
      <c r="R260" s="802"/>
      <c r="S260" s="803">
        <v>159403</v>
      </c>
      <c r="T260" s="804">
        <v>39940</v>
      </c>
      <c r="U260" s="804">
        <v>199343</v>
      </c>
    </row>
    <row r="261" spans="1:21" x14ac:dyDescent="0.25">
      <c r="A261" s="799">
        <v>92614</v>
      </c>
      <c r="B261" s="800" t="s">
        <v>2879</v>
      </c>
      <c r="C261" s="801">
        <v>5.6468000000000004E-3</v>
      </c>
      <c r="D261" s="801">
        <v>5.6173999999999998E-3</v>
      </c>
      <c r="E261" s="802">
        <v>4370417</v>
      </c>
      <c r="F261" s="802">
        <v>2521055</v>
      </c>
      <c r="G261" s="802">
        <v>11984401</v>
      </c>
      <c r="H261" s="802"/>
      <c r="I261" s="803">
        <v>225166</v>
      </c>
      <c r="J261" s="803">
        <v>10502156</v>
      </c>
      <c r="K261" s="803">
        <v>820824</v>
      </c>
      <c r="L261" s="802">
        <v>3097959</v>
      </c>
      <c r="M261" s="802"/>
      <c r="N261" s="803">
        <v>419947</v>
      </c>
      <c r="O261" s="803">
        <v>3876291</v>
      </c>
      <c r="P261" s="803">
        <v>0</v>
      </c>
      <c r="Q261" s="802">
        <v>0</v>
      </c>
      <c r="R261" s="802"/>
      <c r="S261" s="803">
        <v>3203255</v>
      </c>
      <c r="T261" s="804">
        <v>970834</v>
      </c>
      <c r="U261" s="804">
        <v>4174089</v>
      </c>
    </row>
    <row r="262" spans="1:21" x14ac:dyDescent="0.25">
      <c r="A262" s="799">
        <v>92621</v>
      </c>
      <c r="B262" s="800" t="s">
        <v>2880</v>
      </c>
      <c r="C262" s="801">
        <v>3.2799999999999998E-5</v>
      </c>
      <c r="D262" s="801">
        <v>3.3099999999999998E-5</v>
      </c>
      <c r="E262" s="802">
        <v>12384</v>
      </c>
      <c r="F262" s="802">
        <v>14855</v>
      </c>
      <c r="G262" s="802">
        <v>69613</v>
      </c>
      <c r="H262" s="802"/>
      <c r="I262" s="803">
        <v>1308</v>
      </c>
      <c r="J262" s="803">
        <v>61003</v>
      </c>
      <c r="K262" s="803">
        <v>4768</v>
      </c>
      <c r="L262" s="802">
        <v>1351</v>
      </c>
      <c r="M262" s="802"/>
      <c r="N262" s="803">
        <v>2439</v>
      </c>
      <c r="O262" s="803">
        <v>22516</v>
      </c>
      <c r="P262" s="803">
        <v>0</v>
      </c>
      <c r="Q262" s="802">
        <v>3050</v>
      </c>
      <c r="R262" s="802"/>
      <c r="S262" s="803">
        <v>18606</v>
      </c>
      <c r="T262" s="804">
        <v>-800</v>
      </c>
      <c r="U262" s="804">
        <v>17806</v>
      </c>
    </row>
    <row r="263" spans="1:21" x14ac:dyDescent="0.25">
      <c r="A263" s="799">
        <v>92631</v>
      </c>
      <c r="B263" s="800" t="s">
        <v>2881</v>
      </c>
      <c r="C263" s="801">
        <v>1.0068E-3</v>
      </c>
      <c r="D263" s="801">
        <v>1.0248E-3</v>
      </c>
      <c r="E263" s="802">
        <v>343817.77</v>
      </c>
      <c r="F263" s="802">
        <v>459924</v>
      </c>
      <c r="G263" s="802">
        <v>2136767</v>
      </c>
      <c r="H263" s="802"/>
      <c r="I263" s="803">
        <v>40146.15</v>
      </c>
      <c r="J263" s="803">
        <v>1872489</v>
      </c>
      <c r="K263" s="803">
        <v>146349</v>
      </c>
      <c r="L263" s="802">
        <v>0</v>
      </c>
      <c r="M263" s="802"/>
      <c r="N263" s="803">
        <v>74875</v>
      </c>
      <c r="O263" s="803">
        <v>691126</v>
      </c>
      <c r="P263" s="803">
        <v>0</v>
      </c>
      <c r="Q263" s="802">
        <v>101284</v>
      </c>
      <c r="R263" s="802"/>
      <c r="S263" s="803">
        <v>571126</v>
      </c>
      <c r="T263" s="804">
        <v>-30677</v>
      </c>
      <c r="U263" s="804">
        <v>540449</v>
      </c>
    </row>
    <row r="264" spans="1:21" x14ac:dyDescent="0.25">
      <c r="A264" s="799">
        <v>92641</v>
      </c>
      <c r="B264" s="800" t="s">
        <v>2882</v>
      </c>
      <c r="C264" s="801">
        <v>1.03E-5</v>
      </c>
      <c r="D264" s="801">
        <v>1.0699999999999999E-5</v>
      </c>
      <c r="E264" s="802">
        <v>4921.7</v>
      </c>
      <c r="F264" s="802">
        <v>4802</v>
      </c>
      <c r="G264" s="802">
        <v>21860</v>
      </c>
      <c r="H264" s="802"/>
      <c r="I264" s="803">
        <v>410.71249999999998</v>
      </c>
      <c r="J264" s="803">
        <v>19156</v>
      </c>
      <c r="K264" s="803">
        <v>1497</v>
      </c>
      <c r="L264" s="802">
        <v>2730</v>
      </c>
      <c r="M264" s="802"/>
      <c r="N264" s="803">
        <v>766</v>
      </c>
      <c r="O264" s="803">
        <v>7071</v>
      </c>
      <c r="P264" s="803">
        <v>0</v>
      </c>
      <c r="Q264" s="802">
        <v>1900</v>
      </c>
      <c r="R264" s="802"/>
      <c r="S264" s="803">
        <v>5843</v>
      </c>
      <c r="T264" s="804">
        <v>-18</v>
      </c>
      <c r="U264" s="804">
        <v>5825</v>
      </c>
    </row>
    <row r="265" spans="1:21" x14ac:dyDescent="0.25">
      <c r="A265" s="799">
        <v>92651</v>
      </c>
      <c r="B265" s="800" t="s">
        <v>2883</v>
      </c>
      <c r="C265" s="801">
        <v>2.6000000000000001E-6</v>
      </c>
      <c r="D265" s="801">
        <v>2.3999999999999999E-6</v>
      </c>
      <c r="E265" s="802">
        <v>2706.64</v>
      </c>
      <c r="F265" s="802">
        <v>1077</v>
      </c>
      <c r="G265" s="802">
        <v>5518</v>
      </c>
      <c r="H265" s="802"/>
      <c r="I265" s="803">
        <v>103.675</v>
      </c>
      <c r="J265" s="803">
        <v>4836</v>
      </c>
      <c r="K265" s="803">
        <v>378</v>
      </c>
      <c r="L265" s="802">
        <v>2819</v>
      </c>
      <c r="M265" s="802"/>
      <c r="N265" s="803">
        <v>193</v>
      </c>
      <c r="O265" s="803">
        <v>1785</v>
      </c>
      <c r="P265" s="803">
        <v>0</v>
      </c>
      <c r="Q265" s="802">
        <v>0</v>
      </c>
      <c r="R265" s="802"/>
      <c r="S265" s="803">
        <v>1475</v>
      </c>
      <c r="T265" s="804">
        <v>953</v>
      </c>
      <c r="U265" s="804">
        <v>2428</v>
      </c>
    </row>
    <row r="266" spans="1:21" x14ac:dyDescent="0.25">
      <c r="A266" s="799">
        <v>92661</v>
      </c>
      <c r="B266" s="800" t="s">
        <v>2884</v>
      </c>
      <c r="C266" s="801">
        <v>6.6299999999999996E-4</v>
      </c>
      <c r="D266" s="801">
        <v>6.7860000000000001E-4</v>
      </c>
      <c r="E266" s="802">
        <v>505438</v>
      </c>
      <c r="F266" s="802">
        <v>304552</v>
      </c>
      <c r="G266" s="802">
        <v>1407108</v>
      </c>
      <c r="H266" s="802"/>
      <c r="I266" s="803">
        <v>26437.125</v>
      </c>
      <c r="J266" s="803">
        <v>1233075</v>
      </c>
      <c r="K266" s="803">
        <v>96374</v>
      </c>
      <c r="L266" s="802">
        <v>293360</v>
      </c>
      <c r="M266" s="802"/>
      <c r="N266" s="803">
        <v>49307</v>
      </c>
      <c r="O266" s="803">
        <v>455122</v>
      </c>
      <c r="P266" s="803">
        <v>0</v>
      </c>
      <c r="Q266" s="802">
        <v>33924</v>
      </c>
      <c r="R266" s="802"/>
      <c r="S266" s="803">
        <v>376099</v>
      </c>
      <c r="T266" s="804">
        <v>70124</v>
      </c>
      <c r="U266" s="804">
        <v>446224</v>
      </c>
    </row>
    <row r="267" spans="1:21" x14ac:dyDescent="0.25">
      <c r="A267" s="799">
        <v>92671</v>
      </c>
      <c r="B267" s="800" t="s">
        <v>2885</v>
      </c>
      <c r="C267" s="801">
        <v>2.9000000000000002E-6</v>
      </c>
      <c r="D267" s="801">
        <v>3.4999999999999999E-6</v>
      </c>
      <c r="E267" s="802">
        <v>4773.75</v>
      </c>
      <c r="F267" s="802">
        <v>1571</v>
      </c>
      <c r="G267" s="802">
        <v>6155</v>
      </c>
      <c r="H267" s="802"/>
      <c r="I267" s="803">
        <v>115.6375</v>
      </c>
      <c r="J267" s="803">
        <v>5394</v>
      </c>
      <c r="K267" s="803">
        <v>422</v>
      </c>
      <c r="L267" s="802">
        <v>4608</v>
      </c>
      <c r="M267" s="802"/>
      <c r="N267" s="803">
        <v>216</v>
      </c>
      <c r="O267" s="803">
        <v>1991</v>
      </c>
      <c r="P267" s="803">
        <v>0</v>
      </c>
      <c r="Q267" s="802">
        <v>0</v>
      </c>
      <c r="R267" s="802"/>
      <c r="S267" s="803">
        <v>1645</v>
      </c>
      <c r="T267" s="804">
        <v>1438</v>
      </c>
      <c r="U267" s="804">
        <v>3083</v>
      </c>
    </row>
    <row r="268" spans="1:21" x14ac:dyDescent="0.25">
      <c r="A268" s="799">
        <v>92681</v>
      </c>
      <c r="B268" s="800" t="s">
        <v>2886</v>
      </c>
      <c r="C268" s="801">
        <v>1.01E-5</v>
      </c>
      <c r="D268" s="801">
        <v>5.4E-6</v>
      </c>
      <c r="E268" s="802">
        <v>9614</v>
      </c>
      <c r="F268" s="802">
        <v>2423</v>
      </c>
      <c r="G268" s="802">
        <v>21436</v>
      </c>
      <c r="H268" s="802"/>
      <c r="I268" s="803">
        <v>402.73750000000001</v>
      </c>
      <c r="J268" s="803">
        <v>18784</v>
      </c>
      <c r="K268" s="803">
        <v>1468</v>
      </c>
      <c r="L268" s="802">
        <v>11040</v>
      </c>
      <c r="M268" s="802"/>
      <c r="N268" s="803">
        <v>751</v>
      </c>
      <c r="O268" s="803">
        <v>6933</v>
      </c>
      <c r="P268" s="803">
        <v>0</v>
      </c>
      <c r="Q268" s="802">
        <v>0</v>
      </c>
      <c r="R268" s="802"/>
      <c r="S268" s="803">
        <v>5729</v>
      </c>
      <c r="T268" s="804">
        <v>3452</v>
      </c>
      <c r="U268" s="804">
        <v>9181</v>
      </c>
    </row>
    <row r="269" spans="1:21" x14ac:dyDescent="0.25">
      <c r="A269" s="799">
        <v>92701</v>
      </c>
      <c r="B269" s="800" t="s">
        <v>2887</v>
      </c>
      <c r="C269" s="801">
        <v>2.9588000000000001E-3</v>
      </c>
      <c r="D269" s="801">
        <v>2.8249999999999998E-3</v>
      </c>
      <c r="E269" s="802">
        <v>1147170.26</v>
      </c>
      <c r="F269" s="802">
        <v>1267843</v>
      </c>
      <c r="G269" s="802">
        <v>6279565</v>
      </c>
      <c r="H269" s="802"/>
      <c r="I269" s="803">
        <v>117982</v>
      </c>
      <c r="J269" s="803">
        <v>5502901</v>
      </c>
      <c r="K269" s="803">
        <v>430094</v>
      </c>
      <c r="L269" s="802">
        <v>17190</v>
      </c>
      <c r="M269" s="802"/>
      <c r="N269" s="803">
        <v>220043</v>
      </c>
      <c r="O269" s="803">
        <v>2031092</v>
      </c>
      <c r="P269" s="803">
        <v>0</v>
      </c>
      <c r="Q269" s="802">
        <v>81579</v>
      </c>
      <c r="R269" s="802"/>
      <c r="S269" s="803">
        <v>1678436</v>
      </c>
      <c r="T269" s="804">
        <v>-34202</v>
      </c>
      <c r="U269" s="804">
        <v>1644234</v>
      </c>
    </row>
    <row r="270" spans="1:21" x14ac:dyDescent="0.25">
      <c r="A270" s="799">
        <v>92704</v>
      </c>
      <c r="B270" s="800" t="s">
        <v>2888</v>
      </c>
      <c r="C270" s="801">
        <v>4.7700000000000001E-5</v>
      </c>
      <c r="D270" s="801">
        <v>4.8000000000000001E-5</v>
      </c>
      <c r="E270" s="802">
        <v>17416.48</v>
      </c>
      <c r="F270" s="802">
        <v>21542</v>
      </c>
      <c r="G270" s="802">
        <v>101235</v>
      </c>
      <c r="H270" s="802"/>
      <c r="I270" s="803">
        <v>1902</v>
      </c>
      <c r="J270" s="803">
        <v>88714</v>
      </c>
      <c r="K270" s="803">
        <v>6934</v>
      </c>
      <c r="L270" s="802">
        <v>2418</v>
      </c>
      <c r="M270" s="802"/>
      <c r="N270" s="803">
        <v>3547</v>
      </c>
      <c r="O270" s="803">
        <v>32744</v>
      </c>
      <c r="P270" s="803">
        <v>0</v>
      </c>
      <c r="Q270" s="802">
        <v>1922</v>
      </c>
      <c r="R270" s="802"/>
      <c r="S270" s="803">
        <v>27059</v>
      </c>
      <c r="T270" s="804">
        <v>357</v>
      </c>
      <c r="U270" s="804">
        <v>27415</v>
      </c>
    </row>
    <row r="271" spans="1:21" x14ac:dyDescent="0.25">
      <c r="A271" s="799">
        <v>92801</v>
      </c>
      <c r="B271" s="800" t="s">
        <v>2889</v>
      </c>
      <c r="C271" s="801">
        <v>5.1701000000000004E-3</v>
      </c>
      <c r="D271" s="801">
        <v>5.1633E-3</v>
      </c>
      <c r="E271" s="802">
        <v>2172949.21</v>
      </c>
      <c r="F271" s="802">
        <v>2317258</v>
      </c>
      <c r="G271" s="802">
        <v>10972684</v>
      </c>
      <c r="H271" s="802"/>
      <c r="I271" s="803">
        <v>206158</v>
      </c>
      <c r="J271" s="803">
        <v>9615569</v>
      </c>
      <c r="K271" s="803">
        <v>751531</v>
      </c>
      <c r="L271" s="802">
        <v>219271</v>
      </c>
      <c r="M271" s="802"/>
      <c r="N271" s="803">
        <v>384495</v>
      </c>
      <c r="O271" s="803">
        <v>3549057</v>
      </c>
      <c r="P271" s="803">
        <v>0</v>
      </c>
      <c r="Q271" s="802">
        <v>0</v>
      </c>
      <c r="R271" s="802"/>
      <c r="S271" s="803">
        <v>2932837</v>
      </c>
      <c r="T271" s="804">
        <v>78433</v>
      </c>
      <c r="U271" s="804">
        <v>3011270</v>
      </c>
    </row>
    <row r="272" spans="1:21" x14ac:dyDescent="0.25">
      <c r="A272" s="799">
        <v>92802</v>
      </c>
      <c r="B272" s="800" t="s">
        <v>2890</v>
      </c>
      <c r="C272" s="801">
        <v>1.3410000000000001E-4</v>
      </c>
      <c r="D272" s="801">
        <v>1.4359999999999999E-4</v>
      </c>
      <c r="E272" s="802">
        <v>49243.25</v>
      </c>
      <c r="F272" s="802">
        <v>64447</v>
      </c>
      <c r="G272" s="802">
        <v>284605</v>
      </c>
      <c r="H272" s="802"/>
      <c r="I272" s="803">
        <v>5347</v>
      </c>
      <c r="J272" s="803">
        <v>249405</v>
      </c>
      <c r="K272" s="803">
        <v>19493</v>
      </c>
      <c r="L272" s="802">
        <v>0</v>
      </c>
      <c r="M272" s="802"/>
      <c r="N272" s="803">
        <v>9973</v>
      </c>
      <c r="O272" s="803">
        <v>92054</v>
      </c>
      <c r="P272" s="803">
        <v>0</v>
      </c>
      <c r="Q272" s="802">
        <v>17052</v>
      </c>
      <c r="R272" s="802"/>
      <c r="S272" s="803">
        <v>76071</v>
      </c>
      <c r="T272" s="804">
        <v>-5458</v>
      </c>
      <c r="U272" s="804">
        <v>70613</v>
      </c>
    </row>
    <row r="273" spans="1:21" x14ac:dyDescent="0.25">
      <c r="A273" s="799">
        <v>92804</v>
      </c>
      <c r="B273" s="800" t="s">
        <v>2891</v>
      </c>
      <c r="C273" s="801">
        <v>1.47E-4</v>
      </c>
      <c r="D273" s="801">
        <v>1.217E-4</v>
      </c>
      <c r="E273" s="802">
        <v>50468.480000000003</v>
      </c>
      <c r="F273" s="802">
        <v>54618</v>
      </c>
      <c r="G273" s="802">
        <v>311983</v>
      </c>
      <c r="H273" s="802"/>
      <c r="I273" s="803">
        <v>5861.625</v>
      </c>
      <c r="J273" s="803">
        <v>273397</v>
      </c>
      <c r="K273" s="803">
        <v>21368</v>
      </c>
      <c r="L273" s="802">
        <v>12672</v>
      </c>
      <c r="M273" s="802"/>
      <c r="N273" s="803">
        <v>10932</v>
      </c>
      <c r="O273" s="803">
        <v>100909</v>
      </c>
      <c r="P273" s="803">
        <v>0</v>
      </c>
      <c r="Q273" s="802">
        <v>2663</v>
      </c>
      <c r="R273" s="802"/>
      <c r="S273" s="803">
        <v>83389</v>
      </c>
      <c r="T273" s="804">
        <v>2604</v>
      </c>
      <c r="U273" s="804">
        <v>85992</v>
      </c>
    </row>
    <row r="274" spans="1:21" x14ac:dyDescent="0.25">
      <c r="A274" s="799">
        <v>92811</v>
      </c>
      <c r="B274" s="800" t="s">
        <v>2892</v>
      </c>
      <c r="C274" s="801">
        <v>9.8569999999999994E-4</v>
      </c>
      <c r="D274" s="801">
        <v>1.1405E-3</v>
      </c>
      <c r="E274" s="802">
        <v>390969</v>
      </c>
      <c r="F274" s="802">
        <v>511850</v>
      </c>
      <c r="G274" s="802">
        <v>2091986</v>
      </c>
      <c r="H274" s="802"/>
      <c r="I274" s="803">
        <v>39305</v>
      </c>
      <c r="J274" s="803">
        <v>1833246</v>
      </c>
      <c r="K274" s="803">
        <v>143282</v>
      </c>
      <c r="L274" s="802">
        <v>0</v>
      </c>
      <c r="M274" s="802"/>
      <c r="N274" s="803">
        <v>73306</v>
      </c>
      <c r="O274" s="803">
        <v>676642</v>
      </c>
      <c r="P274" s="803">
        <v>0</v>
      </c>
      <c r="Q274" s="802">
        <v>118839</v>
      </c>
      <c r="R274" s="802"/>
      <c r="S274" s="803">
        <v>559157</v>
      </c>
      <c r="T274" s="804">
        <v>-36047</v>
      </c>
      <c r="U274" s="804">
        <v>523110</v>
      </c>
    </row>
    <row r="275" spans="1:21" x14ac:dyDescent="0.25">
      <c r="A275" s="799">
        <v>92821</v>
      </c>
      <c r="B275" s="800" t="s">
        <v>2893</v>
      </c>
      <c r="C275" s="801">
        <v>1.0139999999999999E-3</v>
      </c>
      <c r="D275" s="801">
        <v>9.8010000000000002E-4</v>
      </c>
      <c r="E275" s="802">
        <v>411903</v>
      </c>
      <c r="F275" s="802">
        <v>439863</v>
      </c>
      <c r="G275" s="802">
        <v>2152047.69</v>
      </c>
      <c r="H275" s="802"/>
      <c r="I275" s="803">
        <v>40433.25</v>
      </c>
      <c r="J275" s="803">
        <v>1885880</v>
      </c>
      <c r="K275" s="803">
        <v>147396</v>
      </c>
      <c r="L275" s="802">
        <v>27408</v>
      </c>
      <c r="M275" s="802"/>
      <c r="N275" s="803">
        <v>75410</v>
      </c>
      <c r="O275" s="803">
        <v>696068</v>
      </c>
      <c r="P275" s="803">
        <v>0</v>
      </c>
      <c r="Q275" s="802">
        <v>0</v>
      </c>
      <c r="R275" s="802"/>
      <c r="S275" s="803">
        <v>575211</v>
      </c>
      <c r="T275" s="804">
        <v>8904</v>
      </c>
      <c r="U275" s="804">
        <v>584115</v>
      </c>
    </row>
    <row r="276" spans="1:21" x14ac:dyDescent="0.25">
      <c r="A276" s="799">
        <v>92831</v>
      </c>
      <c r="B276" s="800" t="s">
        <v>2894</v>
      </c>
      <c r="C276" s="801">
        <v>2.476E-4</v>
      </c>
      <c r="D276" s="801">
        <v>2.4049999999999999E-4</v>
      </c>
      <c r="E276" s="802">
        <v>117070.46</v>
      </c>
      <c r="F276" s="802">
        <v>107935</v>
      </c>
      <c r="G276" s="802">
        <v>525490</v>
      </c>
      <c r="H276" s="802"/>
      <c r="I276" s="803">
        <v>9873</v>
      </c>
      <c r="J276" s="803">
        <v>460497</v>
      </c>
      <c r="K276" s="803">
        <v>35991</v>
      </c>
      <c r="L276" s="802">
        <v>29199</v>
      </c>
      <c r="M276" s="802"/>
      <c r="N276" s="803">
        <v>18414</v>
      </c>
      <c r="O276" s="803">
        <v>169967</v>
      </c>
      <c r="P276" s="803">
        <v>0</v>
      </c>
      <c r="Q276" s="802">
        <v>0</v>
      </c>
      <c r="R276" s="802"/>
      <c r="S276" s="803">
        <v>140456</v>
      </c>
      <c r="T276" s="804">
        <v>10043</v>
      </c>
      <c r="U276" s="804">
        <v>150499</v>
      </c>
    </row>
    <row r="277" spans="1:21" x14ac:dyDescent="0.25">
      <c r="A277" s="799">
        <v>92841</v>
      </c>
      <c r="B277" s="800" t="s">
        <v>2895</v>
      </c>
      <c r="C277" s="801">
        <v>2.8160000000000001E-4</v>
      </c>
      <c r="D277" s="801">
        <v>2.7070000000000002E-4</v>
      </c>
      <c r="E277" s="802">
        <v>105224</v>
      </c>
      <c r="F277" s="802">
        <v>121489</v>
      </c>
      <c r="G277" s="802">
        <v>597650</v>
      </c>
      <c r="H277" s="802"/>
      <c r="I277" s="803">
        <v>11229</v>
      </c>
      <c r="J277" s="803">
        <v>523732</v>
      </c>
      <c r="K277" s="803">
        <v>40934</v>
      </c>
      <c r="L277" s="802">
        <v>11701.2</v>
      </c>
      <c r="M277" s="802"/>
      <c r="N277" s="803">
        <v>20942</v>
      </c>
      <c r="O277" s="803">
        <v>193307</v>
      </c>
      <c r="P277" s="803">
        <v>0</v>
      </c>
      <c r="Q277" s="802">
        <v>3120</v>
      </c>
      <c r="R277" s="802"/>
      <c r="S277" s="803">
        <v>159743</v>
      </c>
      <c r="T277" s="804">
        <v>5013</v>
      </c>
      <c r="U277" s="804">
        <v>164756</v>
      </c>
    </row>
    <row r="278" spans="1:21" x14ac:dyDescent="0.25">
      <c r="A278" s="799">
        <v>92851</v>
      </c>
      <c r="B278" s="800" t="s">
        <v>2896</v>
      </c>
      <c r="C278" s="801">
        <v>4.3909999999999999E-4</v>
      </c>
      <c r="D278" s="801">
        <v>4.6690000000000002E-4</v>
      </c>
      <c r="E278" s="802">
        <v>157592</v>
      </c>
      <c r="F278" s="802">
        <v>209542</v>
      </c>
      <c r="G278" s="802">
        <v>931917</v>
      </c>
      <c r="H278" s="802"/>
      <c r="I278" s="803">
        <v>17509</v>
      </c>
      <c r="J278" s="803">
        <v>816657</v>
      </c>
      <c r="K278" s="803">
        <v>63828</v>
      </c>
      <c r="L278" s="802">
        <v>0</v>
      </c>
      <c r="M278" s="802"/>
      <c r="N278" s="803">
        <v>32655</v>
      </c>
      <c r="O278" s="803">
        <v>301424</v>
      </c>
      <c r="P278" s="803">
        <v>0</v>
      </c>
      <c r="Q278" s="802">
        <v>92000</v>
      </c>
      <c r="R278" s="802"/>
      <c r="S278" s="803">
        <v>249088</v>
      </c>
      <c r="T278" s="804">
        <v>-34292</v>
      </c>
      <c r="U278" s="804">
        <v>214796</v>
      </c>
    </row>
    <row r="279" spans="1:21" x14ac:dyDescent="0.25">
      <c r="A279" s="799">
        <v>92861</v>
      </c>
      <c r="B279" s="800" t="s">
        <v>2897</v>
      </c>
      <c r="C279" s="801">
        <v>3.3629999999999999E-4</v>
      </c>
      <c r="D279" s="801">
        <v>3.7750000000000001E-4</v>
      </c>
      <c r="E279" s="802">
        <v>101705</v>
      </c>
      <c r="F279" s="802">
        <v>169420</v>
      </c>
      <c r="G279" s="802">
        <v>713741</v>
      </c>
      <c r="H279" s="802"/>
      <c r="I279" s="803">
        <v>13410</v>
      </c>
      <c r="J279" s="803">
        <v>625465</v>
      </c>
      <c r="K279" s="803">
        <v>48885</v>
      </c>
      <c r="L279" s="802">
        <v>0</v>
      </c>
      <c r="M279" s="802"/>
      <c r="N279" s="803">
        <v>25010</v>
      </c>
      <c r="O279" s="803">
        <v>230856</v>
      </c>
      <c r="P279" s="803">
        <v>0</v>
      </c>
      <c r="Q279" s="802">
        <v>96581</v>
      </c>
      <c r="R279" s="802"/>
      <c r="S279" s="803">
        <v>190773</v>
      </c>
      <c r="T279" s="804">
        <v>-32224</v>
      </c>
      <c r="U279" s="804">
        <v>158549</v>
      </c>
    </row>
    <row r="280" spans="1:21" x14ac:dyDescent="0.25">
      <c r="A280" s="799">
        <v>92901</v>
      </c>
      <c r="B280" s="800" t="s">
        <v>2898</v>
      </c>
      <c r="C280" s="801">
        <v>5.7581000000000004E-3</v>
      </c>
      <c r="D280" s="801">
        <v>5.7428999999999996E-3</v>
      </c>
      <c r="E280" s="802">
        <v>2270581</v>
      </c>
      <c r="F280" s="802">
        <v>2577379</v>
      </c>
      <c r="G280" s="802">
        <v>12220617</v>
      </c>
      <c r="H280" s="802"/>
      <c r="I280" s="803">
        <v>229604</v>
      </c>
      <c r="J280" s="803">
        <v>10709156</v>
      </c>
      <c r="K280" s="803">
        <v>837003</v>
      </c>
      <c r="L280" s="802">
        <v>108561</v>
      </c>
      <c r="M280" s="802"/>
      <c r="N280" s="803">
        <v>428224</v>
      </c>
      <c r="O280" s="803">
        <v>3952694</v>
      </c>
      <c r="P280" s="803">
        <v>0</v>
      </c>
      <c r="Q280" s="802">
        <v>69123</v>
      </c>
      <c r="R280" s="802"/>
      <c r="S280" s="803">
        <v>3266392</v>
      </c>
      <c r="T280" s="804">
        <v>24956</v>
      </c>
      <c r="U280" s="804">
        <v>3291348</v>
      </c>
    </row>
    <row r="281" spans="1:21" x14ac:dyDescent="0.25">
      <c r="A281" s="799">
        <v>92911</v>
      </c>
      <c r="B281" s="800" t="s">
        <v>2899</v>
      </c>
      <c r="C281" s="801">
        <v>1.9442999999999999E-3</v>
      </c>
      <c r="D281" s="801">
        <v>2.0665000000000002E-3</v>
      </c>
      <c r="E281" s="802">
        <v>811710.22</v>
      </c>
      <c r="F281" s="802">
        <v>927433</v>
      </c>
      <c r="G281" s="802">
        <v>4126456</v>
      </c>
      <c r="H281" s="802"/>
      <c r="I281" s="803">
        <v>77529</v>
      </c>
      <c r="J281" s="803">
        <v>3616091</v>
      </c>
      <c r="K281" s="803">
        <v>282625</v>
      </c>
      <c r="L281" s="802">
        <v>0</v>
      </c>
      <c r="M281" s="802"/>
      <c r="N281" s="803">
        <v>144596</v>
      </c>
      <c r="O281" s="803">
        <v>1334680</v>
      </c>
      <c r="P281" s="803">
        <v>0</v>
      </c>
      <c r="Q281" s="802">
        <v>175676</v>
      </c>
      <c r="R281" s="802"/>
      <c r="S281" s="803">
        <v>1102941</v>
      </c>
      <c r="T281" s="804">
        <v>-62151</v>
      </c>
      <c r="U281" s="804">
        <v>1040790</v>
      </c>
    </row>
    <row r="282" spans="1:21" x14ac:dyDescent="0.25">
      <c r="A282" s="799">
        <v>92913</v>
      </c>
      <c r="B282" s="800" t="s">
        <v>2900</v>
      </c>
      <c r="C282" s="801">
        <v>2.37E-5</v>
      </c>
      <c r="D282" s="801">
        <v>2.97E-5</v>
      </c>
      <c r="E282" s="802">
        <v>56296.04</v>
      </c>
      <c r="F282" s="802">
        <v>13329</v>
      </c>
      <c r="G282" s="802">
        <v>50299</v>
      </c>
      <c r="H282" s="802"/>
      <c r="I282" s="803">
        <v>945.03750000000002</v>
      </c>
      <c r="J282" s="803">
        <v>44078</v>
      </c>
      <c r="K282" s="803">
        <v>3445</v>
      </c>
      <c r="L282" s="802">
        <v>60788</v>
      </c>
      <c r="M282" s="802"/>
      <c r="N282" s="803">
        <v>1763</v>
      </c>
      <c r="O282" s="803">
        <v>16269</v>
      </c>
      <c r="P282" s="803">
        <v>0</v>
      </c>
      <c r="Q282" s="802">
        <v>4115</v>
      </c>
      <c r="R282" s="802"/>
      <c r="S282" s="803">
        <v>13444</v>
      </c>
      <c r="T282" s="804">
        <v>16266</v>
      </c>
      <c r="U282" s="804">
        <v>29711</v>
      </c>
    </row>
    <row r="283" spans="1:21" x14ac:dyDescent="0.25">
      <c r="A283" s="799">
        <v>92917</v>
      </c>
      <c r="B283" s="800" t="s">
        <v>2901</v>
      </c>
      <c r="C283" s="801">
        <v>2.0000000000000002E-5</v>
      </c>
      <c r="D283" s="801">
        <v>1.9599999999999999E-5</v>
      </c>
      <c r="E283" s="802">
        <v>15742</v>
      </c>
      <c r="F283" s="802">
        <v>8796</v>
      </c>
      <c r="G283" s="802">
        <v>42447</v>
      </c>
      <c r="H283" s="802"/>
      <c r="I283" s="803">
        <v>798</v>
      </c>
      <c r="J283" s="803">
        <v>37197</v>
      </c>
      <c r="K283" s="803">
        <v>2907</v>
      </c>
      <c r="L283" s="802">
        <v>14645</v>
      </c>
      <c r="M283" s="802"/>
      <c r="N283" s="803">
        <v>1487.38</v>
      </c>
      <c r="O283" s="803">
        <v>13729</v>
      </c>
      <c r="P283" s="803">
        <v>0</v>
      </c>
      <c r="Q283" s="802">
        <v>0</v>
      </c>
      <c r="R283" s="802"/>
      <c r="S283" s="803">
        <v>11345</v>
      </c>
      <c r="T283" s="804">
        <v>5366</v>
      </c>
      <c r="U283" s="804">
        <v>16711</v>
      </c>
    </row>
    <row r="284" spans="1:21" x14ac:dyDescent="0.25">
      <c r="A284" s="799">
        <v>92921</v>
      </c>
      <c r="B284" s="800" t="s">
        <v>2902</v>
      </c>
      <c r="C284" s="801">
        <v>6.2899999999999997E-5</v>
      </c>
      <c r="D284" s="801">
        <v>8.1500000000000002E-5</v>
      </c>
      <c r="E284" s="802">
        <v>34231</v>
      </c>
      <c r="F284" s="802">
        <v>36577</v>
      </c>
      <c r="G284" s="802">
        <v>133495</v>
      </c>
      <c r="H284" s="802"/>
      <c r="I284" s="803">
        <v>2508</v>
      </c>
      <c r="J284" s="803">
        <v>116984</v>
      </c>
      <c r="K284" s="803">
        <v>9143</v>
      </c>
      <c r="L284" s="802">
        <v>0</v>
      </c>
      <c r="M284" s="802"/>
      <c r="N284" s="803">
        <v>4678</v>
      </c>
      <c r="O284" s="803">
        <v>43178</v>
      </c>
      <c r="P284" s="803">
        <v>0</v>
      </c>
      <c r="Q284" s="802">
        <v>14056</v>
      </c>
      <c r="R284" s="802"/>
      <c r="S284" s="803">
        <v>35681</v>
      </c>
      <c r="T284" s="804">
        <v>-6225</v>
      </c>
      <c r="U284" s="804">
        <v>29456</v>
      </c>
    </row>
    <row r="285" spans="1:21" x14ac:dyDescent="0.25">
      <c r="A285" s="799">
        <v>92931</v>
      </c>
      <c r="B285" s="800" t="s">
        <v>2903</v>
      </c>
      <c r="C285" s="801">
        <v>2.5048000000000002E-3</v>
      </c>
      <c r="D285" s="801">
        <v>2.5463E-3</v>
      </c>
      <c r="E285" s="802">
        <v>948741</v>
      </c>
      <c r="F285" s="802">
        <v>1142764</v>
      </c>
      <c r="G285" s="802">
        <v>5316025</v>
      </c>
      <c r="H285" s="802"/>
      <c r="I285" s="803">
        <v>99879</v>
      </c>
      <c r="J285" s="803">
        <v>4658532</v>
      </c>
      <c r="K285" s="803">
        <v>364100</v>
      </c>
      <c r="L285" s="802">
        <v>15520</v>
      </c>
      <c r="M285" s="802"/>
      <c r="N285" s="803">
        <v>186279</v>
      </c>
      <c r="O285" s="803">
        <v>1719440</v>
      </c>
      <c r="P285" s="803">
        <v>0</v>
      </c>
      <c r="Q285" s="802">
        <v>116480</v>
      </c>
      <c r="R285" s="802"/>
      <c r="S285" s="803">
        <v>1420895</v>
      </c>
      <c r="T285" s="804">
        <v>-25186</v>
      </c>
      <c r="U285" s="804">
        <v>1395710</v>
      </c>
    </row>
    <row r="286" spans="1:21" x14ac:dyDescent="0.25">
      <c r="A286" s="799">
        <v>92941</v>
      </c>
      <c r="B286" s="800" t="s">
        <v>1426</v>
      </c>
      <c r="C286" s="801">
        <v>1.84E-5</v>
      </c>
      <c r="D286" s="801">
        <v>1.5999999999999999E-5</v>
      </c>
      <c r="E286" s="802">
        <v>7190</v>
      </c>
      <c r="F286" s="802">
        <v>7181</v>
      </c>
      <c r="G286" s="802">
        <v>39051</v>
      </c>
      <c r="H286" s="802"/>
      <c r="I286" s="803">
        <v>733.7</v>
      </c>
      <c r="J286" s="803">
        <v>34221</v>
      </c>
      <c r="K286" s="803">
        <v>2675</v>
      </c>
      <c r="L286" s="802">
        <v>10216</v>
      </c>
      <c r="M286" s="802"/>
      <c r="N286" s="803">
        <v>1368</v>
      </c>
      <c r="O286" s="803">
        <v>12631</v>
      </c>
      <c r="P286" s="803">
        <v>0</v>
      </c>
      <c r="Q286" s="802">
        <v>0</v>
      </c>
      <c r="R286" s="802"/>
      <c r="S286" s="803">
        <v>10438</v>
      </c>
      <c r="T286" s="804">
        <v>3605</v>
      </c>
      <c r="U286" s="804">
        <v>14042</v>
      </c>
    </row>
    <row r="287" spans="1:21" x14ac:dyDescent="0.25">
      <c r="A287" s="799">
        <v>93001</v>
      </c>
      <c r="B287" s="800" t="s">
        <v>2904</v>
      </c>
      <c r="C287" s="801">
        <v>2.2739000000000001E-3</v>
      </c>
      <c r="D287" s="801">
        <v>2.2177999999999998E-3</v>
      </c>
      <c r="E287" s="802">
        <v>863907.18</v>
      </c>
      <c r="F287" s="802">
        <v>995335</v>
      </c>
      <c r="G287" s="802">
        <v>4825978</v>
      </c>
      <c r="H287" s="802"/>
      <c r="I287" s="803">
        <v>90672</v>
      </c>
      <c r="J287" s="803">
        <v>4229095</v>
      </c>
      <c r="K287" s="803">
        <v>330536</v>
      </c>
      <c r="L287" s="802">
        <v>13531</v>
      </c>
      <c r="M287" s="802"/>
      <c r="N287" s="803">
        <v>169108</v>
      </c>
      <c r="O287" s="803">
        <v>1560937</v>
      </c>
      <c r="P287" s="803">
        <v>0</v>
      </c>
      <c r="Q287" s="802">
        <v>103635</v>
      </c>
      <c r="R287" s="802"/>
      <c r="S287" s="803">
        <v>1289913</v>
      </c>
      <c r="T287" s="804">
        <v>-40908</v>
      </c>
      <c r="U287" s="804">
        <v>1249005</v>
      </c>
    </row>
    <row r="288" spans="1:21" x14ac:dyDescent="0.25">
      <c r="A288" s="799">
        <v>93009</v>
      </c>
      <c r="B288" s="800" t="s">
        <v>2905</v>
      </c>
      <c r="C288" s="801">
        <v>1.5400000000000002E-5</v>
      </c>
      <c r="D288" s="801">
        <v>1.6399999999999999E-5</v>
      </c>
      <c r="E288" s="802">
        <v>4865</v>
      </c>
      <c r="F288" s="802">
        <v>7360</v>
      </c>
      <c r="G288" s="802">
        <v>32684</v>
      </c>
      <c r="H288" s="802"/>
      <c r="I288" s="803">
        <v>614</v>
      </c>
      <c r="J288" s="803">
        <v>28642</v>
      </c>
      <c r="K288" s="803">
        <v>2239</v>
      </c>
      <c r="L288" s="802">
        <v>0</v>
      </c>
      <c r="M288" s="802"/>
      <c r="N288" s="803">
        <v>1145</v>
      </c>
      <c r="O288" s="803">
        <v>10571</v>
      </c>
      <c r="P288" s="803">
        <v>0</v>
      </c>
      <c r="Q288" s="802">
        <v>4210</v>
      </c>
      <c r="R288" s="802"/>
      <c r="S288" s="803">
        <v>8736</v>
      </c>
      <c r="T288" s="804">
        <v>-1521</v>
      </c>
      <c r="U288" s="804">
        <v>7215</v>
      </c>
    </row>
    <row r="289" spans="1:21" x14ac:dyDescent="0.25">
      <c r="A289" s="799">
        <v>93011</v>
      </c>
      <c r="B289" s="800" t="s">
        <v>2906</v>
      </c>
      <c r="C289" s="801">
        <v>2.6160000000000002E-4</v>
      </c>
      <c r="D289" s="801">
        <v>2.9179999999999999E-4</v>
      </c>
      <c r="E289" s="802">
        <v>124242</v>
      </c>
      <c r="F289" s="802">
        <v>130958</v>
      </c>
      <c r="G289" s="802">
        <v>555203</v>
      </c>
      <c r="H289" s="802"/>
      <c r="I289" s="803">
        <v>10431</v>
      </c>
      <c r="J289" s="803">
        <v>486535</v>
      </c>
      <c r="K289" s="803">
        <v>38026</v>
      </c>
      <c r="L289" s="802">
        <v>2390</v>
      </c>
      <c r="M289" s="802"/>
      <c r="N289" s="803">
        <v>19455</v>
      </c>
      <c r="O289" s="803">
        <v>179577</v>
      </c>
      <c r="P289" s="803">
        <v>0</v>
      </c>
      <c r="Q289" s="802">
        <v>5043</v>
      </c>
      <c r="R289" s="802"/>
      <c r="S289" s="803">
        <v>148398</v>
      </c>
      <c r="T289" s="804">
        <v>-926</v>
      </c>
      <c r="U289" s="804">
        <v>147472</v>
      </c>
    </row>
    <row r="290" spans="1:21" x14ac:dyDescent="0.25">
      <c r="A290" s="799">
        <v>93021</v>
      </c>
      <c r="B290" s="800" t="s">
        <v>2907</v>
      </c>
      <c r="C290" s="801">
        <v>2.8900000000000001E-5</v>
      </c>
      <c r="D290" s="801">
        <v>3.7200000000000003E-5</v>
      </c>
      <c r="E290" s="802">
        <v>9086</v>
      </c>
      <c r="F290" s="802">
        <v>16695</v>
      </c>
      <c r="G290" s="802">
        <v>61335</v>
      </c>
      <c r="H290" s="802"/>
      <c r="I290" s="803">
        <v>1152.3875</v>
      </c>
      <c r="J290" s="803">
        <v>53749</v>
      </c>
      <c r="K290" s="803">
        <v>4201</v>
      </c>
      <c r="L290" s="802">
        <v>4054</v>
      </c>
      <c r="M290" s="802"/>
      <c r="N290" s="803">
        <v>2149</v>
      </c>
      <c r="O290" s="803">
        <v>19839</v>
      </c>
      <c r="P290" s="803">
        <v>0</v>
      </c>
      <c r="Q290" s="802">
        <v>6719</v>
      </c>
      <c r="R290" s="802"/>
      <c r="S290" s="803">
        <v>16394</v>
      </c>
      <c r="T290" s="804">
        <v>-87</v>
      </c>
      <c r="U290" s="804">
        <v>16307</v>
      </c>
    </row>
    <row r="291" spans="1:21" x14ac:dyDescent="0.25">
      <c r="A291" s="799">
        <v>93027</v>
      </c>
      <c r="B291" s="800" t="s">
        <v>2908</v>
      </c>
      <c r="C291" s="801">
        <v>1.6699999999999999E-5</v>
      </c>
      <c r="D291" s="801">
        <v>1.49E-5</v>
      </c>
      <c r="E291" s="802">
        <v>6777</v>
      </c>
      <c r="F291" s="802">
        <v>6687</v>
      </c>
      <c r="G291" s="802">
        <v>35443</v>
      </c>
      <c r="H291" s="802"/>
      <c r="I291" s="803">
        <v>665.91250000000002</v>
      </c>
      <c r="J291" s="803">
        <v>31059</v>
      </c>
      <c r="K291" s="803">
        <v>2428</v>
      </c>
      <c r="L291" s="802">
        <v>903</v>
      </c>
      <c r="M291" s="802"/>
      <c r="N291" s="803">
        <v>1242</v>
      </c>
      <c r="O291" s="803">
        <v>11464</v>
      </c>
      <c r="P291" s="803">
        <v>0</v>
      </c>
      <c r="Q291" s="802">
        <v>1496</v>
      </c>
      <c r="R291" s="802"/>
      <c r="S291" s="803">
        <v>9473</v>
      </c>
      <c r="T291" s="804">
        <v>-429</v>
      </c>
      <c r="U291" s="804">
        <v>9045</v>
      </c>
    </row>
    <row r="292" spans="1:21" x14ac:dyDescent="0.25">
      <c r="A292" s="799">
        <v>93031</v>
      </c>
      <c r="B292" s="800" t="s">
        <v>2909</v>
      </c>
      <c r="C292" s="801">
        <v>2.2399999999999999E-5</v>
      </c>
      <c r="D292" s="801">
        <v>1.4399999999999999E-5</v>
      </c>
      <c r="E292" s="802">
        <v>20149</v>
      </c>
      <c r="F292" s="802">
        <v>6463</v>
      </c>
      <c r="G292" s="802">
        <v>47540</v>
      </c>
      <c r="H292" s="802"/>
      <c r="I292" s="803">
        <v>893</v>
      </c>
      <c r="J292" s="803">
        <v>41660</v>
      </c>
      <c r="K292" s="803">
        <v>3256</v>
      </c>
      <c r="L292" s="802">
        <v>15165</v>
      </c>
      <c r="M292" s="802"/>
      <c r="N292" s="803">
        <v>1666</v>
      </c>
      <c r="O292" s="803">
        <v>15377</v>
      </c>
      <c r="P292" s="803">
        <v>0</v>
      </c>
      <c r="Q292" s="802">
        <v>444</v>
      </c>
      <c r="R292" s="802"/>
      <c r="S292" s="803">
        <v>12707</v>
      </c>
      <c r="T292" s="804">
        <v>3911</v>
      </c>
      <c r="U292" s="804">
        <v>16617</v>
      </c>
    </row>
    <row r="293" spans="1:21" x14ac:dyDescent="0.25">
      <c r="A293" s="799">
        <v>93101</v>
      </c>
      <c r="B293" s="800" t="s">
        <v>2910</v>
      </c>
      <c r="C293" s="801">
        <v>3.5771000000000002E-3</v>
      </c>
      <c r="D293" s="801">
        <v>3.2972000000000001E-3</v>
      </c>
      <c r="E293" s="802">
        <v>1332692</v>
      </c>
      <c r="F293" s="802">
        <v>1479764</v>
      </c>
      <c r="G293" s="802">
        <v>7591805</v>
      </c>
      <c r="H293" s="802"/>
      <c r="I293" s="803">
        <v>142637</v>
      </c>
      <c r="J293" s="803">
        <v>6652841</v>
      </c>
      <c r="K293" s="803">
        <v>519971</v>
      </c>
      <c r="L293" s="802">
        <v>172542</v>
      </c>
      <c r="M293" s="802"/>
      <c r="N293" s="803">
        <v>266025</v>
      </c>
      <c r="O293" s="803">
        <v>2455529</v>
      </c>
      <c r="P293" s="803">
        <v>0</v>
      </c>
      <c r="Q293" s="802">
        <v>0</v>
      </c>
      <c r="R293" s="802"/>
      <c r="S293" s="803">
        <v>2029178</v>
      </c>
      <c r="T293" s="804">
        <v>68285</v>
      </c>
      <c r="U293" s="804">
        <v>2097463</v>
      </c>
    </row>
    <row r="294" spans="1:21" x14ac:dyDescent="0.25">
      <c r="A294" s="799">
        <v>93103</v>
      </c>
      <c r="B294" s="800" t="s">
        <v>2103</v>
      </c>
      <c r="C294" s="801">
        <v>1.7200000000000001E-5</v>
      </c>
      <c r="D294" s="801">
        <v>0</v>
      </c>
      <c r="E294" s="802">
        <v>5178.82</v>
      </c>
      <c r="F294" s="802">
        <v>0</v>
      </c>
      <c r="G294" s="802">
        <v>36504</v>
      </c>
      <c r="H294" s="802"/>
      <c r="I294" s="803">
        <v>685.85</v>
      </c>
      <c r="J294" s="803">
        <v>31989</v>
      </c>
      <c r="K294" s="803">
        <v>2500</v>
      </c>
      <c r="L294" s="802">
        <v>9253</v>
      </c>
      <c r="M294" s="802"/>
      <c r="N294" s="803">
        <v>1279</v>
      </c>
      <c r="O294" s="803">
        <v>11807</v>
      </c>
      <c r="P294" s="803">
        <v>0</v>
      </c>
      <c r="Q294" s="802">
        <v>0</v>
      </c>
      <c r="R294" s="802"/>
      <c r="S294" s="803">
        <v>9757</v>
      </c>
      <c r="T294" s="804">
        <v>2535</v>
      </c>
      <c r="U294" s="804">
        <v>12292</v>
      </c>
    </row>
    <row r="295" spans="1:21" x14ac:dyDescent="0.25">
      <c r="A295" s="799">
        <v>93108</v>
      </c>
      <c r="B295" s="800" t="s">
        <v>2911</v>
      </c>
      <c r="C295" s="801">
        <v>2.5661999999999998E-3</v>
      </c>
      <c r="D295" s="801">
        <v>2.4540999999999999E-3</v>
      </c>
      <c r="E295" s="802">
        <v>1060595</v>
      </c>
      <c r="F295" s="802">
        <v>1101385</v>
      </c>
      <c r="G295" s="802">
        <v>5446336</v>
      </c>
      <c r="H295" s="802"/>
      <c r="I295" s="803">
        <v>102327</v>
      </c>
      <c r="J295" s="803">
        <v>4772727</v>
      </c>
      <c r="K295" s="803">
        <v>373025</v>
      </c>
      <c r="L295" s="802">
        <v>417043</v>
      </c>
      <c r="M295" s="802"/>
      <c r="N295" s="803">
        <v>190846</v>
      </c>
      <c r="O295" s="803">
        <v>1761589</v>
      </c>
      <c r="P295" s="803">
        <v>0</v>
      </c>
      <c r="Q295" s="802">
        <v>0</v>
      </c>
      <c r="R295" s="802"/>
      <c r="S295" s="803">
        <v>1455726</v>
      </c>
      <c r="T295" s="804">
        <v>180256</v>
      </c>
      <c r="U295" s="804">
        <v>1635982</v>
      </c>
    </row>
    <row r="296" spans="1:21" x14ac:dyDescent="0.25">
      <c r="A296" s="799">
        <v>93111</v>
      </c>
      <c r="B296" s="800" t="s">
        <v>2912</v>
      </c>
      <c r="C296" s="801">
        <v>7.08E-5</v>
      </c>
      <c r="D296" s="801">
        <v>7.3700000000000002E-5</v>
      </c>
      <c r="E296" s="802">
        <v>24671.1</v>
      </c>
      <c r="F296" s="802">
        <v>33076</v>
      </c>
      <c r="G296" s="802">
        <v>150261</v>
      </c>
      <c r="H296" s="802"/>
      <c r="I296" s="803">
        <v>2823.15</v>
      </c>
      <c r="J296" s="803">
        <v>131677</v>
      </c>
      <c r="K296" s="803">
        <v>10292</v>
      </c>
      <c r="L296" s="802">
        <v>0</v>
      </c>
      <c r="M296" s="802"/>
      <c r="N296" s="803">
        <v>5265</v>
      </c>
      <c r="O296" s="803">
        <v>48601</v>
      </c>
      <c r="P296" s="803">
        <v>0</v>
      </c>
      <c r="Q296" s="802">
        <v>10981</v>
      </c>
      <c r="R296" s="802"/>
      <c r="S296" s="803">
        <v>40163</v>
      </c>
      <c r="T296" s="804">
        <v>-3536</v>
      </c>
      <c r="U296" s="804">
        <v>36626</v>
      </c>
    </row>
    <row r="297" spans="1:21" x14ac:dyDescent="0.25">
      <c r="A297" s="799">
        <v>93121</v>
      </c>
      <c r="B297" s="800" t="s">
        <v>2913</v>
      </c>
      <c r="C297" s="801">
        <v>5.8900000000000002E-5</v>
      </c>
      <c r="D297" s="801">
        <v>7.4900000000000005E-5</v>
      </c>
      <c r="E297" s="802">
        <v>22115</v>
      </c>
      <c r="F297" s="802">
        <v>33615</v>
      </c>
      <c r="G297" s="802">
        <v>125006</v>
      </c>
      <c r="H297" s="802"/>
      <c r="I297" s="803">
        <v>2349</v>
      </c>
      <c r="J297" s="803">
        <v>109545</v>
      </c>
      <c r="K297" s="803">
        <v>8562</v>
      </c>
      <c r="L297" s="802">
        <v>0</v>
      </c>
      <c r="M297" s="802"/>
      <c r="N297" s="803">
        <v>4380</v>
      </c>
      <c r="O297" s="803">
        <v>40432</v>
      </c>
      <c r="P297" s="803">
        <v>0</v>
      </c>
      <c r="Q297" s="802">
        <v>13122</v>
      </c>
      <c r="R297" s="802"/>
      <c r="S297" s="803">
        <v>33412</v>
      </c>
      <c r="T297" s="804">
        <v>-4063</v>
      </c>
      <c r="U297" s="804">
        <v>29349</v>
      </c>
    </row>
    <row r="298" spans="1:21" x14ac:dyDescent="0.25">
      <c r="A298" s="799">
        <v>93127</v>
      </c>
      <c r="B298" s="800" t="s">
        <v>2914</v>
      </c>
      <c r="C298" s="801">
        <v>6.8000000000000001E-6</v>
      </c>
      <c r="D298" s="801">
        <v>7.7999999999999999E-6</v>
      </c>
      <c r="E298" s="802">
        <v>2815</v>
      </c>
      <c r="F298" s="802">
        <v>3501</v>
      </c>
      <c r="G298" s="802">
        <v>14432</v>
      </c>
      <c r="H298" s="802"/>
      <c r="I298" s="803">
        <v>271</v>
      </c>
      <c r="J298" s="803">
        <v>12647</v>
      </c>
      <c r="K298" s="803">
        <v>988</v>
      </c>
      <c r="L298" s="802">
        <v>0</v>
      </c>
      <c r="M298" s="802"/>
      <c r="N298" s="803">
        <v>506</v>
      </c>
      <c r="O298" s="803">
        <v>4668</v>
      </c>
      <c r="P298" s="803">
        <v>0</v>
      </c>
      <c r="Q298" s="802">
        <v>1132</v>
      </c>
      <c r="R298" s="802"/>
      <c r="S298" s="803">
        <v>3857</v>
      </c>
      <c r="T298" s="804">
        <v>-400</v>
      </c>
      <c r="U298" s="804">
        <v>3457</v>
      </c>
    </row>
    <row r="299" spans="1:21" x14ac:dyDescent="0.25">
      <c r="A299" s="799">
        <v>93131</v>
      </c>
      <c r="B299" s="800" t="s">
        <v>2915</v>
      </c>
      <c r="C299" s="801">
        <v>2.3939999999999999E-4</v>
      </c>
      <c r="D299" s="801">
        <v>2.3680000000000001E-4</v>
      </c>
      <c r="E299" s="802">
        <v>88660</v>
      </c>
      <c r="F299" s="802">
        <v>106274</v>
      </c>
      <c r="G299" s="802">
        <v>508087</v>
      </c>
      <c r="H299" s="802"/>
      <c r="I299" s="803">
        <v>9546</v>
      </c>
      <c r="J299" s="803">
        <v>445246</v>
      </c>
      <c r="K299" s="803">
        <v>34799</v>
      </c>
      <c r="L299" s="802">
        <v>13305</v>
      </c>
      <c r="M299" s="802"/>
      <c r="N299" s="803">
        <v>17804</v>
      </c>
      <c r="O299" s="803">
        <v>164338</v>
      </c>
      <c r="P299" s="803">
        <v>0</v>
      </c>
      <c r="Q299" s="802">
        <v>6369</v>
      </c>
      <c r="R299" s="802"/>
      <c r="S299" s="803">
        <v>135804</v>
      </c>
      <c r="T299" s="804">
        <v>3767</v>
      </c>
      <c r="U299" s="804">
        <v>139571</v>
      </c>
    </row>
    <row r="300" spans="1:21" x14ac:dyDescent="0.25">
      <c r="A300" s="799">
        <v>93137</v>
      </c>
      <c r="B300" s="800" t="s">
        <v>2916</v>
      </c>
      <c r="C300" s="801">
        <v>1.9E-6</v>
      </c>
      <c r="D300" s="801">
        <v>2.0999999999999998E-6</v>
      </c>
      <c r="E300" s="802">
        <v>1987</v>
      </c>
      <c r="F300" s="802">
        <v>942</v>
      </c>
      <c r="G300" s="802">
        <v>4032</v>
      </c>
      <c r="H300" s="802"/>
      <c r="I300" s="803">
        <v>75.762500000000003</v>
      </c>
      <c r="J300" s="803">
        <v>3534</v>
      </c>
      <c r="K300" s="803">
        <v>276</v>
      </c>
      <c r="L300" s="802">
        <v>1359</v>
      </c>
      <c r="M300" s="802"/>
      <c r="N300" s="803">
        <v>141</v>
      </c>
      <c r="O300" s="803">
        <v>1304</v>
      </c>
      <c r="P300" s="803">
        <v>0</v>
      </c>
      <c r="Q300" s="802">
        <v>0</v>
      </c>
      <c r="R300" s="802"/>
      <c r="S300" s="803">
        <v>1078</v>
      </c>
      <c r="T300" s="804">
        <v>401</v>
      </c>
      <c r="U300" s="804">
        <v>1479</v>
      </c>
    </row>
    <row r="301" spans="1:21" x14ac:dyDescent="0.25">
      <c r="A301" s="799">
        <v>93141</v>
      </c>
      <c r="B301" s="800" t="s">
        <v>2917</v>
      </c>
      <c r="C301" s="801">
        <v>4.5500000000000001E-5</v>
      </c>
      <c r="D301" s="801">
        <v>4.3399999999999998E-5</v>
      </c>
      <c r="E301" s="802">
        <v>16495.23</v>
      </c>
      <c r="F301" s="802">
        <v>19478</v>
      </c>
      <c r="G301" s="802">
        <v>96566</v>
      </c>
      <c r="H301" s="802"/>
      <c r="I301" s="803">
        <v>1814.3125</v>
      </c>
      <c r="J301" s="803">
        <v>84623</v>
      </c>
      <c r="K301" s="803">
        <v>6614</v>
      </c>
      <c r="L301" s="802">
        <v>4186.96</v>
      </c>
      <c r="M301" s="802"/>
      <c r="N301" s="803">
        <v>3384</v>
      </c>
      <c r="O301" s="803">
        <v>31234</v>
      </c>
      <c r="P301" s="803">
        <v>0</v>
      </c>
      <c r="Q301" s="802">
        <v>3505</v>
      </c>
      <c r="R301" s="802"/>
      <c r="S301" s="803">
        <v>25811</v>
      </c>
      <c r="T301" s="804">
        <v>920</v>
      </c>
      <c r="U301" s="804">
        <v>26731</v>
      </c>
    </row>
    <row r="302" spans="1:21" x14ac:dyDescent="0.25">
      <c r="A302" s="799">
        <v>93151</v>
      </c>
      <c r="B302" s="800" t="s">
        <v>2918</v>
      </c>
      <c r="C302" s="801">
        <v>3.6539999999999999E-4</v>
      </c>
      <c r="D302" s="801">
        <v>3.524E-4</v>
      </c>
      <c r="E302" s="802">
        <v>137522.13</v>
      </c>
      <c r="F302" s="802">
        <v>158155</v>
      </c>
      <c r="G302" s="802">
        <v>775501</v>
      </c>
      <c r="H302" s="802"/>
      <c r="I302" s="803">
        <v>14570</v>
      </c>
      <c r="J302" s="803">
        <v>679586</v>
      </c>
      <c r="K302" s="803">
        <v>53115</v>
      </c>
      <c r="L302" s="802">
        <v>5881</v>
      </c>
      <c r="M302" s="802"/>
      <c r="N302" s="803">
        <v>27174</v>
      </c>
      <c r="O302" s="803">
        <v>250832</v>
      </c>
      <c r="P302" s="803">
        <v>0</v>
      </c>
      <c r="Q302" s="802">
        <v>6297</v>
      </c>
      <c r="R302" s="802"/>
      <c r="S302" s="803">
        <v>207280</v>
      </c>
      <c r="T302" s="804">
        <v>-329</v>
      </c>
      <c r="U302" s="804">
        <v>206951</v>
      </c>
    </row>
    <row r="303" spans="1:21" x14ac:dyDescent="0.25">
      <c r="A303" s="799">
        <v>93157</v>
      </c>
      <c r="B303" s="800" t="s">
        <v>2919</v>
      </c>
      <c r="C303" s="801">
        <v>3.8E-6</v>
      </c>
      <c r="D303" s="801">
        <v>2.3999999999999999E-6</v>
      </c>
      <c r="E303" s="802">
        <v>4368.87</v>
      </c>
      <c r="F303" s="802">
        <v>1077</v>
      </c>
      <c r="G303" s="802">
        <v>8065</v>
      </c>
      <c r="H303" s="802"/>
      <c r="I303" s="803">
        <v>151.52500000000001</v>
      </c>
      <c r="J303" s="803">
        <v>7067</v>
      </c>
      <c r="K303" s="803">
        <v>552</v>
      </c>
      <c r="L303" s="802">
        <v>5676</v>
      </c>
      <c r="M303" s="802"/>
      <c r="N303" s="803">
        <v>283</v>
      </c>
      <c r="O303" s="803">
        <v>2609</v>
      </c>
      <c r="P303" s="803">
        <v>0</v>
      </c>
      <c r="Q303" s="802">
        <v>526</v>
      </c>
      <c r="R303" s="802"/>
      <c r="S303" s="803">
        <v>2156</v>
      </c>
      <c r="T303" s="804">
        <v>1938</v>
      </c>
      <c r="U303" s="804">
        <v>4094</v>
      </c>
    </row>
    <row r="304" spans="1:21" x14ac:dyDescent="0.25">
      <c r="A304" s="799">
        <v>93161</v>
      </c>
      <c r="B304" s="800" t="s">
        <v>2920</v>
      </c>
      <c r="C304" s="801">
        <v>6.2500000000000001E-5</v>
      </c>
      <c r="D304" s="801">
        <v>7.4400000000000006E-5</v>
      </c>
      <c r="E304" s="802">
        <v>37835</v>
      </c>
      <c r="F304" s="802">
        <v>33390</v>
      </c>
      <c r="G304" s="802">
        <v>132646</v>
      </c>
      <c r="H304" s="802"/>
      <c r="I304" s="803">
        <v>2492.1875</v>
      </c>
      <c r="J304" s="803">
        <v>116240</v>
      </c>
      <c r="K304" s="803">
        <v>9085.0625</v>
      </c>
      <c r="L304" s="802">
        <v>14075</v>
      </c>
      <c r="M304" s="802"/>
      <c r="N304" s="803">
        <v>4648.0625</v>
      </c>
      <c r="O304" s="803">
        <v>42903.625</v>
      </c>
      <c r="P304" s="803">
        <v>0</v>
      </c>
      <c r="Q304" s="802">
        <v>0</v>
      </c>
      <c r="R304" s="802"/>
      <c r="S304" s="803">
        <v>35454</v>
      </c>
      <c r="T304" s="804">
        <v>6018</v>
      </c>
      <c r="U304" s="804">
        <v>41472</v>
      </c>
    </row>
    <row r="305" spans="1:21" x14ac:dyDescent="0.25">
      <c r="A305" s="799">
        <v>93171</v>
      </c>
      <c r="B305" s="800" t="s">
        <v>2921</v>
      </c>
      <c r="C305" s="801">
        <v>5.8000000000000004E-6</v>
      </c>
      <c r="D305" s="801">
        <v>6.1999999999999999E-6</v>
      </c>
      <c r="E305" s="802">
        <v>3824</v>
      </c>
      <c r="F305" s="802">
        <v>2783</v>
      </c>
      <c r="G305" s="802">
        <v>12310</v>
      </c>
      <c r="H305" s="802"/>
      <c r="I305" s="803">
        <v>231.27500000000001</v>
      </c>
      <c r="J305" s="803">
        <v>10787</v>
      </c>
      <c r="K305" s="803">
        <v>843</v>
      </c>
      <c r="L305" s="802">
        <v>1752</v>
      </c>
      <c r="M305" s="802"/>
      <c r="N305" s="803">
        <v>431</v>
      </c>
      <c r="O305" s="803">
        <v>3981</v>
      </c>
      <c r="P305" s="803">
        <v>0</v>
      </c>
      <c r="Q305" s="802">
        <v>0</v>
      </c>
      <c r="R305" s="802"/>
      <c r="S305" s="803">
        <v>3290</v>
      </c>
      <c r="T305" s="804">
        <v>591</v>
      </c>
      <c r="U305" s="804">
        <v>3881</v>
      </c>
    </row>
    <row r="306" spans="1:21" x14ac:dyDescent="0.25">
      <c r="A306" s="799">
        <v>93181</v>
      </c>
      <c r="B306" s="800" t="s">
        <v>2922</v>
      </c>
      <c r="C306" s="801">
        <v>1.1E-5</v>
      </c>
      <c r="D306" s="801">
        <v>1.0499999999999999E-5</v>
      </c>
      <c r="E306" s="802">
        <v>4374</v>
      </c>
      <c r="F306" s="802">
        <v>4712</v>
      </c>
      <c r="G306" s="802">
        <v>23346</v>
      </c>
      <c r="H306" s="802"/>
      <c r="I306" s="803">
        <v>438.625</v>
      </c>
      <c r="J306" s="803">
        <v>20458</v>
      </c>
      <c r="K306" s="803">
        <v>1599</v>
      </c>
      <c r="L306" s="802">
        <v>743</v>
      </c>
      <c r="M306" s="802"/>
      <c r="N306" s="803">
        <v>818</v>
      </c>
      <c r="O306" s="803">
        <v>7551</v>
      </c>
      <c r="P306" s="803">
        <v>0</v>
      </c>
      <c r="Q306" s="802">
        <v>44</v>
      </c>
      <c r="R306" s="802"/>
      <c r="S306" s="803">
        <v>6240</v>
      </c>
      <c r="T306" s="804">
        <v>321</v>
      </c>
      <c r="U306" s="804">
        <v>6561</v>
      </c>
    </row>
    <row r="307" spans="1:21" x14ac:dyDescent="0.25">
      <c r="A307" s="799">
        <v>93191</v>
      </c>
      <c r="B307" s="800" t="s">
        <v>2923</v>
      </c>
      <c r="C307" s="801">
        <v>3.3000000000000003E-5</v>
      </c>
      <c r="D307" s="801">
        <v>3.65E-5</v>
      </c>
      <c r="E307" s="802">
        <v>16020</v>
      </c>
      <c r="F307" s="802">
        <v>16381</v>
      </c>
      <c r="G307" s="802">
        <v>70037</v>
      </c>
      <c r="H307" s="802"/>
      <c r="I307" s="803">
        <v>1315.875</v>
      </c>
      <c r="J307" s="803">
        <v>61375</v>
      </c>
      <c r="K307" s="803">
        <v>4797</v>
      </c>
      <c r="L307" s="802">
        <v>2648</v>
      </c>
      <c r="M307" s="802"/>
      <c r="N307" s="803">
        <v>2454</v>
      </c>
      <c r="O307" s="803">
        <v>22653</v>
      </c>
      <c r="P307" s="803">
        <v>0</v>
      </c>
      <c r="Q307" s="802">
        <v>1301.46</v>
      </c>
      <c r="R307" s="802"/>
      <c r="S307" s="803">
        <v>18720</v>
      </c>
      <c r="T307" s="804">
        <v>280</v>
      </c>
      <c r="U307" s="804">
        <v>19000</v>
      </c>
    </row>
    <row r="308" spans="1:21" x14ac:dyDescent="0.25">
      <c r="A308" s="799">
        <v>93201</v>
      </c>
      <c r="B308" s="800" t="s">
        <v>2924</v>
      </c>
      <c r="C308" s="801">
        <v>1.5819699999999999E-2</v>
      </c>
      <c r="D308" s="801">
        <v>1.50364E-2</v>
      </c>
      <c r="E308" s="802">
        <v>6525567</v>
      </c>
      <c r="F308" s="802">
        <v>6748246</v>
      </c>
      <c r="G308" s="802">
        <v>33574703</v>
      </c>
      <c r="H308" s="802"/>
      <c r="I308" s="803">
        <v>630811</v>
      </c>
      <c r="J308" s="803">
        <v>29422142</v>
      </c>
      <c r="K308" s="803">
        <v>2299567</v>
      </c>
      <c r="L308" s="802">
        <v>1259115</v>
      </c>
      <c r="M308" s="802"/>
      <c r="N308" s="803">
        <v>1176495</v>
      </c>
      <c r="O308" s="803">
        <v>10859560</v>
      </c>
      <c r="P308" s="803">
        <v>0</v>
      </c>
      <c r="Q308" s="802">
        <v>0</v>
      </c>
      <c r="R308" s="802"/>
      <c r="S308" s="803">
        <v>8974025</v>
      </c>
      <c r="T308" s="804">
        <v>449569</v>
      </c>
      <c r="U308" s="804">
        <v>9423595</v>
      </c>
    </row>
    <row r="309" spans="1:21" x14ac:dyDescent="0.25">
      <c r="A309" s="799">
        <v>93202</v>
      </c>
      <c r="B309" s="800" t="s">
        <v>2925</v>
      </c>
      <c r="C309" s="801">
        <v>0</v>
      </c>
      <c r="D309" s="801">
        <v>2.076E-4</v>
      </c>
      <c r="E309" s="802">
        <v>0</v>
      </c>
      <c r="F309" s="802">
        <v>93170</v>
      </c>
      <c r="G309" s="802">
        <v>0</v>
      </c>
      <c r="H309" s="802"/>
      <c r="I309" s="803">
        <v>0</v>
      </c>
      <c r="J309" s="803">
        <v>0</v>
      </c>
      <c r="K309" s="803">
        <v>0</v>
      </c>
      <c r="L309" s="802">
        <v>0</v>
      </c>
      <c r="M309" s="802"/>
      <c r="N309" s="803">
        <v>0</v>
      </c>
      <c r="O309" s="803">
        <v>0</v>
      </c>
      <c r="P309" s="803">
        <v>0</v>
      </c>
      <c r="Q309" s="802">
        <v>322063</v>
      </c>
      <c r="R309" s="802"/>
      <c r="S309" s="803">
        <v>0</v>
      </c>
      <c r="T309" s="804">
        <v>-109544</v>
      </c>
      <c r="U309" s="804">
        <v>-109544</v>
      </c>
    </row>
    <row r="310" spans="1:21" x14ac:dyDescent="0.25">
      <c r="A310" s="799">
        <v>93204</v>
      </c>
      <c r="B310" s="800" t="s">
        <v>2926</v>
      </c>
      <c r="C310" s="801">
        <v>2.9480000000000001E-4</v>
      </c>
      <c r="D310" s="801">
        <v>3.168E-4</v>
      </c>
      <c r="E310" s="802">
        <v>128269</v>
      </c>
      <c r="F310" s="802">
        <v>142178</v>
      </c>
      <c r="G310" s="802">
        <v>625664</v>
      </c>
      <c r="H310" s="802"/>
      <c r="I310" s="803">
        <v>11755.15</v>
      </c>
      <c r="J310" s="803">
        <v>548281</v>
      </c>
      <c r="K310" s="803">
        <v>42852</v>
      </c>
      <c r="L310" s="802">
        <v>6159</v>
      </c>
      <c r="M310" s="802"/>
      <c r="N310" s="803">
        <v>21924</v>
      </c>
      <c r="O310" s="803">
        <v>202368</v>
      </c>
      <c r="P310" s="803">
        <v>0</v>
      </c>
      <c r="Q310" s="802">
        <v>15903</v>
      </c>
      <c r="R310" s="802"/>
      <c r="S310" s="803">
        <v>167231</v>
      </c>
      <c r="T310" s="804">
        <v>-4266</v>
      </c>
      <c r="U310" s="804">
        <v>162965</v>
      </c>
    </row>
    <row r="311" spans="1:21" x14ac:dyDescent="0.25">
      <c r="A311" s="799">
        <v>93209</v>
      </c>
      <c r="B311" s="800" t="s">
        <v>2927</v>
      </c>
      <c r="C311" s="801">
        <v>4.5113999999999996E-3</v>
      </c>
      <c r="D311" s="801">
        <v>3.4578999999999999E-3</v>
      </c>
      <c r="E311" s="802">
        <v>1625225.44</v>
      </c>
      <c r="F311" s="802">
        <v>1551885</v>
      </c>
      <c r="G311" s="802">
        <v>9574702</v>
      </c>
      <c r="H311" s="802"/>
      <c r="I311" s="803">
        <v>179892</v>
      </c>
      <c r="J311" s="803">
        <v>8390491</v>
      </c>
      <c r="K311" s="803">
        <v>655782</v>
      </c>
      <c r="L311" s="802">
        <v>1306118</v>
      </c>
      <c r="M311" s="802"/>
      <c r="N311" s="803">
        <v>335508</v>
      </c>
      <c r="O311" s="803">
        <v>3096887</v>
      </c>
      <c r="P311" s="803">
        <v>0</v>
      </c>
      <c r="Q311" s="802">
        <v>0</v>
      </c>
      <c r="R311" s="802"/>
      <c r="S311" s="803">
        <v>2559177</v>
      </c>
      <c r="T311" s="804">
        <v>534418</v>
      </c>
      <c r="U311" s="804">
        <v>3093596</v>
      </c>
    </row>
    <row r="312" spans="1:21" x14ac:dyDescent="0.25">
      <c r="A312" s="799">
        <v>93211</v>
      </c>
      <c r="B312" s="800" t="s">
        <v>2928</v>
      </c>
      <c r="C312" s="801">
        <v>2.0456800000000001E-2</v>
      </c>
      <c r="D312" s="801">
        <v>2.1372599999999999E-2</v>
      </c>
      <c r="E312" s="802">
        <v>8152807</v>
      </c>
      <c r="F312" s="802">
        <v>9591895</v>
      </c>
      <c r="G312" s="802">
        <v>43416183</v>
      </c>
      <c r="H312" s="802"/>
      <c r="I312" s="803">
        <v>815714.9</v>
      </c>
      <c r="J312" s="803">
        <v>38046416</v>
      </c>
      <c r="K312" s="803">
        <v>2973621</v>
      </c>
      <c r="L312" s="802">
        <v>0</v>
      </c>
      <c r="M312" s="802"/>
      <c r="N312" s="803">
        <v>1521352</v>
      </c>
      <c r="O312" s="803">
        <v>14042734</v>
      </c>
      <c r="P312" s="803">
        <v>0</v>
      </c>
      <c r="Q312" s="802">
        <v>1405603</v>
      </c>
      <c r="R312" s="802"/>
      <c r="S312" s="803">
        <v>11604508</v>
      </c>
      <c r="T312" s="804">
        <v>-488705</v>
      </c>
      <c r="U312" s="804">
        <v>11115804</v>
      </c>
    </row>
    <row r="313" spans="1:21" x14ac:dyDescent="0.25">
      <c r="A313" s="799">
        <v>93212</v>
      </c>
      <c r="B313" s="800" t="s">
        <v>2929</v>
      </c>
      <c r="C313" s="801">
        <v>2.052E-4</v>
      </c>
      <c r="D313" s="801">
        <v>2.129E-4</v>
      </c>
      <c r="E313" s="802">
        <v>169265.99</v>
      </c>
      <c r="F313" s="802">
        <v>95548</v>
      </c>
      <c r="G313" s="802">
        <v>435503</v>
      </c>
      <c r="H313" s="802"/>
      <c r="I313" s="803">
        <v>8182.35</v>
      </c>
      <c r="J313" s="803">
        <v>381640</v>
      </c>
      <c r="K313" s="803">
        <v>29828</v>
      </c>
      <c r="L313" s="802">
        <v>106395</v>
      </c>
      <c r="M313" s="802"/>
      <c r="N313" s="803">
        <v>15261</v>
      </c>
      <c r="O313" s="803">
        <v>140861</v>
      </c>
      <c r="P313" s="803">
        <v>0</v>
      </c>
      <c r="Q313" s="802">
        <v>0</v>
      </c>
      <c r="R313" s="802"/>
      <c r="S313" s="803">
        <v>116404</v>
      </c>
      <c r="T313" s="804">
        <v>32351</v>
      </c>
      <c r="U313" s="804">
        <v>148755</v>
      </c>
    </row>
    <row r="314" spans="1:21" x14ac:dyDescent="0.25">
      <c r="A314" s="799">
        <v>93219</v>
      </c>
      <c r="B314" s="800" t="s">
        <v>2930</v>
      </c>
      <c r="C314" s="801">
        <v>2.286E-4</v>
      </c>
      <c r="D314" s="801">
        <v>2.41E-4</v>
      </c>
      <c r="E314" s="802">
        <v>96646.59</v>
      </c>
      <c r="F314" s="802">
        <v>108159</v>
      </c>
      <c r="G314" s="802">
        <v>485166</v>
      </c>
      <c r="H314" s="802"/>
      <c r="I314" s="803">
        <v>9115</v>
      </c>
      <c r="J314" s="803">
        <v>425160</v>
      </c>
      <c r="K314" s="803">
        <v>33230</v>
      </c>
      <c r="L314" s="802">
        <v>243</v>
      </c>
      <c r="M314" s="802"/>
      <c r="N314" s="803">
        <v>17001</v>
      </c>
      <c r="O314" s="803">
        <v>156924</v>
      </c>
      <c r="P314" s="803">
        <v>0</v>
      </c>
      <c r="Q314" s="802">
        <v>13406</v>
      </c>
      <c r="R314" s="802"/>
      <c r="S314" s="803">
        <v>129678</v>
      </c>
      <c r="T314" s="804">
        <v>-4190</v>
      </c>
      <c r="U314" s="804">
        <v>125487</v>
      </c>
    </row>
    <row r="315" spans="1:21" x14ac:dyDescent="0.25">
      <c r="A315" s="799">
        <v>93301</v>
      </c>
      <c r="B315" s="800" t="s">
        <v>2931</v>
      </c>
      <c r="C315" s="801">
        <v>2.5330999999999999E-3</v>
      </c>
      <c r="D315" s="801">
        <v>2.4084000000000002E-3</v>
      </c>
      <c r="E315" s="802">
        <v>1037164.56</v>
      </c>
      <c r="F315" s="802">
        <v>1080875</v>
      </c>
      <c r="G315" s="802">
        <v>5376087</v>
      </c>
      <c r="H315" s="802"/>
      <c r="I315" s="803">
        <v>101007</v>
      </c>
      <c r="J315" s="803">
        <v>4711166</v>
      </c>
      <c r="K315" s="803">
        <v>368214</v>
      </c>
      <c r="L315" s="802">
        <v>63934</v>
      </c>
      <c r="M315" s="802"/>
      <c r="N315" s="803">
        <v>188384</v>
      </c>
      <c r="O315" s="803">
        <v>1738867</v>
      </c>
      <c r="P315" s="803">
        <v>0</v>
      </c>
      <c r="Q315" s="802">
        <v>85549</v>
      </c>
      <c r="R315" s="802"/>
      <c r="S315" s="803">
        <v>1436949</v>
      </c>
      <c r="T315" s="804">
        <v>-17290</v>
      </c>
      <c r="U315" s="804">
        <v>1419659</v>
      </c>
    </row>
    <row r="316" spans="1:21" x14ac:dyDescent="0.25">
      <c r="A316" s="799">
        <v>93304</v>
      </c>
      <c r="B316" s="800" t="s">
        <v>2932</v>
      </c>
      <c r="C316" s="801">
        <v>3.4400000000000003E-5</v>
      </c>
      <c r="D316" s="801">
        <v>3.3399999999999999E-5</v>
      </c>
      <c r="E316" s="802">
        <v>16339</v>
      </c>
      <c r="F316" s="802">
        <v>14990</v>
      </c>
      <c r="G316" s="802">
        <v>73008</v>
      </c>
      <c r="H316" s="802"/>
      <c r="I316" s="803">
        <v>1371.7</v>
      </c>
      <c r="J316" s="803">
        <v>63979</v>
      </c>
      <c r="K316" s="803">
        <v>5000</v>
      </c>
      <c r="L316" s="802">
        <v>13604</v>
      </c>
      <c r="M316" s="802"/>
      <c r="N316" s="803">
        <v>2558</v>
      </c>
      <c r="O316" s="803">
        <v>23614</v>
      </c>
      <c r="P316" s="803">
        <v>0</v>
      </c>
      <c r="Q316" s="802">
        <v>0</v>
      </c>
      <c r="R316" s="802"/>
      <c r="S316" s="803">
        <v>19514</v>
      </c>
      <c r="T316" s="804">
        <v>4940</v>
      </c>
      <c r="U316" s="804">
        <v>24454</v>
      </c>
    </row>
    <row r="317" spans="1:21" x14ac:dyDescent="0.25">
      <c r="A317" s="799">
        <v>93305</v>
      </c>
      <c r="B317" s="800" t="s">
        <v>2933</v>
      </c>
      <c r="C317" s="801">
        <v>4.9400000000000001E-5</v>
      </c>
      <c r="D317" s="801">
        <v>5.13E-5</v>
      </c>
      <c r="E317" s="802">
        <v>18489</v>
      </c>
      <c r="F317" s="802">
        <v>23023</v>
      </c>
      <c r="G317" s="802">
        <v>104843</v>
      </c>
      <c r="H317" s="802"/>
      <c r="I317" s="803">
        <v>1969.825</v>
      </c>
      <c r="J317" s="803">
        <v>91876</v>
      </c>
      <c r="K317" s="803">
        <v>7181</v>
      </c>
      <c r="L317" s="802">
        <v>0</v>
      </c>
      <c r="M317" s="802"/>
      <c r="N317" s="803">
        <v>3674</v>
      </c>
      <c r="O317" s="803">
        <v>33911</v>
      </c>
      <c r="P317" s="803">
        <v>0</v>
      </c>
      <c r="Q317" s="802">
        <v>3536</v>
      </c>
      <c r="R317" s="802"/>
      <c r="S317" s="803">
        <v>28023</v>
      </c>
      <c r="T317" s="804">
        <v>-1124</v>
      </c>
      <c r="U317" s="804">
        <v>26899</v>
      </c>
    </row>
    <row r="318" spans="1:21" x14ac:dyDescent="0.25">
      <c r="A318" s="799">
        <v>93309</v>
      </c>
      <c r="B318" s="800" t="s">
        <v>2934</v>
      </c>
      <c r="C318" s="801">
        <v>1.716E-4</v>
      </c>
      <c r="D318" s="801">
        <v>1.5359999999999999E-4</v>
      </c>
      <c r="E318" s="802">
        <v>79731.47</v>
      </c>
      <c r="F318" s="802">
        <v>68935</v>
      </c>
      <c r="G318" s="802">
        <v>364193</v>
      </c>
      <c r="H318" s="802"/>
      <c r="I318" s="803">
        <v>6842.55</v>
      </c>
      <c r="J318" s="803">
        <v>319149</v>
      </c>
      <c r="K318" s="803">
        <v>24944</v>
      </c>
      <c r="L318" s="802">
        <v>23583</v>
      </c>
      <c r="M318" s="802"/>
      <c r="N318" s="803">
        <v>12762</v>
      </c>
      <c r="O318" s="803">
        <v>117796</v>
      </c>
      <c r="P318" s="803">
        <v>0</v>
      </c>
      <c r="Q318" s="802">
        <v>1972</v>
      </c>
      <c r="R318" s="802"/>
      <c r="S318" s="803">
        <v>97343</v>
      </c>
      <c r="T318" s="804">
        <v>5745</v>
      </c>
      <c r="U318" s="804">
        <v>103088</v>
      </c>
    </row>
    <row r="319" spans="1:21" x14ac:dyDescent="0.25">
      <c r="A319" s="799">
        <v>93311</v>
      </c>
      <c r="B319" s="800" t="s">
        <v>2935</v>
      </c>
      <c r="C319" s="801">
        <v>1.1567000000000001E-3</v>
      </c>
      <c r="D319" s="801">
        <v>1.2727000000000001E-3</v>
      </c>
      <c r="E319" s="802">
        <v>452858.55</v>
      </c>
      <c r="F319" s="802">
        <v>571180</v>
      </c>
      <c r="G319" s="802">
        <v>2454905</v>
      </c>
      <c r="H319" s="802"/>
      <c r="I319" s="803">
        <v>46123</v>
      </c>
      <c r="J319" s="803">
        <v>2151279</v>
      </c>
      <c r="K319" s="803">
        <v>168139</v>
      </c>
      <c r="L319" s="802">
        <v>0</v>
      </c>
      <c r="M319" s="802"/>
      <c r="N319" s="803">
        <v>86023</v>
      </c>
      <c r="O319" s="803">
        <v>794026</v>
      </c>
      <c r="P319" s="803">
        <v>0</v>
      </c>
      <c r="Q319" s="802">
        <v>121847</v>
      </c>
      <c r="R319" s="802"/>
      <c r="S319" s="803">
        <v>656160</v>
      </c>
      <c r="T319" s="804">
        <v>-38102</v>
      </c>
      <c r="U319" s="804">
        <v>618058</v>
      </c>
    </row>
    <row r="320" spans="1:21" x14ac:dyDescent="0.25">
      <c r="A320" s="799">
        <v>93317</v>
      </c>
      <c r="B320" s="800" t="s">
        <v>2936</v>
      </c>
      <c r="C320" s="801">
        <v>4.8099999999999997E-5</v>
      </c>
      <c r="D320" s="801">
        <v>4.6600000000000001E-5</v>
      </c>
      <c r="E320" s="802">
        <v>19409</v>
      </c>
      <c r="F320" s="802">
        <v>20914</v>
      </c>
      <c r="G320" s="802">
        <v>102084</v>
      </c>
      <c r="H320" s="802"/>
      <c r="I320" s="803">
        <v>1918</v>
      </c>
      <c r="J320" s="803">
        <v>89458</v>
      </c>
      <c r="K320" s="803">
        <v>6992</v>
      </c>
      <c r="L320" s="802">
        <v>606</v>
      </c>
      <c r="M320" s="802"/>
      <c r="N320" s="803">
        <v>3577</v>
      </c>
      <c r="O320" s="803">
        <v>33019</v>
      </c>
      <c r="P320" s="803">
        <v>0</v>
      </c>
      <c r="Q320" s="802">
        <v>557</v>
      </c>
      <c r="R320" s="802"/>
      <c r="S320" s="803">
        <v>27286</v>
      </c>
      <c r="T320" s="804">
        <v>-115</v>
      </c>
      <c r="U320" s="804">
        <v>27171</v>
      </c>
    </row>
    <row r="321" spans="1:21" x14ac:dyDescent="0.25">
      <c r="A321" s="799">
        <v>93321</v>
      </c>
      <c r="B321" s="800" t="s">
        <v>2937</v>
      </c>
      <c r="C321" s="801">
        <v>7.4706E-3</v>
      </c>
      <c r="D321" s="801">
        <v>7.7070000000000003E-3</v>
      </c>
      <c r="E321" s="802">
        <v>2840093.51</v>
      </c>
      <c r="F321" s="802">
        <v>3458855</v>
      </c>
      <c r="G321" s="802">
        <v>15855116</v>
      </c>
      <c r="H321" s="802"/>
      <c r="I321" s="803">
        <v>297890</v>
      </c>
      <c r="J321" s="803">
        <v>13894136</v>
      </c>
      <c r="K321" s="803">
        <v>1085934</v>
      </c>
      <c r="L321" s="802">
        <v>0</v>
      </c>
      <c r="M321" s="802"/>
      <c r="N321" s="803">
        <v>555581</v>
      </c>
      <c r="O321" s="803">
        <v>5128253</v>
      </c>
      <c r="P321" s="803">
        <v>0</v>
      </c>
      <c r="Q321" s="802">
        <v>746070</v>
      </c>
      <c r="R321" s="802"/>
      <c r="S321" s="803">
        <v>4237840</v>
      </c>
      <c r="T321" s="804">
        <v>-276901</v>
      </c>
      <c r="U321" s="804">
        <v>3960939</v>
      </c>
    </row>
    <row r="322" spans="1:21" x14ac:dyDescent="0.25">
      <c r="A322" s="799">
        <v>93323</v>
      </c>
      <c r="B322" s="800" t="s">
        <v>2938</v>
      </c>
      <c r="C322" s="801">
        <v>1.0200000000000001E-5</v>
      </c>
      <c r="D322" s="801">
        <v>1.4600000000000001E-5</v>
      </c>
      <c r="E322" s="802">
        <v>5325.71</v>
      </c>
      <c r="F322" s="802">
        <v>6552</v>
      </c>
      <c r="G322" s="802">
        <v>21648</v>
      </c>
      <c r="H322" s="802"/>
      <c r="I322" s="803">
        <v>406.72500000000002</v>
      </c>
      <c r="J322" s="803">
        <v>18970</v>
      </c>
      <c r="K322" s="803">
        <v>1483</v>
      </c>
      <c r="L322" s="802">
        <v>2836</v>
      </c>
      <c r="M322" s="802"/>
      <c r="N322" s="803">
        <v>759</v>
      </c>
      <c r="O322" s="803">
        <v>7002</v>
      </c>
      <c r="P322" s="803">
        <v>0</v>
      </c>
      <c r="Q322" s="802">
        <v>1485</v>
      </c>
      <c r="R322" s="802"/>
      <c r="S322" s="803">
        <v>5786</v>
      </c>
      <c r="T322" s="804">
        <v>784</v>
      </c>
      <c r="U322" s="804">
        <v>6570</v>
      </c>
    </row>
    <row r="323" spans="1:21" x14ac:dyDescent="0.25">
      <c r="A323" s="799">
        <v>93331</v>
      </c>
      <c r="B323" s="800" t="s">
        <v>2939</v>
      </c>
      <c r="C323" s="801">
        <v>1.3090000000000001E-4</v>
      </c>
      <c r="D323" s="801">
        <v>1.1909999999999999E-4</v>
      </c>
      <c r="E323" s="802">
        <v>46762.55</v>
      </c>
      <c r="F323" s="802">
        <v>53451</v>
      </c>
      <c r="G323" s="802">
        <v>277814</v>
      </c>
      <c r="H323" s="802"/>
      <c r="I323" s="803">
        <v>5220</v>
      </c>
      <c r="J323" s="803">
        <v>243453</v>
      </c>
      <c r="K323" s="803">
        <v>19028</v>
      </c>
      <c r="L323" s="802">
        <v>4668</v>
      </c>
      <c r="M323" s="802"/>
      <c r="N323" s="803">
        <v>9735</v>
      </c>
      <c r="O323" s="803">
        <v>89857</v>
      </c>
      <c r="P323" s="803">
        <v>0</v>
      </c>
      <c r="Q323" s="802">
        <v>9208</v>
      </c>
      <c r="R323" s="802"/>
      <c r="S323" s="803">
        <v>74256</v>
      </c>
      <c r="T323" s="804">
        <v>-1109</v>
      </c>
      <c r="U323" s="804">
        <v>73147</v>
      </c>
    </row>
    <row r="324" spans="1:21" x14ac:dyDescent="0.25">
      <c r="A324" s="799">
        <v>93333</v>
      </c>
      <c r="B324" s="800" t="s">
        <v>2940</v>
      </c>
      <c r="C324" s="801">
        <v>1.9990000000000001E-4</v>
      </c>
      <c r="D324" s="801">
        <v>2.1479999999999999E-4</v>
      </c>
      <c r="E324" s="802">
        <v>201284.12</v>
      </c>
      <c r="F324" s="802">
        <v>96401</v>
      </c>
      <c r="G324" s="802">
        <v>424255</v>
      </c>
      <c r="H324" s="802"/>
      <c r="I324" s="803">
        <v>7971</v>
      </c>
      <c r="J324" s="803">
        <v>371782</v>
      </c>
      <c r="K324" s="803">
        <v>29058</v>
      </c>
      <c r="L324" s="802">
        <v>178353</v>
      </c>
      <c r="M324" s="802"/>
      <c r="N324" s="803">
        <v>14866</v>
      </c>
      <c r="O324" s="803">
        <v>137223</v>
      </c>
      <c r="P324" s="803">
        <v>0</v>
      </c>
      <c r="Q324" s="802">
        <v>0</v>
      </c>
      <c r="R324" s="802"/>
      <c r="S324" s="803">
        <v>113397</v>
      </c>
      <c r="T324" s="804">
        <v>56479</v>
      </c>
      <c r="U324" s="804">
        <v>169876</v>
      </c>
    </row>
    <row r="325" spans="1:21" x14ac:dyDescent="0.25">
      <c r="A325" s="799">
        <v>93341</v>
      </c>
      <c r="B325" s="800" t="s">
        <v>2941</v>
      </c>
      <c r="C325" s="801">
        <v>2.73E-5</v>
      </c>
      <c r="D325" s="801">
        <v>2.6699999999999998E-5</v>
      </c>
      <c r="E325" s="802">
        <v>12881</v>
      </c>
      <c r="F325" s="802">
        <v>11983</v>
      </c>
      <c r="G325" s="802">
        <v>57940</v>
      </c>
      <c r="H325" s="802"/>
      <c r="I325" s="803">
        <v>1089</v>
      </c>
      <c r="J325" s="803">
        <v>50774</v>
      </c>
      <c r="K325" s="803">
        <v>3968</v>
      </c>
      <c r="L325" s="802">
        <v>2789</v>
      </c>
      <c r="M325" s="802"/>
      <c r="N325" s="803">
        <v>2030</v>
      </c>
      <c r="O325" s="803">
        <v>18740</v>
      </c>
      <c r="P325" s="803">
        <v>0</v>
      </c>
      <c r="Q325" s="802">
        <v>0</v>
      </c>
      <c r="R325" s="802"/>
      <c r="S325" s="803">
        <v>15486</v>
      </c>
      <c r="T325" s="804">
        <v>923</v>
      </c>
      <c r="U325" s="804">
        <v>16410</v>
      </c>
    </row>
    <row r="326" spans="1:21" x14ac:dyDescent="0.25">
      <c r="A326" s="799">
        <v>93351</v>
      </c>
      <c r="B326" s="800" t="s">
        <v>2942</v>
      </c>
      <c r="C326" s="801">
        <v>1.5999999999999999E-5</v>
      </c>
      <c r="D326" s="801">
        <v>5.4999999999999999E-6</v>
      </c>
      <c r="E326" s="802">
        <v>10006.02</v>
      </c>
      <c r="F326" s="802">
        <v>2468</v>
      </c>
      <c r="G326" s="802">
        <v>33957.360000000001</v>
      </c>
      <c r="H326" s="802"/>
      <c r="I326" s="803">
        <v>638</v>
      </c>
      <c r="J326" s="803">
        <v>29757</v>
      </c>
      <c r="K326" s="803">
        <v>2326</v>
      </c>
      <c r="L326" s="802">
        <v>8409</v>
      </c>
      <c r="M326" s="802"/>
      <c r="N326" s="803">
        <v>1190</v>
      </c>
      <c r="O326" s="803">
        <v>10983</v>
      </c>
      <c r="P326" s="803">
        <v>0</v>
      </c>
      <c r="Q326" s="802">
        <v>6601</v>
      </c>
      <c r="R326" s="802"/>
      <c r="S326" s="803">
        <v>9076</v>
      </c>
      <c r="T326" s="804">
        <v>-253</v>
      </c>
      <c r="U326" s="804">
        <v>8823</v>
      </c>
    </row>
    <row r="327" spans="1:21" x14ac:dyDescent="0.25">
      <c r="A327" s="799">
        <v>93401</v>
      </c>
      <c r="B327" s="800" t="s">
        <v>2943</v>
      </c>
      <c r="C327" s="801">
        <v>1.37997E-2</v>
      </c>
      <c r="D327" s="801">
        <v>1.4001899999999999E-2</v>
      </c>
      <c r="E327" s="802">
        <v>5646375</v>
      </c>
      <c r="F327" s="802">
        <v>6283969</v>
      </c>
      <c r="G327" s="802">
        <v>29287586</v>
      </c>
      <c r="H327" s="802"/>
      <c r="I327" s="803">
        <v>550263</v>
      </c>
      <c r="J327" s="803">
        <v>25665262</v>
      </c>
      <c r="K327" s="803">
        <v>2005938</v>
      </c>
      <c r="L327" s="802">
        <v>111475</v>
      </c>
      <c r="M327" s="802"/>
      <c r="N327" s="803">
        <v>1026270</v>
      </c>
      <c r="O327" s="803">
        <v>9472914</v>
      </c>
      <c r="P327" s="803">
        <v>0</v>
      </c>
      <c r="Q327" s="802">
        <v>309143</v>
      </c>
      <c r="R327" s="802"/>
      <c r="S327" s="803">
        <v>7828142</v>
      </c>
      <c r="T327" s="804">
        <v>-83612</v>
      </c>
      <c r="U327" s="804">
        <v>7744530</v>
      </c>
    </row>
    <row r="328" spans="1:21" x14ac:dyDescent="0.25">
      <c r="A328" s="799">
        <v>93402</v>
      </c>
      <c r="B328" s="800" t="s">
        <v>2944</v>
      </c>
      <c r="C328" s="801">
        <v>9.2999999999999997E-5</v>
      </c>
      <c r="D328" s="801">
        <v>9.4400000000000004E-5</v>
      </c>
      <c r="E328" s="802">
        <v>35918</v>
      </c>
      <c r="F328" s="802">
        <v>42366</v>
      </c>
      <c r="G328" s="802">
        <v>197377</v>
      </c>
      <c r="H328" s="802"/>
      <c r="I328" s="803">
        <v>3708.375</v>
      </c>
      <c r="J328" s="803">
        <v>172965</v>
      </c>
      <c r="K328" s="803">
        <v>13519</v>
      </c>
      <c r="L328" s="802">
        <v>9628</v>
      </c>
      <c r="M328" s="802"/>
      <c r="N328" s="803">
        <v>6916</v>
      </c>
      <c r="O328" s="803">
        <v>63841</v>
      </c>
      <c r="P328" s="803">
        <v>0</v>
      </c>
      <c r="Q328" s="802">
        <v>2607</v>
      </c>
      <c r="R328" s="802"/>
      <c r="S328" s="803">
        <v>52756</v>
      </c>
      <c r="T328" s="804">
        <v>3407</v>
      </c>
      <c r="U328" s="804">
        <v>56163</v>
      </c>
    </row>
    <row r="329" spans="1:21" x14ac:dyDescent="0.25">
      <c r="A329" s="799">
        <v>93406</v>
      </c>
      <c r="B329" s="800" t="s">
        <v>2945</v>
      </c>
      <c r="C329" s="801">
        <v>7.1170000000000001E-4</v>
      </c>
      <c r="D329" s="801">
        <v>7.0850000000000004E-4</v>
      </c>
      <c r="E329" s="802">
        <v>298926.93</v>
      </c>
      <c r="F329" s="802">
        <v>317971</v>
      </c>
      <c r="G329" s="802">
        <v>1510466</v>
      </c>
      <c r="H329" s="802"/>
      <c r="I329" s="803">
        <v>28379</v>
      </c>
      <c r="J329" s="803">
        <v>1323650</v>
      </c>
      <c r="K329" s="803">
        <v>103453</v>
      </c>
      <c r="L329" s="802">
        <v>45100</v>
      </c>
      <c r="M329" s="802"/>
      <c r="N329" s="803">
        <v>52928</v>
      </c>
      <c r="O329" s="803">
        <v>488552</v>
      </c>
      <c r="P329" s="803">
        <v>0</v>
      </c>
      <c r="Q329" s="802">
        <v>0</v>
      </c>
      <c r="R329" s="802"/>
      <c r="S329" s="803">
        <v>403725</v>
      </c>
      <c r="T329" s="804">
        <v>19044</v>
      </c>
      <c r="U329" s="804">
        <v>422769</v>
      </c>
    </row>
    <row r="330" spans="1:21" x14ac:dyDescent="0.25">
      <c r="A330" s="799">
        <v>93408</v>
      </c>
      <c r="B330" s="800" t="s">
        <v>2946</v>
      </c>
      <c r="C330" s="801">
        <v>1.8967999999999999E-3</v>
      </c>
      <c r="D330" s="801">
        <v>1.7309000000000001E-3</v>
      </c>
      <c r="E330" s="802">
        <v>0</v>
      </c>
      <c r="F330" s="802">
        <v>776818</v>
      </c>
      <c r="G330" s="802">
        <v>4025645</v>
      </c>
      <c r="H330" s="802"/>
      <c r="I330" s="803">
        <v>75635</v>
      </c>
      <c r="J330" s="803">
        <v>3527748</v>
      </c>
      <c r="K330" s="803">
        <v>275721</v>
      </c>
      <c r="L330" s="802">
        <v>321789</v>
      </c>
      <c r="M330" s="802"/>
      <c r="N330" s="803">
        <v>141063</v>
      </c>
      <c r="O330" s="803">
        <v>1302074</v>
      </c>
      <c r="P330" s="803">
        <v>0</v>
      </c>
      <c r="Q330" s="802">
        <v>529672</v>
      </c>
      <c r="R330" s="802"/>
      <c r="S330" s="803">
        <v>1075996</v>
      </c>
      <c r="T330" s="804">
        <v>10994</v>
      </c>
      <c r="U330" s="804">
        <v>1086990</v>
      </c>
    </row>
    <row r="331" spans="1:21" x14ac:dyDescent="0.25">
      <c r="A331" s="799">
        <v>93411</v>
      </c>
      <c r="B331" s="800" t="s">
        <v>2947</v>
      </c>
      <c r="C331" s="801">
        <v>1.73309E-2</v>
      </c>
      <c r="D331" s="801">
        <v>1.8002500000000001E-2</v>
      </c>
      <c r="E331" s="802">
        <v>7066227</v>
      </c>
      <c r="F331" s="802">
        <v>8079414</v>
      </c>
      <c r="G331" s="802">
        <v>36781976</v>
      </c>
      <c r="H331" s="802"/>
      <c r="I331" s="803">
        <v>691070</v>
      </c>
      <c r="J331" s="803">
        <v>32232736</v>
      </c>
      <c r="K331" s="803">
        <v>2519237</v>
      </c>
      <c r="L331" s="802">
        <v>0</v>
      </c>
      <c r="M331" s="802"/>
      <c r="N331" s="803">
        <v>1288882</v>
      </c>
      <c r="O331" s="803">
        <v>11896935</v>
      </c>
      <c r="P331" s="803">
        <v>0</v>
      </c>
      <c r="Q331" s="802">
        <v>963900</v>
      </c>
      <c r="R331" s="802"/>
      <c r="S331" s="803">
        <v>9831282</v>
      </c>
      <c r="T331" s="804">
        <v>-369146</v>
      </c>
      <c r="U331" s="804">
        <v>9462137</v>
      </c>
    </row>
    <row r="332" spans="1:21" x14ac:dyDescent="0.25">
      <c r="A332" s="799">
        <v>93413</v>
      </c>
      <c r="B332" s="800" t="s">
        <v>2948</v>
      </c>
      <c r="C332" s="801">
        <v>8.0130000000000002E-4</v>
      </c>
      <c r="D332" s="801">
        <v>8.6039999999999999E-4</v>
      </c>
      <c r="E332" s="802">
        <v>344103.62</v>
      </c>
      <c r="F332" s="802">
        <v>386142</v>
      </c>
      <c r="G332" s="802">
        <v>1700627</v>
      </c>
      <c r="H332" s="802"/>
      <c r="I332" s="803">
        <v>31952</v>
      </c>
      <c r="J332" s="803">
        <v>1490291</v>
      </c>
      <c r="K332" s="803">
        <v>116478</v>
      </c>
      <c r="L332" s="802">
        <v>0</v>
      </c>
      <c r="M332" s="802"/>
      <c r="N332" s="803">
        <v>59592</v>
      </c>
      <c r="O332" s="803">
        <v>550059</v>
      </c>
      <c r="P332" s="803">
        <v>0</v>
      </c>
      <c r="Q332" s="802">
        <v>52213</v>
      </c>
      <c r="R332" s="802"/>
      <c r="S332" s="803">
        <v>454553</v>
      </c>
      <c r="T332" s="804">
        <v>-17374</v>
      </c>
      <c r="U332" s="804">
        <v>437179</v>
      </c>
    </row>
    <row r="333" spans="1:21" x14ac:dyDescent="0.25">
      <c r="A333" s="799">
        <v>93417</v>
      </c>
      <c r="B333" s="800" t="s">
        <v>2949</v>
      </c>
      <c r="C333" s="801">
        <v>4.1130000000000002E-4</v>
      </c>
      <c r="D333" s="801">
        <v>4.2470000000000002E-4</v>
      </c>
      <c r="E333" s="802">
        <v>180699</v>
      </c>
      <c r="F333" s="802">
        <v>190603</v>
      </c>
      <c r="G333" s="802">
        <v>872916</v>
      </c>
      <c r="H333" s="802"/>
      <c r="I333" s="803">
        <v>16401</v>
      </c>
      <c r="J333" s="803">
        <v>764953</v>
      </c>
      <c r="K333" s="803">
        <v>59787</v>
      </c>
      <c r="L333" s="802">
        <v>29582</v>
      </c>
      <c r="M333" s="802"/>
      <c r="N333" s="803">
        <v>30588</v>
      </c>
      <c r="O333" s="803">
        <v>282340</v>
      </c>
      <c r="P333" s="803">
        <v>0</v>
      </c>
      <c r="Q333" s="802">
        <v>0</v>
      </c>
      <c r="R333" s="802"/>
      <c r="S333" s="803">
        <v>233318</v>
      </c>
      <c r="T333" s="804">
        <v>14150</v>
      </c>
      <c r="U333" s="804">
        <v>247468</v>
      </c>
    </row>
    <row r="334" spans="1:21" x14ac:dyDescent="0.25">
      <c r="A334" s="799">
        <v>93421</v>
      </c>
      <c r="B334" s="800" t="s">
        <v>2950</v>
      </c>
      <c r="C334" s="801">
        <v>2.1646E-3</v>
      </c>
      <c r="D334" s="801">
        <v>2.2629E-3</v>
      </c>
      <c r="E334" s="802">
        <v>806586</v>
      </c>
      <c r="F334" s="802">
        <v>1015576</v>
      </c>
      <c r="G334" s="802">
        <v>4594006</v>
      </c>
      <c r="H334" s="802"/>
      <c r="I334" s="803">
        <v>86313</v>
      </c>
      <c r="J334" s="803">
        <v>4025814</v>
      </c>
      <c r="K334" s="803">
        <v>314648</v>
      </c>
      <c r="L334" s="802">
        <v>0</v>
      </c>
      <c r="M334" s="802"/>
      <c r="N334" s="803">
        <v>160979</v>
      </c>
      <c r="O334" s="803">
        <v>1485907</v>
      </c>
      <c r="P334" s="803">
        <v>0</v>
      </c>
      <c r="Q334" s="802">
        <v>286111</v>
      </c>
      <c r="R334" s="802"/>
      <c r="S334" s="803">
        <v>1227910</v>
      </c>
      <c r="T334" s="804">
        <v>-103829</v>
      </c>
      <c r="U334" s="804">
        <v>1124081</v>
      </c>
    </row>
    <row r="335" spans="1:21" x14ac:dyDescent="0.25">
      <c r="A335" s="799">
        <v>93431</v>
      </c>
      <c r="B335" s="800" t="s">
        <v>2951</v>
      </c>
      <c r="C335" s="801">
        <v>1.127E-4</v>
      </c>
      <c r="D335" s="801">
        <v>1.3469999999999999E-4</v>
      </c>
      <c r="E335" s="802">
        <v>53588</v>
      </c>
      <c r="F335" s="802">
        <v>60453</v>
      </c>
      <c r="G335" s="802">
        <v>239187</v>
      </c>
      <c r="H335" s="802"/>
      <c r="I335" s="803">
        <v>4494</v>
      </c>
      <c r="J335" s="803">
        <v>209604</v>
      </c>
      <c r="K335" s="803">
        <v>16382</v>
      </c>
      <c r="L335" s="802">
        <v>1676</v>
      </c>
      <c r="M335" s="802"/>
      <c r="N335" s="803">
        <v>8381</v>
      </c>
      <c r="O335" s="803">
        <v>77364</v>
      </c>
      <c r="P335" s="803">
        <v>0</v>
      </c>
      <c r="Q335" s="802">
        <v>7450</v>
      </c>
      <c r="R335" s="802"/>
      <c r="S335" s="803">
        <v>63931</v>
      </c>
      <c r="T335" s="804">
        <v>-1211</v>
      </c>
      <c r="U335" s="804">
        <v>62721</v>
      </c>
    </row>
    <row r="336" spans="1:21" x14ac:dyDescent="0.25">
      <c r="A336" s="799">
        <v>93441</v>
      </c>
      <c r="B336" s="800" t="s">
        <v>2952</v>
      </c>
      <c r="C336" s="801">
        <v>1.4970000000000001E-4</v>
      </c>
      <c r="D336" s="801">
        <v>1.3239999999999999E-4</v>
      </c>
      <c r="E336" s="802">
        <v>71653</v>
      </c>
      <c r="F336" s="802">
        <v>59420</v>
      </c>
      <c r="G336" s="802">
        <v>317714</v>
      </c>
      <c r="H336" s="802"/>
      <c r="I336" s="803">
        <v>5969</v>
      </c>
      <c r="J336" s="803">
        <v>278418</v>
      </c>
      <c r="K336" s="803">
        <v>21761</v>
      </c>
      <c r="L336" s="802">
        <v>34771</v>
      </c>
      <c r="M336" s="802"/>
      <c r="N336" s="803">
        <v>11133</v>
      </c>
      <c r="O336" s="803">
        <v>102763</v>
      </c>
      <c r="P336" s="803">
        <v>0</v>
      </c>
      <c r="Q336" s="802">
        <v>0</v>
      </c>
      <c r="R336" s="802"/>
      <c r="S336" s="803">
        <v>84920</v>
      </c>
      <c r="T336" s="804">
        <v>12654</v>
      </c>
      <c r="U336" s="804">
        <v>97574</v>
      </c>
    </row>
    <row r="337" spans="1:21" x14ac:dyDescent="0.25">
      <c r="A337" s="799">
        <v>93442</v>
      </c>
      <c r="B337" s="800" t="s">
        <v>2953</v>
      </c>
      <c r="C337" s="801">
        <v>1.3540000000000001E-4</v>
      </c>
      <c r="D337" s="801">
        <v>1.7799999999999999E-4</v>
      </c>
      <c r="E337" s="802">
        <v>53217.95</v>
      </c>
      <c r="F337" s="802">
        <v>79885</v>
      </c>
      <c r="G337" s="802">
        <v>287364</v>
      </c>
      <c r="H337" s="802"/>
      <c r="I337" s="803">
        <v>5399</v>
      </c>
      <c r="J337" s="803">
        <v>251823</v>
      </c>
      <c r="K337" s="803">
        <v>19682</v>
      </c>
      <c r="L337" s="802">
        <v>6718</v>
      </c>
      <c r="M337" s="802"/>
      <c r="N337" s="803">
        <v>10070</v>
      </c>
      <c r="O337" s="803">
        <v>92946</v>
      </c>
      <c r="P337" s="803">
        <v>0</v>
      </c>
      <c r="Q337" s="802">
        <v>29938</v>
      </c>
      <c r="R337" s="802"/>
      <c r="S337" s="803">
        <v>76808</v>
      </c>
      <c r="T337" s="804">
        <v>-6567</v>
      </c>
      <c r="U337" s="804">
        <v>70241</v>
      </c>
    </row>
    <row r="338" spans="1:21" x14ac:dyDescent="0.25">
      <c r="A338" s="799">
        <v>93451</v>
      </c>
      <c r="B338" s="800" t="s">
        <v>2954</v>
      </c>
      <c r="C338" s="801">
        <v>7.6899999999999999E-5</v>
      </c>
      <c r="D338" s="801">
        <v>7.6699999999999994E-5</v>
      </c>
      <c r="E338" s="802">
        <v>41952.18</v>
      </c>
      <c r="F338" s="802">
        <v>34422</v>
      </c>
      <c r="G338" s="802">
        <v>163208</v>
      </c>
      <c r="H338" s="802"/>
      <c r="I338" s="803">
        <v>3066</v>
      </c>
      <c r="J338" s="803">
        <v>143022</v>
      </c>
      <c r="K338" s="803">
        <v>11178</v>
      </c>
      <c r="L338" s="802">
        <v>18732</v>
      </c>
      <c r="M338" s="802"/>
      <c r="N338" s="803">
        <v>5719</v>
      </c>
      <c r="O338" s="803">
        <v>52789</v>
      </c>
      <c r="P338" s="803">
        <v>0</v>
      </c>
      <c r="Q338" s="802">
        <v>2999</v>
      </c>
      <c r="R338" s="802"/>
      <c r="S338" s="803">
        <v>43623</v>
      </c>
      <c r="T338" s="804">
        <v>4342</v>
      </c>
      <c r="U338" s="804">
        <v>47965</v>
      </c>
    </row>
    <row r="339" spans="1:21" x14ac:dyDescent="0.25">
      <c r="A339" s="799">
        <v>93461</v>
      </c>
      <c r="B339" s="800" t="s">
        <v>2955</v>
      </c>
      <c r="C339" s="801">
        <v>1.7200000000000001E-5</v>
      </c>
      <c r="D339" s="801">
        <v>1.7200000000000001E-5</v>
      </c>
      <c r="E339" s="802">
        <v>7471</v>
      </c>
      <c r="F339" s="802">
        <v>7719</v>
      </c>
      <c r="G339" s="802">
        <v>36504</v>
      </c>
      <c r="H339" s="802"/>
      <c r="I339" s="803">
        <v>685.85</v>
      </c>
      <c r="J339" s="803">
        <v>31989</v>
      </c>
      <c r="K339" s="803">
        <v>2500</v>
      </c>
      <c r="L339" s="802">
        <v>695</v>
      </c>
      <c r="M339" s="802"/>
      <c r="N339" s="803">
        <v>1279</v>
      </c>
      <c r="O339" s="803">
        <v>11807</v>
      </c>
      <c r="P339" s="803">
        <v>0</v>
      </c>
      <c r="Q339" s="802">
        <v>0</v>
      </c>
      <c r="R339" s="802"/>
      <c r="S339" s="803">
        <v>9757</v>
      </c>
      <c r="T339" s="804">
        <v>226</v>
      </c>
      <c r="U339" s="804">
        <v>9983</v>
      </c>
    </row>
    <row r="340" spans="1:21" x14ac:dyDescent="0.25">
      <c r="A340" s="799">
        <v>93471</v>
      </c>
      <c r="B340" s="800" t="s">
        <v>2956</v>
      </c>
      <c r="C340" s="801">
        <v>1.1800000000000001E-5</v>
      </c>
      <c r="D340" s="801">
        <v>1.34E-5</v>
      </c>
      <c r="E340" s="802">
        <v>7905</v>
      </c>
      <c r="F340" s="802">
        <v>6014</v>
      </c>
      <c r="G340" s="802">
        <v>25044</v>
      </c>
      <c r="H340" s="802"/>
      <c r="I340" s="803">
        <v>471</v>
      </c>
      <c r="J340" s="803">
        <v>21946</v>
      </c>
      <c r="K340" s="803">
        <v>1715</v>
      </c>
      <c r="L340" s="802">
        <v>2187</v>
      </c>
      <c r="M340" s="802"/>
      <c r="N340" s="803">
        <v>878</v>
      </c>
      <c r="O340" s="803">
        <v>8100</v>
      </c>
      <c r="P340" s="803">
        <v>0</v>
      </c>
      <c r="Q340" s="802">
        <v>127</v>
      </c>
      <c r="R340" s="802"/>
      <c r="S340" s="803">
        <v>6694</v>
      </c>
      <c r="T340" s="804">
        <v>563</v>
      </c>
      <c r="U340" s="804">
        <v>7256</v>
      </c>
    </row>
    <row r="341" spans="1:21" x14ac:dyDescent="0.25">
      <c r="A341" s="799">
        <v>93501</v>
      </c>
      <c r="B341" s="800" t="s">
        <v>2957</v>
      </c>
      <c r="C341" s="801">
        <v>3.4039000000000001E-3</v>
      </c>
      <c r="D341" s="801">
        <v>3.4708E-3</v>
      </c>
      <c r="E341" s="802">
        <v>1347598.72</v>
      </c>
      <c r="F341" s="802">
        <v>1557674</v>
      </c>
      <c r="G341" s="802">
        <v>7224216</v>
      </c>
      <c r="H341" s="802"/>
      <c r="I341" s="803">
        <v>135731</v>
      </c>
      <c r="J341" s="803">
        <v>6330716</v>
      </c>
      <c r="K341" s="803">
        <v>494794</v>
      </c>
      <c r="L341" s="802">
        <v>165283</v>
      </c>
      <c r="M341" s="802"/>
      <c r="N341" s="803">
        <v>253145</v>
      </c>
      <c r="O341" s="803">
        <v>2336634</v>
      </c>
      <c r="P341" s="803">
        <v>0</v>
      </c>
      <c r="Q341" s="802">
        <v>77725</v>
      </c>
      <c r="R341" s="802"/>
      <c r="S341" s="803">
        <v>1930927</v>
      </c>
      <c r="T341" s="804">
        <v>52932</v>
      </c>
      <c r="U341" s="804">
        <v>1983859</v>
      </c>
    </row>
    <row r="342" spans="1:21" x14ac:dyDescent="0.25">
      <c r="A342" s="799">
        <v>93511</v>
      </c>
      <c r="B342" s="800" t="s">
        <v>2958</v>
      </c>
      <c r="C342" s="801">
        <v>9.8999999999999994E-5</v>
      </c>
      <c r="D342" s="801">
        <v>1.142E-4</v>
      </c>
      <c r="E342" s="802">
        <v>40720.79</v>
      </c>
      <c r="F342" s="802">
        <v>51252</v>
      </c>
      <c r="G342" s="802">
        <v>210111</v>
      </c>
      <c r="H342" s="802"/>
      <c r="I342" s="803">
        <v>3948</v>
      </c>
      <c r="J342" s="803">
        <v>184124</v>
      </c>
      <c r="K342" s="803">
        <v>14391</v>
      </c>
      <c r="L342" s="802">
        <v>5204</v>
      </c>
      <c r="M342" s="802"/>
      <c r="N342" s="803">
        <v>7363</v>
      </c>
      <c r="O342" s="803">
        <v>67959</v>
      </c>
      <c r="P342" s="803">
        <v>0</v>
      </c>
      <c r="Q342" s="802">
        <v>14645</v>
      </c>
      <c r="R342" s="802"/>
      <c r="S342" s="803">
        <v>56160</v>
      </c>
      <c r="T342" s="804">
        <v>-1792</v>
      </c>
      <c r="U342" s="804">
        <v>54368</v>
      </c>
    </row>
    <row r="343" spans="1:21" x14ac:dyDescent="0.25">
      <c r="A343" s="799">
        <v>93517</v>
      </c>
      <c r="B343" s="800" t="s">
        <v>2959</v>
      </c>
      <c r="C343" s="801">
        <v>6.4999999999999996E-6</v>
      </c>
      <c r="D343" s="801">
        <v>6.6000000000000003E-6</v>
      </c>
      <c r="E343" s="802">
        <v>4035.72</v>
      </c>
      <c r="F343" s="802">
        <v>2962</v>
      </c>
      <c r="G343" s="802">
        <v>13795</v>
      </c>
      <c r="H343" s="802"/>
      <c r="I343" s="803">
        <v>259.1875</v>
      </c>
      <c r="J343" s="803">
        <v>12089</v>
      </c>
      <c r="K343" s="803">
        <v>945</v>
      </c>
      <c r="L343" s="802">
        <v>3198</v>
      </c>
      <c r="M343" s="802"/>
      <c r="N343" s="803">
        <v>483</v>
      </c>
      <c r="O343" s="803">
        <v>4462</v>
      </c>
      <c r="P343" s="803">
        <v>0</v>
      </c>
      <c r="Q343" s="802">
        <v>1011</v>
      </c>
      <c r="R343" s="802"/>
      <c r="S343" s="803">
        <v>3687</v>
      </c>
      <c r="T343" s="804">
        <v>528</v>
      </c>
      <c r="U343" s="804">
        <v>4215</v>
      </c>
    </row>
    <row r="344" spans="1:21" x14ac:dyDescent="0.25">
      <c r="A344" s="799">
        <v>93521</v>
      </c>
      <c r="B344" s="800" t="s">
        <v>2960</v>
      </c>
      <c r="C344" s="801">
        <v>5.6389999999999999E-4</v>
      </c>
      <c r="D344" s="801">
        <v>4.75E-4</v>
      </c>
      <c r="E344" s="802">
        <v>183431</v>
      </c>
      <c r="F344" s="802">
        <v>213177.15</v>
      </c>
      <c r="G344" s="802">
        <v>1196785</v>
      </c>
      <c r="H344" s="802"/>
      <c r="I344" s="803">
        <v>22486</v>
      </c>
      <c r="J344" s="803">
        <v>1048765</v>
      </c>
      <c r="K344" s="803">
        <v>81969</v>
      </c>
      <c r="L344" s="802">
        <v>9662</v>
      </c>
      <c r="M344" s="802"/>
      <c r="N344" s="803">
        <v>41937</v>
      </c>
      <c r="O344" s="803">
        <v>387094</v>
      </c>
      <c r="P344" s="803">
        <v>0</v>
      </c>
      <c r="Q344" s="802">
        <v>10656</v>
      </c>
      <c r="R344" s="802"/>
      <c r="S344" s="803">
        <v>319883</v>
      </c>
      <c r="T344" s="804">
        <v>-2591</v>
      </c>
      <c r="U344" s="804">
        <v>317292</v>
      </c>
    </row>
    <row r="345" spans="1:21" x14ac:dyDescent="0.25">
      <c r="A345" s="799">
        <v>93527</v>
      </c>
      <c r="B345" s="800" t="s">
        <v>2961</v>
      </c>
      <c r="C345" s="801">
        <v>5.4E-6</v>
      </c>
      <c r="D345" s="801">
        <v>5.4E-6</v>
      </c>
      <c r="E345" s="802">
        <v>8301</v>
      </c>
      <c r="F345" s="802">
        <v>2423</v>
      </c>
      <c r="G345" s="802">
        <v>11461</v>
      </c>
      <c r="H345" s="802"/>
      <c r="I345" s="803">
        <v>215.32499999999999</v>
      </c>
      <c r="J345" s="803">
        <v>10043</v>
      </c>
      <c r="K345" s="803">
        <v>785</v>
      </c>
      <c r="L345" s="802">
        <v>11237</v>
      </c>
      <c r="M345" s="802"/>
      <c r="N345" s="803">
        <v>402</v>
      </c>
      <c r="O345" s="803">
        <v>3707</v>
      </c>
      <c r="P345" s="803">
        <v>0</v>
      </c>
      <c r="Q345" s="802">
        <v>0</v>
      </c>
      <c r="R345" s="802"/>
      <c r="S345" s="803">
        <v>3063</v>
      </c>
      <c r="T345" s="804">
        <v>3941</v>
      </c>
      <c r="U345" s="804">
        <v>7005</v>
      </c>
    </row>
    <row r="346" spans="1:21" x14ac:dyDescent="0.25">
      <c r="A346" s="799">
        <v>93531</v>
      </c>
      <c r="B346" s="800" t="s">
        <v>2962</v>
      </c>
      <c r="C346" s="801">
        <v>2.4000000000000001E-5</v>
      </c>
      <c r="D346" s="801">
        <v>2.4700000000000001E-5</v>
      </c>
      <c r="E346" s="802">
        <v>11692.23</v>
      </c>
      <c r="F346" s="802">
        <v>11085</v>
      </c>
      <c r="G346" s="802">
        <v>50936.04</v>
      </c>
      <c r="H346" s="802"/>
      <c r="I346" s="803">
        <v>957</v>
      </c>
      <c r="J346" s="803">
        <v>44636</v>
      </c>
      <c r="K346" s="803">
        <v>3489</v>
      </c>
      <c r="L346" s="802">
        <v>1068</v>
      </c>
      <c r="M346" s="802"/>
      <c r="N346" s="803">
        <v>1785</v>
      </c>
      <c r="O346" s="803">
        <v>16475</v>
      </c>
      <c r="P346" s="803">
        <v>0</v>
      </c>
      <c r="Q346" s="802">
        <v>2182</v>
      </c>
      <c r="R346" s="802"/>
      <c r="S346" s="803">
        <v>13614</v>
      </c>
      <c r="T346" s="804">
        <v>-801</v>
      </c>
      <c r="U346" s="804">
        <v>12814</v>
      </c>
    </row>
    <row r="347" spans="1:21" x14ac:dyDescent="0.25">
      <c r="A347" s="799">
        <v>93537</v>
      </c>
      <c r="B347" s="800" t="s">
        <v>2963</v>
      </c>
      <c r="C347" s="801">
        <v>1.17E-5</v>
      </c>
      <c r="D347" s="801">
        <v>1.13E-5</v>
      </c>
      <c r="E347" s="802">
        <v>3539</v>
      </c>
      <c r="F347" s="802">
        <v>5071</v>
      </c>
      <c r="G347" s="802">
        <v>24831</v>
      </c>
      <c r="H347" s="802"/>
      <c r="I347" s="803">
        <v>467</v>
      </c>
      <c r="J347" s="803">
        <v>21760</v>
      </c>
      <c r="K347" s="803">
        <v>1701</v>
      </c>
      <c r="L347" s="802">
        <v>0</v>
      </c>
      <c r="M347" s="802"/>
      <c r="N347" s="803">
        <v>870</v>
      </c>
      <c r="O347" s="803">
        <v>8032</v>
      </c>
      <c r="P347" s="803">
        <v>0</v>
      </c>
      <c r="Q347" s="802">
        <v>976</v>
      </c>
      <c r="R347" s="802"/>
      <c r="S347" s="803">
        <v>6637</v>
      </c>
      <c r="T347" s="804">
        <v>-276</v>
      </c>
      <c r="U347" s="804">
        <v>6361</v>
      </c>
    </row>
    <row r="348" spans="1:21" x14ac:dyDescent="0.25">
      <c r="A348" s="799">
        <v>93541</v>
      </c>
      <c r="B348" s="800" t="s">
        <v>2964</v>
      </c>
      <c r="C348" s="801">
        <v>1.061E-4</v>
      </c>
      <c r="D348" s="801">
        <v>1.069E-4</v>
      </c>
      <c r="E348" s="802">
        <v>43706</v>
      </c>
      <c r="F348" s="802">
        <v>47976</v>
      </c>
      <c r="G348" s="802">
        <v>225180</v>
      </c>
      <c r="H348" s="802"/>
      <c r="I348" s="803">
        <v>4231</v>
      </c>
      <c r="J348" s="803">
        <v>197329</v>
      </c>
      <c r="K348" s="803">
        <v>15423</v>
      </c>
      <c r="L348" s="802">
        <v>8559</v>
      </c>
      <c r="M348" s="802"/>
      <c r="N348" s="803">
        <v>7891</v>
      </c>
      <c r="O348" s="803">
        <v>72833</v>
      </c>
      <c r="P348" s="803">
        <v>0</v>
      </c>
      <c r="Q348" s="802">
        <v>1155</v>
      </c>
      <c r="R348" s="802"/>
      <c r="S348" s="803">
        <v>60187</v>
      </c>
      <c r="T348" s="804">
        <v>3927</v>
      </c>
      <c r="U348" s="804">
        <v>64114</v>
      </c>
    </row>
    <row r="349" spans="1:21" x14ac:dyDescent="0.25">
      <c r="A349" s="799">
        <v>93601</v>
      </c>
      <c r="B349" s="800" t="s">
        <v>2965</v>
      </c>
      <c r="C349" s="801">
        <v>1.1139899999999999E-2</v>
      </c>
      <c r="D349" s="801">
        <v>1.09906E-2</v>
      </c>
      <c r="E349" s="802">
        <v>4591072.71</v>
      </c>
      <c r="F349" s="802">
        <v>4932515</v>
      </c>
      <c r="G349" s="802">
        <v>23642600</v>
      </c>
      <c r="H349" s="802"/>
      <c r="I349" s="803">
        <v>444204</v>
      </c>
      <c r="J349" s="803">
        <v>20718454</v>
      </c>
      <c r="K349" s="803">
        <v>1619307</v>
      </c>
      <c r="L349" s="802">
        <v>88715</v>
      </c>
      <c r="M349" s="802"/>
      <c r="N349" s="803">
        <v>828463</v>
      </c>
      <c r="O349" s="803">
        <v>7647073</v>
      </c>
      <c r="P349" s="803">
        <v>0</v>
      </c>
      <c r="Q349" s="802">
        <v>158818</v>
      </c>
      <c r="R349" s="802"/>
      <c r="S349" s="803">
        <v>6319320</v>
      </c>
      <c r="T349" s="804">
        <v>-40519</v>
      </c>
      <c r="U349" s="804">
        <v>6278801</v>
      </c>
    </row>
    <row r="350" spans="1:21" x14ac:dyDescent="0.25">
      <c r="A350" s="799">
        <v>93602</v>
      </c>
      <c r="B350" s="800" t="s">
        <v>2966</v>
      </c>
      <c r="C350" s="801">
        <v>1.7200000000000001E-4</v>
      </c>
      <c r="D350" s="801">
        <v>1.873E-4</v>
      </c>
      <c r="E350" s="802">
        <v>65294.78</v>
      </c>
      <c r="F350" s="802">
        <v>84059</v>
      </c>
      <c r="G350" s="802">
        <v>365041.62</v>
      </c>
      <c r="H350" s="802"/>
      <c r="I350" s="803">
        <v>6858.5</v>
      </c>
      <c r="J350" s="803">
        <v>319893</v>
      </c>
      <c r="K350" s="803">
        <v>25002</v>
      </c>
      <c r="L350" s="802">
        <v>1192</v>
      </c>
      <c r="M350" s="802"/>
      <c r="N350" s="803">
        <v>12791</v>
      </c>
      <c r="O350" s="803">
        <v>118071</v>
      </c>
      <c r="P350" s="803">
        <v>0</v>
      </c>
      <c r="Q350" s="802">
        <v>14459</v>
      </c>
      <c r="R350" s="802"/>
      <c r="S350" s="803">
        <v>97570</v>
      </c>
      <c r="T350" s="804">
        <v>-3774</v>
      </c>
      <c r="U350" s="804">
        <v>93797</v>
      </c>
    </row>
    <row r="351" spans="1:21" x14ac:dyDescent="0.25">
      <c r="A351" s="799">
        <v>93609</v>
      </c>
      <c r="B351" s="800" t="s">
        <v>2967</v>
      </c>
      <c r="C351" s="801">
        <v>3.0569E-3</v>
      </c>
      <c r="D351" s="801">
        <v>2.777E-3</v>
      </c>
      <c r="E351" s="802">
        <v>1250738</v>
      </c>
      <c r="F351" s="802">
        <v>1246301</v>
      </c>
      <c r="G351" s="802">
        <v>6487766</v>
      </c>
      <c r="H351" s="802"/>
      <c r="I351" s="803">
        <v>121894</v>
      </c>
      <c r="J351" s="803">
        <v>5685351</v>
      </c>
      <c r="K351" s="803">
        <v>444354</v>
      </c>
      <c r="L351" s="802">
        <v>575194</v>
      </c>
      <c r="M351" s="802"/>
      <c r="N351" s="803">
        <v>227339</v>
      </c>
      <c r="O351" s="803">
        <v>2098433</v>
      </c>
      <c r="P351" s="803">
        <v>0</v>
      </c>
      <c r="Q351" s="802">
        <v>0</v>
      </c>
      <c r="R351" s="802"/>
      <c r="S351" s="803">
        <v>1734085</v>
      </c>
      <c r="T351" s="804">
        <v>238417</v>
      </c>
      <c r="U351" s="804">
        <v>1972502</v>
      </c>
    </row>
    <row r="352" spans="1:21" x14ac:dyDescent="0.25">
      <c r="A352" s="799">
        <v>93610</v>
      </c>
      <c r="B352" s="800" t="s">
        <v>2968</v>
      </c>
      <c r="C352" s="801">
        <v>6.4999999999999996E-6</v>
      </c>
      <c r="D352" s="801">
        <v>1.84E-5</v>
      </c>
      <c r="E352" s="802">
        <v>5057</v>
      </c>
      <c r="F352" s="802">
        <v>8258</v>
      </c>
      <c r="G352" s="802">
        <v>13795</v>
      </c>
      <c r="H352" s="802"/>
      <c r="I352" s="803">
        <v>259.1875</v>
      </c>
      <c r="J352" s="803">
        <v>12089</v>
      </c>
      <c r="K352" s="803">
        <v>945</v>
      </c>
      <c r="L352" s="802">
        <v>3285</v>
      </c>
      <c r="M352" s="802"/>
      <c r="N352" s="803">
        <v>483</v>
      </c>
      <c r="O352" s="803">
        <v>4462</v>
      </c>
      <c r="P352" s="803">
        <v>0</v>
      </c>
      <c r="Q352" s="802">
        <v>4553</v>
      </c>
      <c r="R352" s="802"/>
      <c r="S352" s="803">
        <v>3687</v>
      </c>
      <c r="T352" s="804">
        <v>154</v>
      </c>
      <c r="U352" s="804">
        <v>3842</v>
      </c>
    </row>
    <row r="353" spans="1:21" x14ac:dyDescent="0.25">
      <c r="A353" s="799">
        <v>93611</v>
      </c>
      <c r="B353" s="800" t="s">
        <v>2969</v>
      </c>
      <c r="C353" s="801">
        <v>6.9325000000000003E-3</v>
      </c>
      <c r="D353" s="801">
        <v>6.9034999999999999E-3</v>
      </c>
      <c r="E353" s="802">
        <v>2795516.27</v>
      </c>
      <c r="F353" s="802">
        <v>3098249</v>
      </c>
      <c r="G353" s="802">
        <v>14713087</v>
      </c>
      <c r="H353" s="802"/>
      <c r="I353" s="803">
        <v>276433</v>
      </c>
      <c r="J353" s="803">
        <v>12893355</v>
      </c>
      <c r="K353" s="803">
        <v>1007715</v>
      </c>
      <c r="L353" s="802">
        <v>0</v>
      </c>
      <c r="M353" s="802"/>
      <c r="N353" s="803">
        <v>515563</v>
      </c>
      <c r="O353" s="803">
        <v>4758870</v>
      </c>
      <c r="P353" s="803">
        <v>0</v>
      </c>
      <c r="Q353" s="802">
        <v>266414</v>
      </c>
      <c r="R353" s="802"/>
      <c r="S353" s="803">
        <v>3932592</v>
      </c>
      <c r="T353" s="804">
        <v>-113352</v>
      </c>
      <c r="U353" s="804">
        <v>3819240</v>
      </c>
    </row>
    <row r="354" spans="1:21" x14ac:dyDescent="0.25">
      <c r="A354" s="799">
        <v>93617</v>
      </c>
      <c r="B354" s="800" t="s">
        <v>2970</v>
      </c>
      <c r="C354" s="801">
        <v>9.5000000000000005E-5</v>
      </c>
      <c r="D354" s="801">
        <v>7.9200000000000001E-5</v>
      </c>
      <c r="E354" s="802">
        <v>46064</v>
      </c>
      <c r="F354" s="802">
        <v>35544</v>
      </c>
      <c r="G354" s="802">
        <v>201622</v>
      </c>
      <c r="H354" s="802"/>
      <c r="I354" s="803">
        <v>3788.125</v>
      </c>
      <c r="J354" s="803">
        <v>176685</v>
      </c>
      <c r="K354" s="803">
        <v>13809</v>
      </c>
      <c r="L354" s="802">
        <v>28939</v>
      </c>
      <c r="M354" s="802"/>
      <c r="N354" s="803">
        <v>7065</v>
      </c>
      <c r="O354" s="803">
        <v>65213.51</v>
      </c>
      <c r="P354" s="803">
        <v>0</v>
      </c>
      <c r="Q354" s="802">
        <v>0</v>
      </c>
      <c r="R354" s="802"/>
      <c r="S354" s="803">
        <v>53891</v>
      </c>
      <c r="T354" s="804">
        <v>10007</v>
      </c>
      <c r="U354" s="804">
        <v>63898</v>
      </c>
    </row>
    <row r="355" spans="1:21" x14ac:dyDescent="0.25">
      <c r="A355" s="799">
        <v>93618</v>
      </c>
      <c r="B355" s="800" t="s">
        <v>2971</v>
      </c>
      <c r="C355" s="801">
        <v>1.17E-5</v>
      </c>
      <c r="D355" s="801">
        <v>1.0200000000000001E-5</v>
      </c>
      <c r="E355" s="802">
        <v>22629</v>
      </c>
      <c r="F355" s="802">
        <v>4578</v>
      </c>
      <c r="G355" s="802">
        <v>24831</v>
      </c>
      <c r="H355" s="802"/>
      <c r="I355" s="803">
        <v>467</v>
      </c>
      <c r="J355" s="803">
        <v>21760</v>
      </c>
      <c r="K355" s="803">
        <v>1701</v>
      </c>
      <c r="L355" s="802">
        <v>27424</v>
      </c>
      <c r="M355" s="802"/>
      <c r="N355" s="803">
        <v>870</v>
      </c>
      <c r="O355" s="803">
        <v>8032</v>
      </c>
      <c r="P355" s="803">
        <v>0</v>
      </c>
      <c r="Q355" s="802">
        <v>0</v>
      </c>
      <c r="R355" s="802"/>
      <c r="S355" s="803">
        <v>6637</v>
      </c>
      <c r="T355" s="804">
        <v>8505</v>
      </c>
      <c r="U355" s="804">
        <v>15142</v>
      </c>
    </row>
    <row r="356" spans="1:21" x14ac:dyDescent="0.25">
      <c r="A356" s="799">
        <v>93621</v>
      </c>
      <c r="B356" s="800" t="s">
        <v>2972</v>
      </c>
      <c r="C356" s="801">
        <v>8.5320000000000003E-4</v>
      </c>
      <c r="D356" s="801">
        <v>9.5949999999999996E-4</v>
      </c>
      <c r="E356" s="802">
        <v>330203.31</v>
      </c>
      <c r="F356" s="802">
        <v>430618</v>
      </c>
      <c r="G356" s="802">
        <v>1810776</v>
      </c>
      <c r="H356" s="802"/>
      <c r="I356" s="803">
        <v>34021.35</v>
      </c>
      <c r="J356" s="803">
        <v>1586817</v>
      </c>
      <c r="K356" s="803">
        <v>124022</v>
      </c>
      <c r="L356" s="802">
        <v>0</v>
      </c>
      <c r="M356" s="802"/>
      <c r="N356" s="803">
        <v>63452</v>
      </c>
      <c r="O356" s="803">
        <v>585686</v>
      </c>
      <c r="P356" s="803">
        <v>0</v>
      </c>
      <c r="Q356" s="802">
        <v>118410</v>
      </c>
      <c r="R356" s="802"/>
      <c r="S356" s="803">
        <v>483994</v>
      </c>
      <c r="T356" s="804">
        <v>-38643</v>
      </c>
      <c r="U356" s="804">
        <v>445351</v>
      </c>
    </row>
    <row r="357" spans="1:21" x14ac:dyDescent="0.25">
      <c r="A357" s="799">
        <v>93623</v>
      </c>
      <c r="B357" s="800" t="s">
        <v>2973</v>
      </c>
      <c r="C357" s="801">
        <v>1.2500000000000001E-5</v>
      </c>
      <c r="D357" s="801">
        <v>1.24E-5</v>
      </c>
      <c r="E357" s="802">
        <v>8241</v>
      </c>
      <c r="F357" s="802">
        <v>5565</v>
      </c>
      <c r="G357" s="802">
        <v>26529.1875</v>
      </c>
      <c r="H357" s="802"/>
      <c r="I357" s="803">
        <v>498.4375</v>
      </c>
      <c r="J357" s="803">
        <v>23248</v>
      </c>
      <c r="K357" s="803">
        <v>1817</v>
      </c>
      <c r="L357" s="802">
        <v>4315</v>
      </c>
      <c r="M357" s="802"/>
      <c r="N357" s="803">
        <v>930</v>
      </c>
      <c r="O357" s="803">
        <v>8581</v>
      </c>
      <c r="P357" s="803">
        <v>0</v>
      </c>
      <c r="Q357" s="802">
        <v>2</v>
      </c>
      <c r="R357" s="802"/>
      <c r="S357" s="803">
        <v>7091</v>
      </c>
      <c r="T357" s="804">
        <v>1289</v>
      </c>
      <c r="U357" s="804">
        <v>8380</v>
      </c>
    </row>
    <row r="358" spans="1:21" x14ac:dyDescent="0.25">
      <c r="A358" s="799">
        <v>93631</v>
      </c>
      <c r="B358" s="800" t="s">
        <v>2974</v>
      </c>
      <c r="C358" s="801">
        <v>2.3440000000000001E-4</v>
      </c>
      <c r="D358" s="801">
        <v>2.3680000000000001E-4</v>
      </c>
      <c r="E358" s="802">
        <v>87285</v>
      </c>
      <c r="F358" s="802">
        <v>106274</v>
      </c>
      <c r="G358" s="802">
        <v>497475</v>
      </c>
      <c r="H358" s="802"/>
      <c r="I358" s="803">
        <v>9347</v>
      </c>
      <c r="J358" s="803">
        <v>435947</v>
      </c>
      <c r="K358" s="803">
        <v>34073</v>
      </c>
      <c r="L358" s="802">
        <v>874</v>
      </c>
      <c r="M358" s="802"/>
      <c r="N358" s="803">
        <v>17432</v>
      </c>
      <c r="O358" s="803">
        <v>160906</v>
      </c>
      <c r="P358" s="803">
        <v>0</v>
      </c>
      <c r="Q358" s="802">
        <v>17303</v>
      </c>
      <c r="R358" s="802"/>
      <c r="S358" s="803">
        <v>132968</v>
      </c>
      <c r="T358" s="804">
        <v>-4881</v>
      </c>
      <c r="U358" s="804">
        <v>128086</v>
      </c>
    </row>
    <row r="359" spans="1:21" x14ac:dyDescent="0.25">
      <c r="A359" s="799">
        <v>93641</v>
      </c>
      <c r="B359" s="800" t="s">
        <v>2975</v>
      </c>
      <c r="C359" s="801">
        <v>4.3550000000000001E-4</v>
      </c>
      <c r="D359" s="801">
        <v>4.3100000000000001E-4</v>
      </c>
      <c r="E359" s="802">
        <v>182885.7</v>
      </c>
      <c r="F359" s="802">
        <v>193430</v>
      </c>
      <c r="G359" s="802">
        <v>924277</v>
      </c>
      <c r="H359" s="802"/>
      <c r="I359" s="803">
        <v>17365.5625</v>
      </c>
      <c r="J359" s="803">
        <v>809961</v>
      </c>
      <c r="K359" s="803">
        <v>63305</v>
      </c>
      <c r="L359" s="802">
        <v>21571</v>
      </c>
      <c r="M359" s="802"/>
      <c r="N359" s="803">
        <v>32388</v>
      </c>
      <c r="O359" s="803">
        <v>298952</v>
      </c>
      <c r="P359" s="803">
        <v>0</v>
      </c>
      <c r="Q359" s="802">
        <v>0</v>
      </c>
      <c r="R359" s="802"/>
      <c r="S359" s="803">
        <v>247046</v>
      </c>
      <c r="T359" s="804">
        <v>7537</v>
      </c>
      <c r="U359" s="804">
        <v>254583</v>
      </c>
    </row>
    <row r="360" spans="1:21" x14ac:dyDescent="0.25">
      <c r="A360" s="799">
        <v>93647</v>
      </c>
      <c r="B360" s="800" t="s">
        <v>2976</v>
      </c>
      <c r="C360" s="801">
        <v>6.1E-6</v>
      </c>
      <c r="D360" s="801">
        <v>6.0000000000000002E-6</v>
      </c>
      <c r="E360" s="802">
        <v>7779</v>
      </c>
      <c r="F360" s="802">
        <v>2693</v>
      </c>
      <c r="G360" s="802">
        <v>12946</v>
      </c>
      <c r="H360" s="802"/>
      <c r="I360" s="803">
        <v>243.23750000000001</v>
      </c>
      <c r="J360" s="803">
        <v>11345</v>
      </c>
      <c r="K360" s="803">
        <v>887</v>
      </c>
      <c r="L360" s="802">
        <v>10457</v>
      </c>
      <c r="M360" s="802"/>
      <c r="N360" s="803">
        <v>454</v>
      </c>
      <c r="O360" s="803">
        <v>4187</v>
      </c>
      <c r="P360" s="803">
        <v>0</v>
      </c>
      <c r="Q360" s="802">
        <v>0</v>
      </c>
      <c r="R360" s="802"/>
      <c r="S360" s="803">
        <v>3460</v>
      </c>
      <c r="T360" s="804">
        <v>3397</v>
      </c>
      <c r="U360" s="804">
        <v>6857</v>
      </c>
    </row>
    <row r="361" spans="1:21" x14ac:dyDescent="0.25">
      <c r="A361" s="799">
        <v>93651</v>
      </c>
      <c r="B361" s="800" t="s">
        <v>2977</v>
      </c>
      <c r="C361" s="801">
        <v>4.282E-4</v>
      </c>
      <c r="D361" s="801">
        <v>4.216E-4</v>
      </c>
      <c r="E361" s="802">
        <v>158412.88</v>
      </c>
      <c r="F361" s="802">
        <v>189212</v>
      </c>
      <c r="G361" s="802">
        <v>908784</v>
      </c>
      <c r="H361" s="802"/>
      <c r="I361" s="803">
        <v>17074</v>
      </c>
      <c r="J361" s="803">
        <v>796384</v>
      </c>
      <c r="K361" s="803">
        <v>62244</v>
      </c>
      <c r="L361" s="802">
        <v>9033</v>
      </c>
      <c r="M361" s="802"/>
      <c r="N361" s="803">
        <v>31845</v>
      </c>
      <c r="O361" s="803">
        <v>293941</v>
      </c>
      <c r="P361" s="803">
        <v>0</v>
      </c>
      <c r="Q361" s="802">
        <v>11722</v>
      </c>
      <c r="R361" s="802"/>
      <c r="S361" s="803">
        <v>242905</v>
      </c>
      <c r="T361" s="804">
        <v>-139</v>
      </c>
      <c r="U361" s="804">
        <v>242766</v>
      </c>
    </row>
    <row r="362" spans="1:21" x14ac:dyDescent="0.25">
      <c r="A362" s="799">
        <v>93661</v>
      </c>
      <c r="B362" s="800" t="s">
        <v>2978</v>
      </c>
      <c r="C362" s="801">
        <v>1.3420000000000001E-4</v>
      </c>
      <c r="D362" s="801">
        <v>1.2750000000000001E-4</v>
      </c>
      <c r="E362" s="802">
        <v>60285</v>
      </c>
      <c r="F362" s="802">
        <v>57221</v>
      </c>
      <c r="G362" s="802">
        <v>284817</v>
      </c>
      <c r="H362" s="802"/>
      <c r="I362" s="803">
        <v>5351</v>
      </c>
      <c r="J362" s="803">
        <v>249591</v>
      </c>
      <c r="K362" s="803">
        <v>19507</v>
      </c>
      <c r="L362" s="802">
        <v>12174</v>
      </c>
      <c r="M362" s="802"/>
      <c r="N362" s="803">
        <v>9980</v>
      </c>
      <c r="O362" s="803">
        <v>92123</v>
      </c>
      <c r="P362" s="803">
        <v>0</v>
      </c>
      <c r="Q362" s="802">
        <v>0</v>
      </c>
      <c r="R362" s="802"/>
      <c r="S362" s="803">
        <v>76127</v>
      </c>
      <c r="T362" s="804">
        <v>3955</v>
      </c>
      <c r="U362" s="804">
        <v>80082</v>
      </c>
    </row>
    <row r="363" spans="1:21" x14ac:dyDescent="0.25">
      <c r="A363" s="799">
        <v>93671</v>
      </c>
      <c r="B363" s="800" t="s">
        <v>2979</v>
      </c>
      <c r="C363" s="801">
        <v>3.6900000000000002E-4</v>
      </c>
      <c r="D363" s="801">
        <v>3.5710000000000001E-4</v>
      </c>
      <c r="E363" s="802">
        <v>141320.09</v>
      </c>
      <c r="F363" s="802">
        <v>160264</v>
      </c>
      <c r="G363" s="802">
        <v>783142</v>
      </c>
      <c r="H363" s="802"/>
      <c r="I363" s="803">
        <v>14714</v>
      </c>
      <c r="J363" s="803">
        <v>686282</v>
      </c>
      <c r="K363" s="803">
        <v>53638</v>
      </c>
      <c r="L363" s="802">
        <v>67993</v>
      </c>
      <c r="M363" s="802"/>
      <c r="N363" s="803">
        <v>27442</v>
      </c>
      <c r="O363" s="803">
        <v>253303</v>
      </c>
      <c r="P363" s="803">
        <v>0</v>
      </c>
      <c r="Q363" s="802">
        <v>1836</v>
      </c>
      <c r="R363" s="802"/>
      <c r="S363" s="803">
        <v>209322</v>
      </c>
      <c r="T363" s="804">
        <v>28852</v>
      </c>
      <c r="U363" s="804">
        <v>238174</v>
      </c>
    </row>
    <row r="364" spans="1:21" x14ac:dyDescent="0.25">
      <c r="A364" s="799">
        <v>93677</v>
      </c>
      <c r="B364" s="800" t="s">
        <v>1498</v>
      </c>
      <c r="C364" s="801">
        <v>0</v>
      </c>
      <c r="D364" s="801">
        <v>0</v>
      </c>
      <c r="E364" s="802">
        <v>0</v>
      </c>
      <c r="F364" s="802">
        <v>0</v>
      </c>
      <c r="G364" s="802">
        <v>0</v>
      </c>
      <c r="H364" s="802"/>
      <c r="I364" s="803">
        <v>0</v>
      </c>
      <c r="J364" s="803">
        <v>0</v>
      </c>
      <c r="K364" s="803">
        <v>0</v>
      </c>
      <c r="L364" s="802">
        <v>0</v>
      </c>
      <c r="M364" s="802"/>
      <c r="N364" s="803">
        <v>0</v>
      </c>
      <c r="O364" s="803">
        <v>0</v>
      </c>
      <c r="P364" s="803">
        <v>0</v>
      </c>
      <c r="Q364" s="802">
        <v>1443</v>
      </c>
      <c r="R364" s="802"/>
      <c r="S364" s="803">
        <v>0</v>
      </c>
      <c r="T364" s="804">
        <v>-725</v>
      </c>
      <c r="U364" s="804">
        <v>-725</v>
      </c>
    </row>
    <row r="365" spans="1:21" x14ac:dyDescent="0.25">
      <c r="A365" s="799">
        <v>93681</v>
      </c>
      <c r="B365" s="800" t="s">
        <v>2980</v>
      </c>
      <c r="C365" s="801">
        <v>1.1010000000000001E-4</v>
      </c>
      <c r="D365" s="801">
        <v>1.2769999999999999E-4</v>
      </c>
      <c r="E365" s="802">
        <v>44347.75</v>
      </c>
      <c r="F365" s="802">
        <v>57311</v>
      </c>
      <c r="G365" s="802">
        <v>233669</v>
      </c>
      <c r="H365" s="802"/>
      <c r="I365" s="803">
        <v>4390</v>
      </c>
      <c r="J365" s="803">
        <v>204769</v>
      </c>
      <c r="K365" s="803">
        <v>16004</v>
      </c>
      <c r="L365" s="802">
        <v>409</v>
      </c>
      <c r="M365" s="802"/>
      <c r="N365" s="803">
        <v>8188</v>
      </c>
      <c r="O365" s="803">
        <v>75579</v>
      </c>
      <c r="P365" s="803">
        <v>0</v>
      </c>
      <c r="Q365" s="802">
        <v>17487</v>
      </c>
      <c r="R365" s="802"/>
      <c r="S365" s="803">
        <v>62456</v>
      </c>
      <c r="T365" s="804">
        <v>-6141</v>
      </c>
      <c r="U365" s="804">
        <v>56315</v>
      </c>
    </row>
    <row r="366" spans="1:21" x14ac:dyDescent="0.25">
      <c r="A366" s="799">
        <v>93691</v>
      </c>
      <c r="B366" s="800" t="s">
        <v>2981</v>
      </c>
      <c r="C366" s="801">
        <v>1.1251E-3</v>
      </c>
      <c r="D366" s="801">
        <v>1.1314999999999999E-3</v>
      </c>
      <c r="E366" s="802">
        <v>407119.95</v>
      </c>
      <c r="F366" s="802">
        <v>507810</v>
      </c>
      <c r="G366" s="802">
        <v>2387839</v>
      </c>
      <c r="H366" s="802"/>
      <c r="I366" s="803">
        <v>44863</v>
      </c>
      <c r="J366" s="803">
        <v>2092508</v>
      </c>
      <c r="K366" s="803">
        <v>163546</v>
      </c>
      <c r="L366" s="802">
        <v>0</v>
      </c>
      <c r="M366" s="802"/>
      <c r="N366" s="803">
        <v>83673</v>
      </c>
      <c r="O366" s="803">
        <v>772334</v>
      </c>
      <c r="P366" s="803">
        <v>0</v>
      </c>
      <c r="Q366" s="802">
        <v>90621</v>
      </c>
      <c r="R366" s="802"/>
      <c r="S366" s="803">
        <v>638234</v>
      </c>
      <c r="T366" s="804">
        <v>-28965</v>
      </c>
      <c r="U366" s="804">
        <v>609269</v>
      </c>
    </row>
    <row r="367" spans="1:21" x14ac:dyDescent="0.25">
      <c r="A367" s="799">
        <v>93701</v>
      </c>
      <c r="B367" s="800" t="s">
        <v>2982</v>
      </c>
      <c r="C367" s="801">
        <v>4.6200000000000001E-4</v>
      </c>
      <c r="D367" s="801">
        <v>4.7169999999999997E-4</v>
      </c>
      <c r="E367" s="802">
        <v>182681.63</v>
      </c>
      <c r="F367" s="802">
        <v>211696</v>
      </c>
      <c r="G367" s="802">
        <v>980518.77</v>
      </c>
      <c r="H367" s="802"/>
      <c r="I367" s="803">
        <v>18422.25</v>
      </c>
      <c r="J367" s="803">
        <v>859247</v>
      </c>
      <c r="K367" s="803">
        <v>67157</v>
      </c>
      <c r="L367" s="802">
        <v>13714</v>
      </c>
      <c r="M367" s="802"/>
      <c r="N367" s="803">
        <v>34358</v>
      </c>
      <c r="O367" s="803">
        <v>317144</v>
      </c>
      <c r="P367" s="803">
        <v>0</v>
      </c>
      <c r="Q367" s="802">
        <v>11063</v>
      </c>
      <c r="R367" s="802"/>
      <c r="S367" s="803">
        <v>262078</v>
      </c>
      <c r="T367" s="804">
        <v>2925</v>
      </c>
      <c r="U367" s="804">
        <v>265003</v>
      </c>
    </row>
    <row r="368" spans="1:21" x14ac:dyDescent="0.25">
      <c r="A368" s="799">
        <v>93704</v>
      </c>
      <c r="B368" s="800" t="s">
        <v>2983</v>
      </c>
      <c r="C368" s="801">
        <v>3.3000000000000002E-6</v>
      </c>
      <c r="D368" s="801">
        <v>3.3000000000000002E-6</v>
      </c>
      <c r="E368" s="802">
        <v>1805</v>
      </c>
      <c r="F368" s="802">
        <v>1481</v>
      </c>
      <c r="G368" s="802">
        <v>7004</v>
      </c>
      <c r="H368" s="802"/>
      <c r="I368" s="803">
        <v>131.58750000000001</v>
      </c>
      <c r="J368" s="803">
        <v>6137</v>
      </c>
      <c r="K368" s="803">
        <v>480</v>
      </c>
      <c r="L368" s="802">
        <v>430</v>
      </c>
      <c r="M368" s="802"/>
      <c r="N368" s="803">
        <v>245</v>
      </c>
      <c r="O368" s="803">
        <v>2265</v>
      </c>
      <c r="P368" s="803">
        <v>0</v>
      </c>
      <c r="Q368" s="802">
        <v>97.51</v>
      </c>
      <c r="R368" s="802"/>
      <c r="S368" s="803">
        <v>1872</v>
      </c>
      <c r="T368" s="804">
        <v>69</v>
      </c>
      <c r="U368" s="804">
        <v>1941</v>
      </c>
    </row>
    <row r="369" spans="1:21" x14ac:dyDescent="0.25">
      <c r="A369" s="799">
        <v>93801</v>
      </c>
      <c r="B369" s="800" t="s">
        <v>2984</v>
      </c>
      <c r="C369" s="801">
        <v>5.4180000000000005E-4</v>
      </c>
      <c r="D369" s="801">
        <v>4.4959999999999998E-4</v>
      </c>
      <c r="E369" s="802">
        <v>326497.91999999998</v>
      </c>
      <c r="F369" s="802">
        <v>201778</v>
      </c>
      <c r="G369" s="802">
        <v>1149881</v>
      </c>
      <c r="H369" s="802"/>
      <c r="I369" s="803">
        <v>21604</v>
      </c>
      <c r="J369" s="803">
        <v>1007662</v>
      </c>
      <c r="K369" s="803">
        <v>78757</v>
      </c>
      <c r="L369" s="802">
        <v>156479</v>
      </c>
      <c r="M369" s="802"/>
      <c r="N369" s="803">
        <v>40293</v>
      </c>
      <c r="O369" s="803">
        <v>371923</v>
      </c>
      <c r="P369" s="803">
        <v>0</v>
      </c>
      <c r="Q369" s="802">
        <v>2943</v>
      </c>
      <c r="R369" s="802"/>
      <c r="S369" s="803">
        <v>307346</v>
      </c>
      <c r="T369" s="804">
        <v>41370</v>
      </c>
      <c r="U369" s="804">
        <v>348716</v>
      </c>
    </row>
    <row r="370" spans="1:21" x14ac:dyDescent="0.25">
      <c r="A370" s="799">
        <v>93803</v>
      </c>
      <c r="B370" s="800" t="s">
        <v>2985</v>
      </c>
      <c r="C370" s="801">
        <v>1.4469999999999999E-4</v>
      </c>
      <c r="D370" s="801">
        <v>1.582E-4</v>
      </c>
      <c r="E370" s="802">
        <v>49766</v>
      </c>
      <c r="F370" s="802">
        <v>70999</v>
      </c>
      <c r="G370" s="802">
        <v>307102</v>
      </c>
      <c r="H370" s="802"/>
      <c r="I370" s="803">
        <v>5770</v>
      </c>
      <c r="J370" s="803">
        <v>269119</v>
      </c>
      <c r="K370" s="803">
        <v>21034</v>
      </c>
      <c r="L370" s="802">
        <v>0</v>
      </c>
      <c r="M370" s="802"/>
      <c r="N370" s="803">
        <v>10761</v>
      </c>
      <c r="O370" s="803">
        <v>99330</v>
      </c>
      <c r="P370" s="803">
        <v>0</v>
      </c>
      <c r="Q370" s="802">
        <v>34507</v>
      </c>
      <c r="R370" s="802"/>
      <c r="S370" s="803">
        <v>82084</v>
      </c>
      <c r="T370" s="804">
        <v>-12391</v>
      </c>
      <c r="U370" s="804">
        <v>69693</v>
      </c>
    </row>
    <row r="371" spans="1:21" x14ac:dyDescent="0.25">
      <c r="A371" s="799">
        <v>93806</v>
      </c>
      <c r="B371" s="800" t="s">
        <v>2986</v>
      </c>
      <c r="C371" s="801">
        <v>7.3700000000000002E-5</v>
      </c>
      <c r="D371" s="801">
        <v>7.7899999999999996E-5</v>
      </c>
      <c r="E371" s="802">
        <v>32242.28</v>
      </c>
      <c r="F371" s="802">
        <v>34961</v>
      </c>
      <c r="G371" s="802">
        <v>156416</v>
      </c>
      <c r="H371" s="802"/>
      <c r="I371" s="803">
        <v>2939</v>
      </c>
      <c r="J371" s="803">
        <v>137070</v>
      </c>
      <c r="K371" s="803">
        <v>10713</v>
      </c>
      <c r="L371" s="802">
        <v>1793</v>
      </c>
      <c r="M371" s="802"/>
      <c r="N371" s="803">
        <v>5481</v>
      </c>
      <c r="O371" s="803">
        <v>50592</v>
      </c>
      <c r="P371" s="803">
        <v>0</v>
      </c>
      <c r="Q371" s="802">
        <v>19837</v>
      </c>
      <c r="R371" s="802"/>
      <c r="S371" s="803">
        <v>41808</v>
      </c>
      <c r="T371" s="804">
        <v>-9153</v>
      </c>
      <c r="U371" s="804">
        <v>32655</v>
      </c>
    </row>
    <row r="372" spans="1:21" x14ac:dyDescent="0.25">
      <c r="A372" s="799">
        <v>93821</v>
      </c>
      <c r="B372" s="800" t="s">
        <v>2987</v>
      </c>
      <c r="C372" s="801">
        <v>5.7200000000000001E-5</v>
      </c>
      <c r="D372" s="801">
        <v>5.2899999999999998E-5</v>
      </c>
      <c r="E372" s="802">
        <v>45354.71</v>
      </c>
      <c r="F372" s="802">
        <v>23741</v>
      </c>
      <c r="G372" s="802">
        <v>121398</v>
      </c>
      <c r="H372" s="802"/>
      <c r="I372" s="803">
        <v>2280.85</v>
      </c>
      <c r="J372" s="803">
        <v>106383</v>
      </c>
      <c r="K372" s="803">
        <v>8315</v>
      </c>
      <c r="L372" s="802">
        <v>26142</v>
      </c>
      <c r="M372" s="802"/>
      <c r="N372" s="803">
        <v>4254</v>
      </c>
      <c r="O372" s="803">
        <v>39265</v>
      </c>
      <c r="P372" s="803">
        <v>0</v>
      </c>
      <c r="Q372" s="802">
        <v>0</v>
      </c>
      <c r="R372" s="802"/>
      <c r="S372" s="803">
        <v>32448</v>
      </c>
      <c r="T372" s="804">
        <v>7718</v>
      </c>
      <c r="U372" s="804">
        <v>40166</v>
      </c>
    </row>
    <row r="373" spans="1:21" x14ac:dyDescent="0.25">
      <c r="A373" s="799">
        <v>93901</v>
      </c>
      <c r="B373" s="800" t="s">
        <v>2988</v>
      </c>
      <c r="C373" s="801">
        <v>1.8059E-3</v>
      </c>
      <c r="D373" s="801">
        <v>1.7983999999999999E-3</v>
      </c>
      <c r="E373" s="802">
        <v>780735.88</v>
      </c>
      <c r="F373" s="802">
        <v>807111</v>
      </c>
      <c r="G373" s="802">
        <v>3832725</v>
      </c>
      <c r="H373" s="802"/>
      <c r="I373" s="803">
        <v>72010</v>
      </c>
      <c r="J373" s="803">
        <v>3358689</v>
      </c>
      <c r="K373" s="803">
        <v>262507</v>
      </c>
      <c r="L373" s="802">
        <v>66837</v>
      </c>
      <c r="M373" s="802"/>
      <c r="N373" s="803">
        <v>134303</v>
      </c>
      <c r="O373" s="803">
        <v>1239675</v>
      </c>
      <c r="P373" s="803">
        <v>0</v>
      </c>
      <c r="Q373" s="802">
        <v>0</v>
      </c>
      <c r="R373" s="802"/>
      <c r="S373" s="803">
        <v>1024431</v>
      </c>
      <c r="T373" s="804">
        <v>21679</v>
      </c>
      <c r="U373" s="804">
        <v>1046110</v>
      </c>
    </row>
    <row r="374" spans="1:21" x14ac:dyDescent="0.25">
      <c r="A374" s="799">
        <v>93904</v>
      </c>
      <c r="B374" s="800" t="s">
        <v>2989</v>
      </c>
      <c r="C374" s="801">
        <v>2.4700000000000001E-5</v>
      </c>
      <c r="D374" s="801">
        <v>2.5700000000000001E-5</v>
      </c>
      <c r="E374" s="802">
        <v>12993.06</v>
      </c>
      <c r="F374" s="802">
        <v>11534</v>
      </c>
      <c r="G374" s="802">
        <v>52422</v>
      </c>
      <c r="H374" s="802"/>
      <c r="I374" s="803">
        <v>984.91250000000002</v>
      </c>
      <c r="J374" s="803">
        <v>45938</v>
      </c>
      <c r="K374" s="803">
        <v>3590</v>
      </c>
      <c r="L374" s="802">
        <v>4911</v>
      </c>
      <c r="M374" s="802"/>
      <c r="N374" s="803">
        <v>1837</v>
      </c>
      <c r="O374" s="803">
        <v>16956</v>
      </c>
      <c r="P374" s="803">
        <v>0</v>
      </c>
      <c r="Q374" s="802">
        <v>56</v>
      </c>
      <c r="R374" s="802"/>
      <c r="S374" s="803">
        <v>14012</v>
      </c>
      <c r="T374" s="804">
        <v>1550</v>
      </c>
      <c r="U374" s="804">
        <v>15562</v>
      </c>
    </row>
    <row r="375" spans="1:21" x14ac:dyDescent="0.25">
      <c r="A375" s="799">
        <v>93906</v>
      </c>
      <c r="B375" s="800" t="s">
        <v>2990</v>
      </c>
      <c r="C375" s="801">
        <v>3.4513E-3</v>
      </c>
      <c r="D375" s="801">
        <v>3.4020000000000001E-3</v>
      </c>
      <c r="E375" s="802">
        <v>1324474.51</v>
      </c>
      <c r="F375" s="802">
        <v>1526797</v>
      </c>
      <c r="G375" s="802">
        <v>7324815</v>
      </c>
      <c r="H375" s="802"/>
      <c r="I375" s="803">
        <v>137621</v>
      </c>
      <c r="J375" s="803">
        <v>6418873</v>
      </c>
      <c r="K375" s="803">
        <v>501684</v>
      </c>
      <c r="L375" s="802">
        <v>30117</v>
      </c>
      <c r="M375" s="802"/>
      <c r="N375" s="803">
        <v>256670</v>
      </c>
      <c r="O375" s="803">
        <v>2369172</v>
      </c>
      <c r="P375" s="803">
        <v>0</v>
      </c>
      <c r="Q375" s="802">
        <v>185682</v>
      </c>
      <c r="R375" s="802"/>
      <c r="S375" s="803">
        <v>1957815</v>
      </c>
      <c r="T375" s="804">
        <v>-46065</v>
      </c>
      <c r="U375" s="804">
        <v>1911751</v>
      </c>
    </row>
    <row r="376" spans="1:21" x14ac:dyDescent="0.25">
      <c r="A376" s="799">
        <v>93908</v>
      </c>
      <c r="B376" s="800" t="s">
        <v>2991</v>
      </c>
      <c r="C376" s="801">
        <v>5.0239999999999996E-4</v>
      </c>
      <c r="D376" s="801">
        <v>5.1309999999999995E-4</v>
      </c>
      <c r="E376" s="802">
        <v>209823</v>
      </c>
      <c r="F376" s="802">
        <v>230276</v>
      </c>
      <c r="G376" s="802">
        <v>1066261</v>
      </c>
      <c r="H376" s="802"/>
      <c r="I376" s="803">
        <v>20033</v>
      </c>
      <c r="J376" s="803">
        <v>934385</v>
      </c>
      <c r="K376" s="803">
        <v>73029</v>
      </c>
      <c r="L376" s="802">
        <v>8428</v>
      </c>
      <c r="M376" s="802"/>
      <c r="N376" s="803">
        <v>37363</v>
      </c>
      <c r="O376" s="803">
        <v>344876</v>
      </c>
      <c r="P376" s="803">
        <v>0</v>
      </c>
      <c r="Q376" s="802">
        <v>25053</v>
      </c>
      <c r="R376" s="802"/>
      <c r="S376" s="803">
        <v>284996</v>
      </c>
      <c r="T376" s="804">
        <v>-4339</v>
      </c>
      <c r="U376" s="804">
        <v>280657</v>
      </c>
    </row>
    <row r="377" spans="1:21" x14ac:dyDescent="0.25">
      <c r="A377" s="799">
        <v>93910</v>
      </c>
      <c r="B377" s="800" t="s">
        <v>2992</v>
      </c>
      <c r="C377" s="801">
        <v>2.9129999999999998E-4</v>
      </c>
      <c r="D377" s="801">
        <v>2.8830000000000001E-4</v>
      </c>
      <c r="E377" s="802">
        <v>105004</v>
      </c>
      <c r="F377" s="802">
        <v>129387</v>
      </c>
      <c r="G377" s="802">
        <v>618236</v>
      </c>
      <c r="H377" s="802"/>
      <c r="I377" s="803">
        <v>11616</v>
      </c>
      <c r="J377" s="803">
        <v>541772</v>
      </c>
      <c r="K377" s="803">
        <v>42344</v>
      </c>
      <c r="L377" s="802">
        <v>0</v>
      </c>
      <c r="M377" s="802"/>
      <c r="N377" s="803">
        <v>21664</v>
      </c>
      <c r="O377" s="803">
        <v>199965</v>
      </c>
      <c r="P377" s="803">
        <v>0</v>
      </c>
      <c r="Q377" s="802">
        <v>27549</v>
      </c>
      <c r="R377" s="802"/>
      <c r="S377" s="803">
        <v>165245</v>
      </c>
      <c r="T377" s="804">
        <v>-10320</v>
      </c>
      <c r="U377" s="804">
        <v>154925</v>
      </c>
    </row>
    <row r="378" spans="1:21" x14ac:dyDescent="0.25">
      <c r="A378" s="799">
        <v>93911</v>
      </c>
      <c r="B378" s="800" t="s">
        <v>2993</v>
      </c>
      <c r="C378" s="801">
        <v>6.9890000000000002E-4</v>
      </c>
      <c r="D378" s="801">
        <v>7.1869999999999996E-4</v>
      </c>
      <c r="E378" s="802">
        <v>267489</v>
      </c>
      <c r="F378" s="802">
        <v>322548</v>
      </c>
      <c r="G378" s="802">
        <v>1483300</v>
      </c>
      <c r="H378" s="802"/>
      <c r="I378" s="803">
        <v>27869</v>
      </c>
      <c r="J378" s="803">
        <v>1299844</v>
      </c>
      <c r="K378" s="803">
        <v>101593</v>
      </c>
      <c r="L378" s="802">
        <v>21802</v>
      </c>
      <c r="M378" s="802"/>
      <c r="N378" s="803">
        <v>51976</v>
      </c>
      <c r="O378" s="803">
        <v>479765</v>
      </c>
      <c r="P378" s="803">
        <v>0</v>
      </c>
      <c r="Q378" s="802">
        <v>26554</v>
      </c>
      <c r="R378" s="802"/>
      <c r="S378" s="803">
        <v>396464</v>
      </c>
      <c r="T378" s="804">
        <v>1748</v>
      </c>
      <c r="U378" s="804">
        <v>398212</v>
      </c>
    </row>
    <row r="379" spans="1:21" x14ac:dyDescent="0.25">
      <c r="A379" s="799">
        <v>93913</v>
      </c>
      <c r="B379" s="800" t="s">
        <v>2994</v>
      </c>
      <c r="C379" s="801">
        <v>6.2600000000000004E-5</v>
      </c>
      <c r="D379" s="801">
        <v>5.5699999999999999E-5</v>
      </c>
      <c r="E379" s="802">
        <v>25969.759999999998</v>
      </c>
      <c r="F379" s="802">
        <v>24998</v>
      </c>
      <c r="G379" s="802">
        <v>132858</v>
      </c>
      <c r="H379" s="802"/>
      <c r="I379" s="803">
        <v>2496</v>
      </c>
      <c r="J379" s="803">
        <v>116426</v>
      </c>
      <c r="K379" s="803">
        <v>9100</v>
      </c>
      <c r="L379" s="802">
        <v>3917</v>
      </c>
      <c r="M379" s="802"/>
      <c r="N379" s="803">
        <v>4655</v>
      </c>
      <c r="O379" s="803">
        <v>42972</v>
      </c>
      <c r="P379" s="803">
        <v>0</v>
      </c>
      <c r="Q379" s="802">
        <v>1335</v>
      </c>
      <c r="R379" s="802"/>
      <c r="S379" s="803">
        <v>35511</v>
      </c>
      <c r="T379" s="804">
        <v>530</v>
      </c>
      <c r="U379" s="804">
        <v>36041</v>
      </c>
    </row>
    <row r="380" spans="1:21" x14ac:dyDescent="0.25">
      <c r="A380" s="799">
        <v>93914</v>
      </c>
      <c r="B380" s="800" t="s">
        <v>2995</v>
      </c>
      <c r="C380" s="801">
        <v>9.0999999999999993E-6</v>
      </c>
      <c r="D380" s="801">
        <v>1.0000000000000001E-5</v>
      </c>
      <c r="E380" s="802">
        <v>5837.72</v>
      </c>
      <c r="F380" s="802">
        <v>4488</v>
      </c>
      <c r="G380" s="802">
        <v>19313</v>
      </c>
      <c r="H380" s="802"/>
      <c r="I380" s="803">
        <v>363</v>
      </c>
      <c r="J380" s="803">
        <v>16925</v>
      </c>
      <c r="K380" s="803">
        <v>1323</v>
      </c>
      <c r="L380" s="802">
        <v>3108</v>
      </c>
      <c r="M380" s="802"/>
      <c r="N380" s="803">
        <v>677</v>
      </c>
      <c r="O380" s="803">
        <v>6247</v>
      </c>
      <c r="P380" s="803">
        <v>0</v>
      </c>
      <c r="Q380" s="802">
        <v>0</v>
      </c>
      <c r="R380" s="802"/>
      <c r="S380" s="803">
        <v>5162</v>
      </c>
      <c r="T380" s="804">
        <v>1124</v>
      </c>
      <c r="U380" s="804">
        <v>6287</v>
      </c>
    </row>
    <row r="381" spans="1:21" x14ac:dyDescent="0.25">
      <c r="A381" s="799">
        <v>93921</v>
      </c>
      <c r="B381" s="800" t="s">
        <v>2996</v>
      </c>
      <c r="C381" s="801">
        <v>2.7139999999999998E-4</v>
      </c>
      <c r="D381" s="801">
        <v>2.8130000000000001E-4</v>
      </c>
      <c r="E381" s="802">
        <v>109806.1</v>
      </c>
      <c r="F381" s="802">
        <v>126246</v>
      </c>
      <c r="G381" s="802">
        <v>576002</v>
      </c>
      <c r="H381" s="802"/>
      <c r="I381" s="803">
        <v>10822</v>
      </c>
      <c r="J381" s="803">
        <v>504761</v>
      </c>
      <c r="K381" s="803">
        <v>39451</v>
      </c>
      <c r="L381" s="802">
        <v>14895</v>
      </c>
      <c r="M381" s="802"/>
      <c r="N381" s="803">
        <v>20184</v>
      </c>
      <c r="O381" s="803">
        <v>186305</v>
      </c>
      <c r="P381" s="803">
        <v>0</v>
      </c>
      <c r="Q381" s="802">
        <v>6797</v>
      </c>
      <c r="R381" s="802"/>
      <c r="S381" s="803">
        <v>153957</v>
      </c>
      <c r="T381" s="804">
        <v>4443</v>
      </c>
      <c r="U381" s="804">
        <v>158400</v>
      </c>
    </row>
    <row r="382" spans="1:21" x14ac:dyDescent="0.25">
      <c r="A382" s="799">
        <v>93931</v>
      </c>
      <c r="B382" s="800" t="s">
        <v>2997</v>
      </c>
      <c r="C382" s="801">
        <v>5.2260000000000002E-4</v>
      </c>
      <c r="D382" s="801">
        <v>5.1309999999999995E-4</v>
      </c>
      <c r="E382" s="802">
        <v>190729</v>
      </c>
      <c r="F382" s="802">
        <v>230276</v>
      </c>
      <c r="G382" s="802">
        <v>1109132</v>
      </c>
      <c r="H382" s="802"/>
      <c r="I382" s="803">
        <v>20839</v>
      </c>
      <c r="J382" s="803">
        <v>971953</v>
      </c>
      <c r="K382" s="803">
        <v>75966</v>
      </c>
      <c r="L382" s="802">
        <v>197494</v>
      </c>
      <c r="M382" s="802"/>
      <c r="N382" s="803">
        <v>38865</v>
      </c>
      <c r="O382" s="803">
        <v>358743</v>
      </c>
      <c r="P382" s="803">
        <v>0</v>
      </c>
      <c r="Q382" s="802">
        <v>14064</v>
      </c>
      <c r="R382" s="802"/>
      <c r="S382" s="803">
        <v>296455</v>
      </c>
      <c r="T382" s="804">
        <v>86279</v>
      </c>
      <c r="U382" s="804">
        <v>382733</v>
      </c>
    </row>
    <row r="383" spans="1:21" x14ac:dyDescent="0.25">
      <c r="A383" s="799">
        <v>94001</v>
      </c>
      <c r="B383" s="800" t="s">
        <v>2998</v>
      </c>
      <c r="C383" s="801">
        <v>9.0240000000000003E-4</v>
      </c>
      <c r="D383" s="801">
        <v>8.1820000000000005E-4</v>
      </c>
      <c r="E383" s="802">
        <v>359460</v>
      </c>
      <c r="F383" s="802">
        <v>367203</v>
      </c>
      <c r="G383" s="802">
        <v>1915195</v>
      </c>
      <c r="H383" s="802"/>
      <c r="I383" s="803">
        <v>35983</v>
      </c>
      <c r="J383" s="803">
        <v>1678321</v>
      </c>
      <c r="K383" s="803">
        <v>131174</v>
      </c>
      <c r="L383" s="802">
        <v>36363</v>
      </c>
      <c r="M383" s="802"/>
      <c r="N383" s="803">
        <v>67111</v>
      </c>
      <c r="O383" s="803">
        <v>619460</v>
      </c>
      <c r="P383" s="803">
        <v>0</v>
      </c>
      <c r="Q383" s="802">
        <v>53646</v>
      </c>
      <c r="R383" s="802"/>
      <c r="S383" s="803">
        <v>511904</v>
      </c>
      <c r="T383" s="804">
        <v>-17058</v>
      </c>
      <c r="U383" s="804">
        <v>494846</v>
      </c>
    </row>
    <row r="384" spans="1:21" x14ac:dyDescent="0.25">
      <c r="A384" s="799">
        <v>94002</v>
      </c>
      <c r="B384" s="800" t="s">
        <v>2999</v>
      </c>
      <c r="C384" s="801">
        <v>7.6000000000000001E-6</v>
      </c>
      <c r="D384" s="801">
        <v>8.3000000000000002E-6</v>
      </c>
      <c r="E384" s="802">
        <v>4360</v>
      </c>
      <c r="F384" s="802">
        <v>3725</v>
      </c>
      <c r="G384" s="802">
        <v>16130</v>
      </c>
      <c r="H384" s="802"/>
      <c r="I384" s="803">
        <v>303.05</v>
      </c>
      <c r="J384" s="803">
        <v>14135</v>
      </c>
      <c r="K384" s="803">
        <v>1105</v>
      </c>
      <c r="L384" s="802">
        <v>867</v>
      </c>
      <c r="M384" s="802"/>
      <c r="N384" s="803">
        <v>565</v>
      </c>
      <c r="O384" s="803">
        <v>5217</v>
      </c>
      <c r="P384" s="803">
        <v>0</v>
      </c>
      <c r="Q384" s="802">
        <v>430</v>
      </c>
      <c r="R384" s="802"/>
      <c r="S384" s="803">
        <v>4311</v>
      </c>
      <c r="T384" s="804">
        <v>34</v>
      </c>
      <c r="U384" s="804">
        <v>4345</v>
      </c>
    </row>
    <row r="385" spans="1:21" x14ac:dyDescent="0.25">
      <c r="A385" s="799">
        <v>94004</v>
      </c>
      <c r="B385" s="800" t="s">
        <v>3000</v>
      </c>
      <c r="C385" s="801">
        <v>2.7999999999999999E-6</v>
      </c>
      <c r="D385" s="801">
        <v>2.2000000000000001E-6</v>
      </c>
      <c r="E385" s="802">
        <v>2638.89</v>
      </c>
      <c r="F385" s="802">
        <v>987</v>
      </c>
      <c r="G385" s="802">
        <v>5943</v>
      </c>
      <c r="H385" s="802"/>
      <c r="I385" s="803">
        <v>112</v>
      </c>
      <c r="J385" s="803">
        <v>5208</v>
      </c>
      <c r="K385" s="803">
        <v>407</v>
      </c>
      <c r="L385" s="802">
        <v>1506</v>
      </c>
      <c r="M385" s="802"/>
      <c r="N385" s="803">
        <v>208</v>
      </c>
      <c r="O385" s="803">
        <v>1922</v>
      </c>
      <c r="P385" s="803">
        <v>0</v>
      </c>
      <c r="Q385" s="802">
        <v>1224</v>
      </c>
      <c r="R385" s="802"/>
      <c r="S385" s="803">
        <v>1588</v>
      </c>
      <c r="T385" s="804">
        <v>-207</v>
      </c>
      <c r="U385" s="804">
        <v>1381</v>
      </c>
    </row>
    <row r="386" spans="1:21" x14ac:dyDescent="0.25">
      <c r="A386" s="799">
        <v>94005</v>
      </c>
      <c r="B386" s="800" t="s">
        <v>3001</v>
      </c>
      <c r="C386" s="801">
        <v>5.4999999999999999E-6</v>
      </c>
      <c r="D386" s="801">
        <v>6.2999999999999998E-6</v>
      </c>
      <c r="E386" s="802">
        <v>0</v>
      </c>
      <c r="F386" s="802">
        <v>2827</v>
      </c>
      <c r="G386" s="802">
        <v>11673</v>
      </c>
      <c r="H386" s="802"/>
      <c r="I386" s="803">
        <v>219.3125</v>
      </c>
      <c r="J386" s="803">
        <v>10229</v>
      </c>
      <c r="K386" s="803">
        <v>799</v>
      </c>
      <c r="L386" s="802">
        <v>0</v>
      </c>
      <c r="M386" s="802"/>
      <c r="N386" s="803">
        <v>409</v>
      </c>
      <c r="O386" s="803">
        <v>3776</v>
      </c>
      <c r="P386" s="803">
        <v>0</v>
      </c>
      <c r="Q386" s="802">
        <v>3798</v>
      </c>
      <c r="R386" s="802"/>
      <c r="S386" s="803">
        <v>3120</v>
      </c>
      <c r="T386" s="804">
        <v>-1174</v>
      </c>
      <c r="U386" s="804">
        <v>1946</v>
      </c>
    </row>
    <row r="387" spans="1:21" x14ac:dyDescent="0.25">
      <c r="A387" s="799">
        <v>94011</v>
      </c>
      <c r="B387" s="800" t="s">
        <v>3002</v>
      </c>
      <c r="C387" s="801">
        <v>2.5599999999999999E-5</v>
      </c>
      <c r="D387" s="801">
        <v>1.3900000000000001E-5</v>
      </c>
      <c r="E387" s="802">
        <v>8013.12</v>
      </c>
      <c r="F387" s="802">
        <v>6238</v>
      </c>
      <c r="G387" s="802">
        <v>54332</v>
      </c>
      <c r="H387" s="802"/>
      <c r="I387" s="803">
        <v>1020.8</v>
      </c>
      <c r="J387" s="803">
        <v>47612</v>
      </c>
      <c r="K387" s="803">
        <v>3721</v>
      </c>
      <c r="L387" s="802">
        <v>4341</v>
      </c>
      <c r="M387" s="802"/>
      <c r="N387" s="803">
        <v>1904</v>
      </c>
      <c r="O387" s="803">
        <v>17573</v>
      </c>
      <c r="P387" s="803">
        <v>0</v>
      </c>
      <c r="Q387" s="802">
        <v>1019</v>
      </c>
      <c r="R387" s="802"/>
      <c r="S387" s="803">
        <v>14522</v>
      </c>
      <c r="T387" s="804">
        <v>639</v>
      </c>
      <c r="U387" s="804">
        <v>15161</v>
      </c>
    </row>
    <row r="388" spans="1:21" x14ac:dyDescent="0.25">
      <c r="A388" s="799">
        <v>94021</v>
      </c>
      <c r="B388" s="800" t="s">
        <v>3003</v>
      </c>
      <c r="C388" s="801">
        <v>8.1699999999999994E-5</v>
      </c>
      <c r="D388" s="801">
        <v>7.6899999999999999E-5</v>
      </c>
      <c r="E388" s="802">
        <v>34891</v>
      </c>
      <c r="F388" s="802">
        <v>34512</v>
      </c>
      <c r="G388" s="802">
        <v>173395</v>
      </c>
      <c r="H388" s="802"/>
      <c r="I388" s="803">
        <v>3258</v>
      </c>
      <c r="J388" s="803">
        <v>151949</v>
      </c>
      <c r="K388" s="803">
        <v>11876</v>
      </c>
      <c r="L388" s="802">
        <v>14318</v>
      </c>
      <c r="M388" s="802"/>
      <c r="N388" s="803">
        <v>6076</v>
      </c>
      <c r="O388" s="803">
        <v>56084</v>
      </c>
      <c r="P388" s="803">
        <v>0</v>
      </c>
      <c r="Q388" s="802">
        <v>0</v>
      </c>
      <c r="R388" s="802"/>
      <c r="S388" s="803">
        <v>46346</v>
      </c>
      <c r="T388" s="804">
        <v>5712</v>
      </c>
      <c r="U388" s="804">
        <v>52058</v>
      </c>
    </row>
    <row r="389" spans="1:21" x14ac:dyDescent="0.25">
      <c r="A389" s="799">
        <v>94031</v>
      </c>
      <c r="B389" s="800" t="s">
        <v>3004</v>
      </c>
      <c r="C389" s="801">
        <v>8.1000000000000004E-6</v>
      </c>
      <c r="D389" s="801">
        <v>6.9E-6</v>
      </c>
      <c r="E389" s="802">
        <v>7705.65</v>
      </c>
      <c r="F389" s="802">
        <v>3097</v>
      </c>
      <c r="G389" s="802">
        <v>17191</v>
      </c>
      <c r="H389" s="802"/>
      <c r="I389" s="803">
        <v>322.98750000000001</v>
      </c>
      <c r="J389" s="803">
        <v>15065</v>
      </c>
      <c r="K389" s="803">
        <v>1177</v>
      </c>
      <c r="L389" s="802">
        <v>8044</v>
      </c>
      <c r="M389" s="802"/>
      <c r="N389" s="803">
        <v>602</v>
      </c>
      <c r="O389" s="803">
        <v>5560</v>
      </c>
      <c r="P389" s="803">
        <v>0</v>
      </c>
      <c r="Q389" s="802">
        <v>81.59</v>
      </c>
      <c r="R389" s="802"/>
      <c r="S389" s="803">
        <v>4595</v>
      </c>
      <c r="T389" s="804">
        <v>2417</v>
      </c>
      <c r="U389" s="804">
        <v>7012</v>
      </c>
    </row>
    <row r="390" spans="1:21" x14ac:dyDescent="0.25">
      <c r="A390" s="799">
        <v>94101</v>
      </c>
      <c r="B390" s="800" t="s">
        <v>3005</v>
      </c>
      <c r="C390" s="801">
        <v>1.85028E-2</v>
      </c>
      <c r="D390" s="801">
        <v>1.9464599999999999E-2</v>
      </c>
      <c r="E390" s="802">
        <v>7542806</v>
      </c>
      <c r="F390" s="802">
        <v>8735596</v>
      </c>
      <c r="G390" s="802">
        <v>39269140</v>
      </c>
      <c r="H390" s="802"/>
      <c r="I390" s="803">
        <v>737799.15</v>
      </c>
      <c r="J390" s="803">
        <v>34412285</v>
      </c>
      <c r="K390" s="803">
        <v>2689586</v>
      </c>
      <c r="L390" s="802">
        <v>420795</v>
      </c>
      <c r="M390" s="802"/>
      <c r="N390" s="803">
        <v>1376035</v>
      </c>
      <c r="O390" s="803">
        <v>12701395</v>
      </c>
      <c r="P390" s="803">
        <v>0</v>
      </c>
      <c r="Q390" s="802">
        <v>1094802</v>
      </c>
      <c r="R390" s="802"/>
      <c r="S390" s="803">
        <v>10496065</v>
      </c>
      <c r="T390" s="804">
        <v>-261265</v>
      </c>
      <c r="U390" s="804">
        <v>10234799</v>
      </c>
    </row>
    <row r="391" spans="1:21" x14ac:dyDescent="0.25">
      <c r="A391" s="799">
        <v>94102</v>
      </c>
      <c r="B391" s="800" t="s">
        <v>3006</v>
      </c>
      <c r="C391" s="801">
        <v>2.7569999999999998E-4</v>
      </c>
      <c r="D391" s="801">
        <v>2.7809999999999998E-4</v>
      </c>
      <c r="E391" s="802">
        <v>89848.97</v>
      </c>
      <c r="F391" s="802">
        <v>124810</v>
      </c>
      <c r="G391" s="802">
        <v>585128</v>
      </c>
      <c r="H391" s="802"/>
      <c r="I391" s="803">
        <v>10994</v>
      </c>
      <c r="J391" s="803">
        <v>512758</v>
      </c>
      <c r="K391" s="803">
        <v>40076</v>
      </c>
      <c r="L391" s="802">
        <v>5166</v>
      </c>
      <c r="M391" s="802"/>
      <c r="N391" s="803">
        <v>20504</v>
      </c>
      <c r="O391" s="803">
        <v>189256</v>
      </c>
      <c r="P391" s="803">
        <v>0</v>
      </c>
      <c r="Q391" s="802">
        <v>36634</v>
      </c>
      <c r="R391" s="802"/>
      <c r="S391" s="803">
        <v>156396</v>
      </c>
      <c r="T391" s="804">
        <v>-8485</v>
      </c>
      <c r="U391" s="804">
        <v>147911</v>
      </c>
    </row>
    <row r="392" spans="1:21" x14ac:dyDescent="0.25">
      <c r="A392" s="799">
        <v>94108</v>
      </c>
      <c r="B392" s="800" t="s">
        <v>3007</v>
      </c>
      <c r="C392" s="801">
        <v>3.1809999999999998E-4</v>
      </c>
      <c r="D392" s="801">
        <v>3.991E-4</v>
      </c>
      <c r="E392" s="802">
        <v>100948</v>
      </c>
      <c r="F392" s="802">
        <v>179114</v>
      </c>
      <c r="G392" s="802">
        <v>675115</v>
      </c>
      <c r="H392" s="802"/>
      <c r="I392" s="803">
        <v>12684</v>
      </c>
      <c r="J392" s="803">
        <v>591616</v>
      </c>
      <c r="K392" s="803">
        <v>46239</v>
      </c>
      <c r="L392" s="802">
        <v>0</v>
      </c>
      <c r="M392" s="802"/>
      <c r="N392" s="803">
        <v>23657</v>
      </c>
      <c r="O392" s="803">
        <v>218362</v>
      </c>
      <c r="P392" s="803">
        <v>0</v>
      </c>
      <c r="Q392" s="802">
        <v>121376</v>
      </c>
      <c r="R392" s="802"/>
      <c r="S392" s="803">
        <v>180448</v>
      </c>
      <c r="T392" s="804">
        <v>-40521</v>
      </c>
      <c r="U392" s="804">
        <v>139927</v>
      </c>
    </row>
    <row r="393" spans="1:21" x14ac:dyDescent="0.25">
      <c r="A393" s="799">
        <v>94109</v>
      </c>
      <c r="B393" s="800" t="s">
        <v>3008</v>
      </c>
      <c r="C393" s="801">
        <v>1.0399999999999999E-4</v>
      </c>
      <c r="D393" s="801">
        <v>1.359E-4</v>
      </c>
      <c r="E393" s="802">
        <v>30807.5</v>
      </c>
      <c r="F393" s="802">
        <v>60991</v>
      </c>
      <c r="G393" s="802">
        <v>220722.84</v>
      </c>
      <c r="H393" s="802"/>
      <c r="I393" s="803">
        <v>4147</v>
      </c>
      <c r="J393" s="803">
        <v>193424</v>
      </c>
      <c r="K393" s="803">
        <v>15118</v>
      </c>
      <c r="L393" s="802">
        <v>1600</v>
      </c>
      <c r="M393" s="802"/>
      <c r="N393" s="803">
        <v>7734</v>
      </c>
      <c r="O393" s="803">
        <v>71392</v>
      </c>
      <c r="P393" s="803">
        <v>0</v>
      </c>
      <c r="Q393" s="802">
        <v>33989</v>
      </c>
      <c r="R393" s="802"/>
      <c r="S393" s="803">
        <v>58996</v>
      </c>
      <c r="T393" s="804">
        <v>-8690</v>
      </c>
      <c r="U393" s="804">
        <v>50306</v>
      </c>
    </row>
    <row r="394" spans="1:21" x14ac:dyDescent="0.25">
      <c r="A394" s="799">
        <v>94111</v>
      </c>
      <c r="B394" s="800" t="s">
        <v>3009</v>
      </c>
      <c r="C394" s="801">
        <v>2.5623300000000002E-2</v>
      </c>
      <c r="D394" s="801">
        <v>2.7054000000000002E-2</v>
      </c>
      <c r="E394" s="802">
        <v>10028319</v>
      </c>
      <c r="F394" s="802">
        <v>12141673</v>
      </c>
      <c r="G394" s="802">
        <v>54381226</v>
      </c>
      <c r="H394" s="802"/>
      <c r="I394" s="803">
        <v>1021729</v>
      </c>
      <c r="J394" s="803">
        <v>47655290</v>
      </c>
      <c r="K394" s="803">
        <v>3724629</v>
      </c>
      <c r="L394" s="802">
        <v>15132</v>
      </c>
      <c r="M394" s="802"/>
      <c r="N394" s="803">
        <v>1905579</v>
      </c>
      <c r="O394" s="803">
        <v>17589319</v>
      </c>
      <c r="P394" s="803">
        <v>0</v>
      </c>
      <c r="Q394" s="802">
        <v>1552982</v>
      </c>
      <c r="R394" s="802"/>
      <c r="S394" s="803">
        <v>14535304</v>
      </c>
      <c r="T394" s="804">
        <v>-430419</v>
      </c>
      <c r="U394" s="804">
        <v>14104885</v>
      </c>
    </row>
    <row r="395" spans="1:21" x14ac:dyDescent="0.25">
      <c r="A395" s="799">
        <v>94112</v>
      </c>
      <c r="B395" s="800" t="s">
        <v>3010</v>
      </c>
      <c r="C395" s="801">
        <v>1.6530000000000001E-4</v>
      </c>
      <c r="D395" s="801">
        <v>1.6909999999999999E-4</v>
      </c>
      <c r="E395" s="802">
        <v>58678.14</v>
      </c>
      <c r="F395" s="802">
        <v>75891</v>
      </c>
      <c r="G395" s="802">
        <v>350822</v>
      </c>
      <c r="H395" s="802"/>
      <c r="I395" s="803">
        <v>6591</v>
      </c>
      <c r="J395" s="803">
        <v>307432</v>
      </c>
      <c r="K395" s="803">
        <v>24028</v>
      </c>
      <c r="L395" s="802">
        <v>0</v>
      </c>
      <c r="M395" s="802"/>
      <c r="N395" s="803">
        <v>12293</v>
      </c>
      <c r="O395" s="803">
        <v>113472</v>
      </c>
      <c r="P395" s="803">
        <v>0</v>
      </c>
      <c r="Q395" s="802">
        <v>20904</v>
      </c>
      <c r="R395" s="802"/>
      <c r="S395" s="803">
        <v>93770</v>
      </c>
      <c r="T395" s="804">
        <v>-7213</v>
      </c>
      <c r="U395" s="804">
        <v>86557</v>
      </c>
    </row>
    <row r="396" spans="1:21" x14ac:dyDescent="0.25">
      <c r="A396" s="799">
        <v>94117</v>
      </c>
      <c r="B396" s="800" t="s">
        <v>3011</v>
      </c>
      <c r="C396" s="801">
        <v>4.0709999999999997E-4</v>
      </c>
      <c r="D396" s="801">
        <v>4.17E-4</v>
      </c>
      <c r="E396" s="802">
        <v>162038</v>
      </c>
      <c r="F396" s="802">
        <v>187147</v>
      </c>
      <c r="G396" s="802">
        <v>864003</v>
      </c>
      <c r="H396" s="802"/>
      <c r="I396" s="803">
        <v>16233</v>
      </c>
      <c r="J396" s="803">
        <v>757142</v>
      </c>
      <c r="K396" s="803">
        <v>59176</v>
      </c>
      <c r="L396" s="802">
        <v>12662</v>
      </c>
      <c r="M396" s="802"/>
      <c r="N396" s="803">
        <v>30276</v>
      </c>
      <c r="O396" s="803">
        <v>279457</v>
      </c>
      <c r="P396" s="803">
        <v>0</v>
      </c>
      <c r="Q396" s="802">
        <v>9635</v>
      </c>
      <c r="R396" s="802"/>
      <c r="S396" s="803">
        <v>230935</v>
      </c>
      <c r="T396" s="804">
        <v>2033</v>
      </c>
      <c r="U396" s="804">
        <v>232968</v>
      </c>
    </row>
    <row r="397" spans="1:21" x14ac:dyDescent="0.25">
      <c r="A397" s="799">
        <v>94118</v>
      </c>
      <c r="B397" s="800" t="s">
        <v>3012</v>
      </c>
      <c r="C397" s="801">
        <v>1.63E-4</v>
      </c>
      <c r="D397" s="801">
        <v>1.918E-4</v>
      </c>
      <c r="E397" s="802">
        <v>53076</v>
      </c>
      <c r="F397" s="802">
        <v>86079</v>
      </c>
      <c r="G397" s="802">
        <v>345941</v>
      </c>
      <c r="H397" s="802"/>
      <c r="I397" s="803">
        <v>6499.625</v>
      </c>
      <c r="J397" s="803">
        <v>303154</v>
      </c>
      <c r="K397" s="803">
        <v>23694</v>
      </c>
      <c r="L397" s="802">
        <v>0</v>
      </c>
      <c r="M397" s="802"/>
      <c r="N397" s="803">
        <v>12122</v>
      </c>
      <c r="O397" s="803">
        <v>111893</v>
      </c>
      <c r="P397" s="803">
        <v>0</v>
      </c>
      <c r="Q397" s="802">
        <v>58615</v>
      </c>
      <c r="R397" s="802"/>
      <c r="S397" s="803">
        <v>92465</v>
      </c>
      <c r="T397" s="804">
        <v>-20217</v>
      </c>
      <c r="U397" s="804">
        <v>72248</v>
      </c>
    </row>
    <row r="398" spans="1:21" x14ac:dyDescent="0.25">
      <c r="A398" s="799">
        <v>94121</v>
      </c>
      <c r="B398" s="800" t="s">
        <v>3013</v>
      </c>
      <c r="C398" s="801">
        <v>1.12823E-2</v>
      </c>
      <c r="D398" s="801">
        <v>1.20112E-2</v>
      </c>
      <c r="E398" s="802">
        <v>4810509.83</v>
      </c>
      <c r="F398" s="802">
        <v>5390554</v>
      </c>
      <c r="G398" s="802">
        <v>23944820</v>
      </c>
      <c r="H398" s="802"/>
      <c r="I398" s="803">
        <v>449882</v>
      </c>
      <c r="J398" s="803">
        <v>20983295</v>
      </c>
      <c r="K398" s="803">
        <v>1640006</v>
      </c>
      <c r="L398" s="802">
        <v>42878</v>
      </c>
      <c r="M398" s="802"/>
      <c r="N398" s="803">
        <v>839053</v>
      </c>
      <c r="O398" s="803">
        <v>7744825</v>
      </c>
      <c r="P398" s="803">
        <v>0</v>
      </c>
      <c r="Q398" s="802">
        <v>429585</v>
      </c>
      <c r="R398" s="802"/>
      <c r="S398" s="803">
        <v>6400099</v>
      </c>
      <c r="T398" s="804">
        <v>-137554</v>
      </c>
      <c r="U398" s="804">
        <v>6262545</v>
      </c>
    </row>
    <row r="399" spans="1:21" x14ac:dyDescent="0.25">
      <c r="A399" s="799">
        <v>94127</v>
      </c>
      <c r="B399" s="800" t="s">
        <v>3014</v>
      </c>
      <c r="C399" s="801">
        <v>1.528E-4</v>
      </c>
      <c r="D399" s="801">
        <v>1.4530000000000001E-4</v>
      </c>
      <c r="E399" s="802">
        <v>61108</v>
      </c>
      <c r="F399" s="802">
        <v>65210</v>
      </c>
      <c r="G399" s="802">
        <v>324293</v>
      </c>
      <c r="H399" s="802"/>
      <c r="I399" s="803">
        <v>6092.9</v>
      </c>
      <c r="J399" s="803">
        <v>284184</v>
      </c>
      <c r="K399" s="803">
        <v>22211</v>
      </c>
      <c r="L399" s="802">
        <v>3883</v>
      </c>
      <c r="M399" s="802"/>
      <c r="N399" s="803">
        <v>11364</v>
      </c>
      <c r="O399" s="803">
        <v>104891</v>
      </c>
      <c r="P399" s="803">
        <v>0</v>
      </c>
      <c r="Q399" s="802">
        <v>617</v>
      </c>
      <c r="R399" s="802"/>
      <c r="S399" s="803">
        <v>86679</v>
      </c>
      <c r="T399" s="804">
        <v>1078</v>
      </c>
      <c r="U399" s="804">
        <v>87756</v>
      </c>
    </row>
    <row r="400" spans="1:21" x14ac:dyDescent="0.25">
      <c r="A400" s="799">
        <v>94131</v>
      </c>
      <c r="B400" s="800" t="s">
        <v>3015</v>
      </c>
      <c r="C400" s="801">
        <v>2.0049999999999999E-4</v>
      </c>
      <c r="D400" s="801">
        <v>2.0120000000000001E-4</v>
      </c>
      <c r="E400" s="802">
        <v>83859.38</v>
      </c>
      <c r="F400" s="802">
        <v>90297</v>
      </c>
      <c r="G400" s="802">
        <v>425528</v>
      </c>
      <c r="H400" s="802"/>
      <c r="I400" s="803">
        <v>7994.9375</v>
      </c>
      <c r="J400" s="803">
        <v>372898</v>
      </c>
      <c r="K400" s="803">
        <v>29145</v>
      </c>
      <c r="L400" s="802">
        <v>4546</v>
      </c>
      <c r="M400" s="802"/>
      <c r="N400" s="803">
        <v>14911</v>
      </c>
      <c r="O400" s="803">
        <v>137635</v>
      </c>
      <c r="P400" s="803">
        <v>0</v>
      </c>
      <c r="Q400" s="802">
        <v>1120</v>
      </c>
      <c r="R400" s="802"/>
      <c r="S400" s="803">
        <v>113737</v>
      </c>
      <c r="T400" s="804">
        <v>979</v>
      </c>
      <c r="U400" s="804">
        <v>114716</v>
      </c>
    </row>
    <row r="401" spans="1:21" x14ac:dyDescent="0.25">
      <c r="A401" s="799">
        <v>94151</v>
      </c>
      <c r="B401" s="800" t="s">
        <v>3016</v>
      </c>
      <c r="C401" s="801">
        <v>4.2870000000000001E-4</v>
      </c>
      <c r="D401" s="801">
        <v>4.0200000000000001E-4</v>
      </c>
      <c r="E401" s="802">
        <v>148093.01</v>
      </c>
      <c r="F401" s="802">
        <v>180415</v>
      </c>
      <c r="G401" s="802">
        <v>909845</v>
      </c>
      <c r="H401" s="802"/>
      <c r="I401" s="803">
        <v>17094</v>
      </c>
      <c r="J401" s="803">
        <v>797314</v>
      </c>
      <c r="K401" s="803">
        <v>62316</v>
      </c>
      <c r="L401" s="802">
        <v>0</v>
      </c>
      <c r="M401" s="802"/>
      <c r="N401" s="803">
        <v>31882</v>
      </c>
      <c r="O401" s="803">
        <v>294285</v>
      </c>
      <c r="P401" s="803">
        <v>0</v>
      </c>
      <c r="Q401" s="802">
        <v>19133</v>
      </c>
      <c r="R401" s="802"/>
      <c r="S401" s="803">
        <v>243188</v>
      </c>
      <c r="T401" s="804">
        <v>-6795</v>
      </c>
      <c r="U401" s="804">
        <v>236393</v>
      </c>
    </row>
    <row r="402" spans="1:21" x14ac:dyDescent="0.25">
      <c r="A402" s="799">
        <v>94157</v>
      </c>
      <c r="B402" s="800" t="s">
        <v>3017</v>
      </c>
      <c r="C402" s="801">
        <v>9.3999999999999998E-6</v>
      </c>
      <c r="D402" s="801">
        <v>8.1999999999999994E-6</v>
      </c>
      <c r="E402" s="802">
        <v>4973</v>
      </c>
      <c r="F402" s="802">
        <v>3680</v>
      </c>
      <c r="G402" s="802">
        <v>19950</v>
      </c>
      <c r="H402" s="802"/>
      <c r="I402" s="803">
        <v>374.82499999999999</v>
      </c>
      <c r="J402" s="803">
        <v>17483</v>
      </c>
      <c r="K402" s="803">
        <v>1366</v>
      </c>
      <c r="L402" s="802">
        <v>5150</v>
      </c>
      <c r="M402" s="802"/>
      <c r="N402" s="803">
        <v>699</v>
      </c>
      <c r="O402" s="803">
        <v>6453</v>
      </c>
      <c r="P402" s="803">
        <v>0</v>
      </c>
      <c r="Q402" s="802">
        <v>0</v>
      </c>
      <c r="R402" s="802"/>
      <c r="S402" s="803">
        <v>5332</v>
      </c>
      <c r="T402" s="804">
        <v>1947</v>
      </c>
      <c r="U402" s="804">
        <v>7280</v>
      </c>
    </row>
    <row r="403" spans="1:21" x14ac:dyDescent="0.25">
      <c r="A403" s="799">
        <v>94161</v>
      </c>
      <c r="B403" s="800" t="s">
        <v>3018</v>
      </c>
      <c r="C403" s="801">
        <v>5.7899999999999998E-5</v>
      </c>
      <c r="D403" s="801">
        <v>5.3000000000000001E-5</v>
      </c>
      <c r="E403" s="802">
        <v>21890.33</v>
      </c>
      <c r="F403" s="802">
        <v>23786</v>
      </c>
      <c r="G403" s="802">
        <v>122883</v>
      </c>
      <c r="H403" s="802"/>
      <c r="I403" s="803">
        <v>2309</v>
      </c>
      <c r="J403" s="803">
        <v>107685</v>
      </c>
      <c r="K403" s="803">
        <v>8416</v>
      </c>
      <c r="L403" s="802">
        <v>8543</v>
      </c>
      <c r="M403" s="802"/>
      <c r="N403" s="803">
        <v>4306</v>
      </c>
      <c r="O403" s="803">
        <v>39746</v>
      </c>
      <c r="P403" s="803">
        <v>0</v>
      </c>
      <c r="Q403" s="802">
        <v>0</v>
      </c>
      <c r="R403" s="802"/>
      <c r="S403" s="803">
        <v>32845</v>
      </c>
      <c r="T403" s="804">
        <v>3088</v>
      </c>
      <c r="U403" s="804">
        <v>35933</v>
      </c>
    </row>
    <row r="404" spans="1:21" x14ac:dyDescent="0.25">
      <c r="A404" s="799">
        <v>94168</v>
      </c>
      <c r="B404" s="800" t="s">
        <v>3019</v>
      </c>
      <c r="C404" s="801">
        <v>3.4E-5</v>
      </c>
      <c r="D404" s="801">
        <v>4.18E-5</v>
      </c>
      <c r="E404" s="802">
        <v>12127.4</v>
      </c>
      <c r="F404" s="802">
        <v>18760</v>
      </c>
      <c r="G404" s="802">
        <v>72159.39</v>
      </c>
      <c r="H404" s="802"/>
      <c r="I404" s="803">
        <v>1355.75</v>
      </c>
      <c r="J404" s="803">
        <v>63235</v>
      </c>
      <c r="K404" s="803">
        <v>4942</v>
      </c>
      <c r="L404" s="802">
        <v>0</v>
      </c>
      <c r="M404" s="802"/>
      <c r="N404" s="803">
        <v>2529</v>
      </c>
      <c r="O404" s="803">
        <v>23340</v>
      </c>
      <c r="P404" s="803">
        <v>0</v>
      </c>
      <c r="Q404" s="802">
        <v>13113</v>
      </c>
      <c r="R404" s="802"/>
      <c r="S404" s="803">
        <v>19287</v>
      </c>
      <c r="T404" s="804">
        <v>-4643</v>
      </c>
      <c r="U404" s="804">
        <v>14644</v>
      </c>
    </row>
    <row r="405" spans="1:21" x14ac:dyDescent="0.25">
      <c r="A405" s="799">
        <v>94171</v>
      </c>
      <c r="B405" s="800" t="s">
        <v>3020</v>
      </c>
      <c r="C405" s="801">
        <v>5.5000000000000002E-5</v>
      </c>
      <c r="D405" s="801">
        <v>5.1100000000000002E-5</v>
      </c>
      <c r="E405" s="802">
        <v>21113.95</v>
      </c>
      <c r="F405" s="802">
        <v>22933</v>
      </c>
      <c r="G405" s="802">
        <v>116728</v>
      </c>
      <c r="H405" s="802"/>
      <c r="I405" s="803">
        <v>2193.125</v>
      </c>
      <c r="J405" s="803">
        <v>102291.31</v>
      </c>
      <c r="K405" s="803">
        <v>7995</v>
      </c>
      <c r="L405" s="802">
        <v>6490</v>
      </c>
      <c r="M405" s="802"/>
      <c r="N405" s="803">
        <v>4090</v>
      </c>
      <c r="O405" s="803">
        <v>37755.19</v>
      </c>
      <c r="P405" s="803">
        <v>0</v>
      </c>
      <c r="Q405" s="802">
        <v>1733</v>
      </c>
      <c r="R405" s="802"/>
      <c r="S405" s="803">
        <v>31200</v>
      </c>
      <c r="T405" s="804">
        <v>1343</v>
      </c>
      <c r="U405" s="804">
        <v>32542</v>
      </c>
    </row>
    <row r="406" spans="1:21" x14ac:dyDescent="0.25">
      <c r="A406" s="799">
        <v>94172</v>
      </c>
      <c r="B406" s="800" t="s">
        <v>3021</v>
      </c>
      <c r="C406" s="801">
        <v>2.6699999999999998E-4</v>
      </c>
      <c r="D406" s="801">
        <v>3.1379999999999998E-4</v>
      </c>
      <c r="E406" s="802">
        <v>80979</v>
      </c>
      <c r="F406" s="802">
        <v>140832</v>
      </c>
      <c r="G406" s="802">
        <v>566663</v>
      </c>
      <c r="H406" s="802"/>
      <c r="I406" s="803">
        <v>10646.625</v>
      </c>
      <c r="J406" s="803">
        <v>496578</v>
      </c>
      <c r="K406" s="803">
        <v>38811</v>
      </c>
      <c r="L406" s="802">
        <v>0</v>
      </c>
      <c r="M406" s="802"/>
      <c r="N406" s="803">
        <v>19857</v>
      </c>
      <c r="O406" s="803">
        <v>183284</v>
      </c>
      <c r="P406" s="803">
        <v>0</v>
      </c>
      <c r="Q406" s="802">
        <v>98660</v>
      </c>
      <c r="R406" s="802"/>
      <c r="S406" s="803">
        <v>151461</v>
      </c>
      <c r="T406" s="804">
        <v>-34663</v>
      </c>
      <c r="U406" s="804">
        <v>116798</v>
      </c>
    </row>
    <row r="407" spans="1:21" x14ac:dyDescent="0.25">
      <c r="A407" s="799">
        <v>94201</v>
      </c>
      <c r="B407" s="800" t="s">
        <v>3022</v>
      </c>
      <c r="C407" s="801">
        <v>3.4813000000000001E-3</v>
      </c>
      <c r="D407" s="801">
        <v>3.4115E-3</v>
      </c>
      <c r="E407" s="802">
        <v>1407554</v>
      </c>
      <c r="F407" s="802">
        <v>1531061</v>
      </c>
      <c r="G407" s="802">
        <v>7388485</v>
      </c>
      <c r="H407" s="802"/>
      <c r="I407" s="803">
        <v>138817</v>
      </c>
      <c r="J407" s="803">
        <v>6474668</v>
      </c>
      <c r="K407" s="803">
        <v>506045</v>
      </c>
      <c r="L407" s="802">
        <v>56033</v>
      </c>
      <c r="M407" s="802"/>
      <c r="N407" s="803">
        <v>258901</v>
      </c>
      <c r="O407" s="803">
        <v>2389766</v>
      </c>
      <c r="P407" s="803">
        <v>0</v>
      </c>
      <c r="Q407" s="802">
        <v>3701</v>
      </c>
      <c r="R407" s="802"/>
      <c r="S407" s="803">
        <v>1974834</v>
      </c>
      <c r="T407" s="804">
        <v>16227</v>
      </c>
      <c r="U407" s="804">
        <v>1991060</v>
      </c>
    </row>
    <row r="408" spans="1:21" x14ac:dyDescent="0.25">
      <c r="A408" s="799">
        <v>94204</v>
      </c>
      <c r="B408" s="800" t="s">
        <v>3023</v>
      </c>
      <c r="C408" s="801">
        <v>2.4899999999999999E-5</v>
      </c>
      <c r="D408" s="801">
        <v>2.41E-5</v>
      </c>
      <c r="E408" s="802">
        <v>15446</v>
      </c>
      <c r="F408" s="802">
        <v>10816</v>
      </c>
      <c r="G408" s="802">
        <v>52846</v>
      </c>
      <c r="H408" s="802"/>
      <c r="I408" s="803">
        <v>993</v>
      </c>
      <c r="J408" s="803">
        <v>46310</v>
      </c>
      <c r="K408" s="803">
        <v>3619</v>
      </c>
      <c r="L408" s="802">
        <v>10811</v>
      </c>
      <c r="M408" s="802"/>
      <c r="N408" s="803">
        <v>1852</v>
      </c>
      <c r="O408" s="803">
        <v>17093</v>
      </c>
      <c r="P408" s="803">
        <v>0</v>
      </c>
      <c r="Q408" s="802">
        <v>0</v>
      </c>
      <c r="R408" s="802"/>
      <c r="S408" s="803">
        <v>14125</v>
      </c>
      <c r="T408" s="804">
        <v>3721</v>
      </c>
      <c r="U408" s="804">
        <v>17846</v>
      </c>
    </row>
    <row r="409" spans="1:21" x14ac:dyDescent="0.25">
      <c r="A409" s="799">
        <v>94205</v>
      </c>
      <c r="B409" s="800" t="s">
        <v>3024</v>
      </c>
      <c r="C409" s="801">
        <v>2.6100000000000001E-5</v>
      </c>
      <c r="D409" s="801">
        <v>2.6999999999999999E-5</v>
      </c>
      <c r="E409" s="802">
        <v>12435.88</v>
      </c>
      <c r="F409" s="802">
        <v>12117</v>
      </c>
      <c r="G409" s="802">
        <v>55393</v>
      </c>
      <c r="H409" s="802"/>
      <c r="I409" s="803">
        <v>1040.7375</v>
      </c>
      <c r="J409" s="803">
        <v>48542</v>
      </c>
      <c r="K409" s="803">
        <v>3794</v>
      </c>
      <c r="L409" s="802">
        <v>2432</v>
      </c>
      <c r="M409" s="802"/>
      <c r="N409" s="803">
        <v>1941</v>
      </c>
      <c r="O409" s="803">
        <v>17917</v>
      </c>
      <c r="P409" s="803">
        <v>0</v>
      </c>
      <c r="Q409" s="802">
        <v>6726</v>
      </c>
      <c r="R409" s="802"/>
      <c r="S409" s="803">
        <v>14806</v>
      </c>
      <c r="T409" s="804">
        <v>-2600</v>
      </c>
      <c r="U409" s="804">
        <v>12205</v>
      </c>
    </row>
    <row r="410" spans="1:21" x14ac:dyDescent="0.25">
      <c r="A410" s="799">
        <v>94209</v>
      </c>
      <c r="B410" s="800" t="s">
        <v>3025</v>
      </c>
      <c r="C410" s="801">
        <v>3.2909999999999998E-4</v>
      </c>
      <c r="D410" s="801">
        <v>3.5540000000000002E-4</v>
      </c>
      <c r="E410" s="802">
        <v>141050</v>
      </c>
      <c r="F410" s="802">
        <v>159501</v>
      </c>
      <c r="G410" s="802">
        <v>698460</v>
      </c>
      <c r="H410" s="802"/>
      <c r="I410" s="803">
        <v>13123</v>
      </c>
      <c r="J410" s="803">
        <v>612074</v>
      </c>
      <c r="K410" s="803">
        <v>47838</v>
      </c>
      <c r="L410" s="802">
        <v>24306</v>
      </c>
      <c r="M410" s="802"/>
      <c r="N410" s="803">
        <v>24475</v>
      </c>
      <c r="O410" s="803">
        <v>225913</v>
      </c>
      <c r="P410" s="803">
        <v>0</v>
      </c>
      <c r="Q410" s="802">
        <v>9712</v>
      </c>
      <c r="R410" s="802"/>
      <c r="S410" s="803">
        <v>186688</v>
      </c>
      <c r="T410" s="804">
        <v>6974</v>
      </c>
      <c r="U410" s="804">
        <v>193663</v>
      </c>
    </row>
    <row r="411" spans="1:21" x14ac:dyDescent="0.25">
      <c r="A411" s="799">
        <v>94211</v>
      </c>
      <c r="B411" s="800" t="s">
        <v>3026</v>
      </c>
      <c r="C411" s="801">
        <v>1.2400000000000001E-4</v>
      </c>
      <c r="D411" s="801">
        <v>1.217E-4</v>
      </c>
      <c r="E411" s="802">
        <v>49845.440000000002</v>
      </c>
      <c r="F411" s="802">
        <v>54618</v>
      </c>
      <c r="G411" s="802">
        <v>263170</v>
      </c>
      <c r="H411" s="802"/>
      <c r="I411" s="803">
        <v>4944.5</v>
      </c>
      <c r="J411" s="803">
        <v>230620</v>
      </c>
      <c r="K411" s="803">
        <v>18025</v>
      </c>
      <c r="L411" s="802">
        <v>334</v>
      </c>
      <c r="M411" s="802"/>
      <c r="N411" s="803">
        <v>9222</v>
      </c>
      <c r="O411" s="803">
        <v>85121</v>
      </c>
      <c r="P411" s="803">
        <v>0</v>
      </c>
      <c r="Q411" s="802">
        <v>30868</v>
      </c>
      <c r="R411" s="802"/>
      <c r="S411" s="803">
        <v>70341</v>
      </c>
      <c r="T411" s="804">
        <v>-13456</v>
      </c>
      <c r="U411" s="804">
        <v>56885</v>
      </c>
    </row>
    <row r="412" spans="1:21" x14ac:dyDescent="0.25">
      <c r="A412" s="799">
        <v>94221</v>
      </c>
      <c r="B412" s="800" t="s">
        <v>3027</v>
      </c>
      <c r="C412" s="801">
        <v>1.0705999999999999E-3</v>
      </c>
      <c r="D412" s="801">
        <v>1.1294E-3</v>
      </c>
      <c r="E412" s="802">
        <v>386218.22</v>
      </c>
      <c r="F412" s="802">
        <v>506868</v>
      </c>
      <c r="G412" s="802">
        <v>2272172</v>
      </c>
      <c r="H412" s="802"/>
      <c r="I412" s="803">
        <v>42690</v>
      </c>
      <c r="J412" s="803">
        <v>1991147</v>
      </c>
      <c r="K412" s="803">
        <v>155623</v>
      </c>
      <c r="L412" s="802">
        <v>98739</v>
      </c>
      <c r="M412" s="802"/>
      <c r="N412" s="803">
        <v>79619</v>
      </c>
      <c r="O412" s="803">
        <v>734922</v>
      </c>
      <c r="P412" s="803">
        <v>0</v>
      </c>
      <c r="Q412" s="802">
        <v>138383</v>
      </c>
      <c r="R412" s="802"/>
      <c r="S412" s="803">
        <v>607318</v>
      </c>
      <c r="T412" s="804">
        <v>-16318</v>
      </c>
      <c r="U412" s="804">
        <v>591000</v>
      </c>
    </row>
    <row r="413" spans="1:21" x14ac:dyDescent="0.25">
      <c r="A413" s="799">
        <v>94231</v>
      </c>
      <c r="B413" s="800" t="s">
        <v>3028</v>
      </c>
      <c r="C413" s="801">
        <v>2.1269999999999999E-4</v>
      </c>
      <c r="D413" s="801">
        <v>1.9469999999999999E-4</v>
      </c>
      <c r="E413" s="802">
        <v>77695.47</v>
      </c>
      <c r="F413" s="802">
        <v>87380</v>
      </c>
      <c r="G413" s="802">
        <v>451421</v>
      </c>
      <c r="H413" s="802"/>
      <c r="I413" s="803">
        <v>8481</v>
      </c>
      <c r="J413" s="803">
        <v>395588</v>
      </c>
      <c r="K413" s="803">
        <v>30918</v>
      </c>
      <c r="L413" s="802">
        <v>1986</v>
      </c>
      <c r="M413" s="802"/>
      <c r="N413" s="803">
        <v>15818</v>
      </c>
      <c r="O413" s="803">
        <v>146010</v>
      </c>
      <c r="P413" s="803">
        <v>0</v>
      </c>
      <c r="Q413" s="802">
        <v>11747</v>
      </c>
      <c r="R413" s="802"/>
      <c r="S413" s="803">
        <v>120658</v>
      </c>
      <c r="T413" s="804">
        <v>-4519</v>
      </c>
      <c r="U413" s="804">
        <v>116139</v>
      </c>
    </row>
    <row r="414" spans="1:21" x14ac:dyDescent="0.25">
      <c r="A414" s="799">
        <v>94241</v>
      </c>
      <c r="B414" s="800" t="s">
        <v>3029</v>
      </c>
      <c r="C414" s="801">
        <v>8.4099999999999998E-5</v>
      </c>
      <c r="D414" s="801">
        <v>8.4800000000000001E-5</v>
      </c>
      <c r="E414" s="802">
        <v>37415.33</v>
      </c>
      <c r="F414" s="802">
        <v>38058</v>
      </c>
      <c r="G414" s="802">
        <v>178488</v>
      </c>
      <c r="H414" s="802"/>
      <c r="I414" s="803">
        <v>3353</v>
      </c>
      <c r="J414" s="803">
        <v>156413</v>
      </c>
      <c r="K414" s="803">
        <v>12225</v>
      </c>
      <c r="L414" s="802">
        <v>3164</v>
      </c>
      <c r="M414" s="802"/>
      <c r="N414" s="803">
        <v>6254</v>
      </c>
      <c r="O414" s="803">
        <v>57731</v>
      </c>
      <c r="P414" s="803">
        <v>0</v>
      </c>
      <c r="Q414" s="802">
        <v>1327</v>
      </c>
      <c r="R414" s="802"/>
      <c r="S414" s="803">
        <v>47707</v>
      </c>
      <c r="T414" s="804">
        <v>664</v>
      </c>
      <c r="U414" s="804">
        <v>48372</v>
      </c>
    </row>
    <row r="415" spans="1:21" x14ac:dyDescent="0.25">
      <c r="A415" s="799">
        <v>94251</v>
      </c>
      <c r="B415" s="800" t="s">
        <v>3030</v>
      </c>
      <c r="C415" s="801">
        <v>1.4E-5</v>
      </c>
      <c r="D415" s="801">
        <v>2.37E-5</v>
      </c>
      <c r="E415" s="802">
        <v>7105.57</v>
      </c>
      <c r="F415" s="802">
        <v>10636</v>
      </c>
      <c r="G415" s="802">
        <v>29712.69</v>
      </c>
      <c r="H415" s="802"/>
      <c r="I415" s="803">
        <v>558.25</v>
      </c>
      <c r="J415" s="803">
        <v>26038</v>
      </c>
      <c r="K415" s="803">
        <v>2035</v>
      </c>
      <c r="L415" s="802">
        <v>0</v>
      </c>
      <c r="M415" s="802"/>
      <c r="N415" s="803">
        <v>1041</v>
      </c>
      <c r="O415" s="803">
        <v>9610</v>
      </c>
      <c r="P415" s="803">
        <v>0</v>
      </c>
      <c r="Q415" s="802">
        <v>9627</v>
      </c>
      <c r="R415" s="802"/>
      <c r="S415" s="803">
        <v>7942</v>
      </c>
      <c r="T415" s="804">
        <v>-3119</v>
      </c>
      <c r="U415" s="804">
        <v>4823</v>
      </c>
    </row>
    <row r="416" spans="1:21" x14ac:dyDescent="0.25">
      <c r="A416" s="799">
        <v>94261</v>
      </c>
      <c r="B416" s="800" t="s">
        <v>3031</v>
      </c>
      <c r="C416" s="801">
        <v>2.9499999999999999E-5</v>
      </c>
      <c r="D416" s="801">
        <v>1.66E-5</v>
      </c>
      <c r="E416" s="802">
        <v>13527</v>
      </c>
      <c r="F416" s="802">
        <v>7450</v>
      </c>
      <c r="G416" s="802">
        <v>62609</v>
      </c>
      <c r="H416" s="802"/>
      <c r="I416" s="803">
        <v>1176.3125</v>
      </c>
      <c r="J416" s="803">
        <v>54865</v>
      </c>
      <c r="K416" s="803">
        <v>4288</v>
      </c>
      <c r="L416" s="802">
        <v>12167</v>
      </c>
      <c r="M416" s="802"/>
      <c r="N416" s="803">
        <v>2194</v>
      </c>
      <c r="O416" s="803">
        <v>20251</v>
      </c>
      <c r="P416" s="803">
        <v>0</v>
      </c>
      <c r="Q416" s="802">
        <v>0</v>
      </c>
      <c r="R416" s="802"/>
      <c r="S416" s="803">
        <v>16734</v>
      </c>
      <c r="T416" s="804">
        <v>3736</v>
      </c>
      <c r="U416" s="804">
        <v>20471</v>
      </c>
    </row>
    <row r="417" spans="1:21" x14ac:dyDescent="0.25">
      <c r="A417" s="799">
        <v>94301</v>
      </c>
      <c r="B417" s="800" t="s">
        <v>3032</v>
      </c>
      <c r="C417" s="801">
        <v>6.0746999999999997E-3</v>
      </c>
      <c r="D417" s="801">
        <v>6.0625999999999996E-3</v>
      </c>
      <c r="E417" s="802">
        <v>2375298</v>
      </c>
      <c r="F417" s="802">
        <v>2720859</v>
      </c>
      <c r="G417" s="802">
        <v>12892548</v>
      </c>
      <c r="H417" s="802"/>
      <c r="I417" s="803">
        <v>242229</v>
      </c>
      <c r="J417" s="803">
        <v>11297982</v>
      </c>
      <c r="K417" s="803">
        <v>883024</v>
      </c>
      <c r="L417" s="802">
        <v>18885</v>
      </c>
      <c r="M417" s="802"/>
      <c r="N417" s="803">
        <v>451769</v>
      </c>
      <c r="O417" s="803">
        <v>4170026</v>
      </c>
      <c r="P417" s="803">
        <v>0</v>
      </c>
      <c r="Q417" s="802">
        <v>169326</v>
      </c>
      <c r="R417" s="802"/>
      <c r="S417" s="803">
        <v>3445989</v>
      </c>
      <c r="T417" s="804">
        <v>-41856</v>
      </c>
      <c r="U417" s="804">
        <v>3404133</v>
      </c>
    </row>
    <row r="418" spans="1:21" x14ac:dyDescent="0.25">
      <c r="A418" s="799">
        <v>94311</v>
      </c>
      <c r="B418" s="800" t="s">
        <v>3033</v>
      </c>
      <c r="C418" s="801">
        <v>7.4399999999999998E-4</v>
      </c>
      <c r="D418" s="801">
        <v>8.4360000000000001E-4</v>
      </c>
      <c r="E418" s="802">
        <v>317608</v>
      </c>
      <c r="F418" s="802">
        <v>378603</v>
      </c>
      <c r="G418" s="802">
        <v>1579017.24</v>
      </c>
      <c r="H418" s="802"/>
      <c r="I418" s="803">
        <v>29667</v>
      </c>
      <c r="J418" s="803">
        <v>1383722</v>
      </c>
      <c r="K418" s="803">
        <v>108149</v>
      </c>
      <c r="L418" s="802">
        <v>5590</v>
      </c>
      <c r="M418" s="802"/>
      <c r="N418" s="803">
        <v>55331</v>
      </c>
      <c r="O418" s="803">
        <v>510725</v>
      </c>
      <c r="P418" s="803">
        <v>0</v>
      </c>
      <c r="Q418" s="802">
        <v>74131</v>
      </c>
      <c r="R418" s="802"/>
      <c r="S418" s="803">
        <v>422048</v>
      </c>
      <c r="T418" s="804">
        <v>-19207</v>
      </c>
      <c r="U418" s="804">
        <v>402841</v>
      </c>
    </row>
    <row r="419" spans="1:21" x14ac:dyDescent="0.25">
      <c r="A419" s="799">
        <v>94313</v>
      </c>
      <c r="B419" s="800" t="s">
        <v>3034</v>
      </c>
      <c r="C419" s="801">
        <v>2.0299999999999999E-5</v>
      </c>
      <c r="D419" s="801">
        <v>1.8099999999999999E-5</v>
      </c>
      <c r="E419" s="802">
        <v>12274.81</v>
      </c>
      <c r="F419" s="802">
        <v>8123</v>
      </c>
      <c r="G419" s="802">
        <v>43083</v>
      </c>
      <c r="H419" s="802"/>
      <c r="I419" s="803">
        <v>809.46249999999998</v>
      </c>
      <c r="J419" s="803">
        <v>37755</v>
      </c>
      <c r="K419" s="803">
        <v>2951</v>
      </c>
      <c r="L419" s="802">
        <v>7808</v>
      </c>
      <c r="M419" s="802"/>
      <c r="N419" s="803">
        <v>1510</v>
      </c>
      <c r="O419" s="803">
        <v>13935</v>
      </c>
      <c r="P419" s="803">
        <v>0</v>
      </c>
      <c r="Q419" s="802">
        <v>0</v>
      </c>
      <c r="R419" s="802"/>
      <c r="S419" s="803">
        <v>11516</v>
      </c>
      <c r="T419" s="804">
        <v>2576</v>
      </c>
      <c r="U419" s="804">
        <v>14092</v>
      </c>
    </row>
    <row r="420" spans="1:21" x14ac:dyDescent="0.25">
      <c r="A420" s="799">
        <v>94317</v>
      </c>
      <c r="B420" s="800" t="s">
        <v>3035</v>
      </c>
      <c r="C420" s="801">
        <v>1.2099999999999999E-5</v>
      </c>
      <c r="D420" s="801">
        <v>1.15E-5</v>
      </c>
      <c r="E420" s="802">
        <v>8376.6</v>
      </c>
      <c r="F420" s="802">
        <v>5161</v>
      </c>
      <c r="G420" s="802">
        <v>25680</v>
      </c>
      <c r="H420" s="802"/>
      <c r="I420" s="803">
        <v>482</v>
      </c>
      <c r="J420" s="803">
        <v>22504</v>
      </c>
      <c r="K420" s="803">
        <v>1759</v>
      </c>
      <c r="L420" s="802">
        <v>6768</v>
      </c>
      <c r="M420" s="802"/>
      <c r="N420" s="803">
        <v>900</v>
      </c>
      <c r="O420" s="803">
        <v>8306</v>
      </c>
      <c r="P420" s="803">
        <v>0</v>
      </c>
      <c r="Q420" s="802">
        <v>0</v>
      </c>
      <c r="R420" s="802"/>
      <c r="S420" s="803">
        <v>6864</v>
      </c>
      <c r="T420" s="804">
        <v>2325</v>
      </c>
      <c r="U420" s="804">
        <v>9189</v>
      </c>
    </row>
    <row r="421" spans="1:21" x14ac:dyDescent="0.25">
      <c r="A421" s="799">
        <v>94321</v>
      </c>
      <c r="B421" s="800" t="s">
        <v>3036</v>
      </c>
      <c r="C421" s="801">
        <v>2.7070000000000002E-4</v>
      </c>
      <c r="D421" s="801">
        <v>2.7270000000000001E-4</v>
      </c>
      <c r="E421" s="802">
        <v>94893.09</v>
      </c>
      <c r="F421" s="802">
        <v>122386</v>
      </c>
      <c r="G421" s="802">
        <v>574516</v>
      </c>
      <c r="H421" s="802"/>
      <c r="I421" s="803">
        <v>10794</v>
      </c>
      <c r="J421" s="803">
        <v>503459</v>
      </c>
      <c r="K421" s="803">
        <v>39349</v>
      </c>
      <c r="L421" s="802">
        <v>3401</v>
      </c>
      <c r="M421" s="802"/>
      <c r="N421" s="803">
        <v>20132</v>
      </c>
      <c r="O421" s="803">
        <v>185824</v>
      </c>
      <c r="P421" s="803">
        <v>0</v>
      </c>
      <c r="Q421" s="802">
        <v>21015</v>
      </c>
      <c r="R421" s="802"/>
      <c r="S421" s="803">
        <v>153560</v>
      </c>
      <c r="T421" s="804">
        <v>-4393</v>
      </c>
      <c r="U421" s="804">
        <v>149167</v>
      </c>
    </row>
    <row r="422" spans="1:21" x14ac:dyDescent="0.25">
      <c r="A422" s="799">
        <v>94331</v>
      </c>
      <c r="B422" s="800" t="s">
        <v>3037</v>
      </c>
      <c r="C422" s="801">
        <v>1.517E-4</v>
      </c>
      <c r="D422" s="801">
        <v>1.7420000000000001E-4</v>
      </c>
      <c r="E422" s="802">
        <v>69883.19</v>
      </c>
      <c r="F422" s="802">
        <v>78180</v>
      </c>
      <c r="G422" s="802">
        <v>321958</v>
      </c>
      <c r="H422" s="802"/>
      <c r="I422" s="803">
        <v>6049</v>
      </c>
      <c r="J422" s="803">
        <v>282138</v>
      </c>
      <c r="K422" s="803">
        <v>22051</v>
      </c>
      <c r="L422" s="802">
        <v>13796</v>
      </c>
      <c r="M422" s="802"/>
      <c r="N422" s="803">
        <v>11282</v>
      </c>
      <c r="O422" s="803">
        <v>104136</v>
      </c>
      <c r="P422" s="803">
        <v>0</v>
      </c>
      <c r="Q422" s="802">
        <v>6234</v>
      </c>
      <c r="R422" s="802"/>
      <c r="S422" s="803">
        <v>86055</v>
      </c>
      <c r="T422" s="804">
        <v>4466</v>
      </c>
      <c r="U422" s="804">
        <v>90520</v>
      </c>
    </row>
    <row r="423" spans="1:21" x14ac:dyDescent="0.25">
      <c r="A423" s="799">
        <v>94341</v>
      </c>
      <c r="B423" s="800" t="s">
        <v>3038</v>
      </c>
      <c r="C423" s="801">
        <v>8.1000000000000004E-5</v>
      </c>
      <c r="D423" s="801">
        <v>8.8399999999999994E-5</v>
      </c>
      <c r="E423" s="802">
        <v>31929.82</v>
      </c>
      <c r="F423" s="802">
        <v>39673</v>
      </c>
      <c r="G423" s="802">
        <v>171909</v>
      </c>
      <c r="H423" s="802"/>
      <c r="I423" s="803">
        <v>3229.875</v>
      </c>
      <c r="J423" s="803">
        <v>150647</v>
      </c>
      <c r="K423" s="803">
        <v>11774</v>
      </c>
      <c r="L423" s="802">
        <v>513</v>
      </c>
      <c r="M423" s="802"/>
      <c r="N423" s="803">
        <v>6024</v>
      </c>
      <c r="O423" s="803">
        <v>55603</v>
      </c>
      <c r="P423" s="803">
        <v>0</v>
      </c>
      <c r="Q423" s="802">
        <v>8986</v>
      </c>
      <c r="R423" s="802"/>
      <c r="S423" s="803">
        <v>45949</v>
      </c>
      <c r="T423" s="804">
        <v>-3091</v>
      </c>
      <c r="U423" s="804">
        <v>42858</v>
      </c>
    </row>
    <row r="424" spans="1:21" x14ac:dyDescent="0.25">
      <c r="A424" s="799">
        <v>94347</v>
      </c>
      <c r="B424" s="800" t="s">
        <v>3039</v>
      </c>
      <c r="C424" s="801">
        <v>1.2300000000000001E-5</v>
      </c>
      <c r="D424" s="801">
        <v>1.31E-5</v>
      </c>
      <c r="E424" s="802">
        <v>6975</v>
      </c>
      <c r="F424" s="802">
        <v>5879</v>
      </c>
      <c r="G424" s="802">
        <v>26105</v>
      </c>
      <c r="H424" s="802"/>
      <c r="I424" s="803">
        <v>490</v>
      </c>
      <c r="J424" s="803">
        <v>22876</v>
      </c>
      <c r="K424" s="803">
        <v>1788</v>
      </c>
      <c r="L424" s="802">
        <v>3157</v>
      </c>
      <c r="M424" s="802"/>
      <c r="N424" s="803">
        <v>915</v>
      </c>
      <c r="O424" s="803">
        <v>8443</v>
      </c>
      <c r="P424" s="803">
        <v>0</v>
      </c>
      <c r="Q424" s="802">
        <v>0</v>
      </c>
      <c r="R424" s="802"/>
      <c r="S424" s="803">
        <v>6977</v>
      </c>
      <c r="T424" s="804">
        <v>1291</v>
      </c>
      <c r="U424" s="804">
        <v>8268</v>
      </c>
    </row>
    <row r="425" spans="1:21" x14ac:dyDescent="0.25">
      <c r="A425" s="799">
        <v>94351</v>
      </c>
      <c r="B425" s="800" t="s">
        <v>3040</v>
      </c>
      <c r="C425" s="801">
        <v>2.377E-4</v>
      </c>
      <c r="D425" s="801">
        <v>2.3049999999999999E-4</v>
      </c>
      <c r="E425" s="802">
        <v>90845.03</v>
      </c>
      <c r="F425" s="802">
        <v>103447</v>
      </c>
      <c r="G425" s="802">
        <v>504479</v>
      </c>
      <c r="H425" s="802"/>
      <c r="I425" s="803">
        <v>9478</v>
      </c>
      <c r="J425" s="803">
        <v>442084</v>
      </c>
      <c r="K425" s="803">
        <v>34552</v>
      </c>
      <c r="L425" s="802">
        <v>2466</v>
      </c>
      <c r="M425" s="802"/>
      <c r="N425" s="803">
        <v>17678</v>
      </c>
      <c r="O425" s="803">
        <v>163171</v>
      </c>
      <c r="P425" s="803">
        <v>0</v>
      </c>
      <c r="Q425" s="802">
        <v>4917</v>
      </c>
      <c r="R425" s="802"/>
      <c r="S425" s="803">
        <v>134840</v>
      </c>
      <c r="T425" s="804">
        <v>-1210</v>
      </c>
      <c r="U425" s="804">
        <v>133630</v>
      </c>
    </row>
    <row r="426" spans="1:21" x14ac:dyDescent="0.25">
      <c r="A426" s="799">
        <v>94401</v>
      </c>
      <c r="B426" s="800" t="s">
        <v>2559</v>
      </c>
      <c r="C426" s="801">
        <v>3.4548999999999999E-3</v>
      </c>
      <c r="D426" s="801">
        <v>3.3264000000000002E-3</v>
      </c>
      <c r="E426" s="802">
        <v>1346130.7</v>
      </c>
      <c r="F426" s="802">
        <v>1492868</v>
      </c>
      <c r="G426" s="802">
        <v>7332455</v>
      </c>
      <c r="H426" s="802"/>
      <c r="I426" s="803">
        <v>137764</v>
      </c>
      <c r="J426" s="803">
        <v>6425568</v>
      </c>
      <c r="K426" s="803">
        <v>502208</v>
      </c>
      <c r="L426" s="802">
        <v>30696</v>
      </c>
      <c r="M426" s="802"/>
      <c r="N426" s="803">
        <v>256937</v>
      </c>
      <c r="O426" s="803">
        <v>2371644</v>
      </c>
      <c r="P426" s="803">
        <v>0</v>
      </c>
      <c r="Q426" s="802">
        <v>635</v>
      </c>
      <c r="R426" s="802"/>
      <c r="S426" s="803">
        <v>1959858</v>
      </c>
      <c r="T426" s="804">
        <v>9582</v>
      </c>
      <c r="U426" s="804">
        <v>1969439</v>
      </c>
    </row>
    <row r="427" spans="1:21" x14ac:dyDescent="0.25">
      <c r="A427" s="799">
        <v>94402</v>
      </c>
      <c r="B427" s="800" t="s">
        <v>3041</v>
      </c>
      <c r="C427" s="801">
        <v>0</v>
      </c>
      <c r="D427" s="801">
        <v>0</v>
      </c>
      <c r="E427" s="802">
        <v>0</v>
      </c>
      <c r="F427" s="802">
        <v>0</v>
      </c>
      <c r="G427" s="802">
        <v>0</v>
      </c>
      <c r="H427" s="802"/>
      <c r="I427" s="803">
        <v>0</v>
      </c>
      <c r="J427" s="803">
        <v>0</v>
      </c>
      <c r="K427" s="803">
        <v>0</v>
      </c>
      <c r="L427" s="802">
        <v>0</v>
      </c>
      <c r="M427" s="802"/>
      <c r="N427" s="803">
        <v>0</v>
      </c>
      <c r="O427" s="803">
        <v>0</v>
      </c>
      <c r="P427" s="803">
        <v>0</v>
      </c>
      <c r="Q427" s="802">
        <v>2781798</v>
      </c>
      <c r="R427" s="802"/>
      <c r="S427" s="803">
        <v>0</v>
      </c>
      <c r="T427" s="804">
        <v>-1007431</v>
      </c>
      <c r="U427" s="804">
        <v>-1007431</v>
      </c>
    </row>
    <row r="428" spans="1:21" x14ac:dyDescent="0.25">
      <c r="A428" s="799">
        <v>94408</v>
      </c>
      <c r="B428" s="800" t="s">
        <v>3042</v>
      </c>
      <c r="C428" s="801">
        <v>4.0099999999999999E-5</v>
      </c>
      <c r="D428" s="801">
        <v>1.9000000000000001E-5</v>
      </c>
      <c r="E428" s="802">
        <v>13760</v>
      </c>
      <c r="F428" s="802">
        <v>8527</v>
      </c>
      <c r="G428" s="802">
        <v>85106</v>
      </c>
      <c r="H428" s="802"/>
      <c r="I428" s="803">
        <v>1599</v>
      </c>
      <c r="J428" s="803">
        <v>74580</v>
      </c>
      <c r="K428" s="803">
        <v>5829</v>
      </c>
      <c r="L428" s="802">
        <v>10369</v>
      </c>
      <c r="M428" s="802"/>
      <c r="N428" s="803">
        <v>2982</v>
      </c>
      <c r="O428" s="803">
        <v>27527</v>
      </c>
      <c r="P428" s="803">
        <v>0</v>
      </c>
      <c r="Q428" s="802">
        <v>3687</v>
      </c>
      <c r="R428" s="802"/>
      <c r="S428" s="803">
        <v>22747</v>
      </c>
      <c r="T428" s="804">
        <v>939</v>
      </c>
      <c r="U428" s="804">
        <v>23687</v>
      </c>
    </row>
    <row r="429" spans="1:21" x14ac:dyDescent="0.25">
      <c r="A429" s="799">
        <v>94411</v>
      </c>
      <c r="B429" s="800" t="s">
        <v>3043</v>
      </c>
      <c r="C429" s="801">
        <v>1.1592E-3</v>
      </c>
      <c r="D429" s="801">
        <v>1.1820999999999999E-3</v>
      </c>
      <c r="E429" s="802">
        <v>485425</v>
      </c>
      <c r="F429" s="802">
        <v>530519</v>
      </c>
      <c r="G429" s="802">
        <v>2460211</v>
      </c>
      <c r="H429" s="802"/>
      <c r="I429" s="803">
        <v>46223.1</v>
      </c>
      <c r="J429" s="803">
        <v>2155929</v>
      </c>
      <c r="K429" s="803">
        <v>168502</v>
      </c>
      <c r="L429" s="802">
        <v>19239</v>
      </c>
      <c r="M429" s="802"/>
      <c r="N429" s="803">
        <v>86209</v>
      </c>
      <c r="O429" s="803">
        <v>795742</v>
      </c>
      <c r="P429" s="803">
        <v>0</v>
      </c>
      <c r="Q429" s="802">
        <v>5607</v>
      </c>
      <c r="R429" s="802"/>
      <c r="S429" s="803">
        <v>657578</v>
      </c>
      <c r="T429" s="804">
        <v>5340</v>
      </c>
      <c r="U429" s="804">
        <v>662918</v>
      </c>
    </row>
    <row r="430" spans="1:21" x14ac:dyDescent="0.25">
      <c r="A430" s="799">
        <v>94412</v>
      </c>
      <c r="B430" s="800" t="s">
        <v>3044</v>
      </c>
      <c r="C430" s="801">
        <v>1.63E-5</v>
      </c>
      <c r="D430" s="801">
        <v>1.7200000000000001E-5</v>
      </c>
      <c r="E430" s="802">
        <v>13713</v>
      </c>
      <c r="F430" s="802">
        <v>7719</v>
      </c>
      <c r="G430" s="802">
        <v>34594</v>
      </c>
      <c r="H430" s="802"/>
      <c r="I430" s="803">
        <v>649.96249999999998</v>
      </c>
      <c r="J430" s="803">
        <v>30315</v>
      </c>
      <c r="K430" s="803">
        <v>2369</v>
      </c>
      <c r="L430" s="802">
        <v>13305</v>
      </c>
      <c r="M430" s="802"/>
      <c r="N430" s="803">
        <v>1212</v>
      </c>
      <c r="O430" s="803">
        <v>11189</v>
      </c>
      <c r="P430" s="803">
        <v>0</v>
      </c>
      <c r="Q430" s="802">
        <v>0</v>
      </c>
      <c r="R430" s="802"/>
      <c r="S430" s="803">
        <v>9246</v>
      </c>
      <c r="T430" s="804">
        <v>4869</v>
      </c>
      <c r="U430" s="804">
        <v>14116</v>
      </c>
    </row>
    <row r="431" spans="1:21" x14ac:dyDescent="0.25">
      <c r="A431" s="799">
        <v>94421</v>
      </c>
      <c r="B431" s="800" t="s">
        <v>3045</v>
      </c>
      <c r="C431" s="801">
        <v>1.6899999999999999E-4</v>
      </c>
      <c r="D431" s="801">
        <v>1.7149999999999999E-4</v>
      </c>
      <c r="E431" s="802">
        <v>68013</v>
      </c>
      <c r="F431" s="802">
        <v>76968</v>
      </c>
      <c r="G431" s="802">
        <v>358675</v>
      </c>
      <c r="H431" s="802"/>
      <c r="I431" s="803">
        <v>6739</v>
      </c>
      <c r="J431" s="803">
        <v>314313</v>
      </c>
      <c r="K431" s="803">
        <v>24566</v>
      </c>
      <c r="L431" s="802">
        <v>3528</v>
      </c>
      <c r="M431" s="802"/>
      <c r="N431" s="803">
        <v>12568</v>
      </c>
      <c r="O431" s="803">
        <v>116011</v>
      </c>
      <c r="P431" s="803">
        <v>0</v>
      </c>
      <c r="Q431" s="802">
        <v>12354</v>
      </c>
      <c r="R431" s="802"/>
      <c r="S431" s="803">
        <v>95868</v>
      </c>
      <c r="T431" s="804">
        <v>-4340</v>
      </c>
      <c r="U431" s="804">
        <v>91529</v>
      </c>
    </row>
    <row r="432" spans="1:21" x14ac:dyDescent="0.25">
      <c r="A432" s="799">
        <v>94427</v>
      </c>
      <c r="B432" s="800" t="s">
        <v>3046</v>
      </c>
      <c r="C432" s="801">
        <v>1.29E-5</v>
      </c>
      <c r="D432" s="801">
        <v>1.56E-5</v>
      </c>
      <c r="E432" s="802">
        <v>6501.51</v>
      </c>
      <c r="F432" s="802">
        <v>7001</v>
      </c>
      <c r="G432" s="802">
        <v>27378</v>
      </c>
      <c r="H432" s="802"/>
      <c r="I432" s="803">
        <v>514</v>
      </c>
      <c r="J432" s="803">
        <v>23992</v>
      </c>
      <c r="K432" s="803">
        <v>1875</v>
      </c>
      <c r="L432" s="802">
        <v>785</v>
      </c>
      <c r="M432" s="802"/>
      <c r="N432" s="803">
        <v>959</v>
      </c>
      <c r="O432" s="803">
        <v>8855</v>
      </c>
      <c r="P432" s="803">
        <v>0</v>
      </c>
      <c r="Q432" s="802">
        <v>709</v>
      </c>
      <c r="R432" s="802"/>
      <c r="S432" s="803">
        <v>7318</v>
      </c>
      <c r="T432" s="804">
        <v>47</v>
      </c>
      <c r="U432" s="804">
        <v>7365</v>
      </c>
    </row>
    <row r="433" spans="1:21" x14ac:dyDescent="0.25">
      <c r="A433" s="799">
        <v>94428</v>
      </c>
      <c r="B433" s="800" t="s">
        <v>3047</v>
      </c>
      <c r="C433" s="801">
        <v>7.4400000000000006E-5</v>
      </c>
      <c r="D433" s="801">
        <v>7.7799999999999994E-5</v>
      </c>
      <c r="E433" s="802">
        <v>33919</v>
      </c>
      <c r="F433" s="802">
        <v>34916</v>
      </c>
      <c r="G433" s="802">
        <v>157902</v>
      </c>
      <c r="H433" s="802"/>
      <c r="I433" s="803">
        <v>2967</v>
      </c>
      <c r="J433" s="803">
        <v>138372</v>
      </c>
      <c r="K433" s="803">
        <v>10815</v>
      </c>
      <c r="L433" s="802">
        <v>3518</v>
      </c>
      <c r="M433" s="802"/>
      <c r="N433" s="803">
        <v>5533</v>
      </c>
      <c r="O433" s="803">
        <v>51072</v>
      </c>
      <c r="P433" s="803">
        <v>0</v>
      </c>
      <c r="Q433" s="802">
        <v>0</v>
      </c>
      <c r="R433" s="802"/>
      <c r="S433" s="803">
        <v>42205</v>
      </c>
      <c r="T433" s="804">
        <v>1203</v>
      </c>
      <c r="U433" s="804">
        <v>43408</v>
      </c>
    </row>
    <row r="434" spans="1:21" x14ac:dyDescent="0.25">
      <c r="A434" s="799">
        <v>94431</v>
      </c>
      <c r="B434" s="800" t="s">
        <v>3048</v>
      </c>
      <c r="C434" s="801">
        <v>3.7589999999999998E-4</v>
      </c>
      <c r="D434" s="801">
        <v>3.6390000000000001E-4</v>
      </c>
      <c r="E434" s="802">
        <v>261746</v>
      </c>
      <c r="F434" s="802">
        <v>163316</v>
      </c>
      <c r="G434" s="802">
        <v>797786</v>
      </c>
      <c r="H434" s="802"/>
      <c r="I434" s="803">
        <v>14989</v>
      </c>
      <c r="J434" s="803">
        <v>699115</v>
      </c>
      <c r="K434" s="803">
        <v>54641</v>
      </c>
      <c r="L434" s="802">
        <v>140656</v>
      </c>
      <c r="M434" s="802"/>
      <c r="N434" s="803">
        <v>27955</v>
      </c>
      <c r="O434" s="803">
        <v>258040</v>
      </c>
      <c r="P434" s="803">
        <v>0</v>
      </c>
      <c r="Q434" s="802">
        <v>1228</v>
      </c>
      <c r="R434" s="802"/>
      <c r="S434" s="803">
        <v>213236</v>
      </c>
      <c r="T434" s="804">
        <v>40508</v>
      </c>
      <c r="U434" s="804">
        <v>253745</v>
      </c>
    </row>
    <row r="435" spans="1:21" x14ac:dyDescent="0.25">
      <c r="A435" s="799">
        <v>94437</v>
      </c>
      <c r="B435" s="800" t="s">
        <v>3049</v>
      </c>
      <c r="C435" s="801">
        <v>1.34E-5</v>
      </c>
      <c r="D435" s="801">
        <v>1.1600000000000001E-5</v>
      </c>
      <c r="E435" s="802">
        <v>11266</v>
      </c>
      <c r="F435" s="802">
        <v>5206</v>
      </c>
      <c r="G435" s="802">
        <v>28439</v>
      </c>
      <c r="H435" s="802"/>
      <c r="I435" s="803">
        <v>534</v>
      </c>
      <c r="J435" s="803">
        <v>24922</v>
      </c>
      <c r="K435" s="803">
        <v>1948</v>
      </c>
      <c r="L435" s="802">
        <v>12092</v>
      </c>
      <c r="M435" s="802"/>
      <c r="N435" s="803">
        <v>997</v>
      </c>
      <c r="O435" s="803">
        <v>9199</v>
      </c>
      <c r="P435" s="803">
        <v>0</v>
      </c>
      <c r="Q435" s="802">
        <v>0</v>
      </c>
      <c r="R435" s="802"/>
      <c r="S435" s="803">
        <v>7601</v>
      </c>
      <c r="T435" s="804">
        <v>4157</v>
      </c>
      <c r="U435" s="804">
        <v>11759</v>
      </c>
    </row>
    <row r="436" spans="1:21" x14ac:dyDescent="0.25">
      <c r="A436" s="799">
        <v>94501</v>
      </c>
      <c r="B436" s="800" t="s">
        <v>3050</v>
      </c>
      <c r="C436" s="801">
        <v>5.8474E-3</v>
      </c>
      <c r="D436" s="801">
        <v>5.5922999999999997E-3</v>
      </c>
      <c r="E436" s="802">
        <v>2261129.31</v>
      </c>
      <c r="F436" s="802">
        <v>2509791</v>
      </c>
      <c r="G436" s="802">
        <v>12410142</v>
      </c>
      <c r="H436" s="802"/>
      <c r="I436" s="803">
        <v>233165</v>
      </c>
      <c r="J436" s="803">
        <v>10875240</v>
      </c>
      <c r="K436" s="803">
        <v>849984</v>
      </c>
      <c r="L436" s="802">
        <v>248127</v>
      </c>
      <c r="M436" s="802"/>
      <c r="N436" s="803">
        <v>434865</v>
      </c>
      <c r="O436" s="803">
        <v>4013995</v>
      </c>
      <c r="P436" s="803">
        <v>0</v>
      </c>
      <c r="Q436" s="802">
        <v>0</v>
      </c>
      <c r="R436" s="802"/>
      <c r="S436" s="803">
        <v>3317049</v>
      </c>
      <c r="T436" s="804">
        <v>102688</v>
      </c>
      <c r="U436" s="804">
        <v>3419736</v>
      </c>
    </row>
    <row r="437" spans="1:21" x14ac:dyDescent="0.25">
      <c r="A437" s="799">
        <v>94511</v>
      </c>
      <c r="B437" s="800" t="s">
        <v>3051</v>
      </c>
      <c r="C437" s="801">
        <v>1.7432000000000001E-3</v>
      </c>
      <c r="D437" s="801">
        <v>1.7692999999999999E-3</v>
      </c>
      <c r="E437" s="802">
        <v>680925.99</v>
      </c>
      <c r="F437" s="802">
        <v>794051</v>
      </c>
      <c r="G437" s="802">
        <v>3699654</v>
      </c>
      <c r="H437" s="802"/>
      <c r="I437" s="803">
        <v>69510</v>
      </c>
      <c r="J437" s="803">
        <v>3242077</v>
      </c>
      <c r="K437" s="803">
        <v>253393</v>
      </c>
      <c r="L437" s="802">
        <v>224818</v>
      </c>
      <c r="M437" s="802"/>
      <c r="N437" s="803">
        <v>129640</v>
      </c>
      <c r="O437" s="803">
        <v>1196634</v>
      </c>
      <c r="P437" s="803">
        <v>0</v>
      </c>
      <c r="Q437" s="802">
        <v>42694</v>
      </c>
      <c r="R437" s="802"/>
      <c r="S437" s="803">
        <v>988863</v>
      </c>
      <c r="T437" s="804">
        <v>69976</v>
      </c>
      <c r="U437" s="804">
        <v>1058839</v>
      </c>
    </row>
    <row r="438" spans="1:21" x14ac:dyDescent="0.25">
      <c r="A438" s="799">
        <v>94512</v>
      </c>
      <c r="B438" s="800" t="s">
        <v>3052</v>
      </c>
      <c r="C438" s="801">
        <v>0</v>
      </c>
      <c r="D438" s="801">
        <v>0</v>
      </c>
      <c r="E438" s="802">
        <v>0</v>
      </c>
      <c r="F438" s="802">
        <v>0</v>
      </c>
      <c r="G438" s="802">
        <v>0</v>
      </c>
      <c r="H438" s="802"/>
      <c r="I438" s="803">
        <v>0</v>
      </c>
      <c r="J438" s="803">
        <v>0</v>
      </c>
      <c r="K438" s="803">
        <v>0</v>
      </c>
      <c r="L438" s="802">
        <v>0</v>
      </c>
      <c r="M438" s="802"/>
      <c r="N438" s="803">
        <v>0</v>
      </c>
      <c r="O438" s="803">
        <v>0</v>
      </c>
      <c r="P438" s="803">
        <v>0</v>
      </c>
      <c r="Q438" s="802">
        <v>217292</v>
      </c>
      <c r="R438" s="802"/>
      <c r="S438" s="803">
        <v>0</v>
      </c>
      <c r="T438" s="804">
        <v>-78713</v>
      </c>
      <c r="U438" s="804">
        <v>-78713</v>
      </c>
    </row>
    <row r="439" spans="1:21" x14ac:dyDescent="0.25">
      <c r="A439" s="799">
        <v>94517</v>
      </c>
      <c r="B439" s="800" t="s">
        <v>3053</v>
      </c>
      <c r="C439" s="801">
        <v>4.9599999999999999E-5</v>
      </c>
      <c r="D439" s="801">
        <v>4.9100000000000001E-5</v>
      </c>
      <c r="E439" s="802">
        <v>28272.959999999999</v>
      </c>
      <c r="F439" s="802">
        <v>22036</v>
      </c>
      <c r="G439" s="802">
        <v>105268</v>
      </c>
      <c r="H439" s="802"/>
      <c r="I439" s="803">
        <v>1977.8</v>
      </c>
      <c r="J439" s="803">
        <v>92248</v>
      </c>
      <c r="K439" s="803">
        <v>7210</v>
      </c>
      <c r="L439" s="802">
        <v>19501</v>
      </c>
      <c r="M439" s="802"/>
      <c r="N439" s="803">
        <v>3689</v>
      </c>
      <c r="O439" s="803">
        <v>34048</v>
      </c>
      <c r="P439" s="803">
        <v>0</v>
      </c>
      <c r="Q439" s="802">
        <v>0</v>
      </c>
      <c r="R439" s="802"/>
      <c r="S439" s="803">
        <v>28137</v>
      </c>
      <c r="T439" s="804">
        <v>7376</v>
      </c>
      <c r="U439" s="804">
        <v>35513</v>
      </c>
    </row>
    <row r="440" spans="1:21" x14ac:dyDescent="0.25">
      <c r="A440" s="799">
        <v>94521</v>
      </c>
      <c r="B440" s="800" t="s">
        <v>3054</v>
      </c>
      <c r="C440" s="801">
        <v>1.2410000000000001E-4</v>
      </c>
      <c r="D440" s="801">
        <v>1.6320000000000001E-4</v>
      </c>
      <c r="E440" s="802">
        <v>54157.59</v>
      </c>
      <c r="F440" s="802">
        <v>73243</v>
      </c>
      <c r="G440" s="802">
        <v>263382</v>
      </c>
      <c r="H440" s="802"/>
      <c r="I440" s="803">
        <v>4948</v>
      </c>
      <c r="J440" s="803">
        <v>230806</v>
      </c>
      <c r="K440" s="803">
        <v>18039</v>
      </c>
      <c r="L440" s="802">
        <v>5851</v>
      </c>
      <c r="M440" s="802"/>
      <c r="N440" s="803">
        <v>9229</v>
      </c>
      <c r="O440" s="803">
        <v>85189</v>
      </c>
      <c r="P440" s="803">
        <v>0</v>
      </c>
      <c r="Q440" s="802">
        <v>18701</v>
      </c>
      <c r="R440" s="802"/>
      <c r="S440" s="803">
        <v>70398</v>
      </c>
      <c r="T440" s="804">
        <v>-2526</v>
      </c>
      <c r="U440" s="804">
        <v>67872</v>
      </c>
    </row>
    <row r="441" spans="1:21" x14ac:dyDescent="0.25">
      <c r="A441" s="799">
        <v>94527</v>
      </c>
      <c r="B441" s="800" t="s">
        <v>3055</v>
      </c>
      <c r="C441" s="801">
        <v>6.3999999999999997E-6</v>
      </c>
      <c r="D441" s="801">
        <v>9.0000000000000002E-6</v>
      </c>
      <c r="E441" s="802">
        <v>0</v>
      </c>
      <c r="F441" s="802">
        <v>4039</v>
      </c>
      <c r="G441" s="802">
        <v>13583</v>
      </c>
      <c r="H441" s="802"/>
      <c r="I441" s="803">
        <v>255.2</v>
      </c>
      <c r="J441" s="803">
        <v>11903</v>
      </c>
      <c r="K441" s="803">
        <v>930</v>
      </c>
      <c r="L441" s="802">
        <v>477</v>
      </c>
      <c r="M441" s="802"/>
      <c r="N441" s="803">
        <v>476</v>
      </c>
      <c r="O441" s="803">
        <v>4393</v>
      </c>
      <c r="P441" s="803">
        <v>0</v>
      </c>
      <c r="Q441" s="802">
        <v>3557</v>
      </c>
      <c r="R441" s="802"/>
      <c r="S441" s="803">
        <v>3631</v>
      </c>
      <c r="T441" s="804">
        <v>-766</v>
      </c>
      <c r="U441" s="804">
        <v>2864</v>
      </c>
    </row>
    <row r="442" spans="1:21" x14ac:dyDescent="0.25">
      <c r="A442" s="799">
        <v>94531</v>
      </c>
      <c r="B442" s="800" t="s">
        <v>3056</v>
      </c>
      <c r="C442" s="801">
        <v>1.5500000000000001E-5</v>
      </c>
      <c r="D442" s="801">
        <v>1.66E-5</v>
      </c>
      <c r="E442" s="802">
        <v>9989</v>
      </c>
      <c r="F442" s="802">
        <v>7450</v>
      </c>
      <c r="G442" s="802">
        <v>32896</v>
      </c>
      <c r="H442" s="802"/>
      <c r="I442" s="803">
        <v>618.0625</v>
      </c>
      <c r="J442" s="803">
        <v>28828</v>
      </c>
      <c r="K442" s="803">
        <v>2253</v>
      </c>
      <c r="L442" s="802">
        <v>5256</v>
      </c>
      <c r="M442" s="802"/>
      <c r="N442" s="803">
        <v>1153</v>
      </c>
      <c r="O442" s="803">
        <v>10640</v>
      </c>
      <c r="P442" s="803">
        <v>0</v>
      </c>
      <c r="Q442" s="802">
        <v>0</v>
      </c>
      <c r="R442" s="802"/>
      <c r="S442" s="803">
        <v>8793</v>
      </c>
      <c r="T442" s="804">
        <v>1863</v>
      </c>
      <c r="U442" s="804">
        <v>10656</v>
      </c>
    </row>
    <row r="443" spans="1:21" x14ac:dyDescent="0.25">
      <c r="A443" s="799">
        <v>94532</v>
      </c>
      <c r="B443" s="800" t="s">
        <v>3057</v>
      </c>
      <c r="C443" s="801">
        <v>9.4099999999999997E-5</v>
      </c>
      <c r="D443" s="801">
        <v>1.155E-4</v>
      </c>
      <c r="E443" s="802">
        <v>41786.75</v>
      </c>
      <c r="F443" s="802">
        <v>51836</v>
      </c>
      <c r="G443" s="802">
        <v>199712</v>
      </c>
      <c r="H443" s="802"/>
      <c r="I443" s="803">
        <v>3752</v>
      </c>
      <c r="J443" s="803">
        <v>175011</v>
      </c>
      <c r="K443" s="803">
        <v>13678</v>
      </c>
      <c r="L443" s="802">
        <v>0</v>
      </c>
      <c r="M443" s="802"/>
      <c r="N443" s="803">
        <v>6998</v>
      </c>
      <c r="O443" s="803">
        <v>64596</v>
      </c>
      <c r="P443" s="803">
        <v>0</v>
      </c>
      <c r="Q443" s="802">
        <v>15319</v>
      </c>
      <c r="R443" s="802"/>
      <c r="S443" s="803">
        <v>53380</v>
      </c>
      <c r="T443" s="804">
        <v>-5410</v>
      </c>
      <c r="U443" s="804">
        <v>47970</v>
      </c>
    </row>
    <row r="444" spans="1:21" x14ac:dyDescent="0.25">
      <c r="A444" s="799">
        <v>94541</v>
      </c>
      <c r="B444" s="800" t="s">
        <v>3058</v>
      </c>
      <c r="C444" s="801">
        <v>2.9839999999999999E-4</v>
      </c>
      <c r="D444" s="801">
        <v>2.8739999999999999E-4</v>
      </c>
      <c r="E444" s="802">
        <v>104979.31</v>
      </c>
      <c r="F444" s="802">
        <v>128983</v>
      </c>
      <c r="G444" s="802">
        <v>633305</v>
      </c>
      <c r="H444" s="802"/>
      <c r="I444" s="803">
        <v>11899</v>
      </c>
      <c r="J444" s="803">
        <v>554977</v>
      </c>
      <c r="K444" s="803">
        <v>43376</v>
      </c>
      <c r="L444" s="802">
        <v>0</v>
      </c>
      <c r="M444" s="802"/>
      <c r="N444" s="803">
        <v>22192</v>
      </c>
      <c r="O444" s="803">
        <v>204839</v>
      </c>
      <c r="P444" s="803">
        <v>0</v>
      </c>
      <c r="Q444" s="802">
        <v>23573</v>
      </c>
      <c r="R444" s="802"/>
      <c r="S444" s="803">
        <v>169273</v>
      </c>
      <c r="T444" s="804">
        <v>-7692</v>
      </c>
      <c r="U444" s="804">
        <v>161581</v>
      </c>
    </row>
    <row r="445" spans="1:21" x14ac:dyDescent="0.25">
      <c r="A445" s="799">
        <v>94547</v>
      </c>
      <c r="B445" s="800" t="s">
        <v>3059</v>
      </c>
      <c r="C445" s="801">
        <v>1.24E-5</v>
      </c>
      <c r="D445" s="801">
        <v>1.3499999999999999E-5</v>
      </c>
      <c r="E445" s="802">
        <v>7369</v>
      </c>
      <c r="F445" s="802">
        <v>6059</v>
      </c>
      <c r="G445" s="802">
        <v>26317</v>
      </c>
      <c r="H445" s="802"/>
      <c r="I445" s="803">
        <v>494.45</v>
      </c>
      <c r="J445" s="803">
        <v>23062</v>
      </c>
      <c r="K445" s="803">
        <v>1802</v>
      </c>
      <c r="L445" s="802">
        <v>2133</v>
      </c>
      <c r="M445" s="802"/>
      <c r="N445" s="803">
        <v>922</v>
      </c>
      <c r="O445" s="803">
        <v>8512</v>
      </c>
      <c r="P445" s="803">
        <v>0</v>
      </c>
      <c r="Q445" s="802">
        <v>0</v>
      </c>
      <c r="R445" s="802"/>
      <c r="S445" s="803">
        <v>7034</v>
      </c>
      <c r="T445" s="804">
        <v>656</v>
      </c>
      <c r="U445" s="804">
        <v>7690</v>
      </c>
    </row>
    <row r="446" spans="1:21" x14ac:dyDescent="0.25">
      <c r="A446" s="799">
        <v>94551</v>
      </c>
      <c r="B446" s="800" t="s">
        <v>3060</v>
      </c>
      <c r="C446" s="801">
        <v>4.5899999999999998E-5</v>
      </c>
      <c r="D446" s="801">
        <v>3.0599999999999998E-5</v>
      </c>
      <c r="E446" s="802">
        <v>22107</v>
      </c>
      <c r="F446" s="802">
        <v>13733</v>
      </c>
      <c r="G446" s="802">
        <v>97415</v>
      </c>
      <c r="H446" s="802"/>
      <c r="I446" s="803">
        <v>1830</v>
      </c>
      <c r="J446" s="803">
        <v>85367</v>
      </c>
      <c r="K446" s="803">
        <v>6672</v>
      </c>
      <c r="L446" s="802">
        <v>14242</v>
      </c>
      <c r="M446" s="802"/>
      <c r="N446" s="803">
        <v>3414</v>
      </c>
      <c r="O446" s="803">
        <v>31508</v>
      </c>
      <c r="P446" s="803">
        <v>0</v>
      </c>
      <c r="Q446" s="802">
        <v>2442</v>
      </c>
      <c r="R446" s="802"/>
      <c r="S446" s="803">
        <v>26038</v>
      </c>
      <c r="T446" s="804">
        <v>3648</v>
      </c>
      <c r="U446" s="804">
        <v>29686</v>
      </c>
    </row>
    <row r="447" spans="1:21" x14ac:dyDescent="0.25">
      <c r="A447" s="799">
        <v>94601</v>
      </c>
      <c r="B447" s="800" t="s">
        <v>3061</v>
      </c>
      <c r="C447" s="801">
        <v>1.0011E-3</v>
      </c>
      <c r="D447" s="801">
        <v>9.7179999999999999E-4</v>
      </c>
      <c r="E447" s="802">
        <v>433754</v>
      </c>
      <c r="F447" s="802">
        <v>436138</v>
      </c>
      <c r="G447" s="802">
        <v>2124670</v>
      </c>
      <c r="H447" s="802"/>
      <c r="I447" s="803">
        <v>39919</v>
      </c>
      <c r="J447" s="803">
        <v>1861888</v>
      </c>
      <c r="K447" s="803">
        <v>145521</v>
      </c>
      <c r="L447" s="802">
        <v>36047</v>
      </c>
      <c r="M447" s="802"/>
      <c r="N447" s="803">
        <v>74451</v>
      </c>
      <c r="O447" s="803">
        <v>687213</v>
      </c>
      <c r="P447" s="803">
        <v>0</v>
      </c>
      <c r="Q447" s="802">
        <v>3381</v>
      </c>
      <c r="R447" s="802"/>
      <c r="S447" s="803">
        <v>567893</v>
      </c>
      <c r="T447" s="804">
        <v>8786</v>
      </c>
      <c r="U447" s="804">
        <v>576679</v>
      </c>
    </row>
    <row r="448" spans="1:21" x14ac:dyDescent="0.25">
      <c r="A448" s="799">
        <v>94604</v>
      </c>
      <c r="B448" s="800" t="s">
        <v>3062</v>
      </c>
      <c r="C448" s="801">
        <v>2.65E-5</v>
      </c>
      <c r="D448" s="801">
        <v>2.76E-5</v>
      </c>
      <c r="E448" s="802">
        <v>12705</v>
      </c>
      <c r="F448" s="802">
        <v>12387</v>
      </c>
      <c r="G448" s="802">
        <v>56242</v>
      </c>
      <c r="H448" s="802"/>
      <c r="I448" s="803">
        <v>1056.6875</v>
      </c>
      <c r="J448" s="803">
        <v>49286</v>
      </c>
      <c r="K448" s="803">
        <v>3852</v>
      </c>
      <c r="L448" s="802">
        <v>1065</v>
      </c>
      <c r="M448" s="802"/>
      <c r="N448" s="803">
        <v>1971</v>
      </c>
      <c r="O448" s="803">
        <v>18191</v>
      </c>
      <c r="P448" s="803">
        <v>0</v>
      </c>
      <c r="Q448" s="802">
        <v>52</v>
      </c>
      <c r="R448" s="802"/>
      <c r="S448" s="803">
        <v>15033</v>
      </c>
      <c r="T448" s="804">
        <v>272</v>
      </c>
      <c r="U448" s="804">
        <v>15304</v>
      </c>
    </row>
    <row r="449" spans="1:21" x14ac:dyDescent="0.25">
      <c r="A449" s="799">
        <v>94606</v>
      </c>
      <c r="B449" s="800" t="s">
        <v>3063</v>
      </c>
      <c r="C449" s="801">
        <v>2.6229999999999998E-4</v>
      </c>
      <c r="D449" s="801">
        <v>2.8610000000000002E-4</v>
      </c>
      <c r="E449" s="802">
        <v>101571</v>
      </c>
      <c r="F449" s="802">
        <v>128400</v>
      </c>
      <c r="G449" s="802">
        <v>556688</v>
      </c>
      <c r="H449" s="802"/>
      <c r="I449" s="803">
        <v>10459</v>
      </c>
      <c r="J449" s="803">
        <v>487837</v>
      </c>
      <c r="K449" s="803">
        <v>38128</v>
      </c>
      <c r="L449" s="802">
        <v>0</v>
      </c>
      <c r="M449" s="802"/>
      <c r="N449" s="803">
        <v>19507</v>
      </c>
      <c r="O449" s="803">
        <v>180058</v>
      </c>
      <c r="P449" s="803">
        <v>0</v>
      </c>
      <c r="Q449" s="802">
        <v>52213</v>
      </c>
      <c r="R449" s="802"/>
      <c r="S449" s="803">
        <v>148795</v>
      </c>
      <c r="T449" s="804">
        <v>-19437</v>
      </c>
      <c r="U449" s="804">
        <v>129358</v>
      </c>
    </row>
    <row r="450" spans="1:21" x14ac:dyDescent="0.25">
      <c r="A450" s="799">
        <v>94611</v>
      </c>
      <c r="B450" s="800" t="s">
        <v>3064</v>
      </c>
      <c r="C450" s="801">
        <v>4.4450000000000002E-4</v>
      </c>
      <c r="D450" s="801">
        <v>4.5360000000000002E-4</v>
      </c>
      <c r="E450" s="802">
        <v>189159.12</v>
      </c>
      <c r="F450" s="802">
        <v>203573</v>
      </c>
      <c r="G450" s="802">
        <v>943378</v>
      </c>
      <c r="H450" s="802"/>
      <c r="I450" s="803">
        <v>17724.4375</v>
      </c>
      <c r="J450" s="803">
        <v>826700</v>
      </c>
      <c r="K450" s="803">
        <v>64613</v>
      </c>
      <c r="L450" s="802">
        <v>3960</v>
      </c>
      <c r="M450" s="802"/>
      <c r="N450" s="803">
        <v>33057</v>
      </c>
      <c r="O450" s="803">
        <v>305131</v>
      </c>
      <c r="P450" s="803">
        <v>0</v>
      </c>
      <c r="Q450" s="802">
        <v>4915.3</v>
      </c>
      <c r="R450" s="802"/>
      <c r="S450" s="803">
        <v>252151</v>
      </c>
      <c r="T450" s="804">
        <v>-1078</v>
      </c>
      <c r="U450" s="804">
        <v>251074</v>
      </c>
    </row>
    <row r="451" spans="1:21" x14ac:dyDescent="0.25">
      <c r="A451" s="799">
        <v>94621</v>
      </c>
      <c r="B451" s="800" t="s">
        <v>3065</v>
      </c>
      <c r="C451" s="801">
        <v>1.3119999999999999E-4</v>
      </c>
      <c r="D451" s="801">
        <v>1.5200000000000001E-4</v>
      </c>
      <c r="E451" s="802">
        <v>64393.31</v>
      </c>
      <c r="F451" s="802">
        <v>68217</v>
      </c>
      <c r="G451" s="802">
        <v>278450</v>
      </c>
      <c r="H451" s="802"/>
      <c r="I451" s="803">
        <v>5232</v>
      </c>
      <c r="J451" s="803">
        <v>244011</v>
      </c>
      <c r="K451" s="803">
        <v>19071</v>
      </c>
      <c r="L451" s="802">
        <v>13237</v>
      </c>
      <c r="M451" s="802"/>
      <c r="N451" s="803">
        <v>9757</v>
      </c>
      <c r="O451" s="803">
        <v>90063</v>
      </c>
      <c r="P451" s="803">
        <v>0</v>
      </c>
      <c r="Q451" s="802">
        <v>19570</v>
      </c>
      <c r="R451" s="802"/>
      <c r="S451" s="803">
        <v>74426</v>
      </c>
      <c r="T451" s="804">
        <v>-3</v>
      </c>
      <c r="U451" s="804">
        <v>74422</v>
      </c>
    </row>
    <row r="452" spans="1:21" x14ac:dyDescent="0.25">
      <c r="A452" s="799">
        <v>94631</v>
      </c>
      <c r="B452" s="800" t="s">
        <v>3066</v>
      </c>
      <c r="C452" s="801">
        <v>3.9799999999999998E-5</v>
      </c>
      <c r="D452" s="801">
        <v>4.0299999999999997E-5</v>
      </c>
      <c r="E452" s="802">
        <v>19878.57</v>
      </c>
      <c r="F452" s="802">
        <v>18086</v>
      </c>
      <c r="G452" s="802">
        <v>84469</v>
      </c>
      <c r="H452" s="802"/>
      <c r="I452" s="803">
        <v>1587</v>
      </c>
      <c r="J452" s="803">
        <v>74022</v>
      </c>
      <c r="K452" s="803">
        <v>5785</v>
      </c>
      <c r="L452" s="802">
        <v>5170</v>
      </c>
      <c r="M452" s="802"/>
      <c r="N452" s="803">
        <v>2960</v>
      </c>
      <c r="O452" s="803">
        <v>27321</v>
      </c>
      <c r="P452" s="803">
        <v>0</v>
      </c>
      <c r="Q452" s="802">
        <v>0</v>
      </c>
      <c r="R452" s="802"/>
      <c r="S452" s="803">
        <v>22577</v>
      </c>
      <c r="T452" s="804">
        <v>1734</v>
      </c>
      <c r="U452" s="804">
        <v>24311</v>
      </c>
    </row>
    <row r="453" spans="1:21" x14ac:dyDescent="0.25">
      <c r="A453" s="799">
        <v>94641</v>
      </c>
      <c r="B453" s="800" t="s">
        <v>3067</v>
      </c>
      <c r="C453" s="801">
        <v>4.6999999999999999E-6</v>
      </c>
      <c r="D453" s="801">
        <v>4.6999999999999999E-6</v>
      </c>
      <c r="E453" s="802">
        <v>4524.25</v>
      </c>
      <c r="F453" s="802">
        <v>2109</v>
      </c>
      <c r="G453" s="802">
        <v>9975</v>
      </c>
      <c r="H453" s="802"/>
      <c r="I453" s="803">
        <v>187.41249999999999</v>
      </c>
      <c r="J453" s="803">
        <v>8741</v>
      </c>
      <c r="K453" s="803">
        <v>683</v>
      </c>
      <c r="L453" s="802">
        <v>4799</v>
      </c>
      <c r="M453" s="802"/>
      <c r="N453" s="803">
        <v>350</v>
      </c>
      <c r="O453" s="803">
        <v>3226</v>
      </c>
      <c r="P453" s="803">
        <v>0</v>
      </c>
      <c r="Q453" s="802">
        <v>0</v>
      </c>
      <c r="R453" s="802"/>
      <c r="S453" s="803">
        <v>2666</v>
      </c>
      <c r="T453" s="804">
        <v>1678</v>
      </c>
      <c r="U453" s="804">
        <v>4344</v>
      </c>
    </row>
    <row r="454" spans="1:21" x14ac:dyDescent="0.25">
      <c r="A454" s="799">
        <v>94701</v>
      </c>
      <c r="B454" s="800" t="s">
        <v>3068</v>
      </c>
      <c r="C454" s="801">
        <v>2.5636000000000001E-3</v>
      </c>
      <c r="D454" s="801">
        <v>2.6064999999999999E-3</v>
      </c>
      <c r="E454" s="802">
        <v>956457</v>
      </c>
      <c r="F454" s="802">
        <v>1169782</v>
      </c>
      <c r="G454" s="802">
        <v>5440818</v>
      </c>
      <c r="H454" s="802"/>
      <c r="I454" s="803">
        <v>102223.55</v>
      </c>
      <c r="J454" s="803">
        <v>4767891</v>
      </c>
      <c r="K454" s="803">
        <v>372647</v>
      </c>
      <c r="L454" s="802">
        <v>75767</v>
      </c>
      <c r="M454" s="802"/>
      <c r="N454" s="803">
        <v>190652</v>
      </c>
      <c r="O454" s="803">
        <v>1759804</v>
      </c>
      <c r="P454" s="803">
        <v>0</v>
      </c>
      <c r="Q454" s="802">
        <v>100921</v>
      </c>
      <c r="R454" s="802"/>
      <c r="S454" s="803">
        <v>1454251</v>
      </c>
      <c r="T454" s="804">
        <v>4371</v>
      </c>
      <c r="U454" s="804">
        <v>1458622</v>
      </c>
    </row>
    <row r="455" spans="1:21" x14ac:dyDescent="0.25">
      <c r="A455" s="799">
        <v>94704</v>
      </c>
      <c r="B455" s="800" t="s">
        <v>3069</v>
      </c>
      <c r="C455" s="801">
        <v>1.04E-5</v>
      </c>
      <c r="D455" s="801">
        <v>1.0900000000000001E-5</v>
      </c>
      <c r="E455" s="802">
        <v>4510</v>
      </c>
      <c r="F455" s="802">
        <v>4892</v>
      </c>
      <c r="G455" s="802">
        <v>22072</v>
      </c>
      <c r="H455" s="802"/>
      <c r="I455" s="803">
        <v>414.7</v>
      </c>
      <c r="J455" s="803">
        <v>19342</v>
      </c>
      <c r="K455" s="803">
        <v>1512</v>
      </c>
      <c r="L455" s="802">
        <v>147</v>
      </c>
      <c r="M455" s="802"/>
      <c r="N455" s="803">
        <v>773</v>
      </c>
      <c r="O455" s="803">
        <v>7139</v>
      </c>
      <c r="P455" s="803">
        <v>0</v>
      </c>
      <c r="Q455" s="802">
        <v>86</v>
      </c>
      <c r="R455" s="802"/>
      <c r="S455" s="803">
        <v>5900</v>
      </c>
      <c r="T455" s="804">
        <v>47</v>
      </c>
      <c r="U455" s="804">
        <v>5946</v>
      </c>
    </row>
    <row r="456" spans="1:21" x14ac:dyDescent="0.25">
      <c r="A456" s="799">
        <v>94711</v>
      </c>
      <c r="B456" s="800" t="s">
        <v>3070</v>
      </c>
      <c r="C456" s="801">
        <v>3.5110000000000002E-4</v>
      </c>
      <c r="D456" s="801">
        <v>3.5270000000000001E-4</v>
      </c>
      <c r="E456" s="802">
        <v>140447</v>
      </c>
      <c r="F456" s="802">
        <v>158290</v>
      </c>
      <c r="G456" s="802">
        <v>745152</v>
      </c>
      <c r="H456" s="802"/>
      <c r="I456" s="803">
        <v>14000</v>
      </c>
      <c r="J456" s="803">
        <v>652991</v>
      </c>
      <c r="K456" s="803">
        <v>51036</v>
      </c>
      <c r="L456" s="802">
        <v>14121</v>
      </c>
      <c r="M456" s="802"/>
      <c r="N456" s="803">
        <v>26111</v>
      </c>
      <c r="O456" s="803">
        <v>241015</v>
      </c>
      <c r="P456" s="803">
        <v>0</v>
      </c>
      <c r="Q456" s="802">
        <v>8957</v>
      </c>
      <c r="R456" s="802"/>
      <c r="S456" s="803">
        <v>199168</v>
      </c>
      <c r="T456" s="804">
        <v>1479</v>
      </c>
      <c r="U456" s="804">
        <v>200647</v>
      </c>
    </row>
    <row r="457" spans="1:21" x14ac:dyDescent="0.25">
      <c r="A457" s="799">
        <v>94801</v>
      </c>
      <c r="B457" s="800" t="s">
        <v>3071</v>
      </c>
      <c r="C457" s="801">
        <v>7.6539999999999996E-4</v>
      </c>
      <c r="D457" s="801">
        <v>7.425E-4</v>
      </c>
      <c r="E457" s="802">
        <v>315764</v>
      </c>
      <c r="F457" s="802">
        <v>333230</v>
      </c>
      <c r="G457" s="802">
        <v>1624435</v>
      </c>
      <c r="H457" s="802"/>
      <c r="I457" s="803">
        <v>30520</v>
      </c>
      <c r="J457" s="803">
        <v>1423523</v>
      </c>
      <c r="K457" s="803">
        <v>111259</v>
      </c>
      <c r="L457" s="802">
        <v>62992</v>
      </c>
      <c r="M457" s="802"/>
      <c r="N457" s="803">
        <v>56922</v>
      </c>
      <c r="O457" s="803">
        <v>525415</v>
      </c>
      <c r="P457" s="803">
        <v>0</v>
      </c>
      <c r="Q457" s="802">
        <v>0</v>
      </c>
      <c r="R457" s="802"/>
      <c r="S457" s="803">
        <v>434188</v>
      </c>
      <c r="T457" s="804">
        <v>22612</v>
      </c>
      <c r="U457" s="804">
        <v>456800</v>
      </c>
    </row>
    <row r="458" spans="1:21" x14ac:dyDescent="0.25">
      <c r="A458" s="799">
        <v>94804</v>
      </c>
      <c r="B458" s="800" t="s">
        <v>3072</v>
      </c>
      <c r="C458" s="801">
        <v>3.8E-6</v>
      </c>
      <c r="D458" s="801">
        <v>5.5999999999999997E-6</v>
      </c>
      <c r="E458" s="802">
        <v>2421</v>
      </c>
      <c r="F458" s="802">
        <v>2513</v>
      </c>
      <c r="G458" s="802">
        <v>8065</v>
      </c>
      <c r="H458" s="802"/>
      <c r="I458" s="803">
        <v>151.52500000000001</v>
      </c>
      <c r="J458" s="803">
        <v>7067</v>
      </c>
      <c r="K458" s="803">
        <v>552</v>
      </c>
      <c r="L458" s="802">
        <v>3516</v>
      </c>
      <c r="M458" s="802"/>
      <c r="N458" s="803">
        <v>283</v>
      </c>
      <c r="O458" s="803">
        <v>2609</v>
      </c>
      <c r="P458" s="803">
        <v>0</v>
      </c>
      <c r="Q458" s="802">
        <v>294</v>
      </c>
      <c r="R458" s="802"/>
      <c r="S458" s="803">
        <v>2156</v>
      </c>
      <c r="T458" s="804">
        <v>1680</v>
      </c>
      <c r="U458" s="804">
        <v>3836</v>
      </c>
    </row>
    <row r="459" spans="1:21" x14ac:dyDescent="0.25">
      <c r="A459" s="799">
        <v>94812</v>
      </c>
      <c r="B459" s="800" t="s">
        <v>3073</v>
      </c>
      <c r="C459" s="801">
        <v>3.3500000000000001E-5</v>
      </c>
      <c r="D459" s="801">
        <v>2.8200000000000001E-5</v>
      </c>
      <c r="E459" s="802">
        <v>17637</v>
      </c>
      <c r="F459" s="802">
        <v>12656</v>
      </c>
      <c r="G459" s="802">
        <v>71098</v>
      </c>
      <c r="H459" s="802"/>
      <c r="I459" s="803">
        <v>1335.8125</v>
      </c>
      <c r="J459" s="803">
        <v>62305</v>
      </c>
      <c r="K459" s="803">
        <v>4870</v>
      </c>
      <c r="L459" s="802">
        <v>10393</v>
      </c>
      <c r="M459" s="802"/>
      <c r="N459" s="803">
        <v>2491</v>
      </c>
      <c r="O459" s="803">
        <v>22996</v>
      </c>
      <c r="P459" s="803">
        <v>0</v>
      </c>
      <c r="Q459" s="802">
        <v>0</v>
      </c>
      <c r="R459" s="802"/>
      <c r="S459" s="803">
        <v>19004</v>
      </c>
      <c r="T459" s="804">
        <v>3222</v>
      </c>
      <c r="U459" s="804">
        <v>22225</v>
      </c>
    </row>
    <row r="460" spans="1:21" x14ac:dyDescent="0.25">
      <c r="A460" s="799">
        <v>94901</v>
      </c>
      <c r="B460" s="800" t="s">
        <v>3074</v>
      </c>
      <c r="C460" s="801">
        <v>7.0014999999999999E-3</v>
      </c>
      <c r="D460" s="801">
        <v>6.6921999999999997E-3</v>
      </c>
      <c r="E460" s="802">
        <v>2681224</v>
      </c>
      <c r="F460" s="802">
        <v>3003419</v>
      </c>
      <c r="G460" s="802">
        <v>14859529</v>
      </c>
      <c r="H460" s="802"/>
      <c r="I460" s="803">
        <v>279185</v>
      </c>
      <c r="J460" s="803">
        <v>13021684</v>
      </c>
      <c r="K460" s="803">
        <v>1017745</v>
      </c>
      <c r="L460" s="802">
        <v>28689</v>
      </c>
      <c r="M460" s="802"/>
      <c r="N460" s="803">
        <v>520695</v>
      </c>
      <c r="O460" s="803">
        <v>4806236</v>
      </c>
      <c r="P460" s="803">
        <v>0</v>
      </c>
      <c r="Q460" s="802">
        <v>82188</v>
      </c>
      <c r="R460" s="802"/>
      <c r="S460" s="803">
        <v>3971734</v>
      </c>
      <c r="T460" s="804">
        <v>-17216</v>
      </c>
      <c r="U460" s="804">
        <v>3954518</v>
      </c>
    </row>
    <row r="461" spans="1:21" x14ac:dyDescent="0.25">
      <c r="A461" s="799">
        <v>94908</v>
      </c>
      <c r="B461" s="800" t="s">
        <v>3075</v>
      </c>
      <c r="C461" s="801">
        <v>3.9799999999999998E-5</v>
      </c>
      <c r="D461" s="801">
        <v>4.2799999999999997E-5</v>
      </c>
      <c r="E461" s="802">
        <v>16384</v>
      </c>
      <c r="F461" s="802">
        <v>19208</v>
      </c>
      <c r="G461" s="802">
        <v>84469</v>
      </c>
      <c r="H461" s="802"/>
      <c r="I461" s="803">
        <v>1587</v>
      </c>
      <c r="J461" s="803">
        <v>74022</v>
      </c>
      <c r="K461" s="803">
        <v>5785</v>
      </c>
      <c r="L461" s="802">
        <v>0</v>
      </c>
      <c r="M461" s="802"/>
      <c r="N461" s="803">
        <v>2960</v>
      </c>
      <c r="O461" s="803">
        <v>27321</v>
      </c>
      <c r="P461" s="803">
        <v>0</v>
      </c>
      <c r="Q461" s="802">
        <v>5878</v>
      </c>
      <c r="R461" s="802"/>
      <c r="S461" s="803">
        <v>22577</v>
      </c>
      <c r="T461" s="804">
        <v>-2269</v>
      </c>
      <c r="U461" s="804">
        <v>20308</v>
      </c>
    </row>
    <row r="462" spans="1:21" x14ac:dyDescent="0.25">
      <c r="A462" s="799">
        <v>94911</v>
      </c>
      <c r="B462" s="800" t="s">
        <v>3076</v>
      </c>
      <c r="C462" s="801">
        <v>2.7745999999999999E-3</v>
      </c>
      <c r="D462" s="801">
        <v>2.8086000000000001E-3</v>
      </c>
      <c r="E462" s="802">
        <v>1108370.94</v>
      </c>
      <c r="F462" s="802">
        <v>1260483</v>
      </c>
      <c r="G462" s="802">
        <v>5888631</v>
      </c>
      <c r="H462" s="802"/>
      <c r="I462" s="803">
        <v>110637</v>
      </c>
      <c r="J462" s="803">
        <v>5160318</v>
      </c>
      <c r="K462" s="803">
        <v>403319</v>
      </c>
      <c r="L462" s="802">
        <v>7508</v>
      </c>
      <c r="M462" s="802"/>
      <c r="N462" s="803">
        <v>206344</v>
      </c>
      <c r="O462" s="803">
        <v>1904646</v>
      </c>
      <c r="P462" s="803">
        <v>0</v>
      </c>
      <c r="Q462" s="802">
        <v>58992</v>
      </c>
      <c r="R462" s="802"/>
      <c r="S462" s="803">
        <v>1573945</v>
      </c>
      <c r="T462" s="804">
        <v>-16182</v>
      </c>
      <c r="U462" s="804">
        <v>1557762</v>
      </c>
    </row>
    <row r="463" spans="1:21" x14ac:dyDescent="0.25">
      <c r="A463" s="799">
        <v>94917</v>
      </c>
      <c r="B463" s="800" t="s">
        <v>3077</v>
      </c>
      <c r="C463" s="801">
        <v>3.7400000000000001E-5</v>
      </c>
      <c r="D463" s="801">
        <v>4.0399999999999999E-5</v>
      </c>
      <c r="E463" s="802">
        <v>24113.03</v>
      </c>
      <c r="F463" s="802">
        <v>18131</v>
      </c>
      <c r="G463" s="802">
        <v>79375</v>
      </c>
      <c r="H463" s="802"/>
      <c r="I463" s="803">
        <v>1491.325</v>
      </c>
      <c r="J463" s="803">
        <v>69558</v>
      </c>
      <c r="K463" s="803">
        <v>5437</v>
      </c>
      <c r="L463" s="802">
        <v>14598</v>
      </c>
      <c r="M463" s="802"/>
      <c r="N463" s="803">
        <v>2781</v>
      </c>
      <c r="O463" s="803">
        <v>25674</v>
      </c>
      <c r="P463" s="803">
        <v>0</v>
      </c>
      <c r="Q463" s="802">
        <v>0</v>
      </c>
      <c r="R463" s="802"/>
      <c r="S463" s="803">
        <v>21216</v>
      </c>
      <c r="T463" s="804">
        <v>5296</v>
      </c>
      <c r="U463" s="804">
        <v>26512</v>
      </c>
    </row>
    <row r="464" spans="1:21" x14ac:dyDescent="0.25">
      <c r="A464" s="799">
        <v>94921</v>
      </c>
      <c r="B464" s="800" t="s">
        <v>3078</v>
      </c>
      <c r="C464" s="801">
        <v>3.7063E-3</v>
      </c>
      <c r="D464" s="801">
        <v>4.0699999999999998E-3</v>
      </c>
      <c r="E464" s="802">
        <v>1372917.85</v>
      </c>
      <c r="F464" s="802">
        <v>1826592</v>
      </c>
      <c r="G464" s="802">
        <v>7866010</v>
      </c>
      <c r="H464" s="802"/>
      <c r="I464" s="803">
        <v>147789</v>
      </c>
      <c r="J464" s="803">
        <v>6893132</v>
      </c>
      <c r="K464" s="803">
        <v>538751</v>
      </c>
      <c r="L464" s="802">
        <v>0</v>
      </c>
      <c r="M464" s="802"/>
      <c r="N464" s="803">
        <v>275634</v>
      </c>
      <c r="O464" s="803">
        <v>2544219</v>
      </c>
      <c r="P464" s="803">
        <v>0</v>
      </c>
      <c r="Q464" s="802">
        <v>505665</v>
      </c>
      <c r="R464" s="802"/>
      <c r="S464" s="803">
        <v>2102469</v>
      </c>
      <c r="T464" s="804">
        <v>-155426</v>
      </c>
      <c r="U464" s="804">
        <v>1947043</v>
      </c>
    </row>
    <row r="465" spans="1:21" x14ac:dyDescent="0.25">
      <c r="A465" s="799">
        <v>94923</v>
      </c>
      <c r="B465" s="800" t="s">
        <v>3079</v>
      </c>
      <c r="C465" s="801">
        <v>2.4499999999999999E-5</v>
      </c>
      <c r="D465" s="801">
        <v>2.9300000000000001E-5</v>
      </c>
      <c r="E465" s="802">
        <v>14094</v>
      </c>
      <c r="F465" s="802">
        <v>13150</v>
      </c>
      <c r="G465" s="802">
        <v>51997</v>
      </c>
      <c r="H465" s="802"/>
      <c r="I465" s="803">
        <v>976.9375</v>
      </c>
      <c r="J465" s="803">
        <v>45566</v>
      </c>
      <c r="K465" s="803">
        <v>3561</v>
      </c>
      <c r="L465" s="802">
        <v>1458</v>
      </c>
      <c r="M465" s="802"/>
      <c r="N465" s="803">
        <v>1822</v>
      </c>
      <c r="O465" s="803">
        <v>16818</v>
      </c>
      <c r="P465" s="803">
        <v>0</v>
      </c>
      <c r="Q465" s="802">
        <v>173</v>
      </c>
      <c r="R465" s="802"/>
      <c r="S465" s="803">
        <v>13898</v>
      </c>
      <c r="T465" s="804">
        <v>373</v>
      </c>
      <c r="U465" s="804">
        <v>14272</v>
      </c>
    </row>
    <row r="466" spans="1:21" x14ac:dyDescent="0.25">
      <c r="A466" s="799">
        <v>94927</v>
      </c>
      <c r="B466" s="800" t="s">
        <v>3080</v>
      </c>
      <c r="C466" s="801">
        <v>3.3899999999999997E-5</v>
      </c>
      <c r="D466" s="801">
        <v>3.2700000000000002E-5</v>
      </c>
      <c r="E466" s="802">
        <v>16597.12</v>
      </c>
      <c r="F466" s="802">
        <v>14676</v>
      </c>
      <c r="G466" s="802">
        <v>71947</v>
      </c>
      <c r="H466" s="802"/>
      <c r="I466" s="803">
        <v>1352</v>
      </c>
      <c r="J466" s="803">
        <v>63049</v>
      </c>
      <c r="K466" s="803">
        <v>4928</v>
      </c>
      <c r="L466" s="802">
        <v>3081</v>
      </c>
      <c r="M466" s="802"/>
      <c r="N466" s="803">
        <v>2521</v>
      </c>
      <c r="O466" s="803">
        <v>23271</v>
      </c>
      <c r="P466" s="803">
        <v>0</v>
      </c>
      <c r="Q466" s="802">
        <v>52</v>
      </c>
      <c r="R466" s="802"/>
      <c r="S466" s="803">
        <v>19230</v>
      </c>
      <c r="T466" s="804">
        <v>803</v>
      </c>
      <c r="U466" s="804">
        <v>20033</v>
      </c>
    </row>
    <row r="467" spans="1:21" x14ac:dyDescent="0.25">
      <c r="A467" s="799">
        <v>94931</v>
      </c>
      <c r="B467" s="800" t="s">
        <v>3081</v>
      </c>
      <c r="C467" s="801">
        <v>2.1130000000000001E-4</v>
      </c>
      <c r="D467" s="801">
        <v>2.4020000000000001E-4</v>
      </c>
      <c r="E467" s="802">
        <v>88195.43</v>
      </c>
      <c r="F467" s="802">
        <v>107800</v>
      </c>
      <c r="G467" s="802">
        <v>448449</v>
      </c>
      <c r="H467" s="802"/>
      <c r="I467" s="803">
        <v>8426</v>
      </c>
      <c r="J467" s="803">
        <v>392985</v>
      </c>
      <c r="K467" s="803">
        <v>30715</v>
      </c>
      <c r="L467" s="802">
        <v>0</v>
      </c>
      <c r="M467" s="802"/>
      <c r="N467" s="803">
        <v>15714</v>
      </c>
      <c r="O467" s="803">
        <v>145049</v>
      </c>
      <c r="P467" s="803">
        <v>0</v>
      </c>
      <c r="Q467" s="802">
        <v>23880</v>
      </c>
      <c r="R467" s="802"/>
      <c r="S467" s="803">
        <v>119864</v>
      </c>
      <c r="T467" s="804">
        <v>-8140</v>
      </c>
      <c r="U467" s="804">
        <v>111724</v>
      </c>
    </row>
    <row r="468" spans="1:21" x14ac:dyDescent="0.25">
      <c r="A468" s="799">
        <v>94941</v>
      </c>
      <c r="B468" s="800" t="s">
        <v>3082</v>
      </c>
      <c r="C468" s="801">
        <v>5.2959999999999997E-4</v>
      </c>
      <c r="D468" s="801">
        <v>5.0549999999999998E-4</v>
      </c>
      <c r="E468" s="802">
        <v>202001.05</v>
      </c>
      <c r="F468" s="802">
        <v>226865</v>
      </c>
      <c r="G468" s="802">
        <v>1123989</v>
      </c>
      <c r="H468" s="802"/>
      <c r="I468" s="803">
        <v>21117.8</v>
      </c>
      <c r="J468" s="803">
        <v>984972</v>
      </c>
      <c r="K468" s="803">
        <v>76983</v>
      </c>
      <c r="L468" s="802">
        <v>96457</v>
      </c>
      <c r="M468" s="802"/>
      <c r="N468" s="803">
        <v>39386</v>
      </c>
      <c r="O468" s="803">
        <v>363548</v>
      </c>
      <c r="P468" s="803">
        <v>0</v>
      </c>
      <c r="Q468" s="802">
        <v>0</v>
      </c>
      <c r="R468" s="802"/>
      <c r="S468" s="803">
        <v>300426</v>
      </c>
      <c r="T468" s="804">
        <v>42457</v>
      </c>
      <c r="U468" s="804">
        <v>342883</v>
      </c>
    </row>
    <row r="469" spans="1:21" x14ac:dyDescent="0.25">
      <c r="A469" s="799">
        <v>95001</v>
      </c>
      <c r="B469" s="800" t="s">
        <v>3083</v>
      </c>
      <c r="C469" s="801">
        <v>2.3779000000000001E-3</v>
      </c>
      <c r="D469" s="801">
        <v>2.3674E-3</v>
      </c>
      <c r="E469" s="802">
        <v>1026879.06</v>
      </c>
      <c r="F469" s="802">
        <v>1062475</v>
      </c>
      <c r="G469" s="802">
        <v>5046700</v>
      </c>
      <c r="H469" s="802"/>
      <c r="I469" s="803">
        <v>94819</v>
      </c>
      <c r="J469" s="803">
        <v>4422518</v>
      </c>
      <c r="K469" s="803">
        <v>345654</v>
      </c>
      <c r="L469" s="802">
        <v>86860</v>
      </c>
      <c r="M469" s="802"/>
      <c r="N469" s="803">
        <v>176842</v>
      </c>
      <c r="O469" s="803">
        <v>1632328</v>
      </c>
      <c r="P469" s="803">
        <v>0</v>
      </c>
      <c r="Q469" s="802">
        <v>8022</v>
      </c>
      <c r="R469" s="802"/>
      <c r="S469" s="803">
        <v>1348909</v>
      </c>
      <c r="T469" s="804">
        <v>22510</v>
      </c>
      <c r="U469" s="804">
        <v>1371419</v>
      </c>
    </row>
    <row r="470" spans="1:21" x14ac:dyDescent="0.25">
      <c r="A470" s="799">
        <v>95002</v>
      </c>
      <c r="B470" s="800" t="s">
        <v>3084</v>
      </c>
      <c r="C470" s="801">
        <v>2.0120000000000001E-4</v>
      </c>
      <c r="D470" s="801">
        <v>1.919E-4</v>
      </c>
      <c r="E470" s="802">
        <v>91760.39</v>
      </c>
      <c r="F470" s="802">
        <v>86124</v>
      </c>
      <c r="G470" s="802">
        <v>427014</v>
      </c>
      <c r="H470" s="802"/>
      <c r="I470" s="803">
        <v>8022.85</v>
      </c>
      <c r="J470" s="803">
        <v>374200</v>
      </c>
      <c r="K470" s="803">
        <v>29247</v>
      </c>
      <c r="L470" s="802">
        <v>17432</v>
      </c>
      <c r="M470" s="802"/>
      <c r="N470" s="803">
        <v>14963</v>
      </c>
      <c r="O470" s="803">
        <v>138115</v>
      </c>
      <c r="P470" s="803">
        <v>0</v>
      </c>
      <c r="Q470" s="802">
        <v>0</v>
      </c>
      <c r="R470" s="802"/>
      <c r="S470" s="803">
        <v>114135</v>
      </c>
      <c r="T470" s="804">
        <v>5391</v>
      </c>
      <c r="U470" s="804">
        <v>119526</v>
      </c>
    </row>
    <row r="471" spans="1:21" x14ac:dyDescent="0.25">
      <c r="A471" s="799">
        <v>95005</v>
      </c>
      <c r="B471" s="800" t="s">
        <v>3085</v>
      </c>
      <c r="C471" s="801">
        <v>2.3829999999999999E-4</v>
      </c>
      <c r="D471" s="801">
        <v>2.4499999999999999E-4</v>
      </c>
      <c r="E471" s="802">
        <v>102067</v>
      </c>
      <c r="F471" s="802">
        <v>109954.53</v>
      </c>
      <c r="G471" s="802">
        <v>505752</v>
      </c>
      <c r="H471" s="802"/>
      <c r="I471" s="803">
        <v>9502</v>
      </c>
      <c r="J471" s="803">
        <v>443200</v>
      </c>
      <c r="K471" s="803">
        <v>34640</v>
      </c>
      <c r="L471" s="802">
        <v>23207</v>
      </c>
      <c r="M471" s="802"/>
      <c r="N471" s="803">
        <v>17722</v>
      </c>
      <c r="O471" s="803">
        <v>163583</v>
      </c>
      <c r="P471" s="803">
        <v>0</v>
      </c>
      <c r="Q471" s="802">
        <v>399</v>
      </c>
      <c r="R471" s="802"/>
      <c r="S471" s="803">
        <v>135180</v>
      </c>
      <c r="T471" s="804">
        <v>9376</v>
      </c>
      <c r="U471" s="804">
        <v>144556</v>
      </c>
    </row>
    <row r="472" spans="1:21" x14ac:dyDescent="0.25">
      <c r="A472" s="799">
        <v>95008</v>
      </c>
      <c r="B472" s="800" t="s">
        <v>3086</v>
      </c>
      <c r="C472" s="801">
        <v>1.169E-4</v>
      </c>
      <c r="D472" s="801">
        <v>1.3669999999999999E-4</v>
      </c>
      <c r="E472" s="802">
        <v>50977.440000000002</v>
      </c>
      <c r="F472" s="802">
        <v>61350</v>
      </c>
      <c r="G472" s="802">
        <v>248101</v>
      </c>
      <c r="H472" s="802"/>
      <c r="I472" s="803">
        <v>4661</v>
      </c>
      <c r="J472" s="803">
        <v>217416</v>
      </c>
      <c r="K472" s="803">
        <v>16993</v>
      </c>
      <c r="L472" s="802">
        <v>21945</v>
      </c>
      <c r="M472" s="802"/>
      <c r="N472" s="803">
        <v>8694</v>
      </c>
      <c r="O472" s="803">
        <v>80247</v>
      </c>
      <c r="P472" s="803">
        <v>0</v>
      </c>
      <c r="Q472" s="802">
        <v>8420</v>
      </c>
      <c r="R472" s="802"/>
      <c r="S472" s="803">
        <v>66314</v>
      </c>
      <c r="T472" s="804">
        <v>7393</v>
      </c>
      <c r="U472" s="804">
        <v>73707</v>
      </c>
    </row>
    <row r="473" spans="1:21" x14ac:dyDescent="0.25">
      <c r="A473" s="799">
        <v>95009</v>
      </c>
      <c r="B473" s="800" t="s">
        <v>3087</v>
      </c>
      <c r="C473" s="801">
        <v>3.9902000000000002E-3</v>
      </c>
      <c r="D473" s="801">
        <v>3.614E-3</v>
      </c>
      <c r="E473" s="802">
        <v>1651705</v>
      </c>
      <c r="F473" s="802">
        <v>1621942</v>
      </c>
      <c r="G473" s="802">
        <v>8468541</v>
      </c>
      <c r="H473" s="802"/>
      <c r="I473" s="803">
        <v>159109</v>
      </c>
      <c r="J473" s="803">
        <v>7421142</v>
      </c>
      <c r="K473" s="803">
        <v>580019</v>
      </c>
      <c r="L473" s="802">
        <v>1306132</v>
      </c>
      <c r="M473" s="802"/>
      <c r="N473" s="803">
        <v>296747</v>
      </c>
      <c r="O473" s="803">
        <v>2739105</v>
      </c>
      <c r="P473" s="803">
        <v>0</v>
      </c>
      <c r="Q473" s="802">
        <v>0</v>
      </c>
      <c r="R473" s="802"/>
      <c r="S473" s="803">
        <v>2263517</v>
      </c>
      <c r="T473" s="804">
        <v>547444</v>
      </c>
      <c r="U473" s="804">
        <v>2810961</v>
      </c>
    </row>
    <row r="474" spans="1:21" x14ac:dyDescent="0.25">
      <c r="A474" s="799">
        <v>95011</v>
      </c>
      <c r="B474" s="800" t="s">
        <v>3088</v>
      </c>
      <c r="C474" s="801">
        <v>1.707E-4</v>
      </c>
      <c r="D474" s="801">
        <v>1.8760000000000001E-4</v>
      </c>
      <c r="E474" s="802">
        <v>71948</v>
      </c>
      <c r="F474" s="802">
        <v>84194</v>
      </c>
      <c r="G474" s="802">
        <v>362283</v>
      </c>
      <c r="H474" s="802"/>
      <c r="I474" s="803">
        <v>6807</v>
      </c>
      <c r="J474" s="803">
        <v>317475</v>
      </c>
      <c r="K474" s="803">
        <v>24813</v>
      </c>
      <c r="L474" s="802">
        <v>0</v>
      </c>
      <c r="M474" s="802"/>
      <c r="N474" s="803">
        <v>12695</v>
      </c>
      <c r="O474" s="803">
        <v>117178</v>
      </c>
      <c r="P474" s="803">
        <v>0</v>
      </c>
      <c r="Q474" s="802">
        <v>13568</v>
      </c>
      <c r="R474" s="802"/>
      <c r="S474" s="803">
        <v>96833</v>
      </c>
      <c r="T474" s="804">
        <v>-4659</v>
      </c>
      <c r="U474" s="804">
        <v>92174</v>
      </c>
    </row>
    <row r="475" spans="1:21" x14ac:dyDescent="0.25">
      <c r="A475" s="799">
        <v>95017</v>
      </c>
      <c r="B475" s="800" t="s">
        <v>3089</v>
      </c>
      <c r="C475" s="801">
        <v>3.5800000000000003E-5</v>
      </c>
      <c r="D475" s="801">
        <v>3.9900000000000001E-5</v>
      </c>
      <c r="E475" s="802">
        <v>21743.88</v>
      </c>
      <c r="F475" s="802">
        <v>17907</v>
      </c>
      <c r="G475" s="802">
        <v>75980</v>
      </c>
      <c r="H475" s="802"/>
      <c r="I475" s="803">
        <v>1427.5250000000001</v>
      </c>
      <c r="J475" s="803">
        <v>66582</v>
      </c>
      <c r="K475" s="803">
        <v>5204</v>
      </c>
      <c r="L475" s="802">
        <v>20942</v>
      </c>
      <c r="M475" s="802"/>
      <c r="N475" s="803">
        <v>2662</v>
      </c>
      <c r="O475" s="803">
        <v>24575</v>
      </c>
      <c r="P475" s="803">
        <v>0</v>
      </c>
      <c r="Q475" s="802">
        <v>0</v>
      </c>
      <c r="R475" s="802"/>
      <c r="S475" s="803">
        <v>20308</v>
      </c>
      <c r="T475" s="804">
        <v>7629</v>
      </c>
      <c r="U475" s="804">
        <v>27937</v>
      </c>
    </row>
    <row r="476" spans="1:21" x14ac:dyDescent="0.25">
      <c r="A476" s="799">
        <v>95101</v>
      </c>
      <c r="B476" s="800" t="s">
        <v>3090</v>
      </c>
      <c r="C476" s="801">
        <v>8.0955999999999997E-3</v>
      </c>
      <c r="D476" s="801">
        <v>7.8796000000000005E-3</v>
      </c>
      <c r="E476" s="802">
        <v>3063500.72</v>
      </c>
      <c r="F476" s="802">
        <v>3536317</v>
      </c>
      <c r="G476" s="802">
        <v>17181575</v>
      </c>
      <c r="H476" s="802"/>
      <c r="I476" s="803">
        <v>322812.05</v>
      </c>
      <c r="J476" s="803">
        <v>15056537</v>
      </c>
      <c r="K476" s="803">
        <v>1176785</v>
      </c>
      <c r="L476" s="802">
        <v>77016</v>
      </c>
      <c r="M476" s="802"/>
      <c r="N476" s="803">
        <v>602062</v>
      </c>
      <c r="O476" s="803">
        <v>5557289</v>
      </c>
      <c r="P476" s="803">
        <v>0</v>
      </c>
      <c r="Q476" s="802">
        <v>94065</v>
      </c>
      <c r="R476" s="802"/>
      <c r="S476" s="803">
        <v>4592383</v>
      </c>
      <c r="T476" s="804">
        <v>13084</v>
      </c>
      <c r="U476" s="804">
        <v>4605467</v>
      </c>
    </row>
    <row r="477" spans="1:21" x14ac:dyDescent="0.25">
      <c r="A477" s="799">
        <v>95103</v>
      </c>
      <c r="B477" s="800" t="s">
        <v>3091</v>
      </c>
      <c r="C477" s="801">
        <v>6.02E-5</v>
      </c>
      <c r="D477" s="801">
        <v>5.91E-5</v>
      </c>
      <c r="E477" s="802">
        <v>34084</v>
      </c>
      <c r="F477" s="802">
        <v>26524</v>
      </c>
      <c r="G477" s="802">
        <v>127765</v>
      </c>
      <c r="H477" s="802"/>
      <c r="I477" s="803">
        <v>2400.4749999999999</v>
      </c>
      <c r="J477" s="803">
        <v>111962</v>
      </c>
      <c r="K477" s="803">
        <v>8751</v>
      </c>
      <c r="L477" s="802">
        <v>41064</v>
      </c>
      <c r="M477" s="802"/>
      <c r="N477" s="803">
        <v>4477</v>
      </c>
      <c r="O477" s="803">
        <v>41325</v>
      </c>
      <c r="P477" s="803">
        <v>0</v>
      </c>
      <c r="Q477" s="802">
        <v>0</v>
      </c>
      <c r="R477" s="802"/>
      <c r="S477" s="803">
        <v>34150</v>
      </c>
      <c r="T477" s="804">
        <v>17815</v>
      </c>
      <c r="U477" s="804">
        <v>51965</v>
      </c>
    </row>
    <row r="478" spans="1:21" x14ac:dyDescent="0.25">
      <c r="A478" s="799">
        <v>95104</v>
      </c>
      <c r="B478" s="800" t="s">
        <v>3092</v>
      </c>
      <c r="C478" s="801">
        <v>1.011E-4</v>
      </c>
      <c r="D478" s="801">
        <v>1.022E-4</v>
      </c>
      <c r="E478" s="802">
        <v>48495.61</v>
      </c>
      <c r="F478" s="802">
        <v>45867</v>
      </c>
      <c r="G478" s="802">
        <v>214568</v>
      </c>
      <c r="H478" s="802"/>
      <c r="I478" s="803">
        <v>4031</v>
      </c>
      <c r="J478" s="803">
        <v>188030</v>
      </c>
      <c r="K478" s="803">
        <v>14696</v>
      </c>
      <c r="L478" s="802">
        <v>18344</v>
      </c>
      <c r="M478" s="802"/>
      <c r="N478" s="803">
        <v>7519</v>
      </c>
      <c r="O478" s="803">
        <v>69401</v>
      </c>
      <c r="P478" s="803">
        <v>0</v>
      </c>
      <c r="Q478" s="802">
        <v>0</v>
      </c>
      <c r="R478" s="802"/>
      <c r="S478" s="803">
        <v>57351</v>
      </c>
      <c r="T478" s="804">
        <v>6442</v>
      </c>
      <c r="U478" s="804">
        <v>63793</v>
      </c>
    </row>
    <row r="479" spans="1:21" x14ac:dyDescent="0.25">
      <c r="A479" s="799">
        <v>95105</v>
      </c>
      <c r="B479" s="800" t="s">
        <v>3093</v>
      </c>
      <c r="C479" s="801">
        <v>6.3700000000000003E-5</v>
      </c>
      <c r="D479" s="801">
        <v>6.2199999999999994E-5</v>
      </c>
      <c r="E479" s="802">
        <v>28734</v>
      </c>
      <c r="F479" s="802">
        <v>27915</v>
      </c>
      <c r="G479" s="802">
        <v>135193</v>
      </c>
      <c r="H479" s="802"/>
      <c r="I479" s="803">
        <v>2540</v>
      </c>
      <c r="J479" s="803">
        <v>118472</v>
      </c>
      <c r="K479" s="803">
        <v>9259</v>
      </c>
      <c r="L479" s="802">
        <v>9013</v>
      </c>
      <c r="M479" s="802"/>
      <c r="N479" s="803">
        <v>4737</v>
      </c>
      <c r="O479" s="803">
        <v>43727</v>
      </c>
      <c r="P479" s="803">
        <v>0</v>
      </c>
      <c r="Q479" s="802">
        <v>0</v>
      </c>
      <c r="R479" s="802"/>
      <c r="S479" s="803">
        <v>36135</v>
      </c>
      <c r="T479" s="804">
        <v>3391</v>
      </c>
      <c r="U479" s="804">
        <v>39526</v>
      </c>
    </row>
    <row r="480" spans="1:21" x14ac:dyDescent="0.25">
      <c r="A480" s="799">
        <v>95106</v>
      </c>
      <c r="B480" s="800" t="s">
        <v>3094</v>
      </c>
      <c r="C480" s="801">
        <v>1.3900000000000001E-5</v>
      </c>
      <c r="D480" s="801">
        <v>5.9000000000000003E-6</v>
      </c>
      <c r="E480" s="802">
        <v>4209.76</v>
      </c>
      <c r="F480" s="802">
        <v>2648</v>
      </c>
      <c r="G480" s="802">
        <v>29500</v>
      </c>
      <c r="H480" s="802"/>
      <c r="I480" s="803">
        <v>554</v>
      </c>
      <c r="J480" s="803">
        <v>25852</v>
      </c>
      <c r="K480" s="803">
        <v>2021</v>
      </c>
      <c r="L480" s="802">
        <v>7510</v>
      </c>
      <c r="M480" s="802"/>
      <c r="N480" s="803">
        <v>1034</v>
      </c>
      <c r="O480" s="803">
        <v>9542</v>
      </c>
      <c r="P480" s="803">
        <v>0</v>
      </c>
      <c r="Q480" s="802">
        <v>0</v>
      </c>
      <c r="R480" s="802"/>
      <c r="S480" s="803">
        <v>7885</v>
      </c>
      <c r="T480" s="804">
        <v>2593</v>
      </c>
      <c r="U480" s="804">
        <v>10478</v>
      </c>
    </row>
    <row r="481" spans="1:21" x14ac:dyDescent="0.25">
      <c r="A481" s="799">
        <v>95110</v>
      </c>
      <c r="B481" s="800" t="s">
        <v>3095</v>
      </c>
      <c r="C481" s="801">
        <v>4.4609000000000003E-3</v>
      </c>
      <c r="D481" s="801">
        <v>5.5170000000000002E-3</v>
      </c>
      <c r="E481" s="802">
        <v>1868606.24</v>
      </c>
      <c r="F481" s="802">
        <v>2475996</v>
      </c>
      <c r="G481" s="802">
        <v>9467524</v>
      </c>
      <c r="H481" s="802"/>
      <c r="I481" s="803">
        <v>177878</v>
      </c>
      <c r="J481" s="803">
        <v>8296569</v>
      </c>
      <c r="K481" s="803">
        <v>648441</v>
      </c>
      <c r="L481" s="802">
        <v>0</v>
      </c>
      <c r="M481" s="802"/>
      <c r="N481" s="803">
        <v>331753</v>
      </c>
      <c r="O481" s="803">
        <v>3062220</v>
      </c>
      <c r="P481" s="803">
        <v>0</v>
      </c>
      <c r="Q481" s="802">
        <v>1586204</v>
      </c>
      <c r="R481" s="802"/>
      <c r="S481" s="803">
        <v>2530530</v>
      </c>
      <c r="T481" s="804">
        <v>-606775</v>
      </c>
      <c r="U481" s="804">
        <v>1923756</v>
      </c>
    </row>
    <row r="482" spans="1:21" x14ac:dyDescent="0.25">
      <c r="A482" s="799">
        <v>95111</v>
      </c>
      <c r="B482" s="800" t="s">
        <v>3096</v>
      </c>
      <c r="C482" s="801">
        <v>1.0709000000000001E-3</v>
      </c>
      <c r="D482" s="801">
        <v>1.1418999999999999E-3</v>
      </c>
      <c r="E482" s="802">
        <v>392359.07</v>
      </c>
      <c r="F482" s="802">
        <v>512478</v>
      </c>
      <c r="G482" s="802">
        <v>2272809</v>
      </c>
      <c r="H482" s="802"/>
      <c r="I482" s="803">
        <v>42702</v>
      </c>
      <c r="J482" s="803">
        <v>1991705</v>
      </c>
      <c r="K482" s="803">
        <v>155667</v>
      </c>
      <c r="L482" s="802">
        <v>0</v>
      </c>
      <c r="M482" s="802"/>
      <c r="N482" s="803">
        <v>79642</v>
      </c>
      <c r="O482" s="803">
        <v>735128</v>
      </c>
      <c r="P482" s="803">
        <v>0</v>
      </c>
      <c r="Q482" s="802">
        <v>161003</v>
      </c>
      <c r="R482" s="802"/>
      <c r="S482" s="803">
        <v>607488</v>
      </c>
      <c r="T482" s="804">
        <v>-55722</v>
      </c>
      <c r="U482" s="804">
        <v>551766</v>
      </c>
    </row>
    <row r="483" spans="1:21" x14ac:dyDescent="0.25">
      <c r="A483" s="799">
        <v>95113</v>
      </c>
      <c r="B483" s="800" t="s">
        <v>3097</v>
      </c>
      <c r="C483" s="801">
        <v>4.7500000000000003E-5</v>
      </c>
      <c r="D483" s="801">
        <v>4.4299999999999999E-5</v>
      </c>
      <c r="E483" s="802">
        <v>62344</v>
      </c>
      <c r="F483" s="802">
        <v>19882</v>
      </c>
      <c r="G483" s="802">
        <v>100811</v>
      </c>
      <c r="H483" s="802"/>
      <c r="I483" s="803">
        <v>1894.0625</v>
      </c>
      <c r="J483" s="803">
        <v>88342</v>
      </c>
      <c r="K483" s="803">
        <v>6905</v>
      </c>
      <c r="L483" s="802">
        <v>69845</v>
      </c>
      <c r="M483" s="802"/>
      <c r="N483" s="803">
        <v>3533</v>
      </c>
      <c r="O483" s="803">
        <v>32607</v>
      </c>
      <c r="P483" s="803">
        <v>0</v>
      </c>
      <c r="Q483" s="802">
        <v>0</v>
      </c>
      <c r="R483" s="802"/>
      <c r="S483" s="803">
        <v>26945</v>
      </c>
      <c r="T483" s="804">
        <v>22543</v>
      </c>
      <c r="U483" s="804">
        <v>49489</v>
      </c>
    </row>
    <row r="484" spans="1:21" x14ac:dyDescent="0.25">
      <c r="A484" s="799">
        <v>95121</v>
      </c>
      <c r="B484" s="800" t="s">
        <v>3098</v>
      </c>
      <c r="C484" s="801">
        <v>4.9580000000000002E-4</v>
      </c>
      <c r="D484" s="801">
        <v>4.7540000000000001E-4</v>
      </c>
      <c r="E484" s="802">
        <v>201528.43</v>
      </c>
      <c r="F484" s="802">
        <v>213357</v>
      </c>
      <c r="G484" s="802">
        <v>1052254</v>
      </c>
      <c r="H484" s="802"/>
      <c r="I484" s="803">
        <v>19770</v>
      </c>
      <c r="J484" s="803">
        <v>922110</v>
      </c>
      <c r="K484" s="803">
        <v>72070</v>
      </c>
      <c r="L484" s="802">
        <v>18227</v>
      </c>
      <c r="M484" s="802"/>
      <c r="N484" s="803">
        <v>36872</v>
      </c>
      <c r="O484" s="803">
        <v>340346</v>
      </c>
      <c r="P484" s="803">
        <v>0</v>
      </c>
      <c r="Q484" s="802">
        <v>25446.13</v>
      </c>
      <c r="R484" s="802"/>
      <c r="S484" s="803">
        <v>281252</v>
      </c>
      <c r="T484" s="804">
        <v>-7200</v>
      </c>
      <c r="U484" s="804">
        <v>274052</v>
      </c>
    </row>
    <row r="485" spans="1:21" x14ac:dyDescent="0.25">
      <c r="A485" s="799">
        <v>95122</v>
      </c>
      <c r="B485" s="800" t="s">
        <v>3099</v>
      </c>
      <c r="C485" s="801">
        <v>2.7999999999999999E-6</v>
      </c>
      <c r="D485" s="801">
        <v>3.3000000000000002E-6</v>
      </c>
      <c r="E485" s="802">
        <v>2740.07</v>
      </c>
      <c r="F485" s="802">
        <v>1481</v>
      </c>
      <c r="G485" s="802">
        <v>5943</v>
      </c>
      <c r="H485" s="802"/>
      <c r="I485" s="803">
        <v>112</v>
      </c>
      <c r="J485" s="803">
        <v>5208</v>
      </c>
      <c r="K485" s="803">
        <v>407</v>
      </c>
      <c r="L485" s="802">
        <v>1558</v>
      </c>
      <c r="M485" s="802"/>
      <c r="N485" s="803">
        <v>208</v>
      </c>
      <c r="O485" s="803">
        <v>1922</v>
      </c>
      <c r="P485" s="803">
        <v>0</v>
      </c>
      <c r="Q485" s="802">
        <v>0</v>
      </c>
      <c r="R485" s="802"/>
      <c r="S485" s="803">
        <v>1588</v>
      </c>
      <c r="T485" s="804">
        <v>459</v>
      </c>
      <c r="U485" s="804">
        <v>2048</v>
      </c>
    </row>
    <row r="486" spans="1:21" x14ac:dyDescent="0.25">
      <c r="A486" s="799">
        <v>95123</v>
      </c>
      <c r="B486" s="800" t="s">
        <v>3100</v>
      </c>
      <c r="C486" s="801">
        <v>5.6700000000000003E-5</v>
      </c>
      <c r="D486" s="801">
        <v>5.1199999999999998E-5</v>
      </c>
      <c r="E486" s="802">
        <v>25666.18</v>
      </c>
      <c r="F486" s="802">
        <v>22978</v>
      </c>
      <c r="G486" s="802">
        <v>120336</v>
      </c>
      <c r="H486" s="802"/>
      <c r="I486" s="803">
        <v>2261</v>
      </c>
      <c r="J486" s="803">
        <v>105453</v>
      </c>
      <c r="K486" s="803">
        <v>8242</v>
      </c>
      <c r="L486" s="802">
        <v>8689</v>
      </c>
      <c r="M486" s="802"/>
      <c r="N486" s="803">
        <v>4217</v>
      </c>
      <c r="O486" s="803">
        <v>38922</v>
      </c>
      <c r="P486" s="803">
        <v>0</v>
      </c>
      <c r="Q486" s="802">
        <v>2933.26</v>
      </c>
      <c r="R486" s="802"/>
      <c r="S486" s="803">
        <v>32164</v>
      </c>
      <c r="T486" s="804">
        <v>1144</v>
      </c>
      <c r="U486" s="804">
        <v>33309</v>
      </c>
    </row>
    <row r="487" spans="1:21" x14ac:dyDescent="0.25">
      <c r="A487" s="799">
        <v>95131</v>
      </c>
      <c r="B487" s="800" t="s">
        <v>3101</v>
      </c>
      <c r="C487" s="801">
        <v>1.5451E-3</v>
      </c>
      <c r="D487" s="801">
        <v>1.4713E-3</v>
      </c>
      <c r="E487" s="802">
        <v>607661.46</v>
      </c>
      <c r="F487" s="802">
        <v>660311</v>
      </c>
      <c r="G487" s="802">
        <v>3279220</v>
      </c>
      <c r="H487" s="802"/>
      <c r="I487" s="803">
        <v>61611</v>
      </c>
      <c r="J487" s="803">
        <v>2873642</v>
      </c>
      <c r="K487" s="803">
        <v>224597</v>
      </c>
      <c r="L487" s="802">
        <v>53573</v>
      </c>
      <c r="M487" s="802"/>
      <c r="N487" s="803">
        <v>114908</v>
      </c>
      <c r="O487" s="803">
        <v>1060646</v>
      </c>
      <c r="P487" s="803">
        <v>0</v>
      </c>
      <c r="Q487" s="802">
        <v>1701</v>
      </c>
      <c r="R487" s="802"/>
      <c r="S487" s="803">
        <v>876487</v>
      </c>
      <c r="T487" s="804">
        <v>16429</v>
      </c>
      <c r="U487" s="804">
        <v>892916</v>
      </c>
    </row>
    <row r="488" spans="1:21" x14ac:dyDescent="0.25">
      <c r="A488" s="799">
        <v>95141</v>
      </c>
      <c r="B488" s="800" t="s">
        <v>3102</v>
      </c>
      <c r="C488" s="801">
        <v>3.1819999999999998E-4</v>
      </c>
      <c r="D488" s="801">
        <v>2.99E-4</v>
      </c>
      <c r="E488" s="802">
        <v>115455.16</v>
      </c>
      <c r="F488" s="802">
        <v>134189</v>
      </c>
      <c r="G488" s="802">
        <v>675327</v>
      </c>
      <c r="H488" s="802"/>
      <c r="I488" s="803">
        <v>12688</v>
      </c>
      <c r="J488" s="803">
        <v>591802</v>
      </c>
      <c r="K488" s="803">
        <v>46254</v>
      </c>
      <c r="L488" s="802">
        <v>2515.36</v>
      </c>
      <c r="M488" s="802"/>
      <c r="N488" s="803">
        <v>23664</v>
      </c>
      <c r="O488" s="803">
        <v>218431</v>
      </c>
      <c r="P488" s="803">
        <v>0</v>
      </c>
      <c r="Q488" s="802">
        <v>28114</v>
      </c>
      <c r="R488" s="802"/>
      <c r="S488" s="803">
        <v>180505</v>
      </c>
      <c r="T488" s="804">
        <v>-8530</v>
      </c>
      <c r="U488" s="804">
        <v>171975</v>
      </c>
    </row>
    <row r="489" spans="1:21" x14ac:dyDescent="0.25">
      <c r="A489" s="799">
        <v>95151</v>
      </c>
      <c r="B489" s="800" t="s">
        <v>3103</v>
      </c>
      <c r="C489" s="801">
        <v>1.158E-4</v>
      </c>
      <c r="D489" s="801">
        <v>1.05E-4</v>
      </c>
      <c r="E489" s="802">
        <v>39583.1</v>
      </c>
      <c r="F489" s="802">
        <v>47123.37</v>
      </c>
      <c r="G489" s="802">
        <v>245766</v>
      </c>
      <c r="H489" s="802"/>
      <c r="I489" s="803">
        <v>4618</v>
      </c>
      <c r="J489" s="803">
        <v>215370</v>
      </c>
      <c r="K489" s="803">
        <v>16833</v>
      </c>
      <c r="L489" s="802">
        <v>732.32</v>
      </c>
      <c r="M489" s="802"/>
      <c r="N489" s="803">
        <v>8612</v>
      </c>
      <c r="O489" s="803">
        <v>79492</v>
      </c>
      <c r="P489" s="803">
        <v>0</v>
      </c>
      <c r="Q489" s="802">
        <v>5502</v>
      </c>
      <c r="R489" s="802"/>
      <c r="S489" s="803">
        <v>65690</v>
      </c>
      <c r="T489" s="804">
        <v>-1532</v>
      </c>
      <c r="U489" s="804">
        <v>64158</v>
      </c>
    </row>
    <row r="490" spans="1:21" x14ac:dyDescent="0.25">
      <c r="A490" s="799">
        <v>95161</v>
      </c>
      <c r="B490" s="800" t="s">
        <v>3104</v>
      </c>
      <c r="C490" s="801">
        <v>7.4800000000000002E-5</v>
      </c>
      <c r="D490" s="801">
        <v>7.0599999999999995E-5</v>
      </c>
      <c r="E490" s="802">
        <v>34992</v>
      </c>
      <c r="F490" s="802">
        <v>31685</v>
      </c>
      <c r="G490" s="802">
        <v>158751</v>
      </c>
      <c r="H490" s="802"/>
      <c r="I490" s="803">
        <v>2982.65</v>
      </c>
      <c r="J490" s="803">
        <v>139116</v>
      </c>
      <c r="K490" s="803">
        <v>10873</v>
      </c>
      <c r="L490" s="802">
        <v>6290</v>
      </c>
      <c r="M490" s="802"/>
      <c r="N490" s="803">
        <v>5563</v>
      </c>
      <c r="O490" s="803">
        <v>51347</v>
      </c>
      <c r="P490" s="803">
        <v>0</v>
      </c>
      <c r="Q490" s="802">
        <v>2096</v>
      </c>
      <c r="R490" s="802"/>
      <c r="S490" s="803">
        <v>42432</v>
      </c>
      <c r="T490" s="804">
        <v>1046</v>
      </c>
      <c r="U490" s="804">
        <v>43477</v>
      </c>
    </row>
    <row r="491" spans="1:21" x14ac:dyDescent="0.25">
      <c r="A491" s="799">
        <v>95171</v>
      </c>
      <c r="B491" s="800" t="s">
        <v>3105</v>
      </c>
      <c r="C491" s="801">
        <v>1.2300000000000001E-4</v>
      </c>
      <c r="D491" s="801">
        <v>1.2740000000000001E-4</v>
      </c>
      <c r="E491" s="802">
        <v>48393.279999999999</v>
      </c>
      <c r="F491" s="802">
        <v>57176</v>
      </c>
      <c r="G491" s="802">
        <v>261047</v>
      </c>
      <c r="H491" s="802"/>
      <c r="I491" s="803">
        <v>4904.625</v>
      </c>
      <c r="J491" s="803">
        <v>228761</v>
      </c>
      <c r="K491" s="803">
        <v>17879</v>
      </c>
      <c r="L491" s="802">
        <v>10389</v>
      </c>
      <c r="M491" s="802"/>
      <c r="N491" s="803">
        <v>9147</v>
      </c>
      <c r="O491" s="803">
        <v>84434</v>
      </c>
      <c r="P491" s="803">
        <v>0</v>
      </c>
      <c r="Q491" s="802">
        <v>12793</v>
      </c>
      <c r="R491" s="802"/>
      <c r="S491" s="803">
        <v>69774</v>
      </c>
      <c r="T491" s="804">
        <v>-1741</v>
      </c>
      <c r="U491" s="804">
        <v>68033</v>
      </c>
    </row>
    <row r="492" spans="1:21" x14ac:dyDescent="0.25">
      <c r="A492" s="799">
        <v>95181</v>
      </c>
      <c r="B492" s="800" t="s">
        <v>3106</v>
      </c>
      <c r="C492" s="801">
        <v>7.7899999999999996E-5</v>
      </c>
      <c r="D492" s="801">
        <v>8.0400000000000003E-5</v>
      </c>
      <c r="E492" s="802">
        <v>26255</v>
      </c>
      <c r="F492" s="802">
        <v>36083</v>
      </c>
      <c r="G492" s="802">
        <v>165330</v>
      </c>
      <c r="H492" s="802"/>
      <c r="I492" s="803">
        <v>3106</v>
      </c>
      <c r="J492" s="803">
        <v>144882</v>
      </c>
      <c r="K492" s="803">
        <v>11324</v>
      </c>
      <c r="L492" s="802">
        <v>1657</v>
      </c>
      <c r="M492" s="802"/>
      <c r="N492" s="803">
        <v>5793</v>
      </c>
      <c r="O492" s="803">
        <v>53475</v>
      </c>
      <c r="P492" s="803">
        <v>0</v>
      </c>
      <c r="Q492" s="802">
        <v>6539</v>
      </c>
      <c r="R492" s="802"/>
      <c r="S492" s="803">
        <v>44190</v>
      </c>
      <c r="T492" s="804">
        <v>-1251</v>
      </c>
      <c r="U492" s="804">
        <v>42939</v>
      </c>
    </row>
    <row r="493" spans="1:21" x14ac:dyDescent="0.25">
      <c r="A493" s="799">
        <v>95191</v>
      </c>
      <c r="B493" s="800" t="s">
        <v>3107</v>
      </c>
      <c r="C493" s="801">
        <v>5.3999999999999998E-5</v>
      </c>
      <c r="D493" s="801">
        <v>7.9099999999999998E-5</v>
      </c>
      <c r="E493" s="802">
        <v>30331.53</v>
      </c>
      <c r="F493" s="802">
        <v>35500</v>
      </c>
      <c r="G493" s="802">
        <v>114606.09</v>
      </c>
      <c r="H493" s="802"/>
      <c r="I493" s="803">
        <v>2153.25</v>
      </c>
      <c r="J493" s="803">
        <v>100431</v>
      </c>
      <c r="K493" s="803">
        <v>7849</v>
      </c>
      <c r="L493" s="802">
        <v>12291</v>
      </c>
      <c r="M493" s="802"/>
      <c r="N493" s="803">
        <v>4016</v>
      </c>
      <c r="O493" s="803">
        <v>37069</v>
      </c>
      <c r="P493" s="803">
        <v>0</v>
      </c>
      <c r="Q493" s="802">
        <v>7144</v>
      </c>
      <c r="R493" s="802"/>
      <c r="S493" s="803">
        <v>30633</v>
      </c>
      <c r="T493" s="804">
        <v>3134</v>
      </c>
      <c r="U493" s="804">
        <v>33767</v>
      </c>
    </row>
    <row r="494" spans="1:21" x14ac:dyDescent="0.25">
      <c r="A494" s="799">
        <v>95201</v>
      </c>
      <c r="B494" s="800" t="s">
        <v>3108</v>
      </c>
      <c r="C494" s="801">
        <v>6.8329999999999997E-4</v>
      </c>
      <c r="D494" s="801">
        <v>6.3000000000000003E-4</v>
      </c>
      <c r="E494" s="802">
        <v>255294</v>
      </c>
      <c r="F494" s="802">
        <v>282740</v>
      </c>
      <c r="G494" s="802">
        <v>1450192</v>
      </c>
      <c r="H494" s="802"/>
      <c r="I494" s="803">
        <v>27247</v>
      </c>
      <c r="J494" s="803">
        <v>1270830</v>
      </c>
      <c r="K494" s="803">
        <v>99325</v>
      </c>
      <c r="L494" s="802">
        <v>8455</v>
      </c>
      <c r="M494" s="802"/>
      <c r="N494" s="803">
        <v>50816</v>
      </c>
      <c r="O494" s="803">
        <v>469057</v>
      </c>
      <c r="P494" s="803">
        <v>0</v>
      </c>
      <c r="Q494" s="802">
        <v>33064</v>
      </c>
      <c r="R494" s="802"/>
      <c r="S494" s="803">
        <v>387615</v>
      </c>
      <c r="T494" s="804">
        <v>-9716</v>
      </c>
      <c r="U494" s="804">
        <v>377899</v>
      </c>
    </row>
    <row r="495" spans="1:21" x14ac:dyDescent="0.25">
      <c r="A495" s="799">
        <v>95204</v>
      </c>
      <c r="B495" s="800" t="s">
        <v>3109</v>
      </c>
      <c r="C495" s="801">
        <v>1.1600000000000001E-5</v>
      </c>
      <c r="D495" s="801">
        <v>1.49E-5</v>
      </c>
      <c r="E495" s="802">
        <v>6020</v>
      </c>
      <c r="F495" s="802">
        <v>6687</v>
      </c>
      <c r="G495" s="802">
        <v>24619</v>
      </c>
      <c r="H495" s="802"/>
      <c r="I495" s="803">
        <v>462.55</v>
      </c>
      <c r="J495" s="803">
        <v>21574</v>
      </c>
      <c r="K495" s="803">
        <v>1686</v>
      </c>
      <c r="L495" s="802">
        <v>0</v>
      </c>
      <c r="M495" s="802"/>
      <c r="N495" s="803">
        <v>863</v>
      </c>
      <c r="O495" s="803">
        <v>7963</v>
      </c>
      <c r="P495" s="803">
        <v>0</v>
      </c>
      <c r="Q495" s="802">
        <v>1794</v>
      </c>
      <c r="R495" s="802"/>
      <c r="S495" s="803">
        <v>6580</v>
      </c>
      <c r="T495" s="804">
        <v>-651</v>
      </c>
      <c r="U495" s="804">
        <v>5930</v>
      </c>
    </row>
    <row r="496" spans="1:21" x14ac:dyDescent="0.25">
      <c r="A496" s="799">
        <v>95205</v>
      </c>
      <c r="B496" s="800" t="s">
        <v>3110</v>
      </c>
      <c r="C496" s="801">
        <v>4.7999999999999998E-6</v>
      </c>
      <c r="D496" s="801">
        <v>5.0000000000000004E-6</v>
      </c>
      <c r="E496" s="802">
        <v>2441</v>
      </c>
      <c r="F496" s="802">
        <v>2244</v>
      </c>
      <c r="G496" s="802">
        <v>10187</v>
      </c>
      <c r="H496" s="802"/>
      <c r="I496" s="803">
        <v>191</v>
      </c>
      <c r="J496" s="803">
        <v>8927</v>
      </c>
      <c r="K496" s="803">
        <v>698</v>
      </c>
      <c r="L496" s="802">
        <v>779</v>
      </c>
      <c r="M496" s="802"/>
      <c r="N496" s="803">
        <v>357</v>
      </c>
      <c r="O496" s="803">
        <v>3295</v>
      </c>
      <c r="P496" s="803">
        <v>0</v>
      </c>
      <c r="Q496" s="802">
        <v>0</v>
      </c>
      <c r="R496" s="802"/>
      <c r="S496" s="803">
        <v>2723</v>
      </c>
      <c r="T496" s="804">
        <v>284</v>
      </c>
      <c r="U496" s="804">
        <v>3007</v>
      </c>
    </row>
    <row r="497" spans="1:21" x14ac:dyDescent="0.25">
      <c r="A497" s="799">
        <v>95211</v>
      </c>
      <c r="B497" s="800" t="s">
        <v>3111</v>
      </c>
      <c r="C497" s="801">
        <v>9.2E-6</v>
      </c>
      <c r="D497" s="801">
        <v>5.9000000000000003E-6</v>
      </c>
      <c r="E497" s="802">
        <v>4005</v>
      </c>
      <c r="F497" s="802">
        <v>2648</v>
      </c>
      <c r="G497" s="802">
        <v>19525</v>
      </c>
      <c r="H497" s="802"/>
      <c r="I497" s="803">
        <v>366.85</v>
      </c>
      <c r="J497" s="803">
        <v>17111</v>
      </c>
      <c r="K497" s="803">
        <v>1337</v>
      </c>
      <c r="L497" s="802">
        <v>1964</v>
      </c>
      <c r="M497" s="802"/>
      <c r="N497" s="803">
        <v>684</v>
      </c>
      <c r="O497" s="803">
        <v>6315</v>
      </c>
      <c r="P497" s="803">
        <v>0</v>
      </c>
      <c r="Q497" s="802">
        <v>1957</v>
      </c>
      <c r="R497" s="802"/>
      <c r="S497" s="803">
        <v>5219</v>
      </c>
      <c r="T497" s="804">
        <v>-462</v>
      </c>
      <c r="U497" s="804">
        <v>4757</v>
      </c>
    </row>
    <row r="498" spans="1:21" x14ac:dyDescent="0.25">
      <c r="A498" s="799">
        <v>95221</v>
      </c>
      <c r="B498" s="800" t="s">
        <v>3112</v>
      </c>
      <c r="C498" s="801">
        <v>1.6900000000000001E-5</v>
      </c>
      <c r="D498" s="801">
        <v>4.5099999999999998E-5</v>
      </c>
      <c r="E498" s="802">
        <v>14058.05</v>
      </c>
      <c r="F498" s="802">
        <v>20241</v>
      </c>
      <c r="G498" s="802">
        <v>35867</v>
      </c>
      <c r="H498" s="802"/>
      <c r="I498" s="803">
        <v>673.88750000000005</v>
      </c>
      <c r="J498" s="803">
        <v>31431</v>
      </c>
      <c r="K498" s="803">
        <v>2457</v>
      </c>
      <c r="L498" s="802">
        <v>5443</v>
      </c>
      <c r="M498" s="802"/>
      <c r="N498" s="803">
        <v>1257</v>
      </c>
      <c r="O498" s="803">
        <v>11601</v>
      </c>
      <c r="P498" s="803">
        <v>0</v>
      </c>
      <c r="Q498" s="802">
        <v>16082</v>
      </c>
      <c r="R498" s="802"/>
      <c r="S498" s="803">
        <v>9587</v>
      </c>
      <c r="T498" s="804">
        <v>-2048</v>
      </c>
      <c r="U498" s="804">
        <v>7539</v>
      </c>
    </row>
    <row r="499" spans="1:21" x14ac:dyDescent="0.25">
      <c r="A499" s="799">
        <v>95301</v>
      </c>
      <c r="B499" s="800" t="s">
        <v>3113</v>
      </c>
      <c r="C499" s="801">
        <v>2.4063999999999999E-3</v>
      </c>
      <c r="D499" s="801">
        <v>2.3544E-3</v>
      </c>
      <c r="E499" s="802">
        <v>972446</v>
      </c>
      <c r="F499" s="802">
        <v>1056641</v>
      </c>
      <c r="G499" s="802">
        <v>5107187</v>
      </c>
      <c r="H499" s="802"/>
      <c r="I499" s="803">
        <v>95955.199999999997</v>
      </c>
      <c r="J499" s="803">
        <v>4475524</v>
      </c>
      <c r="K499" s="803">
        <v>349797</v>
      </c>
      <c r="L499" s="802">
        <v>72796</v>
      </c>
      <c r="M499" s="802"/>
      <c r="N499" s="803">
        <v>178962</v>
      </c>
      <c r="O499" s="803">
        <v>1651893</v>
      </c>
      <c r="P499" s="803">
        <v>0</v>
      </c>
      <c r="Q499" s="802">
        <v>22569</v>
      </c>
      <c r="R499" s="802"/>
      <c r="S499" s="803">
        <v>1365076</v>
      </c>
      <c r="T499" s="804">
        <v>13085</v>
      </c>
      <c r="U499" s="804">
        <v>1378161</v>
      </c>
    </row>
    <row r="500" spans="1:21" x14ac:dyDescent="0.25">
      <c r="A500" s="799">
        <v>95311</v>
      </c>
      <c r="B500" s="800" t="s">
        <v>3114</v>
      </c>
      <c r="C500" s="801">
        <v>2.6841999999999999E-3</v>
      </c>
      <c r="D500" s="801">
        <v>2.9946E-3</v>
      </c>
      <c r="E500" s="802">
        <v>1161820.17</v>
      </c>
      <c r="F500" s="802">
        <v>1343959</v>
      </c>
      <c r="G500" s="802">
        <v>5696772</v>
      </c>
      <c r="H500" s="802"/>
      <c r="I500" s="803">
        <v>107032</v>
      </c>
      <c r="J500" s="803">
        <v>4992188</v>
      </c>
      <c r="K500" s="803">
        <v>390178</v>
      </c>
      <c r="L500" s="802">
        <v>8404</v>
      </c>
      <c r="M500" s="802"/>
      <c r="N500" s="803">
        <v>199621</v>
      </c>
      <c r="O500" s="803">
        <v>1842591</v>
      </c>
      <c r="P500" s="803">
        <v>0</v>
      </c>
      <c r="Q500" s="802">
        <v>175770</v>
      </c>
      <c r="R500" s="802"/>
      <c r="S500" s="803">
        <v>1522663</v>
      </c>
      <c r="T500" s="804">
        <v>-55618</v>
      </c>
      <c r="U500" s="804">
        <v>1467045</v>
      </c>
    </row>
    <row r="501" spans="1:21" x14ac:dyDescent="0.25">
      <c r="A501" s="799">
        <v>95317</v>
      </c>
      <c r="B501" s="800" t="s">
        <v>3115</v>
      </c>
      <c r="C501" s="801">
        <v>5.1400000000000003E-5</v>
      </c>
      <c r="D501" s="801">
        <v>5.3900000000000002E-5</v>
      </c>
      <c r="E501" s="802">
        <v>25005</v>
      </c>
      <c r="F501" s="802">
        <v>24190</v>
      </c>
      <c r="G501" s="802">
        <v>109088</v>
      </c>
      <c r="H501" s="802"/>
      <c r="I501" s="803">
        <v>2050</v>
      </c>
      <c r="J501" s="803">
        <v>95596</v>
      </c>
      <c r="K501" s="803">
        <v>7472</v>
      </c>
      <c r="L501" s="802">
        <v>5874</v>
      </c>
      <c r="M501" s="802"/>
      <c r="N501" s="803">
        <v>3823</v>
      </c>
      <c r="O501" s="803">
        <v>35284</v>
      </c>
      <c r="P501" s="803">
        <v>0</v>
      </c>
      <c r="Q501" s="802">
        <v>75.62</v>
      </c>
      <c r="R501" s="802"/>
      <c r="S501" s="803">
        <v>29158</v>
      </c>
      <c r="T501" s="804">
        <v>1881</v>
      </c>
      <c r="U501" s="804">
        <v>31039</v>
      </c>
    </row>
    <row r="502" spans="1:21" x14ac:dyDescent="0.25">
      <c r="A502" s="799">
        <v>95321</v>
      </c>
      <c r="B502" s="800" t="s">
        <v>3116</v>
      </c>
      <c r="C502" s="801">
        <v>5.7000000000000003E-5</v>
      </c>
      <c r="D502" s="801">
        <v>5.6499999999999998E-5</v>
      </c>
      <c r="E502" s="802">
        <v>24286.95</v>
      </c>
      <c r="F502" s="802">
        <v>25357</v>
      </c>
      <c r="G502" s="802">
        <v>120973</v>
      </c>
      <c r="H502" s="802"/>
      <c r="I502" s="803">
        <v>2272.875</v>
      </c>
      <c r="J502" s="803">
        <v>106011</v>
      </c>
      <c r="K502" s="803">
        <v>8286</v>
      </c>
      <c r="L502" s="802">
        <v>4716</v>
      </c>
      <c r="M502" s="802"/>
      <c r="N502" s="803">
        <v>4239</v>
      </c>
      <c r="O502" s="803">
        <v>39128</v>
      </c>
      <c r="P502" s="803">
        <v>0</v>
      </c>
      <c r="Q502" s="802">
        <v>0</v>
      </c>
      <c r="R502" s="802"/>
      <c r="S502" s="803">
        <v>32334</v>
      </c>
      <c r="T502" s="804">
        <v>1628</v>
      </c>
      <c r="U502" s="804">
        <v>33963</v>
      </c>
    </row>
    <row r="503" spans="1:21" x14ac:dyDescent="0.25">
      <c r="A503" s="799">
        <v>95401</v>
      </c>
      <c r="B503" s="800" t="s">
        <v>3117</v>
      </c>
      <c r="C503" s="801">
        <v>2.9979999999999998E-3</v>
      </c>
      <c r="D503" s="801">
        <v>2.8663999999999999E-3</v>
      </c>
      <c r="E503" s="802">
        <v>1170186.01</v>
      </c>
      <c r="F503" s="802">
        <v>1286423</v>
      </c>
      <c r="G503" s="802">
        <v>6362760</v>
      </c>
      <c r="H503" s="802"/>
      <c r="I503" s="803">
        <v>119545</v>
      </c>
      <c r="J503" s="803">
        <v>5575806</v>
      </c>
      <c r="K503" s="803">
        <v>435792</v>
      </c>
      <c r="L503" s="802">
        <v>42759</v>
      </c>
      <c r="M503" s="802"/>
      <c r="N503" s="803">
        <v>222958</v>
      </c>
      <c r="O503" s="803">
        <v>2058001</v>
      </c>
      <c r="P503" s="803">
        <v>0</v>
      </c>
      <c r="Q503" s="802">
        <v>0</v>
      </c>
      <c r="R503" s="802"/>
      <c r="S503" s="803">
        <v>1700672</v>
      </c>
      <c r="T503" s="804">
        <v>15064</v>
      </c>
      <c r="U503" s="804">
        <v>1715737</v>
      </c>
    </row>
    <row r="504" spans="1:21" x14ac:dyDescent="0.25">
      <c r="A504" s="799">
        <v>95404</v>
      </c>
      <c r="B504" s="800" t="s">
        <v>3118</v>
      </c>
      <c r="C504" s="801">
        <v>4.9799999999999998E-5</v>
      </c>
      <c r="D504" s="801">
        <v>3.4999999999999997E-5</v>
      </c>
      <c r="E504" s="802">
        <v>17582</v>
      </c>
      <c r="F504" s="802">
        <v>15708</v>
      </c>
      <c r="G504" s="802">
        <v>105692</v>
      </c>
      <c r="H504" s="802"/>
      <c r="I504" s="803">
        <v>1986</v>
      </c>
      <c r="J504" s="803">
        <v>92620</v>
      </c>
      <c r="K504" s="803">
        <v>7239</v>
      </c>
      <c r="L504" s="802">
        <v>6596</v>
      </c>
      <c r="M504" s="802"/>
      <c r="N504" s="803">
        <v>3704</v>
      </c>
      <c r="O504" s="803">
        <v>34186</v>
      </c>
      <c r="P504" s="803">
        <v>0</v>
      </c>
      <c r="Q504" s="802">
        <v>0</v>
      </c>
      <c r="R504" s="802"/>
      <c r="S504" s="803">
        <v>28250</v>
      </c>
      <c r="T504" s="804">
        <v>1847</v>
      </c>
      <c r="U504" s="804">
        <v>30097</v>
      </c>
    </row>
    <row r="505" spans="1:21" x14ac:dyDescent="0.25">
      <c r="A505" s="799">
        <v>95405</v>
      </c>
      <c r="B505" s="800" t="s">
        <v>3119</v>
      </c>
      <c r="C505" s="801">
        <v>1.84E-5</v>
      </c>
      <c r="D505" s="801">
        <v>1.7E-5</v>
      </c>
      <c r="E505" s="802">
        <v>15271</v>
      </c>
      <c r="F505" s="802">
        <v>7629</v>
      </c>
      <c r="G505" s="802">
        <v>39051</v>
      </c>
      <c r="H505" s="802"/>
      <c r="I505" s="803">
        <v>733.7</v>
      </c>
      <c r="J505" s="803">
        <v>34221</v>
      </c>
      <c r="K505" s="803">
        <v>2675</v>
      </c>
      <c r="L505" s="802">
        <v>12414</v>
      </c>
      <c r="M505" s="802"/>
      <c r="N505" s="803">
        <v>1368</v>
      </c>
      <c r="O505" s="803">
        <v>12631</v>
      </c>
      <c r="P505" s="803">
        <v>0</v>
      </c>
      <c r="Q505" s="802">
        <v>0</v>
      </c>
      <c r="R505" s="802"/>
      <c r="S505" s="803">
        <v>10438</v>
      </c>
      <c r="T505" s="804">
        <v>3754</v>
      </c>
      <c r="U505" s="804">
        <v>14192</v>
      </c>
    </row>
    <row r="506" spans="1:21" x14ac:dyDescent="0.25">
      <c r="A506" s="799">
        <v>95411</v>
      </c>
      <c r="B506" s="800" t="s">
        <v>3120</v>
      </c>
      <c r="C506" s="801">
        <v>2.3272000000000002E-3</v>
      </c>
      <c r="D506" s="801">
        <v>2.3019E-3</v>
      </c>
      <c r="E506" s="802">
        <v>960134</v>
      </c>
      <c r="F506" s="802">
        <v>1033079</v>
      </c>
      <c r="G506" s="802">
        <v>4939098</v>
      </c>
      <c r="H506" s="802"/>
      <c r="I506" s="803">
        <v>92797.1</v>
      </c>
      <c r="J506" s="803">
        <v>4328224</v>
      </c>
      <c r="K506" s="803">
        <v>338284</v>
      </c>
      <c r="L506" s="802">
        <v>19324</v>
      </c>
      <c r="M506" s="802"/>
      <c r="N506" s="803">
        <v>173072</v>
      </c>
      <c r="O506" s="803">
        <v>1597525</v>
      </c>
      <c r="P506" s="803">
        <v>0</v>
      </c>
      <c r="Q506" s="802">
        <v>37438</v>
      </c>
      <c r="R506" s="802"/>
      <c r="S506" s="803">
        <v>1320148</v>
      </c>
      <c r="T506" s="804">
        <v>-13504</v>
      </c>
      <c r="U506" s="804">
        <v>1306644</v>
      </c>
    </row>
    <row r="507" spans="1:21" x14ac:dyDescent="0.25">
      <c r="A507" s="799">
        <v>95412</v>
      </c>
      <c r="B507" s="800" t="s">
        <v>3121</v>
      </c>
      <c r="C507" s="801">
        <v>0</v>
      </c>
      <c r="D507" s="801">
        <v>0</v>
      </c>
      <c r="E507" s="802">
        <v>0</v>
      </c>
      <c r="F507" s="802">
        <v>0</v>
      </c>
      <c r="G507" s="802">
        <v>0</v>
      </c>
      <c r="H507" s="802"/>
      <c r="I507" s="803">
        <v>0</v>
      </c>
      <c r="J507" s="803">
        <v>0</v>
      </c>
      <c r="K507" s="803">
        <v>0</v>
      </c>
      <c r="L507" s="802">
        <v>0</v>
      </c>
      <c r="M507" s="802"/>
      <c r="N507" s="803">
        <v>0</v>
      </c>
      <c r="O507" s="803">
        <v>0</v>
      </c>
      <c r="P507" s="803">
        <v>0</v>
      </c>
      <c r="Q507" s="802">
        <v>46349</v>
      </c>
      <c r="R507" s="802"/>
      <c r="S507" s="803">
        <v>0</v>
      </c>
      <c r="T507" s="804">
        <v>-18518</v>
      </c>
      <c r="U507" s="804">
        <v>-18518</v>
      </c>
    </row>
    <row r="508" spans="1:21" x14ac:dyDescent="0.25">
      <c r="A508" s="799">
        <v>95413</v>
      </c>
      <c r="B508" s="800" t="s">
        <v>3122</v>
      </c>
      <c r="C508" s="801">
        <v>2.945E-4</v>
      </c>
      <c r="D508" s="801">
        <v>2.9579999999999998E-4</v>
      </c>
      <c r="E508" s="802">
        <v>262975</v>
      </c>
      <c r="F508" s="802">
        <v>132753</v>
      </c>
      <c r="G508" s="802">
        <v>625028</v>
      </c>
      <c r="H508" s="802"/>
      <c r="I508" s="803">
        <v>11743.1875</v>
      </c>
      <c r="J508" s="803">
        <v>547723</v>
      </c>
      <c r="K508" s="803">
        <v>42809</v>
      </c>
      <c r="L508" s="802">
        <v>198118</v>
      </c>
      <c r="M508" s="802"/>
      <c r="N508" s="803">
        <v>21902</v>
      </c>
      <c r="O508" s="803">
        <v>202162</v>
      </c>
      <c r="P508" s="803">
        <v>0</v>
      </c>
      <c r="Q508" s="802">
        <v>18897.04</v>
      </c>
      <c r="R508" s="802"/>
      <c r="S508" s="803">
        <v>167061</v>
      </c>
      <c r="T508" s="804">
        <v>50061</v>
      </c>
      <c r="U508" s="804">
        <v>217122</v>
      </c>
    </row>
    <row r="509" spans="1:21" x14ac:dyDescent="0.25">
      <c r="A509" s="799">
        <v>95415</v>
      </c>
      <c r="B509" s="800" t="s">
        <v>3123</v>
      </c>
      <c r="C509" s="801">
        <v>7.9499999999999994E-5</v>
      </c>
      <c r="D509" s="801">
        <v>7.6600000000000005E-5</v>
      </c>
      <c r="E509" s="802">
        <v>28617</v>
      </c>
      <c r="F509" s="802">
        <v>34378</v>
      </c>
      <c r="G509" s="802">
        <v>168726</v>
      </c>
      <c r="H509" s="802"/>
      <c r="I509" s="803">
        <v>3170.0625</v>
      </c>
      <c r="J509" s="803">
        <v>147857</v>
      </c>
      <c r="K509" s="803">
        <v>11556</v>
      </c>
      <c r="L509" s="802">
        <v>10656.45</v>
      </c>
      <c r="M509" s="802"/>
      <c r="N509" s="803">
        <v>5912</v>
      </c>
      <c r="O509" s="803">
        <v>54573</v>
      </c>
      <c r="P509" s="803">
        <v>0</v>
      </c>
      <c r="Q509" s="802">
        <v>7763</v>
      </c>
      <c r="R509" s="802"/>
      <c r="S509" s="803">
        <v>45098</v>
      </c>
      <c r="T509" s="804">
        <v>2762</v>
      </c>
      <c r="U509" s="804">
        <v>47859</v>
      </c>
    </row>
    <row r="510" spans="1:21" x14ac:dyDescent="0.25">
      <c r="A510" s="799">
        <v>95421</v>
      </c>
      <c r="B510" s="800" t="s">
        <v>3124</v>
      </c>
      <c r="C510" s="801">
        <v>3.9100000000000002E-5</v>
      </c>
      <c r="D510" s="801">
        <v>5.1E-5</v>
      </c>
      <c r="E510" s="802">
        <v>15644</v>
      </c>
      <c r="F510" s="802">
        <v>22888</v>
      </c>
      <c r="G510" s="802">
        <v>82983</v>
      </c>
      <c r="H510" s="802"/>
      <c r="I510" s="803">
        <v>1559</v>
      </c>
      <c r="J510" s="803">
        <v>72720</v>
      </c>
      <c r="K510" s="803">
        <v>5684</v>
      </c>
      <c r="L510" s="802">
        <v>0</v>
      </c>
      <c r="M510" s="802"/>
      <c r="N510" s="803">
        <v>2908</v>
      </c>
      <c r="O510" s="803">
        <v>26841</v>
      </c>
      <c r="P510" s="803">
        <v>0</v>
      </c>
      <c r="Q510" s="802">
        <v>14322</v>
      </c>
      <c r="R510" s="802"/>
      <c r="S510" s="803">
        <v>22180</v>
      </c>
      <c r="T510" s="804">
        <v>-4969</v>
      </c>
      <c r="U510" s="804">
        <v>17211</v>
      </c>
    </row>
    <row r="511" spans="1:21" x14ac:dyDescent="0.25">
      <c r="A511" s="799">
        <v>95431</v>
      </c>
      <c r="B511" s="800" t="s">
        <v>3125</v>
      </c>
      <c r="C511" s="801">
        <v>1.8009999999999999E-4</v>
      </c>
      <c r="D511" s="801">
        <v>1.7249999999999999E-4</v>
      </c>
      <c r="E511" s="802">
        <v>59568.97</v>
      </c>
      <c r="F511" s="802">
        <v>77417</v>
      </c>
      <c r="G511" s="802">
        <v>382233</v>
      </c>
      <c r="H511" s="802"/>
      <c r="I511" s="803">
        <v>7181</v>
      </c>
      <c r="J511" s="803">
        <v>334958</v>
      </c>
      <c r="K511" s="803">
        <v>26180</v>
      </c>
      <c r="L511" s="802">
        <v>450</v>
      </c>
      <c r="M511" s="802"/>
      <c r="N511" s="803">
        <v>13394</v>
      </c>
      <c r="O511" s="803">
        <v>123631</v>
      </c>
      <c r="P511" s="803">
        <v>0</v>
      </c>
      <c r="Q511" s="802">
        <v>13081</v>
      </c>
      <c r="R511" s="802"/>
      <c r="S511" s="803">
        <v>102165</v>
      </c>
      <c r="T511" s="804">
        <v>-3706</v>
      </c>
      <c r="U511" s="804">
        <v>98459</v>
      </c>
    </row>
    <row r="512" spans="1:21" x14ac:dyDescent="0.25">
      <c r="A512" s="799">
        <v>95501</v>
      </c>
      <c r="B512" s="800" t="s">
        <v>3126</v>
      </c>
      <c r="C512" s="801">
        <v>4.7917999999999997E-3</v>
      </c>
      <c r="D512" s="801">
        <v>4.8338000000000001E-3</v>
      </c>
      <c r="E512" s="802">
        <v>1890954</v>
      </c>
      <c r="F512" s="802">
        <v>2169380</v>
      </c>
      <c r="G512" s="802">
        <v>10169805</v>
      </c>
      <c r="H512" s="802"/>
      <c r="I512" s="803">
        <v>191073</v>
      </c>
      <c r="J512" s="803">
        <v>8911991</v>
      </c>
      <c r="K512" s="803">
        <v>696541</v>
      </c>
      <c r="L512" s="802">
        <v>63710</v>
      </c>
      <c r="M512" s="802"/>
      <c r="N512" s="803">
        <v>356361</v>
      </c>
      <c r="O512" s="803">
        <v>3289369</v>
      </c>
      <c r="P512" s="803">
        <v>0</v>
      </c>
      <c r="Q512" s="802">
        <v>102347</v>
      </c>
      <c r="R512" s="802"/>
      <c r="S512" s="803">
        <v>2718240</v>
      </c>
      <c r="T512" s="804">
        <v>3939</v>
      </c>
      <c r="U512" s="804">
        <v>2722178</v>
      </c>
    </row>
    <row r="513" spans="1:21" x14ac:dyDescent="0.25">
      <c r="A513" s="799">
        <v>95504</v>
      </c>
      <c r="B513" s="800" t="s">
        <v>3127</v>
      </c>
      <c r="C513" s="801">
        <v>8.8999999999999995E-6</v>
      </c>
      <c r="D513" s="801">
        <v>1.2099999999999999E-5</v>
      </c>
      <c r="E513" s="802">
        <v>7171.2</v>
      </c>
      <c r="F513" s="802">
        <v>5430</v>
      </c>
      <c r="G513" s="802">
        <v>18889</v>
      </c>
      <c r="H513" s="802"/>
      <c r="I513" s="803">
        <v>354.88749999999999</v>
      </c>
      <c r="J513" s="803">
        <v>16553</v>
      </c>
      <c r="K513" s="803">
        <v>1294</v>
      </c>
      <c r="L513" s="802">
        <v>5463</v>
      </c>
      <c r="M513" s="802"/>
      <c r="N513" s="803">
        <v>662</v>
      </c>
      <c r="O513" s="803">
        <v>6109</v>
      </c>
      <c r="P513" s="803">
        <v>0</v>
      </c>
      <c r="Q513" s="802">
        <v>0</v>
      </c>
      <c r="R513" s="802"/>
      <c r="S513" s="803">
        <v>5049</v>
      </c>
      <c r="T513" s="804">
        <v>1872</v>
      </c>
      <c r="U513" s="804">
        <v>6921</v>
      </c>
    </row>
    <row r="514" spans="1:21" x14ac:dyDescent="0.25">
      <c r="A514" s="799">
        <v>95511</v>
      </c>
      <c r="B514" s="800" t="s">
        <v>3128</v>
      </c>
      <c r="C514" s="801">
        <v>9.6049999999999998E-4</v>
      </c>
      <c r="D514" s="801">
        <v>1.0989000000000001E-3</v>
      </c>
      <c r="E514" s="802">
        <v>413682.63</v>
      </c>
      <c r="F514" s="802">
        <v>493180</v>
      </c>
      <c r="G514" s="802">
        <v>2038503</v>
      </c>
      <c r="H514" s="802"/>
      <c r="I514" s="803">
        <v>38300</v>
      </c>
      <c r="J514" s="803">
        <v>1786378</v>
      </c>
      <c r="K514" s="803">
        <v>139619</v>
      </c>
      <c r="L514" s="802">
        <v>10807.69</v>
      </c>
      <c r="M514" s="802"/>
      <c r="N514" s="803">
        <v>71431</v>
      </c>
      <c r="O514" s="803">
        <v>659343</v>
      </c>
      <c r="P514" s="803">
        <v>0</v>
      </c>
      <c r="Q514" s="802">
        <v>71910</v>
      </c>
      <c r="R514" s="802"/>
      <c r="S514" s="803">
        <v>544862</v>
      </c>
      <c r="T514" s="804">
        <v>-14323</v>
      </c>
      <c r="U514" s="804">
        <v>530538</v>
      </c>
    </row>
    <row r="515" spans="1:21" x14ac:dyDescent="0.25">
      <c r="A515" s="799">
        <v>95513</v>
      </c>
      <c r="B515" s="800" t="s">
        <v>3129</v>
      </c>
      <c r="C515" s="801">
        <v>4.5500000000000001E-5</v>
      </c>
      <c r="D515" s="801">
        <v>4.4499999999999997E-5</v>
      </c>
      <c r="E515" s="802">
        <v>28270</v>
      </c>
      <c r="F515" s="802">
        <v>19971</v>
      </c>
      <c r="G515" s="802">
        <v>96566</v>
      </c>
      <c r="H515" s="802"/>
      <c r="I515" s="803">
        <v>1814.3125</v>
      </c>
      <c r="J515" s="803">
        <v>84623</v>
      </c>
      <c r="K515" s="803">
        <v>6614</v>
      </c>
      <c r="L515" s="802">
        <v>19516</v>
      </c>
      <c r="M515" s="802"/>
      <c r="N515" s="803">
        <v>3384</v>
      </c>
      <c r="O515" s="803">
        <v>31234</v>
      </c>
      <c r="P515" s="803">
        <v>0</v>
      </c>
      <c r="Q515" s="802">
        <v>0</v>
      </c>
      <c r="R515" s="802"/>
      <c r="S515" s="803">
        <v>25811</v>
      </c>
      <c r="T515" s="804">
        <v>6831</v>
      </c>
      <c r="U515" s="804">
        <v>32642</v>
      </c>
    </row>
    <row r="516" spans="1:21" x14ac:dyDescent="0.25">
      <c r="A516" s="799">
        <v>95517</v>
      </c>
      <c r="B516" s="800" t="s">
        <v>3130</v>
      </c>
      <c r="C516" s="801">
        <v>1.66E-5</v>
      </c>
      <c r="D516" s="801">
        <v>1.1399999999999999E-5</v>
      </c>
      <c r="E516" s="802">
        <v>13168.44</v>
      </c>
      <c r="F516" s="802">
        <v>5116</v>
      </c>
      <c r="G516" s="802">
        <v>35231</v>
      </c>
      <c r="H516" s="802"/>
      <c r="I516" s="803">
        <v>662</v>
      </c>
      <c r="J516" s="803">
        <v>30873</v>
      </c>
      <c r="K516" s="803">
        <v>2413</v>
      </c>
      <c r="L516" s="802">
        <v>13465</v>
      </c>
      <c r="M516" s="802"/>
      <c r="N516" s="803">
        <v>1235</v>
      </c>
      <c r="O516" s="803">
        <v>11395</v>
      </c>
      <c r="P516" s="803">
        <v>0</v>
      </c>
      <c r="Q516" s="802">
        <v>0</v>
      </c>
      <c r="R516" s="802"/>
      <c r="S516" s="803">
        <v>9417</v>
      </c>
      <c r="T516" s="804">
        <v>4330</v>
      </c>
      <c r="U516" s="804">
        <v>13747</v>
      </c>
    </row>
    <row r="517" spans="1:21" x14ac:dyDescent="0.25">
      <c r="A517" s="799">
        <v>95601</v>
      </c>
      <c r="B517" s="800" t="s">
        <v>3131</v>
      </c>
      <c r="C517" s="801">
        <v>2.6592999999999999E-3</v>
      </c>
      <c r="D517" s="801">
        <v>2.4567999999999999E-3</v>
      </c>
      <c r="E517" s="802">
        <v>1012937</v>
      </c>
      <c r="F517" s="802">
        <v>1102597</v>
      </c>
      <c r="G517" s="802">
        <v>5643925</v>
      </c>
      <c r="H517" s="802"/>
      <c r="I517" s="803">
        <v>106040</v>
      </c>
      <c r="J517" s="803">
        <v>4945878</v>
      </c>
      <c r="K517" s="803">
        <v>386559</v>
      </c>
      <c r="L517" s="802">
        <v>138057</v>
      </c>
      <c r="M517" s="802"/>
      <c r="N517" s="803">
        <v>197769</v>
      </c>
      <c r="O517" s="803">
        <v>1825498</v>
      </c>
      <c r="P517" s="803">
        <v>0</v>
      </c>
      <c r="Q517" s="802">
        <v>0</v>
      </c>
      <c r="R517" s="802"/>
      <c r="S517" s="803">
        <v>1508538</v>
      </c>
      <c r="T517" s="804">
        <v>52467</v>
      </c>
      <c r="U517" s="804">
        <v>1561006</v>
      </c>
    </row>
    <row r="518" spans="1:21" x14ac:dyDescent="0.25">
      <c r="A518" s="799">
        <v>95611</v>
      </c>
      <c r="B518" s="800" t="s">
        <v>3132</v>
      </c>
      <c r="C518" s="801">
        <v>3.9540000000000002E-4</v>
      </c>
      <c r="D518" s="801">
        <v>3.9500000000000001E-4</v>
      </c>
      <c r="E518" s="802">
        <v>162221</v>
      </c>
      <c r="F518" s="802">
        <v>177273.63</v>
      </c>
      <c r="G518" s="802">
        <v>839171</v>
      </c>
      <c r="H518" s="802"/>
      <c r="I518" s="803">
        <v>15767</v>
      </c>
      <c r="J518" s="803">
        <v>735382</v>
      </c>
      <c r="K518" s="803">
        <v>57476</v>
      </c>
      <c r="L518" s="802">
        <v>2750</v>
      </c>
      <c r="M518" s="802"/>
      <c r="N518" s="803">
        <v>29406</v>
      </c>
      <c r="O518" s="803">
        <v>271425</v>
      </c>
      <c r="P518" s="803">
        <v>0</v>
      </c>
      <c r="Q518" s="802">
        <v>5641</v>
      </c>
      <c r="R518" s="802"/>
      <c r="S518" s="803">
        <v>224298</v>
      </c>
      <c r="T518" s="804">
        <v>-610</v>
      </c>
      <c r="U518" s="804">
        <v>223688</v>
      </c>
    </row>
    <row r="519" spans="1:21" x14ac:dyDescent="0.25">
      <c r="A519" s="799">
        <v>95617</v>
      </c>
      <c r="B519" s="800" t="s">
        <v>3133</v>
      </c>
      <c r="C519" s="801">
        <v>1.6500000000000001E-5</v>
      </c>
      <c r="D519" s="801">
        <v>1.63E-5</v>
      </c>
      <c r="E519" s="802">
        <v>7075</v>
      </c>
      <c r="F519" s="802">
        <v>7315</v>
      </c>
      <c r="G519" s="802">
        <v>35019</v>
      </c>
      <c r="H519" s="802"/>
      <c r="I519" s="803">
        <v>657.9375</v>
      </c>
      <c r="J519" s="803">
        <v>30687</v>
      </c>
      <c r="K519" s="803">
        <v>2398</v>
      </c>
      <c r="L519" s="802">
        <v>338</v>
      </c>
      <c r="M519" s="802"/>
      <c r="N519" s="803">
        <v>1227</v>
      </c>
      <c r="O519" s="803">
        <v>11327</v>
      </c>
      <c r="P519" s="803">
        <v>0</v>
      </c>
      <c r="Q519" s="802">
        <v>2141</v>
      </c>
      <c r="R519" s="802"/>
      <c r="S519" s="803">
        <v>9360</v>
      </c>
      <c r="T519" s="804">
        <v>-777</v>
      </c>
      <c r="U519" s="804">
        <v>8583</v>
      </c>
    </row>
    <row r="520" spans="1:21" x14ac:dyDescent="0.25">
      <c r="A520" s="799">
        <v>95621</v>
      </c>
      <c r="B520" s="800" t="s">
        <v>3134</v>
      </c>
      <c r="C520" s="801">
        <v>4.8020000000000002E-4</v>
      </c>
      <c r="D520" s="801">
        <v>5.0210000000000001E-4</v>
      </c>
      <c r="E520" s="802">
        <v>211840</v>
      </c>
      <c r="F520" s="802">
        <v>225339</v>
      </c>
      <c r="G520" s="802">
        <v>1019145</v>
      </c>
      <c r="H520" s="802"/>
      <c r="I520" s="803">
        <v>19148</v>
      </c>
      <c r="J520" s="803">
        <v>893096</v>
      </c>
      <c r="K520" s="803">
        <v>69802</v>
      </c>
      <c r="L520" s="802">
        <v>6364.02</v>
      </c>
      <c r="M520" s="802"/>
      <c r="N520" s="803">
        <v>35712</v>
      </c>
      <c r="O520" s="803">
        <v>329637</v>
      </c>
      <c r="P520" s="803">
        <v>0</v>
      </c>
      <c r="Q520" s="802">
        <v>3443</v>
      </c>
      <c r="R520" s="802"/>
      <c r="S520" s="803">
        <v>272403</v>
      </c>
      <c r="T520" s="804">
        <v>2021</v>
      </c>
      <c r="U520" s="804">
        <v>274423</v>
      </c>
    </row>
    <row r="521" spans="1:21" x14ac:dyDescent="0.25">
      <c r="A521" s="799">
        <v>95701</v>
      </c>
      <c r="B521" s="800" t="s">
        <v>3135</v>
      </c>
      <c r="C521" s="801">
        <v>1.291E-3</v>
      </c>
      <c r="D521" s="801">
        <v>1.2436999999999999E-3</v>
      </c>
      <c r="E521" s="802">
        <v>517495</v>
      </c>
      <c r="F521" s="802">
        <v>558165</v>
      </c>
      <c r="G521" s="802">
        <v>2739934</v>
      </c>
      <c r="H521" s="802"/>
      <c r="I521" s="803">
        <v>51478.625</v>
      </c>
      <c r="J521" s="803">
        <v>2401056</v>
      </c>
      <c r="K521" s="803">
        <v>187661</v>
      </c>
      <c r="L521" s="802">
        <v>51877</v>
      </c>
      <c r="M521" s="802"/>
      <c r="N521" s="803">
        <v>96010</v>
      </c>
      <c r="O521" s="803">
        <v>886217</v>
      </c>
      <c r="P521" s="803">
        <v>0</v>
      </c>
      <c r="Q521" s="802">
        <v>0</v>
      </c>
      <c r="R521" s="802"/>
      <c r="S521" s="803">
        <v>732344</v>
      </c>
      <c r="T521" s="804">
        <v>20713</v>
      </c>
      <c r="U521" s="804">
        <v>753057</v>
      </c>
    </row>
    <row r="522" spans="1:21" x14ac:dyDescent="0.25">
      <c r="A522" s="799">
        <v>95711</v>
      </c>
      <c r="B522" s="800" t="s">
        <v>3136</v>
      </c>
      <c r="C522" s="801">
        <v>1.382E-4</v>
      </c>
      <c r="D522" s="801">
        <v>1.284E-4</v>
      </c>
      <c r="E522" s="802">
        <v>51439.57</v>
      </c>
      <c r="F522" s="802">
        <v>57625</v>
      </c>
      <c r="G522" s="802">
        <v>293307</v>
      </c>
      <c r="H522" s="802"/>
      <c r="I522" s="803">
        <v>5511</v>
      </c>
      <c r="J522" s="803">
        <v>257030</v>
      </c>
      <c r="K522" s="803">
        <v>20089</v>
      </c>
      <c r="L522" s="802">
        <v>9232</v>
      </c>
      <c r="M522" s="802"/>
      <c r="N522" s="803">
        <v>10278</v>
      </c>
      <c r="O522" s="803">
        <v>94868</v>
      </c>
      <c r="P522" s="803">
        <v>0</v>
      </c>
      <c r="Q522" s="802">
        <v>143</v>
      </c>
      <c r="R522" s="802"/>
      <c r="S522" s="803">
        <v>78397</v>
      </c>
      <c r="T522" s="804">
        <v>3104</v>
      </c>
      <c r="U522" s="804">
        <v>81500</v>
      </c>
    </row>
    <row r="523" spans="1:21" x14ac:dyDescent="0.25">
      <c r="A523" s="799">
        <v>95721</v>
      </c>
      <c r="B523" s="800" t="s">
        <v>3137</v>
      </c>
      <c r="C523" s="801">
        <v>6.6199999999999996E-5</v>
      </c>
      <c r="D523" s="801">
        <v>6.7199999999999994E-5</v>
      </c>
      <c r="E523" s="802">
        <v>22493.79</v>
      </c>
      <c r="F523" s="802">
        <v>30159</v>
      </c>
      <c r="G523" s="802">
        <v>140499</v>
      </c>
      <c r="H523" s="802"/>
      <c r="I523" s="803">
        <v>2640</v>
      </c>
      <c r="J523" s="803">
        <v>123122</v>
      </c>
      <c r="K523" s="803">
        <v>9623</v>
      </c>
      <c r="L523" s="802">
        <v>0</v>
      </c>
      <c r="M523" s="802"/>
      <c r="N523" s="803">
        <v>4923</v>
      </c>
      <c r="O523" s="803">
        <v>45444</v>
      </c>
      <c r="P523" s="803">
        <v>0</v>
      </c>
      <c r="Q523" s="802">
        <v>9473</v>
      </c>
      <c r="R523" s="802"/>
      <c r="S523" s="803">
        <v>37553</v>
      </c>
      <c r="T523" s="804">
        <v>-3665</v>
      </c>
      <c r="U523" s="804">
        <v>33888</v>
      </c>
    </row>
    <row r="524" spans="1:21" x14ac:dyDescent="0.25">
      <c r="A524" s="799">
        <v>95733</v>
      </c>
      <c r="B524" s="800" t="s">
        <v>3138</v>
      </c>
      <c r="C524" s="801">
        <v>1.56E-5</v>
      </c>
      <c r="D524" s="801">
        <v>1.63E-5</v>
      </c>
      <c r="E524" s="802">
        <v>6566</v>
      </c>
      <c r="F524" s="802">
        <v>7315</v>
      </c>
      <c r="G524" s="802">
        <v>33108</v>
      </c>
      <c r="H524" s="802"/>
      <c r="I524" s="803">
        <v>622</v>
      </c>
      <c r="J524" s="803">
        <v>29014</v>
      </c>
      <c r="K524" s="803">
        <v>2268</v>
      </c>
      <c r="L524" s="802">
        <v>926</v>
      </c>
      <c r="M524" s="802"/>
      <c r="N524" s="803">
        <v>1160</v>
      </c>
      <c r="O524" s="803">
        <v>10709</v>
      </c>
      <c r="P524" s="803">
        <v>0</v>
      </c>
      <c r="Q524" s="802">
        <v>259</v>
      </c>
      <c r="R524" s="802"/>
      <c r="S524" s="803">
        <v>8849</v>
      </c>
      <c r="T524" s="804">
        <v>277</v>
      </c>
      <c r="U524" s="804">
        <v>9127</v>
      </c>
    </row>
    <row r="525" spans="1:21" x14ac:dyDescent="0.25">
      <c r="A525" s="799">
        <v>95801</v>
      </c>
      <c r="B525" s="800" t="s">
        <v>3139</v>
      </c>
      <c r="C525" s="801">
        <v>8.9349999999999998E-4</v>
      </c>
      <c r="D525" s="801">
        <v>9.1810000000000004E-4</v>
      </c>
      <c r="E525" s="802">
        <v>383793.67</v>
      </c>
      <c r="F525" s="802">
        <v>412038</v>
      </c>
      <c r="G525" s="802">
        <v>1896306</v>
      </c>
      <c r="H525" s="802"/>
      <c r="I525" s="803">
        <v>35628</v>
      </c>
      <c r="J525" s="803">
        <v>1661769</v>
      </c>
      <c r="K525" s="803">
        <v>129880</v>
      </c>
      <c r="L525" s="802">
        <v>14615</v>
      </c>
      <c r="M525" s="802"/>
      <c r="N525" s="803">
        <v>66449</v>
      </c>
      <c r="O525" s="803">
        <v>613350</v>
      </c>
      <c r="P525" s="803">
        <v>0</v>
      </c>
      <c r="Q525" s="802">
        <v>8079</v>
      </c>
      <c r="R525" s="802"/>
      <c r="S525" s="803">
        <v>506855</v>
      </c>
      <c r="T525" s="804">
        <v>1206</v>
      </c>
      <c r="U525" s="804">
        <v>508061</v>
      </c>
    </row>
    <row r="526" spans="1:21" x14ac:dyDescent="0.25">
      <c r="A526" s="799">
        <v>95802</v>
      </c>
      <c r="B526" s="800" t="s">
        <v>3140</v>
      </c>
      <c r="C526" s="801">
        <v>6.8000000000000001E-6</v>
      </c>
      <c r="D526" s="801">
        <v>6.8000000000000001E-6</v>
      </c>
      <c r="E526" s="802">
        <v>4626.88</v>
      </c>
      <c r="F526" s="802">
        <v>3052</v>
      </c>
      <c r="G526" s="802">
        <v>14432</v>
      </c>
      <c r="H526" s="802"/>
      <c r="I526" s="803">
        <v>271</v>
      </c>
      <c r="J526" s="803">
        <v>12647</v>
      </c>
      <c r="K526" s="803">
        <v>988</v>
      </c>
      <c r="L526" s="802">
        <v>2741</v>
      </c>
      <c r="M526" s="802"/>
      <c r="N526" s="803">
        <v>506</v>
      </c>
      <c r="O526" s="803">
        <v>4668</v>
      </c>
      <c r="P526" s="803">
        <v>0</v>
      </c>
      <c r="Q526" s="802">
        <v>2509</v>
      </c>
      <c r="R526" s="802"/>
      <c r="S526" s="803">
        <v>3857</v>
      </c>
      <c r="T526" s="804">
        <v>-428</v>
      </c>
      <c r="U526" s="804">
        <v>3429</v>
      </c>
    </row>
    <row r="527" spans="1:21" x14ac:dyDescent="0.25">
      <c r="A527" s="799">
        <v>95804</v>
      </c>
      <c r="B527" s="800" t="s">
        <v>3141</v>
      </c>
      <c r="C527" s="801">
        <v>1.63E-5</v>
      </c>
      <c r="D527" s="801">
        <v>1.4399999999999999E-5</v>
      </c>
      <c r="E527" s="802">
        <v>6017.02</v>
      </c>
      <c r="F527" s="802">
        <v>6463</v>
      </c>
      <c r="G527" s="802">
        <v>34594</v>
      </c>
      <c r="H527" s="802"/>
      <c r="I527" s="803">
        <v>649.96249999999998</v>
      </c>
      <c r="J527" s="803">
        <v>30315</v>
      </c>
      <c r="K527" s="803">
        <v>2369</v>
      </c>
      <c r="L527" s="802">
        <v>3054</v>
      </c>
      <c r="M527" s="802"/>
      <c r="N527" s="803">
        <v>1212</v>
      </c>
      <c r="O527" s="803">
        <v>11189</v>
      </c>
      <c r="P527" s="803">
        <v>0</v>
      </c>
      <c r="Q527" s="802">
        <v>0</v>
      </c>
      <c r="R527" s="802"/>
      <c r="S527" s="803">
        <v>9246</v>
      </c>
      <c r="T527" s="804">
        <v>1187</v>
      </c>
      <c r="U527" s="804">
        <v>10434</v>
      </c>
    </row>
    <row r="528" spans="1:21" x14ac:dyDescent="0.25">
      <c r="A528" s="799">
        <v>95811</v>
      </c>
      <c r="B528" s="800" t="s">
        <v>3142</v>
      </c>
      <c r="C528" s="801">
        <v>5.3410000000000003E-4</v>
      </c>
      <c r="D528" s="801">
        <v>5.2459999999999996E-4</v>
      </c>
      <c r="E528" s="802">
        <v>215302.64</v>
      </c>
      <c r="F528" s="802">
        <v>235437</v>
      </c>
      <c r="G528" s="802">
        <v>1133539</v>
      </c>
      <c r="H528" s="802"/>
      <c r="I528" s="803">
        <v>21297</v>
      </c>
      <c r="J528" s="803">
        <v>993342</v>
      </c>
      <c r="K528" s="803">
        <v>77637</v>
      </c>
      <c r="L528" s="802">
        <v>2541</v>
      </c>
      <c r="M528" s="802"/>
      <c r="N528" s="803">
        <v>39720</v>
      </c>
      <c r="O528" s="803">
        <v>366637</v>
      </c>
      <c r="P528" s="803">
        <v>0</v>
      </c>
      <c r="Q528" s="802">
        <v>5345</v>
      </c>
      <c r="R528" s="802"/>
      <c r="S528" s="803">
        <v>302978</v>
      </c>
      <c r="T528" s="804">
        <v>-1032</v>
      </c>
      <c r="U528" s="804">
        <v>301947</v>
      </c>
    </row>
    <row r="529" spans="1:21" x14ac:dyDescent="0.25">
      <c r="A529" s="799">
        <v>95813</v>
      </c>
      <c r="B529" s="800" t="s">
        <v>3143</v>
      </c>
      <c r="C529" s="801">
        <v>4.4400000000000002E-5</v>
      </c>
      <c r="D529" s="801">
        <v>5.02E-5</v>
      </c>
      <c r="E529" s="802">
        <v>61209.42</v>
      </c>
      <c r="F529" s="802">
        <v>22529</v>
      </c>
      <c r="G529" s="802">
        <v>94232</v>
      </c>
      <c r="H529" s="802"/>
      <c r="I529" s="803">
        <v>1770.45</v>
      </c>
      <c r="J529" s="803">
        <v>82577</v>
      </c>
      <c r="K529" s="803">
        <v>6454</v>
      </c>
      <c r="L529" s="802">
        <v>51874</v>
      </c>
      <c r="M529" s="802"/>
      <c r="N529" s="803">
        <v>3302</v>
      </c>
      <c r="O529" s="803">
        <v>30479</v>
      </c>
      <c r="P529" s="803">
        <v>0</v>
      </c>
      <c r="Q529" s="802">
        <v>0</v>
      </c>
      <c r="R529" s="802"/>
      <c r="S529" s="803">
        <v>25187</v>
      </c>
      <c r="T529" s="804">
        <v>15540</v>
      </c>
      <c r="U529" s="804">
        <v>40727</v>
      </c>
    </row>
    <row r="530" spans="1:21" x14ac:dyDescent="0.25">
      <c r="A530" s="799">
        <v>95821</v>
      </c>
      <c r="B530" s="800" t="s">
        <v>3144</v>
      </c>
      <c r="C530" s="801">
        <v>1.7E-6</v>
      </c>
      <c r="D530" s="801">
        <v>1.5999999999999999E-6</v>
      </c>
      <c r="E530" s="802">
        <v>1922</v>
      </c>
      <c r="F530" s="802">
        <v>718</v>
      </c>
      <c r="G530" s="802">
        <v>3608</v>
      </c>
      <c r="H530" s="802"/>
      <c r="I530" s="803">
        <v>68</v>
      </c>
      <c r="J530" s="803">
        <v>3162</v>
      </c>
      <c r="K530" s="803">
        <v>247</v>
      </c>
      <c r="L530" s="802">
        <v>1916</v>
      </c>
      <c r="M530" s="802"/>
      <c r="N530" s="803">
        <v>126</v>
      </c>
      <c r="O530" s="803">
        <v>1167</v>
      </c>
      <c r="P530" s="803">
        <v>0</v>
      </c>
      <c r="Q530" s="802">
        <v>0</v>
      </c>
      <c r="R530" s="802"/>
      <c r="S530" s="803">
        <v>964</v>
      </c>
      <c r="T530" s="804">
        <v>623</v>
      </c>
      <c r="U530" s="804">
        <v>1587</v>
      </c>
    </row>
    <row r="531" spans="1:21" x14ac:dyDescent="0.25">
      <c r="A531" s="799">
        <v>95831</v>
      </c>
      <c r="B531" s="800" t="s">
        <v>3145</v>
      </c>
      <c r="C531" s="801">
        <v>1.36E-5</v>
      </c>
      <c r="D531" s="801">
        <v>1.9199999999999999E-5</v>
      </c>
      <c r="E531" s="802">
        <v>18920.61</v>
      </c>
      <c r="F531" s="802">
        <v>8617</v>
      </c>
      <c r="G531" s="802">
        <v>28864</v>
      </c>
      <c r="H531" s="802"/>
      <c r="I531" s="803">
        <v>542</v>
      </c>
      <c r="J531" s="803">
        <v>25294</v>
      </c>
      <c r="K531" s="803">
        <v>1977</v>
      </c>
      <c r="L531" s="802">
        <v>15027</v>
      </c>
      <c r="M531" s="802"/>
      <c r="N531" s="803">
        <v>1011</v>
      </c>
      <c r="O531" s="803">
        <v>9336</v>
      </c>
      <c r="P531" s="803">
        <v>0</v>
      </c>
      <c r="Q531" s="802">
        <v>0</v>
      </c>
      <c r="R531" s="802"/>
      <c r="S531" s="803">
        <v>7715</v>
      </c>
      <c r="T531" s="804">
        <v>4667</v>
      </c>
      <c r="U531" s="804">
        <v>12382</v>
      </c>
    </row>
    <row r="532" spans="1:21" x14ac:dyDescent="0.25">
      <c r="A532" s="799">
        <v>95841</v>
      </c>
      <c r="B532" s="800" t="s">
        <v>3146</v>
      </c>
      <c r="C532" s="801">
        <v>2.1100000000000001E-5</v>
      </c>
      <c r="D532" s="801">
        <v>2.0699999999999998E-5</v>
      </c>
      <c r="E532" s="802">
        <v>9619.65</v>
      </c>
      <c r="F532" s="802">
        <v>9290</v>
      </c>
      <c r="G532" s="802">
        <v>44781</v>
      </c>
      <c r="H532" s="802"/>
      <c r="I532" s="803">
        <v>841</v>
      </c>
      <c r="J532" s="803">
        <v>39243</v>
      </c>
      <c r="K532" s="803">
        <v>3067</v>
      </c>
      <c r="L532" s="802">
        <v>1840</v>
      </c>
      <c r="M532" s="802"/>
      <c r="N532" s="803">
        <v>1569</v>
      </c>
      <c r="O532" s="803">
        <v>14484</v>
      </c>
      <c r="P532" s="803">
        <v>0</v>
      </c>
      <c r="Q532" s="802">
        <v>0</v>
      </c>
      <c r="R532" s="802"/>
      <c r="S532" s="803">
        <v>11969</v>
      </c>
      <c r="T532" s="804">
        <v>601</v>
      </c>
      <c r="U532" s="804">
        <v>12570</v>
      </c>
    </row>
    <row r="533" spans="1:21" x14ac:dyDescent="0.25">
      <c r="A533" s="799">
        <v>95851</v>
      </c>
      <c r="B533" s="800" t="s">
        <v>3147</v>
      </c>
      <c r="C533" s="801">
        <v>1.3009999999999999E-4</v>
      </c>
      <c r="D533" s="801">
        <v>1.44E-4</v>
      </c>
      <c r="E533" s="802">
        <v>128218</v>
      </c>
      <c r="F533" s="802">
        <v>64626</v>
      </c>
      <c r="G533" s="802">
        <v>276116</v>
      </c>
      <c r="H533" s="802"/>
      <c r="I533" s="803">
        <v>5188</v>
      </c>
      <c r="J533" s="803">
        <v>241965</v>
      </c>
      <c r="K533" s="803">
        <v>18911</v>
      </c>
      <c r="L533" s="802">
        <v>90972</v>
      </c>
      <c r="M533" s="802"/>
      <c r="N533" s="803">
        <v>9675</v>
      </c>
      <c r="O533" s="803">
        <v>89308</v>
      </c>
      <c r="P533" s="803">
        <v>0</v>
      </c>
      <c r="Q533" s="802">
        <v>8402</v>
      </c>
      <c r="R533" s="802"/>
      <c r="S533" s="803">
        <v>73802</v>
      </c>
      <c r="T533" s="804">
        <v>23087</v>
      </c>
      <c r="U533" s="804">
        <v>96889</v>
      </c>
    </row>
    <row r="534" spans="1:21" x14ac:dyDescent="0.25">
      <c r="A534" s="799">
        <v>95853</v>
      </c>
      <c r="B534" s="800" t="s">
        <v>3148</v>
      </c>
      <c r="C534" s="801">
        <v>2.4000000000000001E-5</v>
      </c>
      <c r="D534" s="801">
        <v>2.44E-5</v>
      </c>
      <c r="E534" s="802">
        <v>14930</v>
      </c>
      <c r="F534" s="802">
        <v>10951</v>
      </c>
      <c r="G534" s="802">
        <v>50936.04</v>
      </c>
      <c r="H534" s="802"/>
      <c r="I534" s="803">
        <v>957</v>
      </c>
      <c r="J534" s="803">
        <v>44636</v>
      </c>
      <c r="K534" s="803">
        <v>3489</v>
      </c>
      <c r="L534" s="802">
        <v>8043</v>
      </c>
      <c r="M534" s="802"/>
      <c r="N534" s="803">
        <v>1785</v>
      </c>
      <c r="O534" s="803">
        <v>16475</v>
      </c>
      <c r="P534" s="803">
        <v>0</v>
      </c>
      <c r="Q534" s="802">
        <v>0</v>
      </c>
      <c r="R534" s="802"/>
      <c r="S534" s="803">
        <v>13614</v>
      </c>
      <c r="T534" s="804">
        <v>2790</v>
      </c>
      <c r="U534" s="804">
        <v>16405</v>
      </c>
    </row>
    <row r="535" spans="1:21" x14ac:dyDescent="0.25">
      <c r="A535" s="799">
        <v>95901</v>
      </c>
      <c r="B535" s="800" t="s">
        <v>3149</v>
      </c>
      <c r="C535" s="801">
        <v>1.8266999999999999E-3</v>
      </c>
      <c r="D535" s="801">
        <v>1.8056000000000001E-3</v>
      </c>
      <c r="E535" s="802">
        <v>722469.93</v>
      </c>
      <c r="F535" s="802">
        <v>810342</v>
      </c>
      <c r="G535" s="802">
        <v>3876869</v>
      </c>
      <c r="H535" s="802"/>
      <c r="I535" s="803">
        <v>72840</v>
      </c>
      <c r="J535" s="803">
        <v>3397373</v>
      </c>
      <c r="K535" s="803">
        <v>265531</v>
      </c>
      <c r="L535" s="802">
        <v>69258</v>
      </c>
      <c r="M535" s="802"/>
      <c r="N535" s="803">
        <v>135850</v>
      </c>
      <c r="O535" s="803">
        <v>1253953</v>
      </c>
      <c r="P535" s="803">
        <v>0</v>
      </c>
      <c r="Q535" s="802">
        <v>11402</v>
      </c>
      <c r="R535" s="802"/>
      <c r="S535" s="803">
        <v>1036230</v>
      </c>
      <c r="T535" s="804">
        <v>29652</v>
      </c>
      <c r="U535" s="804">
        <v>1065882</v>
      </c>
    </row>
    <row r="536" spans="1:21" x14ac:dyDescent="0.25">
      <c r="A536" s="799">
        <v>95908</v>
      </c>
      <c r="B536" s="800" t="s">
        <v>3150</v>
      </c>
      <c r="C536" s="801">
        <v>7.2000000000000002E-5</v>
      </c>
      <c r="D536" s="801">
        <v>6.6699999999999995E-5</v>
      </c>
      <c r="E536" s="802">
        <v>21165</v>
      </c>
      <c r="F536" s="802">
        <v>29935</v>
      </c>
      <c r="G536" s="802">
        <v>152808.12</v>
      </c>
      <c r="H536" s="802"/>
      <c r="I536" s="803">
        <v>2871</v>
      </c>
      <c r="J536" s="803">
        <v>133909</v>
      </c>
      <c r="K536" s="803">
        <v>10466</v>
      </c>
      <c r="L536" s="802">
        <v>0</v>
      </c>
      <c r="M536" s="802"/>
      <c r="N536" s="803">
        <v>5355</v>
      </c>
      <c r="O536" s="803">
        <v>49425</v>
      </c>
      <c r="P536" s="803">
        <v>0</v>
      </c>
      <c r="Q536" s="802">
        <v>24519</v>
      </c>
      <c r="R536" s="802"/>
      <c r="S536" s="803">
        <v>40843</v>
      </c>
      <c r="T536" s="804">
        <v>-9060</v>
      </c>
      <c r="U536" s="804">
        <v>31784</v>
      </c>
    </row>
    <row r="537" spans="1:21" x14ac:dyDescent="0.25">
      <c r="A537" s="799">
        <v>95911</v>
      </c>
      <c r="B537" s="800" t="s">
        <v>3151</v>
      </c>
      <c r="C537" s="801">
        <v>5.6979999999999997E-4</v>
      </c>
      <c r="D537" s="801">
        <v>6.2100000000000002E-4</v>
      </c>
      <c r="E537" s="802">
        <v>226533</v>
      </c>
      <c r="F537" s="802">
        <v>278701</v>
      </c>
      <c r="G537" s="802">
        <v>1209306</v>
      </c>
      <c r="H537" s="802"/>
      <c r="I537" s="803">
        <v>22721</v>
      </c>
      <c r="J537" s="803">
        <v>1059738</v>
      </c>
      <c r="K537" s="803">
        <v>82827</v>
      </c>
      <c r="L537" s="802">
        <v>4490</v>
      </c>
      <c r="M537" s="802"/>
      <c r="N537" s="803">
        <v>42375</v>
      </c>
      <c r="O537" s="803">
        <v>391144</v>
      </c>
      <c r="P537" s="803">
        <v>0</v>
      </c>
      <c r="Q537" s="802">
        <v>41660</v>
      </c>
      <c r="R537" s="802"/>
      <c r="S537" s="803">
        <v>323230</v>
      </c>
      <c r="T537" s="804">
        <v>-11084</v>
      </c>
      <c r="U537" s="804">
        <v>312146</v>
      </c>
    </row>
    <row r="538" spans="1:21" x14ac:dyDescent="0.25">
      <c r="A538" s="799">
        <v>95917</v>
      </c>
      <c r="B538" s="800" t="s">
        <v>3152</v>
      </c>
      <c r="C538" s="801">
        <v>2.2399999999999999E-5</v>
      </c>
      <c r="D538" s="801">
        <v>2.4499999999999999E-5</v>
      </c>
      <c r="E538" s="802">
        <v>9793</v>
      </c>
      <c r="F538" s="802">
        <v>10995</v>
      </c>
      <c r="G538" s="802">
        <v>47540</v>
      </c>
      <c r="H538" s="802"/>
      <c r="I538" s="803">
        <v>893</v>
      </c>
      <c r="J538" s="803">
        <v>41660</v>
      </c>
      <c r="K538" s="803">
        <v>3256</v>
      </c>
      <c r="L538" s="802">
        <v>4422</v>
      </c>
      <c r="M538" s="802"/>
      <c r="N538" s="803">
        <v>1666</v>
      </c>
      <c r="O538" s="803">
        <v>15377</v>
      </c>
      <c r="P538" s="803">
        <v>0</v>
      </c>
      <c r="Q538" s="802">
        <v>676</v>
      </c>
      <c r="R538" s="802"/>
      <c r="S538" s="803">
        <v>12707</v>
      </c>
      <c r="T538" s="804">
        <v>1747</v>
      </c>
      <c r="U538" s="804">
        <v>14453</v>
      </c>
    </row>
    <row r="539" spans="1:21" x14ac:dyDescent="0.25">
      <c r="A539" s="799">
        <v>95921</v>
      </c>
      <c r="B539" s="800" t="s">
        <v>3153</v>
      </c>
      <c r="C539" s="801">
        <v>4.4700000000000002E-5</v>
      </c>
      <c r="D539" s="801">
        <v>3.4600000000000001E-5</v>
      </c>
      <c r="E539" s="802">
        <v>16579.87</v>
      </c>
      <c r="F539" s="802">
        <v>15528</v>
      </c>
      <c r="G539" s="802">
        <v>94868</v>
      </c>
      <c r="H539" s="802"/>
      <c r="I539" s="803">
        <v>1782</v>
      </c>
      <c r="J539" s="803">
        <v>83135</v>
      </c>
      <c r="K539" s="803">
        <v>6498</v>
      </c>
      <c r="L539" s="802">
        <v>5096</v>
      </c>
      <c r="M539" s="802"/>
      <c r="N539" s="803">
        <v>3324</v>
      </c>
      <c r="O539" s="803">
        <v>30685</v>
      </c>
      <c r="P539" s="803">
        <v>0</v>
      </c>
      <c r="Q539" s="802">
        <v>1906</v>
      </c>
      <c r="R539" s="802"/>
      <c r="S539" s="803">
        <v>25357</v>
      </c>
      <c r="T539" s="804">
        <v>463</v>
      </c>
      <c r="U539" s="804">
        <v>25820</v>
      </c>
    </row>
    <row r="540" spans="1:21" x14ac:dyDescent="0.25">
      <c r="A540" s="799">
        <v>96001</v>
      </c>
      <c r="B540" s="800" t="s">
        <v>3154</v>
      </c>
      <c r="C540" s="801">
        <v>4.43519E-2</v>
      </c>
      <c r="D540" s="801">
        <v>4.41456E-2</v>
      </c>
      <c r="E540" s="802">
        <v>17742783</v>
      </c>
      <c r="F540" s="802">
        <v>19812280</v>
      </c>
      <c r="G540" s="802">
        <v>94129590</v>
      </c>
      <c r="H540" s="802"/>
      <c r="I540" s="803">
        <v>1768532</v>
      </c>
      <c r="J540" s="803">
        <v>82487526</v>
      </c>
      <c r="K540" s="803">
        <v>6447037</v>
      </c>
      <c r="L540" s="802">
        <v>2806449</v>
      </c>
      <c r="M540" s="802"/>
      <c r="N540" s="803">
        <v>3298406</v>
      </c>
      <c r="O540" s="803">
        <v>30445717</v>
      </c>
      <c r="P540" s="803">
        <v>0</v>
      </c>
      <c r="Q540" s="802">
        <v>282683</v>
      </c>
      <c r="R540" s="802"/>
      <c r="S540" s="803">
        <v>25159458</v>
      </c>
      <c r="T540" s="804">
        <v>1275874</v>
      </c>
      <c r="U540" s="804">
        <v>26435332</v>
      </c>
    </row>
    <row r="541" spans="1:21" x14ac:dyDescent="0.25">
      <c r="A541" s="799">
        <v>96003</v>
      </c>
      <c r="B541" s="800" t="s">
        <v>3155</v>
      </c>
      <c r="C541" s="801">
        <v>1.7309000000000001E-3</v>
      </c>
      <c r="D541" s="801">
        <v>1.7633E-3</v>
      </c>
      <c r="E541" s="802">
        <v>655848.02</v>
      </c>
      <c r="F541" s="802">
        <v>791358</v>
      </c>
      <c r="G541" s="802">
        <v>3673550</v>
      </c>
      <c r="H541" s="802"/>
      <c r="I541" s="803">
        <v>69020</v>
      </c>
      <c r="J541" s="803">
        <v>3219201</v>
      </c>
      <c r="K541" s="803">
        <v>251605</v>
      </c>
      <c r="L541" s="802">
        <v>4786</v>
      </c>
      <c r="M541" s="802"/>
      <c r="N541" s="803">
        <v>128725</v>
      </c>
      <c r="O541" s="803">
        <v>1188190</v>
      </c>
      <c r="P541" s="803">
        <v>0</v>
      </c>
      <c r="Q541" s="802">
        <v>112661</v>
      </c>
      <c r="R541" s="802"/>
      <c r="S541" s="803">
        <v>981886</v>
      </c>
      <c r="T541" s="804">
        <v>-39821</v>
      </c>
      <c r="U541" s="804">
        <v>942065</v>
      </c>
    </row>
    <row r="542" spans="1:21" x14ac:dyDescent="0.25">
      <c r="A542" s="799">
        <v>96004</v>
      </c>
      <c r="B542" s="800" t="s">
        <v>3156</v>
      </c>
      <c r="C542" s="801">
        <v>8.7699999999999996E-4</v>
      </c>
      <c r="D542" s="801">
        <v>8.208E-4</v>
      </c>
      <c r="E542" s="802">
        <v>400422.78</v>
      </c>
      <c r="F542" s="802">
        <v>368370</v>
      </c>
      <c r="G542" s="802">
        <v>1861288</v>
      </c>
      <c r="H542" s="802"/>
      <c r="I542" s="803">
        <v>34970.375</v>
      </c>
      <c r="J542" s="803">
        <v>1631081</v>
      </c>
      <c r="K542" s="803">
        <v>127482</v>
      </c>
      <c r="L542" s="802">
        <v>148722</v>
      </c>
      <c r="M542" s="802"/>
      <c r="N542" s="803">
        <v>65222</v>
      </c>
      <c r="O542" s="803">
        <v>602024</v>
      </c>
      <c r="P542" s="803">
        <v>0</v>
      </c>
      <c r="Q542" s="802">
        <v>0</v>
      </c>
      <c r="R542" s="802"/>
      <c r="S542" s="803">
        <v>497495</v>
      </c>
      <c r="T542" s="804">
        <v>52239</v>
      </c>
      <c r="U542" s="804">
        <v>549734</v>
      </c>
    </row>
    <row r="543" spans="1:21" x14ac:dyDescent="0.25">
      <c r="A543" s="799">
        <v>96005</v>
      </c>
      <c r="B543" s="800" t="s">
        <v>3157</v>
      </c>
      <c r="C543" s="801">
        <v>2.6457E-3</v>
      </c>
      <c r="D543" s="801">
        <v>2.6692E-3</v>
      </c>
      <c r="E543" s="802">
        <v>1120532</v>
      </c>
      <c r="F543" s="802">
        <v>1197921</v>
      </c>
      <c r="G543" s="802">
        <v>5615062</v>
      </c>
      <c r="H543" s="802"/>
      <c r="I543" s="803">
        <v>105497</v>
      </c>
      <c r="J543" s="803">
        <v>4920584</v>
      </c>
      <c r="K543" s="803">
        <v>384582</v>
      </c>
      <c r="L543" s="802">
        <v>345182</v>
      </c>
      <c r="M543" s="802"/>
      <c r="N543" s="803">
        <v>196758</v>
      </c>
      <c r="O543" s="803">
        <v>1816162</v>
      </c>
      <c r="P543" s="803">
        <v>0</v>
      </c>
      <c r="Q543" s="802">
        <v>0</v>
      </c>
      <c r="R543" s="802"/>
      <c r="S543" s="803">
        <v>1500824</v>
      </c>
      <c r="T543" s="804">
        <v>151849</v>
      </c>
      <c r="U543" s="804">
        <v>1652672</v>
      </c>
    </row>
    <row r="544" spans="1:21" x14ac:dyDescent="0.25">
      <c r="A544" s="799">
        <v>96008</v>
      </c>
      <c r="B544" s="800" t="s">
        <v>3158</v>
      </c>
      <c r="C544" s="801">
        <v>5.9388000000000002E-3</v>
      </c>
      <c r="D544" s="801">
        <v>5.4187000000000003E-3</v>
      </c>
      <c r="E544" s="802">
        <v>1816865.04</v>
      </c>
      <c r="F544" s="802">
        <v>2431880</v>
      </c>
      <c r="G544" s="802">
        <v>12604123</v>
      </c>
      <c r="H544" s="802"/>
      <c r="I544" s="803">
        <v>236809.65</v>
      </c>
      <c r="J544" s="803">
        <v>11045230</v>
      </c>
      <c r="K544" s="803">
        <v>863270</v>
      </c>
      <c r="L544" s="802">
        <v>0</v>
      </c>
      <c r="M544" s="802"/>
      <c r="N544" s="803">
        <v>441663</v>
      </c>
      <c r="O544" s="803">
        <v>4076737</v>
      </c>
      <c r="P544" s="803">
        <v>0</v>
      </c>
      <c r="Q544" s="802">
        <v>411808</v>
      </c>
      <c r="R544" s="802"/>
      <c r="S544" s="803">
        <v>3368897</v>
      </c>
      <c r="T544" s="804">
        <v>-148661</v>
      </c>
      <c r="U544" s="804">
        <v>3220236</v>
      </c>
    </row>
    <row r="545" spans="1:21" x14ac:dyDescent="0.25">
      <c r="A545" s="799">
        <v>96009</v>
      </c>
      <c r="B545" s="800" t="s">
        <v>3159</v>
      </c>
      <c r="C545" s="801">
        <v>3.5980000000000002E-4</v>
      </c>
      <c r="D545" s="801">
        <v>3.9110000000000002E-4</v>
      </c>
      <c r="E545" s="802">
        <v>164905</v>
      </c>
      <c r="F545" s="802">
        <v>175523</v>
      </c>
      <c r="G545" s="802">
        <v>763616</v>
      </c>
      <c r="H545" s="802"/>
      <c r="I545" s="803">
        <v>14347</v>
      </c>
      <c r="J545" s="803">
        <v>669171</v>
      </c>
      <c r="K545" s="803">
        <v>52301</v>
      </c>
      <c r="L545" s="802">
        <v>12534</v>
      </c>
      <c r="M545" s="802"/>
      <c r="N545" s="803">
        <v>26758</v>
      </c>
      <c r="O545" s="803">
        <v>246988</v>
      </c>
      <c r="P545" s="803">
        <v>0</v>
      </c>
      <c r="Q545" s="802">
        <v>3502</v>
      </c>
      <c r="R545" s="802"/>
      <c r="S545" s="803">
        <v>204103</v>
      </c>
      <c r="T545" s="804">
        <v>4895</v>
      </c>
      <c r="U545" s="804">
        <v>208999</v>
      </c>
    </row>
    <row r="546" spans="1:21" x14ac:dyDescent="0.25">
      <c r="A546" s="799">
        <v>96011</v>
      </c>
      <c r="B546" s="800" t="s">
        <v>3160</v>
      </c>
      <c r="C546" s="801">
        <v>6.0489000000000001E-2</v>
      </c>
      <c r="D546" s="801">
        <v>5.8946100000000001E-2</v>
      </c>
      <c r="E546" s="802">
        <v>23738140</v>
      </c>
      <c r="F546" s="802">
        <v>26454656</v>
      </c>
      <c r="G546" s="802">
        <v>128377922</v>
      </c>
      <c r="H546" s="802"/>
      <c r="I546" s="803">
        <v>2411999</v>
      </c>
      <c r="J546" s="803">
        <v>112499983</v>
      </c>
      <c r="K546" s="803">
        <v>8792742</v>
      </c>
      <c r="L546" s="802">
        <v>167249</v>
      </c>
      <c r="M546" s="802"/>
      <c r="N546" s="803">
        <v>4498506</v>
      </c>
      <c r="O546" s="803">
        <v>41523158</v>
      </c>
      <c r="P546" s="803">
        <v>0</v>
      </c>
      <c r="Q546" s="802">
        <v>70330</v>
      </c>
      <c r="R546" s="802"/>
      <c r="S546" s="803">
        <v>34313535</v>
      </c>
      <c r="T546" s="804">
        <v>40438</v>
      </c>
      <c r="U546" s="804">
        <v>34353973</v>
      </c>
    </row>
    <row r="547" spans="1:21" x14ac:dyDescent="0.25">
      <c r="A547" s="799">
        <v>96012</v>
      </c>
      <c r="B547" s="800" t="s">
        <v>3161</v>
      </c>
      <c r="C547" s="801">
        <v>2.4095000000000002E-3</v>
      </c>
      <c r="D547" s="801">
        <v>2.1905000000000002E-3</v>
      </c>
      <c r="E547" s="802">
        <v>930120</v>
      </c>
      <c r="F547" s="802">
        <v>983083</v>
      </c>
      <c r="G547" s="802">
        <v>5113766</v>
      </c>
      <c r="H547" s="802"/>
      <c r="I547" s="803">
        <v>96079</v>
      </c>
      <c r="J547" s="803">
        <v>4481289</v>
      </c>
      <c r="K547" s="803">
        <v>350247</v>
      </c>
      <c r="L547" s="802">
        <v>112910</v>
      </c>
      <c r="M547" s="802"/>
      <c r="N547" s="803">
        <v>179192</v>
      </c>
      <c r="O547" s="803">
        <v>1654021</v>
      </c>
      <c r="P547" s="803">
        <v>0</v>
      </c>
      <c r="Q547" s="802">
        <v>0</v>
      </c>
      <c r="R547" s="802"/>
      <c r="S547" s="803">
        <v>1366835</v>
      </c>
      <c r="T547" s="804">
        <v>35829</v>
      </c>
      <c r="U547" s="804">
        <v>1402664</v>
      </c>
    </row>
    <row r="548" spans="1:21" x14ac:dyDescent="0.25">
      <c r="A548" s="799">
        <v>96018</v>
      </c>
      <c r="B548" s="800" t="s">
        <v>3162</v>
      </c>
      <c r="C548" s="801">
        <v>3.6199999999999999E-5</v>
      </c>
      <c r="D548" s="801">
        <v>3.3599999999999997E-5</v>
      </c>
      <c r="E548" s="802">
        <v>13499</v>
      </c>
      <c r="F548" s="802">
        <v>15079</v>
      </c>
      <c r="G548" s="802">
        <v>76829</v>
      </c>
      <c r="H548" s="802"/>
      <c r="I548" s="803">
        <v>1443.4749999999999</v>
      </c>
      <c r="J548" s="803">
        <v>67326</v>
      </c>
      <c r="K548" s="803">
        <v>5262</v>
      </c>
      <c r="L548" s="802">
        <v>11396</v>
      </c>
      <c r="M548" s="802"/>
      <c r="N548" s="803">
        <v>2692</v>
      </c>
      <c r="O548" s="803">
        <v>24850</v>
      </c>
      <c r="P548" s="803">
        <v>0</v>
      </c>
      <c r="Q548" s="802">
        <v>0</v>
      </c>
      <c r="R548" s="802"/>
      <c r="S548" s="803">
        <v>20535</v>
      </c>
      <c r="T548" s="804">
        <v>5069</v>
      </c>
      <c r="U548" s="804">
        <v>25604</v>
      </c>
    </row>
    <row r="549" spans="1:21" x14ac:dyDescent="0.25">
      <c r="A549" s="799">
        <v>96021</v>
      </c>
      <c r="B549" s="800" t="s">
        <v>3163</v>
      </c>
      <c r="C549" s="801">
        <v>8.5829999999999999E-4</v>
      </c>
      <c r="D549" s="801">
        <v>8.8719999999999999E-4</v>
      </c>
      <c r="E549" s="802">
        <v>330918.43</v>
      </c>
      <c r="F549" s="802">
        <v>398170</v>
      </c>
      <c r="G549" s="802">
        <v>1821600</v>
      </c>
      <c r="H549" s="802"/>
      <c r="I549" s="803">
        <v>34225</v>
      </c>
      <c r="J549" s="803">
        <v>1596302</v>
      </c>
      <c r="K549" s="803">
        <v>124763</v>
      </c>
      <c r="L549" s="802">
        <v>50366</v>
      </c>
      <c r="M549" s="802"/>
      <c r="N549" s="803">
        <v>63831</v>
      </c>
      <c r="O549" s="803">
        <v>589187</v>
      </c>
      <c r="P549" s="803">
        <v>0</v>
      </c>
      <c r="Q549" s="802">
        <v>33170</v>
      </c>
      <c r="R549" s="802"/>
      <c r="S549" s="803">
        <v>486887</v>
      </c>
      <c r="T549" s="804">
        <v>9814</v>
      </c>
      <c r="U549" s="804">
        <v>496701</v>
      </c>
    </row>
    <row r="550" spans="1:21" x14ac:dyDescent="0.25">
      <c r="A550" s="799">
        <v>96031</v>
      </c>
      <c r="B550" s="800" t="s">
        <v>3164</v>
      </c>
      <c r="C550" s="801">
        <v>9.0189999999999997E-4</v>
      </c>
      <c r="D550" s="801">
        <v>8.116E-4</v>
      </c>
      <c r="E550" s="802">
        <v>268947</v>
      </c>
      <c r="F550" s="802">
        <v>364241</v>
      </c>
      <c r="G550" s="802">
        <v>1914134</v>
      </c>
      <c r="H550" s="802"/>
      <c r="I550" s="803">
        <v>35963</v>
      </c>
      <c r="J550" s="803">
        <v>1677391</v>
      </c>
      <c r="K550" s="803">
        <v>131101</v>
      </c>
      <c r="L550" s="802">
        <v>0</v>
      </c>
      <c r="M550" s="802"/>
      <c r="N550" s="803">
        <v>67073</v>
      </c>
      <c r="O550" s="803">
        <v>619116</v>
      </c>
      <c r="P550" s="803">
        <v>0</v>
      </c>
      <c r="Q550" s="802">
        <v>136310</v>
      </c>
      <c r="R550" s="802"/>
      <c r="S550" s="803">
        <v>511620</v>
      </c>
      <c r="T550" s="804">
        <v>-50978</v>
      </c>
      <c r="U550" s="804">
        <v>460642</v>
      </c>
    </row>
    <row r="551" spans="1:21" x14ac:dyDescent="0.25">
      <c r="A551" s="799">
        <v>96041</v>
      </c>
      <c r="B551" s="800" t="s">
        <v>3165</v>
      </c>
      <c r="C551" s="801">
        <v>1.7323E-3</v>
      </c>
      <c r="D551" s="801">
        <v>1.6793999999999999E-3</v>
      </c>
      <c r="E551" s="802">
        <v>616935</v>
      </c>
      <c r="F551" s="802">
        <v>753705</v>
      </c>
      <c r="G551" s="802">
        <v>3676521</v>
      </c>
      <c r="H551" s="802"/>
      <c r="I551" s="803">
        <v>69075</v>
      </c>
      <c r="J551" s="803">
        <v>3221804</v>
      </c>
      <c r="K551" s="803">
        <v>251809</v>
      </c>
      <c r="L551" s="802">
        <v>0</v>
      </c>
      <c r="M551" s="802"/>
      <c r="N551" s="803">
        <v>128829</v>
      </c>
      <c r="O551" s="803">
        <v>1189151</v>
      </c>
      <c r="P551" s="803">
        <v>0</v>
      </c>
      <c r="Q551" s="802">
        <v>127191</v>
      </c>
      <c r="R551" s="802"/>
      <c r="S551" s="803">
        <v>982680</v>
      </c>
      <c r="T551" s="804">
        <v>-45617</v>
      </c>
      <c r="U551" s="804">
        <v>937063</v>
      </c>
    </row>
    <row r="552" spans="1:21" x14ac:dyDescent="0.25">
      <c r="A552" s="799">
        <v>96051</v>
      </c>
      <c r="B552" s="800" t="s">
        <v>3166</v>
      </c>
      <c r="C552" s="801">
        <v>1.0258000000000001E-3</v>
      </c>
      <c r="D552" s="801">
        <v>1.0265999999999999E-3</v>
      </c>
      <c r="E552" s="802">
        <v>369762</v>
      </c>
      <c r="F552" s="802">
        <v>460732</v>
      </c>
      <c r="G552" s="802">
        <v>2177091</v>
      </c>
      <c r="H552" s="802"/>
      <c r="I552" s="803">
        <v>40904</v>
      </c>
      <c r="J552" s="803">
        <v>1907826</v>
      </c>
      <c r="K552" s="803">
        <v>149111</v>
      </c>
      <c r="L552" s="802">
        <v>0</v>
      </c>
      <c r="M552" s="802"/>
      <c r="N552" s="803">
        <v>76288</v>
      </c>
      <c r="O552" s="803">
        <v>704169</v>
      </c>
      <c r="P552" s="803">
        <v>0</v>
      </c>
      <c r="Q552" s="802">
        <v>94345</v>
      </c>
      <c r="R552" s="802"/>
      <c r="S552" s="803">
        <v>581905</v>
      </c>
      <c r="T552" s="804">
        <v>-32749</v>
      </c>
      <c r="U552" s="804">
        <v>549156</v>
      </c>
    </row>
    <row r="553" spans="1:21" x14ac:dyDescent="0.25">
      <c r="A553" s="799">
        <v>96061</v>
      </c>
      <c r="B553" s="800" t="s">
        <v>3167</v>
      </c>
      <c r="C553" s="801">
        <v>3.0800000000000001E-4</v>
      </c>
      <c r="D553" s="801">
        <v>3.1809999999999998E-4</v>
      </c>
      <c r="E553" s="802">
        <v>123610</v>
      </c>
      <c r="F553" s="802">
        <v>142761</v>
      </c>
      <c r="G553" s="802">
        <v>653679</v>
      </c>
      <c r="H553" s="802"/>
      <c r="I553" s="803">
        <v>12281.5</v>
      </c>
      <c r="J553" s="803">
        <v>572831</v>
      </c>
      <c r="K553" s="803">
        <v>44771</v>
      </c>
      <c r="L553" s="802">
        <v>2239</v>
      </c>
      <c r="M553" s="802"/>
      <c r="N553" s="803">
        <v>22906</v>
      </c>
      <c r="O553" s="803">
        <v>211429</v>
      </c>
      <c r="P553" s="803">
        <v>0</v>
      </c>
      <c r="Q553" s="802">
        <v>11106</v>
      </c>
      <c r="R553" s="802"/>
      <c r="S553" s="803">
        <v>174719</v>
      </c>
      <c r="T553" s="804">
        <v>-2865</v>
      </c>
      <c r="U553" s="804">
        <v>171854</v>
      </c>
    </row>
    <row r="554" spans="1:21" x14ac:dyDescent="0.25">
      <c r="A554" s="799">
        <v>96071</v>
      </c>
      <c r="B554" s="800" t="s">
        <v>3168</v>
      </c>
      <c r="C554" s="801">
        <v>1.1280999999999999E-3</v>
      </c>
      <c r="D554" s="801">
        <v>1.2979000000000001E-3</v>
      </c>
      <c r="E554" s="802">
        <v>475581.26</v>
      </c>
      <c r="F554" s="802">
        <v>582490</v>
      </c>
      <c r="G554" s="802">
        <v>2394206</v>
      </c>
      <c r="H554" s="802"/>
      <c r="I554" s="803">
        <v>44983</v>
      </c>
      <c r="J554" s="803">
        <v>2098088</v>
      </c>
      <c r="K554" s="803">
        <v>163982</v>
      </c>
      <c r="L554" s="802">
        <v>64300</v>
      </c>
      <c r="M554" s="802"/>
      <c r="N554" s="803">
        <v>83896</v>
      </c>
      <c r="O554" s="803">
        <v>774393</v>
      </c>
      <c r="P554" s="803">
        <v>0</v>
      </c>
      <c r="Q554" s="802">
        <v>103673</v>
      </c>
      <c r="R554" s="802"/>
      <c r="S554" s="803">
        <v>639936</v>
      </c>
      <c r="T554" s="804">
        <v>-9157</v>
      </c>
      <c r="U554" s="804">
        <v>630779</v>
      </c>
    </row>
    <row r="555" spans="1:21" x14ac:dyDescent="0.25">
      <c r="A555" s="799">
        <v>96081</v>
      </c>
      <c r="B555" s="800" t="s">
        <v>3169</v>
      </c>
      <c r="C555" s="801">
        <v>4.7820000000000002E-4</v>
      </c>
      <c r="D555" s="801">
        <v>4.3820000000000003E-4</v>
      </c>
      <c r="E555" s="802">
        <v>172267</v>
      </c>
      <c r="F555" s="802">
        <v>196662</v>
      </c>
      <c r="G555" s="802">
        <v>1014901</v>
      </c>
      <c r="H555" s="802"/>
      <c r="I555" s="803">
        <v>19068</v>
      </c>
      <c r="J555" s="803">
        <v>889376</v>
      </c>
      <c r="K555" s="803">
        <v>69512</v>
      </c>
      <c r="L555" s="802">
        <v>14379</v>
      </c>
      <c r="M555" s="802"/>
      <c r="N555" s="803">
        <v>35563</v>
      </c>
      <c r="O555" s="803">
        <v>328264</v>
      </c>
      <c r="P555" s="803">
        <v>0</v>
      </c>
      <c r="Q555" s="802">
        <v>6375</v>
      </c>
      <c r="R555" s="802"/>
      <c r="S555" s="803">
        <v>271268</v>
      </c>
      <c r="T555" s="804">
        <v>4406</v>
      </c>
      <c r="U555" s="804">
        <v>275674</v>
      </c>
    </row>
    <row r="556" spans="1:21" x14ac:dyDescent="0.25">
      <c r="A556" s="799">
        <v>96101</v>
      </c>
      <c r="B556" s="800" t="s">
        <v>3170</v>
      </c>
      <c r="C556" s="801">
        <v>7.5860000000000001E-4</v>
      </c>
      <c r="D556" s="801">
        <v>7.6990000000000001E-4</v>
      </c>
      <c r="E556" s="802">
        <v>313732</v>
      </c>
      <c r="F556" s="802">
        <v>345527</v>
      </c>
      <c r="G556" s="802">
        <v>1610003</v>
      </c>
      <c r="H556" s="802"/>
      <c r="I556" s="803">
        <v>30249</v>
      </c>
      <c r="J556" s="803">
        <v>1410876</v>
      </c>
      <c r="K556" s="803">
        <v>110271</v>
      </c>
      <c r="L556" s="802">
        <v>31021</v>
      </c>
      <c r="M556" s="802"/>
      <c r="N556" s="803">
        <v>56416</v>
      </c>
      <c r="O556" s="803">
        <v>520747</v>
      </c>
      <c r="P556" s="803">
        <v>0</v>
      </c>
      <c r="Q556" s="802">
        <v>4721</v>
      </c>
      <c r="R556" s="802"/>
      <c r="S556" s="803">
        <v>430330</v>
      </c>
      <c r="T556" s="804">
        <v>11900</v>
      </c>
      <c r="U556" s="804">
        <v>442230</v>
      </c>
    </row>
    <row r="557" spans="1:21" x14ac:dyDescent="0.25">
      <c r="A557" s="799">
        <v>96102</v>
      </c>
      <c r="B557" s="800" t="s">
        <v>3171</v>
      </c>
      <c r="C557" s="801">
        <v>1.42E-5</v>
      </c>
      <c r="D557" s="801">
        <v>1.3699999999999999E-5</v>
      </c>
      <c r="E557" s="802">
        <v>4769.91</v>
      </c>
      <c r="F557" s="802">
        <v>6148</v>
      </c>
      <c r="G557" s="802">
        <v>30137</v>
      </c>
      <c r="H557" s="802"/>
      <c r="I557" s="803">
        <v>566.22500000000002</v>
      </c>
      <c r="J557" s="803">
        <v>26410</v>
      </c>
      <c r="K557" s="803">
        <v>2064</v>
      </c>
      <c r="L557" s="802">
        <v>0</v>
      </c>
      <c r="M557" s="802"/>
      <c r="N557" s="803">
        <v>1056</v>
      </c>
      <c r="O557" s="803">
        <v>9748</v>
      </c>
      <c r="P557" s="803">
        <v>0</v>
      </c>
      <c r="Q557" s="802">
        <v>2903</v>
      </c>
      <c r="R557" s="802"/>
      <c r="S557" s="803">
        <v>8055</v>
      </c>
      <c r="T557" s="804">
        <v>-1101</v>
      </c>
      <c r="U557" s="804">
        <v>6954</v>
      </c>
    </row>
    <row r="558" spans="1:21" x14ac:dyDescent="0.25">
      <c r="A558" s="799">
        <v>96111</v>
      </c>
      <c r="B558" s="800" t="s">
        <v>3172</v>
      </c>
      <c r="C558" s="801">
        <v>1.6119999999999999E-4</v>
      </c>
      <c r="D558" s="801">
        <v>1.616E-4</v>
      </c>
      <c r="E558" s="802">
        <v>70991.37</v>
      </c>
      <c r="F558" s="802">
        <v>72525</v>
      </c>
      <c r="G558" s="802">
        <v>342120</v>
      </c>
      <c r="H558" s="802"/>
      <c r="I558" s="803">
        <v>6428</v>
      </c>
      <c r="J558" s="803">
        <v>299807</v>
      </c>
      <c r="K558" s="803">
        <v>23432</v>
      </c>
      <c r="L558" s="802">
        <v>16577</v>
      </c>
      <c r="M558" s="802"/>
      <c r="N558" s="803">
        <v>11988</v>
      </c>
      <c r="O558" s="803">
        <v>110657</v>
      </c>
      <c r="P558" s="803">
        <v>0</v>
      </c>
      <c r="Q558" s="802">
        <v>0</v>
      </c>
      <c r="R558" s="802"/>
      <c r="S558" s="803">
        <v>91444</v>
      </c>
      <c r="T558" s="804">
        <v>7175</v>
      </c>
      <c r="U558" s="804">
        <v>98618</v>
      </c>
    </row>
    <row r="559" spans="1:21" x14ac:dyDescent="0.25">
      <c r="A559" s="799">
        <v>96121</v>
      </c>
      <c r="B559" s="800" t="s">
        <v>3173</v>
      </c>
      <c r="C559" s="801">
        <v>2.2099999999999998E-5</v>
      </c>
      <c r="D559" s="801">
        <v>1.9199999999999999E-5</v>
      </c>
      <c r="E559" s="802">
        <v>7784.73</v>
      </c>
      <c r="F559" s="802">
        <v>8617</v>
      </c>
      <c r="G559" s="802">
        <v>46904</v>
      </c>
      <c r="H559" s="802"/>
      <c r="I559" s="803">
        <v>881.23749999999995</v>
      </c>
      <c r="J559" s="803">
        <v>41103</v>
      </c>
      <c r="K559" s="803">
        <v>3212</v>
      </c>
      <c r="L559" s="802">
        <v>535</v>
      </c>
      <c r="M559" s="802"/>
      <c r="N559" s="803">
        <v>1644</v>
      </c>
      <c r="O559" s="803">
        <v>15171</v>
      </c>
      <c r="P559" s="803">
        <v>0</v>
      </c>
      <c r="Q559" s="802">
        <v>1907</v>
      </c>
      <c r="R559" s="802"/>
      <c r="S559" s="803">
        <v>12537</v>
      </c>
      <c r="T559" s="804">
        <v>-758</v>
      </c>
      <c r="U559" s="804">
        <v>11779</v>
      </c>
    </row>
    <row r="560" spans="1:21" x14ac:dyDescent="0.25">
      <c r="A560" s="799">
        <v>96201</v>
      </c>
      <c r="B560" s="800" t="s">
        <v>3174</v>
      </c>
      <c r="C560" s="801">
        <v>1.2302999999999999E-3</v>
      </c>
      <c r="D560" s="801">
        <v>1.2474000000000001E-3</v>
      </c>
      <c r="E560" s="802">
        <v>481242.57</v>
      </c>
      <c r="F560" s="802">
        <v>559826</v>
      </c>
      <c r="G560" s="802">
        <v>2611109</v>
      </c>
      <c r="H560" s="802"/>
      <c r="I560" s="803">
        <v>49058</v>
      </c>
      <c r="J560" s="803">
        <v>2288164</v>
      </c>
      <c r="K560" s="803">
        <v>178838</v>
      </c>
      <c r="L560" s="802">
        <v>0</v>
      </c>
      <c r="M560" s="802"/>
      <c r="N560" s="803">
        <v>91496</v>
      </c>
      <c r="O560" s="803">
        <v>844549</v>
      </c>
      <c r="P560" s="803">
        <v>0</v>
      </c>
      <c r="Q560" s="802">
        <v>39692</v>
      </c>
      <c r="R560" s="802"/>
      <c r="S560" s="803">
        <v>697911</v>
      </c>
      <c r="T560" s="804">
        <v>-11921</v>
      </c>
      <c r="U560" s="804">
        <v>685990</v>
      </c>
    </row>
    <row r="561" spans="1:21" x14ac:dyDescent="0.25">
      <c r="A561" s="799">
        <v>96204</v>
      </c>
      <c r="B561" s="800" t="s">
        <v>3175</v>
      </c>
      <c r="C561" s="801">
        <v>1.5400000000000002E-5</v>
      </c>
      <c r="D561" s="801">
        <v>1.49E-5</v>
      </c>
      <c r="E561" s="802">
        <v>7656</v>
      </c>
      <c r="F561" s="802">
        <v>6687</v>
      </c>
      <c r="G561" s="802">
        <v>32684</v>
      </c>
      <c r="H561" s="802"/>
      <c r="I561" s="803">
        <v>614</v>
      </c>
      <c r="J561" s="803">
        <v>28642</v>
      </c>
      <c r="K561" s="803">
        <v>2239</v>
      </c>
      <c r="L561" s="802">
        <v>3853</v>
      </c>
      <c r="M561" s="802"/>
      <c r="N561" s="803">
        <v>1145</v>
      </c>
      <c r="O561" s="803">
        <v>10571</v>
      </c>
      <c r="P561" s="803">
        <v>0</v>
      </c>
      <c r="Q561" s="802">
        <v>0</v>
      </c>
      <c r="R561" s="802"/>
      <c r="S561" s="803">
        <v>8736</v>
      </c>
      <c r="T561" s="804">
        <v>1392</v>
      </c>
      <c r="U561" s="804">
        <v>10127</v>
      </c>
    </row>
    <row r="562" spans="1:21" x14ac:dyDescent="0.25">
      <c r="A562" s="799">
        <v>96211</v>
      </c>
      <c r="B562" s="800" t="s">
        <v>3176</v>
      </c>
      <c r="C562" s="801">
        <v>3.0700000000000001E-5</v>
      </c>
      <c r="D562" s="801">
        <v>2.7399999999999999E-5</v>
      </c>
      <c r="E562" s="802">
        <v>14055.49</v>
      </c>
      <c r="F562" s="802">
        <v>12297</v>
      </c>
      <c r="G562" s="802">
        <v>65156</v>
      </c>
      <c r="H562" s="802"/>
      <c r="I562" s="803">
        <v>1224</v>
      </c>
      <c r="J562" s="803">
        <v>57097</v>
      </c>
      <c r="K562" s="803">
        <v>4463</v>
      </c>
      <c r="L562" s="802">
        <v>5441</v>
      </c>
      <c r="M562" s="802"/>
      <c r="N562" s="803">
        <v>2283</v>
      </c>
      <c r="O562" s="803">
        <v>21074</v>
      </c>
      <c r="P562" s="803">
        <v>0</v>
      </c>
      <c r="Q562" s="802">
        <v>8968.93</v>
      </c>
      <c r="R562" s="802"/>
      <c r="S562" s="803">
        <v>17415</v>
      </c>
      <c r="T562" s="804">
        <v>-2857</v>
      </c>
      <c r="U562" s="804">
        <v>14558</v>
      </c>
    </row>
    <row r="563" spans="1:21" x14ac:dyDescent="0.25">
      <c r="A563" s="799">
        <v>96221</v>
      </c>
      <c r="B563" s="800" t="s">
        <v>3177</v>
      </c>
      <c r="C563" s="801">
        <v>2.287E-4</v>
      </c>
      <c r="D563" s="801">
        <v>2.3719999999999999E-4</v>
      </c>
      <c r="E563" s="802">
        <v>88753.9</v>
      </c>
      <c r="F563" s="802">
        <v>106454</v>
      </c>
      <c r="G563" s="802">
        <v>485378</v>
      </c>
      <c r="H563" s="802"/>
      <c r="I563" s="803">
        <v>9119</v>
      </c>
      <c r="J563" s="803">
        <v>425346</v>
      </c>
      <c r="K563" s="803">
        <v>33244</v>
      </c>
      <c r="L563" s="802">
        <v>4903</v>
      </c>
      <c r="M563" s="802"/>
      <c r="N563" s="803">
        <v>17008</v>
      </c>
      <c r="O563" s="803">
        <v>156993</v>
      </c>
      <c r="P563" s="803">
        <v>0</v>
      </c>
      <c r="Q563" s="802">
        <v>16105</v>
      </c>
      <c r="R563" s="802"/>
      <c r="S563" s="803">
        <v>129734</v>
      </c>
      <c r="T563" s="804">
        <v>-2405</v>
      </c>
      <c r="U563" s="804">
        <v>127329</v>
      </c>
    </row>
    <row r="564" spans="1:21" x14ac:dyDescent="0.25">
      <c r="A564" s="799">
        <v>96231</v>
      </c>
      <c r="B564" s="800" t="s">
        <v>3178</v>
      </c>
      <c r="C564" s="801">
        <v>1.145E-4</v>
      </c>
      <c r="D564" s="801">
        <v>1.2420000000000001E-4</v>
      </c>
      <c r="E564" s="802">
        <v>40508</v>
      </c>
      <c r="F564" s="802">
        <v>55740</v>
      </c>
      <c r="G564" s="802">
        <v>243007</v>
      </c>
      <c r="H564" s="802"/>
      <c r="I564" s="803">
        <v>4565.6875</v>
      </c>
      <c r="J564" s="803">
        <v>212952</v>
      </c>
      <c r="K564" s="803">
        <v>16644</v>
      </c>
      <c r="L564" s="802">
        <v>0</v>
      </c>
      <c r="M564" s="802"/>
      <c r="N564" s="803">
        <v>8515</v>
      </c>
      <c r="O564" s="803">
        <v>78599</v>
      </c>
      <c r="P564" s="803">
        <v>0</v>
      </c>
      <c r="Q564" s="802">
        <v>22692</v>
      </c>
      <c r="R564" s="802"/>
      <c r="S564" s="803">
        <v>64952</v>
      </c>
      <c r="T564" s="804">
        <v>-7733</v>
      </c>
      <c r="U564" s="804">
        <v>57219</v>
      </c>
    </row>
    <row r="565" spans="1:21" x14ac:dyDescent="0.25">
      <c r="A565" s="799">
        <v>96241</v>
      </c>
      <c r="B565" s="800" t="s">
        <v>3179</v>
      </c>
      <c r="C565" s="801">
        <v>4.6100000000000002E-5</v>
      </c>
      <c r="D565" s="801">
        <v>5.7000000000000003E-5</v>
      </c>
      <c r="E565" s="802">
        <v>18964.25</v>
      </c>
      <c r="F565" s="802">
        <v>25581</v>
      </c>
      <c r="G565" s="802">
        <v>97840</v>
      </c>
      <c r="H565" s="802"/>
      <c r="I565" s="803">
        <v>1838</v>
      </c>
      <c r="J565" s="803">
        <v>85739</v>
      </c>
      <c r="K565" s="803">
        <v>6701</v>
      </c>
      <c r="L565" s="802">
        <v>7866</v>
      </c>
      <c r="M565" s="802"/>
      <c r="N565" s="803">
        <v>3428</v>
      </c>
      <c r="O565" s="803">
        <v>31646</v>
      </c>
      <c r="P565" s="803">
        <v>0</v>
      </c>
      <c r="Q565" s="802">
        <v>5900</v>
      </c>
      <c r="R565" s="802"/>
      <c r="S565" s="803">
        <v>26151</v>
      </c>
      <c r="T565" s="804">
        <v>2187</v>
      </c>
      <c r="U565" s="804">
        <v>28338</v>
      </c>
    </row>
    <row r="566" spans="1:21" x14ac:dyDescent="0.25">
      <c r="A566" s="799">
        <v>96251</v>
      </c>
      <c r="B566" s="800" t="s">
        <v>3180</v>
      </c>
      <c r="C566" s="801">
        <v>7.7100000000000004E-5</v>
      </c>
      <c r="D566" s="801">
        <v>9.0699999999999996E-5</v>
      </c>
      <c r="E566" s="802">
        <v>29404.75</v>
      </c>
      <c r="F566" s="802">
        <v>40706</v>
      </c>
      <c r="G566" s="802">
        <v>163632</v>
      </c>
      <c r="H566" s="802"/>
      <c r="I566" s="803">
        <v>3074</v>
      </c>
      <c r="J566" s="803">
        <v>143394</v>
      </c>
      <c r="K566" s="803">
        <v>11207</v>
      </c>
      <c r="L566" s="802">
        <v>0</v>
      </c>
      <c r="M566" s="802"/>
      <c r="N566" s="803">
        <v>5734</v>
      </c>
      <c r="O566" s="803">
        <v>52926</v>
      </c>
      <c r="P566" s="803">
        <v>0</v>
      </c>
      <c r="Q566" s="802">
        <v>25538</v>
      </c>
      <c r="R566" s="802"/>
      <c r="S566" s="803">
        <v>43736</v>
      </c>
      <c r="T566" s="804">
        <v>-8652</v>
      </c>
      <c r="U566" s="804">
        <v>35085</v>
      </c>
    </row>
    <row r="567" spans="1:21" x14ac:dyDescent="0.25">
      <c r="A567" s="799">
        <v>96301</v>
      </c>
      <c r="B567" s="800" t="s">
        <v>3181</v>
      </c>
      <c r="C567" s="801">
        <v>4.3785999999999999E-3</v>
      </c>
      <c r="D567" s="801">
        <v>4.5367999999999997E-3</v>
      </c>
      <c r="E567" s="802">
        <v>1765529</v>
      </c>
      <c r="F567" s="802">
        <v>2036089</v>
      </c>
      <c r="G567" s="802">
        <v>9292856</v>
      </c>
      <c r="H567" s="802"/>
      <c r="I567" s="803">
        <v>174597</v>
      </c>
      <c r="J567" s="803">
        <v>8143504</v>
      </c>
      <c r="K567" s="803">
        <v>636478</v>
      </c>
      <c r="L567" s="802">
        <v>94185</v>
      </c>
      <c r="M567" s="802"/>
      <c r="N567" s="803">
        <v>325632</v>
      </c>
      <c r="O567" s="803">
        <v>3005725</v>
      </c>
      <c r="P567" s="803">
        <v>0</v>
      </c>
      <c r="Q567" s="802">
        <v>147101</v>
      </c>
      <c r="R567" s="802"/>
      <c r="S567" s="803">
        <v>2483844</v>
      </c>
      <c r="T567" s="804">
        <v>-12863</v>
      </c>
      <c r="U567" s="804">
        <v>2470981</v>
      </c>
    </row>
    <row r="568" spans="1:21" x14ac:dyDescent="0.25">
      <c r="A568" s="799">
        <v>96302</v>
      </c>
      <c r="B568" s="800" t="s">
        <v>3182</v>
      </c>
      <c r="C568" s="801">
        <v>1.9199999999999999E-5</v>
      </c>
      <c r="D568" s="801">
        <v>1.42E-5</v>
      </c>
      <c r="E568" s="802">
        <v>6636.09</v>
      </c>
      <c r="F568" s="802">
        <v>6373</v>
      </c>
      <c r="G568" s="802">
        <v>40749</v>
      </c>
      <c r="H568" s="802"/>
      <c r="I568" s="803">
        <v>766</v>
      </c>
      <c r="J568" s="803">
        <v>35709</v>
      </c>
      <c r="K568" s="803">
        <v>2791</v>
      </c>
      <c r="L568" s="802">
        <v>4449</v>
      </c>
      <c r="M568" s="802"/>
      <c r="N568" s="803">
        <v>1428</v>
      </c>
      <c r="O568" s="803">
        <v>13180</v>
      </c>
      <c r="P568" s="803">
        <v>0</v>
      </c>
      <c r="Q568" s="802">
        <v>0</v>
      </c>
      <c r="R568" s="802"/>
      <c r="S568" s="803">
        <v>10892</v>
      </c>
      <c r="T568" s="804">
        <v>1514</v>
      </c>
      <c r="U568" s="804">
        <v>12406</v>
      </c>
    </row>
    <row r="569" spans="1:21" x14ac:dyDescent="0.25">
      <c r="A569" s="799">
        <v>96304</v>
      </c>
      <c r="B569" s="800" t="s">
        <v>3183</v>
      </c>
      <c r="C569" s="801">
        <v>5.4599999999999999E-5</v>
      </c>
      <c r="D569" s="801">
        <v>5.24E-5</v>
      </c>
      <c r="E569" s="802">
        <v>25715.360000000001</v>
      </c>
      <c r="F569" s="802">
        <v>23517</v>
      </c>
      <c r="G569" s="802">
        <v>115879</v>
      </c>
      <c r="H569" s="802"/>
      <c r="I569" s="803">
        <v>2177</v>
      </c>
      <c r="J569" s="803">
        <v>101547</v>
      </c>
      <c r="K569" s="803">
        <v>7937</v>
      </c>
      <c r="L569" s="802">
        <v>7913</v>
      </c>
      <c r="M569" s="802"/>
      <c r="N569" s="803">
        <v>4061</v>
      </c>
      <c r="O569" s="803">
        <v>37481</v>
      </c>
      <c r="P569" s="803">
        <v>0</v>
      </c>
      <c r="Q569" s="802">
        <v>231</v>
      </c>
      <c r="R569" s="802"/>
      <c r="S569" s="803">
        <v>30973</v>
      </c>
      <c r="T569" s="804">
        <v>2329</v>
      </c>
      <c r="U569" s="804">
        <v>33302</v>
      </c>
    </row>
    <row r="570" spans="1:21" x14ac:dyDescent="0.25">
      <c r="A570" s="799">
        <v>96305</v>
      </c>
      <c r="B570" s="800" t="s">
        <v>3184</v>
      </c>
      <c r="C570" s="801">
        <v>4.8199999999999999E-5</v>
      </c>
      <c r="D570" s="801">
        <v>5.0399999999999999E-5</v>
      </c>
      <c r="E570" s="802">
        <v>28361</v>
      </c>
      <c r="F570" s="802">
        <v>22619</v>
      </c>
      <c r="G570" s="802">
        <v>102297</v>
      </c>
      <c r="H570" s="802"/>
      <c r="I570" s="803">
        <v>1921.9749999999999</v>
      </c>
      <c r="J570" s="803">
        <v>89644</v>
      </c>
      <c r="K570" s="803">
        <v>7006</v>
      </c>
      <c r="L570" s="802">
        <v>10711</v>
      </c>
      <c r="M570" s="802"/>
      <c r="N570" s="803">
        <v>3585</v>
      </c>
      <c r="O570" s="803">
        <v>33087</v>
      </c>
      <c r="P570" s="803">
        <v>0</v>
      </c>
      <c r="Q570" s="802">
        <v>0</v>
      </c>
      <c r="R570" s="802"/>
      <c r="S570" s="803">
        <v>27342</v>
      </c>
      <c r="T570" s="804">
        <v>3278</v>
      </c>
      <c r="U570" s="804">
        <v>30620</v>
      </c>
    </row>
    <row r="571" spans="1:21" x14ac:dyDescent="0.25">
      <c r="A571" s="799">
        <v>96310</v>
      </c>
      <c r="B571" s="800" t="s">
        <v>3185</v>
      </c>
      <c r="C571" s="801">
        <v>4.88E-5</v>
      </c>
      <c r="D571" s="801">
        <v>6.1299999999999999E-5</v>
      </c>
      <c r="E571" s="802">
        <v>23403</v>
      </c>
      <c r="F571" s="802">
        <v>27511</v>
      </c>
      <c r="G571" s="802">
        <v>103570</v>
      </c>
      <c r="H571" s="802"/>
      <c r="I571" s="803">
        <v>1945.9</v>
      </c>
      <c r="J571" s="803">
        <v>90760</v>
      </c>
      <c r="K571" s="803">
        <v>7094</v>
      </c>
      <c r="L571" s="802">
        <v>6056</v>
      </c>
      <c r="M571" s="802"/>
      <c r="N571" s="803">
        <v>3629</v>
      </c>
      <c r="O571" s="803">
        <v>33499</v>
      </c>
      <c r="P571" s="803">
        <v>0</v>
      </c>
      <c r="Q571" s="802">
        <v>4123</v>
      </c>
      <c r="R571" s="802"/>
      <c r="S571" s="803">
        <v>27683</v>
      </c>
      <c r="T571" s="804">
        <v>1701</v>
      </c>
      <c r="U571" s="804">
        <v>29384</v>
      </c>
    </row>
    <row r="572" spans="1:21" x14ac:dyDescent="0.25">
      <c r="A572" s="799">
        <v>96311</v>
      </c>
      <c r="B572" s="800" t="s">
        <v>3186</v>
      </c>
      <c r="C572" s="801">
        <v>1.4082999999999999E-3</v>
      </c>
      <c r="D572" s="801">
        <v>1.4383E-3</v>
      </c>
      <c r="E572" s="802">
        <v>512325.3</v>
      </c>
      <c r="F572" s="802">
        <v>645500</v>
      </c>
      <c r="G572" s="802">
        <v>2988884</v>
      </c>
      <c r="H572" s="802"/>
      <c r="I572" s="803">
        <v>56156</v>
      </c>
      <c r="J572" s="803">
        <v>2619215</v>
      </c>
      <c r="K572" s="803">
        <v>204712</v>
      </c>
      <c r="L572" s="802">
        <v>22194.47</v>
      </c>
      <c r="M572" s="802"/>
      <c r="N572" s="803">
        <v>104734</v>
      </c>
      <c r="O572" s="803">
        <v>966739</v>
      </c>
      <c r="P572" s="803">
        <v>0</v>
      </c>
      <c r="Q572" s="802">
        <v>96281</v>
      </c>
      <c r="R572" s="802"/>
      <c r="S572" s="803">
        <v>798885</v>
      </c>
      <c r="T572" s="804">
        <v>-16365</v>
      </c>
      <c r="U572" s="804">
        <v>782520</v>
      </c>
    </row>
    <row r="573" spans="1:21" x14ac:dyDescent="0.25">
      <c r="A573" s="799">
        <v>96312</v>
      </c>
      <c r="B573" s="800" t="s">
        <v>3187</v>
      </c>
      <c r="C573" s="801">
        <v>1.5999999999999999E-6</v>
      </c>
      <c r="D573" s="801">
        <v>4.7999999999999998E-6</v>
      </c>
      <c r="E573" s="802">
        <v>1992</v>
      </c>
      <c r="F573" s="802">
        <v>2154</v>
      </c>
      <c r="G573" s="802">
        <v>3396</v>
      </c>
      <c r="H573" s="802"/>
      <c r="I573" s="803">
        <v>63.8</v>
      </c>
      <c r="J573" s="803">
        <v>2976</v>
      </c>
      <c r="K573" s="803">
        <v>233</v>
      </c>
      <c r="L573" s="802">
        <v>51</v>
      </c>
      <c r="M573" s="802"/>
      <c r="N573" s="803">
        <v>119</v>
      </c>
      <c r="O573" s="803">
        <v>1098</v>
      </c>
      <c r="P573" s="803">
        <v>0</v>
      </c>
      <c r="Q573" s="802">
        <v>3416</v>
      </c>
      <c r="R573" s="802"/>
      <c r="S573" s="803">
        <v>908</v>
      </c>
      <c r="T573" s="804">
        <v>-1534</v>
      </c>
      <c r="U573" s="804">
        <v>-627</v>
      </c>
    </row>
    <row r="574" spans="1:21" x14ac:dyDescent="0.25">
      <c r="A574" s="799">
        <v>96318</v>
      </c>
      <c r="B574" s="800" t="s">
        <v>3188</v>
      </c>
      <c r="C574" s="801">
        <v>1.7782E-3</v>
      </c>
      <c r="D574" s="801">
        <v>0</v>
      </c>
      <c r="E574" s="802">
        <v>12089019</v>
      </c>
      <c r="F574" s="802">
        <v>0</v>
      </c>
      <c r="G574" s="802">
        <v>3773936</v>
      </c>
      <c r="H574" s="802"/>
      <c r="I574" s="803">
        <v>70906</v>
      </c>
      <c r="J574" s="803">
        <v>3307171</v>
      </c>
      <c r="K574" s="803">
        <v>258481</v>
      </c>
      <c r="L574" s="802">
        <v>9984043</v>
      </c>
      <c r="M574" s="802"/>
      <c r="N574" s="803">
        <v>132243</v>
      </c>
      <c r="O574" s="803">
        <v>1220660</v>
      </c>
      <c r="P574" s="803">
        <v>0</v>
      </c>
      <c r="Q574" s="802">
        <v>0</v>
      </c>
      <c r="R574" s="802"/>
      <c r="S574" s="803">
        <v>1008718</v>
      </c>
      <c r="T574" s="804">
        <v>2586540</v>
      </c>
      <c r="U574" s="804">
        <v>3595257</v>
      </c>
    </row>
    <row r="575" spans="1:21" x14ac:dyDescent="0.25">
      <c r="A575" s="799">
        <v>96321</v>
      </c>
      <c r="B575" s="800" t="s">
        <v>3189</v>
      </c>
      <c r="C575" s="801">
        <v>3.7400000000000001E-5</v>
      </c>
      <c r="D575" s="801">
        <v>3.9700000000000003E-5</v>
      </c>
      <c r="E575" s="802">
        <v>13314.68</v>
      </c>
      <c r="F575" s="802">
        <v>17817</v>
      </c>
      <c r="G575" s="802">
        <v>79375</v>
      </c>
      <c r="H575" s="802"/>
      <c r="I575" s="803">
        <v>1491.325</v>
      </c>
      <c r="J575" s="803">
        <v>69558</v>
      </c>
      <c r="K575" s="803">
        <v>5437</v>
      </c>
      <c r="L575" s="802">
        <v>837</v>
      </c>
      <c r="M575" s="802"/>
      <c r="N575" s="803">
        <v>2781</v>
      </c>
      <c r="O575" s="803">
        <v>25674</v>
      </c>
      <c r="P575" s="803">
        <v>0</v>
      </c>
      <c r="Q575" s="802">
        <v>3510</v>
      </c>
      <c r="R575" s="802"/>
      <c r="S575" s="803">
        <v>21216</v>
      </c>
      <c r="T575" s="804">
        <v>-764</v>
      </c>
      <c r="U575" s="804">
        <v>20452</v>
      </c>
    </row>
    <row r="576" spans="1:21" x14ac:dyDescent="0.25">
      <c r="A576" s="799">
        <v>96331</v>
      </c>
      <c r="B576" s="800" t="s">
        <v>3190</v>
      </c>
      <c r="C576" s="801">
        <v>7.1699999999999997E-4</v>
      </c>
      <c r="D576" s="801">
        <v>7.6110000000000001E-4</v>
      </c>
      <c r="E576" s="802">
        <v>265185</v>
      </c>
      <c r="F576" s="802">
        <v>341577</v>
      </c>
      <c r="G576" s="802">
        <v>1521714</v>
      </c>
      <c r="H576" s="802"/>
      <c r="I576" s="803">
        <v>28590.375</v>
      </c>
      <c r="J576" s="803">
        <v>1333507</v>
      </c>
      <c r="K576" s="803">
        <v>104224</v>
      </c>
      <c r="L576" s="802">
        <v>4814</v>
      </c>
      <c r="M576" s="802"/>
      <c r="N576" s="803">
        <v>53323</v>
      </c>
      <c r="O576" s="803">
        <v>492190</v>
      </c>
      <c r="P576" s="803">
        <v>0</v>
      </c>
      <c r="Q576" s="802">
        <v>66351</v>
      </c>
      <c r="R576" s="802"/>
      <c r="S576" s="803">
        <v>406732</v>
      </c>
      <c r="T576" s="804">
        <v>-20081</v>
      </c>
      <c r="U576" s="804">
        <v>386651</v>
      </c>
    </row>
    <row r="577" spans="1:21" x14ac:dyDescent="0.25">
      <c r="A577" s="799">
        <v>96341</v>
      </c>
      <c r="B577" s="800" t="s">
        <v>3191</v>
      </c>
      <c r="C577" s="801">
        <v>9.1600000000000004E-5</v>
      </c>
      <c r="D577" s="801">
        <v>8.0799999999999999E-5</v>
      </c>
      <c r="E577" s="802">
        <v>32432</v>
      </c>
      <c r="F577" s="802">
        <v>36263</v>
      </c>
      <c r="G577" s="802">
        <v>194406</v>
      </c>
      <c r="H577" s="802"/>
      <c r="I577" s="803">
        <v>3652.55</v>
      </c>
      <c r="J577" s="803">
        <v>170362</v>
      </c>
      <c r="K577" s="803">
        <v>13315</v>
      </c>
      <c r="L577" s="802">
        <v>13221</v>
      </c>
      <c r="M577" s="802"/>
      <c r="N577" s="803">
        <v>6812</v>
      </c>
      <c r="O577" s="803">
        <v>62880</v>
      </c>
      <c r="P577" s="803">
        <v>0</v>
      </c>
      <c r="Q577" s="802">
        <v>11187.78</v>
      </c>
      <c r="R577" s="802"/>
      <c r="S577" s="803">
        <v>51962</v>
      </c>
      <c r="T577" s="804">
        <v>-1095</v>
      </c>
      <c r="U577" s="804">
        <v>50867</v>
      </c>
    </row>
    <row r="578" spans="1:21" x14ac:dyDescent="0.25">
      <c r="A578" s="799">
        <v>96351</v>
      </c>
      <c r="B578" s="800" t="s">
        <v>3192</v>
      </c>
      <c r="C578" s="801">
        <v>1.0736000000000001E-3</v>
      </c>
      <c r="D578" s="801">
        <v>1.0939999999999999E-3</v>
      </c>
      <c r="E578" s="802">
        <v>419131</v>
      </c>
      <c r="F578" s="802">
        <v>490981</v>
      </c>
      <c r="G578" s="802">
        <v>2278539</v>
      </c>
      <c r="H578" s="802"/>
      <c r="I578" s="803">
        <v>42809.8</v>
      </c>
      <c r="J578" s="803">
        <v>1996726</v>
      </c>
      <c r="K578" s="803">
        <v>156060</v>
      </c>
      <c r="L578" s="802">
        <v>9467</v>
      </c>
      <c r="M578" s="802"/>
      <c r="N578" s="803">
        <v>79843</v>
      </c>
      <c r="O578" s="803">
        <v>736981</v>
      </c>
      <c r="P578" s="803">
        <v>0</v>
      </c>
      <c r="Q578" s="802">
        <v>28826</v>
      </c>
      <c r="R578" s="802"/>
      <c r="S578" s="803">
        <v>609020</v>
      </c>
      <c r="T578" s="804">
        <v>-3422</v>
      </c>
      <c r="U578" s="804">
        <v>605598</v>
      </c>
    </row>
    <row r="579" spans="1:21" x14ac:dyDescent="0.25">
      <c r="A579" s="799">
        <v>96361</v>
      </c>
      <c r="B579" s="800" t="s">
        <v>3193</v>
      </c>
      <c r="C579" s="801">
        <v>5.8900000000000002E-5</v>
      </c>
      <c r="D579" s="801">
        <v>4.8999999999999998E-5</v>
      </c>
      <c r="E579" s="802">
        <v>21511</v>
      </c>
      <c r="F579" s="802">
        <v>21991</v>
      </c>
      <c r="G579" s="802">
        <v>125006</v>
      </c>
      <c r="H579" s="802"/>
      <c r="I579" s="803">
        <v>2349</v>
      </c>
      <c r="J579" s="803">
        <v>109545</v>
      </c>
      <c r="K579" s="803">
        <v>8562</v>
      </c>
      <c r="L579" s="802">
        <v>5269</v>
      </c>
      <c r="M579" s="802"/>
      <c r="N579" s="803">
        <v>4380</v>
      </c>
      <c r="O579" s="803">
        <v>40432</v>
      </c>
      <c r="P579" s="803">
        <v>0</v>
      </c>
      <c r="Q579" s="802">
        <v>390</v>
      </c>
      <c r="R579" s="802"/>
      <c r="S579" s="803">
        <v>33412</v>
      </c>
      <c r="T579" s="804">
        <v>1728</v>
      </c>
      <c r="U579" s="804">
        <v>35140</v>
      </c>
    </row>
    <row r="580" spans="1:21" x14ac:dyDescent="0.25">
      <c r="A580" s="799">
        <v>96371</v>
      </c>
      <c r="B580" s="800" t="s">
        <v>3194</v>
      </c>
      <c r="C580" s="801">
        <v>1.6359999999999999E-4</v>
      </c>
      <c r="D580" s="801">
        <v>1.6760000000000001E-4</v>
      </c>
      <c r="E580" s="802">
        <v>62917</v>
      </c>
      <c r="F580" s="802">
        <v>75218</v>
      </c>
      <c r="G580" s="802">
        <v>347214</v>
      </c>
      <c r="H580" s="802"/>
      <c r="I580" s="803">
        <v>6524</v>
      </c>
      <c r="J580" s="803">
        <v>304270</v>
      </c>
      <c r="K580" s="803">
        <v>23781</v>
      </c>
      <c r="L580" s="802">
        <v>2683</v>
      </c>
      <c r="M580" s="802"/>
      <c r="N580" s="803">
        <v>12167</v>
      </c>
      <c r="O580" s="803">
        <v>112305</v>
      </c>
      <c r="P580" s="803">
        <v>0</v>
      </c>
      <c r="Q580" s="802">
        <v>7435</v>
      </c>
      <c r="R580" s="802"/>
      <c r="S580" s="803">
        <v>92805</v>
      </c>
      <c r="T580" s="804">
        <v>-750</v>
      </c>
      <c r="U580" s="804">
        <v>92055</v>
      </c>
    </row>
    <row r="581" spans="1:21" x14ac:dyDescent="0.25">
      <c r="A581" s="799">
        <v>96381</v>
      </c>
      <c r="B581" s="800" t="s">
        <v>3195</v>
      </c>
      <c r="C581" s="801">
        <v>3.26E-5</v>
      </c>
      <c r="D581" s="801">
        <v>2.9600000000000001E-5</v>
      </c>
      <c r="E581" s="802">
        <v>11485.45</v>
      </c>
      <c r="F581" s="802">
        <v>13284</v>
      </c>
      <c r="G581" s="802">
        <v>69188</v>
      </c>
      <c r="H581" s="802"/>
      <c r="I581" s="803">
        <v>1299.925</v>
      </c>
      <c r="J581" s="803">
        <v>60631</v>
      </c>
      <c r="K581" s="803">
        <v>4739</v>
      </c>
      <c r="L581" s="802">
        <v>99</v>
      </c>
      <c r="M581" s="802"/>
      <c r="N581" s="803">
        <v>2424</v>
      </c>
      <c r="O581" s="803">
        <v>22379</v>
      </c>
      <c r="P581" s="803">
        <v>0</v>
      </c>
      <c r="Q581" s="802">
        <v>3089</v>
      </c>
      <c r="R581" s="802"/>
      <c r="S581" s="803">
        <v>18493</v>
      </c>
      <c r="T581" s="804">
        <v>-1205</v>
      </c>
      <c r="U581" s="804">
        <v>17288</v>
      </c>
    </row>
    <row r="582" spans="1:21" x14ac:dyDescent="0.25">
      <c r="A582" s="799">
        <v>96391</v>
      </c>
      <c r="B582" s="800" t="s">
        <v>3196</v>
      </c>
      <c r="C582" s="801">
        <v>1.807E-4</v>
      </c>
      <c r="D582" s="801">
        <v>1.9450000000000001E-4</v>
      </c>
      <c r="E582" s="802">
        <v>66063</v>
      </c>
      <c r="F582" s="802">
        <v>87290</v>
      </c>
      <c r="G582" s="802">
        <v>383506</v>
      </c>
      <c r="H582" s="802"/>
      <c r="I582" s="803">
        <v>7205</v>
      </c>
      <c r="J582" s="803">
        <v>336073</v>
      </c>
      <c r="K582" s="803">
        <v>26267</v>
      </c>
      <c r="L582" s="802">
        <v>19760.7</v>
      </c>
      <c r="M582" s="802"/>
      <c r="N582" s="803">
        <v>13438</v>
      </c>
      <c r="O582" s="803">
        <v>124043</v>
      </c>
      <c r="P582" s="803">
        <v>0</v>
      </c>
      <c r="Q582" s="802">
        <v>26107</v>
      </c>
      <c r="R582" s="802"/>
      <c r="S582" s="803">
        <v>102506</v>
      </c>
      <c r="T582" s="804">
        <v>2012</v>
      </c>
      <c r="U582" s="804">
        <v>104518</v>
      </c>
    </row>
    <row r="583" spans="1:21" x14ac:dyDescent="0.25">
      <c r="A583" s="799">
        <v>96401</v>
      </c>
      <c r="B583" s="800" t="s">
        <v>3197</v>
      </c>
      <c r="C583" s="801">
        <v>4.5900000000000003E-3</v>
      </c>
      <c r="D583" s="801">
        <v>4.5434999999999998E-3</v>
      </c>
      <c r="E583" s="802">
        <v>1835552.26</v>
      </c>
      <c r="F583" s="802">
        <v>2039096</v>
      </c>
      <c r="G583" s="802">
        <v>9741518</v>
      </c>
      <c r="H583" s="802"/>
      <c r="I583" s="803">
        <v>183026.25</v>
      </c>
      <c r="J583" s="803">
        <v>8536675</v>
      </c>
      <c r="K583" s="803">
        <v>667206.99</v>
      </c>
      <c r="L583" s="802">
        <v>31898</v>
      </c>
      <c r="M583" s="802"/>
      <c r="N583" s="803">
        <v>341353.71</v>
      </c>
      <c r="O583" s="803">
        <v>3150842.22</v>
      </c>
      <c r="P583" s="803">
        <v>0</v>
      </c>
      <c r="Q583" s="802">
        <v>37434</v>
      </c>
      <c r="R583" s="802"/>
      <c r="S583" s="803">
        <v>2603764.71</v>
      </c>
      <c r="T583" s="804">
        <v>4298</v>
      </c>
      <c r="U583" s="804">
        <v>2608063</v>
      </c>
    </row>
    <row r="584" spans="1:21" x14ac:dyDescent="0.25">
      <c r="A584" s="799">
        <v>96404</v>
      </c>
      <c r="B584" s="800" t="s">
        <v>3198</v>
      </c>
      <c r="C584" s="801">
        <v>9.8800000000000003E-5</v>
      </c>
      <c r="D584" s="801">
        <v>8.92E-5</v>
      </c>
      <c r="E584" s="802">
        <v>49336.67</v>
      </c>
      <c r="F584" s="802">
        <v>40032</v>
      </c>
      <c r="G584" s="802">
        <v>209687</v>
      </c>
      <c r="H584" s="802"/>
      <c r="I584" s="803">
        <v>3939.65</v>
      </c>
      <c r="J584" s="803">
        <v>183752</v>
      </c>
      <c r="K584" s="803">
        <v>14362</v>
      </c>
      <c r="L584" s="802">
        <v>23586</v>
      </c>
      <c r="M584" s="802"/>
      <c r="N584" s="803">
        <v>7348</v>
      </c>
      <c r="O584" s="803">
        <v>67822</v>
      </c>
      <c r="P584" s="803">
        <v>0</v>
      </c>
      <c r="Q584" s="802">
        <v>0</v>
      </c>
      <c r="R584" s="802"/>
      <c r="S584" s="803">
        <v>56046</v>
      </c>
      <c r="T584" s="804">
        <v>7753</v>
      </c>
      <c r="U584" s="804">
        <v>63799</v>
      </c>
    </row>
    <row r="585" spans="1:21" x14ac:dyDescent="0.25">
      <c r="A585" s="799">
        <v>96405</v>
      </c>
      <c r="B585" s="800" t="s">
        <v>3199</v>
      </c>
      <c r="C585" s="801">
        <v>1.7760000000000001E-4</v>
      </c>
      <c r="D585" s="801">
        <v>1.942E-4</v>
      </c>
      <c r="E585" s="802">
        <v>83528</v>
      </c>
      <c r="F585" s="802">
        <v>87156</v>
      </c>
      <c r="G585" s="802">
        <v>376927</v>
      </c>
      <c r="H585" s="802"/>
      <c r="I585" s="803">
        <v>7081.8</v>
      </c>
      <c r="J585" s="803">
        <v>330308</v>
      </c>
      <c r="K585" s="803">
        <v>25816</v>
      </c>
      <c r="L585" s="802">
        <v>15838</v>
      </c>
      <c r="M585" s="802"/>
      <c r="N585" s="803">
        <v>13208</v>
      </c>
      <c r="O585" s="803">
        <v>121915</v>
      </c>
      <c r="P585" s="803">
        <v>0</v>
      </c>
      <c r="Q585" s="802">
        <v>2411</v>
      </c>
      <c r="R585" s="802"/>
      <c r="S585" s="803">
        <v>100747</v>
      </c>
      <c r="T585" s="804">
        <v>4565</v>
      </c>
      <c r="U585" s="804">
        <v>105312</v>
      </c>
    </row>
    <row r="586" spans="1:21" x14ac:dyDescent="0.25">
      <c r="A586" s="799">
        <v>96411</v>
      </c>
      <c r="B586" s="800" t="s">
        <v>3200</v>
      </c>
      <c r="C586" s="801">
        <v>5.66E-5</v>
      </c>
      <c r="D586" s="801">
        <v>6.6699999999999995E-5</v>
      </c>
      <c r="E586" s="802">
        <v>25222</v>
      </c>
      <c r="F586" s="802">
        <v>29935</v>
      </c>
      <c r="G586" s="802">
        <v>120124</v>
      </c>
      <c r="H586" s="802"/>
      <c r="I586" s="803">
        <v>2257</v>
      </c>
      <c r="J586" s="803">
        <v>105267</v>
      </c>
      <c r="K586" s="803">
        <v>8227</v>
      </c>
      <c r="L586" s="802">
        <v>8181</v>
      </c>
      <c r="M586" s="802"/>
      <c r="N586" s="803">
        <v>4209</v>
      </c>
      <c r="O586" s="803">
        <v>38854</v>
      </c>
      <c r="P586" s="803">
        <v>0</v>
      </c>
      <c r="Q586" s="802">
        <v>6127</v>
      </c>
      <c r="R586" s="802"/>
      <c r="S586" s="803">
        <v>32107</v>
      </c>
      <c r="T586" s="804">
        <v>778</v>
      </c>
      <c r="U586" s="804">
        <v>32885</v>
      </c>
    </row>
    <row r="587" spans="1:21" x14ac:dyDescent="0.25">
      <c r="A587" s="799">
        <v>96421</v>
      </c>
      <c r="B587" s="800" t="s">
        <v>3201</v>
      </c>
      <c r="C587" s="801">
        <v>4.2860000000000001E-4</v>
      </c>
      <c r="D587" s="801">
        <v>4.6069999999999998E-4</v>
      </c>
      <c r="E587" s="802">
        <v>149902.97</v>
      </c>
      <c r="F587" s="802">
        <v>206759</v>
      </c>
      <c r="G587" s="802">
        <v>909633</v>
      </c>
      <c r="H587" s="802"/>
      <c r="I587" s="803">
        <v>17090</v>
      </c>
      <c r="J587" s="803">
        <v>797128</v>
      </c>
      <c r="K587" s="803">
        <v>62302</v>
      </c>
      <c r="L587" s="802">
        <v>0</v>
      </c>
      <c r="M587" s="802"/>
      <c r="N587" s="803">
        <v>31875</v>
      </c>
      <c r="O587" s="803">
        <v>294216</v>
      </c>
      <c r="P587" s="803">
        <v>0</v>
      </c>
      <c r="Q587" s="802">
        <v>86301</v>
      </c>
      <c r="R587" s="802"/>
      <c r="S587" s="803">
        <v>243131</v>
      </c>
      <c r="T587" s="804">
        <v>-29627</v>
      </c>
      <c r="U587" s="804">
        <v>213504</v>
      </c>
    </row>
    <row r="588" spans="1:21" x14ac:dyDescent="0.25">
      <c r="A588" s="799">
        <v>96431</v>
      </c>
      <c r="B588" s="800" t="s">
        <v>3202</v>
      </c>
      <c r="C588" s="801">
        <v>5.6100000000000002E-5</v>
      </c>
      <c r="D588" s="801">
        <v>3.9400000000000002E-5</v>
      </c>
      <c r="E588" s="802">
        <v>22346.13</v>
      </c>
      <c r="F588" s="802">
        <v>17682</v>
      </c>
      <c r="G588" s="802">
        <v>119063</v>
      </c>
      <c r="H588" s="802"/>
      <c r="I588" s="803">
        <v>2237</v>
      </c>
      <c r="J588" s="803">
        <v>104337</v>
      </c>
      <c r="K588" s="803">
        <v>8155</v>
      </c>
      <c r="L588" s="802">
        <v>8471</v>
      </c>
      <c r="M588" s="802"/>
      <c r="N588" s="803">
        <v>4172</v>
      </c>
      <c r="O588" s="803">
        <v>38510</v>
      </c>
      <c r="P588" s="803">
        <v>0</v>
      </c>
      <c r="Q588" s="802">
        <v>4421</v>
      </c>
      <c r="R588" s="802"/>
      <c r="S588" s="803">
        <v>31824</v>
      </c>
      <c r="T588" s="804">
        <v>305</v>
      </c>
      <c r="U588" s="804">
        <v>32128</v>
      </c>
    </row>
    <row r="589" spans="1:21" x14ac:dyDescent="0.25">
      <c r="A589" s="799">
        <v>96441</v>
      </c>
      <c r="B589" s="800" t="s">
        <v>3203</v>
      </c>
      <c r="C589" s="801">
        <v>3.1199999999999999E-5</v>
      </c>
      <c r="D589" s="801">
        <v>3.9100000000000002E-5</v>
      </c>
      <c r="E589" s="802">
        <v>18068.97</v>
      </c>
      <c r="F589" s="802">
        <v>17548</v>
      </c>
      <c r="G589" s="802">
        <v>66217</v>
      </c>
      <c r="H589" s="802"/>
      <c r="I589" s="803">
        <v>1244</v>
      </c>
      <c r="J589" s="803">
        <v>58027</v>
      </c>
      <c r="K589" s="803">
        <v>4535</v>
      </c>
      <c r="L589" s="802">
        <v>6875</v>
      </c>
      <c r="M589" s="802"/>
      <c r="N589" s="803">
        <v>2320</v>
      </c>
      <c r="O589" s="803">
        <v>21417</v>
      </c>
      <c r="P589" s="803">
        <v>0</v>
      </c>
      <c r="Q589" s="802">
        <v>826</v>
      </c>
      <c r="R589" s="802"/>
      <c r="S589" s="803">
        <v>17699</v>
      </c>
      <c r="T589" s="804">
        <v>2052</v>
      </c>
      <c r="U589" s="804">
        <v>19751</v>
      </c>
    </row>
    <row r="590" spans="1:21" x14ac:dyDescent="0.25">
      <c r="A590" s="799">
        <v>96451</v>
      </c>
      <c r="B590" s="800" t="s">
        <v>3204</v>
      </c>
      <c r="C590" s="801">
        <v>1.38E-5</v>
      </c>
      <c r="D590" s="801">
        <v>8.8999999999999995E-6</v>
      </c>
      <c r="E590" s="802">
        <v>6880</v>
      </c>
      <c r="F590" s="802">
        <v>3994</v>
      </c>
      <c r="G590" s="802">
        <v>29288</v>
      </c>
      <c r="H590" s="802"/>
      <c r="I590" s="803">
        <v>550.27499999999998</v>
      </c>
      <c r="J590" s="803">
        <v>25666</v>
      </c>
      <c r="K590" s="803">
        <v>2006</v>
      </c>
      <c r="L590" s="802">
        <v>3611</v>
      </c>
      <c r="M590" s="802"/>
      <c r="N590" s="803">
        <v>1026</v>
      </c>
      <c r="O590" s="803">
        <v>9473</v>
      </c>
      <c r="P590" s="803">
        <v>0</v>
      </c>
      <c r="Q590" s="802">
        <v>2200</v>
      </c>
      <c r="R590" s="802"/>
      <c r="S590" s="803">
        <v>7828</v>
      </c>
      <c r="T590" s="804">
        <v>55</v>
      </c>
      <c r="U590" s="804">
        <v>7883</v>
      </c>
    </row>
    <row r="591" spans="1:21" x14ac:dyDescent="0.25">
      <c r="A591" s="799">
        <v>96461</v>
      </c>
      <c r="B591" s="800" t="s">
        <v>3205</v>
      </c>
      <c r="C591" s="801">
        <v>1.3410000000000001E-4</v>
      </c>
      <c r="D591" s="801">
        <v>1.6129999999999999E-4</v>
      </c>
      <c r="E591" s="802">
        <v>60539</v>
      </c>
      <c r="F591" s="802">
        <v>72390</v>
      </c>
      <c r="G591" s="802">
        <v>284605</v>
      </c>
      <c r="H591" s="802"/>
      <c r="I591" s="803">
        <v>5347</v>
      </c>
      <c r="J591" s="803">
        <v>249405</v>
      </c>
      <c r="K591" s="803">
        <v>19493</v>
      </c>
      <c r="L591" s="802">
        <v>8046</v>
      </c>
      <c r="M591" s="802"/>
      <c r="N591" s="803">
        <v>9973</v>
      </c>
      <c r="O591" s="803">
        <v>92054</v>
      </c>
      <c r="P591" s="803">
        <v>0</v>
      </c>
      <c r="Q591" s="802">
        <v>27042</v>
      </c>
      <c r="R591" s="802"/>
      <c r="S591" s="803">
        <v>76071</v>
      </c>
      <c r="T591" s="804">
        <v>-4548</v>
      </c>
      <c r="U591" s="804">
        <v>71523</v>
      </c>
    </row>
    <row r="592" spans="1:21" x14ac:dyDescent="0.25">
      <c r="A592" s="799">
        <v>96501</v>
      </c>
      <c r="B592" s="800" t="s">
        <v>3206</v>
      </c>
      <c r="C592" s="801">
        <v>1.4156999999999999E-2</v>
      </c>
      <c r="D592" s="801">
        <v>1.4844599999999999E-2</v>
      </c>
      <c r="E592" s="802">
        <v>5793175</v>
      </c>
      <c r="F592" s="802">
        <v>6662167</v>
      </c>
      <c r="G592" s="802">
        <v>30045897</v>
      </c>
      <c r="H592" s="802"/>
      <c r="I592" s="803">
        <v>564510</v>
      </c>
      <c r="J592" s="803">
        <v>26329783</v>
      </c>
      <c r="K592" s="803">
        <v>2057876</v>
      </c>
      <c r="L592" s="802">
        <v>597577</v>
      </c>
      <c r="M592" s="802"/>
      <c r="N592" s="803">
        <v>1052842</v>
      </c>
      <c r="O592" s="803">
        <v>9718186</v>
      </c>
      <c r="P592" s="803">
        <v>0</v>
      </c>
      <c r="Q592" s="802">
        <v>395352</v>
      </c>
      <c r="R592" s="802"/>
      <c r="S592" s="803">
        <v>8030827</v>
      </c>
      <c r="T592" s="804">
        <v>146416</v>
      </c>
      <c r="U592" s="804">
        <v>8177243</v>
      </c>
    </row>
    <row r="593" spans="1:21" x14ac:dyDescent="0.25">
      <c r="A593" s="799">
        <v>96502</v>
      </c>
      <c r="B593" s="800" t="s">
        <v>3207</v>
      </c>
      <c r="C593" s="801">
        <v>4.2309999999999998E-4</v>
      </c>
      <c r="D593" s="801">
        <v>3.9639999999999999E-4</v>
      </c>
      <c r="E593" s="802">
        <v>180923</v>
      </c>
      <c r="F593" s="802">
        <v>177902</v>
      </c>
      <c r="G593" s="802">
        <v>897960</v>
      </c>
      <c r="H593" s="802"/>
      <c r="I593" s="803">
        <v>16871</v>
      </c>
      <c r="J593" s="803">
        <v>786899</v>
      </c>
      <c r="K593" s="803">
        <v>61502</v>
      </c>
      <c r="L593" s="802">
        <v>58143</v>
      </c>
      <c r="M593" s="802"/>
      <c r="N593" s="803">
        <v>31466</v>
      </c>
      <c r="O593" s="803">
        <v>290440</v>
      </c>
      <c r="P593" s="803">
        <v>0</v>
      </c>
      <c r="Q593" s="802">
        <v>0</v>
      </c>
      <c r="R593" s="802"/>
      <c r="S593" s="803">
        <v>240012</v>
      </c>
      <c r="T593" s="804">
        <v>22314</v>
      </c>
      <c r="U593" s="804">
        <v>262325</v>
      </c>
    </row>
    <row r="594" spans="1:21" x14ac:dyDescent="0.25">
      <c r="A594" s="799">
        <v>96503</v>
      </c>
      <c r="B594" s="800" t="s">
        <v>3208</v>
      </c>
      <c r="C594" s="801">
        <v>3.3700000000000001E-4</v>
      </c>
      <c r="D594" s="801">
        <v>3.746E-4</v>
      </c>
      <c r="E594" s="802">
        <v>297528.38</v>
      </c>
      <c r="F594" s="802">
        <v>168118</v>
      </c>
      <c r="G594" s="802">
        <v>715227</v>
      </c>
      <c r="H594" s="802"/>
      <c r="I594" s="803">
        <v>13437.875</v>
      </c>
      <c r="J594" s="803">
        <v>626767</v>
      </c>
      <c r="K594" s="803">
        <v>48987</v>
      </c>
      <c r="L594" s="802">
        <v>200924</v>
      </c>
      <c r="M594" s="802"/>
      <c r="N594" s="803">
        <v>25062</v>
      </c>
      <c r="O594" s="803">
        <v>231336</v>
      </c>
      <c r="P594" s="803">
        <v>0</v>
      </c>
      <c r="Q594" s="802">
        <v>29898</v>
      </c>
      <c r="R594" s="802"/>
      <c r="S594" s="803">
        <v>191170</v>
      </c>
      <c r="T594" s="804">
        <v>46111</v>
      </c>
      <c r="U594" s="804">
        <v>237280</v>
      </c>
    </row>
    <row r="595" spans="1:21" x14ac:dyDescent="0.25">
      <c r="A595" s="799">
        <v>96504</v>
      </c>
      <c r="B595" s="800" t="s">
        <v>3209</v>
      </c>
      <c r="C595" s="801">
        <v>3.6039999999999998E-4</v>
      </c>
      <c r="D595" s="801">
        <v>3.7149999999999998E-4</v>
      </c>
      <c r="E595" s="802">
        <v>148639.46</v>
      </c>
      <c r="F595" s="802">
        <v>166727</v>
      </c>
      <c r="G595" s="802">
        <v>764890</v>
      </c>
      <c r="H595" s="802"/>
      <c r="I595" s="803">
        <v>14371</v>
      </c>
      <c r="J595" s="803">
        <v>670287</v>
      </c>
      <c r="K595" s="803">
        <v>52388</v>
      </c>
      <c r="L595" s="802">
        <v>11269</v>
      </c>
      <c r="M595" s="802"/>
      <c r="N595" s="803">
        <v>26803</v>
      </c>
      <c r="O595" s="803">
        <v>247399</v>
      </c>
      <c r="P595" s="803">
        <v>0</v>
      </c>
      <c r="Q595" s="802">
        <v>6125</v>
      </c>
      <c r="R595" s="802"/>
      <c r="S595" s="803">
        <v>204444</v>
      </c>
      <c r="T595" s="804">
        <v>2299</v>
      </c>
      <c r="U595" s="804">
        <v>206743</v>
      </c>
    </row>
    <row r="596" spans="1:21" x14ac:dyDescent="0.25">
      <c r="A596" s="799">
        <v>96507</v>
      </c>
      <c r="B596" s="800" t="s">
        <v>3210</v>
      </c>
      <c r="C596" s="801">
        <v>2.2604999999999999E-3</v>
      </c>
      <c r="D596" s="801">
        <v>2.1895999999999999E-3</v>
      </c>
      <c r="E596" s="802">
        <v>971182</v>
      </c>
      <c r="F596" s="802">
        <v>982679</v>
      </c>
      <c r="G596" s="802">
        <v>4797538</v>
      </c>
      <c r="H596" s="802"/>
      <c r="I596" s="803">
        <v>90137</v>
      </c>
      <c r="J596" s="803">
        <v>4204173</v>
      </c>
      <c r="K596" s="803">
        <v>328589</v>
      </c>
      <c r="L596" s="802">
        <v>180324</v>
      </c>
      <c r="M596" s="802"/>
      <c r="N596" s="803">
        <v>168111</v>
      </c>
      <c r="O596" s="803">
        <v>1551738</v>
      </c>
      <c r="P596" s="803">
        <v>0</v>
      </c>
      <c r="Q596" s="802">
        <v>0</v>
      </c>
      <c r="R596" s="802"/>
      <c r="S596" s="803">
        <v>1282312</v>
      </c>
      <c r="T596" s="804">
        <v>64566</v>
      </c>
      <c r="U596" s="804">
        <v>1346877</v>
      </c>
    </row>
    <row r="597" spans="1:21" x14ac:dyDescent="0.25">
      <c r="A597" s="799">
        <v>96508</v>
      </c>
      <c r="B597" s="800" t="s">
        <v>3211</v>
      </c>
      <c r="C597" s="801">
        <v>9.7999999999999993E-6</v>
      </c>
      <c r="D597" s="801">
        <v>1.03E-5</v>
      </c>
      <c r="E597" s="802">
        <v>9949</v>
      </c>
      <c r="F597" s="802">
        <v>4623</v>
      </c>
      <c r="G597" s="802">
        <v>20799</v>
      </c>
      <c r="H597" s="802"/>
      <c r="I597" s="803">
        <v>390.77499999999998</v>
      </c>
      <c r="J597" s="803">
        <v>18226</v>
      </c>
      <c r="K597" s="803">
        <v>1425</v>
      </c>
      <c r="L597" s="802">
        <v>9383</v>
      </c>
      <c r="M597" s="802"/>
      <c r="N597" s="803">
        <v>729</v>
      </c>
      <c r="O597" s="803">
        <v>6727</v>
      </c>
      <c r="P597" s="803">
        <v>0</v>
      </c>
      <c r="Q597" s="802">
        <v>0</v>
      </c>
      <c r="R597" s="802"/>
      <c r="S597" s="803">
        <v>5559</v>
      </c>
      <c r="T597" s="804">
        <v>3176</v>
      </c>
      <c r="U597" s="804">
        <v>8735</v>
      </c>
    </row>
    <row r="598" spans="1:21" x14ac:dyDescent="0.25">
      <c r="A598" s="799">
        <v>96511</v>
      </c>
      <c r="B598" s="800" t="s">
        <v>3212</v>
      </c>
      <c r="C598" s="801">
        <v>6.221E-4</v>
      </c>
      <c r="D598" s="801">
        <v>7.5080000000000004E-4</v>
      </c>
      <c r="E598" s="802">
        <v>244657.82</v>
      </c>
      <c r="F598" s="802">
        <v>336955</v>
      </c>
      <c r="G598" s="802">
        <v>1320305</v>
      </c>
      <c r="H598" s="802"/>
      <c r="I598" s="803">
        <v>24806</v>
      </c>
      <c r="J598" s="803">
        <v>1157008</v>
      </c>
      <c r="K598" s="803">
        <v>90429</v>
      </c>
      <c r="L598" s="802">
        <v>0</v>
      </c>
      <c r="M598" s="802"/>
      <c r="N598" s="803">
        <v>46265</v>
      </c>
      <c r="O598" s="803">
        <v>427046</v>
      </c>
      <c r="P598" s="803">
        <v>0</v>
      </c>
      <c r="Q598" s="802">
        <v>135169</v>
      </c>
      <c r="R598" s="802"/>
      <c r="S598" s="803">
        <v>352898</v>
      </c>
      <c r="T598" s="804">
        <v>-47382</v>
      </c>
      <c r="U598" s="804">
        <v>305516</v>
      </c>
    </row>
    <row r="599" spans="1:21" x14ac:dyDescent="0.25">
      <c r="A599" s="799">
        <v>96512</v>
      </c>
      <c r="B599" s="800" t="s">
        <v>3213</v>
      </c>
      <c r="C599" s="801">
        <v>1.7000000000000001E-4</v>
      </c>
      <c r="D599" s="801">
        <v>1.5550000000000001E-4</v>
      </c>
      <c r="E599" s="802">
        <v>63901</v>
      </c>
      <c r="F599" s="802">
        <v>69787</v>
      </c>
      <c r="G599" s="802">
        <v>360796.95</v>
      </c>
      <c r="H599" s="802"/>
      <c r="I599" s="803">
        <v>6779</v>
      </c>
      <c r="J599" s="803">
        <v>316173.14</v>
      </c>
      <c r="K599" s="803">
        <v>24711</v>
      </c>
      <c r="L599" s="802">
        <v>8267</v>
      </c>
      <c r="M599" s="802"/>
      <c r="N599" s="803">
        <v>12643</v>
      </c>
      <c r="O599" s="803">
        <v>116698</v>
      </c>
      <c r="P599" s="803">
        <v>0</v>
      </c>
      <c r="Q599" s="802">
        <v>0</v>
      </c>
      <c r="R599" s="802"/>
      <c r="S599" s="803">
        <v>96436</v>
      </c>
      <c r="T599" s="804">
        <v>2689</v>
      </c>
      <c r="U599" s="804">
        <v>99124</v>
      </c>
    </row>
    <row r="600" spans="1:21" x14ac:dyDescent="0.25">
      <c r="A600" s="799">
        <v>96519</v>
      </c>
      <c r="B600" s="800" t="s">
        <v>3214</v>
      </c>
      <c r="C600" s="801">
        <v>0</v>
      </c>
      <c r="D600" s="801">
        <v>1.7197E-3</v>
      </c>
      <c r="E600" s="802">
        <v>0</v>
      </c>
      <c r="F600" s="802">
        <v>771791</v>
      </c>
      <c r="G600" s="802">
        <v>0</v>
      </c>
      <c r="H600" s="802"/>
      <c r="I600" s="803">
        <v>0</v>
      </c>
      <c r="J600" s="803">
        <v>0</v>
      </c>
      <c r="K600" s="803">
        <v>0</v>
      </c>
      <c r="L600" s="802">
        <v>300924</v>
      </c>
      <c r="M600" s="802"/>
      <c r="N600" s="803">
        <v>0</v>
      </c>
      <c r="O600" s="803">
        <v>0</v>
      </c>
      <c r="P600" s="803">
        <v>0</v>
      </c>
      <c r="Q600" s="802">
        <v>931590</v>
      </c>
      <c r="R600" s="802"/>
      <c r="S600" s="803">
        <v>0</v>
      </c>
      <c r="T600" s="804">
        <v>-102954</v>
      </c>
      <c r="U600" s="804">
        <v>-102954</v>
      </c>
    </row>
    <row r="601" spans="1:21" x14ac:dyDescent="0.25">
      <c r="A601" s="799">
        <v>96521</v>
      </c>
      <c r="B601" s="800" t="s">
        <v>3215</v>
      </c>
      <c r="C601" s="801">
        <v>9.4240000000000003E-4</v>
      </c>
      <c r="D601" s="801">
        <v>9.0479999999999998E-4</v>
      </c>
      <c r="E601" s="802">
        <v>332666.64</v>
      </c>
      <c r="F601" s="802">
        <v>406069</v>
      </c>
      <c r="G601" s="802">
        <v>2000089</v>
      </c>
      <c r="H601" s="802"/>
      <c r="I601" s="803">
        <v>37578</v>
      </c>
      <c r="J601" s="803">
        <v>1752715</v>
      </c>
      <c r="K601" s="803">
        <v>136988</v>
      </c>
      <c r="L601" s="802">
        <v>46521</v>
      </c>
      <c r="M601" s="802"/>
      <c r="N601" s="803">
        <v>70085</v>
      </c>
      <c r="O601" s="803">
        <v>646918</v>
      </c>
      <c r="P601" s="803">
        <v>0</v>
      </c>
      <c r="Q601" s="802">
        <v>27885</v>
      </c>
      <c r="R601" s="802"/>
      <c r="S601" s="803">
        <v>534594</v>
      </c>
      <c r="T601" s="804">
        <v>8139</v>
      </c>
      <c r="U601" s="804">
        <v>542733</v>
      </c>
    </row>
    <row r="602" spans="1:21" x14ac:dyDescent="0.25">
      <c r="A602" s="799">
        <v>96531</v>
      </c>
      <c r="B602" s="800" t="s">
        <v>3216</v>
      </c>
      <c r="C602" s="801">
        <v>8.6088999999999992E-3</v>
      </c>
      <c r="D602" s="801">
        <v>9.1912000000000001E-3</v>
      </c>
      <c r="E602" s="802">
        <v>3504528.87</v>
      </c>
      <c r="F602" s="802">
        <v>4124955</v>
      </c>
      <c r="G602" s="802">
        <v>18270970</v>
      </c>
      <c r="H602" s="802"/>
      <c r="I602" s="803">
        <v>343280</v>
      </c>
      <c r="J602" s="803">
        <v>16011194</v>
      </c>
      <c r="K602" s="803">
        <v>1251398</v>
      </c>
      <c r="L602" s="802">
        <v>75559</v>
      </c>
      <c r="M602" s="802"/>
      <c r="N602" s="803">
        <v>640235</v>
      </c>
      <c r="O602" s="803">
        <v>5909648</v>
      </c>
      <c r="P602" s="803">
        <v>0</v>
      </c>
      <c r="Q602" s="802">
        <v>381680</v>
      </c>
      <c r="R602" s="802"/>
      <c r="S602" s="803">
        <v>4883562</v>
      </c>
      <c r="T602" s="804">
        <v>-81286</v>
      </c>
      <c r="U602" s="804">
        <v>4802276</v>
      </c>
    </row>
    <row r="603" spans="1:21" x14ac:dyDescent="0.25">
      <c r="A603" s="799">
        <v>96541</v>
      </c>
      <c r="B603" s="800" t="s">
        <v>3217</v>
      </c>
      <c r="C603" s="801">
        <v>3.3169999999999999E-4</v>
      </c>
      <c r="D603" s="801">
        <v>3.2759999999999999E-4</v>
      </c>
      <c r="E603" s="802">
        <v>136435.87</v>
      </c>
      <c r="F603" s="802">
        <v>147025</v>
      </c>
      <c r="G603" s="802">
        <v>703979</v>
      </c>
      <c r="H603" s="802"/>
      <c r="I603" s="803">
        <v>13227</v>
      </c>
      <c r="J603" s="803">
        <v>616910</v>
      </c>
      <c r="K603" s="803">
        <v>48216</v>
      </c>
      <c r="L603" s="802">
        <v>22779</v>
      </c>
      <c r="M603" s="802"/>
      <c r="N603" s="803">
        <v>24668</v>
      </c>
      <c r="O603" s="803">
        <v>227698</v>
      </c>
      <c r="P603" s="803">
        <v>0</v>
      </c>
      <c r="Q603" s="802">
        <v>0</v>
      </c>
      <c r="R603" s="802"/>
      <c r="S603" s="803">
        <v>188163</v>
      </c>
      <c r="T603" s="804">
        <v>10018</v>
      </c>
      <c r="U603" s="804">
        <v>198181</v>
      </c>
    </row>
    <row r="604" spans="1:21" x14ac:dyDescent="0.25">
      <c r="A604" s="799">
        <v>96601</v>
      </c>
      <c r="B604" s="800" t="s">
        <v>3218</v>
      </c>
      <c r="C604" s="801">
        <v>1.8416000000000001E-3</v>
      </c>
      <c r="D604" s="801">
        <v>1.8462999999999999E-3</v>
      </c>
      <c r="E604" s="802">
        <v>769874.79</v>
      </c>
      <c r="F604" s="802">
        <v>828608</v>
      </c>
      <c r="G604" s="802">
        <v>3908492</v>
      </c>
      <c r="H604" s="802"/>
      <c r="I604" s="803">
        <v>73433.8</v>
      </c>
      <c r="J604" s="803">
        <v>3425085</v>
      </c>
      <c r="K604" s="803">
        <v>267697</v>
      </c>
      <c r="L604" s="802">
        <v>58499</v>
      </c>
      <c r="M604" s="802"/>
      <c r="N604" s="803">
        <v>136958</v>
      </c>
      <c r="O604" s="803">
        <v>1264181</v>
      </c>
      <c r="P604" s="803">
        <v>0</v>
      </c>
      <c r="Q604" s="802">
        <v>6413</v>
      </c>
      <c r="R604" s="802"/>
      <c r="S604" s="803">
        <v>1044683</v>
      </c>
      <c r="T604" s="804">
        <v>25319</v>
      </c>
      <c r="U604" s="804">
        <v>1070002</v>
      </c>
    </row>
    <row r="605" spans="1:21" x14ac:dyDescent="0.25">
      <c r="A605" s="799">
        <v>96604</v>
      </c>
      <c r="B605" s="800" t="s">
        <v>3219</v>
      </c>
      <c r="C605" s="801">
        <v>7.9000000000000006E-6</v>
      </c>
      <c r="D605" s="801">
        <v>7.9000000000000006E-6</v>
      </c>
      <c r="E605" s="802">
        <v>4375</v>
      </c>
      <c r="F605" s="802">
        <v>3545</v>
      </c>
      <c r="G605" s="802">
        <v>16766</v>
      </c>
      <c r="H605" s="802"/>
      <c r="I605" s="803">
        <v>315</v>
      </c>
      <c r="J605" s="803">
        <v>14693</v>
      </c>
      <c r="K605" s="803">
        <v>1148</v>
      </c>
      <c r="L605" s="802">
        <v>1595</v>
      </c>
      <c r="M605" s="802"/>
      <c r="N605" s="803">
        <v>588</v>
      </c>
      <c r="O605" s="803">
        <v>5423</v>
      </c>
      <c r="P605" s="803">
        <v>0</v>
      </c>
      <c r="Q605" s="802">
        <v>108</v>
      </c>
      <c r="R605" s="802"/>
      <c r="S605" s="803">
        <v>4481</v>
      </c>
      <c r="T605" s="804">
        <v>545</v>
      </c>
      <c r="U605" s="804">
        <v>5027</v>
      </c>
    </row>
    <row r="606" spans="1:21" x14ac:dyDescent="0.25">
      <c r="A606" s="799">
        <v>96611</v>
      </c>
      <c r="B606" s="800" t="s">
        <v>3220</v>
      </c>
      <c r="C606" s="801">
        <v>3.29E-5</v>
      </c>
      <c r="D606" s="801">
        <v>2.9499999999999999E-5</v>
      </c>
      <c r="E606" s="802">
        <v>11899.8</v>
      </c>
      <c r="F606" s="802">
        <v>13239</v>
      </c>
      <c r="G606" s="802">
        <v>69825</v>
      </c>
      <c r="H606" s="802"/>
      <c r="I606" s="803">
        <v>1312</v>
      </c>
      <c r="J606" s="803">
        <v>61189</v>
      </c>
      <c r="K606" s="803">
        <v>4782</v>
      </c>
      <c r="L606" s="802">
        <v>2869</v>
      </c>
      <c r="M606" s="802"/>
      <c r="N606" s="803">
        <v>2447</v>
      </c>
      <c r="O606" s="803">
        <v>22584</v>
      </c>
      <c r="P606" s="803">
        <v>0</v>
      </c>
      <c r="Q606" s="802">
        <v>649</v>
      </c>
      <c r="R606" s="802"/>
      <c r="S606" s="803">
        <v>18663</v>
      </c>
      <c r="T606" s="804">
        <v>1079</v>
      </c>
      <c r="U606" s="804">
        <v>19742</v>
      </c>
    </row>
    <row r="607" spans="1:21" x14ac:dyDescent="0.25">
      <c r="A607" s="799">
        <v>96612</v>
      </c>
      <c r="B607" s="800" t="s">
        <v>3221</v>
      </c>
      <c r="C607" s="801">
        <v>6.3899999999999995E-5</v>
      </c>
      <c r="D607" s="801">
        <v>6.4399999999999993E-5</v>
      </c>
      <c r="E607" s="802">
        <v>30974</v>
      </c>
      <c r="F607" s="802">
        <v>28902</v>
      </c>
      <c r="G607" s="802">
        <v>135617</v>
      </c>
      <c r="H607" s="802"/>
      <c r="I607" s="803">
        <v>2548</v>
      </c>
      <c r="J607" s="803">
        <v>118844</v>
      </c>
      <c r="K607" s="803">
        <v>9289</v>
      </c>
      <c r="L607" s="802">
        <v>7363</v>
      </c>
      <c r="M607" s="802"/>
      <c r="N607" s="803">
        <v>4752</v>
      </c>
      <c r="O607" s="803">
        <v>43865</v>
      </c>
      <c r="P607" s="803">
        <v>0</v>
      </c>
      <c r="Q607" s="802">
        <v>1323</v>
      </c>
      <c r="R607" s="802"/>
      <c r="S607" s="803">
        <v>36248</v>
      </c>
      <c r="T607" s="804">
        <v>1615</v>
      </c>
      <c r="U607" s="804">
        <v>37864</v>
      </c>
    </row>
    <row r="608" spans="1:21" x14ac:dyDescent="0.25">
      <c r="A608" s="799">
        <v>96621</v>
      </c>
      <c r="B608" s="800" t="s">
        <v>3222</v>
      </c>
      <c r="C608" s="801">
        <v>2.65E-5</v>
      </c>
      <c r="D608" s="801">
        <v>3.6600000000000002E-5</v>
      </c>
      <c r="E608" s="802">
        <v>12593.01</v>
      </c>
      <c r="F608" s="802">
        <v>16426</v>
      </c>
      <c r="G608" s="802">
        <v>56242</v>
      </c>
      <c r="H608" s="802"/>
      <c r="I608" s="803">
        <v>1056.6875</v>
      </c>
      <c r="J608" s="803">
        <v>49286</v>
      </c>
      <c r="K608" s="803">
        <v>3852</v>
      </c>
      <c r="L608" s="802">
        <v>1133</v>
      </c>
      <c r="M608" s="802"/>
      <c r="N608" s="803">
        <v>1971</v>
      </c>
      <c r="O608" s="803">
        <v>18191</v>
      </c>
      <c r="P608" s="803">
        <v>0</v>
      </c>
      <c r="Q608" s="802">
        <v>7687</v>
      </c>
      <c r="R608" s="802"/>
      <c r="S608" s="803">
        <v>15033</v>
      </c>
      <c r="T608" s="804">
        <v>-2457</v>
      </c>
      <c r="U608" s="804">
        <v>12576</v>
      </c>
    </row>
    <row r="609" spans="1:21" x14ac:dyDescent="0.25">
      <c r="A609" s="799">
        <v>96631</v>
      </c>
      <c r="B609" s="800" t="s">
        <v>3223</v>
      </c>
      <c r="C609" s="801">
        <v>2.5899999999999999E-5</v>
      </c>
      <c r="D609" s="801">
        <v>2.5599999999999999E-5</v>
      </c>
      <c r="E609" s="802">
        <v>10253</v>
      </c>
      <c r="F609" s="802">
        <v>11489</v>
      </c>
      <c r="G609" s="802">
        <v>54968</v>
      </c>
      <c r="H609" s="802"/>
      <c r="I609" s="803">
        <v>1032.7625</v>
      </c>
      <c r="J609" s="803">
        <v>48170</v>
      </c>
      <c r="K609" s="803">
        <v>3765</v>
      </c>
      <c r="L609" s="802">
        <v>5664</v>
      </c>
      <c r="M609" s="802"/>
      <c r="N609" s="803">
        <v>1926</v>
      </c>
      <c r="O609" s="803">
        <v>17779</v>
      </c>
      <c r="P609" s="803">
        <v>0</v>
      </c>
      <c r="Q609" s="802">
        <v>154</v>
      </c>
      <c r="R609" s="802"/>
      <c r="S609" s="803">
        <v>14692</v>
      </c>
      <c r="T609" s="804">
        <v>2250</v>
      </c>
      <c r="U609" s="804">
        <v>16942</v>
      </c>
    </row>
    <row r="610" spans="1:21" x14ac:dyDescent="0.25">
      <c r="A610" s="799">
        <v>96641</v>
      </c>
      <c r="B610" s="800" t="s">
        <v>3224</v>
      </c>
      <c r="C610" s="801">
        <v>2.6999999999999999E-5</v>
      </c>
      <c r="D610" s="801">
        <v>2.7100000000000001E-5</v>
      </c>
      <c r="E610" s="802">
        <v>17201.89</v>
      </c>
      <c r="F610" s="802">
        <v>12162</v>
      </c>
      <c r="G610" s="802">
        <v>57303</v>
      </c>
      <c r="H610" s="802"/>
      <c r="I610" s="803">
        <v>1076.625</v>
      </c>
      <c r="J610" s="803">
        <v>50216</v>
      </c>
      <c r="K610" s="803">
        <v>3925</v>
      </c>
      <c r="L610" s="802">
        <v>10873</v>
      </c>
      <c r="M610" s="802"/>
      <c r="N610" s="803">
        <v>2008</v>
      </c>
      <c r="O610" s="803">
        <v>18534</v>
      </c>
      <c r="P610" s="803">
        <v>0</v>
      </c>
      <c r="Q610" s="802">
        <v>0</v>
      </c>
      <c r="R610" s="802"/>
      <c r="S610" s="803">
        <v>15316</v>
      </c>
      <c r="T610" s="804">
        <v>3846</v>
      </c>
      <c r="U610" s="804">
        <v>19162</v>
      </c>
    </row>
    <row r="611" spans="1:21" x14ac:dyDescent="0.25">
      <c r="A611" s="799">
        <v>96651</v>
      </c>
      <c r="B611" s="800" t="s">
        <v>3225</v>
      </c>
      <c r="C611" s="801">
        <v>1.9400000000000001E-5</v>
      </c>
      <c r="D611" s="801">
        <v>1.9300000000000002E-5</v>
      </c>
      <c r="E611" s="802">
        <v>8893</v>
      </c>
      <c r="F611" s="802">
        <v>8662</v>
      </c>
      <c r="G611" s="802">
        <v>41173</v>
      </c>
      <c r="H611" s="802"/>
      <c r="I611" s="803">
        <v>773.57500000000005</v>
      </c>
      <c r="J611" s="803">
        <v>36081</v>
      </c>
      <c r="K611" s="803">
        <v>2820</v>
      </c>
      <c r="L611" s="802">
        <v>781</v>
      </c>
      <c r="M611" s="802"/>
      <c r="N611" s="803">
        <v>1443</v>
      </c>
      <c r="O611" s="803">
        <v>13317</v>
      </c>
      <c r="P611" s="803">
        <v>0</v>
      </c>
      <c r="Q611" s="802">
        <v>2222</v>
      </c>
      <c r="R611" s="802"/>
      <c r="S611" s="803">
        <v>11005</v>
      </c>
      <c r="T611" s="804">
        <v>-715</v>
      </c>
      <c r="U611" s="804">
        <v>10290</v>
      </c>
    </row>
    <row r="612" spans="1:21" x14ac:dyDescent="0.25">
      <c r="A612" s="799">
        <v>96661</v>
      </c>
      <c r="B612" s="800" t="s">
        <v>3226</v>
      </c>
      <c r="C612" s="801">
        <v>1.9000000000000001E-5</v>
      </c>
      <c r="D612" s="801">
        <v>1.7200000000000001E-5</v>
      </c>
      <c r="E612" s="802">
        <v>9291.01</v>
      </c>
      <c r="F612" s="802">
        <v>7719</v>
      </c>
      <c r="G612" s="802">
        <v>40324</v>
      </c>
      <c r="H612" s="802"/>
      <c r="I612" s="803">
        <v>757.625</v>
      </c>
      <c r="J612" s="803">
        <v>35337</v>
      </c>
      <c r="K612" s="803">
        <v>2762</v>
      </c>
      <c r="L612" s="802">
        <v>6032</v>
      </c>
      <c r="M612" s="802"/>
      <c r="N612" s="803">
        <v>1413</v>
      </c>
      <c r="O612" s="803">
        <v>13043</v>
      </c>
      <c r="P612" s="803">
        <v>0</v>
      </c>
      <c r="Q612" s="802">
        <v>0</v>
      </c>
      <c r="R612" s="802"/>
      <c r="S612" s="803">
        <v>10778</v>
      </c>
      <c r="T612" s="804">
        <v>2137</v>
      </c>
      <c r="U612" s="804">
        <v>12915</v>
      </c>
    </row>
    <row r="613" spans="1:21" x14ac:dyDescent="0.25">
      <c r="A613" s="799">
        <v>96671</v>
      </c>
      <c r="B613" s="800" t="s">
        <v>3227</v>
      </c>
      <c r="C613" s="801">
        <v>1.5500000000000001E-5</v>
      </c>
      <c r="D613" s="801">
        <v>1.56E-5</v>
      </c>
      <c r="E613" s="802">
        <v>11958</v>
      </c>
      <c r="F613" s="802">
        <v>7001</v>
      </c>
      <c r="G613" s="802">
        <v>32896</v>
      </c>
      <c r="H613" s="802"/>
      <c r="I613" s="803">
        <v>618.0625</v>
      </c>
      <c r="J613" s="803">
        <v>28828</v>
      </c>
      <c r="K613" s="803">
        <v>2253</v>
      </c>
      <c r="L613" s="802">
        <v>11385</v>
      </c>
      <c r="M613" s="802"/>
      <c r="N613" s="803">
        <v>1153</v>
      </c>
      <c r="O613" s="803">
        <v>10640</v>
      </c>
      <c r="P613" s="803">
        <v>0</v>
      </c>
      <c r="Q613" s="802">
        <v>418</v>
      </c>
      <c r="R613" s="802"/>
      <c r="S613" s="803">
        <v>8793</v>
      </c>
      <c r="T613" s="804">
        <v>3409</v>
      </c>
      <c r="U613" s="804">
        <v>12201</v>
      </c>
    </row>
    <row r="614" spans="1:21" x14ac:dyDescent="0.25">
      <c r="A614" s="799">
        <v>96681</v>
      </c>
      <c r="B614" s="800" t="s">
        <v>3228</v>
      </c>
      <c r="C614" s="801">
        <v>3.4799999999999999E-5</v>
      </c>
      <c r="D614" s="801">
        <v>3.4700000000000003E-5</v>
      </c>
      <c r="E614" s="802">
        <v>22896</v>
      </c>
      <c r="F614" s="802">
        <v>15573</v>
      </c>
      <c r="G614" s="802">
        <v>73857</v>
      </c>
      <c r="H614" s="802"/>
      <c r="I614" s="803">
        <v>1388</v>
      </c>
      <c r="J614" s="803">
        <v>64723</v>
      </c>
      <c r="K614" s="803">
        <v>5059</v>
      </c>
      <c r="L614" s="802">
        <v>18633</v>
      </c>
      <c r="M614" s="802"/>
      <c r="N614" s="803">
        <v>2588</v>
      </c>
      <c r="O614" s="803">
        <v>23889</v>
      </c>
      <c r="P614" s="803">
        <v>0</v>
      </c>
      <c r="Q614" s="802">
        <v>1494</v>
      </c>
      <c r="R614" s="802"/>
      <c r="S614" s="803">
        <v>19741</v>
      </c>
      <c r="T614" s="804">
        <v>5200</v>
      </c>
      <c r="U614" s="804">
        <v>24941</v>
      </c>
    </row>
    <row r="615" spans="1:21" x14ac:dyDescent="0.25">
      <c r="A615" s="799">
        <v>96701</v>
      </c>
      <c r="B615" s="800" t="s">
        <v>3229</v>
      </c>
      <c r="C615" s="801">
        <v>7.7850000000000003E-3</v>
      </c>
      <c r="D615" s="801">
        <v>7.7803999999999998E-3</v>
      </c>
      <c r="E615" s="802">
        <v>3136203</v>
      </c>
      <c r="F615" s="802">
        <v>3491797</v>
      </c>
      <c r="G615" s="802">
        <v>16522378</v>
      </c>
      <c r="H615" s="802"/>
      <c r="I615" s="803">
        <v>310427</v>
      </c>
      <c r="J615" s="803">
        <v>14478870</v>
      </c>
      <c r="K615" s="803">
        <v>1131635</v>
      </c>
      <c r="L615" s="802">
        <v>289202</v>
      </c>
      <c r="M615" s="802"/>
      <c r="N615" s="803">
        <v>578963</v>
      </c>
      <c r="O615" s="803">
        <v>5344075.53</v>
      </c>
      <c r="P615" s="803">
        <v>0</v>
      </c>
      <c r="Q615" s="802">
        <v>79279</v>
      </c>
      <c r="R615" s="802"/>
      <c r="S615" s="803">
        <v>4416189</v>
      </c>
      <c r="T615" s="804">
        <v>74739</v>
      </c>
      <c r="U615" s="804">
        <v>4490928</v>
      </c>
    </row>
    <row r="616" spans="1:21" x14ac:dyDescent="0.25">
      <c r="A616" s="799">
        <v>96704</v>
      </c>
      <c r="B616" s="800" t="s">
        <v>3230</v>
      </c>
      <c r="C616" s="801">
        <v>1.5330000000000001E-4</v>
      </c>
      <c r="D616" s="801">
        <v>1.5919999999999999E-4</v>
      </c>
      <c r="E616" s="802">
        <v>71376</v>
      </c>
      <c r="F616" s="802">
        <v>71448</v>
      </c>
      <c r="G616" s="802">
        <v>325354</v>
      </c>
      <c r="H616" s="802"/>
      <c r="I616" s="803">
        <v>6113</v>
      </c>
      <c r="J616" s="803">
        <v>285114</v>
      </c>
      <c r="K616" s="803">
        <v>22284</v>
      </c>
      <c r="L616" s="802">
        <v>9181</v>
      </c>
      <c r="M616" s="802"/>
      <c r="N616" s="803">
        <v>11401</v>
      </c>
      <c r="O616" s="803">
        <v>105234</v>
      </c>
      <c r="P616" s="803">
        <v>0</v>
      </c>
      <c r="Q616" s="802">
        <v>0</v>
      </c>
      <c r="R616" s="802"/>
      <c r="S616" s="803">
        <v>86962</v>
      </c>
      <c r="T616" s="804">
        <v>3774</v>
      </c>
      <c r="U616" s="804">
        <v>90736</v>
      </c>
    </row>
    <row r="617" spans="1:21" x14ac:dyDescent="0.25">
      <c r="A617" s="799">
        <v>96708</v>
      </c>
      <c r="B617" s="800" t="s">
        <v>3231</v>
      </c>
      <c r="C617" s="801">
        <v>8.4590000000000002E-4</v>
      </c>
      <c r="D617" s="801">
        <v>9.8109999999999994E-4</v>
      </c>
      <c r="E617" s="802">
        <v>406277.09</v>
      </c>
      <c r="F617" s="802">
        <v>440312</v>
      </c>
      <c r="G617" s="802">
        <v>1795283</v>
      </c>
      <c r="H617" s="802"/>
      <c r="I617" s="803">
        <v>33730</v>
      </c>
      <c r="J617" s="803">
        <v>1573240</v>
      </c>
      <c r="K617" s="803">
        <v>122961</v>
      </c>
      <c r="L617" s="802">
        <v>54938</v>
      </c>
      <c r="M617" s="802"/>
      <c r="N617" s="803">
        <v>62909</v>
      </c>
      <c r="O617" s="803">
        <v>580675</v>
      </c>
      <c r="P617" s="803">
        <v>0</v>
      </c>
      <c r="Q617" s="802">
        <v>26851</v>
      </c>
      <c r="R617" s="802"/>
      <c r="S617" s="803">
        <v>479853</v>
      </c>
      <c r="T617" s="804">
        <v>14104</v>
      </c>
      <c r="U617" s="804">
        <v>493957</v>
      </c>
    </row>
    <row r="618" spans="1:21" x14ac:dyDescent="0.25">
      <c r="A618" s="799">
        <v>96711</v>
      </c>
      <c r="B618" s="800" t="s">
        <v>3232</v>
      </c>
      <c r="C618" s="801">
        <v>4.4140000000000004E-3</v>
      </c>
      <c r="D618" s="801">
        <v>4.2459999999999998E-3</v>
      </c>
      <c r="E618" s="802">
        <v>1606505</v>
      </c>
      <c r="F618" s="802">
        <v>1905579</v>
      </c>
      <c r="G618" s="802">
        <v>9367987</v>
      </c>
      <c r="H618" s="802"/>
      <c r="I618" s="803">
        <v>176008</v>
      </c>
      <c r="J618" s="803">
        <v>8209343</v>
      </c>
      <c r="K618" s="803">
        <v>641623</v>
      </c>
      <c r="L618" s="802">
        <v>20750</v>
      </c>
      <c r="M618" s="802"/>
      <c r="N618" s="803">
        <v>328265</v>
      </c>
      <c r="O618" s="803">
        <v>3030026</v>
      </c>
      <c r="P618" s="803">
        <v>0</v>
      </c>
      <c r="Q618" s="802">
        <v>348266</v>
      </c>
      <c r="R618" s="802"/>
      <c r="S618" s="803">
        <v>2503925</v>
      </c>
      <c r="T618" s="804">
        <v>-105928</v>
      </c>
      <c r="U618" s="804">
        <v>2397997</v>
      </c>
    </row>
    <row r="619" spans="1:21" x14ac:dyDescent="0.25">
      <c r="A619" s="799">
        <v>96721</v>
      </c>
      <c r="B619" s="800" t="s">
        <v>3233</v>
      </c>
      <c r="C619" s="801">
        <v>1.9780000000000001E-4</v>
      </c>
      <c r="D619" s="801">
        <v>2.5119999999999998E-4</v>
      </c>
      <c r="E619" s="802">
        <v>74367</v>
      </c>
      <c r="F619" s="802">
        <v>112737</v>
      </c>
      <c r="G619" s="802">
        <v>419798</v>
      </c>
      <c r="H619" s="802"/>
      <c r="I619" s="803">
        <v>7887</v>
      </c>
      <c r="J619" s="803">
        <v>367877</v>
      </c>
      <c r="K619" s="803">
        <v>28752</v>
      </c>
      <c r="L619" s="802">
        <v>10855</v>
      </c>
      <c r="M619" s="802"/>
      <c r="N619" s="803">
        <v>14710</v>
      </c>
      <c r="O619" s="803">
        <v>135781</v>
      </c>
      <c r="P619" s="803">
        <v>0</v>
      </c>
      <c r="Q619" s="802">
        <v>34469</v>
      </c>
      <c r="R619" s="802"/>
      <c r="S619" s="803">
        <v>112206</v>
      </c>
      <c r="T619" s="804">
        <v>-3553</v>
      </c>
      <c r="U619" s="804">
        <v>108653</v>
      </c>
    </row>
    <row r="620" spans="1:21" x14ac:dyDescent="0.25">
      <c r="A620" s="799">
        <v>96731</v>
      </c>
      <c r="B620" s="800" t="s">
        <v>3234</v>
      </c>
      <c r="C620" s="801">
        <v>1.5090000000000001E-4</v>
      </c>
      <c r="D620" s="801">
        <v>1.3420000000000001E-4</v>
      </c>
      <c r="E620" s="802">
        <v>65647</v>
      </c>
      <c r="F620" s="802">
        <v>60228</v>
      </c>
      <c r="G620" s="802">
        <v>320260</v>
      </c>
      <c r="H620" s="802"/>
      <c r="I620" s="803">
        <v>6017</v>
      </c>
      <c r="J620" s="803">
        <v>280650</v>
      </c>
      <c r="K620" s="803">
        <v>21935</v>
      </c>
      <c r="L620" s="802">
        <v>18052</v>
      </c>
      <c r="M620" s="802"/>
      <c r="N620" s="803">
        <v>11222</v>
      </c>
      <c r="O620" s="803">
        <v>103587</v>
      </c>
      <c r="P620" s="803">
        <v>0</v>
      </c>
      <c r="Q620" s="802">
        <v>12</v>
      </c>
      <c r="R620" s="802"/>
      <c r="S620" s="803">
        <v>85601</v>
      </c>
      <c r="T620" s="804">
        <v>5259</v>
      </c>
      <c r="U620" s="804">
        <v>90859</v>
      </c>
    </row>
    <row r="621" spans="1:21" x14ac:dyDescent="0.25">
      <c r="A621" s="799">
        <v>96733</v>
      </c>
      <c r="B621" s="800" t="s">
        <v>3235</v>
      </c>
      <c r="C621" s="801">
        <v>9.2E-6</v>
      </c>
      <c r="D621" s="801">
        <v>4.1999999999999996E-6</v>
      </c>
      <c r="E621" s="802">
        <v>5389.79</v>
      </c>
      <c r="F621" s="802">
        <v>1885</v>
      </c>
      <c r="G621" s="802">
        <v>19525</v>
      </c>
      <c r="H621" s="802"/>
      <c r="I621" s="803">
        <v>366.85</v>
      </c>
      <c r="J621" s="803">
        <v>17111</v>
      </c>
      <c r="K621" s="803">
        <v>1337</v>
      </c>
      <c r="L621" s="802">
        <v>6066</v>
      </c>
      <c r="M621" s="802"/>
      <c r="N621" s="803">
        <v>684</v>
      </c>
      <c r="O621" s="803">
        <v>6315</v>
      </c>
      <c r="P621" s="803">
        <v>0</v>
      </c>
      <c r="Q621" s="802">
        <v>1048</v>
      </c>
      <c r="R621" s="802"/>
      <c r="S621" s="803">
        <v>5219</v>
      </c>
      <c r="T621" s="804">
        <v>1707</v>
      </c>
      <c r="U621" s="804">
        <v>6925</v>
      </c>
    </row>
    <row r="622" spans="1:21" x14ac:dyDescent="0.25">
      <c r="A622" s="799">
        <v>96741</v>
      </c>
      <c r="B622" s="800" t="s">
        <v>3236</v>
      </c>
      <c r="C622" s="801">
        <v>9.2399999999999996E-5</v>
      </c>
      <c r="D622" s="801">
        <v>9.2899999999999995E-5</v>
      </c>
      <c r="E622" s="802">
        <v>36390</v>
      </c>
      <c r="F622" s="802">
        <v>41693</v>
      </c>
      <c r="G622" s="802">
        <v>196104</v>
      </c>
      <c r="H622" s="802"/>
      <c r="I622" s="803">
        <v>3684.45</v>
      </c>
      <c r="J622" s="803">
        <v>171849</v>
      </c>
      <c r="K622" s="803">
        <v>13431</v>
      </c>
      <c r="L622" s="802">
        <v>7135</v>
      </c>
      <c r="M622" s="802"/>
      <c r="N622" s="803">
        <v>6872</v>
      </c>
      <c r="O622" s="803">
        <v>63429</v>
      </c>
      <c r="P622" s="803">
        <v>0</v>
      </c>
      <c r="Q622" s="802">
        <v>1549</v>
      </c>
      <c r="R622" s="802"/>
      <c r="S622" s="803">
        <v>52416</v>
      </c>
      <c r="T622" s="804">
        <v>2530</v>
      </c>
      <c r="U622" s="804">
        <v>54946</v>
      </c>
    </row>
    <row r="623" spans="1:21" x14ac:dyDescent="0.25">
      <c r="A623" s="799">
        <v>96751</v>
      </c>
      <c r="B623" s="800" t="s">
        <v>3237</v>
      </c>
      <c r="C623" s="801">
        <v>2.6120000000000001E-4</v>
      </c>
      <c r="D623" s="801">
        <v>3.0909999999999998E-4</v>
      </c>
      <c r="E623" s="802">
        <v>103641</v>
      </c>
      <c r="F623" s="802">
        <v>138722</v>
      </c>
      <c r="G623" s="802">
        <v>554354</v>
      </c>
      <c r="H623" s="802"/>
      <c r="I623" s="803">
        <v>10415.35</v>
      </c>
      <c r="J623" s="803">
        <v>485791</v>
      </c>
      <c r="K623" s="803">
        <v>37968</v>
      </c>
      <c r="L623" s="802">
        <v>21728.81</v>
      </c>
      <c r="M623" s="802"/>
      <c r="N623" s="803">
        <v>19425</v>
      </c>
      <c r="O623" s="803">
        <v>179303</v>
      </c>
      <c r="P623" s="803">
        <v>0</v>
      </c>
      <c r="Q623" s="802">
        <v>37607</v>
      </c>
      <c r="R623" s="802"/>
      <c r="S623" s="803">
        <v>148171</v>
      </c>
      <c r="T623" s="804">
        <v>349</v>
      </c>
      <c r="U623" s="804">
        <v>148519</v>
      </c>
    </row>
    <row r="624" spans="1:21" x14ac:dyDescent="0.25">
      <c r="A624" s="799">
        <v>96801</v>
      </c>
      <c r="B624" s="800" t="s">
        <v>3238</v>
      </c>
      <c r="C624" s="801">
        <v>7.8463999999999999E-3</v>
      </c>
      <c r="D624" s="801">
        <v>7.0825000000000003E-3</v>
      </c>
      <c r="E624" s="802">
        <v>3035869.73</v>
      </c>
      <c r="F624" s="802">
        <v>3178584</v>
      </c>
      <c r="G624" s="802">
        <v>16652689</v>
      </c>
      <c r="H624" s="802"/>
      <c r="I624" s="803">
        <v>312875.2</v>
      </c>
      <c r="J624" s="803">
        <v>14593064</v>
      </c>
      <c r="K624" s="803">
        <v>1140561</v>
      </c>
      <c r="L624" s="802">
        <v>642631</v>
      </c>
      <c r="M624" s="802"/>
      <c r="N624" s="803">
        <v>583529</v>
      </c>
      <c r="O624" s="803">
        <v>5386224</v>
      </c>
      <c r="P624" s="803">
        <v>0</v>
      </c>
      <c r="Q624" s="802">
        <v>0</v>
      </c>
      <c r="R624" s="802"/>
      <c r="S624" s="803">
        <v>4451019</v>
      </c>
      <c r="T624" s="804">
        <v>235775</v>
      </c>
      <c r="U624" s="804">
        <v>4686794</v>
      </c>
    </row>
    <row r="625" spans="1:21" x14ac:dyDescent="0.25">
      <c r="A625" s="799">
        <v>96804</v>
      </c>
      <c r="B625" s="800" t="s">
        <v>3239</v>
      </c>
      <c r="C625" s="801">
        <v>2.4230000000000001E-4</v>
      </c>
      <c r="D625" s="801">
        <v>2.275E-4</v>
      </c>
      <c r="E625" s="802">
        <v>89702</v>
      </c>
      <c r="F625" s="802">
        <v>102101</v>
      </c>
      <c r="G625" s="802">
        <v>514242</v>
      </c>
      <c r="H625" s="802"/>
      <c r="I625" s="803">
        <v>9662</v>
      </c>
      <c r="J625" s="803">
        <v>450640</v>
      </c>
      <c r="K625" s="803">
        <v>35221</v>
      </c>
      <c r="L625" s="802">
        <v>4453</v>
      </c>
      <c r="M625" s="802"/>
      <c r="N625" s="803">
        <v>18020</v>
      </c>
      <c r="O625" s="803">
        <v>166329</v>
      </c>
      <c r="P625" s="803">
        <v>0</v>
      </c>
      <c r="Q625" s="802">
        <v>3167</v>
      </c>
      <c r="R625" s="802"/>
      <c r="S625" s="803">
        <v>137449</v>
      </c>
      <c r="T625" s="804">
        <v>1085</v>
      </c>
      <c r="U625" s="804">
        <v>138535</v>
      </c>
    </row>
    <row r="626" spans="1:21" x14ac:dyDescent="0.25">
      <c r="A626" s="799">
        <v>96808</v>
      </c>
      <c r="B626" s="800" t="s">
        <v>3240</v>
      </c>
      <c r="C626" s="801">
        <v>1.2882E-3</v>
      </c>
      <c r="D626" s="801">
        <v>1.1995E-3</v>
      </c>
      <c r="E626" s="802">
        <v>505072.35</v>
      </c>
      <c r="F626" s="802">
        <v>538328</v>
      </c>
      <c r="G626" s="802">
        <v>2733992</v>
      </c>
      <c r="H626" s="802"/>
      <c r="I626" s="803">
        <v>51367</v>
      </c>
      <c r="J626" s="803">
        <v>2395848</v>
      </c>
      <c r="K626" s="803">
        <v>187254</v>
      </c>
      <c r="L626" s="802">
        <v>67087</v>
      </c>
      <c r="M626" s="802"/>
      <c r="N626" s="803">
        <v>95802</v>
      </c>
      <c r="O626" s="803">
        <v>884295</v>
      </c>
      <c r="P626" s="803">
        <v>0</v>
      </c>
      <c r="Q626" s="802">
        <v>0</v>
      </c>
      <c r="R626" s="802"/>
      <c r="S626" s="803">
        <v>730756</v>
      </c>
      <c r="T626" s="804">
        <v>24558</v>
      </c>
      <c r="U626" s="804">
        <v>755313</v>
      </c>
    </row>
    <row r="627" spans="1:21" x14ac:dyDescent="0.25">
      <c r="A627" s="799">
        <v>96811</v>
      </c>
      <c r="B627" s="800" t="s">
        <v>3241</v>
      </c>
      <c r="C627" s="801">
        <v>5.9861999999999997E-3</v>
      </c>
      <c r="D627" s="801">
        <v>6.0393000000000001E-3</v>
      </c>
      <c r="E627" s="802">
        <v>2443568.73</v>
      </c>
      <c r="F627" s="802">
        <v>2710402</v>
      </c>
      <c r="G627" s="802">
        <v>12704722</v>
      </c>
      <c r="H627" s="802"/>
      <c r="I627" s="803">
        <v>238700</v>
      </c>
      <c r="J627" s="803">
        <v>11133386</v>
      </c>
      <c r="K627" s="803">
        <v>870160</v>
      </c>
      <c r="L627" s="802">
        <v>0</v>
      </c>
      <c r="M627" s="802"/>
      <c r="N627" s="803">
        <v>445188</v>
      </c>
      <c r="O627" s="803">
        <v>4109275</v>
      </c>
      <c r="P627" s="803">
        <v>0</v>
      </c>
      <c r="Q627" s="802">
        <v>86222</v>
      </c>
      <c r="R627" s="802"/>
      <c r="S627" s="803">
        <v>3395786</v>
      </c>
      <c r="T627" s="804">
        <v>-32722</v>
      </c>
      <c r="U627" s="804">
        <v>3363064</v>
      </c>
    </row>
    <row r="628" spans="1:21" x14ac:dyDescent="0.25">
      <c r="A628" s="799">
        <v>96821</v>
      </c>
      <c r="B628" s="800" t="s">
        <v>3242</v>
      </c>
      <c r="C628" s="801">
        <v>1.3630999999999999E-3</v>
      </c>
      <c r="D628" s="801">
        <v>1.4808E-3</v>
      </c>
      <c r="E628" s="802">
        <v>518291.4</v>
      </c>
      <c r="F628" s="802">
        <v>664574</v>
      </c>
      <c r="G628" s="802">
        <v>2892955</v>
      </c>
      <c r="H628" s="802"/>
      <c r="I628" s="803">
        <v>54354</v>
      </c>
      <c r="J628" s="803">
        <v>2535151</v>
      </c>
      <c r="K628" s="803">
        <v>198142</v>
      </c>
      <c r="L628" s="802">
        <v>0</v>
      </c>
      <c r="M628" s="802"/>
      <c r="N628" s="803">
        <v>101372</v>
      </c>
      <c r="O628" s="803">
        <v>935711</v>
      </c>
      <c r="P628" s="803">
        <v>0</v>
      </c>
      <c r="Q628" s="802">
        <v>153131</v>
      </c>
      <c r="R628" s="802"/>
      <c r="S628" s="803">
        <v>773244</v>
      </c>
      <c r="T628" s="804">
        <v>-47603</v>
      </c>
      <c r="U628" s="804">
        <v>725641</v>
      </c>
    </row>
    <row r="629" spans="1:21" x14ac:dyDescent="0.25">
      <c r="A629" s="799">
        <v>96831</v>
      </c>
      <c r="B629" s="800" t="s">
        <v>3243</v>
      </c>
      <c r="C629" s="801">
        <v>9.2400000000000002E-4</v>
      </c>
      <c r="D629" s="801">
        <v>8.3830000000000005E-4</v>
      </c>
      <c r="E629" s="802">
        <v>353922</v>
      </c>
      <c r="F629" s="802">
        <v>376224</v>
      </c>
      <c r="G629" s="802">
        <v>1961037.54</v>
      </c>
      <c r="H629" s="802"/>
      <c r="I629" s="803">
        <v>36844.5</v>
      </c>
      <c r="J629" s="803">
        <v>1718494</v>
      </c>
      <c r="K629" s="803">
        <v>134314</v>
      </c>
      <c r="L629" s="802">
        <v>56487</v>
      </c>
      <c r="M629" s="802"/>
      <c r="N629" s="803">
        <v>68717</v>
      </c>
      <c r="O629" s="803">
        <v>634287</v>
      </c>
      <c r="P629" s="803">
        <v>0</v>
      </c>
      <c r="Q629" s="802">
        <v>0</v>
      </c>
      <c r="R629" s="802"/>
      <c r="S629" s="803">
        <v>524157</v>
      </c>
      <c r="T629" s="804">
        <v>19257</v>
      </c>
      <c r="U629" s="804">
        <v>543413</v>
      </c>
    </row>
    <row r="630" spans="1:21" x14ac:dyDescent="0.25">
      <c r="A630" s="799">
        <v>96901</v>
      </c>
      <c r="B630" s="800" t="s">
        <v>3244</v>
      </c>
      <c r="C630" s="801">
        <v>8.1610000000000005E-4</v>
      </c>
      <c r="D630" s="801">
        <v>7.6599999999999997E-4</v>
      </c>
      <c r="E630" s="802">
        <v>326581.33</v>
      </c>
      <c r="F630" s="802">
        <v>343776</v>
      </c>
      <c r="G630" s="802">
        <v>1732038</v>
      </c>
      <c r="H630" s="802"/>
      <c r="I630" s="803">
        <v>32542</v>
      </c>
      <c r="J630" s="803">
        <v>1517817</v>
      </c>
      <c r="K630" s="803">
        <v>118629</v>
      </c>
      <c r="L630" s="802">
        <v>46444</v>
      </c>
      <c r="M630" s="802"/>
      <c r="N630" s="803">
        <v>60693</v>
      </c>
      <c r="O630" s="803">
        <v>560218</v>
      </c>
      <c r="P630" s="803">
        <v>0</v>
      </c>
      <c r="Q630" s="802">
        <v>0</v>
      </c>
      <c r="R630" s="802"/>
      <c r="S630" s="803">
        <v>462948</v>
      </c>
      <c r="T630" s="804">
        <v>15281</v>
      </c>
      <c r="U630" s="804">
        <v>478229</v>
      </c>
    </row>
    <row r="631" spans="1:21" x14ac:dyDescent="0.25">
      <c r="A631" s="799">
        <v>96911</v>
      </c>
      <c r="B631" s="800" t="s">
        <v>3245</v>
      </c>
      <c r="C631" s="801">
        <v>3.7000000000000002E-6</v>
      </c>
      <c r="D631" s="801">
        <v>1.15E-5</v>
      </c>
      <c r="E631" s="802">
        <v>2162.39</v>
      </c>
      <c r="F631" s="802">
        <v>5161</v>
      </c>
      <c r="G631" s="802">
        <v>7853</v>
      </c>
      <c r="H631" s="802"/>
      <c r="I631" s="803">
        <v>147.53749999999999</v>
      </c>
      <c r="J631" s="803">
        <v>6881</v>
      </c>
      <c r="K631" s="803">
        <v>538</v>
      </c>
      <c r="L631" s="802">
        <v>3997</v>
      </c>
      <c r="M631" s="802"/>
      <c r="N631" s="803">
        <v>275</v>
      </c>
      <c r="O631" s="803">
        <v>2540</v>
      </c>
      <c r="P631" s="803">
        <v>0</v>
      </c>
      <c r="Q631" s="802">
        <v>3716</v>
      </c>
      <c r="R631" s="802"/>
      <c r="S631" s="803">
        <v>2099</v>
      </c>
      <c r="T631" s="804">
        <v>571</v>
      </c>
      <c r="U631" s="804">
        <v>2669</v>
      </c>
    </row>
    <row r="632" spans="1:21" x14ac:dyDescent="0.25">
      <c r="A632" s="799">
        <v>96912</v>
      </c>
      <c r="B632" s="800" t="s">
        <v>3246</v>
      </c>
      <c r="C632" s="801">
        <v>6.0999999999999999E-5</v>
      </c>
      <c r="D632" s="801">
        <v>5.5899999999999997E-5</v>
      </c>
      <c r="E632" s="802">
        <v>20331.63</v>
      </c>
      <c r="F632" s="802">
        <v>25088</v>
      </c>
      <c r="G632" s="802">
        <v>129462</v>
      </c>
      <c r="H632" s="802"/>
      <c r="I632" s="803">
        <v>2432.375</v>
      </c>
      <c r="J632" s="803">
        <v>113450</v>
      </c>
      <c r="K632" s="803">
        <v>8867</v>
      </c>
      <c r="L632" s="802">
        <v>7641</v>
      </c>
      <c r="M632" s="802"/>
      <c r="N632" s="803">
        <v>4537</v>
      </c>
      <c r="O632" s="803">
        <v>41874</v>
      </c>
      <c r="P632" s="803">
        <v>0</v>
      </c>
      <c r="Q632" s="802">
        <v>1013</v>
      </c>
      <c r="R632" s="802"/>
      <c r="S632" s="803">
        <v>34603</v>
      </c>
      <c r="T632" s="804">
        <v>3054</v>
      </c>
      <c r="U632" s="804">
        <v>37657</v>
      </c>
    </row>
    <row r="633" spans="1:21" x14ac:dyDescent="0.25">
      <c r="A633" s="799">
        <v>96918</v>
      </c>
      <c r="B633" s="800" t="s">
        <v>3247</v>
      </c>
      <c r="C633" s="801">
        <v>4.0500000000000002E-5</v>
      </c>
      <c r="D633" s="801">
        <v>4.5099999999999998E-5</v>
      </c>
      <c r="E633" s="802">
        <v>18289.97</v>
      </c>
      <c r="F633" s="802">
        <v>20241</v>
      </c>
      <c r="G633" s="802">
        <v>85955</v>
      </c>
      <c r="H633" s="802"/>
      <c r="I633" s="803">
        <v>1614.9375</v>
      </c>
      <c r="J633" s="803">
        <v>75324</v>
      </c>
      <c r="K633" s="803">
        <v>5887</v>
      </c>
      <c r="L633" s="802">
        <v>12921</v>
      </c>
      <c r="M633" s="802"/>
      <c r="N633" s="803">
        <v>3012</v>
      </c>
      <c r="O633" s="803">
        <v>27802</v>
      </c>
      <c r="P633" s="803">
        <v>0</v>
      </c>
      <c r="Q633" s="802">
        <v>1194</v>
      </c>
      <c r="R633" s="802"/>
      <c r="S633" s="803">
        <v>22974</v>
      </c>
      <c r="T633" s="804">
        <v>5498</v>
      </c>
      <c r="U633" s="804">
        <v>28472</v>
      </c>
    </row>
    <row r="634" spans="1:21" x14ac:dyDescent="0.25">
      <c r="A634" s="799">
        <v>97001</v>
      </c>
      <c r="B634" s="800" t="s">
        <v>3248</v>
      </c>
      <c r="C634" s="801">
        <v>1.3641E-3</v>
      </c>
      <c r="D634" s="801">
        <v>1.3221999999999999E-3</v>
      </c>
      <c r="E634" s="802">
        <v>636605</v>
      </c>
      <c r="F634" s="802">
        <v>593395</v>
      </c>
      <c r="G634" s="802">
        <v>2895077</v>
      </c>
      <c r="H634" s="802"/>
      <c r="I634" s="803">
        <v>54393</v>
      </c>
      <c r="J634" s="803">
        <v>2537010</v>
      </c>
      <c r="K634" s="803">
        <v>198287</v>
      </c>
      <c r="L634" s="802">
        <v>107093</v>
      </c>
      <c r="M634" s="802"/>
      <c r="N634" s="803">
        <v>101447</v>
      </c>
      <c r="O634" s="803">
        <v>936397</v>
      </c>
      <c r="P634" s="803">
        <v>0</v>
      </c>
      <c r="Q634" s="802">
        <v>23162</v>
      </c>
      <c r="R634" s="802"/>
      <c r="S634" s="803">
        <v>773812</v>
      </c>
      <c r="T634" s="804">
        <v>18430</v>
      </c>
      <c r="U634" s="804">
        <v>792241</v>
      </c>
    </row>
    <row r="635" spans="1:21" x14ac:dyDescent="0.25">
      <c r="A635" s="799">
        <v>97002</v>
      </c>
      <c r="B635" s="800" t="s">
        <v>3249</v>
      </c>
      <c r="C635" s="801">
        <v>4.6589999999999999E-4</v>
      </c>
      <c r="D635" s="801">
        <v>3.9229999999999999E-4</v>
      </c>
      <c r="E635" s="802">
        <v>151526.06</v>
      </c>
      <c r="F635" s="802">
        <v>176062</v>
      </c>
      <c r="G635" s="802">
        <v>988796</v>
      </c>
      <c r="H635" s="802"/>
      <c r="I635" s="803">
        <v>18578</v>
      </c>
      <c r="J635" s="803">
        <v>866500</v>
      </c>
      <c r="K635" s="803">
        <v>67724</v>
      </c>
      <c r="L635" s="802">
        <v>28607</v>
      </c>
      <c r="M635" s="802"/>
      <c r="N635" s="803">
        <v>34649</v>
      </c>
      <c r="O635" s="803">
        <v>319821</v>
      </c>
      <c r="P635" s="803">
        <v>0</v>
      </c>
      <c r="Q635" s="802">
        <v>0</v>
      </c>
      <c r="R635" s="802"/>
      <c r="S635" s="803">
        <v>264291</v>
      </c>
      <c r="T635" s="804">
        <v>11776</v>
      </c>
      <c r="U635" s="804">
        <v>276066</v>
      </c>
    </row>
    <row r="636" spans="1:21" x14ac:dyDescent="0.25">
      <c r="A636" s="799">
        <v>97004</v>
      </c>
      <c r="B636" s="800" t="s">
        <v>3250</v>
      </c>
      <c r="C636" s="801">
        <v>1.0900000000000001E-5</v>
      </c>
      <c r="D636" s="801">
        <v>1.47E-5</v>
      </c>
      <c r="E636" s="802">
        <v>7359.36</v>
      </c>
      <c r="F636" s="802">
        <v>6597</v>
      </c>
      <c r="G636" s="802">
        <v>23133</v>
      </c>
      <c r="H636" s="802"/>
      <c r="I636" s="803">
        <v>435</v>
      </c>
      <c r="J636" s="803">
        <v>20272</v>
      </c>
      <c r="K636" s="803">
        <v>1584</v>
      </c>
      <c r="L636" s="802">
        <v>3251</v>
      </c>
      <c r="M636" s="802"/>
      <c r="N636" s="803">
        <v>811</v>
      </c>
      <c r="O636" s="803">
        <v>7482</v>
      </c>
      <c r="P636" s="803">
        <v>0</v>
      </c>
      <c r="Q636" s="802">
        <v>0</v>
      </c>
      <c r="R636" s="802"/>
      <c r="S636" s="803">
        <v>6183</v>
      </c>
      <c r="T636" s="804">
        <v>1295</v>
      </c>
      <c r="U636" s="804">
        <v>7478</v>
      </c>
    </row>
    <row r="637" spans="1:21" x14ac:dyDescent="0.25">
      <c r="A637" s="799">
        <v>97005</v>
      </c>
      <c r="B637" s="800" t="s">
        <v>3251</v>
      </c>
      <c r="C637" s="801">
        <v>1.42E-5</v>
      </c>
      <c r="D637" s="801">
        <v>2.3799999999999999E-5</v>
      </c>
      <c r="E637" s="802">
        <v>10552.87</v>
      </c>
      <c r="F637" s="802">
        <v>10681</v>
      </c>
      <c r="G637" s="802">
        <v>30137</v>
      </c>
      <c r="H637" s="802"/>
      <c r="I637" s="803">
        <v>566.22500000000002</v>
      </c>
      <c r="J637" s="803">
        <v>26410</v>
      </c>
      <c r="K637" s="803">
        <v>2064</v>
      </c>
      <c r="L637" s="802">
        <v>3091</v>
      </c>
      <c r="M637" s="802"/>
      <c r="N637" s="803">
        <v>1056</v>
      </c>
      <c r="O637" s="803">
        <v>9748</v>
      </c>
      <c r="P637" s="803">
        <v>0</v>
      </c>
      <c r="Q637" s="802">
        <v>2036</v>
      </c>
      <c r="R637" s="802"/>
      <c r="S637" s="803">
        <v>8055</v>
      </c>
      <c r="T637" s="804">
        <v>428</v>
      </c>
      <c r="U637" s="804">
        <v>8483</v>
      </c>
    </row>
    <row r="638" spans="1:21" x14ac:dyDescent="0.25">
      <c r="A638" s="799">
        <v>97008</v>
      </c>
      <c r="B638" s="800" t="s">
        <v>3252</v>
      </c>
      <c r="C638" s="801">
        <v>2.7530000000000002E-4</v>
      </c>
      <c r="D638" s="801">
        <v>2.6959999999999999E-4</v>
      </c>
      <c r="E638" s="802">
        <v>107270.37</v>
      </c>
      <c r="F638" s="802">
        <v>120995</v>
      </c>
      <c r="G638" s="802">
        <v>584279</v>
      </c>
      <c r="H638" s="802"/>
      <c r="I638" s="803">
        <v>10978</v>
      </c>
      <c r="J638" s="803">
        <v>512015</v>
      </c>
      <c r="K638" s="803">
        <v>40018</v>
      </c>
      <c r="L638" s="802">
        <v>14688</v>
      </c>
      <c r="M638" s="802"/>
      <c r="N638" s="803">
        <v>20474</v>
      </c>
      <c r="O638" s="803">
        <v>188982</v>
      </c>
      <c r="P638" s="803">
        <v>0</v>
      </c>
      <c r="Q638" s="802">
        <v>4604</v>
      </c>
      <c r="R638" s="802"/>
      <c r="S638" s="803">
        <v>156169</v>
      </c>
      <c r="T638" s="804">
        <v>5904</v>
      </c>
      <c r="U638" s="804">
        <v>162074</v>
      </c>
    </row>
    <row r="639" spans="1:21" x14ac:dyDescent="0.25">
      <c r="A639" s="799">
        <v>97010</v>
      </c>
      <c r="B639" s="800" t="s">
        <v>3253</v>
      </c>
      <c r="C639" s="801">
        <v>0</v>
      </c>
      <c r="D639" s="801">
        <v>0</v>
      </c>
      <c r="E639" s="802">
        <v>0</v>
      </c>
      <c r="F639" s="802">
        <v>0</v>
      </c>
      <c r="G639" s="802">
        <v>0</v>
      </c>
      <c r="H639" s="802"/>
      <c r="I639" s="803">
        <v>0</v>
      </c>
      <c r="J639" s="803">
        <v>0</v>
      </c>
      <c r="K639" s="803">
        <v>0</v>
      </c>
      <c r="L639" s="802">
        <v>0</v>
      </c>
      <c r="M639" s="802"/>
      <c r="N639" s="803">
        <v>0</v>
      </c>
      <c r="O639" s="803">
        <v>0</v>
      </c>
      <c r="P639" s="803">
        <v>0</v>
      </c>
      <c r="Q639" s="802">
        <v>3339356</v>
      </c>
      <c r="R639" s="802"/>
      <c r="S639" s="803">
        <v>0</v>
      </c>
      <c r="T639" s="804">
        <v>-1282454</v>
      </c>
      <c r="U639" s="804">
        <v>-1282454</v>
      </c>
    </row>
    <row r="640" spans="1:21" x14ac:dyDescent="0.25">
      <c r="A640" s="799">
        <v>97011</v>
      </c>
      <c r="B640" s="800" t="s">
        <v>3254</v>
      </c>
      <c r="C640" s="801">
        <v>1.9522999999999999E-3</v>
      </c>
      <c r="D640" s="801">
        <v>2.0471E-3</v>
      </c>
      <c r="E640" s="802">
        <v>745774</v>
      </c>
      <c r="F640" s="802">
        <v>918726</v>
      </c>
      <c r="G640" s="802">
        <v>4143435</v>
      </c>
      <c r="H640" s="802"/>
      <c r="I640" s="803">
        <v>77848</v>
      </c>
      <c r="J640" s="803">
        <v>3630970</v>
      </c>
      <c r="K640" s="803">
        <v>283788</v>
      </c>
      <c r="L640" s="802">
        <v>0</v>
      </c>
      <c r="M640" s="802"/>
      <c r="N640" s="803">
        <v>145191</v>
      </c>
      <c r="O640" s="803">
        <v>1340172</v>
      </c>
      <c r="P640" s="803">
        <v>0</v>
      </c>
      <c r="Q640" s="802">
        <v>128959</v>
      </c>
      <c r="R640" s="802"/>
      <c r="S640" s="803">
        <v>1107479</v>
      </c>
      <c r="T640" s="804">
        <v>-38250</v>
      </c>
      <c r="U640" s="804">
        <v>1069229</v>
      </c>
    </row>
    <row r="641" spans="1:21" x14ac:dyDescent="0.25">
      <c r="A641" s="799">
        <v>97012</v>
      </c>
      <c r="B641" s="800" t="s">
        <v>3255</v>
      </c>
      <c r="C641" s="801">
        <v>2.4499999999999999E-5</v>
      </c>
      <c r="D641" s="801">
        <v>2.4199999999999999E-5</v>
      </c>
      <c r="E641" s="802">
        <v>14173.02</v>
      </c>
      <c r="F641" s="802">
        <v>10861</v>
      </c>
      <c r="G641" s="802">
        <v>51997</v>
      </c>
      <c r="H641" s="802"/>
      <c r="I641" s="803">
        <v>976.9375</v>
      </c>
      <c r="J641" s="803">
        <v>45566</v>
      </c>
      <c r="K641" s="803">
        <v>3561</v>
      </c>
      <c r="L641" s="802">
        <v>3417</v>
      </c>
      <c r="M641" s="802"/>
      <c r="N641" s="803">
        <v>1822</v>
      </c>
      <c r="O641" s="803">
        <v>16818</v>
      </c>
      <c r="P641" s="803">
        <v>0</v>
      </c>
      <c r="Q641" s="802">
        <v>1887</v>
      </c>
      <c r="R641" s="802"/>
      <c r="S641" s="803">
        <v>13898</v>
      </c>
      <c r="T641" s="804">
        <v>148</v>
      </c>
      <c r="U641" s="804">
        <v>14046</v>
      </c>
    </row>
    <row r="642" spans="1:21" x14ac:dyDescent="0.25">
      <c r="A642" s="799">
        <v>97013</v>
      </c>
      <c r="B642" s="800" t="s">
        <v>3256</v>
      </c>
      <c r="C642" s="801">
        <v>2.0699999999999998E-5</v>
      </c>
      <c r="D642" s="801">
        <v>1.1399999999999999E-5</v>
      </c>
      <c r="E642" s="802">
        <v>8196.81</v>
      </c>
      <c r="F642" s="802">
        <v>5116</v>
      </c>
      <c r="G642" s="802">
        <v>43932</v>
      </c>
      <c r="H642" s="802"/>
      <c r="I642" s="803">
        <v>825</v>
      </c>
      <c r="J642" s="803">
        <v>38499</v>
      </c>
      <c r="K642" s="803">
        <v>3009</v>
      </c>
      <c r="L642" s="802">
        <v>7733</v>
      </c>
      <c r="M642" s="802"/>
      <c r="N642" s="803">
        <v>1539</v>
      </c>
      <c r="O642" s="803">
        <v>14210</v>
      </c>
      <c r="P642" s="803">
        <v>0</v>
      </c>
      <c r="Q642" s="802">
        <v>866</v>
      </c>
      <c r="R642" s="802"/>
      <c r="S642" s="803">
        <v>11742</v>
      </c>
      <c r="T642" s="804">
        <v>1850</v>
      </c>
      <c r="U642" s="804">
        <v>13592</v>
      </c>
    </row>
    <row r="643" spans="1:21" x14ac:dyDescent="0.25">
      <c r="A643" s="799">
        <v>97015</v>
      </c>
      <c r="B643" s="800" t="s">
        <v>3257</v>
      </c>
      <c r="C643" s="801">
        <v>5.3699999999999997E-5</v>
      </c>
      <c r="D643" s="801">
        <v>4.7700000000000001E-5</v>
      </c>
      <c r="E643" s="802">
        <v>21900.080000000002</v>
      </c>
      <c r="F643" s="802">
        <v>21407</v>
      </c>
      <c r="G643" s="802">
        <v>113969</v>
      </c>
      <c r="H643" s="802"/>
      <c r="I643" s="803">
        <v>2141</v>
      </c>
      <c r="J643" s="803">
        <v>99874</v>
      </c>
      <c r="K643" s="803">
        <v>7806</v>
      </c>
      <c r="L643" s="802">
        <v>6681</v>
      </c>
      <c r="M643" s="802"/>
      <c r="N643" s="803">
        <v>3994</v>
      </c>
      <c r="O643" s="803">
        <v>36863</v>
      </c>
      <c r="P643" s="803">
        <v>0</v>
      </c>
      <c r="Q643" s="802">
        <v>1588</v>
      </c>
      <c r="R643" s="802"/>
      <c r="S643" s="803">
        <v>30462</v>
      </c>
      <c r="T643" s="804">
        <v>1274</v>
      </c>
      <c r="U643" s="804">
        <v>31737</v>
      </c>
    </row>
    <row r="644" spans="1:21" x14ac:dyDescent="0.25">
      <c r="A644" s="799">
        <v>97018</v>
      </c>
      <c r="B644" s="800" t="s">
        <v>3258</v>
      </c>
      <c r="C644" s="801">
        <v>9.3999999999999998E-6</v>
      </c>
      <c r="D644" s="801">
        <v>9.5000000000000005E-6</v>
      </c>
      <c r="E644" s="802">
        <v>7336</v>
      </c>
      <c r="F644" s="802">
        <v>4264</v>
      </c>
      <c r="G644" s="802">
        <v>19950</v>
      </c>
      <c r="H644" s="802"/>
      <c r="I644" s="803">
        <v>374.82499999999999</v>
      </c>
      <c r="J644" s="803">
        <v>17483</v>
      </c>
      <c r="K644" s="803">
        <v>1366</v>
      </c>
      <c r="L644" s="802">
        <v>6124</v>
      </c>
      <c r="M644" s="802"/>
      <c r="N644" s="803">
        <v>699</v>
      </c>
      <c r="O644" s="803">
        <v>6453</v>
      </c>
      <c r="P644" s="803">
        <v>0</v>
      </c>
      <c r="Q644" s="802">
        <v>0</v>
      </c>
      <c r="R644" s="802"/>
      <c r="S644" s="803">
        <v>5332</v>
      </c>
      <c r="T644" s="804">
        <v>2103</v>
      </c>
      <c r="U644" s="804">
        <v>7435</v>
      </c>
    </row>
    <row r="645" spans="1:21" x14ac:dyDescent="0.25">
      <c r="A645" s="799">
        <v>97101</v>
      </c>
      <c r="B645" s="800" t="s">
        <v>3259</v>
      </c>
      <c r="C645" s="801">
        <v>2.6029E-3</v>
      </c>
      <c r="D645" s="801">
        <v>2.5864999999999998E-3</v>
      </c>
      <c r="E645" s="802">
        <v>1065744</v>
      </c>
      <c r="F645" s="802">
        <v>1160806</v>
      </c>
      <c r="G645" s="802">
        <v>5524226</v>
      </c>
      <c r="H645" s="802"/>
      <c r="I645" s="803">
        <v>103791</v>
      </c>
      <c r="J645" s="803">
        <v>4840983</v>
      </c>
      <c r="K645" s="803">
        <v>378360</v>
      </c>
      <c r="L645" s="802">
        <v>28605</v>
      </c>
      <c r="M645" s="802"/>
      <c r="N645" s="803">
        <v>193575</v>
      </c>
      <c r="O645" s="803">
        <v>1786782</v>
      </c>
      <c r="P645" s="803">
        <v>0</v>
      </c>
      <c r="Q645" s="802">
        <v>13944</v>
      </c>
      <c r="R645" s="802"/>
      <c r="S645" s="803">
        <v>1476544</v>
      </c>
      <c r="T645" s="804">
        <v>2643</v>
      </c>
      <c r="U645" s="804">
        <v>1479187</v>
      </c>
    </row>
    <row r="646" spans="1:21" x14ac:dyDescent="0.25">
      <c r="A646" s="799">
        <v>97104</v>
      </c>
      <c r="B646" s="800" t="s">
        <v>3260</v>
      </c>
      <c r="C646" s="801">
        <v>5.6799999999999998E-5</v>
      </c>
      <c r="D646" s="801">
        <v>5.2099999999999999E-5</v>
      </c>
      <c r="E646" s="802">
        <v>26203</v>
      </c>
      <c r="F646" s="802">
        <v>23382</v>
      </c>
      <c r="G646" s="802">
        <v>120549</v>
      </c>
      <c r="H646" s="802"/>
      <c r="I646" s="803">
        <v>2264.9</v>
      </c>
      <c r="J646" s="803">
        <v>105639</v>
      </c>
      <c r="K646" s="803">
        <v>8257</v>
      </c>
      <c r="L646" s="802">
        <v>15710</v>
      </c>
      <c r="M646" s="802"/>
      <c r="N646" s="803">
        <v>4224</v>
      </c>
      <c r="O646" s="803">
        <v>38991</v>
      </c>
      <c r="P646" s="803">
        <v>0</v>
      </c>
      <c r="Q646" s="802">
        <v>0</v>
      </c>
      <c r="R646" s="802"/>
      <c r="S646" s="803">
        <v>32221</v>
      </c>
      <c r="T646" s="804">
        <v>5708</v>
      </c>
      <c r="U646" s="804">
        <v>37929</v>
      </c>
    </row>
    <row r="647" spans="1:21" x14ac:dyDescent="0.25">
      <c r="A647" s="799">
        <v>97111</v>
      </c>
      <c r="B647" s="800" t="s">
        <v>3261</v>
      </c>
      <c r="C647" s="801">
        <v>2.7099999999999997E-4</v>
      </c>
      <c r="D647" s="801">
        <v>2.5099999999999998E-4</v>
      </c>
      <c r="E647" s="802">
        <v>99518.98</v>
      </c>
      <c r="F647" s="802">
        <v>112647</v>
      </c>
      <c r="G647" s="802">
        <v>575153</v>
      </c>
      <c r="H647" s="802"/>
      <c r="I647" s="803">
        <v>10806</v>
      </c>
      <c r="J647" s="803">
        <v>504017</v>
      </c>
      <c r="K647" s="803">
        <v>39393</v>
      </c>
      <c r="L647" s="802">
        <v>14654</v>
      </c>
      <c r="M647" s="802"/>
      <c r="N647" s="803">
        <v>20154</v>
      </c>
      <c r="O647" s="803">
        <v>186030</v>
      </c>
      <c r="P647" s="803">
        <v>0</v>
      </c>
      <c r="Q647" s="802">
        <v>17411</v>
      </c>
      <c r="R647" s="802"/>
      <c r="S647" s="803">
        <v>153730</v>
      </c>
      <c r="T647" s="804">
        <v>858</v>
      </c>
      <c r="U647" s="804">
        <v>154588</v>
      </c>
    </row>
    <row r="648" spans="1:21" x14ac:dyDescent="0.25">
      <c r="A648" s="799">
        <v>97121</v>
      </c>
      <c r="B648" s="800" t="s">
        <v>3262</v>
      </c>
      <c r="C648" s="801">
        <v>1.2070000000000001E-4</v>
      </c>
      <c r="D648" s="801">
        <v>1.495E-4</v>
      </c>
      <c r="E648" s="802">
        <v>55081</v>
      </c>
      <c r="F648" s="802">
        <v>67095</v>
      </c>
      <c r="G648" s="802">
        <v>256166</v>
      </c>
      <c r="H648" s="802"/>
      <c r="I648" s="803">
        <v>4813</v>
      </c>
      <c r="J648" s="803">
        <v>224483</v>
      </c>
      <c r="K648" s="803">
        <v>17545</v>
      </c>
      <c r="L648" s="802">
        <v>0</v>
      </c>
      <c r="M648" s="802"/>
      <c r="N648" s="803">
        <v>8976</v>
      </c>
      <c r="O648" s="803">
        <v>82855</v>
      </c>
      <c r="P648" s="803">
        <v>0</v>
      </c>
      <c r="Q648" s="802">
        <v>14541</v>
      </c>
      <c r="R648" s="802"/>
      <c r="S648" s="803">
        <v>68469</v>
      </c>
      <c r="T648" s="804">
        <v>-4515</v>
      </c>
      <c r="U648" s="804">
        <v>63954</v>
      </c>
    </row>
    <row r="649" spans="1:21" x14ac:dyDescent="0.25">
      <c r="A649" s="799">
        <v>97131</v>
      </c>
      <c r="B649" s="800" t="s">
        <v>3263</v>
      </c>
      <c r="C649" s="801">
        <v>6.2969999999999996E-4</v>
      </c>
      <c r="D649" s="801">
        <v>5.9650000000000002E-4</v>
      </c>
      <c r="E649" s="802">
        <v>232414</v>
      </c>
      <c r="F649" s="802">
        <v>267706</v>
      </c>
      <c r="G649" s="802">
        <v>1336434</v>
      </c>
      <c r="H649" s="802"/>
      <c r="I649" s="803">
        <v>25109</v>
      </c>
      <c r="J649" s="803">
        <v>1171143</v>
      </c>
      <c r="K649" s="803">
        <v>91534</v>
      </c>
      <c r="L649" s="802">
        <v>6841</v>
      </c>
      <c r="M649" s="802"/>
      <c r="N649" s="803">
        <v>46830</v>
      </c>
      <c r="O649" s="803">
        <v>432263</v>
      </c>
      <c r="P649" s="803">
        <v>0</v>
      </c>
      <c r="Q649" s="802">
        <v>3274</v>
      </c>
      <c r="R649" s="802"/>
      <c r="S649" s="803">
        <v>357209</v>
      </c>
      <c r="T649" s="804">
        <v>1535</v>
      </c>
      <c r="U649" s="804">
        <v>358745</v>
      </c>
    </row>
    <row r="650" spans="1:21" x14ac:dyDescent="0.25">
      <c r="A650" s="799">
        <v>97201</v>
      </c>
      <c r="B650" s="800" t="s">
        <v>3264</v>
      </c>
      <c r="C650" s="801">
        <v>4.9439999999999998E-4</v>
      </c>
      <c r="D650" s="801">
        <v>4.7249999999999999E-4</v>
      </c>
      <c r="E650" s="802">
        <v>214121.60000000001</v>
      </c>
      <c r="F650" s="802">
        <v>212055</v>
      </c>
      <c r="G650" s="802">
        <v>1049282</v>
      </c>
      <c r="H650" s="802"/>
      <c r="I650" s="803">
        <v>19714.2</v>
      </c>
      <c r="J650" s="803">
        <v>919506</v>
      </c>
      <c r="K650" s="803">
        <v>71866</v>
      </c>
      <c r="L650" s="802">
        <v>22797</v>
      </c>
      <c r="M650" s="802"/>
      <c r="N650" s="803">
        <v>36768</v>
      </c>
      <c r="O650" s="803">
        <v>339385</v>
      </c>
      <c r="P650" s="803">
        <v>0</v>
      </c>
      <c r="Q650" s="802">
        <v>3773</v>
      </c>
      <c r="R650" s="802"/>
      <c r="S650" s="803">
        <v>280458</v>
      </c>
      <c r="T650" s="804">
        <v>4235</v>
      </c>
      <c r="U650" s="804">
        <v>284693</v>
      </c>
    </row>
    <row r="651" spans="1:21" x14ac:dyDescent="0.25">
      <c r="A651" s="799">
        <v>97211</v>
      </c>
      <c r="B651" s="800" t="s">
        <v>3265</v>
      </c>
      <c r="C651" s="801">
        <v>1.4119999999999999E-4</v>
      </c>
      <c r="D651" s="801">
        <v>1.7689999999999999E-4</v>
      </c>
      <c r="E651" s="802">
        <v>62098</v>
      </c>
      <c r="F651" s="802">
        <v>79392</v>
      </c>
      <c r="G651" s="802">
        <v>299674</v>
      </c>
      <c r="H651" s="802"/>
      <c r="I651" s="803">
        <v>5630</v>
      </c>
      <c r="J651" s="803">
        <v>262610</v>
      </c>
      <c r="K651" s="803">
        <v>20525</v>
      </c>
      <c r="L651" s="802">
        <v>3573</v>
      </c>
      <c r="M651" s="802"/>
      <c r="N651" s="803">
        <v>10501</v>
      </c>
      <c r="O651" s="803">
        <v>96928</v>
      </c>
      <c r="P651" s="803">
        <v>0</v>
      </c>
      <c r="Q651" s="802">
        <v>16466</v>
      </c>
      <c r="R651" s="802"/>
      <c r="S651" s="803">
        <v>80098</v>
      </c>
      <c r="T651" s="804">
        <v>-3079</v>
      </c>
      <c r="U651" s="804">
        <v>77020</v>
      </c>
    </row>
    <row r="652" spans="1:21" x14ac:dyDescent="0.25">
      <c r="A652" s="799">
        <v>97213</v>
      </c>
      <c r="B652" s="800" t="s">
        <v>3266</v>
      </c>
      <c r="C652" s="801">
        <v>3.8300000000000003E-5</v>
      </c>
      <c r="D652" s="801">
        <v>4.0800000000000002E-5</v>
      </c>
      <c r="E652" s="802">
        <v>16615</v>
      </c>
      <c r="F652" s="802">
        <v>18311</v>
      </c>
      <c r="G652" s="802">
        <v>81285</v>
      </c>
      <c r="H652" s="802"/>
      <c r="I652" s="803">
        <v>1527</v>
      </c>
      <c r="J652" s="803">
        <v>71232</v>
      </c>
      <c r="K652" s="803">
        <v>5567</v>
      </c>
      <c r="L652" s="802">
        <v>1545</v>
      </c>
      <c r="M652" s="802"/>
      <c r="N652" s="803">
        <v>2848</v>
      </c>
      <c r="O652" s="803">
        <v>26291</v>
      </c>
      <c r="P652" s="803">
        <v>0</v>
      </c>
      <c r="Q652" s="802">
        <v>668</v>
      </c>
      <c r="R652" s="802"/>
      <c r="S652" s="803">
        <v>21726</v>
      </c>
      <c r="T652" s="804">
        <v>577</v>
      </c>
      <c r="U652" s="804">
        <v>22303</v>
      </c>
    </row>
    <row r="653" spans="1:21" x14ac:dyDescent="0.25">
      <c r="A653" s="799">
        <v>97217</v>
      </c>
      <c r="B653" s="800" t="s">
        <v>3267</v>
      </c>
      <c r="C653" s="801">
        <v>4.8999999999999997E-6</v>
      </c>
      <c r="D653" s="801">
        <v>5.0000000000000004E-6</v>
      </c>
      <c r="E653" s="802">
        <v>6185</v>
      </c>
      <c r="F653" s="802">
        <v>2244</v>
      </c>
      <c r="G653" s="802">
        <v>10399</v>
      </c>
      <c r="H653" s="802"/>
      <c r="I653" s="803">
        <v>195.38749999999999</v>
      </c>
      <c r="J653" s="803">
        <v>9113</v>
      </c>
      <c r="K653" s="803">
        <v>712</v>
      </c>
      <c r="L653" s="802">
        <v>6975</v>
      </c>
      <c r="M653" s="802"/>
      <c r="N653" s="803">
        <v>364</v>
      </c>
      <c r="O653" s="803">
        <v>3364</v>
      </c>
      <c r="P653" s="803">
        <v>0</v>
      </c>
      <c r="Q653" s="802">
        <v>0</v>
      </c>
      <c r="R653" s="802"/>
      <c r="S653" s="803">
        <v>2780</v>
      </c>
      <c r="T653" s="804">
        <v>2381</v>
      </c>
      <c r="U653" s="804">
        <v>5160</v>
      </c>
    </row>
    <row r="654" spans="1:21" x14ac:dyDescent="0.25">
      <c r="A654" s="799">
        <v>97221</v>
      </c>
      <c r="B654" s="800" t="s">
        <v>3268</v>
      </c>
      <c r="C654" s="801">
        <v>6.1999999999999999E-6</v>
      </c>
      <c r="D654" s="801">
        <v>6.2999999999999998E-6</v>
      </c>
      <c r="E654" s="802">
        <v>6603.27</v>
      </c>
      <c r="F654" s="802">
        <v>2827</v>
      </c>
      <c r="G654" s="802">
        <v>13158</v>
      </c>
      <c r="H654" s="802"/>
      <c r="I654" s="803">
        <v>247.22499999999999</v>
      </c>
      <c r="J654" s="803">
        <v>11531</v>
      </c>
      <c r="K654" s="803">
        <v>901</v>
      </c>
      <c r="L654" s="802">
        <v>5895</v>
      </c>
      <c r="M654" s="802"/>
      <c r="N654" s="803">
        <v>461</v>
      </c>
      <c r="O654" s="803">
        <v>4256</v>
      </c>
      <c r="P654" s="803">
        <v>0</v>
      </c>
      <c r="Q654" s="802">
        <v>0</v>
      </c>
      <c r="R654" s="802"/>
      <c r="S654" s="803">
        <v>3517</v>
      </c>
      <c r="T654" s="804">
        <v>2057</v>
      </c>
      <c r="U654" s="804">
        <v>5574</v>
      </c>
    </row>
    <row r="655" spans="1:21" x14ac:dyDescent="0.25">
      <c r="A655" s="799">
        <v>97301</v>
      </c>
      <c r="B655" s="800" t="s">
        <v>3269</v>
      </c>
      <c r="C655" s="801">
        <v>2.5742E-3</v>
      </c>
      <c r="D655" s="801">
        <v>2.6905000000000002E-3</v>
      </c>
      <c r="E655" s="802">
        <v>1080031</v>
      </c>
      <c r="F655" s="802">
        <v>1207480</v>
      </c>
      <c r="G655" s="802">
        <v>5463315</v>
      </c>
      <c r="H655" s="802"/>
      <c r="I655" s="803">
        <v>102646</v>
      </c>
      <c r="J655" s="803">
        <v>4787605</v>
      </c>
      <c r="K655" s="803">
        <v>374188</v>
      </c>
      <c r="L655" s="802">
        <v>36738</v>
      </c>
      <c r="M655" s="802"/>
      <c r="N655" s="803">
        <v>191441</v>
      </c>
      <c r="O655" s="803">
        <v>1767080</v>
      </c>
      <c r="P655" s="803">
        <v>0</v>
      </c>
      <c r="Q655" s="802">
        <v>62348</v>
      </c>
      <c r="R655" s="802"/>
      <c r="S655" s="803">
        <v>1460264</v>
      </c>
      <c r="T655" s="804">
        <v>-7105</v>
      </c>
      <c r="U655" s="804">
        <v>1453159</v>
      </c>
    </row>
    <row r="656" spans="1:21" x14ac:dyDescent="0.25">
      <c r="A656" s="799">
        <v>97304</v>
      </c>
      <c r="B656" s="800" t="s">
        <v>3270</v>
      </c>
      <c r="C656" s="801">
        <v>1.7600000000000001E-5</v>
      </c>
      <c r="D656" s="801">
        <v>1.8499999999999999E-5</v>
      </c>
      <c r="E656" s="802">
        <v>11928</v>
      </c>
      <c r="F656" s="802">
        <v>8303</v>
      </c>
      <c r="G656" s="802">
        <v>37353</v>
      </c>
      <c r="H656" s="802"/>
      <c r="I656" s="803">
        <v>702</v>
      </c>
      <c r="J656" s="803">
        <v>32733</v>
      </c>
      <c r="K656" s="803">
        <v>2558</v>
      </c>
      <c r="L656" s="802">
        <v>7244</v>
      </c>
      <c r="M656" s="802"/>
      <c r="N656" s="803">
        <v>1309</v>
      </c>
      <c r="O656" s="803">
        <v>12082</v>
      </c>
      <c r="P656" s="803">
        <v>0</v>
      </c>
      <c r="Q656" s="802">
        <v>0</v>
      </c>
      <c r="R656" s="802"/>
      <c r="S656" s="803">
        <v>9984</v>
      </c>
      <c r="T656" s="804">
        <v>2504</v>
      </c>
      <c r="U656" s="804">
        <v>12488</v>
      </c>
    </row>
    <row r="657" spans="1:21" x14ac:dyDescent="0.25">
      <c r="A657" s="799">
        <v>97311</v>
      </c>
      <c r="B657" s="800" t="s">
        <v>3271</v>
      </c>
      <c r="C657" s="801">
        <v>9.5E-4</v>
      </c>
      <c r="D657" s="801">
        <v>1.0311000000000001E-3</v>
      </c>
      <c r="E657" s="802">
        <v>367318</v>
      </c>
      <c r="F657" s="802">
        <v>462751</v>
      </c>
      <c r="G657" s="802">
        <v>2016218.25</v>
      </c>
      <c r="H657" s="802"/>
      <c r="I657" s="803">
        <v>37881.25</v>
      </c>
      <c r="J657" s="803">
        <v>1766849.9</v>
      </c>
      <c r="K657" s="803">
        <v>138093</v>
      </c>
      <c r="L657" s="802">
        <v>0</v>
      </c>
      <c r="M657" s="802"/>
      <c r="N657" s="803">
        <v>70650.55</v>
      </c>
      <c r="O657" s="803">
        <v>652135.1</v>
      </c>
      <c r="P657" s="803">
        <v>0</v>
      </c>
      <c r="Q657" s="802">
        <v>97758</v>
      </c>
      <c r="R657" s="802"/>
      <c r="S657" s="803">
        <v>538906</v>
      </c>
      <c r="T657" s="804">
        <v>-33821</v>
      </c>
      <c r="U657" s="804">
        <v>505085</v>
      </c>
    </row>
    <row r="658" spans="1:21" x14ac:dyDescent="0.25">
      <c r="A658" s="799">
        <v>97401</v>
      </c>
      <c r="B658" s="800" t="s">
        <v>3272</v>
      </c>
      <c r="C658" s="801">
        <v>6.9633000000000004E-3</v>
      </c>
      <c r="D658" s="801">
        <v>6.9844E-3</v>
      </c>
      <c r="E658" s="802">
        <v>2848907</v>
      </c>
      <c r="F658" s="802">
        <v>3134557</v>
      </c>
      <c r="G658" s="802">
        <v>14778455</v>
      </c>
      <c r="H658" s="802"/>
      <c r="I658" s="803">
        <v>277662</v>
      </c>
      <c r="J658" s="803">
        <v>12950638</v>
      </c>
      <c r="K658" s="803">
        <v>1012192</v>
      </c>
      <c r="L658" s="802">
        <v>0</v>
      </c>
      <c r="M658" s="802"/>
      <c r="N658" s="803">
        <v>517854</v>
      </c>
      <c r="O658" s="803">
        <v>4780013</v>
      </c>
      <c r="P658" s="803">
        <v>0</v>
      </c>
      <c r="Q658" s="802">
        <v>142656</v>
      </c>
      <c r="R658" s="802"/>
      <c r="S658" s="803">
        <v>3950064</v>
      </c>
      <c r="T658" s="804">
        <v>-59462</v>
      </c>
      <c r="U658" s="804">
        <v>3890602</v>
      </c>
    </row>
    <row r="659" spans="1:21" x14ac:dyDescent="0.25">
      <c r="A659" s="799">
        <v>97402</v>
      </c>
      <c r="B659" s="800" t="s">
        <v>3273</v>
      </c>
      <c r="C659" s="801">
        <v>4.4700000000000002E-5</v>
      </c>
      <c r="D659" s="801">
        <v>2.3799999999999999E-5</v>
      </c>
      <c r="E659" s="802">
        <v>21076.7</v>
      </c>
      <c r="F659" s="802">
        <v>10681</v>
      </c>
      <c r="G659" s="802">
        <v>94868</v>
      </c>
      <c r="H659" s="802"/>
      <c r="I659" s="803">
        <v>1782</v>
      </c>
      <c r="J659" s="803">
        <v>83135</v>
      </c>
      <c r="K659" s="803">
        <v>6498</v>
      </c>
      <c r="L659" s="802">
        <v>15050</v>
      </c>
      <c r="M659" s="802"/>
      <c r="N659" s="803">
        <v>3324</v>
      </c>
      <c r="O659" s="803">
        <v>30685</v>
      </c>
      <c r="P659" s="803">
        <v>0</v>
      </c>
      <c r="Q659" s="802">
        <v>0</v>
      </c>
      <c r="R659" s="802"/>
      <c r="S659" s="803">
        <v>25357</v>
      </c>
      <c r="T659" s="804">
        <v>4096</v>
      </c>
      <c r="U659" s="804">
        <v>29453</v>
      </c>
    </row>
    <row r="660" spans="1:21" x14ac:dyDescent="0.25">
      <c r="A660" s="799">
        <v>97404</v>
      </c>
      <c r="B660" s="800" t="s">
        <v>3274</v>
      </c>
      <c r="C660" s="801">
        <v>2.1049999999999999E-4</v>
      </c>
      <c r="D660" s="801">
        <v>2.1249999999999999E-4</v>
      </c>
      <c r="E660" s="802">
        <v>73915</v>
      </c>
      <c r="F660" s="802">
        <v>95369</v>
      </c>
      <c r="G660" s="802">
        <v>446752</v>
      </c>
      <c r="H660" s="802"/>
      <c r="I660" s="803">
        <v>8393.6875</v>
      </c>
      <c r="J660" s="803">
        <v>391497</v>
      </c>
      <c r="K660" s="803">
        <v>30598</v>
      </c>
      <c r="L660" s="802">
        <v>1976</v>
      </c>
      <c r="M660" s="802"/>
      <c r="N660" s="803">
        <v>15655</v>
      </c>
      <c r="O660" s="803">
        <v>144499</v>
      </c>
      <c r="P660" s="803">
        <v>0</v>
      </c>
      <c r="Q660" s="802">
        <v>16111</v>
      </c>
      <c r="R660" s="802"/>
      <c r="S660" s="803">
        <v>119410</v>
      </c>
      <c r="T660" s="804">
        <v>-3656</v>
      </c>
      <c r="U660" s="804">
        <v>115754</v>
      </c>
    </row>
    <row r="661" spans="1:21" x14ac:dyDescent="0.25">
      <c r="A661" s="799">
        <v>97405</v>
      </c>
      <c r="B661" s="800" t="s">
        <v>3275</v>
      </c>
      <c r="C661" s="801">
        <v>1.087E-4</v>
      </c>
      <c r="D661" s="801">
        <v>1.081E-4</v>
      </c>
      <c r="E661" s="802">
        <v>55456</v>
      </c>
      <c r="F661" s="802">
        <v>48515</v>
      </c>
      <c r="G661" s="802">
        <v>230698</v>
      </c>
      <c r="H661" s="802"/>
      <c r="I661" s="803">
        <v>4334</v>
      </c>
      <c r="J661" s="803">
        <v>202165</v>
      </c>
      <c r="K661" s="803">
        <v>15801</v>
      </c>
      <c r="L661" s="802">
        <v>20704</v>
      </c>
      <c r="M661" s="802"/>
      <c r="N661" s="803">
        <v>8084</v>
      </c>
      <c r="O661" s="803">
        <v>74618</v>
      </c>
      <c r="P661" s="803">
        <v>0</v>
      </c>
      <c r="Q661" s="802">
        <v>9828.61</v>
      </c>
      <c r="R661" s="802"/>
      <c r="S661" s="803">
        <v>61662</v>
      </c>
      <c r="T661" s="804">
        <v>1556</v>
      </c>
      <c r="U661" s="804">
        <v>63218</v>
      </c>
    </row>
    <row r="662" spans="1:21" x14ac:dyDescent="0.25">
      <c r="A662" s="799">
        <v>97408</v>
      </c>
      <c r="B662" s="800" t="s">
        <v>3276</v>
      </c>
      <c r="C662" s="801">
        <v>4.9299999999999999E-5</v>
      </c>
      <c r="D662" s="801">
        <v>5.1199999999999998E-5</v>
      </c>
      <c r="E662" s="802">
        <v>28028</v>
      </c>
      <c r="F662" s="802">
        <v>22978</v>
      </c>
      <c r="G662" s="802">
        <v>104631</v>
      </c>
      <c r="H662" s="802"/>
      <c r="I662" s="803">
        <v>1966</v>
      </c>
      <c r="J662" s="803">
        <v>91690</v>
      </c>
      <c r="K662" s="803">
        <v>7166</v>
      </c>
      <c r="L662" s="802">
        <v>7585</v>
      </c>
      <c r="M662" s="802"/>
      <c r="N662" s="803">
        <v>3666</v>
      </c>
      <c r="O662" s="803">
        <v>33842</v>
      </c>
      <c r="P662" s="803">
        <v>0</v>
      </c>
      <c r="Q662" s="802">
        <v>0</v>
      </c>
      <c r="R662" s="802"/>
      <c r="S662" s="803">
        <v>27966</v>
      </c>
      <c r="T662" s="804">
        <v>2375</v>
      </c>
      <c r="U662" s="804">
        <v>30341</v>
      </c>
    </row>
    <row r="663" spans="1:21" x14ac:dyDescent="0.25">
      <c r="A663" s="799">
        <v>97411</v>
      </c>
      <c r="B663" s="800" t="s">
        <v>3277</v>
      </c>
      <c r="C663" s="801">
        <v>6.7269000000000001E-3</v>
      </c>
      <c r="D663" s="801">
        <v>7.0987000000000003E-3</v>
      </c>
      <c r="E663" s="802">
        <v>2531536.58</v>
      </c>
      <c r="F663" s="802">
        <v>3185854</v>
      </c>
      <c r="G663" s="802">
        <v>14276735</v>
      </c>
      <c r="H663" s="802"/>
      <c r="I663" s="803">
        <v>268235</v>
      </c>
      <c r="J663" s="803">
        <v>12510971</v>
      </c>
      <c r="K663" s="803">
        <v>977829</v>
      </c>
      <c r="L663" s="802">
        <v>0</v>
      </c>
      <c r="M663" s="802"/>
      <c r="N663" s="803">
        <v>500273</v>
      </c>
      <c r="O663" s="803">
        <v>4617734</v>
      </c>
      <c r="P663" s="803">
        <v>0</v>
      </c>
      <c r="Q663" s="802">
        <v>854591</v>
      </c>
      <c r="R663" s="802"/>
      <c r="S663" s="803">
        <v>3815962</v>
      </c>
      <c r="T663" s="804">
        <v>-289319</v>
      </c>
      <c r="U663" s="804">
        <v>3526643</v>
      </c>
    </row>
    <row r="664" spans="1:21" x14ac:dyDescent="0.25">
      <c r="A664" s="799">
        <v>97412</v>
      </c>
      <c r="B664" s="800" t="s">
        <v>3278</v>
      </c>
      <c r="C664" s="801">
        <v>4.424E-3</v>
      </c>
      <c r="D664" s="801">
        <v>4.1891999999999997E-3</v>
      </c>
      <c r="E664" s="802">
        <v>1763682</v>
      </c>
      <c r="F664" s="802">
        <v>1880088</v>
      </c>
      <c r="G664" s="802">
        <v>9389210</v>
      </c>
      <c r="H664" s="802"/>
      <c r="I664" s="803">
        <v>176407</v>
      </c>
      <c r="J664" s="803">
        <v>8227941</v>
      </c>
      <c r="K664" s="803">
        <v>643077</v>
      </c>
      <c r="L664" s="802">
        <v>158642</v>
      </c>
      <c r="M664" s="802"/>
      <c r="N664" s="803">
        <v>329008</v>
      </c>
      <c r="O664" s="803">
        <v>3036890</v>
      </c>
      <c r="P664" s="803">
        <v>0</v>
      </c>
      <c r="Q664" s="802">
        <v>0</v>
      </c>
      <c r="R664" s="802"/>
      <c r="S664" s="803">
        <v>2509598</v>
      </c>
      <c r="T664" s="804">
        <v>54211</v>
      </c>
      <c r="U664" s="804">
        <v>2563810</v>
      </c>
    </row>
    <row r="665" spans="1:21" x14ac:dyDescent="0.25">
      <c r="A665" s="799">
        <v>97413</v>
      </c>
      <c r="B665" s="800" t="s">
        <v>3279</v>
      </c>
      <c r="C665" s="801">
        <v>2.7910000000000001E-4</v>
      </c>
      <c r="D665" s="801">
        <v>2.9320000000000003E-4</v>
      </c>
      <c r="E665" s="802">
        <v>126701.6</v>
      </c>
      <c r="F665" s="802">
        <v>131586</v>
      </c>
      <c r="G665" s="802">
        <v>592344</v>
      </c>
      <c r="H665" s="802"/>
      <c r="I665" s="803">
        <v>11129</v>
      </c>
      <c r="J665" s="803">
        <v>519082</v>
      </c>
      <c r="K665" s="803">
        <v>40570</v>
      </c>
      <c r="L665" s="802">
        <v>1832</v>
      </c>
      <c r="M665" s="802"/>
      <c r="N665" s="803">
        <v>20756</v>
      </c>
      <c r="O665" s="803">
        <v>191590</v>
      </c>
      <c r="P665" s="803">
        <v>0</v>
      </c>
      <c r="Q665" s="802">
        <v>10212</v>
      </c>
      <c r="R665" s="802"/>
      <c r="S665" s="803">
        <v>158325</v>
      </c>
      <c r="T665" s="804">
        <v>-4433</v>
      </c>
      <c r="U665" s="804">
        <v>153891</v>
      </c>
    </row>
    <row r="666" spans="1:21" x14ac:dyDescent="0.25">
      <c r="A666" s="799">
        <v>97421</v>
      </c>
      <c r="B666" s="800" t="s">
        <v>3280</v>
      </c>
      <c r="C666" s="801">
        <v>4.1120000000000002E-4</v>
      </c>
      <c r="D666" s="801">
        <v>4.1140000000000003E-4</v>
      </c>
      <c r="E666" s="802">
        <v>162265</v>
      </c>
      <c r="F666" s="802">
        <v>184634</v>
      </c>
      <c r="G666" s="802">
        <v>872704</v>
      </c>
      <c r="H666" s="802"/>
      <c r="I666" s="803">
        <v>16397</v>
      </c>
      <c r="J666" s="803">
        <v>764767</v>
      </c>
      <c r="K666" s="803">
        <v>59772</v>
      </c>
      <c r="L666" s="802">
        <v>0</v>
      </c>
      <c r="M666" s="802"/>
      <c r="N666" s="803">
        <v>30581</v>
      </c>
      <c r="O666" s="803">
        <v>282272</v>
      </c>
      <c r="P666" s="803">
        <v>0</v>
      </c>
      <c r="Q666" s="802">
        <v>40232</v>
      </c>
      <c r="R666" s="802"/>
      <c r="S666" s="803">
        <v>233261</v>
      </c>
      <c r="T666" s="804">
        <v>-16104</v>
      </c>
      <c r="U666" s="804">
        <v>217157</v>
      </c>
    </row>
    <row r="667" spans="1:21" x14ac:dyDescent="0.25">
      <c r="A667" s="799">
        <v>97423</v>
      </c>
      <c r="B667" s="800" t="s">
        <v>3281</v>
      </c>
      <c r="C667" s="801">
        <v>4.5800000000000002E-5</v>
      </c>
      <c r="D667" s="801">
        <v>4.5300000000000003E-5</v>
      </c>
      <c r="E667" s="802">
        <v>37545</v>
      </c>
      <c r="F667" s="802">
        <v>20330</v>
      </c>
      <c r="G667" s="802">
        <v>97203</v>
      </c>
      <c r="H667" s="802"/>
      <c r="I667" s="803">
        <v>1826.2750000000001</v>
      </c>
      <c r="J667" s="803">
        <v>85181</v>
      </c>
      <c r="K667" s="803">
        <v>6658</v>
      </c>
      <c r="L667" s="802">
        <v>26530</v>
      </c>
      <c r="M667" s="802"/>
      <c r="N667" s="803">
        <v>3406</v>
      </c>
      <c r="O667" s="803">
        <v>31440</v>
      </c>
      <c r="P667" s="803">
        <v>0</v>
      </c>
      <c r="Q667" s="802">
        <v>0</v>
      </c>
      <c r="R667" s="802"/>
      <c r="S667" s="803">
        <v>25981</v>
      </c>
      <c r="T667" s="804">
        <v>8002</v>
      </c>
      <c r="U667" s="804">
        <v>33982</v>
      </c>
    </row>
    <row r="668" spans="1:21" x14ac:dyDescent="0.25">
      <c r="A668" s="799">
        <v>97431</v>
      </c>
      <c r="B668" s="800" t="s">
        <v>3282</v>
      </c>
      <c r="C668" s="801">
        <v>8.5199999999999997E-5</v>
      </c>
      <c r="D668" s="801">
        <v>8.7700000000000004E-5</v>
      </c>
      <c r="E668" s="802">
        <v>38446.49</v>
      </c>
      <c r="F668" s="802">
        <v>39359</v>
      </c>
      <c r="G668" s="802">
        <v>180823</v>
      </c>
      <c r="H668" s="802"/>
      <c r="I668" s="803">
        <v>3397.35</v>
      </c>
      <c r="J668" s="803">
        <v>158459</v>
      </c>
      <c r="K668" s="803">
        <v>12385</v>
      </c>
      <c r="L668" s="802">
        <v>2882</v>
      </c>
      <c r="M668" s="802"/>
      <c r="N668" s="803">
        <v>6336</v>
      </c>
      <c r="O668" s="803">
        <v>58486</v>
      </c>
      <c r="P668" s="803">
        <v>0</v>
      </c>
      <c r="Q668" s="802">
        <v>0</v>
      </c>
      <c r="R668" s="802"/>
      <c r="S668" s="803">
        <v>48331</v>
      </c>
      <c r="T668" s="804">
        <v>909</v>
      </c>
      <c r="U668" s="804">
        <v>49241</v>
      </c>
    </row>
    <row r="669" spans="1:21" x14ac:dyDescent="0.25">
      <c r="A669" s="799">
        <v>97441</v>
      </c>
      <c r="B669" s="800" t="s">
        <v>3283</v>
      </c>
      <c r="C669" s="801">
        <v>7.0500000000000006E-5</v>
      </c>
      <c r="D669" s="801">
        <v>6.8700000000000003E-5</v>
      </c>
      <c r="E669" s="802">
        <v>23079</v>
      </c>
      <c r="F669" s="802">
        <v>30832</v>
      </c>
      <c r="G669" s="802">
        <v>149625</v>
      </c>
      <c r="H669" s="802"/>
      <c r="I669" s="803">
        <v>2811</v>
      </c>
      <c r="J669" s="803">
        <v>131119</v>
      </c>
      <c r="K669" s="803">
        <v>10248</v>
      </c>
      <c r="L669" s="802">
        <v>406</v>
      </c>
      <c r="M669" s="802"/>
      <c r="N669" s="803">
        <v>5243</v>
      </c>
      <c r="O669" s="803">
        <v>48395</v>
      </c>
      <c r="P669" s="803">
        <v>0</v>
      </c>
      <c r="Q669" s="802">
        <v>4997</v>
      </c>
      <c r="R669" s="802"/>
      <c r="S669" s="803">
        <v>39992</v>
      </c>
      <c r="T669" s="804">
        <v>-1212</v>
      </c>
      <c r="U669" s="804">
        <v>38780</v>
      </c>
    </row>
    <row r="670" spans="1:21" x14ac:dyDescent="0.25">
      <c r="A670" s="799">
        <v>97451</v>
      </c>
      <c r="B670" s="800" t="s">
        <v>3284</v>
      </c>
      <c r="C670" s="801">
        <v>6.1039999999999998E-4</v>
      </c>
      <c r="D670" s="801">
        <v>5.1670000000000004E-4</v>
      </c>
      <c r="E670" s="802">
        <v>212065</v>
      </c>
      <c r="F670" s="802">
        <v>231892</v>
      </c>
      <c r="G670" s="802">
        <v>1295473</v>
      </c>
      <c r="H670" s="802"/>
      <c r="I670" s="803">
        <v>24339.7</v>
      </c>
      <c r="J670" s="803">
        <v>1135248</v>
      </c>
      <c r="K670" s="803">
        <v>88728</v>
      </c>
      <c r="L670" s="802">
        <v>30041</v>
      </c>
      <c r="M670" s="802"/>
      <c r="N670" s="803">
        <v>45395</v>
      </c>
      <c r="O670" s="803">
        <v>419014</v>
      </c>
      <c r="P670" s="803">
        <v>0</v>
      </c>
      <c r="Q670" s="802">
        <v>5880</v>
      </c>
      <c r="R670" s="802"/>
      <c r="S670" s="803">
        <v>346261</v>
      </c>
      <c r="T670" s="804">
        <v>8187</v>
      </c>
      <c r="U670" s="804">
        <v>354448</v>
      </c>
    </row>
    <row r="671" spans="1:21" x14ac:dyDescent="0.25">
      <c r="A671" s="799">
        <v>97461</v>
      </c>
      <c r="B671" s="800" t="s">
        <v>3285</v>
      </c>
      <c r="C671" s="801">
        <v>5.1869999999999998E-4</v>
      </c>
      <c r="D671" s="801">
        <v>5.3859999999999997E-4</v>
      </c>
      <c r="E671" s="802">
        <v>202230</v>
      </c>
      <c r="F671" s="802">
        <v>241720</v>
      </c>
      <c r="G671" s="802">
        <v>1100855</v>
      </c>
      <c r="H671" s="802"/>
      <c r="I671" s="803">
        <v>20683</v>
      </c>
      <c r="J671" s="803">
        <v>964700</v>
      </c>
      <c r="K671" s="803">
        <v>75399</v>
      </c>
      <c r="L671" s="802">
        <v>4454</v>
      </c>
      <c r="M671" s="802"/>
      <c r="N671" s="803">
        <v>38575</v>
      </c>
      <c r="O671" s="803">
        <v>356066</v>
      </c>
      <c r="P671" s="803">
        <v>0</v>
      </c>
      <c r="Q671" s="802">
        <v>46078</v>
      </c>
      <c r="R671" s="802"/>
      <c r="S671" s="803">
        <v>294242</v>
      </c>
      <c r="T671" s="804">
        <v>-12231</v>
      </c>
      <c r="U671" s="804">
        <v>282012</v>
      </c>
    </row>
    <row r="672" spans="1:21" x14ac:dyDescent="0.25">
      <c r="A672" s="799">
        <v>97463</v>
      </c>
      <c r="B672" s="800" t="s">
        <v>3286</v>
      </c>
      <c r="C672" s="801">
        <v>5.0099999999999998E-5</v>
      </c>
      <c r="D672" s="801">
        <v>5.6400000000000002E-5</v>
      </c>
      <c r="E672" s="802">
        <v>17390</v>
      </c>
      <c r="F672" s="802">
        <v>25312</v>
      </c>
      <c r="G672" s="802">
        <v>106329</v>
      </c>
      <c r="H672" s="802"/>
      <c r="I672" s="803">
        <v>1998</v>
      </c>
      <c r="J672" s="803">
        <v>93178</v>
      </c>
      <c r="K672" s="803">
        <v>7283</v>
      </c>
      <c r="L672" s="802">
        <v>2539</v>
      </c>
      <c r="M672" s="802"/>
      <c r="N672" s="803">
        <v>3726</v>
      </c>
      <c r="O672" s="803">
        <v>34392</v>
      </c>
      <c r="P672" s="803">
        <v>0</v>
      </c>
      <c r="Q672" s="802">
        <v>5965</v>
      </c>
      <c r="R672" s="802"/>
      <c r="S672" s="803">
        <v>28420</v>
      </c>
      <c r="T672" s="804">
        <v>-427</v>
      </c>
      <c r="U672" s="804">
        <v>27993</v>
      </c>
    </row>
    <row r="673" spans="1:21" x14ac:dyDescent="0.25">
      <c r="A673" s="799">
        <v>97471</v>
      </c>
      <c r="B673" s="800" t="s">
        <v>3287</v>
      </c>
      <c r="C673" s="801">
        <v>1.27E-5</v>
      </c>
      <c r="D673" s="801">
        <v>1.31E-5</v>
      </c>
      <c r="E673" s="802">
        <v>8483.43</v>
      </c>
      <c r="F673" s="802">
        <v>5879</v>
      </c>
      <c r="G673" s="802">
        <v>26954</v>
      </c>
      <c r="H673" s="802"/>
      <c r="I673" s="803">
        <v>506.41250000000002</v>
      </c>
      <c r="J673" s="803">
        <v>23620</v>
      </c>
      <c r="K673" s="803">
        <v>1846</v>
      </c>
      <c r="L673" s="802">
        <v>5163</v>
      </c>
      <c r="M673" s="802"/>
      <c r="N673" s="803">
        <v>944</v>
      </c>
      <c r="O673" s="803">
        <v>8718</v>
      </c>
      <c r="P673" s="803">
        <v>0</v>
      </c>
      <c r="Q673" s="802">
        <v>0</v>
      </c>
      <c r="R673" s="802"/>
      <c r="S673" s="803">
        <v>7204</v>
      </c>
      <c r="T673" s="804">
        <v>1775</v>
      </c>
      <c r="U673" s="804">
        <v>8980</v>
      </c>
    </row>
    <row r="674" spans="1:21" x14ac:dyDescent="0.25">
      <c r="A674" s="799">
        <v>97481</v>
      </c>
      <c r="B674" s="800" t="s">
        <v>3288</v>
      </c>
      <c r="C674" s="801">
        <v>1.63E-5</v>
      </c>
      <c r="D674" s="801">
        <v>1.13E-5</v>
      </c>
      <c r="E674" s="802">
        <v>5817.26</v>
      </c>
      <c r="F674" s="802">
        <v>5071</v>
      </c>
      <c r="G674" s="802">
        <v>34594</v>
      </c>
      <c r="H674" s="802"/>
      <c r="I674" s="803">
        <v>649.96249999999998</v>
      </c>
      <c r="J674" s="803">
        <v>30315</v>
      </c>
      <c r="K674" s="803">
        <v>2369</v>
      </c>
      <c r="L674" s="802">
        <v>5965</v>
      </c>
      <c r="M674" s="802"/>
      <c r="N674" s="803">
        <v>1212</v>
      </c>
      <c r="O674" s="803">
        <v>11189</v>
      </c>
      <c r="P674" s="803">
        <v>0</v>
      </c>
      <c r="Q674" s="802">
        <v>0</v>
      </c>
      <c r="R674" s="802"/>
      <c r="S674" s="803">
        <v>9246</v>
      </c>
      <c r="T674" s="804">
        <v>2373</v>
      </c>
      <c r="U674" s="804">
        <v>11619</v>
      </c>
    </row>
    <row r="675" spans="1:21" x14ac:dyDescent="0.25">
      <c r="A675" s="799">
        <v>97491</v>
      </c>
      <c r="B675" s="800" t="s">
        <v>3289</v>
      </c>
      <c r="C675" s="801">
        <v>0</v>
      </c>
      <c r="D675" s="801">
        <v>0</v>
      </c>
      <c r="E675" s="802">
        <v>0</v>
      </c>
      <c r="F675" s="802">
        <v>0</v>
      </c>
      <c r="G675" s="802">
        <v>0</v>
      </c>
      <c r="H675" s="802"/>
      <c r="I675" s="803">
        <v>0</v>
      </c>
      <c r="J675" s="803">
        <v>0</v>
      </c>
      <c r="K675" s="803">
        <v>0</v>
      </c>
      <c r="L675" s="802">
        <v>0</v>
      </c>
      <c r="M675" s="802"/>
      <c r="N675" s="803">
        <v>0</v>
      </c>
      <c r="O675" s="803">
        <v>0</v>
      </c>
      <c r="P675" s="803">
        <v>0</v>
      </c>
      <c r="Q675" s="802">
        <v>12790</v>
      </c>
      <c r="R675" s="802"/>
      <c r="S675" s="803">
        <v>0</v>
      </c>
      <c r="T675" s="804">
        <v>-4941</v>
      </c>
      <c r="U675" s="804">
        <v>-4941</v>
      </c>
    </row>
    <row r="676" spans="1:21" x14ac:dyDescent="0.25">
      <c r="A676" s="799">
        <v>97501</v>
      </c>
      <c r="B676" s="800" t="s">
        <v>3290</v>
      </c>
      <c r="C676" s="801">
        <v>9.6730000000000004E-4</v>
      </c>
      <c r="D676" s="801">
        <v>9.7659999999999999E-4</v>
      </c>
      <c r="E676" s="802">
        <v>413876.56</v>
      </c>
      <c r="F676" s="802">
        <v>438292</v>
      </c>
      <c r="G676" s="802">
        <v>2052935</v>
      </c>
      <c r="H676" s="802"/>
      <c r="I676" s="803">
        <v>38571</v>
      </c>
      <c r="J676" s="803">
        <v>1799025</v>
      </c>
      <c r="K676" s="803">
        <v>140608</v>
      </c>
      <c r="L676" s="802">
        <v>45898</v>
      </c>
      <c r="M676" s="802"/>
      <c r="N676" s="803">
        <v>71937</v>
      </c>
      <c r="O676" s="803">
        <v>664011</v>
      </c>
      <c r="P676" s="803">
        <v>0</v>
      </c>
      <c r="Q676" s="802">
        <v>0</v>
      </c>
      <c r="R676" s="802"/>
      <c r="S676" s="803">
        <v>548719</v>
      </c>
      <c r="T676" s="804">
        <v>19873</v>
      </c>
      <c r="U676" s="804">
        <v>568592</v>
      </c>
    </row>
    <row r="677" spans="1:21" x14ac:dyDescent="0.25">
      <c r="A677" s="799">
        <v>97511</v>
      </c>
      <c r="B677" s="800" t="s">
        <v>3291</v>
      </c>
      <c r="C677" s="801">
        <v>2.3220000000000001E-4</v>
      </c>
      <c r="D677" s="801">
        <v>2.1719999999999999E-4</v>
      </c>
      <c r="E677" s="802">
        <v>97777.06</v>
      </c>
      <c r="F677" s="802">
        <v>97478</v>
      </c>
      <c r="G677" s="802">
        <v>492806</v>
      </c>
      <c r="H677" s="802"/>
      <c r="I677" s="803">
        <v>9259</v>
      </c>
      <c r="J677" s="803">
        <v>431855</v>
      </c>
      <c r="K677" s="803">
        <v>33753</v>
      </c>
      <c r="L677" s="802">
        <v>10778</v>
      </c>
      <c r="M677" s="802"/>
      <c r="N677" s="803">
        <v>17268</v>
      </c>
      <c r="O677" s="803">
        <v>159396</v>
      </c>
      <c r="P677" s="803">
        <v>0</v>
      </c>
      <c r="Q677" s="802">
        <v>1307</v>
      </c>
      <c r="R677" s="802"/>
      <c r="S677" s="803">
        <v>131720</v>
      </c>
      <c r="T677" s="804">
        <v>2532</v>
      </c>
      <c r="U677" s="804">
        <v>134252</v>
      </c>
    </row>
    <row r="678" spans="1:21" x14ac:dyDescent="0.25">
      <c r="A678" s="799">
        <v>97521</v>
      </c>
      <c r="B678" s="800" t="s">
        <v>3292</v>
      </c>
      <c r="C678" s="801">
        <v>1.293E-4</v>
      </c>
      <c r="D678" s="801">
        <v>1.404E-4</v>
      </c>
      <c r="E678" s="802">
        <v>48146.35</v>
      </c>
      <c r="F678" s="802">
        <v>63011</v>
      </c>
      <c r="G678" s="802">
        <v>274418</v>
      </c>
      <c r="H678" s="802"/>
      <c r="I678" s="803">
        <v>5156</v>
      </c>
      <c r="J678" s="803">
        <v>240478</v>
      </c>
      <c r="K678" s="803">
        <v>18795</v>
      </c>
      <c r="L678" s="802">
        <v>4401.88</v>
      </c>
      <c r="M678" s="802"/>
      <c r="N678" s="803">
        <v>9616</v>
      </c>
      <c r="O678" s="803">
        <v>88759</v>
      </c>
      <c r="P678" s="803">
        <v>0</v>
      </c>
      <c r="Q678" s="802">
        <v>17530</v>
      </c>
      <c r="R678" s="802"/>
      <c r="S678" s="803">
        <v>73348</v>
      </c>
      <c r="T678" s="804">
        <v>-3048</v>
      </c>
      <c r="U678" s="804">
        <v>70299</v>
      </c>
    </row>
    <row r="679" spans="1:21" x14ac:dyDescent="0.25">
      <c r="A679" s="799">
        <v>97531</v>
      </c>
      <c r="B679" s="800" t="s">
        <v>3293</v>
      </c>
      <c r="C679" s="801">
        <v>3.6300000000000001E-5</v>
      </c>
      <c r="D679" s="801">
        <v>3.5099999999999999E-5</v>
      </c>
      <c r="E679" s="802">
        <v>18182</v>
      </c>
      <c r="F679" s="802">
        <v>15753</v>
      </c>
      <c r="G679" s="802">
        <v>77041</v>
      </c>
      <c r="H679" s="802"/>
      <c r="I679" s="803">
        <v>1447</v>
      </c>
      <c r="J679" s="803">
        <v>67512</v>
      </c>
      <c r="K679" s="803">
        <v>5277</v>
      </c>
      <c r="L679" s="802">
        <v>3234</v>
      </c>
      <c r="M679" s="802"/>
      <c r="N679" s="803">
        <v>2700</v>
      </c>
      <c r="O679" s="803">
        <v>24918</v>
      </c>
      <c r="P679" s="803">
        <v>0</v>
      </c>
      <c r="Q679" s="802">
        <v>14595</v>
      </c>
      <c r="R679" s="802"/>
      <c r="S679" s="803">
        <v>20592</v>
      </c>
      <c r="T679" s="804">
        <v>-4705</v>
      </c>
      <c r="U679" s="804">
        <v>15887</v>
      </c>
    </row>
    <row r="680" spans="1:21" x14ac:dyDescent="0.25">
      <c r="A680" s="799">
        <v>97601</v>
      </c>
      <c r="B680" s="800" t="s">
        <v>3294</v>
      </c>
      <c r="C680" s="801">
        <v>4.7808E-3</v>
      </c>
      <c r="D680" s="801">
        <v>4.8238999999999999E-3</v>
      </c>
      <c r="E680" s="802">
        <v>1911818</v>
      </c>
      <c r="F680" s="802">
        <v>2164937</v>
      </c>
      <c r="G680" s="802">
        <v>10146459</v>
      </c>
      <c r="H680" s="802"/>
      <c r="I680" s="803">
        <v>190634.4</v>
      </c>
      <c r="J680" s="803">
        <v>8891533</v>
      </c>
      <c r="K680" s="803">
        <v>694942</v>
      </c>
      <c r="L680" s="802">
        <v>0</v>
      </c>
      <c r="M680" s="802"/>
      <c r="N680" s="803">
        <v>355543</v>
      </c>
      <c r="O680" s="803">
        <v>3281818</v>
      </c>
      <c r="P680" s="803">
        <v>0</v>
      </c>
      <c r="Q680" s="802">
        <v>137509</v>
      </c>
      <c r="R680" s="802"/>
      <c r="S680" s="803">
        <v>2712000</v>
      </c>
      <c r="T680" s="804">
        <v>-46067</v>
      </c>
      <c r="U680" s="804">
        <v>2665933</v>
      </c>
    </row>
    <row r="681" spans="1:21" x14ac:dyDescent="0.25">
      <c r="A681" s="799">
        <v>97607</v>
      </c>
      <c r="B681" s="800" t="s">
        <v>3295</v>
      </c>
      <c r="C681" s="801">
        <v>1.9199999999999999E-5</v>
      </c>
      <c r="D681" s="801">
        <v>2.27E-5</v>
      </c>
      <c r="E681" s="802">
        <v>13222.63</v>
      </c>
      <c r="F681" s="802">
        <v>10188</v>
      </c>
      <c r="G681" s="802">
        <v>40749</v>
      </c>
      <c r="H681" s="802"/>
      <c r="I681" s="803">
        <v>766</v>
      </c>
      <c r="J681" s="803">
        <v>35709</v>
      </c>
      <c r="K681" s="803">
        <v>2791</v>
      </c>
      <c r="L681" s="802">
        <v>8819</v>
      </c>
      <c r="M681" s="802"/>
      <c r="N681" s="803">
        <v>1428</v>
      </c>
      <c r="O681" s="803">
        <v>13180</v>
      </c>
      <c r="P681" s="803">
        <v>0</v>
      </c>
      <c r="Q681" s="802">
        <v>0</v>
      </c>
      <c r="R681" s="802"/>
      <c r="S681" s="803">
        <v>10892</v>
      </c>
      <c r="T681" s="804">
        <v>3435</v>
      </c>
      <c r="U681" s="804">
        <v>14327</v>
      </c>
    </row>
    <row r="682" spans="1:21" x14ac:dyDescent="0.25">
      <c r="A682" s="799">
        <v>97611</v>
      </c>
      <c r="B682" s="800" t="s">
        <v>3296</v>
      </c>
      <c r="C682" s="801">
        <v>2.5750999999999999E-3</v>
      </c>
      <c r="D682" s="801">
        <v>2.7582000000000001E-3</v>
      </c>
      <c r="E682" s="802">
        <v>984035.03</v>
      </c>
      <c r="F682" s="802">
        <v>1237864</v>
      </c>
      <c r="G682" s="802">
        <v>5465225</v>
      </c>
      <c r="H682" s="802"/>
      <c r="I682" s="803">
        <v>102682</v>
      </c>
      <c r="J682" s="803">
        <v>4789279</v>
      </c>
      <c r="K682" s="803">
        <v>374319</v>
      </c>
      <c r="L682" s="802">
        <v>0</v>
      </c>
      <c r="M682" s="802"/>
      <c r="N682" s="803">
        <v>191508</v>
      </c>
      <c r="O682" s="803">
        <v>1767698</v>
      </c>
      <c r="P682" s="803">
        <v>0</v>
      </c>
      <c r="Q682" s="802">
        <v>281180</v>
      </c>
      <c r="R682" s="802"/>
      <c r="S682" s="803">
        <v>1460774</v>
      </c>
      <c r="T682" s="804">
        <v>-93860</v>
      </c>
      <c r="U682" s="804">
        <v>1366915</v>
      </c>
    </row>
    <row r="683" spans="1:21" x14ac:dyDescent="0.25">
      <c r="A683" s="799">
        <v>97613</v>
      </c>
      <c r="B683" s="800" t="s">
        <v>3297</v>
      </c>
      <c r="C683" s="801">
        <v>1.2459999999999999E-4</v>
      </c>
      <c r="D683" s="801">
        <v>1.21E-4</v>
      </c>
      <c r="E683" s="802">
        <v>55529.85</v>
      </c>
      <c r="F683" s="802">
        <v>54304</v>
      </c>
      <c r="G683" s="802">
        <v>264443</v>
      </c>
      <c r="H683" s="802"/>
      <c r="I683" s="803">
        <v>4968</v>
      </c>
      <c r="J683" s="803">
        <v>231736</v>
      </c>
      <c r="K683" s="803">
        <v>18112</v>
      </c>
      <c r="L683" s="802">
        <v>5357</v>
      </c>
      <c r="M683" s="802"/>
      <c r="N683" s="803">
        <v>9266</v>
      </c>
      <c r="O683" s="803">
        <v>85533</v>
      </c>
      <c r="P683" s="803">
        <v>0</v>
      </c>
      <c r="Q683" s="802">
        <v>5319</v>
      </c>
      <c r="R683" s="802"/>
      <c r="S683" s="803">
        <v>70682</v>
      </c>
      <c r="T683" s="804">
        <v>-505</v>
      </c>
      <c r="U683" s="804">
        <v>70177</v>
      </c>
    </row>
    <row r="684" spans="1:21" x14ac:dyDescent="0.25">
      <c r="A684" s="799">
        <v>97621</v>
      </c>
      <c r="B684" s="800" t="s">
        <v>3298</v>
      </c>
      <c r="C684" s="801">
        <v>4.7429999999999998E-4</v>
      </c>
      <c r="D684" s="801">
        <v>5.1290000000000005E-4</v>
      </c>
      <c r="E684" s="802">
        <v>166598.32</v>
      </c>
      <c r="F684" s="802">
        <v>230186</v>
      </c>
      <c r="G684" s="802">
        <v>1006623</v>
      </c>
      <c r="H684" s="802"/>
      <c r="I684" s="803">
        <v>18913</v>
      </c>
      <c r="J684" s="803">
        <v>882123</v>
      </c>
      <c r="K684" s="803">
        <v>68945</v>
      </c>
      <c r="L684" s="802">
        <v>24561</v>
      </c>
      <c r="M684" s="802"/>
      <c r="N684" s="803">
        <v>35273</v>
      </c>
      <c r="O684" s="803">
        <v>325587</v>
      </c>
      <c r="P684" s="803">
        <v>0</v>
      </c>
      <c r="Q684" s="802">
        <v>43510</v>
      </c>
      <c r="R684" s="802"/>
      <c r="S684" s="803">
        <v>269056</v>
      </c>
      <c r="T684" s="804">
        <v>-2547</v>
      </c>
      <c r="U684" s="804">
        <v>266509</v>
      </c>
    </row>
    <row r="685" spans="1:21" x14ac:dyDescent="0.25">
      <c r="A685" s="799">
        <v>97623</v>
      </c>
      <c r="B685" s="800" t="s">
        <v>3299</v>
      </c>
      <c r="C685" s="801">
        <v>2.9200000000000002E-5</v>
      </c>
      <c r="D685" s="801">
        <v>3.0000000000000001E-5</v>
      </c>
      <c r="E685" s="802">
        <v>14038</v>
      </c>
      <c r="F685" s="802">
        <v>13463.82</v>
      </c>
      <c r="G685" s="802">
        <v>61972</v>
      </c>
      <c r="H685" s="802"/>
      <c r="I685" s="803">
        <v>1164</v>
      </c>
      <c r="J685" s="803">
        <v>54307</v>
      </c>
      <c r="K685" s="803">
        <v>4245</v>
      </c>
      <c r="L685" s="802">
        <v>10193</v>
      </c>
      <c r="M685" s="802"/>
      <c r="N685" s="803">
        <v>2172</v>
      </c>
      <c r="O685" s="803">
        <v>20045</v>
      </c>
      <c r="P685" s="803">
        <v>0</v>
      </c>
      <c r="Q685" s="802">
        <v>0</v>
      </c>
      <c r="R685" s="802"/>
      <c r="S685" s="803">
        <v>16564</v>
      </c>
      <c r="T685" s="804">
        <v>3688</v>
      </c>
      <c r="U685" s="804">
        <v>20252</v>
      </c>
    </row>
    <row r="686" spans="1:21" x14ac:dyDescent="0.25">
      <c r="A686" s="799">
        <v>97627</v>
      </c>
      <c r="B686" s="800" t="s">
        <v>3300</v>
      </c>
      <c r="C686" s="801">
        <v>1.0200000000000001E-5</v>
      </c>
      <c r="D686" s="801">
        <v>9.0999999999999993E-6</v>
      </c>
      <c r="E686" s="802">
        <v>4150</v>
      </c>
      <c r="F686" s="802">
        <v>4084</v>
      </c>
      <c r="G686" s="802">
        <v>21648</v>
      </c>
      <c r="H686" s="802"/>
      <c r="I686" s="803">
        <v>406.72500000000002</v>
      </c>
      <c r="J686" s="803">
        <v>18970</v>
      </c>
      <c r="K686" s="803">
        <v>1483</v>
      </c>
      <c r="L686" s="802">
        <v>942</v>
      </c>
      <c r="M686" s="802"/>
      <c r="N686" s="803">
        <v>759</v>
      </c>
      <c r="O686" s="803">
        <v>7002</v>
      </c>
      <c r="P686" s="803">
        <v>0</v>
      </c>
      <c r="Q686" s="802">
        <v>1562</v>
      </c>
      <c r="R686" s="802"/>
      <c r="S686" s="803">
        <v>5786</v>
      </c>
      <c r="T686" s="804">
        <v>-217</v>
      </c>
      <c r="U686" s="804">
        <v>5570</v>
      </c>
    </row>
    <row r="687" spans="1:21" x14ac:dyDescent="0.25">
      <c r="A687" s="799">
        <v>97631</v>
      </c>
      <c r="B687" s="800" t="s">
        <v>3301</v>
      </c>
      <c r="C687" s="801">
        <v>2.009E-4</v>
      </c>
      <c r="D687" s="801">
        <v>1.7239999999999999E-4</v>
      </c>
      <c r="E687" s="802">
        <v>69843.56</v>
      </c>
      <c r="F687" s="802">
        <v>77372</v>
      </c>
      <c r="G687" s="802">
        <v>426377</v>
      </c>
      <c r="H687" s="802"/>
      <c r="I687" s="803">
        <v>8011</v>
      </c>
      <c r="J687" s="803">
        <v>373642</v>
      </c>
      <c r="K687" s="803">
        <v>29203</v>
      </c>
      <c r="L687" s="802">
        <v>14802</v>
      </c>
      <c r="M687" s="802"/>
      <c r="N687" s="803">
        <v>14941</v>
      </c>
      <c r="O687" s="803">
        <v>137909</v>
      </c>
      <c r="P687" s="803">
        <v>0</v>
      </c>
      <c r="Q687" s="802">
        <v>0</v>
      </c>
      <c r="R687" s="802"/>
      <c r="S687" s="803">
        <v>113964</v>
      </c>
      <c r="T687" s="804">
        <v>5491</v>
      </c>
      <c r="U687" s="804">
        <v>119456</v>
      </c>
    </row>
    <row r="688" spans="1:21" x14ac:dyDescent="0.25">
      <c r="A688" s="799">
        <v>97637</v>
      </c>
      <c r="B688" s="800" t="s">
        <v>3302</v>
      </c>
      <c r="C688" s="801">
        <v>4.7999999999999998E-6</v>
      </c>
      <c r="D688" s="801">
        <v>6.1999999999999999E-6</v>
      </c>
      <c r="E688" s="802">
        <v>2878</v>
      </c>
      <c r="F688" s="802">
        <v>2783</v>
      </c>
      <c r="G688" s="802">
        <v>10187</v>
      </c>
      <c r="H688" s="802"/>
      <c r="I688" s="803">
        <v>191</v>
      </c>
      <c r="J688" s="803">
        <v>8927</v>
      </c>
      <c r="K688" s="803">
        <v>698</v>
      </c>
      <c r="L688" s="802">
        <v>655</v>
      </c>
      <c r="M688" s="802"/>
      <c r="N688" s="803">
        <v>357</v>
      </c>
      <c r="O688" s="803">
        <v>3295</v>
      </c>
      <c r="P688" s="803">
        <v>0</v>
      </c>
      <c r="Q688" s="802">
        <v>40</v>
      </c>
      <c r="R688" s="802"/>
      <c r="S688" s="803">
        <v>2723</v>
      </c>
      <c r="T688" s="804">
        <v>244</v>
      </c>
      <c r="U688" s="804">
        <v>2967</v>
      </c>
    </row>
    <row r="689" spans="1:21" x14ac:dyDescent="0.25">
      <c r="A689" s="799">
        <v>97641</v>
      </c>
      <c r="B689" s="800" t="s">
        <v>3303</v>
      </c>
      <c r="C689" s="801">
        <v>6.9999999999999994E-5</v>
      </c>
      <c r="D689" s="801">
        <v>5.3900000000000002E-5</v>
      </c>
      <c r="E689" s="802">
        <v>31635</v>
      </c>
      <c r="F689" s="802">
        <v>24190</v>
      </c>
      <c r="G689" s="802">
        <v>148563</v>
      </c>
      <c r="H689" s="802"/>
      <c r="I689" s="803">
        <v>2791</v>
      </c>
      <c r="J689" s="803">
        <v>130189</v>
      </c>
      <c r="K689" s="803">
        <v>10175</v>
      </c>
      <c r="L689" s="802">
        <v>15548</v>
      </c>
      <c r="M689" s="802"/>
      <c r="N689" s="803">
        <v>5205.83</v>
      </c>
      <c r="O689" s="803">
        <v>48052.06</v>
      </c>
      <c r="P689" s="803">
        <v>0</v>
      </c>
      <c r="Q689" s="802">
        <v>5807</v>
      </c>
      <c r="R689" s="802"/>
      <c r="S689" s="803">
        <v>39709</v>
      </c>
      <c r="T689" s="804">
        <v>1546</v>
      </c>
      <c r="U689" s="804">
        <v>41255</v>
      </c>
    </row>
    <row r="690" spans="1:21" x14ac:dyDescent="0.25">
      <c r="A690" s="799">
        <v>97651</v>
      </c>
      <c r="B690" s="800" t="s">
        <v>3304</v>
      </c>
      <c r="C690" s="801">
        <v>5.1579999999999996E-4</v>
      </c>
      <c r="D690" s="801">
        <v>5.4140000000000004E-4</v>
      </c>
      <c r="E690" s="802">
        <v>190593.37</v>
      </c>
      <c r="F690" s="802">
        <v>242977</v>
      </c>
      <c r="G690" s="802">
        <v>1094700</v>
      </c>
      <c r="H690" s="802"/>
      <c r="I690" s="803">
        <v>20568</v>
      </c>
      <c r="J690" s="803">
        <v>959307</v>
      </c>
      <c r="K690" s="803">
        <v>74977</v>
      </c>
      <c r="L690" s="802">
        <v>4062</v>
      </c>
      <c r="M690" s="802"/>
      <c r="N690" s="803">
        <v>38360</v>
      </c>
      <c r="O690" s="803">
        <v>354075</v>
      </c>
      <c r="P690" s="803">
        <v>0</v>
      </c>
      <c r="Q690" s="802">
        <v>51828</v>
      </c>
      <c r="R690" s="802"/>
      <c r="S690" s="803">
        <v>292597</v>
      </c>
      <c r="T690" s="804">
        <v>-17066</v>
      </c>
      <c r="U690" s="804">
        <v>275532</v>
      </c>
    </row>
    <row r="691" spans="1:21" x14ac:dyDescent="0.25">
      <c r="A691" s="799">
        <v>97661</v>
      </c>
      <c r="B691" s="800" t="s">
        <v>3305</v>
      </c>
      <c r="C691" s="801">
        <v>4.3900000000000003E-5</v>
      </c>
      <c r="D691" s="801">
        <v>3.1999999999999999E-5</v>
      </c>
      <c r="E691" s="802">
        <v>18869</v>
      </c>
      <c r="F691" s="802">
        <v>14361</v>
      </c>
      <c r="G691" s="802">
        <v>93171</v>
      </c>
      <c r="H691" s="802"/>
      <c r="I691" s="803">
        <v>1751</v>
      </c>
      <c r="J691" s="803">
        <v>81647</v>
      </c>
      <c r="K691" s="803">
        <v>6381</v>
      </c>
      <c r="L691" s="802">
        <v>12364</v>
      </c>
      <c r="M691" s="802"/>
      <c r="N691" s="803">
        <v>3265</v>
      </c>
      <c r="O691" s="803">
        <v>30136</v>
      </c>
      <c r="P691" s="803">
        <v>0</v>
      </c>
      <c r="Q691" s="802">
        <v>2964</v>
      </c>
      <c r="R691" s="802"/>
      <c r="S691" s="803">
        <v>24903</v>
      </c>
      <c r="T691" s="804">
        <v>3435</v>
      </c>
      <c r="U691" s="804">
        <v>28338</v>
      </c>
    </row>
    <row r="692" spans="1:21" x14ac:dyDescent="0.25">
      <c r="A692" s="799">
        <v>97701</v>
      </c>
      <c r="B692" s="800" t="s">
        <v>3306</v>
      </c>
      <c r="C692" s="801">
        <v>2.5081000000000001E-3</v>
      </c>
      <c r="D692" s="801">
        <v>2.4424999999999998E-3</v>
      </c>
      <c r="E692" s="802">
        <v>1011242</v>
      </c>
      <c r="F692" s="802">
        <v>1096179</v>
      </c>
      <c r="G692" s="802">
        <v>5323028</v>
      </c>
      <c r="H692" s="802"/>
      <c r="I692" s="803">
        <v>100010</v>
      </c>
      <c r="J692" s="803">
        <v>4664670</v>
      </c>
      <c r="K692" s="803">
        <v>364580</v>
      </c>
      <c r="L692" s="802">
        <v>31450</v>
      </c>
      <c r="M692" s="802"/>
      <c r="N692" s="803">
        <v>186525</v>
      </c>
      <c r="O692" s="803">
        <v>1721705</v>
      </c>
      <c r="P692" s="803">
        <v>0</v>
      </c>
      <c r="Q692" s="802">
        <v>17434</v>
      </c>
      <c r="R692" s="802"/>
      <c r="S692" s="803">
        <v>1422767</v>
      </c>
      <c r="T692" s="804">
        <v>529</v>
      </c>
      <c r="U692" s="804">
        <v>1423296</v>
      </c>
    </row>
    <row r="693" spans="1:21" x14ac:dyDescent="0.25">
      <c r="A693" s="799">
        <v>97705</v>
      </c>
      <c r="B693" s="800" t="s">
        <v>3307</v>
      </c>
      <c r="C693" s="801">
        <v>6.41E-5</v>
      </c>
      <c r="D693" s="801">
        <v>5.1700000000000003E-5</v>
      </c>
      <c r="E693" s="802">
        <v>21949.45</v>
      </c>
      <c r="F693" s="802">
        <v>23203</v>
      </c>
      <c r="G693" s="802">
        <v>136042</v>
      </c>
      <c r="H693" s="802"/>
      <c r="I693" s="803">
        <v>2556</v>
      </c>
      <c r="J693" s="803">
        <v>119216</v>
      </c>
      <c r="K693" s="803">
        <v>9318</v>
      </c>
      <c r="L693" s="802">
        <v>9600</v>
      </c>
      <c r="M693" s="802"/>
      <c r="N693" s="803">
        <v>4767</v>
      </c>
      <c r="O693" s="803">
        <v>44002</v>
      </c>
      <c r="P693" s="803">
        <v>0</v>
      </c>
      <c r="Q693" s="802">
        <v>3526</v>
      </c>
      <c r="R693" s="802"/>
      <c r="S693" s="803">
        <v>36362</v>
      </c>
      <c r="T693" s="804">
        <v>2791</v>
      </c>
      <c r="U693" s="804">
        <v>39153</v>
      </c>
    </row>
    <row r="694" spans="1:21" x14ac:dyDescent="0.25">
      <c r="A694" s="799">
        <v>97711</v>
      </c>
      <c r="B694" s="800" t="s">
        <v>3308</v>
      </c>
      <c r="C694" s="801">
        <v>9.3789999999999998E-4</v>
      </c>
      <c r="D694" s="801">
        <v>9.6489999999999998E-4</v>
      </c>
      <c r="E694" s="802">
        <v>373399.85</v>
      </c>
      <c r="F694" s="802">
        <v>433041</v>
      </c>
      <c r="G694" s="802">
        <v>1990538</v>
      </c>
      <c r="H694" s="802"/>
      <c r="I694" s="803">
        <v>37399</v>
      </c>
      <c r="J694" s="803">
        <v>1744346</v>
      </c>
      <c r="K694" s="803">
        <v>136334</v>
      </c>
      <c r="L694" s="802">
        <v>18485</v>
      </c>
      <c r="M694" s="802"/>
      <c r="N694" s="803">
        <v>69751</v>
      </c>
      <c r="O694" s="803">
        <v>643829</v>
      </c>
      <c r="P694" s="803">
        <v>0</v>
      </c>
      <c r="Q694" s="802">
        <v>24399</v>
      </c>
      <c r="R694" s="802"/>
      <c r="S694" s="803">
        <v>532042</v>
      </c>
      <c r="T694" s="804">
        <v>2197</v>
      </c>
      <c r="U694" s="804">
        <v>534239</v>
      </c>
    </row>
    <row r="695" spans="1:21" x14ac:dyDescent="0.25">
      <c r="A695" s="799">
        <v>97713</v>
      </c>
      <c r="B695" s="800" t="s">
        <v>3309</v>
      </c>
      <c r="C695" s="801">
        <v>5.3699999999999997E-5</v>
      </c>
      <c r="D695" s="801">
        <v>5.5600000000000003E-5</v>
      </c>
      <c r="E695" s="802">
        <v>17632.46</v>
      </c>
      <c r="F695" s="802">
        <v>24953</v>
      </c>
      <c r="G695" s="802">
        <v>113969</v>
      </c>
      <c r="H695" s="802"/>
      <c r="I695" s="803">
        <v>2141</v>
      </c>
      <c r="J695" s="803">
        <v>99874</v>
      </c>
      <c r="K695" s="803">
        <v>7806</v>
      </c>
      <c r="L695" s="802">
        <v>1862.64</v>
      </c>
      <c r="M695" s="802"/>
      <c r="N695" s="803">
        <v>3994</v>
      </c>
      <c r="O695" s="803">
        <v>36863</v>
      </c>
      <c r="P695" s="803">
        <v>0</v>
      </c>
      <c r="Q695" s="802">
        <v>10607</v>
      </c>
      <c r="R695" s="802"/>
      <c r="S695" s="803">
        <v>30462</v>
      </c>
      <c r="T695" s="804">
        <v>-2389</v>
      </c>
      <c r="U695" s="804">
        <v>28073</v>
      </c>
    </row>
    <row r="696" spans="1:21" x14ac:dyDescent="0.25">
      <c r="A696" s="799">
        <v>97717</v>
      </c>
      <c r="B696" s="800" t="s">
        <v>3310</v>
      </c>
      <c r="C696" s="801">
        <v>7.5000000000000002E-6</v>
      </c>
      <c r="D696" s="801">
        <v>6.6000000000000003E-6</v>
      </c>
      <c r="E696" s="802">
        <v>4301.63</v>
      </c>
      <c r="F696" s="802">
        <v>2962</v>
      </c>
      <c r="G696" s="802">
        <v>15918</v>
      </c>
      <c r="H696" s="802"/>
      <c r="I696" s="803">
        <v>299.0625</v>
      </c>
      <c r="J696" s="803">
        <v>13949</v>
      </c>
      <c r="K696" s="803">
        <v>1090.2075</v>
      </c>
      <c r="L696" s="802">
        <v>1454</v>
      </c>
      <c r="M696" s="802"/>
      <c r="N696" s="803">
        <v>558</v>
      </c>
      <c r="O696" s="803">
        <v>5148</v>
      </c>
      <c r="P696" s="803">
        <v>0</v>
      </c>
      <c r="Q696" s="802">
        <v>3295</v>
      </c>
      <c r="R696" s="802"/>
      <c r="S696" s="803">
        <v>4255</v>
      </c>
      <c r="T696" s="804">
        <v>-1145</v>
      </c>
      <c r="U696" s="804">
        <v>3109</v>
      </c>
    </row>
    <row r="697" spans="1:21" x14ac:dyDescent="0.25">
      <c r="A697" s="799">
        <v>97721</v>
      </c>
      <c r="B697" s="800" t="s">
        <v>3311</v>
      </c>
      <c r="C697" s="801">
        <v>5.7249999999999998E-4</v>
      </c>
      <c r="D697" s="801">
        <v>5.2689999999999996E-4</v>
      </c>
      <c r="E697" s="802">
        <v>224528</v>
      </c>
      <c r="F697" s="802">
        <v>236470</v>
      </c>
      <c r="G697" s="802">
        <v>1215037</v>
      </c>
      <c r="H697" s="802"/>
      <c r="I697" s="803">
        <v>22828.4375</v>
      </c>
      <c r="J697" s="803">
        <v>1064760</v>
      </c>
      <c r="K697" s="803">
        <v>83219</v>
      </c>
      <c r="L697" s="802">
        <v>19505</v>
      </c>
      <c r="M697" s="802"/>
      <c r="N697" s="803">
        <v>42576</v>
      </c>
      <c r="O697" s="803">
        <v>392997</v>
      </c>
      <c r="P697" s="803">
        <v>0</v>
      </c>
      <c r="Q697" s="802">
        <v>36721</v>
      </c>
      <c r="R697" s="802"/>
      <c r="S697" s="803">
        <v>324762</v>
      </c>
      <c r="T697" s="804">
        <v>-7125</v>
      </c>
      <c r="U697" s="804">
        <v>317637</v>
      </c>
    </row>
    <row r="698" spans="1:21" x14ac:dyDescent="0.25">
      <c r="A698" s="799">
        <v>97727</v>
      </c>
      <c r="B698" s="800" t="s">
        <v>3312</v>
      </c>
      <c r="C698" s="801">
        <v>2.37E-5</v>
      </c>
      <c r="D698" s="801">
        <v>2.5299999999999998E-5</v>
      </c>
      <c r="E698" s="802">
        <v>9369</v>
      </c>
      <c r="F698" s="802">
        <v>11354</v>
      </c>
      <c r="G698" s="802">
        <v>50299</v>
      </c>
      <c r="H698" s="802"/>
      <c r="I698" s="803">
        <v>945.03750000000002</v>
      </c>
      <c r="J698" s="803">
        <v>44078</v>
      </c>
      <c r="K698" s="803">
        <v>3445</v>
      </c>
      <c r="L698" s="802">
        <v>0</v>
      </c>
      <c r="M698" s="802"/>
      <c r="N698" s="803">
        <v>1763</v>
      </c>
      <c r="O698" s="803">
        <v>16269</v>
      </c>
      <c r="P698" s="803">
        <v>0</v>
      </c>
      <c r="Q698" s="802">
        <v>3253</v>
      </c>
      <c r="R698" s="802"/>
      <c r="S698" s="803">
        <v>13444</v>
      </c>
      <c r="T698" s="804">
        <v>-1207</v>
      </c>
      <c r="U698" s="804">
        <v>12237</v>
      </c>
    </row>
    <row r="699" spans="1:21" x14ac:dyDescent="0.25">
      <c r="A699" s="799">
        <v>97731</v>
      </c>
      <c r="B699" s="800" t="s">
        <v>3313</v>
      </c>
      <c r="C699" s="801">
        <v>3.7100000000000001E-5</v>
      </c>
      <c r="D699" s="801">
        <v>3.3599999999999997E-5</v>
      </c>
      <c r="E699" s="802">
        <v>17225.91</v>
      </c>
      <c r="F699" s="802">
        <v>15079</v>
      </c>
      <c r="G699" s="802">
        <v>78739</v>
      </c>
      <c r="H699" s="802"/>
      <c r="I699" s="803">
        <v>1479</v>
      </c>
      <c r="J699" s="803">
        <v>69000</v>
      </c>
      <c r="K699" s="803">
        <v>5393</v>
      </c>
      <c r="L699" s="802">
        <v>8501</v>
      </c>
      <c r="M699" s="802"/>
      <c r="N699" s="803">
        <v>2759</v>
      </c>
      <c r="O699" s="803">
        <v>25468</v>
      </c>
      <c r="P699" s="803">
        <v>0</v>
      </c>
      <c r="Q699" s="802">
        <v>0</v>
      </c>
      <c r="R699" s="802"/>
      <c r="S699" s="803">
        <v>21046</v>
      </c>
      <c r="T699" s="804">
        <v>2797</v>
      </c>
      <c r="U699" s="804">
        <v>23843</v>
      </c>
    </row>
    <row r="700" spans="1:21" x14ac:dyDescent="0.25">
      <c r="A700" s="799">
        <v>97801</v>
      </c>
      <c r="B700" s="800" t="s">
        <v>3314</v>
      </c>
      <c r="C700" s="801">
        <v>7.3343000000000002E-3</v>
      </c>
      <c r="D700" s="801">
        <v>7.4117999999999996E-3</v>
      </c>
      <c r="E700" s="802">
        <v>2930302</v>
      </c>
      <c r="F700" s="802">
        <v>3326371</v>
      </c>
      <c r="G700" s="802">
        <v>15565842</v>
      </c>
      <c r="H700" s="802"/>
      <c r="I700" s="803">
        <v>292455</v>
      </c>
      <c r="J700" s="803">
        <v>13640639</v>
      </c>
      <c r="K700" s="803">
        <v>1066121</v>
      </c>
      <c r="L700" s="802">
        <v>55808</v>
      </c>
      <c r="M700" s="802"/>
      <c r="N700" s="803">
        <v>545445</v>
      </c>
      <c r="O700" s="803">
        <v>5034689</v>
      </c>
      <c r="P700" s="803">
        <v>0</v>
      </c>
      <c r="Q700" s="802">
        <v>191858</v>
      </c>
      <c r="R700" s="802"/>
      <c r="S700" s="803">
        <v>4160521</v>
      </c>
      <c r="T700" s="804">
        <v>-29463</v>
      </c>
      <c r="U700" s="804">
        <v>4131058</v>
      </c>
    </row>
    <row r="701" spans="1:21" x14ac:dyDescent="0.25">
      <c r="A701" s="799">
        <v>97802</v>
      </c>
      <c r="B701" s="800" t="s">
        <v>3315</v>
      </c>
      <c r="C701" s="801">
        <v>1.8120000000000001E-4</v>
      </c>
      <c r="D701" s="801">
        <v>1.8599999999999999E-4</v>
      </c>
      <c r="E701" s="802">
        <v>74111</v>
      </c>
      <c r="F701" s="802">
        <v>83476</v>
      </c>
      <c r="G701" s="802">
        <v>384567</v>
      </c>
      <c r="H701" s="802"/>
      <c r="I701" s="803">
        <v>7225.35</v>
      </c>
      <c r="J701" s="803">
        <v>337003</v>
      </c>
      <c r="K701" s="803">
        <v>26339</v>
      </c>
      <c r="L701" s="802">
        <v>19490</v>
      </c>
      <c r="M701" s="802"/>
      <c r="N701" s="803">
        <v>13476</v>
      </c>
      <c r="O701" s="803">
        <v>124386</v>
      </c>
      <c r="P701" s="803">
        <v>0</v>
      </c>
      <c r="Q701" s="802">
        <v>22046</v>
      </c>
      <c r="R701" s="802"/>
      <c r="S701" s="803">
        <v>102789</v>
      </c>
      <c r="T701" s="804">
        <v>2255</v>
      </c>
      <c r="U701" s="804">
        <v>105045</v>
      </c>
    </row>
    <row r="702" spans="1:21" x14ac:dyDescent="0.25">
      <c r="A702" s="799">
        <v>97803</v>
      </c>
      <c r="B702" s="800" t="s">
        <v>3316</v>
      </c>
      <c r="C702" s="801">
        <v>7.9099999999999998E-5</v>
      </c>
      <c r="D702" s="801">
        <v>7.6600000000000005E-5</v>
      </c>
      <c r="E702" s="802">
        <v>33622</v>
      </c>
      <c r="F702" s="802">
        <v>34378</v>
      </c>
      <c r="G702" s="802">
        <v>167877</v>
      </c>
      <c r="H702" s="802"/>
      <c r="I702" s="803">
        <v>3154</v>
      </c>
      <c r="J702" s="803">
        <v>147114</v>
      </c>
      <c r="K702" s="803">
        <v>11498</v>
      </c>
      <c r="L702" s="802">
        <v>9364</v>
      </c>
      <c r="M702" s="802"/>
      <c r="N702" s="803">
        <v>5883</v>
      </c>
      <c r="O702" s="803">
        <v>54299</v>
      </c>
      <c r="P702" s="803">
        <v>0</v>
      </c>
      <c r="Q702" s="802">
        <v>2358</v>
      </c>
      <c r="R702" s="802"/>
      <c r="S702" s="803">
        <v>44871</v>
      </c>
      <c r="T702" s="804">
        <v>3329</v>
      </c>
      <c r="U702" s="804">
        <v>48200</v>
      </c>
    </row>
    <row r="703" spans="1:21" x14ac:dyDescent="0.25">
      <c r="A703" s="799">
        <v>97805</v>
      </c>
      <c r="B703" s="800" t="s">
        <v>3317</v>
      </c>
      <c r="C703" s="801">
        <v>8.2600000000000002E-5</v>
      </c>
      <c r="D703" s="801">
        <v>6.7700000000000006E-5</v>
      </c>
      <c r="E703" s="802">
        <v>34033</v>
      </c>
      <c r="F703" s="802">
        <v>30383</v>
      </c>
      <c r="G703" s="802">
        <v>175305</v>
      </c>
      <c r="H703" s="802"/>
      <c r="I703" s="803">
        <v>3294</v>
      </c>
      <c r="J703" s="803">
        <v>153623</v>
      </c>
      <c r="K703" s="803">
        <v>12007</v>
      </c>
      <c r="L703" s="802">
        <v>13426</v>
      </c>
      <c r="M703" s="802"/>
      <c r="N703" s="803">
        <v>6143</v>
      </c>
      <c r="O703" s="803">
        <v>56701</v>
      </c>
      <c r="P703" s="803">
        <v>0</v>
      </c>
      <c r="Q703" s="802">
        <v>453.72</v>
      </c>
      <c r="R703" s="802"/>
      <c r="S703" s="803">
        <v>46856</v>
      </c>
      <c r="T703" s="804">
        <v>3757</v>
      </c>
      <c r="U703" s="804">
        <v>50613</v>
      </c>
    </row>
    <row r="704" spans="1:21" x14ac:dyDescent="0.25">
      <c r="A704" s="799">
        <v>97811</v>
      </c>
      <c r="B704" s="800" t="s">
        <v>3318</v>
      </c>
      <c r="C704" s="801">
        <v>2.4088E-3</v>
      </c>
      <c r="D704" s="801">
        <v>2.5788E-3</v>
      </c>
      <c r="E704" s="802">
        <v>950193</v>
      </c>
      <c r="F704" s="802">
        <v>1157350</v>
      </c>
      <c r="G704" s="802">
        <v>5112281</v>
      </c>
      <c r="H704" s="802"/>
      <c r="I704" s="803">
        <v>96050.9</v>
      </c>
      <c r="J704" s="803">
        <v>4479987</v>
      </c>
      <c r="K704" s="803">
        <v>350146</v>
      </c>
      <c r="L704" s="802">
        <v>0</v>
      </c>
      <c r="M704" s="802"/>
      <c r="N704" s="803">
        <v>179140</v>
      </c>
      <c r="O704" s="803">
        <v>1653540</v>
      </c>
      <c r="P704" s="803">
        <v>0</v>
      </c>
      <c r="Q704" s="802">
        <v>235946</v>
      </c>
      <c r="R704" s="802"/>
      <c r="S704" s="803">
        <v>1366438</v>
      </c>
      <c r="T704" s="804">
        <v>-72994</v>
      </c>
      <c r="U704" s="804">
        <v>1293444</v>
      </c>
    </row>
    <row r="705" spans="1:21" x14ac:dyDescent="0.25">
      <c r="A705" s="799">
        <v>97817</v>
      </c>
      <c r="B705" s="800" t="s">
        <v>3319</v>
      </c>
      <c r="C705" s="801">
        <v>3.9999999999999998E-6</v>
      </c>
      <c r="D705" s="801">
        <v>7.0999999999999998E-6</v>
      </c>
      <c r="E705" s="802">
        <v>7287</v>
      </c>
      <c r="F705" s="802">
        <v>3186</v>
      </c>
      <c r="G705" s="802">
        <v>8489.34</v>
      </c>
      <c r="H705" s="802"/>
      <c r="I705" s="803">
        <v>159.5</v>
      </c>
      <c r="J705" s="803">
        <v>7439</v>
      </c>
      <c r="K705" s="803">
        <v>581</v>
      </c>
      <c r="L705" s="802">
        <v>4157</v>
      </c>
      <c r="M705" s="802"/>
      <c r="N705" s="803">
        <v>297</v>
      </c>
      <c r="O705" s="803">
        <v>2746</v>
      </c>
      <c r="P705" s="803">
        <v>0</v>
      </c>
      <c r="Q705" s="802">
        <v>3747</v>
      </c>
      <c r="R705" s="802"/>
      <c r="S705" s="803">
        <v>2269</v>
      </c>
      <c r="T705" s="804">
        <v>78</v>
      </c>
      <c r="U705" s="804">
        <v>2347</v>
      </c>
    </row>
    <row r="706" spans="1:21" x14ac:dyDescent="0.25">
      <c r="A706" s="799">
        <v>97818</v>
      </c>
      <c r="B706" s="800" t="s">
        <v>3320</v>
      </c>
      <c r="C706" s="801">
        <v>2.12E-5</v>
      </c>
      <c r="D706" s="801">
        <v>8.3999999999999992E-6</v>
      </c>
      <c r="E706" s="802">
        <v>8690</v>
      </c>
      <c r="F706" s="802">
        <v>3770</v>
      </c>
      <c r="G706" s="802">
        <v>44994</v>
      </c>
      <c r="H706" s="802"/>
      <c r="I706" s="803">
        <v>845.35</v>
      </c>
      <c r="J706" s="803">
        <v>39429</v>
      </c>
      <c r="K706" s="803">
        <v>3082</v>
      </c>
      <c r="L706" s="802">
        <v>8112</v>
      </c>
      <c r="M706" s="802"/>
      <c r="N706" s="803">
        <v>1577</v>
      </c>
      <c r="O706" s="803">
        <v>14553</v>
      </c>
      <c r="P706" s="803">
        <v>0</v>
      </c>
      <c r="Q706" s="802">
        <v>4294.42</v>
      </c>
      <c r="R706" s="802"/>
      <c r="S706" s="803">
        <v>12026</v>
      </c>
      <c r="T706" s="804">
        <v>58</v>
      </c>
      <c r="U706" s="804">
        <v>12084</v>
      </c>
    </row>
    <row r="707" spans="1:21" x14ac:dyDescent="0.25">
      <c r="A707" s="799">
        <v>97821</v>
      </c>
      <c r="B707" s="800" t="s">
        <v>3321</v>
      </c>
      <c r="C707" s="801">
        <v>1.1620000000000001E-4</v>
      </c>
      <c r="D707" s="801">
        <v>1.3329999999999999E-4</v>
      </c>
      <c r="E707" s="802">
        <v>52013.57</v>
      </c>
      <c r="F707" s="802">
        <v>59824</v>
      </c>
      <c r="G707" s="802">
        <v>246615</v>
      </c>
      <c r="H707" s="802"/>
      <c r="I707" s="803">
        <v>4633</v>
      </c>
      <c r="J707" s="803">
        <v>216114</v>
      </c>
      <c r="K707" s="803">
        <v>16891</v>
      </c>
      <c r="L707" s="802">
        <v>0</v>
      </c>
      <c r="M707" s="802"/>
      <c r="N707" s="803">
        <v>8642</v>
      </c>
      <c r="O707" s="803">
        <v>79766</v>
      </c>
      <c r="P707" s="803">
        <v>0</v>
      </c>
      <c r="Q707" s="802">
        <v>26909</v>
      </c>
      <c r="R707" s="802"/>
      <c r="S707" s="803">
        <v>65917</v>
      </c>
      <c r="T707" s="804">
        <v>-10681</v>
      </c>
      <c r="U707" s="804">
        <v>55236</v>
      </c>
    </row>
    <row r="708" spans="1:21" x14ac:dyDescent="0.25">
      <c r="A708" s="799">
        <v>97823</v>
      </c>
      <c r="B708" s="800" t="s">
        <v>3322</v>
      </c>
      <c r="C708" s="801">
        <v>2.4600000000000002E-5</v>
      </c>
      <c r="D708" s="801">
        <v>2.58E-5</v>
      </c>
      <c r="E708" s="802">
        <v>11852</v>
      </c>
      <c r="F708" s="802">
        <v>11579</v>
      </c>
      <c r="G708" s="802">
        <v>52209</v>
      </c>
      <c r="H708" s="802"/>
      <c r="I708" s="803">
        <v>981</v>
      </c>
      <c r="J708" s="803">
        <v>45752</v>
      </c>
      <c r="K708" s="803">
        <v>3576</v>
      </c>
      <c r="L708" s="802">
        <v>926</v>
      </c>
      <c r="M708" s="802"/>
      <c r="N708" s="803">
        <v>1829</v>
      </c>
      <c r="O708" s="803">
        <v>16887</v>
      </c>
      <c r="P708" s="803">
        <v>0</v>
      </c>
      <c r="Q708" s="802">
        <v>1188</v>
      </c>
      <c r="R708" s="802"/>
      <c r="S708" s="803">
        <v>13955</v>
      </c>
      <c r="T708" s="804">
        <v>-338</v>
      </c>
      <c r="U708" s="804">
        <v>13616</v>
      </c>
    </row>
    <row r="709" spans="1:21" x14ac:dyDescent="0.25">
      <c r="A709" s="799">
        <v>97831</v>
      </c>
      <c r="B709" s="800" t="s">
        <v>3323</v>
      </c>
      <c r="C709" s="801">
        <v>1.482E-4</v>
      </c>
      <c r="D709" s="801">
        <v>1.5860000000000001E-4</v>
      </c>
      <c r="E709" s="802">
        <v>66463</v>
      </c>
      <c r="F709" s="802">
        <v>71179</v>
      </c>
      <c r="G709" s="802">
        <v>314530</v>
      </c>
      <c r="H709" s="802"/>
      <c r="I709" s="803">
        <v>5909</v>
      </c>
      <c r="J709" s="803">
        <v>275629</v>
      </c>
      <c r="K709" s="803">
        <v>21543</v>
      </c>
      <c r="L709" s="802">
        <v>0</v>
      </c>
      <c r="M709" s="802"/>
      <c r="N709" s="803">
        <v>11021</v>
      </c>
      <c r="O709" s="803">
        <v>101733</v>
      </c>
      <c r="P709" s="803">
        <v>0</v>
      </c>
      <c r="Q709" s="802">
        <v>14308</v>
      </c>
      <c r="R709" s="802"/>
      <c r="S709" s="803">
        <v>84069</v>
      </c>
      <c r="T709" s="804">
        <v>-5891</v>
      </c>
      <c r="U709" s="804">
        <v>78179</v>
      </c>
    </row>
    <row r="710" spans="1:21" x14ac:dyDescent="0.25">
      <c r="A710" s="799">
        <v>97837</v>
      </c>
      <c r="B710" s="800" t="s">
        <v>3324</v>
      </c>
      <c r="C710" s="801">
        <v>8.8000000000000004E-6</v>
      </c>
      <c r="D710" s="801">
        <v>1.3699999999999999E-5</v>
      </c>
      <c r="E710" s="802">
        <v>6597.01</v>
      </c>
      <c r="F710" s="802">
        <v>6148</v>
      </c>
      <c r="G710" s="802">
        <v>18677</v>
      </c>
      <c r="H710" s="802"/>
      <c r="I710" s="803">
        <v>351</v>
      </c>
      <c r="J710" s="803">
        <v>16367</v>
      </c>
      <c r="K710" s="803">
        <v>1279</v>
      </c>
      <c r="L710" s="802">
        <v>2093</v>
      </c>
      <c r="M710" s="802"/>
      <c r="N710" s="803">
        <v>654</v>
      </c>
      <c r="O710" s="803">
        <v>6041</v>
      </c>
      <c r="P710" s="803">
        <v>0</v>
      </c>
      <c r="Q710" s="802">
        <v>289</v>
      </c>
      <c r="R710" s="802"/>
      <c r="S710" s="803">
        <v>4992</v>
      </c>
      <c r="T710" s="804">
        <v>751</v>
      </c>
      <c r="U710" s="804">
        <v>5743</v>
      </c>
    </row>
    <row r="711" spans="1:21" x14ac:dyDescent="0.25">
      <c r="A711" s="799">
        <v>97840</v>
      </c>
      <c r="B711" s="800" t="s">
        <v>3325</v>
      </c>
      <c r="C711" s="801">
        <v>1.403E-4</v>
      </c>
      <c r="D711" s="801">
        <v>1.4799999999999999E-4</v>
      </c>
      <c r="E711" s="802">
        <v>98734.69</v>
      </c>
      <c r="F711" s="802">
        <v>66422</v>
      </c>
      <c r="G711" s="802">
        <v>297764</v>
      </c>
      <c r="H711" s="802"/>
      <c r="I711" s="803">
        <v>5594</v>
      </c>
      <c r="J711" s="803">
        <v>260936</v>
      </c>
      <c r="K711" s="803">
        <v>20394</v>
      </c>
      <c r="L711" s="802">
        <v>64083</v>
      </c>
      <c r="M711" s="802"/>
      <c r="N711" s="803">
        <v>10434</v>
      </c>
      <c r="O711" s="803">
        <v>96310</v>
      </c>
      <c r="P711" s="803">
        <v>0</v>
      </c>
      <c r="Q711" s="802">
        <v>1938</v>
      </c>
      <c r="R711" s="802"/>
      <c r="S711" s="803">
        <v>79588</v>
      </c>
      <c r="T711" s="804">
        <v>19035</v>
      </c>
      <c r="U711" s="804">
        <v>98623</v>
      </c>
    </row>
    <row r="712" spans="1:21" x14ac:dyDescent="0.25">
      <c r="A712" s="799">
        <v>97841</v>
      </c>
      <c r="B712" s="800" t="s">
        <v>3326</v>
      </c>
      <c r="C712" s="801">
        <v>1.45E-5</v>
      </c>
      <c r="D712" s="801">
        <v>1.5699999999999999E-5</v>
      </c>
      <c r="E712" s="802">
        <v>6090.83</v>
      </c>
      <c r="F712" s="802">
        <v>7046</v>
      </c>
      <c r="G712" s="802">
        <v>30774</v>
      </c>
      <c r="H712" s="802"/>
      <c r="I712" s="803">
        <v>578.1875</v>
      </c>
      <c r="J712" s="803">
        <v>26968</v>
      </c>
      <c r="K712" s="803">
        <v>2108</v>
      </c>
      <c r="L712" s="802">
        <v>636</v>
      </c>
      <c r="M712" s="802"/>
      <c r="N712" s="803">
        <v>1078</v>
      </c>
      <c r="O712" s="803">
        <v>9954</v>
      </c>
      <c r="P712" s="803">
        <v>0</v>
      </c>
      <c r="Q712" s="802">
        <v>8091</v>
      </c>
      <c r="R712" s="802"/>
      <c r="S712" s="803">
        <v>8225</v>
      </c>
      <c r="T712" s="804">
        <v>-3707</v>
      </c>
      <c r="U712" s="804">
        <v>4519</v>
      </c>
    </row>
    <row r="713" spans="1:21" x14ac:dyDescent="0.25">
      <c r="A713" s="799">
        <v>97847</v>
      </c>
      <c r="B713" s="800" t="s">
        <v>3327</v>
      </c>
      <c r="C713" s="801">
        <v>2.2000000000000001E-6</v>
      </c>
      <c r="D713" s="801">
        <v>2.7E-6</v>
      </c>
      <c r="E713" s="802">
        <v>1834</v>
      </c>
      <c r="F713" s="802">
        <v>1212</v>
      </c>
      <c r="G713" s="802">
        <v>4669</v>
      </c>
      <c r="H713" s="802"/>
      <c r="I713" s="803">
        <v>88</v>
      </c>
      <c r="J713" s="803">
        <v>4092</v>
      </c>
      <c r="K713" s="803">
        <v>320</v>
      </c>
      <c r="L713" s="802">
        <v>650</v>
      </c>
      <c r="M713" s="802"/>
      <c r="N713" s="803">
        <v>164</v>
      </c>
      <c r="O713" s="803">
        <v>1510</v>
      </c>
      <c r="P713" s="803">
        <v>0</v>
      </c>
      <c r="Q713" s="802">
        <v>145</v>
      </c>
      <c r="R713" s="802"/>
      <c r="S713" s="803">
        <v>1248</v>
      </c>
      <c r="T713" s="804">
        <v>113</v>
      </c>
      <c r="U713" s="804">
        <v>1361</v>
      </c>
    </row>
    <row r="714" spans="1:21" x14ac:dyDescent="0.25">
      <c r="A714" s="799">
        <v>97851</v>
      </c>
      <c r="B714" s="800" t="s">
        <v>3328</v>
      </c>
      <c r="C714" s="801">
        <v>2.7460000000000001E-4</v>
      </c>
      <c r="D714" s="801">
        <v>2.7E-4</v>
      </c>
      <c r="E714" s="802">
        <v>101247</v>
      </c>
      <c r="F714" s="802">
        <v>121174.38</v>
      </c>
      <c r="G714" s="802">
        <v>582793</v>
      </c>
      <c r="H714" s="802"/>
      <c r="I714" s="803">
        <v>10950</v>
      </c>
      <c r="J714" s="803">
        <v>510713</v>
      </c>
      <c r="K714" s="803">
        <v>39916</v>
      </c>
      <c r="L714" s="802">
        <v>2911</v>
      </c>
      <c r="M714" s="802"/>
      <c r="N714" s="803">
        <v>20422</v>
      </c>
      <c r="O714" s="803">
        <v>188501</v>
      </c>
      <c r="P714" s="803">
        <v>0</v>
      </c>
      <c r="Q714" s="802">
        <v>8317</v>
      </c>
      <c r="R714" s="802"/>
      <c r="S714" s="803">
        <v>155772</v>
      </c>
      <c r="T714" s="804">
        <v>-838</v>
      </c>
      <c r="U714" s="804">
        <v>154934</v>
      </c>
    </row>
    <row r="715" spans="1:21" x14ac:dyDescent="0.25">
      <c r="A715" s="799">
        <v>97853</v>
      </c>
      <c r="B715" s="800" t="s">
        <v>3329</v>
      </c>
      <c r="C715" s="801">
        <v>9.1600000000000004E-5</v>
      </c>
      <c r="D715" s="801">
        <v>1.114E-4</v>
      </c>
      <c r="E715" s="802">
        <v>34607</v>
      </c>
      <c r="F715" s="802">
        <v>49996</v>
      </c>
      <c r="G715" s="802">
        <v>194406</v>
      </c>
      <c r="H715" s="802"/>
      <c r="I715" s="803">
        <v>3652.55</v>
      </c>
      <c r="J715" s="803">
        <v>170362</v>
      </c>
      <c r="K715" s="803">
        <v>13315</v>
      </c>
      <c r="L715" s="802">
        <v>6323</v>
      </c>
      <c r="M715" s="802"/>
      <c r="N715" s="803">
        <v>6812</v>
      </c>
      <c r="O715" s="803">
        <v>62880</v>
      </c>
      <c r="P715" s="803">
        <v>0</v>
      </c>
      <c r="Q715" s="802">
        <v>13159</v>
      </c>
      <c r="R715" s="802"/>
      <c r="S715" s="803">
        <v>51962</v>
      </c>
      <c r="T715" s="804">
        <v>-826</v>
      </c>
      <c r="U715" s="804">
        <v>51136</v>
      </c>
    </row>
    <row r="716" spans="1:21" x14ac:dyDescent="0.25">
      <c r="A716" s="799">
        <v>97861</v>
      </c>
      <c r="B716" s="800" t="s">
        <v>3330</v>
      </c>
      <c r="C716" s="801">
        <v>6.8499999999999998E-5</v>
      </c>
      <c r="D716" s="801">
        <v>6.6799999999999997E-5</v>
      </c>
      <c r="E716" s="802">
        <v>25466</v>
      </c>
      <c r="F716" s="802">
        <v>29979</v>
      </c>
      <c r="G716" s="802">
        <v>145380</v>
      </c>
      <c r="H716" s="802"/>
      <c r="I716" s="803">
        <v>2731.4375</v>
      </c>
      <c r="J716" s="803">
        <v>127399</v>
      </c>
      <c r="K716" s="803">
        <v>9957</v>
      </c>
      <c r="L716" s="802">
        <v>2745</v>
      </c>
      <c r="M716" s="802"/>
      <c r="N716" s="803">
        <v>5094</v>
      </c>
      <c r="O716" s="803">
        <v>47022</v>
      </c>
      <c r="P716" s="803">
        <v>0</v>
      </c>
      <c r="Q716" s="802">
        <v>8154</v>
      </c>
      <c r="R716" s="802"/>
      <c r="S716" s="803">
        <v>38858</v>
      </c>
      <c r="T716" s="804">
        <v>-2826</v>
      </c>
      <c r="U716" s="804">
        <v>36032</v>
      </c>
    </row>
    <row r="717" spans="1:21" x14ac:dyDescent="0.25">
      <c r="A717" s="799">
        <v>97871</v>
      </c>
      <c r="B717" s="800" t="s">
        <v>3331</v>
      </c>
      <c r="C717" s="801">
        <v>3.1500000000000001E-4</v>
      </c>
      <c r="D717" s="801">
        <v>3.1530000000000002E-4</v>
      </c>
      <c r="E717" s="802">
        <v>247766</v>
      </c>
      <c r="F717" s="802">
        <v>141505</v>
      </c>
      <c r="G717" s="802">
        <v>668536</v>
      </c>
      <c r="H717" s="802"/>
      <c r="I717" s="803">
        <v>12560.625</v>
      </c>
      <c r="J717" s="803">
        <v>585850.23</v>
      </c>
      <c r="K717" s="803">
        <v>45789</v>
      </c>
      <c r="L717" s="802">
        <v>173467</v>
      </c>
      <c r="M717" s="802"/>
      <c r="N717" s="803">
        <v>23426</v>
      </c>
      <c r="O717" s="803">
        <v>216234</v>
      </c>
      <c r="P717" s="803">
        <v>0</v>
      </c>
      <c r="Q717" s="802">
        <v>0</v>
      </c>
      <c r="R717" s="802"/>
      <c r="S717" s="803">
        <v>178690</v>
      </c>
      <c r="T717" s="804">
        <v>54798</v>
      </c>
      <c r="U717" s="804">
        <v>233488</v>
      </c>
    </row>
    <row r="718" spans="1:21" x14ac:dyDescent="0.25">
      <c r="A718" s="799">
        <v>97877</v>
      </c>
      <c r="B718" s="800" t="s">
        <v>3332</v>
      </c>
      <c r="C718" s="801">
        <v>2.2000000000000001E-6</v>
      </c>
      <c r="D718" s="801">
        <v>2.6000000000000001E-6</v>
      </c>
      <c r="E718" s="802">
        <v>1917</v>
      </c>
      <c r="F718" s="802">
        <v>1167</v>
      </c>
      <c r="G718" s="802">
        <v>4669</v>
      </c>
      <c r="H718" s="802"/>
      <c r="I718" s="803">
        <v>88</v>
      </c>
      <c r="J718" s="803">
        <v>4092</v>
      </c>
      <c r="K718" s="803">
        <v>320</v>
      </c>
      <c r="L718" s="802">
        <v>1306</v>
      </c>
      <c r="M718" s="802"/>
      <c r="N718" s="803">
        <v>164</v>
      </c>
      <c r="O718" s="803">
        <v>1510</v>
      </c>
      <c r="P718" s="803">
        <v>0</v>
      </c>
      <c r="Q718" s="802">
        <v>0</v>
      </c>
      <c r="R718" s="802"/>
      <c r="S718" s="803">
        <v>1248</v>
      </c>
      <c r="T718" s="804">
        <v>452</v>
      </c>
      <c r="U718" s="804">
        <v>1700</v>
      </c>
    </row>
    <row r="719" spans="1:21" x14ac:dyDescent="0.25">
      <c r="A719" s="799">
        <v>97901</v>
      </c>
      <c r="B719" s="800" t="s">
        <v>3333</v>
      </c>
      <c r="C719" s="801">
        <v>4.3616999999999996E-3</v>
      </c>
      <c r="D719" s="801">
        <v>4.2928000000000003E-3</v>
      </c>
      <c r="E719" s="802">
        <v>1721465.11</v>
      </c>
      <c r="F719" s="802">
        <v>1926583</v>
      </c>
      <c r="G719" s="802">
        <v>9256989</v>
      </c>
      <c r="H719" s="802"/>
      <c r="I719" s="803">
        <v>173923</v>
      </c>
      <c r="J719" s="803">
        <v>8112073</v>
      </c>
      <c r="K719" s="803">
        <v>634021</v>
      </c>
      <c r="L719" s="802">
        <v>76379</v>
      </c>
      <c r="M719" s="802"/>
      <c r="N719" s="803">
        <v>324375</v>
      </c>
      <c r="O719" s="803">
        <v>2994124</v>
      </c>
      <c r="P719" s="803">
        <v>0</v>
      </c>
      <c r="Q719" s="802">
        <v>20062</v>
      </c>
      <c r="R719" s="802"/>
      <c r="S719" s="803">
        <v>2474257</v>
      </c>
      <c r="T719" s="804">
        <v>24654</v>
      </c>
      <c r="U719" s="804">
        <v>2498911</v>
      </c>
    </row>
    <row r="720" spans="1:21" x14ac:dyDescent="0.25">
      <c r="A720" s="799">
        <v>97911</v>
      </c>
      <c r="B720" s="800" t="s">
        <v>3334</v>
      </c>
      <c r="C720" s="801">
        <v>1.3190000000000001E-3</v>
      </c>
      <c r="D720" s="801">
        <v>1.4008E-3</v>
      </c>
      <c r="E720" s="802">
        <v>549902</v>
      </c>
      <c r="F720" s="802">
        <v>628671</v>
      </c>
      <c r="G720" s="802">
        <v>2799360</v>
      </c>
      <c r="H720" s="802"/>
      <c r="I720" s="803">
        <v>52595.125</v>
      </c>
      <c r="J720" s="803">
        <v>2453132</v>
      </c>
      <c r="K720" s="803">
        <v>191731</v>
      </c>
      <c r="L720" s="802">
        <v>50935</v>
      </c>
      <c r="M720" s="802"/>
      <c r="N720" s="803">
        <v>98093</v>
      </c>
      <c r="O720" s="803">
        <v>905438</v>
      </c>
      <c r="P720" s="803">
        <v>0</v>
      </c>
      <c r="Q720" s="802">
        <v>38377</v>
      </c>
      <c r="R720" s="802"/>
      <c r="S720" s="803">
        <v>748228</v>
      </c>
      <c r="T720" s="804">
        <v>10404</v>
      </c>
      <c r="U720" s="804">
        <v>758632</v>
      </c>
    </row>
    <row r="721" spans="1:21" x14ac:dyDescent="0.25">
      <c r="A721" s="799">
        <v>97913</v>
      </c>
      <c r="B721" s="800" t="s">
        <v>3335</v>
      </c>
      <c r="C721" s="801">
        <v>3.7400000000000001E-5</v>
      </c>
      <c r="D721" s="801">
        <v>3.7700000000000002E-5</v>
      </c>
      <c r="E721" s="802">
        <v>23994.67</v>
      </c>
      <c r="F721" s="802">
        <v>16920</v>
      </c>
      <c r="G721" s="802">
        <v>79375</v>
      </c>
      <c r="H721" s="802"/>
      <c r="I721" s="803">
        <v>1491.325</v>
      </c>
      <c r="J721" s="803">
        <v>69558</v>
      </c>
      <c r="K721" s="803">
        <v>5437</v>
      </c>
      <c r="L721" s="802">
        <v>11163</v>
      </c>
      <c r="M721" s="802"/>
      <c r="N721" s="803">
        <v>2781</v>
      </c>
      <c r="O721" s="803">
        <v>25674</v>
      </c>
      <c r="P721" s="803">
        <v>0</v>
      </c>
      <c r="Q721" s="802">
        <v>0</v>
      </c>
      <c r="R721" s="802"/>
      <c r="S721" s="803">
        <v>21216</v>
      </c>
      <c r="T721" s="804">
        <v>3404</v>
      </c>
      <c r="U721" s="804">
        <v>24620</v>
      </c>
    </row>
    <row r="722" spans="1:21" x14ac:dyDescent="0.25">
      <c r="A722" s="799">
        <v>97917</v>
      </c>
      <c r="B722" s="800" t="s">
        <v>3336</v>
      </c>
      <c r="C722" s="801">
        <v>1.98E-5</v>
      </c>
      <c r="D722" s="801">
        <v>2.0599999999999999E-5</v>
      </c>
      <c r="E722" s="802">
        <v>11950</v>
      </c>
      <c r="F722" s="802">
        <v>9245</v>
      </c>
      <c r="G722" s="802">
        <v>42022</v>
      </c>
      <c r="H722" s="802"/>
      <c r="I722" s="803">
        <v>789.52499999999998</v>
      </c>
      <c r="J722" s="803">
        <v>36825</v>
      </c>
      <c r="K722" s="803">
        <v>2878</v>
      </c>
      <c r="L722" s="802">
        <v>6195</v>
      </c>
      <c r="M722" s="802"/>
      <c r="N722" s="803">
        <v>1473</v>
      </c>
      <c r="O722" s="803">
        <v>13592</v>
      </c>
      <c r="P722" s="803">
        <v>0</v>
      </c>
      <c r="Q722" s="802">
        <v>0</v>
      </c>
      <c r="R722" s="802"/>
      <c r="S722" s="803">
        <v>11232</v>
      </c>
      <c r="T722" s="804">
        <v>2211</v>
      </c>
      <c r="U722" s="804">
        <v>13443</v>
      </c>
    </row>
    <row r="723" spans="1:21" x14ac:dyDescent="0.25">
      <c r="A723" s="799">
        <v>97921</v>
      </c>
      <c r="B723" s="800" t="s">
        <v>3337</v>
      </c>
      <c r="C723" s="801">
        <v>2.2169999999999999E-4</v>
      </c>
      <c r="D723" s="801">
        <v>2.3599999999999999E-4</v>
      </c>
      <c r="E723" s="802">
        <v>93980.13</v>
      </c>
      <c r="F723" s="802">
        <v>105915</v>
      </c>
      <c r="G723" s="802">
        <v>470522</v>
      </c>
      <c r="H723" s="802"/>
      <c r="I723" s="803">
        <v>8840</v>
      </c>
      <c r="J723" s="803">
        <v>412327</v>
      </c>
      <c r="K723" s="803">
        <v>32227</v>
      </c>
      <c r="L723" s="802">
        <v>17914</v>
      </c>
      <c r="M723" s="802"/>
      <c r="N723" s="803">
        <v>16488</v>
      </c>
      <c r="O723" s="803">
        <v>152188</v>
      </c>
      <c r="P723" s="803">
        <v>0</v>
      </c>
      <c r="Q723" s="802">
        <v>8707</v>
      </c>
      <c r="R723" s="802"/>
      <c r="S723" s="803">
        <v>125764</v>
      </c>
      <c r="T723" s="804">
        <v>3320</v>
      </c>
      <c r="U723" s="804">
        <v>129084</v>
      </c>
    </row>
    <row r="724" spans="1:21" x14ac:dyDescent="0.25">
      <c r="A724" s="799">
        <v>97931</v>
      </c>
      <c r="B724" s="800" t="s">
        <v>3338</v>
      </c>
      <c r="C724" s="801">
        <v>6.1600000000000007E-5</v>
      </c>
      <c r="D724" s="801">
        <v>6.7999999999999999E-5</v>
      </c>
      <c r="E724" s="802">
        <v>26190.6</v>
      </c>
      <c r="F724" s="802">
        <v>30518</v>
      </c>
      <c r="G724" s="802">
        <v>130736</v>
      </c>
      <c r="H724" s="802"/>
      <c r="I724" s="803">
        <v>2456</v>
      </c>
      <c r="J724" s="803">
        <v>114566</v>
      </c>
      <c r="K724" s="803">
        <v>8954</v>
      </c>
      <c r="L724" s="802">
        <v>19564</v>
      </c>
      <c r="M724" s="802"/>
      <c r="N724" s="803">
        <v>4581</v>
      </c>
      <c r="O724" s="803">
        <v>42286</v>
      </c>
      <c r="P724" s="803">
        <v>0</v>
      </c>
      <c r="Q724" s="802">
        <v>13697</v>
      </c>
      <c r="R724" s="802"/>
      <c r="S724" s="803">
        <v>34944</v>
      </c>
      <c r="T724" s="804">
        <v>733</v>
      </c>
      <c r="U724" s="804">
        <v>35677</v>
      </c>
    </row>
    <row r="725" spans="1:21" x14ac:dyDescent="0.25">
      <c r="A725" s="799">
        <v>97941</v>
      </c>
      <c r="B725" s="800" t="s">
        <v>3339</v>
      </c>
      <c r="C725" s="801">
        <v>2.3330000000000001E-4</v>
      </c>
      <c r="D725" s="801">
        <v>2.3120000000000001E-4</v>
      </c>
      <c r="E725" s="802">
        <v>99201.06</v>
      </c>
      <c r="F725" s="802">
        <v>103761</v>
      </c>
      <c r="G725" s="802">
        <v>495141</v>
      </c>
      <c r="H725" s="802"/>
      <c r="I725" s="803">
        <v>9303</v>
      </c>
      <c r="J725" s="803">
        <v>433901</v>
      </c>
      <c r="K725" s="803">
        <v>33913</v>
      </c>
      <c r="L725" s="802">
        <v>27337</v>
      </c>
      <c r="M725" s="802"/>
      <c r="N725" s="803">
        <v>17350</v>
      </c>
      <c r="O725" s="803">
        <v>160151</v>
      </c>
      <c r="P725" s="803">
        <v>0</v>
      </c>
      <c r="Q725" s="802">
        <v>299</v>
      </c>
      <c r="R725" s="802"/>
      <c r="S725" s="803">
        <v>132344</v>
      </c>
      <c r="T725" s="804">
        <v>9188</v>
      </c>
      <c r="U725" s="804">
        <v>141532</v>
      </c>
    </row>
    <row r="726" spans="1:21" x14ac:dyDescent="0.25">
      <c r="A726" s="799">
        <v>97947</v>
      </c>
      <c r="B726" s="800" t="s">
        <v>3340</v>
      </c>
      <c r="C726" s="801">
        <v>1.5500000000000001E-5</v>
      </c>
      <c r="D726" s="801">
        <v>1.1199999999999999E-5</v>
      </c>
      <c r="E726" s="802">
        <v>11155</v>
      </c>
      <c r="F726" s="802">
        <v>5026</v>
      </c>
      <c r="G726" s="802">
        <v>32896</v>
      </c>
      <c r="H726" s="802"/>
      <c r="I726" s="803">
        <v>618.0625</v>
      </c>
      <c r="J726" s="803">
        <v>28828</v>
      </c>
      <c r="K726" s="803">
        <v>2253</v>
      </c>
      <c r="L726" s="802">
        <v>9195</v>
      </c>
      <c r="M726" s="802"/>
      <c r="N726" s="803">
        <v>1153</v>
      </c>
      <c r="O726" s="803">
        <v>10640</v>
      </c>
      <c r="P726" s="803">
        <v>0</v>
      </c>
      <c r="Q726" s="802">
        <v>615</v>
      </c>
      <c r="R726" s="802"/>
      <c r="S726" s="803">
        <v>8793</v>
      </c>
      <c r="T726" s="804">
        <v>2366</v>
      </c>
      <c r="U726" s="804">
        <v>11159</v>
      </c>
    </row>
    <row r="727" spans="1:21" x14ac:dyDescent="0.25">
      <c r="A727" s="799">
        <v>97948</v>
      </c>
      <c r="B727" s="800" t="s">
        <v>3341</v>
      </c>
      <c r="C727" s="801">
        <v>3.5200000000000002E-5</v>
      </c>
      <c r="D727" s="801">
        <v>3.43E-5</v>
      </c>
      <c r="E727" s="802">
        <v>13688</v>
      </c>
      <c r="F727" s="802">
        <v>15394</v>
      </c>
      <c r="G727" s="802">
        <v>74706</v>
      </c>
      <c r="H727" s="802"/>
      <c r="I727" s="803">
        <v>1404</v>
      </c>
      <c r="J727" s="803">
        <v>65466</v>
      </c>
      <c r="K727" s="803">
        <v>5117</v>
      </c>
      <c r="L727" s="802">
        <v>3029</v>
      </c>
      <c r="M727" s="802"/>
      <c r="N727" s="803">
        <v>2618</v>
      </c>
      <c r="O727" s="803">
        <v>24163</v>
      </c>
      <c r="P727" s="803">
        <v>0</v>
      </c>
      <c r="Q727" s="802">
        <v>138</v>
      </c>
      <c r="R727" s="802"/>
      <c r="S727" s="803">
        <v>19968</v>
      </c>
      <c r="T727" s="804">
        <v>1084</v>
      </c>
      <c r="U727" s="804">
        <v>21052</v>
      </c>
    </row>
    <row r="728" spans="1:21" x14ac:dyDescent="0.25">
      <c r="A728" s="799">
        <v>97951</v>
      </c>
      <c r="B728" s="800" t="s">
        <v>3342</v>
      </c>
      <c r="C728" s="801">
        <v>1.2497000000000001E-3</v>
      </c>
      <c r="D728" s="801">
        <v>1.2842000000000001E-3</v>
      </c>
      <c r="E728" s="802">
        <v>544314.75</v>
      </c>
      <c r="F728" s="802">
        <v>576341</v>
      </c>
      <c r="G728" s="802">
        <v>2652282</v>
      </c>
      <c r="H728" s="802"/>
      <c r="I728" s="803">
        <v>49832</v>
      </c>
      <c r="J728" s="803">
        <v>2324245</v>
      </c>
      <c r="K728" s="803">
        <v>181658</v>
      </c>
      <c r="L728" s="802">
        <v>21304</v>
      </c>
      <c r="M728" s="802"/>
      <c r="N728" s="803">
        <v>92939</v>
      </c>
      <c r="O728" s="803">
        <v>857867</v>
      </c>
      <c r="P728" s="803">
        <v>0</v>
      </c>
      <c r="Q728" s="802">
        <v>14204.62</v>
      </c>
      <c r="R728" s="802"/>
      <c r="S728" s="803">
        <v>708916</v>
      </c>
      <c r="T728" s="804">
        <v>-103</v>
      </c>
      <c r="U728" s="804">
        <v>708813</v>
      </c>
    </row>
    <row r="729" spans="1:21" x14ac:dyDescent="0.25">
      <c r="A729" s="799">
        <v>97957</v>
      </c>
      <c r="B729" s="800" t="s">
        <v>3343</v>
      </c>
      <c r="C729" s="801">
        <v>1.9599999999999999E-5</v>
      </c>
      <c r="D729" s="801">
        <v>1.9899999999999999E-5</v>
      </c>
      <c r="E729" s="802">
        <v>11054</v>
      </c>
      <c r="F729" s="802">
        <v>8931</v>
      </c>
      <c r="G729" s="802">
        <v>41598</v>
      </c>
      <c r="H729" s="802"/>
      <c r="I729" s="803">
        <v>781.55</v>
      </c>
      <c r="J729" s="803">
        <v>36453</v>
      </c>
      <c r="K729" s="803">
        <v>2849</v>
      </c>
      <c r="L729" s="802">
        <v>2215</v>
      </c>
      <c r="M729" s="802"/>
      <c r="N729" s="803">
        <v>1458</v>
      </c>
      <c r="O729" s="803">
        <v>13455</v>
      </c>
      <c r="P729" s="803">
        <v>0</v>
      </c>
      <c r="Q729" s="802">
        <v>1781</v>
      </c>
      <c r="R729" s="802"/>
      <c r="S729" s="803">
        <v>11118</v>
      </c>
      <c r="T729" s="804">
        <v>-84</v>
      </c>
      <c r="U729" s="804">
        <v>11035</v>
      </c>
    </row>
    <row r="730" spans="1:21" x14ac:dyDescent="0.25">
      <c r="A730" s="799">
        <v>98001</v>
      </c>
      <c r="B730" s="800" t="s">
        <v>3344</v>
      </c>
      <c r="C730" s="801">
        <v>4.9659999999999999E-3</v>
      </c>
      <c r="D730" s="801">
        <v>4.9379999999999997E-3</v>
      </c>
      <c r="E730" s="802">
        <v>2027252.35</v>
      </c>
      <c r="F730" s="802">
        <v>2216145</v>
      </c>
      <c r="G730" s="802">
        <v>10539516</v>
      </c>
      <c r="H730" s="802"/>
      <c r="I730" s="803">
        <v>198019.25</v>
      </c>
      <c r="J730" s="803">
        <v>9235975</v>
      </c>
      <c r="K730" s="803">
        <v>721863</v>
      </c>
      <c r="L730" s="802">
        <v>119593</v>
      </c>
      <c r="M730" s="802"/>
      <c r="N730" s="803">
        <v>369316</v>
      </c>
      <c r="O730" s="803">
        <v>3408950</v>
      </c>
      <c r="P730" s="803">
        <v>0</v>
      </c>
      <c r="Q730" s="802">
        <v>0</v>
      </c>
      <c r="R730" s="802"/>
      <c r="S730" s="803">
        <v>2817058</v>
      </c>
      <c r="T730" s="804">
        <v>52585</v>
      </c>
      <c r="U730" s="804">
        <v>2869642</v>
      </c>
    </row>
    <row r="731" spans="1:21" x14ac:dyDescent="0.25">
      <c r="A731" s="799">
        <v>98002</v>
      </c>
      <c r="B731" s="800" t="s">
        <v>3345</v>
      </c>
      <c r="C731" s="801">
        <v>7.3000000000000004E-6</v>
      </c>
      <c r="D731" s="801">
        <v>7.1999999999999997E-6</v>
      </c>
      <c r="E731" s="802">
        <v>3645</v>
      </c>
      <c r="F731" s="802">
        <v>3231</v>
      </c>
      <c r="G731" s="802">
        <v>15493</v>
      </c>
      <c r="H731" s="802"/>
      <c r="I731" s="803">
        <v>291</v>
      </c>
      <c r="J731" s="803">
        <v>13577</v>
      </c>
      <c r="K731" s="803">
        <v>1061</v>
      </c>
      <c r="L731" s="802">
        <v>799</v>
      </c>
      <c r="M731" s="802"/>
      <c r="N731" s="803">
        <v>543</v>
      </c>
      <c r="O731" s="803">
        <v>5011</v>
      </c>
      <c r="P731" s="803">
        <v>0</v>
      </c>
      <c r="Q731" s="802">
        <v>13050</v>
      </c>
      <c r="R731" s="802"/>
      <c r="S731" s="803">
        <v>4141</v>
      </c>
      <c r="T731" s="804">
        <v>-6329</v>
      </c>
      <c r="U731" s="804">
        <v>-2188</v>
      </c>
    </row>
    <row r="732" spans="1:21" x14ac:dyDescent="0.25">
      <c r="A732" s="799">
        <v>98003</v>
      </c>
      <c r="B732" s="800" t="s">
        <v>3346</v>
      </c>
      <c r="C732" s="801">
        <v>8.1600000000000005E-5</v>
      </c>
      <c r="D732" s="801">
        <v>6.8100000000000002E-5</v>
      </c>
      <c r="E732" s="802">
        <v>60648.32</v>
      </c>
      <c r="F732" s="802">
        <v>30563</v>
      </c>
      <c r="G732" s="802">
        <v>173183</v>
      </c>
      <c r="H732" s="802"/>
      <c r="I732" s="803">
        <v>3253.8</v>
      </c>
      <c r="J732" s="803">
        <v>151763</v>
      </c>
      <c r="K732" s="803">
        <v>11861</v>
      </c>
      <c r="L732" s="802">
        <v>41565</v>
      </c>
      <c r="M732" s="802"/>
      <c r="N732" s="803">
        <v>6069</v>
      </c>
      <c r="O732" s="803">
        <v>56015</v>
      </c>
      <c r="P732" s="803">
        <v>0</v>
      </c>
      <c r="Q732" s="802">
        <v>0</v>
      </c>
      <c r="R732" s="802"/>
      <c r="S732" s="803">
        <v>46289</v>
      </c>
      <c r="T732" s="804">
        <v>12223</v>
      </c>
      <c r="U732" s="804">
        <v>58512</v>
      </c>
    </row>
    <row r="733" spans="1:21" x14ac:dyDescent="0.25">
      <c r="A733" s="799">
        <v>98004</v>
      </c>
      <c r="B733" s="800" t="s">
        <v>3347</v>
      </c>
      <c r="C733" s="801">
        <v>1.209E-4</v>
      </c>
      <c r="D733" s="801">
        <v>1.2630000000000001E-4</v>
      </c>
      <c r="E733" s="802">
        <v>71693</v>
      </c>
      <c r="F733" s="802">
        <v>56683</v>
      </c>
      <c r="G733" s="802">
        <v>256590</v>
      </c>
      <c r="H733" s="802"/>
      <c r="I733" s="803">
        <v>4821</v>
      </c>
      <c r="J733" s="803">
        <v>224855</v>
      </c>
      <c r="K733" s="803">
        <v>17574</v>
      </c>
      <c r="L733" s="802">
        <v>29242</v>
      </c>
      <c r="M733" s="802"/>
      <c r="N733" s="803">
        <v>8991</v>
      </c>
      <c r="O733" s="803">
        <v>82993</v>
      </c>
      <c r="P733" s="803">
        <v>0</v>
      </c>
      <c r="Q733" s="802">
        <v>0</v>
      </c>
      <c r="R733" s="802"/>
      <c r="S733" s="803">
        <v>68583</v>
      </c>
      <c r="T733" s="804">
        <v>9885</v>
      </c>
      <c r="U733" s="804">
        <v>78468</v>
      </c>
    </row>
    <row r="734" spans="1:21" x14ac:dyDescent="0.25">
      <c r="A734" s="799">
        <v>98008</v>
      </c>
      <c r="B734" s="800" t="s">
        <v>3348</v>
      </c>
      <c r="C734" s="801">
        <v>7.7999999999999999E-6</v>
      </c>
      <c r="D734" s="801">
        <v>8.3000000000000002E-6</v>
      </c>
      <c r="E734" s="802">
        <v>3014</v>
      </c>
      <c r="F734" s="802">
        <v>3725</v>
      </c>
      <c r="G734" s="802">
        <v>16554</v>
      </c>
      <c r="H734" s="802"/>
      <c r="I734" s="803">
        <v>311</v>
      </c>
      <c r="J734" s="803">
        <v>14507</v>
      </c>
      <c r="K734" s="803">
        <v>1134</v>
      </c>
      <c r="L734" s="802">
        <v>0</v>
      </c>
      <c r="M734" s="802"/>
      <c r="N734" s="803">
        <v>580</v>
      </c>
      <c r="O734" s="803">
        <v>5354</v>
      </c>
      <c r="P734" s="803">
        <v>0</v>
      </c>
      <c r="Q734" s="802">
        <v>1300</v>
      </c>
      <c r="R734" s="802"/>
      <c r="S734" s="803">
        <v>4425</v>
      </c>
      <c r="T734" s="804">
        <v>-496</v>
      </c>
      <c r="U734" s="804">
        <v>3929</v>
      </c>
    </row>
    <row r="735" spans="1:21" x14ac:dyDescent="0.25">
      <c r="A735" s="799">
        <v>98011</v>
      </c>
      <c r="B735" s="800" t="s">
        <v>3349</v>
      </c>
      <c r="C735" s="801">
        <v>3.1795E-3</v>
      </c>
      <c r="D735" s="801">
        <v>3.5899E-3</v>
      </c>
      <c r="E735" s="802">
        <v>1249396</v>
      </c>
      <c r="F735" s="802">
        <v>1611126</v>
      </c>
      <c r="G735" s="802">
        <v>6747964</v>
      </c>
      <c r="H735" s="802"/>
      <c r="I735" s="803">
        <v>126783</v>
      </c>
      <c r="J735" s="803">
        <v>5913368</v>
      </c>
      <c r="K735" s="803">
        <v>462175</v>
      </c>
      <c r="L735" s="802">
        <v>0</v>
      </c>
      <c r="M735" s="802"/>
      <c r="N735" s="803">
        <v>236456</v>
      </c>
      <c r="O735" s="803">
        <v>2182593</v>
      </c>
      <c r="P735" s="803">
        <v>0</v>
      </c>
      <c r="Q735" s="802">
        <v>424125</v>
      </c>
      <c r="R735" s="802"/>
      <c r="S735" s="803">
        <v>1803632</v>
      </c>
      <c r="T735" s="804">
        <v>-139309</v>
      </c>
      <c r="U735" s="804">
        <v>1664322</v>
      </c>
    </row>
    <row r="736" spans="1:21" x14ac:dyDescent="0.25">
      <c r="A736" s="799">
        <v>98013</v>
      </c>
      <c r="B736" s="800" t="s">
        <v>3350</v>
      </c>
      <c r="C736" s="801">
        <v>1.426E-4</v>
      </c>
      <c r="D736" s="801">
        <v>1.427E-4</v>
      </c>
      <c r="E736" s="802">
        <v>126822.16</v>
      </c>
      <c r="F736" s="802">
        <v>64043</v>
      </c>
      <c r="G736" s="802">
        <v>302645</v>
      </c>
      <c r="H736" s="802"/>
      <c r="I736" s="803">
        <v>5686</v>
      </c>
      <c r="J736" s="803">
        <v>265213</v>
      </c>
      <c r="K736" s="803">
        <v>20728</v>
      </c>
      <c r="L736" s="802">
        <v>97343</v>
      </c>
      <c r="M736" s="802"/>
      <c r="N736" s="803">
        <v>10605</v>
      </c>
      <c r="O736" s="803">
        <v>97889</v>
      </c>
      <c r="P736" s="803">
        <v>0</v>
      </c>
      <c r="Q736" s="802">
        <v>4167</v>
      </c>
      <c r="R736" s="802"/>
      <c r="S736" s="803">
        <v>80893</v>
      </c>
      <c r="T736" s="804">
        <v>27256</v>
      </c>
      <c r="U736" s="804">
        <v>108149</v>
      </c>
    </row>
    <row r="737" spans="1:21" x14ac:dyDescent="0.25">
      <c r="A737" s="799">
        <v>98021</v>
      </c>
      <c r="B737" s="800" t="s">
        <v>3351</v>
      </c>
      <c r="C737" s="801">
        <v>7.5099999999999996E-5</v>
      </c>
      <c r="D737" s="801">
        <v>7.4099999999999999E-5</v>
      </c>
      <c r="E737" s="802">
        <v>28245.75</v>
      </c>
      <c r="F737" s="802">
        <v>33256</v>
      </c>
      <c r="G737" s="802">
        <v>159387</v>
      </c>
      <c r="H737" s="802"/>
      <c r="I737" s="803">
        <v>2995</v>
      </c>
      <c r="J737" s="803">
        <v>139674</v>
      </c>
      <c r="K737" s="803">
        <v>10917</v>
      </c>
      <c r="L737" s="802">
        <v>20868</v>
      </c>
      <c r="M737" s="802"/>
      <c r="N737" s="803">
        <v>5585</v>
      </c>
      <c r="O737" s="803">
        <v>51553</v>
      </c>
      <c r="P737" s="803">
        <v>0</v>
      </c>
      <c r="Q737" s="802">
        <v>1894</v>
      </c>
      <c r="R737" s="802"/>
      <c r="S737" s="803">
        <v>42602</v>
      </c>
      <c r="T737" s="804">
        <v>6826</v>
      </c>
      <c r="U737" s="804">
        <v>49428</v>
      </c>
    </row>
    <row r="738" spans="1:21" x14ac:dyDescent="0.25">
      <c r="A738" s="799">
        <v>98023</v>
      </c>
      <c r="B738" s="800" t="s">
        <v>3352</v>
      </c>
      <c r="C738" s="801">
        <v>1.45E-5</v>
      </c>
      <c r="D738" s="801">
        <v>2.1500000000000001E-5</v>
      </c>
      <c r="E738" s="802">
        <v>6210.57</v>
      </c>
      <c r="F738" s="802">
        <v>9649</v>
      </c>
      <c r="G738" s="802">
        <v>30774</v>
      </c>
      <c r="H738" s="802"/>
      <c r="I738" s="803">
        <v>578.1875</v>
      </c>
      <c r="J738" s="803">
        <v>26968</v>
      </c>
      <c r="K738" s="803">
        <v>2108</v>
      </c>
      <c r="L738" s="802">
        <v>0</v>
      </c>
      <c r="M738" s="802"/>
      <c r="N738" s="803">
        <v>1078</v>
      </c>
      <c r="O738" s="803">
        <v>9954</v>
      </c>
      <c r="P738" s="803">
        <v>0</v>
      </c>
      <c r="Q738" s="802">
        <v>7858</v>
      </c>
      <c r="R738" s="802"/>
      <c r="S738" s="803">
        <v>8225</v>
      </c>
      <c r="T738" s="804">
        <v>-2638</v>
      </c>
      <c r="U738" s="804">
        <v>5587</v>
      </c>
    </row>
    <row r="739" spans="1:21" x14ac:dyDescent="0.25">
      <c r="A739" s="799">
        <v>98031</v>
      </c>
      <c r="B739" s="800" t="s">
        <v>3353</v>
      </c>
      <c r="C739" s="801">
        <v>1.5530000000000001E-4</v>
      </c>
      <c r="D739" s="801">
        <v>1.7009999999999999E-4</v>
      </c>
      <c r="E739" s="802">
        <v>66785.13</v>
      </c>
      <c r="F739" s="802">
        <v>76340</v>
      </c>
      <c r="G739" s="802">
        <v>329599</v>
      </c>
      <c r="H739" s="802"/>
      <c r="I739" s="803">
        <v>6193</v>
      </c>
      <c r="J739" s="803">
        <v>288833</v>
      </c>
      <c r="K739" s="803">
        <v>22575</v>
      </c>
      <c r="L739" s="802">
        <v>7207</v>
      </c>
      <c r="M739" s="802"/>
      <c r="N739" s="803">
        <v>11550</v>
      </c>
      <c r="O739" s="803">
        <v>106607</v>
      </c>
      <c r="P739" s="803">
        <v>0</v>
      </c>
      <c r="Q739" s="802">
        <v>8978</v>
      </c>
      <c r="R739" s="802"/>
      <c r="S739" s="803">
        <v>88097</v>
      </c>
      <c r="T739" s="804">
        <v>-569</v>
      </c>
      <c r="U739" s="804">
        <v>87528</v>
      </c>
    </row>
    <row r="740" spans="1:21" x14ac:dyDescent="0.25">
      <c r="A740" s="799">
        <v>98041</v>
      </c>
      <c r="B740" s="800" t="s">
        <v>3354</v>
      </c>
      <c r="C740" s="801">
        <v>1.6559999999999999E-4</v>
      </c>
      <c r="D740" s="801">
        <v>1.438E-4</v>
      </c>
      <c r="E740" s="802">
        <v>62577.35</v>
      </c>
      <c r="F740" s="802">
        <v>64537</v>
      </c>
      <c r="G740" s="802">
        <v>351459</v>
      </c>
      <c r="H740" s="802"/>
      <c r="I740" s="803">
        <v>6603</v>
      </c>
      <c r="J740" s="803">
        <v>307990</v>
      </c>
      <c r="K740" s="803">
        <v>24072</v>
      </c>
      <c r="L740" s="802">
        <v>7422</v>
      </c>
      <c r="M740" s="802"/>
      <c r="N740" s="803">
        <v>12316</v>
      </c>
      <c r="O740" s="803">
        <v>113677</v>
      </c>
      <c r="P740" s="803">
        <v>0</v>
      </c>
      <c r="Q740" s="802">
        <v>9673</v>
      </c>
      <c r="R740" s="802"/>
      <c r="S740" s="803">
        <v>93940</v>
      </c>
      <c r="T740" s="804">
        <v>-1971</v>
      </c>
      <c r="U740" s="804">
        <v>91969</v>
      </c>
    </row>
    <row r="741" spans="1:21" x14ac:dyDescent="0.25">
      <c r="A741" s="799">
        <v>98051</v>
      </c>
      <c r="B741" s="800" t="s">
        <v>3355</v>
      </c>
      <c r="C741" s="801">
        <v>3.0019999999999998E-4</v>
      </c>
      <c r="D741" s="801">
        <v>2.699E-4</v>
      </c>
      <c r="E741" s="802">
        <v>123086</v>
      </c>
      <c r="F741" s="802">
        <v>121130</v>
      </c>
      <c r="G741" s="802">
        <v>637125</v>
      </c>
      <c r="H741" s="802"/>
      <c r="I741" s="803">
        <v>11970</v>
      </c>
      <c r="J741" s="803">
        <v>558325</v>
      </c>
      <c r="K741" s="803">
        <v>43637</v>
      </c>
      <c r="L741" s="802">
        <v>31222</v>
      </c>
      <c r="M741" s="802"/>
      <c r="N741" s="803">
        <v>22326</v>
      </c>
      <c r="O741" s="803">
        <v>206075</v>
      </c>
      <c r="P741" s="803">
        <v>0</v>
      </c>
      <c r="Q741" s="802">
        <v>229</v>
      </c>
      <c r="R741" s="802"/>
      <c r="S741" s="803">
        <v>170294</v>
      </c>
      <c r="T741" s="804">
        <v>9416</v>
      </c>
      <c r="U741" s="804">
        <v>179711</v>
      </c>
    </row>
    <row r="742" spans="1:21" x14ac:dyDescent="0.25">
      <c r="A742" s="799">
        <v>98061</v>
      </c>
      <c r="B742" s="800" t="s">
        <v>3356</v>
      </c>
      <c r="C742" s="801">
        <v>9.9099999999999996E-5</v>
      </c>
      <c r="D742" s="801">
        <v>1.3410000000000001E-4</v>
      </c>
      <c r="E742" s="802">
        <v>42535.31</v>
      </c>
      <c r="F742" s="802">
        <v>60183</v>
      </c>
      <c r="G742" s="802">
        <v>210323</v>
      </c>
      <c r="H742" s="802"/>
      <c r="I742" s="803">
        <v>3952</v>
      </c>
      <c r="J742" s="803">
        <v>184310</v>
      </c>
      <c r="K742" s="803">
        <v>14405</v>
      </c>
      <c r="L742" s="802">
        <v>0</v>
      </c>
      <c r="M742" s="802"/>
      <c r="N742" s="803">
        <v>7370</v>
      </c>
      <c r="O742" s="803">
        <v>68028</v>
      </c>
      <c r="P742" s="803">
        <v>0</v>
      </c>
      <c r="Q742" s="802">
        <v>24647</v>
      </c>
      <c r="R742" s="802"/>
      <c r="S742" s="803">
        <v>56216</v>
      </c>
      <c r="T742" s="804">
        <v>-7215</v>
      </c>
      <c r="U742" s="804">
        <v>49002</v>
      </c>
    </row>
    <row r="743" spans="1:21" x14ac:dyDescent="0.25">
      <c r="A743" s="799">
        <v>98071</v>
      </c>
      <c r="B743" s="800" t="s">
        <v>3357</v>
      </c>
      <c r="C743" s="801">
        <v>3.4400000000000003E-5</v>
      </c>
      <c r="D743" s="801">
        <v>3.2299999999999999E-5</v>
      </c>
      <c r="E743" s="802">
        <v>24294.65</v>
      </c>
      <c r="F743" s="802">
        <v>14496</v>
      </c>
      <c r="G743" s="802">
        <v>73008</v>
      </c>
      <c r="H743" s="802"/>
      <c r="I743" s="803">
        <v>1371.7</v>
      </c>
      <c r="J743" s="803">
        <v>63979</v>
      </c>
      <c r="K743" s="803">
        <v>5000</v>
      </c>
      <c r="L743" s="802">
        <v>9217</v>
      </c>
      <c r="M743" s="802"/>
      <c r="N743" s="803">
        <v>2558</v>
      </c>
      <c r="O743" s="803">
        <v>23614</v>
      </c>
      <c r="P743" s="803">
        <v>0</v>
      </c>
      <c r="Q743" s="802">
        <v>1859</v>
      </c>
      <c r="R743" s="802"/>
      <c r="S743" s="803">
        <v>19514</v>
      </c>
      <c r="T743" s="804">
        <v>1734</v>
      </c>
      <c r="U743" s="804">
        <v>21248</v>
      </c>
    </row>
    <row r="744" spans="1:21" x14ac:dyDescent="0.25">
      <c r="A744" s="799">
        <v>98081</v>
      </c>
      <c r="B744" s="800" t="s">
        <v>3358</v>
      </c>
      <c r="C744" s="801">
        <v>1.9400000000000001E-5</v>
      </c>
      <c r="D744" s="801">
        <v>2.0999999999999999E-5</v>
      </c>
      <c r="E744" s="802">
        <v>6798</v>
      </c>
      <c r="F744" s="802">
        <v>9425</v>
      </c>
      <c r="G744" s="802">
        <v>41173</v>
      </c>
      <c r="H744" s="802"/>
      <c r="I744" s="803">
        <v>773.57500000000005</v>
      </c>
      <c r="J744" s="803">
        <v>36081</v>
      </c>
      <c r="K744" s="803">
        <v>2820</v>
      </c>
      <c r="L744" s="802">
        <v>0</v>
      </c>
      <c r="M744" s="802"/>
      <c r="N744" s="803">
        <v>1443</v>
      </c>
      <c r="O744" s="803">
        <v>13317</v>
      </c>
      <c r="P744" s="803">
        <v>0</v>
      </c>
      <c r="Q744" s="802">
        <v>4336</v>
      </c>
      <c r="R744" s="802"/>
      <c r="S744" s="803">
        <v>11005</v>
      </c>
      <c r="T744" s="804">
        <v>-1542</v>
      </c>
      <c r="U744" s="804">
        <v>9463</v>
      </c>
    </row>
    <row r="745" spans="1:21" x14ac:dyDescent="0.25">
      <c r="A745" s="799">
        <v>98091</v>
      </c>
      <c r="B745" s="800" t="s">
        <v>3359</v>
      </c>
      <c r="C745" s="801">
        <v>5.0899999999999997E-5</v>
      </c>
      <c r="D745" s="801">
        <v>5.49E-5</v>
      </c>
      <c r="E745" s="802">
        <v>23937.15</v>
      </c>
      <c r="F745" s="802">
        <v>24639</v>
      </c>
      <c r="G745" s="802">
        <v>108027</v>
      </c>
      <c r="H745" s="802"/>
      <c r="I745" s="803">
        <v>2030</v>
      </c>
      <c r="J745" s="803">
        <v>94666</v>
      </c>
      <c r="K745" s="803">
        <v>7399</v>
      </c>
      <c r="L745" s="802">
        <v>1196</v>
      </c>
      <c r="M745" s="802"/>
      <c r="N745" s="803">
        <v>3785</v>
      </c>
      <c r="O745" s="803">
        <v>34941</v>
      </c>
      <c r="P745" s="803">
        <v>0</v>
      </c>
      <c r="Q745" s="802">
        <v>1622</v>
      </c>
      <c r="R745" s="802"/>
      <c r="S745" s="803">
        <v>28874</v>
      </c>
      <c r="T745" s="804">
        <v>-412</v>
      </c>
      <c r="U745" s="804">
        <v>28462</v>
      </c>
    </row>
    <row r="746" spans="1:21" x14ac:dyDescent="0.25">
      <c r="A746" s="799">
        <v>98101</v>
      </c>
      <c r="B746" s="800" t="s">
        <v>3360</v>
      </c>
      <c r="C746" s="801">
        <v>2.7642999999999999E-3</v>
      </c>
      <c r="D746" s="801">
        <v>2.7445E-3</v>
      </c>
      <c r="E746" s="802">
        <v>1093303.25</v>
      </c>
      <c r="F746" s="802">
        <v>1231715</v>
      </c>
      <c r="G746" s="802">
        <v>5866771</v>
      </c>
      <c r="H746" s="802"/>
      <c r="I746" s="803">
        <v>110226</v>
      </c>
      <c r="J746" s="803">
        <v>5141161</v>
      </c>
      <c r="K746" s="803">
        <v>401821</v>
      </c>
      <c r="L746" s="802">
        <v>61462</v>
      </c>
      <c r="M746" s="802"/>
      <c r="N746" s="803">
        <v>205578</v>
      </c>
      <c r="O746" s="803">
        <v>1897576</v>
      </c>
      <c r="P746" s="803">
        <v>0</v>
      </c>
      <c r="Q746" s="802">
        <v>23820</v>
      </c>
      <c r="R746" s="802"/>
      <c r="S746" s="803">
        <v>1568102</v>
      </c>
      <c r="T746" s="804">
        <v>17983</v>
      </c>
      <c r="U746" s="804">
        <v>1586085</v>
      </c>
    </row>
    <row r="747" spans="1:21" x14ac:dyDescent="0.25">
      <c r="A747" s="799">
        <v>98102</v>
      </c>
      <c r="B747" s="800" t="s">
        <v>3361</v>
      </c>
      <c r="C747" s="801">
        <v>1.683E-4</v>
      </c>
      <c r="D747" s="801">
        <v>1.7259999999999999E-4</v>
      </c>
      <c r="E747" s="802">
        <v>69015</v>
      </c>
      <c r="F747" s="802">
        <v>77462</v>
      </c>
      <c r="G747" s="802">
        <v>357189</v>
      </c>
      <c r="H747" s="802"/>
      <c r="I747" s="803">
        <v>6711</v>
      </c>
      <c r="J747" s="803">
        <v>313011</v>
      </c>
      <c r="K747" s="803">
        <v>24464</v>
      </c>
      <c r="L747" s="802">
        <v>0</v>
      </c>
      <c r="M747" s="802"/>
      <c r="N747" s="803">
        <v>12516</v>
      </c>
      <c r="O747" s="803">
        <v>115531</v>
      </c>
      <c r="P747" s="803">
        <v>0</v>
      </c>
      <c r="Q747" s="802">
        <v>10404</v>
      </c>
      <c r="R747" s="802"/>
      <c r="S747" s="803">
        <v>95471</v>
      </c>
      <c r="T747" s="804">
        <v>-3682</v>
      </c>
      <c r="U747" s="804">
        <v>91789</v>
      </c>
    </row>
    <row r="748" spans="1:21" x14ac:dyDescent="0.25">
      <c r="A748" s="799">
        <v>98103</v>
      </c>
      <c r="B748" s="800" t="s">
        <v>3362</v>
      </c>
      <c r="C748" s="801">
        <v>5.3600000000000002E-4</v>
      </c>
      <c r="D748" s="801">
        <v>5.7140000000000001E-4</v>
      </c>
      <c r="E748" s="802">
        <v>233081</v>
      </c>
      <c r="F748" s="802">
        <v>256441</v>
      </c>
      <c r="G748" s="802">
        <v>1137571.56</v>
      </c>
      <c r="H748" s="802"/>
      <c r="I748" s="803">
        <v>21373</v>
      </c>
      <c r="J748" s="803">
        <v>996875</v>
      </c>
      <c r="K748" s="803">
        <v>77913</v>
      </c>
      <c r="L748" s="802">
        <v>0</v>
      </c>
      <c r="M748" s="802"/>
      <c r="N748" s="803">
        <v>39862</v>
      </c>
      <c r="O748" s="803">
        <v>367941</v>
      </c>
      <c r="P748" s="803">
        <v>0</v>
      </c>
      <c r="Q748" s="802">
        <v>46538</v>
      </c>
      <c r="R748" s="802"/>
      <c r="S748" s="803">
        <v>304056</v>
      </c>
      <c r="T748" s="804">
        <v>-19483</v>
      </c>
      <c r="U748" s="804">
        <v>284573</v>
      </c>
    </row>
    <row r="749" spans="1:21" x14ac:dyDescent="0.25">
      <c r="A749" s="799">
        <v>98107</v>
      </c>
      <c r="B749" s="800" t="s">
        <v>3363</v>
      </c>
      <c r="C749" s="801">
        <v>1.08E-5</v>
      </c>
      <c r="D749" s="801">
        <v>1.15E-5</v>
      </c>
      <c r="E749" s="802">
        <v>8652</v>
      </c>
      <c r="F749" s="802">
        <v>5161</v>
      </c>
      <c r="G749" s="802">
        <v>22921</v>
      </c>
      <c r="H749" s="802"/>
      <c r="I749" s="803">
        <v>430.65</v>
      </c>
      <c r="J749" s="803">
        <v>20086</v>
      </c>
      <c r="K749" s="803">
        <v>1570</v>
      </c>
      <c r="L749" s="802">
        <v>7420</v>
      </c>
      <c r="M749" s="802"/>
      <c r="N749" s="803">
        <v>803</v>
      </c>
      <c r="O749" s="803">
        <v>7414</v>
      </c>
      <c r="P749" s="803">
        <v>0</v>
      </c>
      <c r="Q749" s="802">
        <v>0</v>
      </c>
      <c r="R749" s="802"/>
      <c r="S749" s="803">
        <v>6127</v>
      </c>
      <c r="T749" s="804">
        <v>2610</v>
      </c>
      <c r="U749" s="804">
        <v>8737</v>
      </c>
    </row>
    <row r="750" spans="1:21" x14ac:dyDescent="0.25">
      <c r="A750" s="799">
        <v>98109</v>
      </c>
      <c r="B750" s="800" t="s">
        <v>3364</v>
      </c>
      <c r="C750" s="801">
        <v>1.4660000000000001E-4</v>
      </c>
      <c r="D750" s="801">
        <v>2.0680000000000001E-4</v>
      </c>
      <c r="E750" s="802">
        <v>66395.14</v>
      </c>
      <c r="F750" s="802">
        <v>92811</v>
      </c>
      <c r="G750" s="802">
        <v>311134</v>
      </c>
      <c r="H750" s="802"/>
      <c r="I750" s="803">
        <v>5846</v>
      </c>
      <c r="J750" s="803">
        <v>272653</v>
      </c>
      <c r="K750" s="803">
        <v>21310</v>
      </c>
      <c r="L750" s="802">
        <v>3018</v>
      </c>
      <c r="M750" s="802"/>
      <c r="N750" s="803">
        <v>10902</v>
      </c>
      <c r="O750" s="803">
        <v>100635</v>
      </c>
      <c r="P750" s="803">
        <v>0</v>
      </c>
      <c r="Q750" s="802">
        <v>35765</v>
      </c>
      <c r="R750" s="802"/>
      <c r="S750" s="803">
        <v>83162</v>
      </c>
      <c r="T750" s="804">
        <v>-10144</v>
      </c>
      <c r="U750" s="804">
        <v>73018</v>
      </c>
    </row>
    <row r="751" spans="1:21" x14ac:dyDescent="0.25">
      <c r="A751" s="799">
        <v>98111</v>
      </c>
      <c r="B751" s="800" t="s">
        <v>3365</v>
      </c>
      <c r="C751" s="801">
        <v>1.0191E-3</v>
      </c>
      <c r="D751" s="801">
        <v>1.0443E-3</v>
      </c>
      <c r="E751" s="802">
        <v>380231</v>
      </c>
      <c r="F751" s="802">
        <v>468676</v>
      </c>
      <c r="G751" s="802">
        <v>2162872</v>
      </c>
      <c r="H751" s="802"/>
      <c r="I751" s="803">
        <v>40637</v>
      </c>
      <c r="J751" s="803">
        <v>1895365</v>
      </c>
      <c r="K751" s="803">
        <v>148137</v>
      </c>
      <c r="L751" s="802">
        <v>0</v>
      </c>
      <c r="M751" s="802"/>
      <c r="N751" s="803">
        <v>75789</v>
      </c>
      <c r="O751" s="803">
        <v>699569</v>
      </c>
      <c r="P751" s="803">
        <v>0</v>
      </c>
      <c r="Q751" s="802">
        <v>50975</v>
      </c>
      <c r="R751" s="802"/>
      <c r="S751" s="803">
        <v>578104</v>
      </c>
      <c r="T751" s="804">
        <v>-14078</v>
      </c>
      <c r="U751" s="804">
        <v>564026</v>
      </c>
    </row>
    <row r="752" spans="1:21" x14ac:dyDescent="0.25">
      <c r="A752" s="799">
        <v>98113</v>
      </c>
      <c r="B752" s="800" t="s">
        <v>3366</v>
      </c>
      <c r="C752" s="801">
        <v>3.8999999999999999E-5</v>
      </c>
      <c r="D752" s="801">
        <v>4.1399999999999997E-5</v>
      </c>
      <c r="E752" s="802">
        <v>20070.23</v>
      </c>
      <c r="F752" s="802">
        <v>18580</v>
      </c>
      <c r="G752" s="802">
        <v>82771</v>
      </c>
      <c r="H752" s="802"/>
      <c r="I752" s="803">
        <v>1555.125</v>
      </c>
      <c r="J752" s="803">
        <v>72534</v>
      </c>
      <c r="K752" s="803">
        <v>5669</v>
      </c>
      <c r="L752" s="802">
        <v>8069</v>
      </c>
      <c r="M752" s="802"/>
      <c r="N752" s="803">
        <v>2900</v>
      </c>
      <c r="O752" s="803">
        <v>26772</v>
      </c>
      <c r="P752" s="803">
        <v>0</v>
      </c>
      <c r="Q752" s="802">
        <v>0</v>
      </c>
      <c r="R752" s="802"/>
      <c r="S752" s="803">
        <v>22123</v>
      </c>
      <c r="T752" s="804">
        <v>2983</v>
      </c>
      <c r="U752" s="804">
        <v>25107</v>
      </c>
    </row>
    <row r="753" spans="1:21" x14ac:dyDescent="0.25">
      <c r="A753" s="799">
        <v>98121</v>
      </c>
      <c r="B753" s="800" t="s">
        <v>3367</v>
      </c>
      <c r="C753" s="801">
        <v>2.2910000000000001E-4</v>
      </c>
      <c r="D753" s="801">
        <v>2.0689999999999999E-4</v>
      </c>
      <c r="E753" s="802">
        <v>79942.31</v>
      </c>
      <c r="F753" s="802">
        <v>92855</v>
      </c>
      <c r="G753" s="802">
        <v>486227</v>
      </c>
      <c r="H753" s="802"/>
      <c r="I753" s="803">
        <v>9135</v>
      </c>
      <c r="J753" s="803">
        <v>426090</v>
      </c>
      <c r="K753" s="803">
        <v>33302</v>
      </c>
      <c r="L753" s="802">
        <v>3951</v>
      </c>
      <c r="M753" s="802"/>
      <c r="N753" s="803">
        <v>17038</v>
      </c>
      <c r="O753" s="803">
        <v>157268</v>
      </c>
      <c r="P753" s="803">
        <v>0</v>
      </c>
      <c r="Q753" s="802">
        <v>6313</v>
      </c>
      <c r="R753" s="802"/>
      <c r="S753" s="803">
        <v>129961</v>
      </c>
      <c r="T753" s="804">
        <v>-421</v>
      </c>
      <c r="U753" s="804">
        <v>129540</v>
      </c>
    </row>
    <row r="754" spans="1:21" x14ac:dyDescent="0.25">
      <c r="A754" s="799">
        <v>98131</v>
      </c>
      <c r="B754" s="800" t="s">
        <v>3368</v>
      </c>
      <c r="C754" s="801">
        <v>2.9569999999999998E-4</v>
      </c>
      <c r="D754" s="801">
        <v>3.0610000000000001E-4</v>
      </c>
      <c r="E754" s="802">
        <v>112056</v>
      </c>
      <c r="F754" s="802">
        <v>137376</v>
      </c>
      <c r="G754" s="802">
        <v>627574</v>
      </c>
      <c r="H754" s="802"/>
      <c r="I754" s="803">
        <v>11791</v>
      </c>
      <c r="J754" s="803">
        <v>549955</v>
      </c>
      <c r="K754" s="803">
        <v>42983</v>
      </c>
      <c r="L754" s="802">
        <v>0</v>
      </c>
      <c r="M754" s="802"/>
      <c r="N754" s="803">
        <v>21991</v>
      </c>
      <c r="O754" s="803">
        <v>202986</v>
      </c>
      <c r="P754" s="803">
        <v>0</v>
      </c>
      <c r="Q754" s="802">
        <v>44899</v>
      </c>
      <c r="R754" s="802"/>
      <c r="S754" s="803">
        <v>167741</v>
      </c>
      <c r="T754" s="804">
        <v>-17153</v>
      </c>
      <c r="U754" s="804">
        <v>150589</v>
      </c>
    </row>
    <row r="755" spans="1:21" x14ac:dyDescent="0.25">
      <c r="A755" s="799">
        <v>98141</v>
      </c>
      <c r="B755" s="800" t="s">
        <v>3369</v>
      </c>
      <c r="C755" s="801">
        <v>2.9030000000000001E-4</v>
      </c>
      <c r="D755" s="801">
        <v>3.033E-4</v>
      </c>
      <c r="E755" s="802">
        <v>104128</v>
      </c>
      <c r="F755" s="802">
        <v>136119</v>
      </c>
      <c r="G755" s="802">
        <v>616114</v>
      </c>
      <c r="H755" s="802"/>
      <c r="I755" s="803">
        <v>11576</v>
      </c>
      <c r="J755" s="803">
        <v>539912</v>
      </c>
      <c r="K755" s="803">
        <v>42198</v>
      </c>
      <c r="L755" s="802">
        <v>1495</v>
      </c>
      <c r="M755" s="802"/>
      <c r="N755" s="803">
        <v>21589</v>
      </c>
      <c r="O755" s="803">
        <v>199279</v>
      </c>
      <c r="P755" s="803">
        <v>0</v>
      </c>
      <c r="Q755" s="802">
        <v>35601</v>
      </c>
      <c r="R755" s="802"/>
      <c r="S755" s="803">
        <v>164678</v>
      </c>
      <c r="T755" s="804">
        <v>-12695</v>
      </c>
      <c r="U755" s="804">
        <v>151983</v>
      </c>
    </row>
    <row r="756" spans="1:21" x14ac:dyDescent="0.25">
      <c r="A756" s="799">
        <v>98147</v>
      </c>
      <c r="B756" s="800" t="s">
        <v>3370</v>
      </c>
      <c r="C756" s="801">
        <v>1.29E-5</v>
      </c>
      <c r="D756" s="801">
        <v>1.03E-5</v>
      </c>
      <c r="E756" s="802">
        <v>8826</v>
      </c>
      <c r="F756" s="802">
        <v>4623</v>
      </c>
      <c r="G756" s="802">
        <v>27378</v>
      </c>
      <c r="H756" s="802"/>
      <c r="I756" s="803">
        <v>514</v>
      </c>
      <c r="J756" s="803">
        <v>23992</v>
      </c>
      <c r="K756" s="803">
        <v>1875</v>
      </c>
      <c r="L756" s="802">
        <v>7556</v>
      </c>
      <c r="M756" s="802"/>
      <c r="N756" s="803">
        <v>959</v>
      </c>
      <c r="O756" s="803">
        <v>8855</v>
      </c>
      <c r="P756" s="803">
        <v>0</v>
      </c>
      <c r="Q756" s="802">
        <v>0</v>
      </c>
      <c r="R756" s="802"/>
      <c r="S756" s="803">
        <v>7318</v>
      </c>
      <c r="T756" s="804">
        <v>2501</v>
      </c>
      <c r="U756" s="804">
        <v>9819</v>
      </c>
    </row>
    <row r="757" spans="1:21" x14ac:dyDescent="0.25">
      <c r="A757" s="799">
        <v>98161</v>
      </c>
      <c r="B757" s="800" t="s">
        <v>3371</v>
      </c>
      <c r="C757" s="801">
        <v>7.4000000000000003E-6</v>
      </c>
      <c r="D757" s="801">
        <v>7.6000000000000001E-6</v>
      </c>
      <c r="E757" s="802">
        <v>4425</v>
      </c>
      <c r="F757" s="802">
        <v>3411</v>
      </c>
      <c r="G757" s="802">
        <v>15705</v>
      </c>
      <c r="H757" s="802"/>
      <c r="I757" s="803">
        <v>295.07499999999999</v>
      </c>
      <c r="J757" s="803">
        <v>13763</v>
      </c>
      <c r="K757" s="803">
        <v>1076</v>
      </c>
      <c r="L757" s="802">
        <v>2152</v>
      </c>
      <c r="M757" s="802"/>
      <c r="N757" s="803">
        <v>550</v>
      </c>
      <c r="O757" s="803">
        <v>5080</v>
      </c>
      <c r="P757" s="803">
        <v>0</v>
      </c>
      <c r="Q757" s="802">
        <v>0</v>
      </c>
      <c r="R757" s="802"/>
      <c r="S757" s="803">
        <v>4198</v>
      </c>
      <c r="T757" s="804">
        <v>752</v>
      </c>
      <c r="U757" s="804">
        <v>4950</v>
      </c>
    </row>
    <row r="758" spans="1:21" x14ac:dyDescent="0.25">
      <c r="A758" s="799">
        <v>98201</v>
      </c>
      <c r="B758" s="800" t="s">
        <v>3372</v>
      </c>
      <c r="C758" s="801">
        <v>3.0368999999999999E-3</v>
      </c>
      <c r="D758" s="801">
        <v>3.0019999999999999E-3</v>
      </c>
      <c r="E758" s="802">
        <v>1202574.5</v>
      </c>
      <c r="F758" s="802">
        <v>1347280</v>
      </c>
      <c r="G758" s="802">
        <v>6445319</v>
      </c>
      <c r="H758" s="802"/>
      <c r="I758" s="803">
        <v>121096</v>
      </c>
      <c r="J758" s="803">
        <v>5648154</v>
      </c>
      <c r="K758" s="803">
        <v>441447</v>
      </c>
      <c r="L758" s="802">
        <v>0</v>
      </c>
      <c r="M758" s="802"/>
      <c r="N758" s="803">
        <v>225851</v>
      </c>
      <c r="O758" s="803">
        <v>2084704</v>
      </c>
      <c r="P758" s="803">
        <v>0</v>
      </c>
      <c r="Q758" s="802">
        <v>60876</v>
      </c>
      <c r="R758" s="802"/>
      <c r="S758" s="803">
        <v>1722739</v>
      </c>
      <c r="T758" s="804">
        <v>-21268</v>
      </c>
      <c r="U758" s="804">
        <v>1701471</v>
      </c>
    </row>
    <row r="759" spans="1:21" x14ac:dyDescent="0.25">
      <c r="A759" s="799">
        <v>98205</v>
      </c>
      <c r="B759" s="800" t="s">
        <v>3373</v>
      </c>
      <c r="C759" s="801">
        <v>5.13E-5</v>
      </c>
      <c r="D759" s="801">
        <v>5.02E-5</v>
      </c>
      <c r="E759" s="802">
        <v>23400</v>
      </c>
      <c r="F759" s="802">
        <v>22529</v>
      </c>
      <c r="G759" s="802">
        <v>108876</v>
      </c>
      <c r="H759" s="802"/>
      <c r="I759" s="803">
        <v>2046</v>
      </c>
      <c r="J759" s="803">
        <v>95410</v>
      </c>
      <c r="K759" s="803">
        <v>7457</v>
      </c>
      <c r="L759" s="802">
        <v>2803</v>
      </c>
      <c r="M759" s="802"/>
      <c r="N759" s="803">
        <v>3815</v>
      </c>
      <c r="O759" s="803">
        <v>35215</v>
      </c>
      <c r="P759" s="803">
        <v>0</v>
      </c>
      <c r="Q759" s="802">
        <v>1718</v>
      </c>
      <c r="R759" s="802"/>
      <c r="S759" s="803">
        <v>29101</v>
      </c>
      <c r="T759" s="804">
        <v>209</v>
      </c>
      <c r="U759" s="804">
        <v>29310</v>
      </c>
    </row>
    <row r="760" spans="1:21" x14ac:dyDescent="0.25">
      <c r="A760" s="799">
        <v>98211</v>
      </c>
      <c r="B760" s="800" t="s">
        <v>3374</v>
      </c>
      <c r="C760" s="801">
        <v>9.1609999999999999E-4</v>
      </c>
      <c r="D760" s="801">
        <v>9.4729999999999999E-4</v>
      </c>
      <c r="E760" s="802">
        <v>316266.55</v>
      </c>
      <c r="F760" s="802">
        <v>425143</v>
      </c>
      <c r="G760" s="802">
        <v>1944271</v>
      </c>
      <c r="H760" s="802"/>
      <c r="I760" s="803">
        <v>36529</v>
      </c>
      <c r="J760" s="803">
        <v>1703801</v>
      </c>
      <c r="K760" s="803">
        <v>133165</v>
      </c>
      <c r="L760" s="802">
        <v>0</v>
      </c>
      <c r="M760" s="802"/>
      <c r="N760" s="803">
        <v>68129</v>
      </c>
      <c r="O760" s="803">
        <v>628864</v>
      </c>
      <c r="P760" s="803">
        <v>0</v>
      </c>
      <c r="Q760" s="802">
        <v>112970</v>
      </c>
      <c r="R760" s="802"/>
      <c r="S760" s="803">
        <v>519675</v>
      </c>
      <c r="T760" s="804">
        <v>-35337</v>
      </c>
      <c r="U760" s="804">
        <v>484338</v>
      </c>
    </row>
    <row r="761" spans="1:21" x14ac:dyDescent="0.25">
      <c r="A761" s="799">
        <v>98218</v>
      </c>
      <c r="B761" s="800" t="s">
        <v>3375</v>
      </c>
      <c r="C761" s="801">
        <v>1.0200000000000001E-5</v>
      </c>
      <c r="D761" s="801">
        <v>1.08E-5</v>
      </c>
      <c r="E761" s="802">
        <v>4407.67</v>
      </c>
      <c r="F761" s="802">
        <v>4847</v>
      </c>
      <c r="G761" s="802">
        <v>21648</v>
      </c>
      <c r="H761" s="802"/>
      <c r="I761" s="803">
        <v>406.72500000000002</v>
      </c>
      <c r="J761" s="803">
        <v>18970</v>
      </c>
      <c r="K761" s="803">
        <v>1483</v>
      </c>
      <c r="L761" s="802">
        <v>0</v>
      </c>
      <c r="M761" s="802"/>
      <c r="N761" s="803">
        <v>759</v>
      </c>
      <c r="O761" s="803">
        <v>7002</v>
      </c>
      <c r="P761" s="803">
        <v>0</v>
      </c>
      <c r="Q761" s="802">
        <v>1864</v>
      </c>
      <c r="R761" s="802"/>
      <c r="S761" s="803">
        <v>5786</v>
      </c>
      <c r="T761" s="804">
        <v>-792</v>
      </c>
      <c r="U761" s="804">
        <v>4994</v>
      </c>
    </row>
    <row r="762" spans="1:21" x14ac:dyDescent="0.25">
      <c r="A762" s="799">
        <v>98221</v>
      </c>
      <c r="B762" s="800" t="s">
        <v>3376</v>
      </c>
      <c r="C762" s="801">
        <v>1.6799999999999998E-5</v>
      </c>
      <c r="D762" s="801">
        <v>1.5999999999999999E-5</v>
      </c>
      <c r="E762" s="802">
        <v>9584.15</v>
      </c>
      <c r="F762" s="802">
        <v>7181</v>
      </c>
      <c r="G762" s="802">
        <v>35655</v>
      </c>
      <c r="H762" s="802"/>
      <c r="I762" s="803">
        <v>669.9</v>
      </c>
      <c r="J762" s="803">
        <v>31245</v>
      </c>
      <c r="K762" s="803">
        <v>2442</v>
      </c>
      <c r="L762" s="802">
        <v>3240</v>
      </c>
      <c r="M762" s="802"/>
      <c r="N762" s="803">
        <v>1249</v>
      </c>
      <c r="O762" s="803">
        <v>11532</v>
      </c>
      <c r="P762" s="803">
        <v>0</v>
      </c>
      <c r="Q762" s="802">
        <v>0</v>
      </c>
      <c r="R762" s="802"/>
      <c r="S762" s="803">
        <v>9530</v>
      </c>
      <c r="T762" s="804">
        <v>905</v>
      </c>
      <c r="U762" s="804">
        <v>10435</v>
      </c>
    </row>
    <row r="763" spans="1:21" x14ac:dyDescent="0.25">
      <c r="A763" s="799">
        <v>98231</v>
      </c>
      <c r="B763" s="800" t="s">
        <v>3377</v>
      </c>
      <c r="C763" s="801">
        <v>3.1999999999999999E-5</v>
      </c>
      <c r="D763" s="801">
        <v>3.7400000000000001E-5</v>
      </c>
      <c r="E763" s="802">
        <v>13931.16</v>
      </c>
      <c r="F763" s="802">
        <v>16785</v>
      </c>
      <c r="G763" s="802">
        <v>67914.720000000001</v>
      </c>
      <c r="H763" s="802"/>
      <c r="I763" s="803">
        <v>1276</v>
      </c>
      <c r="J763" s="803">
        <v>59515</v>
      </c>
      <c r="K763" s="803">
        <v>4652</v>
      </c>
      <c r="L763" s="802">
        <v>2641</v>
      </c>
      <c r="M763" s="802"/>
      <c r="N763" s="803">
        <v>2380</v>
      </c>
      <c r="O763" s="803">
        <v>21967</v>
      </c>
      <c r="P763" s="803">
        <v>0</v>
      </c>
      <c r="Q763" s="802">
        <v>7471</v>
      </c>
      <c r="R763" s="802"/>
      <c r="S763" s="803">
        <v>18153</v>
      </c>
      <c r="T763" s="804">
        <v>-2254</v>
      </c>
      <c r="U763" s="804">
        <v>15898</v>
      </c>
    </row>
    <row r="764" spans="1:21" x14ac:dyDescent="0.25">
      <c r="A764" s="799">
        <v>98237</v>
      </c>
      <c r="B764" s="800" t="s">
        <v>3378</v>
      </c>
      <c r="C764" s="801">
        <v>2.7E-6</v>
      </c>
      <c r="D764" s="801">
        <v>2.9000000000000002E-6</v>
      </c>
      <c r="E764" s="802">
        <v>2767</v>
      </c>
      <c r="F764" s="802">
        <v>1302</v>
      </c>
      <c r="G764" s="802">
        <v>5730</v>
      </c>
      <c r="H764" s="802"/>
      <c r="I764" s="803">
        <v>107.66249999999999</v>
      </c>
      <c r="J764" s="803">
        <v>5022</v>
      </c>
      <c r="K764" s="803">
        <v>392</v>
      </c>
      <c r="L764" s="802">
        <v>2342</v>
      </c>
      <c r="M764" s="802"/>
      <c r="N764" s="803">
        <v>201</v>
      </c>
      <c r="O764" s="803">
        <v>1853</v>
      </c>
      <c r="P764" s="803">
        <v>0</v>
      </c>
      <c r="Q764" s="802">
        <v>0</v>
      </c>
      <c r="R764" s="802"/>
      <c r="S764" s="803">
        <v>1532</v>
      </c>
      <c r="T764" s="804">
        <v>795</v>
      </c>
      <c r="U764" s="804">
        <v>2326</v>
      </c>
    </row>
    <row r="765" spans="1:21" x14ac:dyDescent="0.25">
      <c r="A765" s="799">
        <v>98241</v>
      </c>
      <c r="B765" s="800" t="s">
        <v>3379</v>
      </c>
      <c r="C765" s="801">
        <v>1.98E-5</v>
      </c>
      <c r="D765" s="801">
        <v>1.0200000000000001E-5</v>
      </c>
      <c r="E765" s="802">
        <v>7741</v>
      </c>
      <c r="F765" s="802">
        <v>4578</v>
      </c>
      <c r="G765" s="802">
        <v>42022</v>
      </c>
      <c r="H765" s="802"/>
      <c r="I765" s="803">
        <v>789.52499999999998</v>
      </c>
      <c r="J765" s="803">
        <v>36825</v>
      </c>
      <c r="K765" s="803">
        <v>2878</v>
      </c>
      <c r="L765" s="802">
        <v>8690</v>
      </c>
      <c r="M765" s="802"/>
      <c r="N765" s="803">
        <v>1473</v>
      </c>
      <c r="O765" s="803">
        <v>13592</v>
      </c>
      <c r="P765" s="803">
        <v>0</v>
      </c>
      <c r="Q765" s="802">
        <v>331</v>
      </c>
      <c r="R765" s="802"/>
      <c r="S765" s="803">
        <v>11232</v>
      </c>
      <c r="T765" s="804">
        <v>3061</v>
      </c>
      <c r="U765" s="804">
        <v>14293</v>
      </c>
    </row>
    <row r="766" spans="1:21" x14ac:dyDescent="0.25">
      <c r="A766" s="799">
        <v>98251</v>
      </c>
      <c r="B766" s="800" t="s">
        <v>3380</v>
      </c>
      <c r="C766" s="801">
        <v>3.1E-6</v>
      </c>
      <c r="D766" s="801">
        <v>3.1E-6</v>
      </c>
      <c r="E766" s="802">
        <v>1870</v>
      </c>
      <c r="F766" s="802">
        <v>1391</v>
      </c>
      <c r="G766" s="802">
        <v>6579</v>
      </c>
      <c r="H766" s="802"/>
      <c r="I766" s="803">
        <v>123.6125</v>
      </c>
      <c r="J766" s="803">
        <v>5766</v>
      </c>
      <c r="K766" s="803">
        <v>451</v>
      </c>
      <c r="L766" s="802">
        <v>1191</v>
      </c>
      <c r="M766" s="802"/>
      <c r="N766" s="803">
        <v>231</v>
      </c>
      <c r="O766" s="803">
        <v>2128</v>
      </c>
      <c r="P766" s="803">
        <v>0</v>
      </c>
      <c r="Q766" s="802">
        <v>0</v>
      </c>
      <c r="R766" s="802"/>
      <c r="S766" s="803">
        <v>1759</v>
      </c>
      <c r="T766" s="804">
        <v>412</v>
      </c>
      <c r="U766" s="804">
        <v>2171</v>
      </c>
    </row>
    <row r="767" spans="1:21" x14ac:dyDescent="0.25">
      <c r="A767" s="799">
        <v>98261</v>
      </c>
      <c r="B767" s="800" t="s">
        <v>3381</v>
      </c>
      <c r="C767" s="801">
        <v>2.97E-5</v>
      </c>
      <c r="D767" s="801">
        <v>4.3099999999999997E-5</v>
      </c>
      <c r="E767" s="802">
        <v>12989.23</v>
      </c>
      <c r="F767" s="802">
        <v>19343</v>
      </c>
      <c r="G767" s="802">
        <v>63033</v>
      </c>
      <c r="H767" s="802"/>
      <c r="I767" s="803">
        <v>1184</v>
      </c>
      <c r="J767" s="803">
        <v>55237</v>
      </c>
      <c r="K767" s="803">
        <v>4317</v>
      </c>
      <c r="L767" s="802">
        <v>4504</v>
      </c>
      <c r="M767" s="802"/>
      <c r="N767" s="803">
        <v>2209</v>
      </c>
      <c r="O767" s="803">
        <v>20388</v>
      </c>
      <c r="P767" s="803">
        <v>0</v>
      </c>
      <c r="Q767" s="802">
        <v>6643</v>
      </c>
      <c r="R767" s="802"/>
      <c r="S767" s="803">
        <v>16848</v>
      </c>
      <c r="T767" s="804">
        <v>-118</v>
      </c>
      <c r="U767" s="804">
        <v>16730</v>
      </c>
    </row>
    <row r="768" spans="1:21" x14ac:dyDescent="0.25">
      <c r="A768" s="799">
        <v>98271</v>
      </c>
      <c r="B768" s="800" t="s">
        <v>3382</v>
      </c>
      <c r="C768" s="801">
        <v>4.5000000000000001E-6</v>
      </c>
      <c r="D768" s="801">
        <v>3.4000000000000001E-6</v>
      </c>
      <c r="E768" s="802">
        <v>3055</v>
      </c>
      <c r="F768" s="802">
        <v>1526</v>
      </c>
      <c r="G768" s="802">
        <v>9551</v>
      </c>
      <c r="H768" s="802"/>
      <c r="I768" s="803">
        <v>179.4375</v>
      </c>
      <c r="J768" s="803">
        <v>8369</v>
      </c>
      <c r="K768" s="803">
        <v>654</v>
      </c>
      <c r="L768" s="802">
        <v>3951</v>
      </c>
      <c r="M768" s="802"/>
      <c r="N768" s="803">
        <v>335</v>
      </c>
      <c r="O768" s="803">
        <v>3089</v>
      </c>
      <c r="P768" s="803">
        <v>0</v>
      </c>
      <c r="Q768" s="802">
        <v>0</v>
      </c>
      <c r="R768" s="802"/>
      <c r="S768" s="803">
        <v>2553</v>
      </c>
      <c r="T768" s="804">
        <v>1392</v>
      </c>
      <c r="U768" s="804">
        <v>3945</v>
      </c>
    </row>
    <row r="769" spans="1:21" x14ac:dyDescent="0.25">
      <c r="A769" s="799">
        <v>98301</v>
      </c>
      <c r="B769" s="800" t="s">
        <v>3383</v>
      </c>
      <c r="C769" s="801">
        <v>1.7776999999999999E-3</v>
      </c>
      <c r="D769" s="801">
        <v>1.7478999999999999E-3</v>
      </c>
      <c r="E769" s="802">
        <v>735954</v>
      </c>
      <c r="F769" s="802">
        <v>784447</v>
      </c>
      <c r="G769" s="802">
        <v>3772875</v>
      </c>
      <c r="H769" s="802"/>
      <c r="I769" s="803">
        <v>70886</v>
      </c>
      <c r="J769" s="803">
        <v>3306241</v>
      </c>
      <c r="K769" s="803">
        <v>258408</v>
      </c>
      <c r="L769" s="802">
        <v>76085</v>
      </c>
      <c r="M769" s="802"/>
      <c r="N769" s="803">
        <v>132206</v>
      </c>
      <c r="O769" s="803">
        <v>1220316</v>
      </c>
      <c r="P769" s="803">
        <v>0</v>
      </c>
      <c r="Q769" s="802">
        <v>15711</v>
      </c>
      <c r="R769" s="802"/>
      <c r="S769" s="803">
        <v>1008434</v>
      </c>
      <c r="T769" s="804">
        <v>17172</v>
      </c>
      <c r="U769" s="804">
        <v>1025606</v>
      </c>
    </row>
    <row r="770" spans="1:21" x14ac:dyDescent="0.25">
      <c r="A770" s="799">
        <v>98304</v>
      </c>
      <c r="B770" s="800" t="s">
        <v>3384</v>
      </c>
      <c r="C770" s="801">
        <v>2.2900000000000001E-5</v>
      </c>
      <c r="D770" s="801">
        <v>2.4499999999999999E-5</v>
      </c>
      <c r="E770" s="802">
        <v>11386</v>
      </c>
      <c r="F770" s="802">
        <v>10995</v>
      </c>
      <c r="G770" s="802">
        <v>48601</v>
      </c>
      <c r="H770" s="802"/>
      <c r="I770" s="803">
        <v>913.13750000000005</v>
      </c>
      <c r="J770" s="803">
        <v>42590</v>
      </c>
      <c r="K770" s="803">
        <v>3329</v>
      </c>
      <c r="L770" s="802">
        <v>1590</v>
      </c>
      <c r="M770" s="802"/>
      <c r="N770" s="803">
        <v>1703</v>
      </c>
      <c r="O770" s="803">
        <v>15720</v>
      </c>
      <c r="P770" s="803">
        <v>0</v>
      </c>
      <c r="Q770" s="802">
        <v>0</v>
      </c>
      <c r="R770" s="802"/>
      <c r="S770" s="803">
        <v>12990</v>
      </c>
      <c r="T770" s="804">
        <v>514</v>
      </c>
      <c r="U770" s="804">
        <v>13504</v>
      </c>
    </row>
    <row r="771" spans="1:21" x14ac:dyDescent="0.25">
      <c r="A771" s="799">
        <v>98308</v>
      </c>
      <c r="B771" s="800" t="s">
        <v>3385</v>
      </c>
      <c r="C771" s="801">
        <v>2.55E-5</v>
      </c>
      <c r="D771" s="801">
        <v>2.5000000000000001E-5</v>
      </c>
      <c r="E771" s="802">
        <v>13855</v>
      </c>
      <c r="F771" s="802">
        <v>11219.85</v>
      </c>
      <c r="G771" s="802">
        <v>54120</v>
      </c>
      <c r="H771" s="802"/>
      <c r="I771" s="803">
        <v>1016.8125</v>
      </c>
      <c r="J771" s="803">
        <v>47426</v>
      </c>
      <c r="K771" s="803">
        <v>3707</v>
      </c>
      <c r="L771" s="802">
        <v>7689</v>
      </c>
      <c r="M771" s="802"/>
      <c r="N771" s="803">
        <v>1896</v>
      </c>
      <c r="O771" s="803">
        <v>17505</v>
      </c>
      <c r="P771" s="803">
        <v>0</v>
      </c>
      <c r="Q771" s="802">
        <v>0</v>
      </c>
      <c r="R771" s="802"/>
      <c r="S771" s="803">
        <v>14465</v>
      </c>
      <c r="T771" s="804">
        <v>2796</v>
      </c>
      <c r="U771" s="804">
        <v>17261</v>
      </c>
    </row>
    <row r="772" spans="1:21" x14ac:dyDescent="0.25">
      <c r="A772" s="799">
        <v>98311</v>
      </c>
      <c r="B772" s="800" t="s">
        <v>3386</v>
      </c>
      <c r="C772" s="801">
        <v>1.1441999999999999E-3</v>
      </c>
      <c r="D772" s="801">
        <v>1.1704E-3</v>
      </c>
      <c r="E772" s="802">
        <v>413994</v>
      </c>
      <c r="F772" s="802">
        <v>525268</v>
      </c>
      <c r="G772" s="802">
        <v>2428376</v>
      </c>
      <c r="H772" s="802"/>
      <c r="I772" s="803">
        <v>45625</v>
      </c>
      <c r="J772" s="803">
        <v>2128031</v>
      </c>
      <c r="K772" s="803">
        <v>166322</v>
      </c>
      <c r="L772" s="802">
        <v>25434</v>
      </c>
      <c r="M772" s="802"/>
      <c r="N772" s="803">
        <v>85093</v>
      </c>
      <c r="O772" s="803">
        <v>785445</v>
      </c>
      <c r="P772" s="803">
        <v>0</v>
      </c>
      <c r="Q772" s="802">
        <v>70361</v>
      </c>
      <c r="R772" s="802"/>
      <c r="S772" s="803">
        <v>649069</v>
      </c>
      <c r="T772" s="804">
        <v>-6523</v>
      </c>
      <c r="U772" s="804">
        <v>642547</v>
      </c>
    </row>
    <row r="773" spans="1:21" x14ac:dyDescent="0.25">
      <c r="A773" s="799">
        <v>98313</v>
      </c>
      <c r="B773" s="800" t="s">
        <v>3387</v>
      </c>
      <c r="C773" s="801">
        <v>2.4240000000000001E-4</v>
      </c>
      <c r="D773" s="801">
        <v>2.3589999999999999E-4</v>
      </c>
      <c r="E773" s="802">
        <v>227095.51</v>
      </c>
      <c r="F773" s="802">
        <v>105871</v>
      </c>
      <c r="G773" s="802">
        <v>514454</v>
      </c>
      <c r="H773" s="802"/>
      <c r="I773" s="803">
        <v>9666</v>
      </c>
      <c r="J773" s="803">
        <v>450826</v>
      </c>
      <c r="K773" s="803">
        <v>35236</v>
      </c>
      <c r="L773" s="802">
        <v>166298</v>
      </c>
      <c r="M773" s="802"/>
      <c r="N773" s="803">
        <v>18027</v>
      </c>
      <c r="O773" s="803">
        <v>166397</v>
      </c>
      <c r="P773" s="803">
        <v>0</v>
      </c>
      <c r="Q773" s="802">
        <v>119.4</v>
      </c>
      <c r="R773" s="802"/>
      <c r="S773" s="803">
        <v>137506</v>
      </c>
      <c r="T773" s="804">
        <v>48906</v>
      </c>
      <c r="U773" s="804">
        <v>186412</v>
      </c>
    </row>
    <row r="774" spans="1:21" x14ac:dyDescent="0.25">
      <c r="A774" s="799">
        <v>98321</v>
      </c>
      <c r="B774" s="800" t="s">
        <v>3388</v>
      </c>
      <c r="C774" s="801">
        <v>2.1399999999999998E-5</v>
      </c>
      <c r="D774" s="801">
        <v>2.9E-5</v>
      </c>
      <c r="E774" s="802">
        <v>9180.25</v>
      </c>
      <c r="F774" s="802">
        <v>13015</v>
      </c>
      <c r="G774" s="802">
        <v>45418</v>
      </c>
      <c r="H774" s="802"/>
      <c r="I774" s="803">
        <v>853</v>
      </c>
      <c r="J774" s="803">
        <v>39801</v>
      </c>
      <c r="K774" s="803">
        <v>3111</v>
      </c>
      <c r="L774" s="802">
        <v>3126</v>
      </c>
      <c r="M774" s="802"/>
      <c r="N774" s="803">
        <v>1591</v>
      </c>
      <c r="O774" s="803">
        <v>14690</v>
      </c>
      <c r="P774" s="803">
        <v>0</v>
      </c>
      <c r="Q774" s="802">
        <v>4186</v>
      </c>
      <c r="R774" s="802"/>
      <c r="S774" s="803">
        <v>12140</v>
      </c>
      <c r="T774" s="804">
        <v>451</v>
      </c>
      <c r="U774" s="804">
        <v>12591</v>
      </c>
    </row>
    <row r="775" spans="1:21" x14ac:dyDescent="0.25">
      <c r="A775" s="799">
        <v>98331</v>
      </c>
      <c r="B775" s="800" t="s">
        <v>3389</v>
      </c>
      <c r="C775" s="801">
        <v>1.03E-5</v>
      </c>
      <c r="D775" s="801">
        <v>9.7999999999999993E-6</v>
      </c>
      <c r="E775" s="802">
        <v>5903.22</v>
      </c>
      <c r="F775" s="802">
        <v>4398</v>
      </c>
      <c r="G775" s="802">
        <v>21860</v>
      </c>
      <c r="H775" s="802"/>
      <c r="I775" s="803">
        <v>410.71249999999998</v>
      </c>
      <c r="J775" s="803">
        <v>19156</v>
      </c>
      <c r="K775" s="803">
        <v>1497</v>
      </c>
      <c r="L775" s="802">
        <v>2778</v>
      </c>
      <c r="M775" s="802"/>
      <c r="N775" s="803">
        <v>766</v>
      </c>
      <c r="O775" s="803">
        <v>7071</v>
      </c>
      <c r="P775" s="803">
        <v>0</v>
      </c>
      <c r="Q775" s="802">
        <v>264.67</v>
      </c>
      <c r="R775" s="802"/>
      <c r="S775" s="803">
        <v>5843</v>
      </c>
      <c r="T775" s="804">
        <v>700</v>
      </c>
      <c r="U775" s="804">
        <v>6542</v>
      </c>
    </row>
    <row r="776" spans="1:21" x14ac:dyDescent="0.25">
      <c r="A776" s="799">
        <v>98401</v>
      </c>
      <c r="B776" s="800" t="s">
        <v>3390</v>
      </c>
      <c r="C776" s="801">
        <v>2.7567999999999998E-3</v>
      </c>
      <c r="D776" s="801">
        <v>2.8057999999999998E-3</v>
      </c>
      <c r="E776" s="802">
        <v>1156444.24</v>
      </c>
      <c r="F776" s="802">
        <v>1259226</v>
      </c>
      <c r="G776" s="802">
        <v>5850853</v>
      </c>
      <c r="H776" s="802"/>
      <c r="I776" s="803">
        <v>109927.4</v>
      </c>
      <c r="J776" s="803">
        <v>5127212</v>
      </c>
      <c r="K776" s="803">
        <v>400731</v>
      </c>
      <c r="L776" s="802">
        <v>92083</v>
      </c>
      <c r="M776" s="802"/>
      <c r="N776" s="803">
        <v>205020</v>
      </c>
      <c r="O776" s="803">
        <v>1892427</v>
      </c>
      <c r="P776" s="803">
        <v>0</v>
      </c>
      <c r="Q776" s="802">
        <v>8491</v>
      </c>
      <c r="R776" s="802"/>
      <c r="S776" s="803">
        <v>1563847</v>
      </c>
      <c r="T776" s="804">
        <v>31358</v>
      </c>
      <c r="U776" s="804">
        <v>1595205</v>
      </c>
    </row>
    <row r="777" spans="1:21" x14ac:dyDescent="0.25">
      <c r="A777" s="799">
        <v>98411</v>
      </c>
      <c r="B777" s="800" t="s">
        <v>3391</v>
      </c>
      <c r="C777" s="801">
        <v>2.0076999999999998E-3</v>
      </c>
      <c r="D777" s="801">
        <v>1.9907000000000002E-3</v>
      </c>
      <c r="E777" s="802">
        <v>792048.89</v>
      </c>
      <c r="F777" s="802">
        <v>893414</v>
      </c>
      <c r="G777" s="802">
        <v>4261012</v>
      </c>
      <c r="H777" s="802"/>
      <c r="I777" s="803">
        <v>80057</v>
      </c>
      <c r="J777" s="803">
        <v>3734005</v>
      </c>
      <c r="K777" s="803">
        <v>291841</v>
      </c>
      <c r="L777" s="802">
        <v>8012</v>
      </c>
      <c r="M777" s="802"/>
      <c r="N777" s="803">
        <v>149311</v>
      </c>
      <c r="O777" s="803">
        <v>1378202</v>
      </c>
      <c r="P777" s="803">
        <v>0</v>
      </c>
      <c r="Q777" s="802">
        <v>35211</v>
      </c>
      <c r="R777" s="802"/>
      <c r="S777" s="803">
        <v>1138906</v>
      </c>
      <c r="T777" s="804">
        <v>-6790</v>
      </c>
      <c r="U777" s="804">
        <v>1132116</v>
      </c>
    </row>
    <row r="778" spans="1:21" x14ac:dyDescent="0.25">
      <c r="A778" s="799">
        <v>98417</v>
      </c>
      <c r="B778" s="800" t="s">
        <v>3392</v>
      </c>
      <c r="C778" s="801">
        <v>2.4899999999999999E-5</v>
      </c>
      <c r="D778" s="801">
        <v>2.6400000000000001E-5</v>
      </c>
      <c r="E778" s="802">
        <v>12734.51</v>
      </c>
      <c r="F778" s="802">
        <v>11848</v>
      </c>
      <c r="G778" s="802">
        <v>52846</v>
      </c>
      <c r="H778" s="802"/>
      <c r="I778" s="803">
        <v>993</v>
      </c>
      <c r="J778" s="803">
        <v>46310</v>
      </c>
      <c r="K778" s="803">
        <v>3619</v>
      </c>
      <c r="L778" s="802">
        <v>1318</v>
      </c>
      <c r="M778" s="802"/>
      <c r="N778" s="803">
        <v>1852</v>
      </c>
      <c r="O778" s="803">
        <v>17093</v>
      </c>
      <c r="P778" s="803">
        <v>0</v>
      </c>
      <c r="Q778" s="802">
        <v>852</v>
      </c>
      <c r="R778" s="802"/>
      <c r="S778" s="803">
        <v>14125</v>
      </c>
      <c r="T778" s="804">
        <v>-72</v>
      </c>
      <c r="U778" s="804">
        <v>14053</v>
      </c>
    </row>
    <row r="779" spans="1:21" x14ac:dyDescent="0.25">
      <c r="A779" s="799">
        <v>98421</v>
      </c>
      <c r="B779" s="800" t="s">
        <v>3393</v>
      </c>
      <c r="C779" s="801">
        <v>1.0840000000000001E-4</v>
      </c>
      <c r="D779" s="801">
        <v>1.021E-4</v>
      </c>
      <c r="E779" s="802">
        <v>40835</v>
      </c>
      <c r="F779" s="802">
        <v>45822</v>
      </c>
      <c r="G779" s="802">
        <v>230061</v>
      </c>
      <c r="H779" s="802"/>
      <c r="I779" s="803">
        <v>4322.45</v>
      </c>
      <c r="J779" s="803">
        <v>201607</v>
      </c>
      <c r="K779" s="803">
        <v>15757</v>
      </c>
      <c r="L779" s="802">
        <v>7887</v>
      </c>
      <c r="M779" s="802"/>
      <c r="N779" s="803">
        <v>8062</v>
      </c>
      <c r="O779" s="803">
        <v>74412</v>
      </c>
      <c r="P779" s="803">
        <v>0</v>
      </c>
      <c r="Q779" s="802">
        <v>1282</v>
      </c>
      <c r="R779" s="802"/>
      <c r="S779" s="803">
        <v>61492</v>
      </c>
      <c r="T779" s="804">
        <v>2111</v>
      </c>
      <c r="U779" s="804">
        <v>63603</v>
      </c>
    </row>
    <row r="780" spans="1:21" x14ac:dyDescent="0.25">
      <c r="A780" s="799">
        <v>98427</v>
      </c>
      <c r="B780" s="800" t="s">
        <v>3394</v>
      </c>
      <c r="C780" s="801">
        <v>4.6E-6</v>
      </c>
      <c r="D780" s="801">
        <v>5.2000000000000002E-6</v>
      </c>
      <c r="E780" s="802">
        <v>2927.04</v>
      </c>
      <c r="F780" s="802">
        <v>2334</v>
      </c>
      <c r="G780" s="802">
        <v>9763</v>
      </c>
      <c r="H780" s="802"/>
      <c r="I780" s="803">
        <v>183.42500000000001</v>
      </c>
      <c r="J780" s="803">
        <v>8555</v>
      </c>
      <c r="K780" s="803">
        <v>669</v>
      </c>
      <c r="L780" s="802">
        <v>946</v>
      </c>
      <c r="M780" s="802"/>
      <c r="N780" s="803">
        <v>342</v>
      </c>
      <c r="O780" s="803">
        <v>3158</v>
      </c>
      <c r="P780" s="803">
        <v>0</v>
      </c>
      <c r="Q780" s="802">
        <v>0</v>
      </c>
      <c r="R780" s="802"/>
      <c r="S780" s="803">
        <v>2609</v>
      </c>
      <c r="T780" s="804">
        <v>309</v>
      </c>
      <c r="U780" s="804">
        <v>2918</v>
      </c>
    </row>
    <row r="781" spans="1:21" x14ac:dyDescent="0.25">
      <c r="A781" s="799">
        <v>98431</v>
      </c>
      <c r="B781" s="800" t="s">
        <v>3395</v>
      </c>
      <c r="C781" s="801">
        <v>2.0010000000000001E-4</v>
      </c>
      <c r="D781" s="801">
        <v>2.0560000000000001E-4</v>
      </c>
      <c r="E781" s="802">
        <v>68369</v>
      </c>
      <c r="F781" s="802">
        <v>92272</v>
      </c>
      <c r="G781" s="802">
        <v>424679</v>
      </c>
      <c r="H781" s="802"/>
      <c r="I781" s="803">
        <v>7979</v>
      </c>
      <c r="J781" s="803">
        <v>372154</v>
      </c>
      <c r="K781" s="803">
        <v>29087</v>
      </c>
      <c r="L781" s="802">
        <v>2505</v>
      </c>
      <c r="M781" s="802"/>
      <c r="N781" s="803">
        <v>14881</v>
      </c>
      <c r="O781" s="803">
        <v>137360</v>
      </c>
      <c r="P781" s="803">
        <v>0</v>
      </c>
      <c r="Q781" s="802">
        <v>22555</v>
      </c>
      <c r="R781" s="802"/>
      <c r="S781" s="803">
        <v>113511</v>
      </c>
      <c r="T781" s="804">
        <v>-5398</v>
      </c>
      <c r="U781" s="804">
        <v>108113</v>
      </c>
    </row>
    <row r="782" spans="1:21" x14ac:dyDescent="0.25">
      <c r="A782" s="799">
        <v>98441</v>
      </c>
      <c r="B782" s="800" t="s">
        <v>3396</v>
      </c>
      <c r="C782" s="801">
        <v>9.1000000000000003E-5</v>
      </c>
      <c r="D782" s="801">
        <v>1.039E-4</v>
      </c>
      <c r="E782" s="802">
        <v>33724.18</v>
      </c>
      <c r="F782" s="802">
        <v>46630</v>
      </c>
      <c r="G782" s="802">
        <v>193132</v>
      </c>
      <c r="H782" s="802"/>
      <c r="I782" s="803">
        <v>3628.625</v>
      </c>
      <c r="J782" s="803">
        <v>169246</v>
      </c>
      <c r="K782" s="803">
        <v>13228</v>
      </c>
      <c r="L782" s="802">
        <v>1146</v>
      </c>
      <c r="M782" s="802"/>
      <c r="N782" s="803">
        <v>6768</v>
      </c>
      <c r="O782" s="803">
        <v>62468</v>
      </c>
      <c r="P782" s="803">
        <v>0</v>
      </c>
      <c r="Q782" s="802">
        <v>21657</v>
      </c>
      <c r="R782" s="802"/>
      <c r="S782" s="803">
        <v>51621</v>
      </c>
      <c r="T782" s="804">
        <v>-6156</v>
      </c>
      <c r="U782" s="804">
        <v>45466</v>
      </c>
    </row>
    <row r="783" spans="1:21" x14ac:dyDescent="0.25">
      <c r="A783" s="799">
        <v>98451</v>
      </c>
      <c r="B783" s="800" t="s">
        <v>3397</v>
      </c>
      <c r="C783" s="801">
        <v>5.6199999999999997E-5</v>
      </c>
      <c r="D783" s="801">
        <v>6.0300000000000002E-5</v>
      </c>
      <c r="E783" s="802">
        <v>24173</v>
      </c>
      <c r="F783" s="802">
        <v>27062</v>
      </c>
      <c r="G783" s="802">
        <v>119275</v>
      </c>
      <c r="H783" s="802"/>
      <c r="I783" s="803">
        <v>2240.9749999999999</v>
      </c>
      <c r="J783" s="803">
        <v>104523</v>
      </c>
      <c r="K783" s="803">
        <v>8169</v>
      </c>
      <c r="L783" s="802">
        <v>0</v>
      </c>
      <c r="M783" s="802"/>
      <c r="N783" s="803">
        <v>4180</v>
      </c>
      <c r="O783" s="803">
        <v>38579</v>
      </c>
      <c r="P783" s="803">
        <v>0</v>
      </c>
      <c r="Q783" s="802">
        <v>2135</v>
      </c>
      <c r="R783" s="802"/>
      <c r="S783" s="803">
        <v>31881</v>
      </c>
      <c r="T783" s="804">
        <v>-657</v>
      </c>
      <c r="U783" s="804">
        <v>31223</v>
      </c>
    </row>
    <row r="784" spans="1:21" x14ac:dyDescent="0.25">
      <c r="A784" s="799">
        <v>98481</v>
      </c>
      <c r="B784" s="800" t="s">
        <v>3398</v>
      </c>
      <c r="C784" s="801">
        <v>6.7700000000000006E-5</v>
      </c>
      <c r="D784" s="801">
        <v>6.2500000000000001E-5</v>
      </c>
      <c r="E784" s="802">
        <v>21741.83</v>
      </c>
      <c r="F784" s="802">
        <v>28049.625</v>
      </c>
      <c r="G784" s="802">
        <v>143682</v>
      </c>
      <c r="H784" s="802"/>
      <c r="I784" s="803">
        <v>2700</v>
      </c>
      <c r="J784" s="803">
        <v>125911</v>
      </c>
      <c r="K784" s="803">
        <v>9841</v>
      </c>
      <c r="L784" s="802">
        <v>3106</v>
      </c>
      <c r="M784" s="802"/>
      <c r="N784" s="803">
        <v>5035</v>
      </c>
      <c r="O784" s="803">
        <v>46473</v>
      </c>
      <c r="P784" s="803">
        <v>0</v>
      </c>
      <c r="Q784" s="802">
        <v>2045</v>
      </c>
      <c r="R784" s="802"/>
      <c r="S784" s="803">
        <v>38404</v>
      </c>
      <c r="T784" s="804">
        <v>1029</v>
      </c>
      <c r="U784" s="804">
        <v>39434</v>
      </c>
    </row>
    <row r="785" spans="1:21" x14ac:dyDescent="0.25">
      <c r="A785" s="799">
        <v>98501</v>
      </c>
      <c r="B785" s="800" t="s">
        <v>3399</v>
      </c>
      <c r="C785" s="801">
        <v>1.5690999999999999E-3</v>
      </c>
      <c r="D785" s="801">
        <v>1.5471E-3</v>
      </c>
      <c r="E785" s="802">
        <v>684836.9</v>
      </c>
      <c r="F785" s="802">
        <v>694329</v>
      </c>
      <c r="G785" s="802">
        <v>3330156</v>
      </c>
      <c r="H785" s="802"/>
      <c r="I785" s="803">
        <v>62568</v>
      </c>
      <c r="J785" s="803">
        <v>2918278</v>
      </c>
      <c r="K785" s="803">
        <v>228086</v>
      </c>
      <c r="L785" s="802">
        <v>44212</v>
      </c>
      <c r="M785" s="802"/>
      <c r="N785" s="803">
        <v>116692</v>
      </c>
      <c r="O785" s="803">
        <v>1077121</v>
      </c>
      <c r="P785" s="803">
        <v>0</v>
      </c>
      <c r="Q785" s="802">
        <v>5894</v>
      </c>
      <c r="R785" s="802"/>
      <c r="S785" s="803">
        <v>890102</v>
      </c>
      <c r="T785" s="804">
        <v>8576</v>
      </c>
      <c r="U785" s="804">
        <v>898678</v>
      </c>
    </row>
    <row r="786" spans="1:21" x14ac:dyDescent="0.25">
      <c r="A786" s="799">
        <v>98511</v>
      </c>
      <c r="B786" s="800" t="s">
        <v>3400</v>
      </c>
      <c r="C786" s="801">
        <v>4.5800000000000002E-5</v>
      </c>
      <c r="D786" s="801">
        <v>3.96E-5</v>
      </c>
      <c r="E786" s="802">
        <v>20253.45</v>
      </c>
      <c r="F786" s="802">
        <v>17772</v>
      </c>
      <c r="G786" s="802">
        <v>97203</v>
      </c>
      <c r="H786" s="802"/>
      <c r="I786" s="803">
        <v>1826.2750000000001</v>
      </c>
      <c r="J786" s="803">
        <v>85181</v>
      </c>
      <c r="K786" s="803">
        <v>6658</v>
      </c>
      <c r="L786" s="802">
        <v>4485</v>
      </c>
      <c r="M786" s="802"/>
      <c r="N786" s="803">
        <v>3406</v>
      </c>
      <c r="O786" s="803">
        <v>31440</v>
      </c>
      <c r="P786" s="803">
        <v>0</v>
      </c>
      <c r="Q786" s="802">
        <v>23108</v>
      </c>
      <c r="R786" s="802"/>
      <c r="S786" s="803">
        <v>25981</v>
      </c>
      <c r="T786" s="804">
        <v>-10027</v>
      </c>
      <c r="U786" s="804">
        <v>15954</v>
      </c>
    </row>
    <row r="787" spans="1:21" x14ac:dyDescent="0.25">
      <c r="A787" s="799">
        <v>98517</v>
      </c>
      <c r="B787" s="800" t="s">
        <v>3401</v>
      </c>
      <c r="C787" s="801">
        <v>2.6000000000000001E-6</v>
      </c>
      <c r="D787" s="801">
        <v>3.3000000000000002E-6</v>
      </c>
      <c r="E787" s="802">
        <v>2175</v>
      </c>
      <c r="F787" s="802">
        <v>1481</v>
      </c>
      <c r="G787" s="802">
        <v>5518</v>
      </c>
      <c r="H787" s="802"/>
      <c r="I787" s="803">
        <v>103.675</v>
      </c>
      <c r="J787" s="803">
        <v>4836</v>
      </c>
      <c r="K787" s="803">
        <v>378</v>
      </c>
      <c r="L787" s="802">
        <v>1036</v>
      </c>
      <c r="M787" s="802"/>
      <c r="N787" s="803">
        <v>193</v>
      </c>
      <c r="O787" s="803">
        <v>1785</v>
      </c>
      <c r="P787" s="803">
        <v>0</v>
      </c>
      <c r="Q787" s="802">
        <v>0</v>
      </c>
      <c r="R787" s="802"/>
      <c r="S787" s="803">
        <v>1475</v>
      </c>
      <c r="T787" s="804">
        <v>354</v>
      </c>
      <c r="U787" s="804">
        <v>1829</v>
      </c>
    </row>
    <row r="788" spans="1:21" x14ac:dyDescent="0.25">
      <c r="A788" s="799">
        <v>98521</v>
      </c>
      <c r="B788" s="800" t="s">
        <v>3402</v>
      </c>
      <c r="C788" s="801">
        <v>5.7059999999999999E-4</v>
      </c>
      <c r="D788" s="801">
        <v>6.3980000000000005E-4</v>
      </c>
      <c r="E788" s="802">
        <v>223042</v>
      </c>
      <c r="F788" s="802">
        <v>287138</v>
      </c>
      <c r="G788" s="802">
        <v>1211004</v>
      </c>
      <c r="H788" s="802"/>
      <c r="I788" s="803">
        <v>22753</v>
      </c>
      <c r="J788" s="803">
        <v>1061226</v>
      </c>
      <c r="K788" s="803">
        <v>82943</v>
      </c>
      <c r="L788" s="802">
        <v>0</v>
      </c>
      <c r="M788" s="802"/>
      <c r="N788" s="803">
        <v>42435</v>
      </c>
      <c r="O788" s="803">
        <v>391693</v>
      </c>
      <c r="P788" s="803">
        <v>0</v>
      </c>
      <c r="Q788" s="802">
        <v>62867</v>
      </c>
      <c r="R788" s="802"/>
      <c r="S788" s="803">
        <v>323684</v>
      </c>
      <c r="T788" s="804">
        <v>-18900</v>
      </c>
      <c r="U788" s="804">
        <v>304784</v>
      </c>
    </row>
    <row r="789" spans="1:21" x14ac:dyDescent="0.25">
      <c r="A789" s="799">
        <v>98601</v>
      </c>
      <c r="B789" s="800" t="s">
        <v>3403</v>
      </c>
      <c r="C789" s="801">
        <v>3.5065999999999999E-3</v>
      </c>
      <c r="D789" s="801">
        <v>3.3880999999999998E-3</v>
      </c>
      <c r="E789" s="802">
        <v>1331350</v>
      </c>
      <c r="F789" s="802">
        <v>1520559</v>
      </c>
      <c r="G789" s="802">
        <v>7442180</v>
      </c>
      <c r="H789" s="802"/>
      <c r="I789" s="803">
        <v>139826</v>
      </c>
      <c r="J789" s="803">
        <v>6521722</v>
      </c>
      <c r="K789" s="803">
        <v>509723</v>
      </c>
      <c r="L789" s="802">
        <v>0</v>
      </c>
      <c r="M789" s="802"/>
      <c r="N789" s="803">
        <v>260782</v>
      </c>
      <c r="O789" s="803">
        <v>2407134</v>
      </c>
      <c r="P789" s="803">
        <v>0</v>
      </c>
      <c r="Q789" s="802">
        <v>160211</v>
      </c>
      <c r="R789" s="802"/>
      <c r="S789" s="803">
        <v>1989185</v>
      </c>
      <c r="T789" s="804">
        <v>-63543</v>
      </c>
      <c r="U789" s="804">
        <v>1925643</v>
      </c>
    </row>
    <row r="790" spans="1:21" x14ac:dyDescent="0.25">
      <c r="A790" s="799">
        <v>98604</v>
      </c>
      <c r="B790" s="800" t="s">
        <v>3404</v>
      </c>
      <c r="C790" s="801">
        <v>1.59E-5</v>
      </c>
      <c r="D790" s="801">
        <v>0</v>
      </c>
      <c r="E790" s="802">
        <v>5854</v>
      </c>
      <c r="F790" s="802">
        <v>0</v>
      </c>
      <c r="G790" s="802">
        <v>33745</v>
      </c>
      <c r="H790" s="802"/>
      <c r="I790" s="803">
        <v>634</v>
      </c>
      <c r="J790" s="803">
        <v>29571</v>
      </c>
      <c r="K790" s="803">
        <v>2311</v>
      </c>
      <c r="L790" s="802">
        <v>8069</v>
      </c>
      <c r="M790" s="802"/>
      <c r="N790" s="803">
        <v>1182</v>
      </c>
      <c r="O790" s="803">
        <v>10915</v>
      </c>
      <c r="P790" s="803">
        <v>0</v>
      </c>
      <c r="Q790" s="802">
        <v>0</v>
      </c>
      <c r="R790" s="802"/>
      <c r="S790" s="803">
        <v>9020</v>
      </c>
      <c r="T790" s="804">
        <v>2090</v>
      </c>
      <c r="U790" s="804">
        <v>11110</v>
      </c>
    </row>
    <row r="791" spans="1:21" x14ac:dyDescent="0.25">
      <c r="A791" s="799">
        <v>98607</v>
      </c>
      <c r="B791" s="800" t="s">
        <v>3405</v>
      </c>
      <c r="C791" s="801">
        <v>5.9000000000000003E-6</v>
      </c>
      <c r="D791" s="801">
        <v>6.0000000000000002E-6</v>
      </c>
      <c r="E791" s="802">
        <v>2400</v>
      </c>
      <c r="F791" s="802">
        <v>2693</v>
      </c>
      <c r="G791" s="802">
        <v>12522</v>
      </c>
      <c r="H791" s="802"/>
      <c r="I791" s="803">
        <v>235</v>
      </c>
      <c r="J791" s="803">
        <v>10973</v>
      </c>
      <c r="K791" s="803">
        <v>858</v>
      </c>
      <c r="L791" s="802">
        <v>0</v>
      </c>
      <c r="M791" s="802"/>
      <c r="N791" s="803">
        <v>439</v>
      </c>
      <c r="O791" s="803">
        <v>4050</v>
      </c>
      <c r="P791" s="803">
        <v>0</v>
      </c>
      <c r="Q791" s="802">
        <v>2348</v>
      </c>
      <c r="R791" s="802"/>
      <c r="S791" s="803">
        <v>3347</v>
      </c>
      <c r="T791" s="804">
        <v>-874</v>
      </c>
      <c r="U791" s="804">
        <v>2473</v>
      </c>
    </row>
    <row r="792" spans="1:21" x14ac:dyDescent="0.25">
      <c r="A792" s="799">
        <v>98608</v>
      </c>
      <c r="B792" s="800" t="s">
        <v>3406</v>
      </c>
      <c r="C792" s="801">
        <v>4.2299999999999998E-5</v>
      </c>
      <c r="D792" s="801">
        <v>5.4500000000000003E-5</v>
      </c>
      <c r="E792" s="802">
        <v>16593</v>
      </c>
      <c r="F792" s="802">
        <v>24459</v>
      </c>
      <c r="G792" s="802">
        <v>89775</v>
      </c>
      <c r="H792" s="802"/>
      <c r="I792" s="803">
        <v>1687</v>
      </c>
      <c r="J792" s="803">
        <v>78671</v>
      </c>
      <c r="K792" s="803">
        <v>6149</v>
      </c>
      <c r="L792" s="802">
        <v>6369</v>
      </c>
      <c r="M792" s="802"/>
      <c r="N792" s="803">
        <v>3146</v>
      </c>
      <c r="O792" s="803">
        <v>29037</v>
      </c>
      <c r="P792" s="803">
        <v>0</v>
      </c>
      <c r="Q792" s="802">
        <v>7247</v>
      </c>
      <c r="R792" s="802"/>
      <c r="S792" s="803">
        <v>23995</v>
      </c>
      <c r="T792" s="804">
        <v>566</v>
      </c>
      <c r="U792" s="804">
        <v>24562</v>
      </c>
    </row>
    <row r="793" spans="1:21" x14ac:dyDescent="0.25">
      <c r="A793" s="799">
        <v>98611</v>
      </c>
      <c r="B793" s="800" t="s">
        <v>3407</v>
      </c>
      <c r="C793" s="801">
        <v>8.6700000000000007E-5</v>
      </c>
      <c r="D793" s="801">
        <v>1.2129999999999999E-4</v>
      </c>
      <c r="E793" s="802">
        <v>43078</v>
      </c>
      <c r="F793" s="802">
        <v>54439</v>
      </c>
      <c r="G793" s="802">
        <v>184006</v>
      </c>
      <c r="H793" s="802"/>
      <c r="I793" s="803">
        <v>3457</v>
      </c>
      <c r="J793" s="803">
        <v>161248</v>
      </c>
      <c r="K793" s="803">
        <v>12603</v>
      </c>
      <c r="L793" s="802">
        <v>4723</v>
      </c>
      <c r="M793" s="802"/>
      <c r="N793" s="803">
        <v>6448</v>
      </c>
      <c r="O793" s="803">
        <v>59516</v>
      </c>
      <c r="P793" s="803">
        <v>0</v>
      </c>
      <c r="Q793" s="802">
        <v>12848</v>
      </c>
      <c r="R793" s="802"/>
      <c r="S793" s="803">
        <v>49182</v>
      </c>
      <c r="T793" s="804">
        <v>-1131</v>
      </c>
      <c r="U793" s="804">
        <v>48051</v>
      </c>
    </row>
    <row r="794" spans="1:21" x14ac:dyDescent="0.25">
      <c r="A794" s="799">
        <v>98621</v>
      </c>
      <c r="B794" s="800" t="s">
        <v>3408</v>
      </c>
      <c r="C794" s="801">
        <v>1.3239999999999999E-4</v>
      </c>
      <c r="D794" s="801">
        <v>1.2740000000000001E-4</v>
      </c>
      <c r="E794" s="802">
        <v>45779.06</v>
      </c>
      <c r="F794" s="802">
        <v>57176</v>
      </c>
      <c r="G794" s="802">
        <v>280997</v>
      </c>
      <c r="H794" s="802"/>
      <c r="I794" s="803">
        <v>5279.45</v>
      </c>
      <c r="J794" s="803">
        <v>246243</v>
      </c>
      <c r="K794" s="803">
        <v>19246</v>
      </c>
      <c r="L794" s="802">
        <v>951</v>
      </c>
      <c r="M794" s="802"/>
      <c r="N794" s="803">
        <v>9846</v>
      </c>
      <c r="O794" s="803">
        <v>90887</v>
      </c>
      <c r="P794" s="803">
        <v>0</v>
      </c>
      <c r="Q794" s="802">
        <v>9470</v>
      </c>
      <c r="R794" s="802"/>
      <c r="S794" s="803">
        <v>75106</v>
      </c>
      <c r="T794" s="804">
        <v>-2481</v>
      </c>
      <c r="U794" s="804">
        <v>72625</v>
      </c>
    </row>
    <row r="795" spans="1:21" x14ac:dyDescent="0.25">
      <c r="A795" s="799">
        <v>98627</v>
      </c>
      <c r="B795" s="800" t="s">
        <v>3409</v>
      </c>
      <c r="C795" s="801">
        <v>9.3999999999999998E-6</v>
      </c>
      <c r="D795" s="801">
        <v>7.4000000000000003E-6</v>
      </c>
      <c r="E795" s="802">
        <v>3039</v>
      </c>
      <c r="F795" s="802">
        <v>3321</v>
      </c>
      <c r="G795" s="802">
        <v>19950</v>
      </c>
      <c r="H795" s="802"/>
      <c r="I795" s="803">
        <v>374.82499999999999</v>
      </c>
      <c r="J795" s="803">
        <v>17483</v>
      </c>
      <c r="K795" s="803">
        <v>1366</v>
      </c>
      <c r="L795" s="802">
        <v>426</v>
      </c>
      <c r="M795" s="802"/>
      <c r="N795" s="803">
        <v>699</v>
      </c>
      <c r="O795" s="803">
        <v>6453</v>
      </c>
      <c r="P795" s="803">
        <v>0</v>
      </c>
      <c r="Q795" s="802">
        <v>202</v>
      </c>
      <c r="R795" s="802"/>
      <c r="S795" s="803">
        <v>5332</v>
      </c>
      <c r="T795" s="804">
        <v>25</v>
      </c>
      <c r="U795" s="804">
        <v>5357</v>
      </c>
    </row>
    <row r="796" spans="1:21" x14ac:dyDescent="0.25">
      <c r="A796" s="799">
        <v>98631</v>
      </c>
      <c r="B796" s="800" t="s">
        <v>3410</v>
      </c>
      <c r="C796" s="801">
        <v>1.0415000000000001E-3</v>
      </c>
      <c r="D796" s="801">
        <v>1.1375000000000001E-3</v>
      </c>
      <c r="E796" s="802">
        <v>412487</v>
      </c>
      <c r="F796" s="802">
        <v>510503</v>
      </c>
      <c r="G796" s="802">
        <v>2210412</v>
      </c>
      <c r="H796" s="802"/>
      <c r="I796" s="803">
        <v>41530</v>
      </c>
      <c r="J796" s="803">
        <v>1937025</v>
      </c>
      <c r="K796" s="803">
        <v>151393</v>
      </c>
      <c r="L796" s="802">
        <v>0</v>
      </c>
      <c r="M796" s="802"/>
      <c r="N796" s="803">
        <v>77455</v>
      </c>
      <c r="O796" s="803">
        <v>714946</v>
      </c>
      <c r="P796" s="803">
        <v>0</v>
      </c>
      <c r="Q796" s="802">
        <v>118586</v>
      </c>
      <c r="R796" s="802"/>
      <c r="S796" s="803">
        <v>590811</v>
      </c>
      <c r="T796" s="804">
        <v>-36690</v>
      </c>
      <c r="U796" s="804">
        <v>554121</v>
      </c>
    </row>
    <row r="797" spans="1:21" x14ac:dyDescent="0.25">
      <c r="A797" s="799">
        <v>98637</v>
      </c>
      <c r="B797" s="800" t="s">
        <v>3411</v>
      </c>
      <c r="C797" s="801">
        <v>2.2200000000000001E-5</v>
      </c>
      <c r="D797" s="801">
        <v>2.3499999999999999E-5</v>
      </c>
      <c r="E797" s="802">
        <v>14030</v>
      </c>
      <c r="F797" s="802">
        <v>10547</v>
      </c>
      <c r="G797" s="802">
        <v>47116</v>
      </c>
      <c r="H797" s="802"/>
      <c r="I797" s="803">
        <v>885.22500000000002</v>
      </c>
      <c r="J797" s="803">
        <v>41288</v>
      </c>
      <c r="K797" s="803">
        <v>3227</v>
      </c>
      <c r="L797" s="802">
        <v>6585</v>
      </c>
      <c r="M797" s="802"/>
      <c r="N797" s="803">
        <v>1651</v>
      </c>
      <c r="O797" s="803">
        <v>15239</v>
      </c>
      <c r="P797" s="803">
        <v>0</v>
      </c>
      <c r="Q797" s="802">
        <v>0</v>
      </c>
      <c r="R797" s="802"/>
      <c r="S797" s="803">
        <v>12593</v>
      </c>
      <c r="T797" s="804">
        <v>2204</v>
      </c>
      <c r="U797" s="804">
        <v>14798</v>
      </c>
    </row>
    <row r="798" spans="1:21" x14ac:dyDescent="0.25">
      <c r="A798" s="799">
        <v>98641</v>
      </c>
      <c r="B798" s="800" t="s">
        <v>3412</v>
      </c>
      <c r="C798" s="801">
        <v>3.0019999999999998E-4</v>
      </c>
      <c r="D798" s="801">
        <v>3.1819999999999998E-4</v>
      </c>
      <c r="E798" s="802">
        <v>122410</v>
      </c>
      <c r="F798" s="802">
        <v>142806</v>
      </c>
      <c r="G798" s="802">
        <v>637125</v>
      </c>
      <c r="H798" s="802"/>
      <c r="I798" s="803">
        <v>11970</v>
      </c>
      <c r="J798" s="803">
        <v>558325</v>
      </c>
      <c r="K798" s="803">
        <v>43637</v>
      </c>
      <c r="L798" s="802">
        <v>4514</v>
      </c>
      <c r="M798" s="802"/>
      <c r="N798" s="803">
        <v>22326</v>
      </c>
      <c r="O798" s="803">
        <v>206075</v>
      </c>
      <c r="P798" s="803">
        <v>0</v>
      </c>
      <c r="Q798" s="802">
        <v>10581</v>
      </c>
      <c r="R798" s="802"/>
      <c r="S798" s="803">
        <v>170294</v>
      </c>
      <c r="T798" s="804">
        <v>-473</v>
      </c>
      <c r="U798" s="804">
        <v>169821</v>
      </c>
    </row>
    <row r="799" spans="1:21" x14ac:dyDescent="0.25">
      <c r="A799" s="799">
        <v>98647</v>
      </c>
      <c r="B799" s="800" t="s">
        <v>3413</v>
      </c>
      <c r="C799" s="801">
        <v>0</v>
      </c>
      <c r="D799" s="801">
        <v>1.24E-5</v>
      </c>
      <c r="E799" s="802">
        <v>0</v>
      </c>
      <c r="F799" s="802">
        <v>5565</v>
      </c>
      <c r="G799" s="802">
        <v>0</v>
      </c>
      <c r="H799" s="802"/>
      <c r="I799" s="803">
        <v>0</v>
      </c>
      <c r="J799" s="803">
        <v>0</v>
      </c>
      <c r="K799" s="803">
        <v>0</v>
      </c>
      <c r="L799" s="802">
        <v>4884</v>
      </c>
      <c r="M799" s="802"/>
      <c r="N799" s="803">
        <v>0</v>
      </c>
      <c r="O799" s="803">
        <v>0</v>
      </c>
      <c r="P799" s="803">
        <v>0</v>
      </c>
      <c r="Q799" s="802">
        <v>6717</v>
      </c>
      <c r="R799" s="802"/>
      <c r="S799" s="803">
        <v>0</v>
      </c>
      <c r="T799" s="804">
        <v>178</v>
      </c>
      <c r="U799" s="804">
        <v>178</v>
      </c>
    </row>
    <row r="800" spans="1:21" x14ac:dyDescent="0.25">
      <c r="A800" s="799">
        <v>98701</v>
      </c>
      <c r="B800" s="800" t="s">
        <v>3414</v>
      </c>
      <c r="C800" s="801">
        <v>1.1793000000000001E-3</v>
      </c>
      <c r="D800" s="801">
        <v>1.0842E-3</v>
      </c>
      <c r="E800" s="802">
        <v>425946.13</v>
      </c>
      <c r="F800" s="802">
        <v>486582</v>
      </c>
      <c r="G800" s="802">
        <v>2502870</v>
      </c>
      <c r="H800" s="802"/>
      <c r="I800" s="803">
        <v>47025</v>
      </c>
      <c r="J800" s="803">
        <v>2193312</v>
      </c>
      <c r="K800" s="803">
        <v>171424</v>
      </c>
      <c r="L800" s="802">
        <v>4631</v>
      </c>
      <c r="M800" s="802"/>
      <c r="N800" s="803">
        <v>87703</v>
      </c>
      <c r="O800" s="803">
        <v>809540</v>
      </c>
      <c r="P800" s="803">
        <v>0</v>
      </c>
      <c r="Q800" s="802">
        <v>48875</v>
      </c>
      <c r="R800" s="802"/>
      <c r="S800" s="803">
        <v>668980</v>
      </c>
      <c r="T800" s="804">
        <v>-17040</v>
      </c>
      <c r="U800" s="804">
        <v>651940</v>
      </c>
    </row>
    <row r="801" spans="1:21" x14ac:dyDescent="0.25">
      <c r="A801" s="799">
        <v>98711</v>
      </c>
      <c r="B801" s="800" t="s">
        <v>3415</v>
      </c>
      <c r="C801" s="801">
        <v>1.8039999999999999E-4</v>
      </c>
      <c r="D801" s="801">
        <v>1.7589999999999999E-4</v>
      </c>
      <c r="E801" s="802">
        <v>62580</v>
      </c>
      <c r="F801" s="802">
        <v>78943</v>
      </c>
      <c r="G801" s="802">
        <v>382869</v>
      </c>
      <c r="H801" s="802"/>
      <c r="I801" s="803">
        <v>7193.45</v>
      </c>
      <c r="J801" s="803">
        <v>335515</v>
      </c>
      <c r="K801" s="803">
        <v>26223</v>
      </c>
      <c r="L801" s="802">
        <v>2488</v>
      </c>
      <c r="M801" s="802"/>
      <c r="N801" s="803">
        <v>13416</v>
      </c>
      <c r="O801" s="803">
        <v>123837</v>
      </c>
      <c r="P801" s="803">
        <v>0</v>
      </c>
      <c r="Q801" s="802">
        <v>10451</v>
      </c>
      <c r="R801" s="802"/>
      <c r="S801" s="803">
        <v>102335</v>
      </c>
      <c r="T801" s="804">
        <v>-1808</v>
      </c>
      <c r="U801" s="804">
        <v>100527</v>
      </c>
    </row>
    <row r="802" spans="1:21" x14ac:dyDescent="0.25">
      <c r="A802" s="799">
        <v>98717</v>
      </c>
      <c r="B802" s="800" t="s">
        <v>3416</v>
      </c>
      <c r="C802" s="801">
        <v>1.8600000000000001E-5</v>
      </c>
      <c r="D802" s="801">
        <v>1.98E-5</v>
      </c>
      <c r="E802" s="802">
        <v>7761</v>
      </c>
      <c r="F802" s="802">
        <v>8886</v>
      </c>
      <c r="G802" s="802">
        <v>39475</v>
      </c>
      <c r="H802" s="802"/>
      <c r="I802" s="803">
        <v>742</v>
      </c>
      <c r="J802" s="803">
        <v>34593</v>
      </c>
      <c r="K802" s="803">
        <v>2704</v>
      </c>
      <c r="L802" s="802">
        <v>783</v>
      </c>
      <c r="M802" s="802"/>
      <c r="N802" s="803">
        <v>1383</v>
      </c>
      <c r="O802" s="803">
        <v>12768</v>
      </c>
      <c r="P802" s="803">
        <v>0</v>
      </c>
      <c r="Q802" s="802">
        <v>798</v>
      </c>
      <c r="R802" s="802"/>
      <c r="S802" s="803">
        <v>10551</v>
      </c>
      <c r="T802" s="804">
        <v>13</v>
      </c>
      <c r="U802" s="804">
        <v>10565</v>
      </c>
    </row>
    <row r="803" spans="1:21" x14ac:dyDescent="0.25">
      <c r="A803" s="799">
        <v>98801</v>
      </c>
      <c r="B803" s="800" t="s">
        <v>3417</v>
      </c>
      <c r="C803" s="801">
        <v>2.1771999999999998E-3</v>
      </c>
      <c r="D803" s="801">
        <v>2.1686000000000001E-3</v>
      </c>
      <c r="E803" s="802">
        <v>916501</v>
      </c>
      <c r="F803" s="802">
        <v>973255</v>
      </c>
      <c r="G803" s="802">
        <v>4620748</v>
      </c>
      <c r="H803" s="802"/>
      <c r="I803" s="803">
        <v>86816</v>
      </c>
      <c r="J803" s="803">
        <v>4049248</v>
      </c>
      <c r="K803" s="803">
        <v>316480</v>
      </c>
      <c r="L803" s="802">
        <v>92904</v>
      </c>
      <c r="M803" s="802"/>
      <c r="N803" s="803">
        <v>161916</v>
      </c>
      <c r="O803" s="803">
        <v>1494556</v>
      </c>
      <c r="P803" s="803">
        <v>0</v>
      </c>
      <c r="Q803" s="802">
        <v>0</v>
      </c>
      <c r="R803" s="802"/>
      <c r="S803" s="803">
        <v>1235058</v>
      </c>
      <c r="T803" s="804">
        <v>33821</v>
      </c>
      <c r="U803" s="804">
        <v>1268879</v>
      </c>
    </row>
    <row r="804" spans="1:21" x14ac:dyDescent="0.25">
      <c r="A804" s="799">
        <v>98811</v>
      </c>
      <c r="B804" s="800" t="s">
        <v>3418</v>
      </c>
      <c r="C804" s="801">
        <v>7.1120000000000005E-4</v>
      </c>
      <c r="D804" s="801">
        <v>7.737E-4</v>
      </c>
      <c r="E804" s="802">
        <v>290528</v>
      </c>
      <c r="F804" s="802">
        <v>347232</v>
      </c>
      <c r="G804" s="802">
        <v>1509405</v>
      </c>
      <c r="H804" s="802"/>
      <c r="I804" s="803">
        <v>28359</v>
      </c>
      <c r="J804" s="803">
        <v>1322720</v>
      </c>
      <c r="K804" s="803">
        <v>103381</v>
      </c>
      <c r="L804" s="802">
        <v>31001</v>
      </c>
      <c r="M804" s="802"/>
      <c r="N804" s="803">
        <v>52891</v>
      </c>
      <c r="O804" s="803">
        <v>488209</v>
      </c>
      <c r="P804" s="803">
        <v>0</v>
      </c>
      <c r="Q804" s="802">
        <v>35404</v>
      </c>
      <c r="R804" s="802"/>
      <c r="S804" s="803">
        <v>403442</v>
      </c>
      <c r="T804" s="804">
        <v>4854</v>
      </c>
      <c r="U804" s="804">
        <v>408295</v>
      </c>
    </row>
    <row r="805" spans="1:21" x14ac:dyDescent="0.25">
      <c r="A805" s="799">
        <v>98817</v>
      </c>
      <c r="B805" s="800" t="s">
        <v>3419</v>
      </c>
      <c r="C805" s="801">
        <v>2.34E-5</v>
      </c>
      <c r="D805" s="801">
        <v>2.6400000000000001E-5</v>
      </c>
      <c r="E805" s="802">
        <v>11958.25</v>
      </c>
      <c r="F805" s="802">
        <v>11848</v>
      </c>
      <c r="G805" s="802">
        <v>49663</v>
      </c>
      <c r="H805" s="802"/>
      <c r="I805" s="803">
        <v>933</v>
      </c>
      <c r="J805" s="803">
        <v>43520</v>
      </c>
      <c r="K805" s="803">
        <v>3401</v>
      </c>
      <c r="L805" s="802">
        <v>244</v>
      </c>
      <c r="M805" s="802"/>
      <c r="N805" s="803">
        <v>1740</v>
      </c>
      <c r="O805" s="803">
        <v>16063</v>
      </c>
      <c r="P805" s="803">
        <v>0</v>
      </c>
      <c r="Q805" s="802">
        <v>4380</v>
      </c>
      <c r="R805" s="802"/>
      <c r="S805" s="803">
        <v>13274</v>
      </c>
      <c r="T805" s="804">
        <v>-2136</v>
      </c>
      <c r="U805" s="804">
        <v>11138</v>
      </c>
    </row>
    <row r="806" spans="1:21" x14ac:dyDescent="0.25">
      <c r="A806" s="799">
        <v>98901</v>
      </c>
      <c r="B806" s="800" t="s">
        <v>3420</v>
      </c>
      <c r="C806" s="801">
        <v>3.392E-4</v>
      </c>
      <c r="D806" s="801">
        <v>3.4190000000000002E-4</v>
      </c>
      <c r="E806" s="802">
        <v>138121</v>
      </c>
      <c r="F806" s="802">
        <v>153443</v>
      </c>
      <c r="G806" s="802">
        <v>719896</v>
      </c>
      <c r="H806" s="802"/>
      <c r="I806" s="803">
        <v>13525.6</v>
      </c>
      <c r="J806" s="803">
        <v>630858</v>
      </c>
      <c r="K806" s="803">
        <v>49306</v>
      </c>
      <c r="L806" s="802">
        <v>2099</v>
      </c>
      <c r="M806" s="802"/>
      <c r="N806" s="803">
        <v>25226</v>
      </c>
      <c r="O806" s="803">
        <v>232847</v>
      </c>
      <c r="P806" s="803">
        <v>0</v>
      </c>
      <c r="Q806" s="802">
        <v>3837</v>
      </c>
      <c r="R806" s="802"/>
      <c r="S806" s="803">
        <v>192418</v>
      </c>
      <c r="T806" s="804">
        <v>-562</v>
      </c>
      <c r="U806" s="804">
        <v>191855</v>
      </c>
    </row>
    <row r="807" spans="1:21" x14ac:dyDescent="0.25">
      <c r="A807" s="799">
        <v>98904</v>
      </c>
      <c r="B807" s="800" t="s">
        <v>3421</v>
      </c>
      <c r="C807" s="801">
        <v>5.2000000000000002E-6</v>
      </c>
      <c r="D807" s="801">
        <v>3.4000000000000001E-6</v>
      </c>
      <c r="E807" s="802">
        <v>0</v>
      </c>
      <c r="F807" s="802">
        <v>1526</v>
      </c>
      <c r="G807" s="802">
        <v>11036</v>
      </c>
      <c r="H807" s="802"/>
      <c r="I807" s="803">
        <v>207.35</v>
      </c>
      <c r="J807" s="803">
        <v>9671</v>
      </c>
      <c r="K807" s="803">
        <v>756</v>
      </c>
      <c r="L807" s="802">
        <v>575</v>
      </c>
      <c r="M807" s="802"/>
      <c r="N807" s="803">
        <v>387</v>
      </c>
      <c r="O807" s="803">
        <v>3570</v>
      </c>
      <c r="P807" s="803">
        <v>0</v>
      </c>
      <c r="Q807" s="802">
        <v>723</v>
      </c>
      <c r="R807" s="802"/>
      <c r="S807" s="803">
        <v>2950</v>
      </c>
      <c r="T807" s="804">
        <v>22</v>
      </c>
      <c r="U807" s="804">
        <v>2972</v>
      </c>
    </row>
    <row r="808" spans="1:21" x14ac:dyDescent="0.25">
      <c r="A808" s="799">
        <v>98911</v>
      </c>
      <c r="B808" s="800" t="s">
        <v>3422</v>
      </c>
      <c r="C808" s="801">
        <v>2.8600000000000001E-5</v>
      </c>
      <c r="D808" s="801">
        <v>2.5899999999999999E-5</v>
      </c>
      <c r="E808" s="802">
        <v>16745</v>
      </c>
      <c r="F808" s="802">
        <v>11624</v>
      </c>
      <c r="G808" s="802">
        <v>60699</v>
      </c>
      <c r="H808" s="802"/>
      <c r="I808" s="803">
        <v>1140.425</v>
      </c>
      <c r="J808" s="803">
        <v>53191</v>
      </c>
      <c r="K808" s="803">
        <v>4157</v>
      </c>
      <c r="L808" s="802">
        <v>13795</v>
      </c>
      <c r="M808" s="802"/>
      <c r="N808" s="803">
        <v>2127</v>
      </c>
      <c r="O808" s="803">
        <v>19633</v>
      </c>
      <c r="P808" s="803">
        <v>0</v>
      </c>
      <c r="Q808" s="802">
        <v>0</v>
      </c>
      <c r="R808" s="802"/>
      <c r="S808" s="803">
        <v>16224</v>
      </c>
      <c r="T808" s="804">
        <v>4655</v>
      </c>
      <c r="U808" s="804">
        <v>20879</v>
      </c>
    </row>
    <row r="809" spans="1:21" x14ac:dyDescent="0.25">
      <c r="A809" s="799">
        <v>99001</v>
      </c>
      <c r="B809" s="800" t="s">
        <v>3423</v>
      </c>
      <c r="C809" s="801">
        <v>7.8098999999999998E-3</v>
      </c>
      <c r="D809" s="801">
        <v>7.5116999999999996E-3</v>
      </c>
      <c r="E809" s="802">
        <v>3132308</v>
      </c>
      <c r="F809" s="802">
        <v>3371206</v>
      </c>
      <c r="G809" s="802">
        <v>16575224</v>
      </c>
      <c r="H809" s="802"/>
      <c r="I809" s="803">
        <v>311420</v>
      </c>
      <c r="J809" s="803">
        <v>14525180</v>
      </c>
      <c r="K809" s="803">
        <v>1135255</v>
      </c>
      <c r="L809" s="802">
        <v>444444</v>
      </c>
      <c r="M809" s="802"/>
      <c r="N809" s="803">
        <v>580814</v>
      </c>
      <c r="O809" s="803">
        <v>5361168</v>
      </c>
      <c r="P809" s="803">
        <v>0</v>
      </c>
      <c r="Q809" s="802">
        <v>0</v>
      </c>
      <c r="R809" s="802"/>
      <c r="S809" s="803">
        <v>4430314</v>
      </c>
      <c r="T809" s="804">
        <v>166582</v>
      </c>
      <c r="U809" s="804">
        <v>4596896</v>
      </c>
    </row>
    <row r="810" spans="1:21" x14ac:dyDescent="0.25">
      <c r="A810" s="799">
        <v>99011</v>
      </c>
      <c r="B810" s="800" t="s">
        <v>3424</v>
      </c>
      <c r="C810" s="801">
        <v>3.9039000000000001E-3</v>
      </c>
      <c r="D810" s="801">
        <v>4.3128999999999997E-3</v>
      </c>
      <c r="E810" s="802">
        <v>1564249</v>
      </c>
      <c r="F810" s="802">
        <v>1935604</v>
      </c>
      <c r="G810" s="802">
        <v>8285384</v>
      </c>
      <c r="H810" s="802"/>
      <c r="I810" s="803">
        <v>155668</v>
      </c>
      <c r="J810" s="803">
        <v>7260637</v>
      </c>
      <c r="K810" s="803">
        <v>567475</v>
      </c>
      <c r="L810" s="802">
        <v>0</v>
      </c>
      <c r="M810" s="802"/>
      <c r="N810" s="803">
        <v>290329</v>
      </c>
      <c r="O810" s="803">
        <v>2679863</v>
      </c>
      <c r="P810" s="803">
        <v>0</v>
      </c>
      <c r="Q810" s="802">
        <v>573396</v>
      </c>
      <c r="R810" s="802"/>
      <c r="S810" s="803">
        <v>2214561</v>
      </c>
      <c r="T810" s="804">
        <v>-205801</v>
      </c>
      <c r="U810" s="804">
        <v>2008761</v>
      </c>
    </row>
    <row r="811" spans="1:21" x14ac:dyDescent="0.25">
      <c r="A811" s="799">
        <v>99013</v>
      </c>
      <c r="B811" s="800" t="s">
        <v>3425</v>
      </c>
      <c r="C811" s="801">
        <v>6.02E-5</v>
      </c>
      <c r="D811" s="801">
        <v>7.2299999999999996E-5</v>
      </c>
      <c r="E811" s="802">
        <v>23490.16</v>
      </c>
      <c r="F811" s="802">
        <v>32448</v>
      </c>
      <c r="G811" s="802">
        <v>127765</v>
      </c>
      <c r="H811" s="802"/>
      <c r="I811" s="803">
        <v>2400.4749999999999</v>
      </c>
      <c r="J811" s="803">
        <v>111962</v>
      </c>
      <c r="K811" s="803">
        <v>8751</v>
      </c>
      <c r="L811" s="802">
        <v>20</v>
      </c>
      <c r="M811" s="802"/>
      <c r="N811" s="803">
        <v>4477</v>
      </c>
      <c r="O811" s="803">
        <v>41325</v>
      </c>
      <c r="P811" s="803">
        <v>0</v>
      </c>
      <c r="Q811" s="802">
        <v>8750</v>
      </c>
      <c r="R811" s="802"/>
      <c r="S811" s="803">
        <v>34150</v>
      </c>
      <c r="T811" s="804">
        <v>-2370</v>
      </c>
      <c r="U811" s="804">
        <v>31779</v>
      </c>
    </row>
    <row r="812" spans="1:21" x14ac:dyDescent="0.25">
      <c r="A812" s="799">
        <v>99014</v>
      </c>
      <c r="B812" s="800" t="s">
        <v>3426</v>
      </c>
      <c r="C812" s="801">
        <v>2.4199999999999999E-5</v>
      </c>
      <c r="D812" s="801">
        <v>0</v>
      </c>
      <c r="E812" s="802">
        <v>13216.55</v>
      </c>
      <c r="F812" s="802">
        <v>0</v>
      </c>
      <c r="G812" s="802">
        <v>51361</v>
      </c>
      <c r="H812" s="802"/>
      <c r="I812" s="803">
        <v>965</v>
      </c>
      <c r="J812" s="803">
        <v>45008</v>
      </c>
      <c r="K812" s="803">
        <v>3518</v>
      </c>
      <c r="L812" s="802">
        <v>15702</v>
      </c>
      <c r="M812" s="802"/>
      <c r="N812" s="803">
        <v>1800</v>
      </c>
      <c r="O812" s="803">
        <v>16612</v>
      </c>
      <c r="P812" s="803">
        <v>0</v>
      </c>
      <c r="Q812" s="802">
        <v>0</v>
      </c>
      <c r="R812" s="802"/>
      <c r="S812" s="803">
        <v>13728</v>
      </c>
      <c r="T812" s="804">
        <v>4068</v>
      </c>
      <c r="U812" s="804">
        <v>17796</v>
      </c>
    </row>
    <row r="813" spans="1:21" x14ac:dyDescent="0.25">
      <c r="A813" s="799">
        <v>99017</v>
      </c>
      <c r="B813" s="800" t="s">
        <v>3427</v>
      </c>
      <c r="C813" s="801">
        <v>4.6999999999999997E-5</v>
      </c>
      <c r="D813" s="801">
        <v>4.1199999999999999E-5</v>
      </c>
      <c r="E813" s="802">
        <v>19641</v>
      </c>
      <c r="F813" s="802">
        <v>18490</v>
      </c>
      <c r="G813" s="802">
        <v>99750</v>
      </c>
      <c r="H813" s="802"/>
      <c r="I813" s="803">
        <v>1874.125</v>
      </c>
      <c r="J813" s="803">
        <v>87413</v>
      </c>
      <c r="K813" s="803">
        <v>6832</v>
      </c>
      <c r="L813" s="802">
        <v>5674</v>
      </c>
      <c r="M813" s="802"/>
      <c r="N813" s="803">
        <v>3495</v>
      </c>
      <c r="O813" s="803">
        <v>32264</v>
      </c>
      <c r="P813" s="803">
        <v>0</v>
      </c>
      <c r="Q813" s="802">
        <v>6645</v>
      </c>
      <c r="R813" s="802"/>
      <c r="S813" s="803">
        <v>26662</v>
      </c>
      <c r="T813" s="804">
        <v>-1651</v>
      </c>
      <c r="U813" s="804">
        <v>25011</v>
      </c>
    </row>
    <row r="814" spans="1:21" x14ac:dyDescent="0.25">
      <c r="A814" s="799">
        <v>99021</v>
      </c>
      <c r="B814" s="800" t="s">
        <v>3428</v>
      </c>
      <c r="C814" s="801">
        <v>1.3420000000000001E-4</v>
      </c>
      <c r="D814" s="801">
        <v>1.3990000000000001E-4</v>
      </c>
      <c r="E814" s="802">
        <v>57840</v>
      </c>
      <c r="F814" s="802">
        <v>62786</v>
      </c>
      <c r="G814" s="802">
        <v>284817</v>
      </c>
      <c r="H814" s="802"/>
      <c r="I814" s="803">
        <v>5351</v>
      </c>
      <c r="J814" s="803">
        <v>249591</v>
      </c>
      <c r="K814" s="803">
        <v>19507</v>
      </c>
      <c r="L814" s="802">
        <v>5869</v>
      </c>
      <c r="M814" s="802"/>
      <c r="N814" s="803">
        <v>9980</v>
      </c>
      <c r="O814" s="803">
        <v>92123</v>
      </c>
      <c r="P814" s="803">
        <v>0</v>
      </c>
      <c r="Q814" s="802">
        <v>982</v>
      </c>
      <c r="R814" s="802"/>
      <c r="S814" s="803">
        <v>76127</v>
      </c>
      <c r="T814" s="804">
        <v>1992</v>
      </c>
      <c r="U814" s="804">
        <v>78120</v>
      </c>
    </row>
    <row r="815" spans="1:21" x14ac:dyDescent="0.25">
      <c r="A815" s="799">
        <v>99022</v>
      </c>
      <c r="B815" s="800" t="s">
        <v>1938</v>
      </c>
      <c r="C815" s="801">
        <v>1.1800000000000001E-5</v>
      </c>
      <c r="D815" s="801">
        <v>1.33E-5</v>
      </c>
      <c r="E815" s="802">
        <v>10517</v>
      </c>
      <c r="F815" s="802">
        <v>5969</v>
      </c>
      <c r="G815" s="802">
        <v>25044</v>
      </c>
      <c r="H815" s="802"/>
      <c r="I815" s="803">
        <v>471</v>
      </c>
      <c r="J815" s="803">
        <v>21946</v>
      </c>
      <c r="K815" s="803">
        <v>1715</v>
      </c>
      <c r="L815" s="802">
        <v>6383</v>
      </c>
      <c r="M815" s="802"/>
      <c r="N815" s="803">
        <v>878</v>
      </c>
      <c r="O815" s="803">
        <v>8100</v>
      </c>
      <c r="P815" s="803">
        <v>0</v>
      </c>
      <c r="Q815" s="802">
        <v>264.67</v>
      </c>
      <c r="R815" s="802"/>
      <c r="S815" s="803">
        <v>6694</v>
      </c>
      <c r="T815" s="804">
        <v>1778</v>
      </c>
      <c r="U815" s="804">
        <v>8472</v>
      </c>
    </row>
    <row r="816" spans="1:21" x14ac:dyDescent="0.25">
      <c r="A816" s="799">
        <v>99031</v>
      </c>
      <c r="B816" s="800" t="s">
        <v>3429</v>
      </c>
      <c r="C816" s="801">
        <v>1.5970000000000001E-4</v>
      </c>
      <c r="D816" s="801">
        <v>1.2860000000000001E-4</v>
      </c>
      <c r="E816" s="802">
        <v>49299</v>
      </c>
      <c r="F816" s="802">
        <v>57715</v>
      </c>
      <c r="G816" s="802">
        <v>338937</v>
      </c>
      <c r="H816" s="802"/>
      <c r="I816" s="803">
        <v>6368</v>
      </c>
      <c r="J816" s="803">
        <v>297017</v>
      </c>
      <c r="K816" s="803">
        <v>23214</v>
      </c>
      <c r="L816" s="802">
        <v>3840</v>
      </c>
      <c r="M816" s="802"/>
      <c r="N816" s="803">
        <v>11877</v>
      </c>
      <c r="O816" s="803">
        <v>109627</v>
      </c>
      <c r="P816" s="803">
        <v>0</v>
      </c>
      <c r="Q816" s="802">
        <v>20151</v>
      </c>
      <c r="R816" s="802"/>
      <c r="S816" s="803">
        <v>90593</v>
      </c>
      <c r="T816" s="804">
        <v>-8432</v>
      </c>
      <c r="U816" s="804">
        <v>82161</v>
      </c>
    </row>
    <row r="817" spans="1:21" x14ac:dyDescent="0.25">
      <c r="A817" s="799">
        <v>99041</v>
      </c>
      <c r="B817" s="800" t="s">
        <v>3430</v>
      </c>
      <c r="C817" s="801">
        <v>5.6289999999999997E-4</v>
      </c>
      <c r="D817" s="801">
        <v>5.0670000000000001E-4</v>
      </c>
      <c r="E817" s="802">
        <v>202619</v>
      </c>
      <c r="F817" s="802">
        <v>227404</v>
      </c>
      <c r="G817" s="802">
        <v>1194662</v>
      </c>
      <c r="H817" s="802"/>
      <c r="I817" s="803">
        <v>22446</v>
      </c>
      <c r="J817" s="803">
        <v>1046905</v>
      </c>
      <c r="K817" s="803">
        <v>81824</v>
      </c>
      <c r="L817" s="802">
        <v>59009</v>
      </c>
      <c r="M817" s="802"/>
      <c r="N817" s="803">
        <v>41862</v>
      </c>
      <c r="O817" s="803">
        <v>386407</v>
      </c>
      <c r="P817" s="803">
        <v>0</v>
      </c>
      <c r="Q817" s="802">
        <v>0</v>
      </c>
      <c r="R817" s="802"/>
      <c r="S817" s="803">
        <v>319316</v>
      </c>
      <c r="T817" s="804">
        <v>24415</v>
      </c>
      <c r="U817" s="804">
        <v>343731</v>
      </c>
    </row>
    <row r="818" spans="1:21" x14ac:dyDescent="0.25">
      <c r="A818" s="799">
        <v>99047</v>
      </c>
      <c r="B818" s="800" t="s">
        <v>3431</v>
      </c>
      <c r="C818" s="801">
        <v>9.2E-6</v>
      </c>
      <c r="D818" s="801">
        <v>1.19E-5</v>
      </c>
      <c r="E818" s="802">
        <v>6483</v>
      </c>
      <c r="F818" s="802">
        <v>5341</v>
      </c>
      <c r="G818" s="802">
        <v>19525</v>
      </c>
      <c r="H818" s="802"/>
      <c r="I818" s="803">
        <v>366.85</v>
      </c>
      <c r="J818" s="803">
        <v>17111</v>
      </c>
      <c r="K818" s="803">
        <v>1337</v>
      </c>
      <c r="L818" s="802">
        <v>3322</v>
      </c>
      <c r="M818" s="802"/>
      <c r="N818" s="803">
        <v>684</v>
      </c>
      <c r="O818" s="803">
        <v>6315</v>
      </c>
      <c r="P818" s="803">
        <v>0</v>
      </c>
      <c r="Q818" s="802">
        <v>0</v>
      </c>
      <c r="R818" s="802"/>
      <c r="S818" s="803">
        <v>5219</v>
      </c>
      <c r="T818" s="804">
        <v>1258</v>
      </c>
      <c r="U818" s="804">
        <v>6477</v>
      </c>
    </row>
    <row r="819" spans="1:21" x14ac:dyDescent="0.25">
      <c r="A819" s="799">
        <v>99051</v>
      </c>
      <c r="B819" s="800" t="s">
        <v>3432</v>
      </c>
      <c r="C819" s="801">
        <v>3.3349999999999997E-4</v>
      </c>
      <c r="D819" s="801">
        <v>2.8449999999999998E-4</v>
      </c>
      <c r="E819" s="802">
        <v>116232</v>
      </c>
      <c r="F819" s="802">
        <v>127682</v>
      </c>
      <c r="G819" s="802">
        <v>707799</v>
      </c>
      <c r="H819" s="802"/>
      <c r="I819" s="803">
        <v>13298</v>
      </c>
      <c r="J819" s="803">
        <v>620257</v>
      </c>
      <c r="K819" s="803">
        <v>48478</v>
      </c>
      <c r="L819" s="802">
        <v>16843</v>
      </c>
      <c r="M819" s="802"/>
      <c r="N819" s="803">
        <v>24802</v>
      </c>
      <c r="O819" s="803">
        <v>228934</v>
      </c>
      <c r="P819" s="803">
        <v>0</v>
      </c>
      <c r="Q819" s="802">
        <v>0</v>
      </c>
      <c r="R819" s="802"/>
      <c r="S819" s="803">
        <v>189184</v>
      </c>
      <c r="T819" s="804">
        <v>5410</v>
      </c>
      <c r="U819" s="804">
        <v>194594</v>
      </c>
    </row>
    <row r="820" spans="1:21" x14ac:dyDescent="0.25">
      <c r="A820" s="799">
        <v>99061</v>
      </c>
      <c r="B820" s="800" t="s">
        <v>3433</v>
      </c>
      <c r="C820" s="801">
        <v>8.3999999999999992E-6</v>
      </c>
      <c r="D820" s="801">
        <v>8.8000000000000004E-6</v>
      </c>
      <c r="E820" s="802">
        <v>7400.82</v>
      </c>
      <c r="F820" s="802">
        <v>3949</v>
      </c>
      <c r="G820" s="802">
        <v>17828</v>
      </c>
      <c r="H820" s="802"/>
      <c r="I820" s="803">
        <v>334.95</v>
      </c>
      <c r="J820" s="803">
        <v>15623</v>
      </c>
      <c r="K820" s="803">
        <v>1221</v>
      </c>
      <c r="L820" s="802">
        <v>6023</v>
      </c>
      <c r="M820" s="802"/>
      <c r="N820" s="803">
        <v>625</v>
      </c>
      <c r="O820" s="803">
        <v>5766</v>
      </c>
      <c r="P820" s="803">
        <v>0</v>
      </c>
      <c r="Q820" s="802">
        <v>0</v>
      </c>
      <c r="R820" s="802"/>
      <c r="S820" s="803">
        <v>4765</v>
      </c>
      <c r="T820" s="804">
        <v>1888</v>
      </c>
      <c r="U820" s="804">
        <v>6653</v>
      </c>
    </row>
    <row r="821" spans="1:21" x14ac:dyDescent="0.25">
      <c r="A821" s="799">
        <v>99071</v>
      </c>
      <c r="B821" s="800" t="s">
        <v>3434</v>
      </c>
      <c r="C821" s="801">
        <v>3.0499999999999999E-5</v>
      </c>
      <c r="D821" s="801">
        <v>3.9799999999999998E-5</v>
      </c>
      <c r="E821" s="802">
        <v>18015</v>
      </c>
      <c r="F821" s="802">
        <v>17862</v>
      </c>
      <c r="G821" s="802">
        <v>64731</v>
      </c>
      <c r="H821" s="802"/>
      <c r="I821" s="803">
        <v>1216.1875</v>
      </c>
      <c r="J821" s="803">
        <v>56725</v>
      </c>
      <c r="K821" s="803">
        <v>4434</v>
      </c>
      <c r="L821" s="802">
        <v>0</v>
      </c>
      <c r="M821" s="802"/>
      <c r="N821" s="803">
        <v>2268</v>
      </c>
      <c r="O821" s="803">
        <v>20937</v>
      </c>
      <c r="P821" s="803">
        <v>0</v>
      </c>
      <c r="Q821" s="802">
        <v>3405</v>
      </c>
      <c r="R821" s="802"/>
      <c r="S821" s="803">
        <v>17302</v>
      </c>
      <c r="T821" s="804">
        <v>-1312</v>
      </c>
      <c r="U821" s="804">
        <v>15990</v>
      </c>
    </row>
    <row r="822" spans="1:21" x14ac:dyDescent="0.25">
      <c r="A822" s="799">
        <v>99081</v>
      </c>
      <c r="B822" s="800" t="s">
        <v>3435</v>
      </c>
      <c r="C822" s="801">
        <v>2.9600000000000001E-5</v>
      </c>
      <c r="D822" s="801">
        <v>3.6999999999999998E-5</v>
      </c>
      <c r="E822" s="802">
        <v>11739.53</v>
      </c>
      <c r="F822" s="802">
        <v>16605</v>
      </c>
      <c r="G822" s="802">
        <v>62821</v>
      </c>
      <c r="H822" s="802"/>
      <c r="I822" s="803">
        <v>1180.3</v>
      </c>
      <c r="J822" s="803">
        <v>55051</v>
      </c>
      <c r="K822" s="803">
        <v>4303</v>
      </c>
      <c r="L822" s="802">
        <v>5558</v>
      </c>
      <c r="M822" s="802"/>
      <c r="N822" s="803">
        <v>2201</v>
      </c>
      <c r="O822" s="803">
        <v>20319</v>
      </c>
      <c r="P822" s="803">
        <v>0</v>
      </c>
      <c r="Q822" s="802">
        <v>7640</v>
      </c>
      <c r="R822" s="802"/>
      <c r="S822" s="803">
        <v>16791</v>
      </c>
      <c r="T822" s="804">
        <v>-809</v>
      </c>
      <c r="U822" s="804">
        <v>15982</v>
      </c>
    </row>
    <row r="823" spans="1:21" x14ac:dyDescent="0.25">
      <c r="A823" s="799">
        <v>99091</v>
      </c>
      <c r="B823" s="800" t="s">
        <v>3436</v>
      </c>
      <c r="C823" s="801">
        <v>4.1999999999999996E-6</v>
      </c>
      <c r="D823" s="801">
        <v>4.7999999999999998E-6</v>
      </c>
      <c r="E823" s="802">
        <v>4170.01</v>
      </c>
      <c r="F823" s="802">
        <v>2154</v>
      </c>
      <c r="G823" s="802">
        <v>8914</v>
      </c>
      <c r="H823" s="802"/>
      <c r="I823" s="803">
        <v>167.47499999999999</v>
      </c>
      <c r="J823" s="803">
        <v>7811</v>
      </c>
      <c r="K823" s="803">
        <v>611</v>
      </c>
      <c r="L823" s="802">
        <v>2618</v>
      </c>
      <c r="M823" s="802"/>
      <c r="N823" s="803">
        <v>312</v>
      </c>
      <c r="O823" s="803">
        <v>2883</v>
      </c>
      <c r="P823" s="803">
        <v>0</v>
      </c>
      <c r="Q823" s="802">
        <v>6497.35</v>
      </c>
      <c r="R823" s="802"/>
      <c r="S823" s="803">
        <v>2383</v>
      </c>
      <c r="T823" s="804">
        <v>-2491</v>
      </c>
      <c r="U823" s="804">
        <v>-108</v>
      </c>
    </row>
    <row r="824" spans="1:21" x14ac:dyDescent="0.25">
      <c r="A824" s="799">
        <v>99101</v>
      </c>
      <c r="B824" s="800" t="s">
        <v>3437</v>
      </c>
      <c r="C824" s="801">
        <v>2.0087999999999998E-3</v>
      </c>
      <c r="D824" s="801">
        <v>2.026E-3</v>
      </c>
      <c r="E824" s="802">
        <v>792557.39</v>
      </c>
      <c r="F824" s="802">
        <v>909257</v>
      </c>
      <c r="G824" s="802">
        <v>4263347</v>
      </c>
      <c r="H824" s="802"/>
      <c r="I824" s="803">
        <v>80101</v>
      </c>
      <c r="J824" s="803">
        <v>3736051</v>
      </c>
      <c r="K824" s="803">
        <v>292001</v>
      </c>
      <c r="L824" s="802">
        <v>7868</v>
      </c>
      <c r="M824" s="802"/>
      <c r="N824" s="803">
        <v>149392</v>
      </c>
      <c r="O824" s="803">
        <v>1378957</v>
      </c>
      <c r="P824" s="803">
        <v>0</v>
      </c>
      <c r="Q824" s="802">
        <v>72656</v>
      </c>
      <c r="R824" s="802"/>
      <c r="S824" s="803">
        <v>1139530</v>
      </c>
      <c r="T824" s="804">
        <v>-24965</v>
      </c>
      <c r="U824" s="804">
        <v>1114565</v>
      </c>
    </row>
    <row r="825" spans="1:21" x14ac:dyDescent="0.25">
      <c r="A825" s="799">
        <v>99104</v>
      </c>
      <c r="B825" s="800" t="s">
        <v>3438</v>
      </c>
      <c r="C825" s="801">
        <v>3.4799999999999999E-5</v>
      </c>
      <c r="D825" s="801">
        <v>2.55E-5</v>
      </c>
      <c r="E825" s="802">
        <v>18414</v>
      </c>
      <c r="F825" s="802">
        <v>11444</v>
      </c>
      <c r="G825" s="802">
        <v>73857</v>
      </c>
      <c r="H825" s="802"/>
      <c r="I825" s="803">
        <v>1388</v>
      </c>
      <c r="J825" s="803">
        <v>64723</v>
      </c>
      <c r="K825" s="803">
        <v>5059</v>
      </c>
      <c r="L825" s="802">
        <v>14979</v>
      </c>
      <c r="M825" s="802"/>
      <c r="N825" s="803">
        <v>2588</v>
      </c>
      <c r="O825" s="803">
        <v>23889</v>
      </c>
      <c r="P825" s="803">
        <v>0</v>
      </c>
      <c r="Q825" s="802">
        <v>0</v>
      </c>
      <c r="R825" s="802"/>
      <c r="S825" s="803">
        <v>19741</v>
      </c>
      <c r="T825" s="804">
        <v>4886</v>
      </c>
      <c r="U825" s="804">
        <v>24627</v>
      </c>
    </row>
    <row r="826" spans="1:21" x14ac:dyDescent="0.25">
      <c r="A826" s="799">
        <v>99109</v>
      </c>
      <c r="B826" s="800" t="s">
        <v>3439</v>
      </c>
      <c r="C826" s="801">
        <v>1.1849999999999999E-4</v>
      </c>
      <c r="D826" s="801">
        <v>1.4129999999999999E-4</v>
      </c>
      <c r="E826" s="802">
        <v>48014.54</v>
      </c>
      <c r="F826" s="802">
        <v>63415</v>
      </c>
      <c r="G826" s="802">
        <v>251497</v>
      </c>
      <c r="H826" s="802"/>
      <c r="I826" s="803">
        <v>4725.1875</v>
      </c>
      <c r="J826" s="803">
        <v>220391</v>
      </c>
      <c r="K826" s="803">
        <v>17225</v>
      </c>
      <c r="L826" s="802">
        <v>5297</v>
      </c>
      <c r="M826" s="802"/>
      <c r="N826" s="803">
        <v>8813</v>
      </c>
      <c r="O826" s="803">
        <v>81345</v>
      </c>
      <c r="P826" s="803">
        <v>0</v>
      </c>
      <c r="Q826" s="802">
        <v>22236</v>
      </c>
      <c r="R826" s="802"/>
      <c r="S826" s="803">
        <v>67221</v>
      </c>
      <c r="T826" s="804">
        <v>-6150</v>
      </c>
      <c r="U826" s="804">
        <v>61071</v>
      </c>
    </row>
    <row r="827" spans="1:21" x14ac:dyDescent="0.25">
      <c r="A827" s="799">
        <v>99110</v>
      </c>
      <c r="B827" s="800" t="s">
        <v>3440</v>
      </c>
      <c r="C827" s="801">
        <v>1.8369999999999999E-4</v>
      </c>
      <c r="D827" s="801">
        <v>1.728E-4</v>
      </c>
      <c r="E827" s="802">
        <v>101918</v>
      </c>
      <c r="F827" s="802">
        <v>77552</v>
      </c>
      <c r="G827" s="802">
        <v>389873</v>
      </c>
      <c r="H827" s="802"/>
      <c r="I827" s="803">
        <v>7325</v>
      </c>
      <c r="J827" s="803">
        <v>341653</v>
      </c>
      <c r="K827" s="803">
        <v>26703</v>
      </c>
      <c r="L827" s="802">
        <v>63672</v>
      </c>
      <c r="M827" s="802"/>
      <c r="N827" s="803">
        <v>13662</v>
      </c>
      <c r="O827" s="803">
        <v>126102</v>
      </c>
      <c r="P827" s="803">
        <v>0</v>
      </c>
      <c r="Q827" s="802">
        <v>0</v>
      </c>
      <c r="R827" s="802"/>
      <c r="S827" s="803">
        <v>104207</v>
      </c>
      <c r="T827" s="804">
        <v>21007</v>
      </c>
      <c r="U827" s="804">
        <v>125214</v>
      </c>
    </row>
    <row r="828" spans="1:21" x14ac:dyDescent="0.25">
      <c r="A828" s="799">
        <v>99111</v>
      </c>
      <c r="B828" s="800" t="s">
        <v>3441</v>
      </c>
      <c r="C828" s="801">
        <v>1.2757000000000001E-3</v>
      </c>
      <c r="D828" s="801">
        <v>1.3278000000000001E-3</v>
      </c>
      <c r="E828" s="802">
        <v>486451</v>
      </c>
      <c r="F828" s="802">
        <v>595909</v>
      </c>
      <c r="G828" s="802">
        <v>2707463</v>
      </c>
      <c r="H828" s="802"/>
      <c r="I828" s="803">
        <v>50869</v>
      </c>
      <c r="J828" s="803">
        <v>2372600</v>
      </c>
      <c r="K828" s="803">
        <v>185437</v>
      </c>
      <c r="L828" s="802">
        <v>0</v>
      </c>
      <c r="M828" s="802"/>
      <c r="N828" s="803">
        <v>94873</v>
      </c>
      <c r="O828" s="803">
        <v>875714</v>
      </c>
      <c r="P828" s="803">
        <v>0</v>
      </c>
      <c r="Q828" s="802">
        <v>165116</v>
      </c>
      <c r="R828" s="802"/>
      <c r="S828" s="803">
        <v>723665</v>
      </c>
      <c r="T828" s="804">
        <v>-59086</v>
      </c>
      <c r="U828" s="804">
        <v>664579</v>
      </c>
    </row>
    <row r="829" spans="1:21" x14ac:dyDescent="0.25">
      <c r="A829" s="799">
        <v>99201</v>
      </c>
      <c r="B829" s="800" t="s">
        <v>3442</v>
      </c>
      <c r="C829" s="801">
        <v>3.22145E-2</v>
      </c>
      <c r="D829" s="801">
        <v>3.0831399999999998E-2</v>
      </c>
      <c r="E829" s="802">
        <v>12898805</v>
      </c>
      <c r="F829" s="802">
        <v>13836947</v>
      </c>
      <c r="G829" s="802">
        <v>68369961</v>
      </c>
      <c r="H829" s="802"/>
      <c r="I829" s="803">
        <v>1284553</v>
      </c>
      <c r="J829" s="803">
        <v>59913880</v>
      </c>
      <c r="K829" s="803">
        <v>4682732</v>
      </c>
      <c r="L829" s="802">
        <v>1101849</v>
      </c>
      <c r="M829" s="802"/>
      <c r="N829" s="803">
        <v>2395760</v>
      </c>
      <c r="O829" s="803">
        <v>22113901</v>
      </c>
      <c r="P829" s="803">
        <v>0</v>
      </c>
      <c r="Q829" s="802">
        <v>485474</v>
      </c>
      <c r="R829" s="802"/>
      <c r="S829" s="803">
        <v>18274287</v>
      </c>
      <c r="T829" s="804">
        <v>101682</v>
      </c>
      <c r="U829" s="804">
        <v>18375969</v>
      </c>
    </row>
    <row r="830" spans="1:21" x14ac:dyDescent="0.25">
      <c r="A830" s="799">
        <v>99202</v>
      </c>
      <c r="B830" s="800" t="s">
        <v>3443</v>
      </c>
      <c r="C830" s="801">
        <v>2.5138000000000001E-3</v>
      </c>
      <c r="D830" s="801">
        <v>2.6002999999999998E-3</v>
      </c>
      <c r="E830" s="802">
        <v>915266</v>
      </c>
      <c r="F830" s="802">
        <v>1166999</v>
      </c>
      <c r="G830" s="802">
        <v>5335126</v>
      </c>
      <c r="H830" s="802"/>
      <c r="I830" s="803">
        <v>100238</v>
      </c>
      <c r="J830" s="803">
        <v>4675271</v>
      </c>
      <c r="K830" s="803">
        <v>365408</v>
      </c>
      <c r="L830" s="802">
        <v>0</v>
      </c>
      <c r="M830" s="802"/>
      <c r="N830" s="803">
        <v>186949</v>
      </c>
      <c r="O830" s="803">
        <v>1725618</v>
      </c>
      <c r="P830" s="803">
        <v>0</v>
      </c>
      <c r="Q830" s="802">
        <v>202410</v>
      </c>
      <c r="R830" s="802"/>
      <c r="S830" s="803">
        <v>1426001</v>
      </c>
      <c r="T830" s="804">
        <v>-62123</v>
      </c>
      <c r="U830" s="804">
        <v>1363878</v>
      </c>
    </row>
    <row r="831" spans="1:21" x14ac:dyDescent="0.25">
      <c r="A831" s="799">
        <v>99203</v>
      </c>
      <c r="B831" s="800" t="s">
        <v>3444</v>
      </c>
      <c r="C831" s="801">
        <v>3.1990000000000002E-4</v>
      </c>
      <c r="D831" s="801">
        <v>2.5050000000000002E-4</v>
      </c>
      <c r="E831" s="802">
        <v>105117</v>
      </c>
      <c r="F831" s="802">
        <v>112423</v>
      </c>
      <c r="G831" s="802">
        <v>678935</v>
      </c>
      <c r="H831" s="802"/>
      <c r="I831" s="803">
        <v>12756</v>
      </c>
      <c r="J831" s="803">
        <v>594963</v>
      </c>
      <c r="K831" s="803">
        <v>46501</v>
      </c>
      <c r="L831" s="802">
        <v>40829</v>
      </c>
      <c r="M831" s="802"/>
      <c r="N831" s="803">
        <v>23791</v>
      </c>
      <c r="O831" s="803">
        <v>219598</v>
      </c>
      <c r="P831" s="803">
        <v>0</v>
      </c>
      <c r="Q831" s="802">
        <v>0</v>
      </c>
      <c r="R831" s="802"/>
      <c r="S831" s="803">
        <v>181469</v>
      </c>
      <c r="T831" s="804">
        <v>16396</v>
      </c>
      <c r="U831" s="804">
        <v>197865</v>
      </c>
    </row>
    <row r="832" spans="1:21" x14ac:dyDescent="0.25">
      <c r="A832" s="799">
        <v>99204</v>
      </c>
      <c r="B832" s="800" t="s">
        <v>3445</v>
      </c>
      <c r="C832" s="801">
        <v>7.4910000000000005E-4</v>
      </c>
      <c r="D832" s="801">
        <v>6.5600000000000001E-4</v>
      </c>
      <c r="E832" s="802">
        <v>316209.94</v>
      </c>
      <c r="F832" s="802">
        <v>294409</v>
      </c>
      <c r="G832" s="802">
        <v>1589841</v>
      </c>
      <c r="H832" s="802"/>
      <c r="I832" s="803">
        <v>29870</v>
      </c>
      <c r="J832" s="803">
        <v>1393208</v>
      </c>
      <c r="K832" s="803">
        <v>108890</v>
      </c>
      <c r="L832" s="802">
        <v>82158</v>
      </c>
      <c r="M832" s="802"/>
      <c r="N832" s="803">
        <v>55710</v>
      </c>
      <c r="O832" s="803">
        <v>514226</v>
      </c>
      <c r="P832" s="803">
        <v>0</v>
      </c>
      <c r="Q832" s="802">
        <v>0</v>
      </c>
      <c r="R832" s="802"/>
      <c r="S832" s="803">
        <v>424941</v>
      </c>
      <c r="T832" s="804">
        <v>24836</v>
      </c>
      <c r="U832" s="804">
        <v>449777</v>
      </c>
    </row>
    <row r="833" spans="1:21" x14ac:dyDescent="0.25">
      <c r="A833" s="799">
        <v>99206</v>
      </c>
      <c r="B833" s="800" t="s">
        <v>3446</v>
      </c>
      <c r="C833" s="801">
        <v>1.6665E-3</v>
      </c>
      <c r="D833" s="801">
        <v>1.9373999999999999E-3</v>
      </c>
      <c r="E833" s="802">
        <v>1101168.54</v>
      </c>
      <c r="F833" s="802">
        <v>869493</v>
      </c>
      <c r="G833" s="802">
        <v>3536871</v>
      </c>
      <c r="H833" s="802"/>
      <c r="I833" s="803">
        <v>66452</v>
      </c>
      <c r="J833" s="803">
        <v>3099427</v>
      </c>
      <c r="K833" s="803">
        <v>242244</v>
      </c>
      <c r="L833" s="802">
        <v>400880</v>
      </c>
      <c r="M833" s="802"/>
      <c r="N833" s="803">
        <v>123936</v>
      </c>
      <c r="O833" s="803">
        <v>1143982</v>
      </c>
      <c r="P833" s="803">
        <v>0</v>
      </c>
      <c r="Q833" s="802">
        <v>13550</v>
      </c>
      <c r="R833" s="802"/>
      <c r="S833" s="803">
        <v>945354</v>
      </c>
      <c r="T833" s="804">
        <v>117813</v>
      </c>
      <c r="U833" s="804">
        <v>1063167</v>
      </c>
    </row>
    <row r="834" spans="1:21" x14ac:dyDescent="0.25">
      <c r="A834" s="799">
        <v>99207</v>
      </c>
      <c r="B834" s="800" t="s">
        <v>3447</v>
      </c>
      <c r="C834" s="801">
        <v>1.3430000000000001E-4</v>
      </c>
      <c r="D834" s="801">
        <v>1.4320000000000001E-4</v>
      </c>
      <c r="E834" s="802">
        <v>122929.82</v>
      </c>
      <c r="F834" s="802">
        <v>64267</v>
      </c>
      <c r="G834" s="802">
        <v>285030</v>
      </c>
      <c r="H834" s="802"/>
      <c r="I834" s="803">
        <v>5355</v>
      </c>
      <c r="J834" s="803">
        <v>249777</v>
      </c>
      <c r="K834" s="803">
        <v>19522</v>
      </c>
      <c r="L834" s="802">
        <v>79584</v>
      </c>
      <c r="M834" s="802"/>
      <c r="N834" s="803">
        <v>9988</v>
      </c>
      <c r="O834" s="803">
        <v>92191</v>
      </c>
      <c r="P834" s="803">
        <v>0</v>
      </c>
      <c r="Q834" s="802">
        <v>0</v>
      </c>
      <c r="R834" s="802"/>
      <c r="S834" s="803">
        <v>76184</v>
      </c>
      <c r="T834" s="804">
        <v>24293</v>
      </c>
      <c r="U834" s="804">
        <v>100477</v>
      </c>
    </row>
    <row r="835" spans="1:21" x14ac:dyDescent="0.25">
      <c r="A835" s="799">
        <v>99208</v>
      </c>
      <c r="B835" s="800" t="s">
        <v>3448</v>
      </c>
      <c r="C835" s="801">
        <v>1.3669999999999999E-4</v>
      </c>
      <c r="D835" s="801">
        <v>1.774E-4</v>
      </c>
      <c r="E835" s="802">
        <v>46840</v>
      </c>
      <c r="F835" s="802">
        <v>79616</v>
      </c>
      <c r="G835" s="802">
        <v>290123</v>
      </c>
      <c r="H835" s="802"/>
      <c r="I835" s="803">
        <v>5451</v>
      </c>
      <c r="J835" s="803">
        <v>254240</v>
      </c>
      <c r="K835" s="803">
        <v>19871</v>
      </c>
      <c r="L835" s="802">
        <v>0</v>
      </c>
      <c r="M835" s="802"/>
      <c r="N835" s="803">
        <v>10166</v>
      </c>
      <c r="O835" s="803">
        <v>93839</v>
      </c>
      <c r="P835" s="803">
        <v>0</v>
      </c>
      <c r="Q835" s="802">
        <v>57522</v>
      </c>
      <c r="R835" s="802"/>
      <c r="S835" s="803">
        <v>77546</v>
      </c>
      <c r="T835" s="804">
        <v>-20235</v>
      </c>
      <c r="U835" s="804">
        <v>57311</v>
      </c>
    </row>
    <row r="836" spans="1:21" x14ac:dyDescent="0.25">
      <c r="A836" s="799">
        <v>99210</v>
      </c>
      <c r="B836" s="800" t="s">
        <v>3449</v>
      </c>
      <c r="C836" s="801">
        <v>1.5945E-3</v>
      </c>
      <c r="D836" s="801">
        <v>1.6262E-3</v>
      </c>
      <c r="E836" s="802">
        <v>706576</v>
      </c>
      <c r="F836" s="802">
        <v>729829</v>
      </c>
      <c r="G836" s="802">
        <v>3384063</v>
      </c>
      <c r="H836" s="802"/>
      <c r="I836" s="803">
        <v>63581</v>
      </c>
      <c r="J836" s="803">
        <v>2965518</v>
      </c>
      <c r="K836" s="803">
        <v>231778</v>
      </c>
      <c r="L836" s="802">
        <v>80869</v>
      </c>
      <c r="M836" s="802"/>
      <c r="N836" s="803">
        <v>118581</v>
      </c>
      <c r="O836" s="803">
        <v>1094557</v>
      </c>
      <c r="P836" s="803">
        <v>0</v>
      </c>
      <c r="Q836" s="802">
        <v>0</v>
      </c>
      <c r="R836" s="802"/>
      <c r="S836" s="803">
        <v>904510</v>
      </c>
      <c r="T836" s="804">
        <v>27611</v>
      </c>
      <c r="U836" s="804">
        <v>932122</v>
      </c>
    </row>
    <row r="837" spans="1:21" x14ac:dyDescent="0.25">
      <c r="A837" s="799">
        <v>99211</v>
      </c>
      <c r="B837" s="800" t="s">
        <v>3450</v>
      </c>
      <c r="C837" s="801">
        <v>3.8233999999999997E-2</v>
      </c>
      <c r="D837" s="801">
        <v>3.7564199999999999E-2</v>
      </c>
      <c r="E837" s="802">
        <v>14152947</v>
      </c>
      <c r="F837" s="802">
        <v>16858588</v>
      </c>
      <c r="G837" s="802">
        <v>81145356</v>
      </c>
      <c r="H837" s="802"/>
      <c r="I837" s="803">
        <v>1524580.75</v>
      </c>
      <c r="J837" s="803">
        <v>71109199</v>
      </c>
      <c r="K837" s="803">
        <v>5557732</v>
      </c>
      <c r="L837" s="802">
        <v>0</v>
      </c>
      <c r="M837" s="802"/>
      <c r="N837" s="803">
        <v>2843424</v>
      </c>
      <c r="O837" s="803">
        <v>26246035</v>
      </c>
      <c r="P837" s="803">
        <v>0</v>
      </c>
      <c r="Q837" s="802">
        <v>1538962</v>
      </c>
      <c r="R837" s="802"/>
      <c r="S837" s="803">
        <v>21688963</v>
      </c>
      <c r="T837" s="804">
        <v>-519725</v>
      </c>
      <c r="U837" s="804">
        <v>21169238</v>
      </c>
    </row>
    <row r="838" spans="1:21" x14ac:dyDescent="0.25">
      <c r="A838" s="799">
        <v>99212</v>
      </c>
      <c r="B838" s="800" t="s">
        <v>3451</v>
      </c>
      <c r="C838" s="801">
        <v>7.4400000000000006E-5</v>
      </c>
      <c r="D838" s="801">
        <v>1.2750000000000001E-4</v>
      </c>
      <c r="E838" s="802">
        <v>26346.03</v>
      </c>
      <c r="F838" s="802">
        <v>57221</v>
      </c>
      <c r="G838" s="802">
        <v>157902</v>
      </c>
      <c r="H838" s="802"/>
      <c r="I838" s="803">
        <v>2967</v>
      </c>
      <c r="J838" s="803">
        <v>138372</v>
      </c>
      <c r="K838" s="803">
        <v>10815</v>
      </c>
      <c r="L838" s="802">
        <v>0</v>
      </c>
      <c r="M838" s="802"/>
      <c r="N838" s="803">
        <v>5533</v>
      </c>
      <c r="O838" s="803">
        <v>51072</v>
      </c>
      <c r="P838" s="803">
        <v>0</v>
      </c>
      <c r="Q838" s="802">
        <v>49365</v>
      </c>
      <c r="R838" s="802"/>
      <c r="S838" s="803">
        <v>42205</v>
      </c>
      <c r="T838" s="804">
        <v>-15321</v>
      </c>
      <c r="U838" s="804">
        <v>26884</v>
      </c>
    </row>
    <row r="839" spans="1:21" x14ac:dyDescent="0.25">
      <c r="A839" s="799">
        <v>99213</v>
      </c>
      <c r="B839" s="800" t="s">
        <v>3452</v>
      </c>
      <c r="C839" s="801">
        <v>8.0730000000000005E-4</v>
      </c>
      <c r="D839" s="801">
        <v>8.3339999999999998E-4</v>
      </c>
      <c r="E839" s="802">
        <v>326035</v>
      </c>
      <c r="F839" s="802">
        <v>374025</v>
      </c>
      <c r="G839" s="802">
        <v>1713361</v>
      </c>
      <c r="H839" s="802"/>
      <c r="I839" s="803">
        <v>32191</v>
      </c>
      <c r="J839" s="803">
        <v>1501450</v>
      </c>
      <c r="K839" s="803">
        <v>117350</v>
      </c>
      <c r="L839" s="802">
        <v>9384</v>
      </c>
      <c r="M839" s="802"/>
      <c r="N839" s="803">
        <v>60038</v>
      </c>
      <c r="O839" s="803">
        <v>554178</v>
      </c>
      <c r="P839" s="803">
        <v>0</v>
      </c>
      <c r="Q839" s="802">
        <v>21194</v>
      </c>
      <c r="R839" s="802"/>
      <c r="S839" s="803">
        <v>457956</v>
      </c>
      <c r="T839" s="804">
        <v>-2728</v>
      </c>
      <c r="U839" s="804">
        <v>455228</v>
      </c>
    </row>
    <row r="840" spans="1:21" x14ac:dyDescent="0.25">
      <c r="A840" s="799">
        <v>99218</v>
      </c>
      <c r="B840" s="800" t="s">
        <v>3453</v>
      </c>
      <c r="C840" s="801">
        <v>3.1227999999999998E-3</v>
      </c>
      <c r="D840" s="801">
        <v>2.8506999999999998E-3</v>
      </c>
      <c r="E840" s="802">
        <v>1270452.44</v>
      </c>
      <c r="F840" s="802">
        <v>1279377</v>
      </c>
      <c r="G840" s="802">
        <v>6627628</v>
      </c>
      <c r="H840" s="802"/>
      <c r="I840" s="803">
        <v>124521.65</v>
      </c>
      <c r="J840" s="803">
        <v>5807915</v>
      </c>
      <c r="K840" s="803">
        <v>453933</v>
      </c>
      <c r="L840" s="802">
        <v>189764</v>
      </c>
      <c r="M840" s="802"/>
      <c r="N840" s="803">
        <v>232240</v>
      </c>
      <c r="O840" s="803">
        <v>2143671</v>
      </c>
      <c r="P840" s="803">
        <v>0</v>
      </c>
      <c r="Q840" s="802">
        <v>0</v>
      </c>
      <c r="R840" s="802"/>
      <c r="S840" s="803">
        <v>1771468</v>
      </c>
      <c r="T840" s="804">
        <v>55483</v>
      </c>
      <c r="U840" s="804">
        <v>1826951</v>
      </c>
    </row>
    <row r="841" spans="1:21" x14ac:dyDescent="0.25">
      <c r="A841" s="799">
        <v>99221</v>
      </c>
      <c r="B841" s="800" t="s">
        <v>3454</v>
      </c>
      <c r="C841" s="801">
        <v>1.3092700000000001E-2</v>
      </c>
      <c r="D841" s="801">
        <v>1.33233E-2</v>
      </c>
      <c r="E841" s="802">
        <v>4943528</v>
      </c>
      <c r="F841" s="802">
        <v>5979417</v>
      </c>
      <c r="G841" s="802">
        <v>27787095</v>
      </c>
      <c r="H841" s="802"/>
      <c r="I841" s="803">
        <v>522071</v>
      </c>
      <c r="J841" s="803">
        <v>24350353</v>
      </c>
      <c r="K841" s="803">
        <v>1903168</v>
      </c>
      <c r="L841" s="802">
        <v>0</v>
      </c>
      <c r="M841" s="802"/>
      <c r="N841" s="803">
        <v>973691</v>
      </c>
      <c r="O841" s="803">
        <v>8987589</v>
      </c>
      <c r="P841" s="803">
        <v>0</v>
      </c>
      <c r="Q841" s="802">
        <v>703621</v>
      </c>
      <c r="R841" s="802"/>
      <c r="S841" s="803">
        <v>7427083</v>
      </c>
      <c r="T841" s="804">
        <v>-220701</v>
      </c>
      <c r="U841" s="804">
        <v>7206381</v>
      </c>
    </row>
    <row r="842" spans="1:21" x14ac:dyDescent="0.25">
      <c r="A842" s="799">
        <v>99222</v>
      </c>
      <c r="B842" s="800" t="s">
        <v>3455</v>
      </c>
      <c r="C842" s="801">
        <v>4.0099999999999999E-5</v>
      </c>
      <c r="D842" s="801">
        <v>3.82E-5</v>
      </c>
      <c r="E842" s="802">
        <v>13647</v>
      </c>
      <c r="F842" s="802">
        <v>17144</v>
      </c>
      <c r="G842" s="802">
        <v>85106</v>
      </c>
      <c r="H842" s="802"/>
      <c r="I842" s="803">
        <v>1599</v>
      </c>
      <c r="J842" s="803">
        <v>74580</v>
      </c>
      <c r="K842" s="803">
        <v>5829</v>
      </c>
      <c r="L842" s="802">
        <v>3575</v>
      </c>
      <c r="M842" s="802"/>
      <c r="N842" s="803">
        <v>2982</v>
      </c>
      <c r="O842" s="803">
        <v>27527</v>
      </c>
      <c r="P842" s="803">
        <v>0</v>
      </c>
      <c r="Q842" s="802">
        <v>1230</v>
      </c>
      <c r="R842" s="802"/>
      <c r="S842" s="803">
        <v>22747</v>
      </c>
      <c r="T842" s="804">
        <v>949</v>
      </c>
      <c r="U842" s="804">
        <v>23697</v>
      </c>
    </row>
    <row r="843" spans="1:21" x14ac:dyDescent="0.25">
      <c r="A843" s="799">
        <v>99231</v>
      </c>
      <c r="B843" s="800" t="s">
        <v>3456</v>
      </c>
      <c r="C843" s="801">
        <v>3.7869999999999999E-4</v>
      </c>
      <c r="D843" s="801">
        <v>3.7139999999999997E-4</v>
      </c>
      <c r="E843" s="802">
        <v>142098.15</v>
      </c>
      <c r="F843" s="802">
        <v>166682</v>
      </c>
      <c r="G843" s="802">
        <v>803728</v>
      </c>
      <c r="H843" s="802"/>
      <c r="I843" s="803">
        <v>15101</v>
      </c>
      <c r="J843" s="803">
        <v>704322</v>
      </c>
      <c r="K843" s="803">
        <v>55048</v>
      </c>
      <c r="L843" s="802">
        <v>0</v>
      </c>
      <c r="M843" s="802"/>
      <c r="N843" s="803">
        <v>28164</v>
      </c>
      <c r="O843" s="803">
        <v>259962</v>
      </c>
      <c r="P843" s="803">
        <v>0</v>
      </c>
      <c r="Q843" s="802">
        <v>27202</v>
      </c>
      <c r="R843" s="802"/>
      <c r="S843" s="803">
        <v>214825</v>
      </c>
      <c r="T843" s="804">
        <v>-11082</v>
      </c>
      <c r="U843" s="804">
        <v>203743</v>
      </c>
    </row>
    <row r="844" spans="1:21" x14ac:dyDescent="0.25">
      <c r="A844" s="799">
        <v>99241</v>
      </c>
      <c r="B844" s="800" t="s">
        <v>3457</v>
      </c>
      <c r="C844" s="801">
        <v>5.6039999999999996E-4</v>
      </c>
      <c r="D844" s="801">
        <v>5.9259999999999998E-4</v>
      </c>
      <c r="E844" s="802">
        <v>196949</v>
      </c>
      <c r="F844" s="802">
        <v>265955</v>
      </c>
      <c r="G844" s="802">
        <v>1189357</v>
      </c>
      <c r="H844" s="802"/>
      <c r="I844" s="803">
        <v>22346</v>
      </c>
      <c r="J844" s="803">
        <v>1042255</v>
      </c>
      <c r="K844" s="803">
        <v>81460</v>
      </c>
      <c r="L844" s="802">
        <v>0</v>
      </c>
      <c r="M844" s="802"/>
      <c r="N844" s="803">
        <v>41676</v>
      </c>
      <c r="O844" s="803">
        <v>384691</v>
      </c>
      <c r="P844" s="803">
        <v>0</v>
      </c>
      <c r="Q844" s="802">
        <v>122254</v>
      </c>
      <c r="R844" s="802"/>
      <c r="S844" s="803">
        <v>317898</v>
      </c>
      <c r="T844" s="804">
        <v>-45505</v>
      </c>
      <c r="U844" s="804">
        <v>272393</v>
      </c>
    </row>
    <row r="845" spans="1:21" x14ac:dyDescent="0.25">
      <c r="A845" s="799">
        <v>99251</v>
      </c>
      <c r="B845" s="800" t="s">
        <v>3458</v>
      </c>
      <c r="C845" s="801">
        <v>1.6521000000000001E-3</v>
      </c>
      <c r="D845" s="801">
        <v>1.598E-3</v>
      </c>
      <c r="E845" s="802">
        <v>644905</v>
      </c>
      <c r="F845" s="802">
        <v>717173</v>
      </c>
      <c r="G845" s="802">
        <v>3506310</v>
      </c>
      <c r="H845" s="802"/>
      <c r="I845" s="803">
        <v>65877</v>
      </c>
      <c r="J845" s="803">
        <v>3072645</v>
      </c>
      <c r="K845" s="803">
        <v>240151</v>
      </c>
      <c r="L845" s="802">
        <v>3992</v>
      </c>
      <c r="M845" s="802"/>
      <c r="N845" s="803">
        <v>122865</v>
      </c>
      <c r="O845" s="803">
        <v>1134097</v>
      </c>
      <c r="P845" s="803">
        <v>0</v>
      </c>
      <c r="Q845" s="802">
        <v>14191</v>
      </c>
      <c r="R845" s="802"/>
      <c r="S845" s="803">
        <v>937185</v>
      </c>
      <c r="T845" s="804">
        <v>-5897</v>
      </c>
      <c r="U845" s="804">
        <v>931288</v>
      </c>
    </row>
    <row r="846" spans="1:21" x14ac:dyDescent="0.25">
      <c r="A846" s="799">
        <v>99252</v>
      </c>
      <c r="B846" s="800" t="s">
        <v>3459</v>
      </c>
      <c r="C846" s="801">
        <v>5.8279999999999996E-4</v>
      </c>
      <c r="D846" s="801">
        <v>7.4010000000000005E-4</v>
      </c>
      <c r="E846" s="802">
        <v>174600</v>
      </c>
      <c r="F846" s="802">
        <v>332152</v>
      </c>
      <c r="G846" s="802">
        <v>1236897</v>
      </c>
      <c r="H846" s="802"/>
      <c r="I846" s="803">
        <v>23239</v>
      </c>
      <c r="J846" s="803">
        <v>1083916</v>
      </c>
      <c r="K846" s="803">
        <v>84716</v>
      </c>
      <c r="L846" s="802">
        <v>0</v>
      </c>
      <c r="M846" s="802"/>
      <c r="N846" s="803">
        <v>43342</v>
      </c>
      <c r="O846" s="803">
        <v>400068</v>
      </c>
      <c r="P846" s="803">
        <v>0</v>
      </c>
      <c r="Q846" s="802">
        <v>244190</v>
      </c>
      <c r="R846" s="802"/>
      <c r="S846" s="803">
        <v>330604</v>
      </c>
      <c r="T846" s="804">
        <v>-77201</v>
      </c>
      <c r="U846" s="804">
        <v>253403</v>
      </c>
    </row>
    <row r="847" spans="1:21" x14ac:dyDescent="0.25">
      <c r="A847" s="799">
        <v>99261</v>
      </c>
      <c r="B847" s="800" t="s">
        <v>3460</v>
      </c>
      <c r="C847" s="801">
        <v>1.9145E-3</v>
      </c>
      <c r="D847" s="801">
        <v>1.8552E-3</v>
      </c>
      <c r="E847" s="802">
        <v>638819</v>
      </c>
      <c r="F847" s="802">
        <v>832603</v>
      </c>
      <c r="G847" s="802">
        <v>4063210</v>
      </c>
      <c r="H847" s="802"/>
      <c r="I847" s="803">
        <v>76341</v>
      </c>
      <c r="J847" s="803">
        <v>3560668</v>
      </c>
      <c r="K847" s="803">
        <v>278294</v>
      </c>
      <c r="L847" s="802">
        <v>0</v>
      </c>
      <c r="M847" s="802"/>
      <c r="N847" s="803">
        <v>142379</v>
      </c>
      <c r="O847" s="803">
        <v>1314224</v>
      </c>
      <c r="P847" s="803">
        <v>0</v>
      </c>
      <c r="Q847" s="802">
        <v>177810</v>
      </c>
      <c r="R847" s="802"/>
      <c r="S847" s="803">
        <v>1086037</v>
      </c>
      <c r="T847" s="804">
        <v>-61359</v>
      </c>
      <c r="U847" s="804">
        <v>1024677</v>
      </c>
    </row>
    <row r="848" spans="1:21" x14ac:dyDescent="0.25">
      <c r="A848" s="799">
        <v>99271</v>
      </c>
      <c r="B848" s="800" t="s">
        <v>3461</v>
      </c>
      <c r="C848" s="801">
        <v>3.9248E-3</v>
      </c>
      <c r="D848" s="801">
        <v>3.9693000000000003E-3</v>
      </c>
      <c r="E848" s="802">
        <v>1483973.83</v>
      </c>
      <c r="F848" s="802">
        <v>1781398</v>
      </c>
      <c r="G848" s="802">
        <v>8329740</v>
      </c>
      <c r="H848" s="802"/>
      <c r="I848" s="803">
        <v>156501.4</v>
      </c>
      <c r="J848" s="803">
        <v>7299508</v>
      </c>
      <c r="K848" s="803">
        <v>570513</v>
      </c>
      <c r="L848" s="802">
        <v>0</v>
      </c>
      <c r="M848" s="802"/>
      <c r="N848" s="803">
        <v>291883</v>
      </c>
      <c r="O848" s="803">
        <v>2694210</v>
      </c>
      <c r="P848" s="803">
        <v>0</v>
      </c>
      <c r="Q848" s="802">
        <v>151650</v>
      </c>
      <c r="R848" s="802"/>
      <c r="S848" s="803">
        <v>2226417</v>
      </c>
      <c r="T848" s="804">
        <v>-42013</v>
      </c>
      <c r="U848" s="804">
        <v>2184404</v>
      </c>
    </row>
    <row r="849" spans="1:21" x14ac:dyDescent="0.25">
      <c r="A849" s="799">
        <v>99281</v>
      </c>
      <c r="B849" s="800" t="s">
        <v>3462</v>
      </c>
      <c r="C849" s="801">
        <v>2.2824E-3</v>
      </c>
      <c r="D849" s="801">
        <v>2.3207000000000002E-3</v>
      </c>
      <c r="E849" s="802">
        <v>859938</v>
      </c>
      <c r="F849" s="802">
        <v>1041516</v>
      </c>
      <c r="G849" s="802">
        <v>4844017</v>
      </c>
      <c r="H849" s="802"/>
      <c r="I849" s="803">
        <v>91010.7</v>
      </c>
      <c r="J849" s="803">
        <v>4244903</v>
      </c>
      <c r="K849" s="803">
        <v>331772</v>
      </c>
      <c r="L849" s="802">
        <v>13554</v>
      </c>
      <c r="M849" s="802"/>
      <c r="N849" s="803">
        <v>169740</v>
      </c>
      <c r="O849" s="803">
        <v>1566772</v>
      </c>
      <c r="P849" s="803">
        <v>0</v>
      </c>
      <c r="Q849" s="802">
        <v>113243</v>
      </c>
      <c r="R849" s="802"/>
      <c r="S849" s="803">
        <v>1294735</v>
      </c>
      <c r="T849" s="804">
        <v>-25393</v>
      </c>
      <c r="U849" s="804">
        <v>1269342</v>
      </c>
    </row>
    <row r="850" spans="1:21" x14ac:dyDescent="0.25">
      <c r="A850" s="799">
        <v>99291</v>
      </c>
      <c r="B850" s="800" t="s">
        <v>3463</v>
      </c>
      <c r="C850" s="801">
        <v>7.7260000000000002E-4</v>
      </c>
      <c r="D850" s="801">
        <v>8.0780000000000001E-4</v>
      </c>
      <c r="E850" s="802">
        <v>267315.87</v>
      </c>
      <c r="F850" s="802">
        <v>362536</v>
      </c>
      <c r="G850" s="802">
        <v>1639716</v>
      </c>
      <c r="H850" s="802"/>
      <c r="I850" s="803">
        <v>30807</v>
      </c>
      <c r="J850" s="803">
        <v>1436914</v>
      </c>
      <c r="K850" s="803">
        <v>112306</v>
      </c>
      <c r="L850" s="802">
        <v>0</v>
      </c>
      <c r="M850" s="802"/>
      <c r="N850" s="803">
        <v>57457</v>
      </c>
      <c r="O850" s="803">
        <v>530357</v>
      </c>
      <c r="P850" s="803">
        <v>0</v>
      </c>
      <c r="Q850" s="802">
        <v>124026</v>
      </c>
      <c r="R850" s="802"/>
      <c r="S850" s="803">
        <v>438272</v>
      </c>
      <c r="T850" s="804">
        <v>-41703</v>
      </c>
      <c r="U850" s="804">
        <v>396569</v>
      </c>
    </row>
    <row r="851" spans="1:21" x14ac:dyDescent="0.25">
      <c r="A851" s="799">
        <v>99301</v>
      </c>
      <c r="B851" s="800" t="s">
        <v>3464</v>
      </c>
      <c r="C851" s="801">
        <v>1.8458000000000001E-3</v>
      </c>
      <c r="D851" s="801">
        <v>1.7903000000000001E-3</v>
      </c>
      <c r="E851" s="802">
        <v>720012.84</v>
      </c>
      <c r="F851" s="802">
        <v>803476</v>
      </c>
      <c r="G851" s="802">
        <v>3917406</v>
      </c>
      <c r="H851" s="802"/>
      <c r="I851" s="803">
        <v>73601</v>
      </c>
      <c r="J851" s="803">
        <v>3432896</v>
      </c>
      <c r="K851" s="803">
        <v>268307</v>
      </c>
      <c r="L851" s="802">
        <v>122430</v>
      </c>
      <c r="M851" s="802"/>
      <c r="N851" s="803">
        <v>137270</v>
      </c>
      <c r="O851" s="803">
        <v>1267064</v>
      </c>
      <c r="P851" s="803">
        <v>0</v>
      </c>
      <c r="Q851" s="802">
        <v>957</v>
      </c>
      <c r="R851" s="802"/>
      <c r="S851" s="803">
        <v>1047065</v>
      </c>
      <c r="T851" s="804">
        <v>54774</v>
      </c>
      <c r="U851" s="804">
        <v>1101839</v>
      </c>
    </row>
    <row r="852" spans="1:21" x14ac:dyDescent="0.25">
      <c r="A852" s="799">
        <v>99304</v>
      </c>
      <c r="B852" s="800" t="s">
        <v>3465</v>
      </c>
      <c r="C852" s="801">
        <v>9.9000000000000001E-6</v>
      </c>
      <c r="D852" s="801">
        <v>1.0000000000000001E-5</v>
      </c>
      <c r="E852" s="802">
        <v>6537</v>
      </c>
      <c r="F852" s="802">
        <v>4488</v>
      </c>
      <c r="G852" s="802">
        <v>21011</v>
      </c>
      <c r="H852" s="802"/>
      <c r="I852" s="803">
        <v>394.76249999999999</v>
      </c>
      <c r="J852" s="803">
        <v>18412</v>
      </c>
      <c r="K852" s="803">
        <v>1439</v>
      </c>
      <c r="L852" s="802">
        <v>3536</v>
      </c>
      <c r="M852" s="802"/>
      <c r="N852" s="803">
        <v>736</v>
      </c>
      <c r="O852" s="803">
        <v>6796</v>
      </c>
      <c r="P852" s="803">
        <v>0</v>
      </c>
      <c r="Q852" s="802">
        <v>498</v>
      </c>
      <c r="R852" s="802"/>
      <c r="S852" s="803">
        <v>5616</v>
      </c>
      <c r="T852" s="804">
        <v>822</v>
      </c>
      <c r="U852" s="804">
        <v>6438</v>
      </c>
    </row>
    <row r="853" spans="1:21" x14ac:dyDescent="0.25">
      <c r="A853" s="799">
        <v>99311</v>
      </c>
      <c r="B853" s="800" t="s">
        <v>3466</v>
      </c>
      <c r="C853" s="801">
        <v>5.7599999999999997E-5</v>
      </c>
      <c r="D853" s="801">
        <v>6.2100000000000005E-5</v>
      </c>
      <c r="E853" s="802">
        <v>21136.39</v>
      </c>
      <c r="F853" s="802">
        <v>27870</v>
      </c>
      <c r="G853" s="802">
        <v>122246</v>
      </c>
      <c r="H853" s="802"/>
      <c r="I853" s="803">
        <v>2297</v>
      </c>
      <c r="J853" s="803">
        <v>107127</v>
      </c>
      <c r="K853" s="803">
        <v>8373</v>
      </c>
      <c r="L853" s="802">
        <v>0</v>
      </c>
      <c r="M853" s="802"/>
      <c r="N853" s="803">
        <v>4284</v>
      </c>
      <c r="O853" s="803">
        <v>39540</v>
      </c>
      <c r="P853" s="803">
        <v>0</v>
      </c>
      <c r="Q853" s="802">
        <v>7642</v>
      </c>
      <c r="R853" s="802"/>
      <c r="S853" s="803">
        <v>32675</v>
      </c>
      <c r="T853" s="804">
        <v>-2750</v>
      </c>
      <c r="U853" s="804">
        <v>29925</v>
      </c>
    </row>
    <row r="854" spans="1:21" x14ac:dyDescent="0.25">
      <c r="A854" s="799">
        <v>99321</v>
      </c>
      <c r="B854" s="800" t="s">
        <v>3467</v>
      </c>
      <c r="C854" s="801">
        <v>1.1909999999999999E-4</v>
      </c>
      <c r="D854" s="801">
        <v>1.015E-4</v>
      </c>
      <c r="E854" s="802">
        <v>91759.74</v>
      </c>
      <c r="F854" s="802">
        <v>45553</v>
      </c>
      <c r="G854" s="802">
        <v>252770</v>
      </c>
      <c r="H854" s="802"/>
      <c r="I854" s="803">
        <v>4749</v>
      </c>
      <c r="J854" s="803">
        <v>221507</v>
      </c>
      <c r="K854" s="803">
        <v>17312</v>
      </c>
      <c r="L854" s="802">
        <v>97754</v>
      </c>
      <c r="M854" s="802"/>
      <c r="N854" s="803">
        <v>8857</v>
      </c>
      <c r="O854" s="803">
        <v>81757</v>
      </c>
      <c r="P854" s="803">
        <v>0</v>
      </c>
      <c r="Q854" s="802">
        <v>0</v>
      </c>
      <c r="R854" s="802"/>
      <c r="S854" s="803">
        <v>67562</v>
      </c>
      <c r="T854" s="804">
        <v>33905</v>
      </c>
      <c r="U854" s="804">
        <v>101467</v>
      </c>
    </row>
    <row r="855" spans="1:21" x14ac:dyDescent="0.25">
      <c r="A855" s="799">
        <v>99401</v>
      </c>
      <c r="B855" s="800" t="s">
        <v>3468</v>
      </c>
      <c r="C855" s="801">
        <v>9.3869999999999999E-4</v>
      </c>
      <c r="D855" s="801">
        <v>9.0470000000000004E-4</v>
      </c>
      <c r="E855" s="802">
        <v>380574.92</v>
      </c>
      <c r="F855" s="802">
        <v>406024</v>
      </c>
      <c r="G855" s="802">
        <v>1992236</v>
      </c>
      <c r="H855" s="802"/>
      <c r="I855" s="803">
        <v>37431</v>
      </c>
      <c r="J855" s="803">
        <v>1745834</v>
      </c>
      <c r="K855" s="803">
        <v>136450</v>
      </c>
      <c r="L855" s="802">
        <v>60934</v>
      </c>
      <c r="M855" s="802"/>
      <c r="N855" s="803">
        <v>69810</v>
      </c>
      <c r="O855" s="803">
        <v>644378</v>
      </c>
      <c r="P855" s="803">
        <v>0</v>
      </c>
      <c r="Q855" s="802">
        <v>0</v>
      </c>
      <c r="R855" s="802"/>
      <c r="S855" s="803">
        <v>532495</v>
      </c>
      <c r="T855" s="804">
        <v>26694</v>
      </c>
      <c r="U855" s="804">
        <v>559189</v>
      </c>
    </row>
    <row r="856" spans="1:21" x14ac:dyDescent="0.25">
      <c r="A856" s="799">
        <v>99404</v>
      </c>
      <c r="B856" s="800" t="s">
        <v>3469</v>
      </c>
      <c r="C856" s="801">
        <v>9.5999999999999996E-6</v>
      </c>
      <c r="D856" s="801">
        <v>9.9000000000000001E-6</v>
      </c>
      <c r="E856" s="802">
        <v>4863.32</v>
      </c>
      <c r="F856" s="802">
        <v>4443</v>
      </c>
      <c r="G856" s="802">
        <v>20374</v>
      </c>
      <c r="H856" s="802"/>
      <c r="I856" s="803">
        <v>383</v>
      </c>
      <c r="J856" s="803">
        <v>17854</v>
      </c>
      <c r="K856" s="803">
        <v>1395</v>
      </c>
      <c r="L856" s="802">
        <v>890</v>
      </c>
      <c r="M856" s="802"/>
      <c r="N856" s="803">
        <v>714</v>
      </c>
      <c r="O856" s="803">
        <v>6590</v>
      </c>
      <c r="P856" s="803">
        <v>0</v>
      </c>
      <c r="Q856" s="802">
        <v>0</v>
      </c>
      <c r="R856" s="802"/>
      <c r="S856" s="803">
        <v>5446</v>
      </c>
      <c r="T856" s="804">
        <v>284</v>
      </c>
      <c r="U856" s="804">
        <v>5730</v>
      </c>
    </row>
    <row r="857" spans="1:21" x14ac:dyDescent="0.25">
      <c r="A857" s="799">
        <v>99405</v>
      </c>
      <c r="B857" s="800" t="s">
        <v>3470</v>
      </c>
      <c r="C857" s="801">
        <v>5.8100000000000003E-5</v>
      </c>
      <c r="D857" s="801">
        <v>6.3399999999999996E-5</v>
      </c>
      <c r="E857" s="802">
        <v>32556.2</v>
      </c>
      <c r="F857" s="802">
        <v>28454</v>
      </c>
      <c r="G857" s="802">
        <v>123308</v>
      </c>
      <c r="H857" s="802"/>
      <c r="I857" s="803">
        <v>2317</v>
      </c>
      <c r="J857" s="803">
        <v>108057</v>
      </c>
      <c r="K857" s="803">
        <v>8445</v>
      </c>
      <c r="L857" s="802">
        <v>11934</v>
      </c>
      <c r="M857" s="802"/>
      <c r="N857" s="803">
        <v>4321</v>
      </c>
      <c r="O857" s="803">
        <v>39883</v>
      </c>
      <c r="P857" s="803">
        <v>0</v>
      </c>
      <c r="Q857" s="802">
        <v>675</v>
      </c>
      <c r="R857" s="802"/>
      <c r="S857" s="803">
        <v>32958</v>
      </c>
      <c r="T857" s="804">
        <v>3510</v>
      </c>
      <c r="U857" s="804">
        <v>36468</v>
      </c>
    </row>
    <row r="858" spans="1:21" x14ac:dyDescent="0.25">
      <c r="A858" s="799">
        <v>99411</v>
      </c>
      <c r="B858" s="800" t="s">
        <v>3471</v>
      </c>
      <c r="C858" s="801">
        <v>1.2510000000000001E-4</v>
      </c>
      <c r="D858" s="801">
        <v>1.07E-4</v>
      </c>
      <c r="E858" s="802">
        <v>60724</v>
      </c>
      <c r="F858" s="802">
        <v>48021</v>
      </c>
      <c r="G858" s="802">
        <v>265504</v>
      </c>
      <c r="H858" s="802"/>
      <c r="I858" s="803">
        <v>4988</v>
      </c>
      <c r="J858" s="803">
        <v>232666</v>
      </c>
      <c r="K858" s="803">
        <v>18185</v>
      </c>
      <c r="L858" s="802">
        <v>24011</v>
      </c>
      <c r="M858" s="802"/>
      <c r="N858" s="803">
        <v>9304</v>
      </c>
      <c r="O858" s="803">
        <v>85876</v>
      </c>
      <c r="P858" s="803">
        <v>0</v>
      </c>
      <c r="Q858" s="802">
        <v>8844</v>
      </c>
      <c r="R858" s="802"/>
      <c r="S858" s="803">
        <v>70965</v>
      </c>
      <c r="T858" s="804">
        <v>2430</v>
      </c>
      <c r="U858" s="804">
        <v>73395</v>
      </c>
    </row>
    <row r="859" spans="1:21" x14ac:dyDescent="0.25">
      <c r="A859" s="799">
        <v>99413</v>
      </c>
      <c r="B859" s="800" t="s">
        <v>3472</v>
      </c>
      <c r="C859" s="801">
        <v>2.76E-5</v>
      </c>
      <c r="D859" s="801">
        <v>4.21E-5</v>
      </c>
      <c r="E859" s="802">
        <v>17655.62</v>
      </c>
      <c r="F859" s="802">
        <v>18894</v>
      </c>
      <c r="G859" s="802">
        <v>58576</v>
      </c>
      <c r="H859" s="802"/>
      <c r="I859" s="803">
        <v>1100.55</v>
      </c>
      <c r="J859" s="803">
        <v>51332</v>
      </c>
      <c r="K859" s="803">
        <v>4012</v>
      </c>
      <c r="L859" s="802">
        <v>10</v>
      </c>
      <c r="M859" s="802"/>
      <c r="N859" s="803">
        <v>2053</v>
      </c>
      <c r="O859" s="803">
        <v>18946</v>
      </c>
      <c r="P859" s="803">
        <v>0</v>
      </c>
      <c r="Q859" s="802">
        <v>4264</v>
      </c>
      <c r="R859" s="802"/>
      <c r="S859" s="803">
        <v>15657</v>
      </c>
      <c r="T859" s="804">
        <v>-1235</v>
      </c>
      <c r="U859" s="804">
        <v>14422</v>
      </c>
    </row>
    <row r="860" spans="1:21" x14ac:dyDescent="0.25">
      <c r="A860" s="799">
        <v>99421</v>
      </c>
      <c r="B860" s="800" t="s">
        <v>3473</v>
      </c>
      <c r="C860" s="801">
        <v>1.5E-5</v>
      </c>
      <c r="D860" s="801">
        <v>2.2099999999999998E-5</v>
      </c>
      <c r="E860" s="802">
        <v>6577</v>
      </c>
      <c r="F860" s="802">
        <v>9918</v>
      </c>
      <c r="G860" s="802">
        <v>31835</v>
      </c>
      <c r="H860" s="802"/>
      <c r="I860" s="803">
        <v>598.125</v>
      </c>
      <c r="J860" s="803">
        <v>27897.63</v>
      </c>
      <c r="K860" s="803">
        <v>2180.415</v>
      </c>
      <c r="L860" s="802">
        <v>1536</v>
      </c>
      <c r="M860" s="802"/>
      <c r="N860" s="803">
        <v>1116</v>
      </c>
      <c r="O860" s="803">
        <v>10297</v>
      </c>
      <c r="P860" s="803">
        <v>0</v>
      </c>
      <c r="Q860" s="802">
        <v>4910</v>
      </c>
      <c r="R860" s="802"/>
      <c r="S860" s="803">
        <v>8509</v>
      </c>
      <c r="T860" s="804">
        <v>-633</v>
      </c>
      <c r="U860" s="804">
        <v>7876</v>
      </c>
    </row>
    <row r="861" spans="1:21" x14ac:dyDescent="0.25">
      <c r="A861" s="799">
        <v>99431</v>
      </c>
      <c r="B861" s="800" t="s">
        <v>3474</v>
      </c>
      <c r="C861" s="801">
        <v>2.16E-5</v>
      </c>
      <c r="D861" s="801">
        <v>2.09E-5</v>
      </c>
      <c r="E861" s="802">
        <v>6864.37</v>
      </c>
      <c r="F861" s="802">
        <v>9380</v>
      </c>
      <c r="G861" s="802">
        <v>45842</v>
      </c>
      <c r="H861" s="802"/>
      <c r="I861" s="803">
        <v>861.3</v>
      </c>
      <c r="J861" s="803">
        <v>40173</v>
      </c>
      <c r="K861" s="803">
        <v>3140</v>
      </c>
      <c r="L861" s="802">
        <v>2153</v>
      </c>
      <c r="M861" s="802"/>
      <c r="N861" s="803">
        <v>1606</v>
      </c>
      <c r="O861" s="803">
        <v>14827</v>
      </c>
      <c r="P861" s="803">
        <v>0</v>
      </c>
      <c r="Q861" s="802">
        <v>1856</v>
      </c>
      <c r="R861" s="802"/>
      <c r="S861" s="803">
        <v>12253</v>
      </c>
      <c r="T861" s="804">
        <v>541</v>
      </c>
      <c r="U861" s="804">
        <v>12794</v>
      </c>
    </row>
    <row r="862" spans="1:21" x14ac:dyDescent="0.25">
      <c r="A862" s="799">
        <v>99501</v>
      </c>
      <c r="B862" s="800" t="s">
        <v>3475</v>
      </c>
      <c r="C862" s="801">
        <v>1.7390000000000001E-3</v>
      </c>
      <c r="D862" s="801">
        <v>1.7404E-3</v>
      </c>
      <c r="E862" s="802">
        <v>717899.84</v>
      </c>
      <c r="F862" s="802">
        <v>781081</v>
      </c>
      <c r="G862" s="802">
        <v>3690741</v>
      </c>
      <c r="H862" s="802"/>
      <c r="I862" s="803">
        <v>69343</v>
      </c>
      <c r="J862" s="803">
        <v>3234265</v>
      </c>
      <c r="K862" s="803">
        <v>252783</v>
      </c>
      <c r="L862" s="802">
        <v>5725</v>
      </c>
      <c r="M862" s="802"/>
      <c r="N862" s="803">
        <v>129328</v>
      </c>
      <c r="O862" s="803">
        <v>1193750</v>
      </c>
      <c r="P862" s="803">
        <v>0</v>
      </c>
      <c r="Q862" s="802">
        <v>0</v>
      </c>
      <c r="R862" s="802"/>
      <c r="S862" s="803">
        <v>986481</v>
      </c>
      <c r="T862" s="804">
        <v>1961</v>
      </c>
      <c r="U862" s="804">
        <v>988442</v>
      </c>
    </row>
    <row r="863" spans="1:21" x14ac:dyDescent="0.25">
      <c r="A863" s="799">
        <v>99502</v>
      </c>
      <c r="B863" s="800" t="s">
        <v>3476</v>
      </c>
      <c r="C863" s="801">
        <v>1.3779999999999999E-4</v>
      </c>
      <c r="D863" s="801">
        <v>1.628E-4</v>
      </c>
      <c r="E863" s="802">
        <v>87805.53</v>
      </c>
      <c r="F863" s="802">
        <v>73064</v>
      </c>
      <c r="G863" s="802">
        <v>292458</v>
      </c>
      <c r="H863" s="802"/>
      <c r="I863" s="803">
        <v>5495</v>
      </c>
      <c r="J863" s="803">
        <v>256286</v>
      </c>
      <c r="K863" s="803">
        <v>20031</v>
      </c>
      <c r="L863" s="802">
        <v>28542</v>
      </c>
      <c r="M863" s="802"/>
      <c r="N863" s="803">
        <v>10248</v>
      </c>
      <c r="O863" s="803">
        <v>94594</v>
      </c>
      <c r="P863" s="803">
        <v>0</v>
      </c>
      <c r="Q863" s="802">
        <v>143</v>
      </c>
      <c r="R863" s="802"/>
      <c r="S863" s="803">
        <v>78170</v>
      </c>
      <c r="T863" s="804">
        <v>8980</v>
      </c>
      <c r="U863" s="804">
        <v>87150</v>
      </c>
    </row>
    <row r="864" spans="1:21" x14ac:dyDescent="0.25">
      <c r="A864" s="799">
        <v>99508</v>
      </c>
      <c r="B864" s="800" t="s">
        <v>3477</v>
      </c>
      <c r="C864" s="801">
        <v>2.1699999999999999E-5</v>
      </c>
      <c r="D864" s="801">
        <v>2.3200000000000001E-5</v>
      </c>
      <c r="E864" s="802">
        <v>8790.98</v>
      </c>
      <c r="F864" s="802">
        <v>10412</v>
      </c>
      <c r="G864" s="802">
        <v>46055</v>
      </c>
      <c r="H864" s="802"/>
      <c r="I864" s="803">
        <v>865</v>
      </c>
      <c r="J864" s="803">
        <v>40359</v>
      </c>
      <c r="K864" s="803">
        <v>3154</v>
      </c>
      <c r="L864" s="802">
        <v>0</v>
      </c>
      <c r="M864" s="802"/>
      <c r="N864" s="803">
        <v>1614</v>
      </c>
      <c r="O864" s="803">
        <v>14896</v>
      </c>
      <c r="P864" s="803">
        <v>0</v>
      </c>
      <c r="Q864" s="802">
        <v>2564</v>
      </c>
      <c r="R864" s="802"/>
      <c r="S864" s="803">
        <v>12310</v>
      </c>
      <c r="T864" s="804">
        <v>-994</v>
      </c>
      <c r="U864" s="804">
        <v>11316</v>
      </c>
    </row>
    <row r="865" spans="1:21" x14ac:dyDescent="0.25">
      <c r="A865" s="799">
        <v>99509</v>
      </c>
      <c r="B865" s="800" t="s">
        <v>3478</v>
      </c>
      <c r="C865" s="801">
        <v>2.8900000000000001E-5</v>
      </c>
      <c r="D865" s="801">
        <v>2.87E-5</v>
      </c>
      <c r="E865" s="802">
        <v>10373.91</v>
      </c>
      <c r="F865" s="802">
        <v>12880</v>
      </c>
      <c r="G865" s="802">
        <v>61335</v>
      </c>
      <c r="H865" s="802"/>
      <c r="I865" s="803">
        <v>1152.3875</v>
      </c>
      <c r="J865" s="803">
        <v>53749</v>
      </c>
      <c r="K865" s="803">
        <v>4201</v>
      </c>
      <c r="L865" s="802">
        <v>0</v>
      </c>
      <c r="M865" s="802"/>
      <c r="N865" s="803">
        <v>2149</v>
      </c>
      <c r="O865" s="803">
        <v>19839</v>
      </c>
      <c r="P865" s="803">
        <v>0</v>
      </c>
      <c r="Q865" s="802">
        <v>8463</v>
      </c>
      <c r="R865" s="802"/>
      <c r="S865" s="803">
        <v>16394</v>
      </c>
      <c r="T865" s="804">
        <v>-3831</v>
      </c>
      <c r="U865" s="804">
        <v>12563</v>
      </c>
    </row>
    <row r="866" spans="1:21" x14ac:dyDescent="0.25">
      <c r="A866" s="799">
        <v>99511</v>
      </c>
      <c r="B866" s="800" t="s">
        <v>3479</v>
      </c>
      <c r="C866" s="801">
        <v>1.3638000000000001E-3</v>
      </c>
      <c r="D866" s="801">
        <v>1.4238E-3</v>
      </c>
      <c r="E866" s="802">
        <v>513320.93</v>
      </c>
      <c r="F866" s="802">
        <v>638993</v>
      </c>
      <c r="G866" s="802">
        <v>2894440</v>
      </c>
      <c r="H866" s="802"/>
      <c r="I866" s="803">
        <v>54382</v>
      </c>
      <c r="J866" s="803">
        <v>2536453</v>
      </c>
      <c r="K866" s="803">
        <v>198243</v>
      </c>
      <c r="L866" s="802">
        <v>6972</v>
      </c>
      <c r="M866" s="802"/>
      <c r="N866" s="803">
        <v>101424</v>
      </c>
      <c r="O866" s="803">
        <v>936191</v>
      </c>
      <c r="P866" s="803">
        <v>0</v>
      </c>
      <c r="Q866" s="802">
        <v>87693</v>
      </c>
      <c r="R866" s="802"/>
      <c r="S866" s="803">
        <v>773641</v>
      </c>
      <c r="T866" s="804">
        <v>-24491</v>
      </c>
      <c r="U866" s="804">
        <v>749150</v>
      </c>
    </row>
    <row r="867" spans="1:21" x14ac:dyDescent="0.25">
      <c r="A867" s="799">
        <v>99521</v>
      </c>
      <c r="B867" s="800" t="s">
        <v>3480</v>
      </c>
      <c r="C867" s="801">
        <v>4.0180000000000001E-4</v>
      </c>
      <c r="D867" s="801">
        <v>4.0989999999999999E-4</v>
      </c>
      <c r="E867" s="802">
        <v>150146.22</v>
      </c>
      <c r="F867" s="802">
        <v>183961</v>
      </c>
      <c r="G867" s="802">
        <v>852754</v>
      </c>
      <c r="H867" s="802"/>
      <c r="I867" s="803">
        <v>16022</v>
      </c>
      <c r="J867" s="803">
        <v>747285</v>
      </c>
      <c r="K867" s="803">
        <v>58406</v>
      </c>
      <c r="L867" s="802">
        <v>1435</v>
      </c>
      <c r="M867" s="802"/>
      <c r="N867" s="803">
        <v>29881</v>
      </c>
      <c r="O867" s="803">
        <v>275819</v>
      </c>
      <c r="P867" s="803">
        <v>0</v>
      </c>
      <c r="Q867" s="802">
        <v>21691</v>
      </c>
      <c r="R867" s="802"/>
      <c r="S867" s="803">
        <v>227929</v>
      </c>
      <c r="T867" s="804">
        <v>-5406</v>
      </c>
      <c r="U867" s="804">
        <v>222522</v>
      </c>
    </row>
    <row r="868" spans="1:21" x14ac:dyDescent="0.25">
      <c r="A868" s="799">
        <v>99527</v>
      </c>
      <c r="B868" s="800" t="s">
        <v>3481</v>
      </c>
      <c r="C868" s="801">
        <v>1.2099999999999999E-5</v>
      </c>
      <c r="D868" s="801">
        <v>1.1800000000000001E-5</v>
      </c>
      <c r="E868" s="802">
        <v>5273.87</v>
      </c>
      <c r="F868" s="802">
        <v>5296</v>
      </c>
      <c r="G868" s="802">
        <v>25680</v>
      </c>
      <c r="H868" s="802"/>
      <c r="I868" s="803">
        <v>482</v>
      </c>
      <c r="J868" s="803">
        <v>22504</v>
      </c>
      <c r="K868" s="803">
        <v>1759</v>
      </c>
      <c r="L868" s="802">
        <v>1404</v>
      </c>
      <c r="M868" s="802"/>
      <c r="N868" s="803">
        <v>900</v>
      </c>
      <c r="O868" s="803">
        <v>8306</v>
      </c>
      <c r="P868" s="803">
        <v>0</v>
      </c>
      <c r="Q868" s="802">
        <v>0</v>
      </c>
      <c r="R868" s="802"/>
      <c r="S868" s="803">
        <v>6864</v>
      </c>
      <c r="T868" s="804">
        <v>529</v>
      </c>
      <c r="U868" s="804">
        <v>7393</v>
      </c>
    </row>
    <row r="869" spans="1:21" x14ac:dyDescent="0.25">
      <c r="A869" s="799">
        <v>99531</v>
      </c>
      <c r="B869" s="800" t="s">
        <v>3482</v>
      </c>
      <c r="C869" s="801">
        <v>8.7600000000000002E-5</v>
      </c>
      <c r="D869" s="801">
        <v>8.8200000000000003E-5</v>
      </c>
      <c r="E869" s="802">
        <v>67487</v>
      </c>
      <c r="F869" s="802">
        <v>39584</v>
      </c>
      <c r="G869" s="802">
        <v>185917</v>
      </c>
      <c r="H869" s="802"/>
      <c r="I869" s="803">
        <v>3493.05</v>
      </c>
      <c r="J869" s="803">
        <v>162922</v>
      </c>
      <c r="K869" s="803">
        <v>12734</v>
      </c>
      <c r="L869" s="802">
        <v>39764</v>
      </c>
      <c r="M869" s="802"/>
      <c r="N869" s="803">
        <v>6515</v>
      </c>
      <c r="O869" s="803">
        <v>60134</v>
      </c>
      <c r="P869" s="803">
        <v>0</v>
      </c>
      <c r="Q869" s="802">
        <v>0</v>
      </c>
      <c r="R869" s="802"/>
      <c r="S869" s="803">
        <v>49693</v>
      </c>
      <c r="T869" s="804">
        <v>11839</v>
      </c>
      <c r="U869" s="804">
        <v>61531</v>
      </c>
    </row>
    <row r="870" spans="1:21" x14ac:dyDescent="0.25">
      <c r="A870" s="799">
        <v>99601</v>
      </c>
      <c r="B870" s="800" t="s">
        <v>3483</v>
      </c>
      <c r="C870" s="801">
        <v>5.2824999999999999E-3</v>
      </c>
      <c r="D870" s="801">
        <v>5.3274999999999998E-3</v>
      </c>
      <c r="E870" s="802">
        <v>2087469</v>
      </c>
      <c r="F870" s="802">
        <v>2390950</v>
      </c>
      <c r="G870" s="802">
        <v>11211235</v>
      </c>
      <c r="H870" s="802"/>
      <c r="I870" s="803">
        <v>210640</v>
      </c>
      <c r="J870" s="803">
        <v>9824615</v>
      </c>
      <c r="K870" s="803">
        <v>767869</v>
      </c>
      <c r="L870" s="802">
        <v>60572</v>
      </c>
      <c r="M870" s="802"/>
      <c r="N870" s="803">
        <v>392854</v>
      </c>
      <c r="O870" s="803">
        <v>3626214</v>
      </c>
      <c r="P870" s="803">
        <v>0</v>
      </c>
      <c r="Q870" s="802">
        <v>101945</v>
      </c>
      <c r="R870" s="802"/>
      <c r="S870" s="803">
        <v>2996598</v>
      </c>
      <c r="T870" s="804">
        <v>-7395</v>
      </c>
      <c r="U870" s="804">
        <v>2989204</v>
      </c>
    </row>
    <row r="871" spans="1:21" x14ac:dyDescent="0.25">
      <c r="A871" s="799">
        <v>99602</v>
      </c>
      <c r="B871" s="800" t="s">
        <v>3484</v>
      </c>
      <c r="C871" s="801">
        <v>5.1700000000000003E-5</v>
      </c>
      <c r="D871" s="801">
        <v>5.13E-5</v>
      </c>
      <c r="E871" s="802">
        <v>23478.31</v>
      </c>
      <c r="F871" s="802">
        <v>23023</v>
      </c>
      <c r="G871" s="802">
        <v>109725</v>
      </c>
      <c r="H871" s="802"/>
      <c r="I871" s="803">
        <v>2062</v>
      </c>
      <c r="J871" s="803">
        <v>96154</v>
      </c>
      <c r="K871" s="803">
        <v>7515</v>
      </c>
      <c r="L871" s="802">
        <v>5410</v>
      </c>
      <c r="M871" s="802"/>
      <c r="N871" s="803">
        <v>3845</v>
      </c>
      <c r="O871" s="803">
        <v>35490</v>
      </c>
      <c r="P871" s="803">
        <v>0</v>
      </c>
      <c r="Q871" s="802">
        <v>4155</v>
      </c>
      <c r="R871" s="802"/>
      <c r="S871" s="803">
        <v>29328</v>
      </c>
      <c r="T871" s="804">
        <v>-358</v>
      </c>
      <c r="U871" s="804">
        <v>28969</v>
      </c>
    </row>
    <row r="872" spans="1:21" x14ac:dyDescent="0.25">
      <c r="A872" s="799">
        <v>99603</v>
      </c>
      <c r="B872" s="800" t="s">
        <v>3485</v>
      </c>
      <c r="C872" s="801">
        <v>1.4219999999999999E-4</v>
      </c>
      <c r="D872" s="801">
        <v>1.474E-4</v>
      </c>
      <c r="E872" s="802">
        <v>137623</v>
      </c>
      <c r="F872" s="802">
        <v>66152</v>
      </c>
      <c r="G872" s="802">
        <v>301796</v>
      </c>
      <c r="H872" s="802"/>
      <c r="I872" s="803">
        <v>5670</v>
      </c>
      <c r="J872" s="803">
        <v>264470</v>
      </c>
      <c r="K872" s="803">
        <v>20670</v>
      </c>
      <c r="L872" s="802">
        <v>103545</v>
      </c>
      <c r="M872" s="802"/>
      <c r="N872" s="803">
        <v>10575</v>
      </c>
      <c r="O872" s="803">
        <v>97614</v>
      </c>
      <c r="P872" s="803">
        <v>0</v>
      </c>
      <c r="Q872" s="802">
        <v>0</v>
      </c>
      <c r="R872" s="802"/>
      <c r="S872" s="803">
        <v>80666</v>
      </c>
      <c r="T872" s="804">
        <v>31526</v>
      </c>
      <c r="U872" s="804">
        <v>112191</v>
      </c>
    </row>
    <row r="873" spans="1:21" x14ac:dyDescent="0.25">
      <c r="A873" s="799">
        <v>99604</v>
      </c>
      <c r="B873" s="800" t="s">
        <v>3486</v>
      </c>
      <c r="C873" s="801">
        <v>9.6899999999999997E-5</v>
      </c>
      <c r="D873" s="801">
        <v>9.3300000000000005E-5</v>
      </c>
      <c r="E873" s="802">
        <v>45606</v>
      </c>
      <c r="F873" s="802">
        <v>41872</v>
      </c>
      <c r="G873" s="802">
        <v>205654</v>
      </c>
      <c r="H873" s="802"/>
      <c r="I873" s="803">
        <v>3864</v>
      </c>
      <c r="J873" s="803">
        <v>180219</v>
      </c>
      <c r="K873" s="803">
        <v>14085</v>
      </c>
      <c r="L873" s="802">
        <v>20600</v>
      </c>
      <c r="M873" s="802"/>
      <c r="N873" s="803">
        <v>7206</v>
      </c>
      <c r="O873" s="803">
        <v>66518</v>
      </c>
      <c r="P873" s="803">
        <v>0</v>
      </c>
      <c r="Q873" s="802">
        <v>0</v>
      </c>
      <c r="R873" s="802"/>
      <c r="S873" s="803">
        <v>54968</v>
      </c>
      <c r="T873" s="804">
        <v>7597</v>
      </c>
      <c r="U873" s="804">
        <v>62566</v>
      </c>
    </row>
    <row r="874" spans="1:21" x14ac:dyDescent="0.25">
      <c r="A874" s="799">
        <v>99609</v>
      </c>
      <c r="B874" s="800" t="s">
        <v>3487</v>
      </c>
      <c r="C874" s="801">
        <v>2.0999999999999999E-5</v>
      </c>
      <c r="D874" s="801">
        <v>1.98E-5</v>
      </c>
      <c r="E874" s="802">
        <v>10788</v>
      </c>
      <c r="F874" s="802">
        <v>8886</v>
      </c>
      <c r="G874" s="802">
        <v>44569</v>
      </c>
      <c r="H874" s="802"/>
      <c r="I874" s="803">
        <v>837.375</v>
      </c>
      <c r="J874" s="803">
        <v>39057</v>
      </c>
      <c r="K874" s="803">
        <v>3053</v>
      </c>
      <c r="L874" s="802">
        <v>5629</v>
      </c>
      <c r="M874" s="802"/>
      <c r="N874" s="803">
        <v>1562</v>
      </c>
      <c r="O874" s="803">
        <v>14416</v>
      </c>
      <c r="P874" s="803">
        <v>0</v>
      </c>
      <c r="Q874" s="802">
        <v>0</v>
      </c>
      <c r="R874" s="802"/>
      <c r="S874" s="803">
        <v>11913</v>
      </c>
      <c r="T874" s="804">
        <v>2074</v>
      </c>
      <c r="U874" s="804">
        <v>13986</v>
      </c>
    </row>
    <row r="875" spans="1:21" x14ac:dyDescent="0.25">
      <c r="A875" s="799">
        <v>99610</v>
      </c>
      <c r="B875" s="800" t="s">
        <v>3488</v>
      </c>
      <c r="C875" s="801">
        <v>1.9440000000000001E-4</v>
      </c>
      <c r="D875" s="801">
        <v>1.883E-4</v>
      </c>
      <c r="E875" s="802">
        <v>78017.36</v>
      </c>
      <c r="F875" s="802">
        <v>84508</v>
      </c>
      <c r="G875" s="802">
        <v>412582</v>
      </c>
      <c r="H875" s="802"/>
      <c r="I875" s="803">
        <v>7752</v>
      </c>
      <c r="J875" s="803">
        <v>361553</v>
      </c>
      <c r="K875" s="803">
        <v>28258</v>
      </c>
      <c r="L875" s="802">
        <v>4583</v>
      </c>
      <c r="M875" s="802"/>
      <c r="N875" s="803">
        <v>14457</v>
      </c>
      <c r="O875" s="803">
        <v>133447</v>
      </c>
      <c r="P875" s="803">
        <v>0</v>
      </c>
      <c r="Q875" s="802">
        <v>1313</v>
      </c>
      <c r="R875" s="802"/>
      <c r="S875" s="803">
        <v>110277</v>
      </c>
      <c r="T875" s="804">
        <v>1406</v>
      </c>
      <c r="U875" s="804">
        <v>111683</v>
      </c>
    </row>
    <row r="876" spans="1:21" x14ac:dyDescent="0.25">
      <c r="A876" s="799">
        <v>99611</v>
      </c>
      <c r="B876" s="800" t="s">
        <v>3489</v>
      </c>
      <c r="C876" s="801">
        <v>3.1495999999999998E-3</v>
      </c>
      <c r="D876" s="801">
        <v>3.4461000000000001E-3</v>
      </c>
      <c r="E876" s="802">
        <v>1274178.99</v>
      </c>
      <c r="F876" s="802">
        <v>1546589</v>
      </c>
      <c r="G876" s="802">
        <v>6684506</v>
      </c>
      <c r="H876" s="802"/>
      <c r="I876" s="803">
        <v>125590</v>
      </c>
      <c r="J876" s="803">
        <v>5857758</v>
      </c>
      <c r="K876" s="803">
        <v>457829</v>
      </c>
      <c r="L876" s="802">
        <v>0</v>
      </c>
      <c r="M876" s="802"/>
      <c r="N876" s="803">
        <v>234233</v>
      </c>
      <c r="O876" s="803">
        <v>2162068</v>
      </c>
      <c r="P876" s="803">
        <v>0</v>
      </c>
      <c r="Q876" s="802">
        <v>295351</v>
      </c>
      <c r="R876" s="802"/>
      <c r="S876" s="803">
        <v>1786670</v>
      </c>
      <c r="T876" s="804">
        <v>-97649</v>
      </c>
      <c r="U876" s="804">
        <v>1689022</v>
      </c>
    </row>
    <row r="877" spans="1:21" x14ac:dyDescent="0.25">
      <c r="A877" s="799">
        <v>99613</v>
      </c>
      <c r="B877" s="800" t="s">
        <v>3490</v>
      </c>
      <c r="C877" s="801">
        <v>3.369E-4</v>
      </c>
      <c r="D877" s="801">
        <v>2.6350000000000001E-4</v>
      </c>
      <c r="E877" s="802">
        <v>287693.51</v>
      </c>
      <c r="F877" s="802">
        <v>118257</v>
      </c>
      <c r="G877" s="802">
        <v>715015</v>
      </c>
      <c r="H877" s="802"/>
      <c r="I877" s="803">
        <v>13434</v>
      </c>
      <c r="J877" s="803">
        <v>626581</v>
      </c>
      <c r="K877" s="803">
        <v>48972</v>
      </c>
      <c r="L877" s="802">
        <v>227196</v>
      </c>
      <c r="M877" s="802"/>
      <c r="N877" s="803">
        <v>25055</v>
      </c>
      <c r="O877" s="803">
        <v>231268</v>
      </c>
      <c r="P877" s="803">
        <v>0</v>
      </c>
      <c r="Q877" s="802">
        <v>0</v>
      </c>
      <c r="R877" s="802"/>
      <c r="S877" s="803">
        <v>191113</v>
      </c>
      <c r="T877" s="804">
        <v>65914</v>
      </c>
      <c r="U877" s="804">
        <v>257027</v>
      </c>
    </row>
    <row r="878" spans="1:21" x14ac:dyDescent="0.25">
      <c r="A878" s="799">
        <v>99621</v>
      </c>
      <c r="B878" s="800" t="s">
        <v>3491</v>
      </c>
      <c r="C878" s="801">
        <v>3.2850000000000002E-4</v>
      </c>
      <c r="D878" s="801">
        <v>2.9550000000000003E-4</v>
      </c>
      <c r="E878" s="802">
        <v>133172.19</v>
      </c>
      <c r="F878" s="802">
        <v>132619</v>
      </c>
      <c r="G878" s="802">
        <v>697187</v>
      </c>
      <c r="H878" s="802"/>
      <c r="I878" s="803">
        <v>13098.9375</v>
      </c>
      <c r="J878" s="803">
        <v>610958</v>
      </c>
      <c r="K878" s="803">
        <v>47751</v>
      </c>
      <c r="L878" s="802">
        <v>25982</v>
      </c>
      <c r="M878" s="802"/>
      <c r="N878" s="803">
        <v>24430</v>
      </c>
      <c r="O878" s="803">
        <v>225501</v>
      </c>
      <c r="P878" s="803">
        <v>0</v>
      </c>
      <c r="Q878" s="802">
        <v>7236</v>
      </c>
      <c r="R878" s="802"/>
      <c r="S878" s="803">
        <v>186348</v>
      </c>
      <c r="T878" s="804">
        <v>6510</v>
      </c>
      <c r="U878" s="804">
        <v>192858</v>
      </c>
    </row>
    <row r="879" spans="1:21" x14ac:dyDescent="0.25">
      <c r="A879" s="799">
        <v>99623</v>
      </c>
      <c r="B879" s="800" t="s">
        <v>3492</v>
      </c>
      <c r="C879" s="801">
        <v>2.9200000000000002E-5</v>
      </c>
      <c r="D879" s="801">
        <v>2.1299999999999999E-5</v>
      </c>
      <c r="E879" s="802">
        <v>8301.6</v>
      </c>
      <c r="F879" s="802">
        <v>9559</v>
      </c>
      <c r="G879" s="802">
        <v>61972</v>
      </c>
      <c r="H879" s="802"/>
      <c r="I879" s="803">
        <v>1164</v>
      </c>
      <c r="J879" s="803">
        <v>54307</v>
      </c>
      <c r="K879" s="803">
        <v>4245</v>
      </c>
      <c r="L879" s="802">
        <v>3598</v>
      </c>
      <c r="M879" s="802"/>
      <c r="N879" s="803">
        <v>2172</v>
      </c>
      <c r="O879" s="803">
        <v>20045</v>
      </c>
      <c r="P879" s="803">
        <v>0</v>
      </c>
      <c r="Q879" s="802">
        <v>316</v>
      </c>
      <c r="R879" s="802"/>
      <c r="S879" s="803">
        <v>16564</v>
      </c>
      <c r="T879" s="804">
        <v>989</v>
      </c>
      <c r="U879" s="804">
        <v>17554</v>
      </c>
    </row>
    <row r="880" spans="1:21" x14ac:dyDescent="0.25">
      <c r="A880" s="799">
        <v>99631</v>
      </c>
      <c r="B880" s="800" t="s">
        <v>3493</v>
      </c>
      <c r="C880" s="801">
        <v>1.0340000000000001E-4</v>
      </c>
      <c r="D880" s="801">
        <v>9.8599999999999998E-5</v>
      </c>
      <c r="E880" s="802">
        <v>37652</v>
      </c>
      <c r="F880" s="802">
        <v>44251</v>
      </c>
      <c r="G880" s="802">
        <v>219449</v>
      </c>
      <c r="H880" s="802"/>
      <c r="I880" s="803">
        <v>4123</v>
      </c>
      <c r="J880" s="803">
        <v>192308</v>
      </c>
      <c r="K880" s="803">
        <v>15030</v>
      </c>
      <c r="L880" s="802">
        <v>0</v>
      </c>
      <c r="M880" s="802"/>
      <c r="N880" s="803">
        <v>7690</v>
      </c>
      <c r="O880" s="803">
        <v>70980</v>
      </c>
      <c r="P880" s="803">
        <v>0</v>
      </c>
      <c r="Q880" s="802">
        <v>9381</v>
      </c>
      <c r="R880" s="802"/>
      <c r="S880" s="803">
        <v>58656</v>
      </c>
      <c r="T880" s="804">
        <v>-4222</v>
      </c>
      <c r="U880" s="804">
        <v>54433</v>
      </c>
    </row>
    <row r="881" spans="1:21" x14ac:dyDescent="0.25">
      <c r="A881" s="799">
        <v>99651</v>
      </c>
      <c r="B881" s="800" t="s">
        <v>3494</v>
      </c>
      <c r="C881" s="801">
        <v>6.7100000000000005E-5</v>
      </c>
      <c r="D881" s="801">
        <v>5.7500000000000002E-5</v>
      </c>
      <c r="E881" s="802">
        <v>24617</v>
      </c>
      <c r="F881" s="802">
        <v>25806</v>
      </c>
      <c r="G881" s="802">
        <v>142409</v>
      </c>
      <c r="H881" s="802"/>
      <c r="I881" s="803">
        <v>2676</v>
      </c>
      <c r="J881" s="803">
        <v>124795</v>
      </c>
      <c r="K881" s="803">
        <v>9754</v>
      </c>
      <c r="L881" s="802">
        <v>8790</v>
      </c>
      <c r="M881" s="802"/>
      <c r="N881" s="803">
        <v>4990</v>
      </c>
      <c r="O881" s="803">
        <v>46061</v>
      </c>
      <c r="P881" s="803">
        <v>0</v>
      </c>
      <c r="Q881" s="802">
        <v>2840</v>
      </c>
      <c r="R881" s="802"/>
      <c r="S881" s="803">
        <v>38064</v>
      </c>
      <c r="T881" s="804">
        <v>1419</v>
      </c>
      <c r="U881" s="804">
        <v>39483</v>
      </c>
    </row>
    <row r="882" spans="1:21" x14ac:dyDescent="0.25">
      <c r="A882" s="799">
        <v>99661</v>
      </c>
      <c r="B882" s="800" t="s">
        <v>3495</v>
      </c>
      <c r="C882" s="801">
        <v>3.5500000000000002E-5</v>
      </c>
      <c r="D882" s="801">
        <v>3.4900000000000001E-5</v>
      </c>
      <c r="E882" s="802">
        <v>34311.1</v>
      </c>
      <c r="F882" s="802">
        <v>15663</v>
      </c>
      <c r="G882" s="802">
        <v>75343</v>
      </c>
      <c r="H882" s="802"/>
      <c r="I882" s="803">
        <v>1415.5625</v>
      </c>
      <c r="J882" s="803">
        <v>66024</v>
      </c>
      <c r="K882" s="803">
        <v>5160</v>
      </c>
      <c r="L882" s="802">
        <v>30447</v>
      </c>
      <c r="M882" s="802"/>
      <c r="N882" s="803">
        <v>2640</v>
      </c>
      <c r="O882" s="803">
        <v>24369</v>
      </c>
      <c r="P882" s="803">
        <v>0</v>
      </c>
      <c r="Q882" s="802">
        <v>0</v>
      </c>
      <c r="R882" s="802"/>
      <c r="S882" s="803">
        <v>20138</v>
      </c>
      <c r="T882" s="804">
        <v>9415</v>
      </c>
      <c r="U882" s="804">
        <v>29553</v>
      </c>
    </row>
    <row r="883" spans="1:21" x14ac:dyDescent="0.25">
      <c r="A883" s="799">
        <v>99701</v>
      </c>
      <c r="B883" s="800" t="s">
        <v>3496</v>
      </c>
      <c r="C883" s="801">
        <v>2.8774E-3</v>
      </c>
      <c r="D883" s="801">
        <v>2.7742000000000001E-3</v>
      </c>
      <c r="E883" s="802">
        <v>1127825</v>
      </c>
      <c r="F883" s="802">
        <v>1245044</v>
      </c>
      <c r="G883" s="802">
        <v>6106807</v>
      </c>
      <c r="H883" s="802"/>
      <c r="I883" s="803">
        <v>114736</v>
      </c>
      <c r="J883" s="803">
        <v>5351509</v>
      </c>
      <c r="K883" s="803">
        <v>418262</v>
      </c>
      <c r="L883" s="802">
        <v>31037</v>
      </c>
      <c r="M883" s="802"/>
      <c r="N883" s="803">
        <v>213989</v>
      </c>
      <c r="O883" s="803">
        <v>1975214</v>
      </c>
      <c r="P883" s="803">
        <v>0</v>
      </c>
      <c r="Q883" s="802">
        <v>19671</v>
      </c>
      <c r="R883" s="802"/>
      <c r="S883" s="803">
        <v>1632260</v>
      </c>
      <c r="T883" s="804">
        <v>-10</v>
      </c>
      <c r="U883" s="804">
        <v>1632250</v>
      </c>
    </row>
    <row r="884" spans="1:21" x14ac:dyDescent="0.25">
      <c r="A884" s="799">
        <v>99705</v>
      </c>
      <c r="B884" s="800" t="s">
        <v>3497</v>
      </c>
      <c r="C884" s="801">
        <v>1.7259999999999999E-4</v>
      </c>
      <c r="D884" s="801">
        <v>1.7660000000000001E-4</v>
      </c>
      <c r="E884" s="802">
        <v>76713.119999999995</v>
      </c>
      <c r="F884" s="802">
        <v>79257</v>
      </c>
      <c r="G884" s="802">
        <v>366315</v>
      </c>
      <c r="H884" s="802"/>
      <c r="I884" s="803">
        <v>6882</v>
      </c>
      <c r="J884" s="803">
        <v>321009</v>
      </c>
      <c r="K884" s="803">
        <v>25089</v>
      </c>
      <c r="L884" s="802">
        <v>11090</v>
      </c>
      <c r="M884" s="802"/>
      <c r="N884" s="803">
        <v>12836</v>
      </c>
      <c r="O884" s="803">
        <v>118483</v>
      </c>
      <c r="P884" s="803">
        <v>0</v>
      </c>
      <c r="Q884" s="802">
        <v>842</v>
      </c>
      <c r="R884" s="802"/>
      <c r="S884" s="803">
        <v>97911</v>
      </c>
      <c r="T884" s="804">
        <v>4693</v>
      </c>
      <c r="U884" s="804">
        <v>102604</v>
      </c>
    </row>
    <row r="885" spans="1:21" x14ac:dyDescent="0.25">
      <c r="A885" s="799">
        <v>99711</v>
      </c>
      <c r="B885" s="800" t="s">
        <v>3498</v>
      </c>
      <c r="C885" s="801">
        <v>4.3540000000000001E-4</v>
      </c>
      <c r="D885" s="801">
        <v>4.506E-4</v>
      </c>
      <c r="E885" s="802">
        <v>185440.27</v>
      </c>
      <c r="F885" s="802">
        <v>202227</v>
      </c>
      <c r="G885" s="802">
        <v>924065</v>
      </c>
      <c r="H885" s="802"/>
      <c r="I885" s="803">
        <v>17362</v>
      </c>
      <c r="J885" s="803">
        <v>809775</v>
      </c>
      <c r="K885" s="803">
        <v>63290</v>
      </c>
      <c r="L885" s="802">
        <v>1891</v>
      </c>
      <c r="M885" s="802"/>
      <c r="N885" s="803">
        <v>32380</v>
      </c>
      <c r="O885" s="803">
        <v>298884</v>
      </c>
      <c r="P885" s="803">
        <v>0</v>
      </c>
      <c r="Q885" s="802">
        <v>15994</v>
      </c>
      <c r="R885" s="802"/>
      <c r="S885" s="803">
        <v>246989</v>
      </c>
      <c r="T885" s="804">
        <v>-4419</v>
      </c>
      <c r="U885" s="804">
        <v>242569</v>
      </c>
    </row>
    <row r="886" spans="1:21" x14ac:dyDescent="0.25">
      <c r="A886" s="799">
        <v>99717</v>
      </c>
      <c r="B886" s="800" t="s">
        <v>3499</v>
      </c>
      <c r="C886" s="801">
        <v>2.3200000000000001E-5</v>
      </c>
      <c r="D886" s="801">
        <v>2.2399999999999999E-5</v>
      </c>
      <c r="E886" s="802">
        <v>7625</v>
      </c>
      <c r="F886" s="802">
        <v>10053</v>
      </c>
      <c r="G886" s="802">
        <v>49238</v>
      </c>
      <c r="H886" s="802"/>
      <c r="I886" s="803">
        <v>925.1</v>
      </c>
      <c r="J886" s="803">
        <v>43148</v>
      </c>
      <c r="K886" s="803">
        <v>3372</v>
      </c>
      <c r="L886" s="802">
        <v>0</v>
      </c>
      <c r="M886" s="802"/>
      <c r="N886" s="803">
        <v>1725</v>
      </c>
      <c r="O886" s="803">
        <v>15926</v>
      </c>
      <c r="P886" s="803">
        <v>0</v>
      </c>
      <c r="Q886" s="802">
        <v>2122</v>
      </c>
      <c r="R886" s="802"/>
      <c r="S886" s="803">
        <v>13161</v>
      </c>
      <c r="T886" s="804">
        <v>-653</v>
      </c>
      <c r="U886" s="804">
        <v>12508</v>
      </c>
    </row>
    <row r="887" spans="1:21" x14ac:dyDescent="0.25">
      <c r="A887" s="799">
        <v>99721</v>
      </c>
      <c r="B887" s="800" t="s">
        <v>3500</v>
      </c>
      <c r="C887" s="801">
        <v>6.2449999999999995E-4</v>
      </c>
      <c r="D887" s="801">
        <v>5.8460000000000001E-4</v>
      </c>
      <c r="E887" s="802">
        <v>220767.11</v>
      </c>
      <c r="F887" s="802">
        <v>262365</v>
      </c>
      <c r="G887" s="802">
        <v>1325398</v>
      </c>
      <c r="H887" s="802"/>
      <c r="I887" s="803">
        <v>24902</v>
      </c>
      <c r="J887" s="803">
        <v>1161471</v>
      </c>
      <c r="K887" s="803">
        <v>90778</v>
      </c>
      <c r="L887" s="802">
        <v>0</v>
      </c>
      <c r="M887" s="802"/>
      <c r="N887" s="803">
        <v>46443</v>
      </c>
      <c r="O887" s="803">
        <v>428693</v>
      </c>
      <c r="P887" s="803">
        <v>0</v>
      </c>
      <c r="Q887" s="802">
        <v>11340</v>
      </c>
      <c r="R887" s="802"/>
      <c r="S887" s="803">
        <v>354259</v>
      </c>
      <c r="T887" s="804">
        <v>-3889</v>
      </c>
      <c r="U887" s="804">
        <v>350371</v>
      </c>
    </row>
    <row r="888" spans="1:21" x14ac:dyDescent="0.25">
      <c r="A888" s="799">
        <v>99727</v>
      </c>
      <c r="B888" s="800" t="s">
        <v>3501</v>
      </c>
      <c r="C888" s="801">
        <v>2.5299999999999998E-5</v>
      </c>
      <c r="D888" s="801">
        <v>2.8099999999999999E-5</v>
      </c>
      <c r="E888" s="802">
        <v>45027.6</v>
      </c>
      <c r="F888" s="802">
        <v>12611</v>
      </c>
      <c r="G888" s="802">
        <v>53695</v>
      </c>
      <c r="H888" s="802"/>
      <c r="I888" s="803">
        <v>1008.8375</v>
      </c>
      <c r="J888" s="803">
        <v>47054</v>
      </c>
      <c r="K888" s="803">
        <v>3678</v>
      </c>
      <c r="L888" s="802">
        <v>46298</v>
      </c>
      <c r="M888" s="802"/>
      <c r="N888" s="803">
        <v>1882</v>
      </c>
      <c r="O888" s="803">
        <v>17367</v>
      </c>
      <c r="P888" s="803">
        <v>0</v>
      </c>
      <c r="Q888" s="802">
        <v>0</v>
      </c>
      <c r="R888" s="802"/>
      <c r="S888" s="803">
        <v>14352</v>
      </c>
      <c r="T888" s="804">
        <v>14150</v>
      </c>
      <c r="U888" s="804">
        <v>28501</v>
      </c>
    </row>
    <row r="889" spans="1:21" x14ac:dyDescent="0.25">
      <c r="A889" s="799">
        <v>99801</v>
      </c>
      <c r="B889" s="800" t="s">
        <v>3502</v>
      </c>
      <c r="C889" s="801">
        <v>5.1954999999999996E-3</v>
      </c>
      <c r="D889" s="801">
        <v>5.0806999999999996E-3</v>
      </c>
      <c r="E889" s="802">
        <v>2017956.21</v>
      </c>
      <c r="F889" s="802">
        <v>2280188</v>
      </c>
      <c r="G889" s="802">
        <v>11026591</v>
      </c>
      <c r="H889" s="802"/>
      <c r="I889" s="803">
        <v>207171</v>
      </c>
      <c r="J889" s="803">
        <v>9662809</v>
      </c>
      <c r="K889" s="803">
        <v>755223</v>
      </c>
      <c r="L889" s="802">
        <v>34255.86</v>
      </c>
      <c r="M889" s="802"/>
      <c r="N889" s="803">
        <v>386384</v>
      </c>
      <c r="O889" s="803">
        <v>3566493</v>
      </c>
      <c r="P889" s="803">
        <v>0</v>
      </c>
      <c r="Q889" s="802">
        <v>67721</v>
      </c>
      <c r="R889" s="802"/>
      <c r="S889" s="803">
        <v>2947246</v>
      </c>
      <c r="T889" s="804">
        <v>-3738</v>
      </c>
      <c r="U889" s="804">
        <v>2943508</v>
      </c>
    </row>
    <row r="890" spans="1:21" x14ac:dyDescent="0.25">
      <c r="A890" s="799">
        <v>99802</v>
      </c>
      <c r="B890" s="800" t="s">
        <v>3503</v>
      </c>
      <c r="C890" s="801">
        <v>6.4999999999999996E-6</v>
      </c>
      <c r="D890" s="801">
        <v>7.7000000000000008E-6</v>
      </c>
      <c r="E890" s="802">
        <v>3764</v>
      </c>
      <c r="F890" s="802">
        <v>3456</v>
      </c>
      <c r="G890" s="802">
        <v>13795</v>
      </c>
      <c r="H890" s="802"/>
      <c r="I890" s="803">
        <v>259.1875</v>
      </c>
      <c r="J890" s="803">
        <v>12089</v>
      </c>
      <c r="K890" s="803">
        <v>945</v>
      </c>
      <c r="L890" s="802">
        <v>358</v>
      </c>
      <c r="M890" s="802"/>
      <c r="N890" s="803">
        <v>483</v>
      </c>
      <c r="O890" s="803">
        <v>4462</v>
      </c>
      <c r="P890" s="803">
        <v>0</v>
      </c>
      <c r="Q890" s="802">
        <v>107</v>
      </c>
      <c r="R890" s="802"/>
      <c r="S890" s="803">
        <v>3687</v>
      </c>
      <c r="T890" s="804">
        <v>52</v>
      </c>
      <c r="U890" s="804">
        <v>3740</v>
      </c>
    </row>
    <row r="891" spans="1:21" x14ac:dyDescent="0.25">
      <c r="A891" s="799">
        <v>99804</v>
      </c>
      <c r="B891" s="800" t="s">
        <v>3504</v>
      </c>
      <c r="C891" s="801">
        <v>8.6600000000000004E-5</v>
      </c>
      <c r="D891" s="801">
        <v>8.7999999999999998E-5</v>
      </c>
      <c r="E891" s="802">
        <v>41607</v>
      </c>
      <c r="F891" s="802">
        <v>39494</v>
      </c>
      <c r="G891" s="802">
        <v>183794</v>
      </c>
      <c r="H891" s="802"/>
      <c r="I891" s="803">
        <v>3453</v>
      </c>
      <c r="J891" s="803">
        <v>161062</v>
      </c>
      <c r="K891" s="803">
        <v>12588</v>
      </c>
      <c r="L891" s="802">
        <v>10128</v>
      </c>
      <c r="M891" s="802"/>
      <c r="N891" s="803">
        <v>6440</v>
      </c>
      <c r="O891" s="803">
        <v>59447</v>
      </c>
      <c r="P891" s="803">
        <v>0</v>
      </c>
      <c r="Q891" s="802">
        <v>0</v>
      </c>
      <c r="R891" s="802"/>
      <c r="S891" s="803">
        <v>49125</v>
      </c>
      <c r="T891" s="804">
        <v>3221</v>
      </c>
      <c r="U891" s="804">
        <v>52347</v>
      </c>
    </row>
    <row r="892" spans="1:21" x14ac:dyDescent="0.25">
      <c r="A892" s="799">
        <v>99811</v>
      </c>
      <c r="B892" s="800" t="s">
        <v>3505</v>
      </c>
      <c r="C892" s="801">
        <v>6.8415000000000004E-3</v>
      </c>
      <c r="D892" s="801">
        <v>6.9579999999999998E-3</v>
      </c>
      <c r="E892" s="802">
        <v>2561770.62</v>
      </c>
      <c r="F892" s="802">
        <v>3122709</v>
      </c>
      <c r="G892" s="802">
        <v>14519955</v>
      </c>
      <c r="H892" s="802"/>
      <c r="I892" s="803">
        <v>272805</v>
      </c>
      <c r="J892" s="803">
        <v>12724109</v>
      </c>
      <c r="K892" s="803">
        <v>994487</v>
      </c>
      <c r="L892" s="802">
        <v>0</v>
      </c>
      <c r="M892" s="802"/>
      <c r="N892" s="803">
        <v>508796</v>
      </c>
      <c r="O892" s="803">
        <v>4696402</v>
      </c>
      <c r="P892" s="803">
        <v>0</v>
      </c>
      <c r="Q892" s="802">
        <v>526561</v>
      </c>
      <c r="R892" s="802"/>
      <c r="S892" s="803">
        <v>3880971</v>
      </c>
      <c r="T892" s="804">
        <v>-175139</v>
      </c>
      <c r="U892" s="804">
        <v>3705832</v>
      </c>
    </row>
    <row r="893" spans="1:21" x14ac:dyDescent="0.25">
      <c r="A893" s="799">
        <v>99812</v>
      </c>
      <c r="B893" s="800" t="s">
        <v>3506</v>
      </c>
      <c r="C893" s="801">
        <v>2.5599999999999999E-5</v>
      </c>
      <c r="D893" s="801">
        <v>2.7399999999999999E-5</v>
      </c>
      <c r="E893" s="802">
        <v>18003</v>
      </c>
      <c r="F893" s="802">
        <v>12297</v>
      </c>
      <c r="G893" s="802">
        <v>54332</v>
      </c>
      <c r="H893" s="802"/>
      <c r="I893" s="803">
        <v>1020.8</v>
      </c>
      <c r="J893" s="803">
        <v>47612</v>
      </c>
      <c r="K893" s="803">
        <v>3721</v>
      </c>
      <c r="L893" s="802">
        <v>8899</v>
      </c>
      <c r="M893" s="802"/>
      <c r="N893" s="803">
        <v>1904</v>
      </c>
      <c r="O893" s="803">
        <v>17573</v>
      </c>
      <c r="P893" s="803">
        <v>0</v>
      </c>
      <c r="Q893" s="802">
        <v>0</v>
      </c>
      <c r="R893" s="802"/>
      <c r="S893" s="803">
        <v>14522</v>
      </c>
      <c r="T893" s="804">
        <v>2839</v>
      </c>
      <c r="U893" s="804">
        <v>17361</v>
      </c>
    </row>
    <row r="894" spans="1:21" x14ac:dyDescent="0.25">
      <c r="A894" s="799">
        <v>99818</v>
      </c>
      <c r="B894" s="800" t="s">
        <v>3507</v>
      </c>
      <c r="C894" s="801">
        <v>3.7700000000000002E-5</v>
      </c>
      <c r="D894" s="801">
        <v>4.4199999999999997E-5</v>
      </c>
      <c r="E894" s="802">
        <v>16175</v>
      </c>
      <c r="F894" s="802">
        <v>19837</v>
      </c>
      <c r="G894" s="802">
        <v>80012</v>
      </c>
      <c r="H894" s="802"/>
      <c r="I894" s="803">
        <v>1503</v>
      </c>
      <c r="J894" s="803">
        <v>70116</v>
      </c>
      <c r="K894" s="803">
        <v>5480</v>
      </c>
      <c r="L894" s="802">
        <v>5574</v>
      </c>
      <c r="M894" s="802"/>
      <c r="N894" s="803">
        <v>2804</v>
      </c>
      <c r="O894" s="803">
        <v>25879</v>
      </c>
      <c r="P894" s="803">
        <v>0</v>
      </c>
      <c r="Q894" s="802">
        <v>2988</v>
      </c>
      <c r="R894" s="802"/>
      <c r="S894" s="803">
        <v>21386</v>
      </c>
      <c r="T894" s="804">
        <v>1745</v>
      </c>
      <c r="U894" s="804">
        <v>23131</v>
      </c>
    </row>
    <row r="895" spans="1:21" x14ac:dyDescent="0.25">
      <c r="A895" s="799">
        <v>99821</v>
      </c>
      <c r="B895" s="800" t="s">
        <v>3508</v>
      </c>
      <c r="C895" s="801">
        <v>8.2899999999999996E-5</v>
      </c>
      <c r="D895" s="801">
        <v>8.42E-5</v>
      </c>
      <c r="E895" s="802">
        <v>42679.99</v>
      </c>
      <c r="F895" s="802">
        <v>37788</v>
      </c>
      <c r="G895" s="802">
        <v>175942</v>
      </c>
      <c r="H895" s="802"/>
      <c r="I895" s="803">
        <v>3306</v>
      </c>
      <c r="J895" s="803">
        <v>154181</v>
      </c>
      <c r="K895" s="803">
        <v>12050</v>
      </c>
      <c r="L895" s="802">
        <v>17868</v>
      </c>
      <c r="M895" s="802"/>
      <c r="N895" s="803">
        <v>6165</v>
      </c>
      <c r="O895" s="803">
        <v>56907</v>
      </c>
      <c r="P895" s="803">
        <v>0</v>
      </c>
      <c r="Q895" s="802">
        <v>860</v>
      </c>
      <c r="R895" s="802"/>
      <c r="S895" s="803">
        <v>47027</v>
      </c>
      <c r="T895" s="804">
        <v>7184</v>
      </c>
      <c r="U895" s="804">
        <v>54211</v>
      </c>
    </row>
    <row r="896" spans="1:21" x14ac:dyDescent="0.25">
      <c r="A896" s="799">
        <v>99831</v>
      </c>
      <c r="B896" s="800" t="s">
        <v>3509</v>
      </c>
      <c r="C896" s="801">
        <v>5.5899999999999997E-5</v>
      </c>
      <c r="D896" s="801">
        <v>5.0699999999999999E-5</v>
      </c>
      <c r="E896" s="802">
        <v>23539.8</v>
      </c>
      <c r="F896" s="802">
        <v>22754</v>
      </c>
      <c r="G896" s="802">
        <v>118639</v>
      </c>
      <c r="H896" s="802"/>
      <c r="I896" s="803">
        <v>2229</v>
      </c>
      <c r="J896" s="803">
        <v>103965</v>
      </c>
      <c r="K896" s="803">
        <v>8126</v>
      </c>
      <c r="L896" s="802">
        <v>3830</v>
      </c>
      <c r="M896" s="802"/>
      <c r="N896" s="803">
        <v>4157</v>
      </c>
      <c r="O896" s="803">
        <v>38373</v>
      </c>
      <c r="P896" s="803">
        <v>0</v>
      </c>
      <c r="Q896" s="802">
        <v>873</v>
      </c>
      <c r="R896" s="802"/>
      <c r="S896" s="803">
        <v>31710</v>
      </c>
      <c r="T896" s="804">
        <v>823</v>
      </c>
      <c r="U896" s="804">
        <v>32533</v>
      </c>
    </row>
    <row r="897" spans="1:21" x14ac:dyDescent="0.25">
      <c r="A897" s="799">
        <v>99841</v>
      </c>
      <c r="B897" s="800" t="s">
        <v>3510</v>
      </c>
      <c r="C897" s="801">
        <v>4.6E-5</v>
      </c>
      <c r="D897" s="801">
        <v>4.6699999999999997E-5</v>
      </c>
      <c r="E897" s="802">
        <v>18090.39</v>
      </c>
      <c r="F897" s="802">
        <v>20959</v>
      </c>
      <c r="G897" s="802">
        <v>97627.41</v>
      </c>
      <c r="H897" s="802"/>
      <c r="I897" s="803">
        <v>1834.25</v>
      </c>
      <c r="J897" s="803">
        <v>85553</v>
      </c>
      <c r="K897" s="803">
        <v>6687</v>
      </c>
      <c r="L897" s="802">
        <v>1970</v>
      </c>
      <c r="M897" s="802"/>
      <c r="N897" s="803">
        <v>3421</v>
      </c>
      <c r="O897" s="803">
        <v>31577</v>
      </c>
      <c r="P897" s="803">
        <v>0</v>
      </c>
      <c r="Q897" s="802">
        <v>3207</v>
      </c>
      <c r="R897" s="802"/>
      <c r="S897" s="803">
        <v>26094</v>
      </c>
      <c r="T897" s="804">
        <v>-661</v>
      </c>
      <c r="U897" s="804">
        <v>25434</v>
      </c>
    </row>
    <row r="898" spans="1:21" x14ac:dyDescent="0.25">
      <c r="A898" s="799">
        <v>99851</v>
      </c>
      <c r="B898" s="800" t="s">
        <v>3511</v>
      </c>
      <c r="C898" s="801">
        <v>2.1999999999999999E-5</v>
      </c>
      <c r="D898" s="801">
        <v>2.0299999999999999E-5</v>
      </c>
      <c r="E898" s="802">
        <v>6172</v>
      </c>
      <c r="F898" s="802">
        <v>9111</v>
      </c>
      <c r="G898" s="802">
        <v>46691</v>
      </c>
      <c r="H898" s="802"/>
      <c r="I898" s="803">
        <v>877.25</v>
      </c>
      <c r="J898" s="803">
        <v>40917</v>
      </c>
      <c r="K898" s="803">
        <v>3198</v>
      </c>
      <c r="L898" s="802">
        <v>221</v>
      </c>
      <c r="M898" s="802"/>
      <c r="N898" s="803">
        <v>1636</v>
      </c>
      <c r="O898" s="803">
        <v>15102</v>
      </c>
      <c r="P898" s="803">
        <v>0</v>
      </c>
      <c r="Q898" s="802">
        <v>1432</v>
      </c>
      <c r="R898" s="802"/>
      <c r="S898" s="803">
        <v>12480</v>
      </c>
      <c r="T898" s="804">
        <v>-310</v>
      </c>
      <c r="U898" s="804">
        <v>12170</v>
      </c>
    </row>
    <row r="899" spans="1:21" x14ac:dyDescent="0.25">
      <c r="A899" s="799">
        <v>99901</v>
      </c>
      <c r="B899" s="800" t="s">
        <v>3512</v>
      </c>
      <c r="C899" s="801">
        <v>1.6371999999999999E-3</v>
      </c>
      <c r="D899" s="801">
        <v>1.5259E-3</v>
      </c>
      <c r="E899" s="802">
        <v>635103.91</v>
      </c>
      <c r="F899" s="802">
        <v>684815</v>
      </c>
      <c r="G899" s="802">
        <v>3474687</v>
      </c>
      <c r="H899" s="802"/>
      <c r="I899" s="803">
        <v>65283.35</v>
      </c>
      <c r="J899" s="803">
        <v>3044933</v>
      </c>
      <c r="K899" s="803">
        <v>237985</v>
      </c>
      <c r="L899" s="802">
        <v>67178</v>
      </c>
      <c r="M899" s="802"/>
      <c r="N899" s="803">
        <v>121757</v>
      </c>
      <c r="O899" s="803">
        <v>1123869</v>
      </c>
      <c r="P899" s="803">
        <v>0</v>
      </c>
      <c r="Q899" s="802">
        <v>24162.58</v>
      </c>
      <c r="R899" s="802"/>
      <c r="S899" s="803">
        <v>928733</v>
      </c>
      <c r="T899" s="804">
        <v>8817</v>
      </c>
      <c r="U899" s="804">
        <v>937550</v>
      </c>
    </row>
    <row r="900" spans="1:21" x14ac:dyDescent="0.25">
      <c r="A900" s="799">
        <v>99911</v>
      </c>
      <c r="B900" s="800" t="s">
        <v>3513</v>
      </c>
      <c r="C900" s="801">
        <v>2.5520000000000002E-4</v>
      </c>
      <c r="D900" s="801">
        <v>2.766E-4</v>
      </c>
      <c r="E900" s="802">
        <v>106882</v>
      </c>
      <c r="F900" s="802">
        <v>124136</v>
      </c>
      <c r="G900" s="802">
        <v>541620</v>
      </c>
      <c r="H900" s="802"/>
      <c r="I900" s="803">
        <v>10176.1</v>
      </c>
      <c r="J900" s="803">
        <v>474632</v>
      </c>
      <c r="K900" s="803">
        <v>37096</v>
      </c>
      <c r="L900" s="802">
        <v>2863</v>
      </c>
      <c r="M900" s="802"/>
      <c r="N900" s="803">
        <v>18979</v>
      </c>
      <c r="O900" s="803">
        <v>175184</v>
      </c>
      <c r="P900" s="803">
        <v>0</v>
      </c>
      <c r="Q900" s="802">
        <v>20527</v>
      </c>
      <c r="R900" s="802"/>
      <c r="S900" s="803">
        <v>144767</v>
      </c>
      <c r="T900" s="804">
        <v>-6851</v>
      </c>
      <c r="U900" s="804">
        <v>137916</v>
      </c>
    </row>
    <row r="901" spans="1:21" x14ac:dyDescent="0.25">
      <c r="A901" s="799">
        <v>99921</v>
      </c>
      <c r="B901" s="800" t="s">
        <v>3514</v>
      </c>
      <c r="C901" s="806">
        <v>1.5129999999999999E-4</v>
      </c>
      <c r="D901" s="806">
        <v>1.3889999999999999E-4</v>
      </c>
      <c r="E901" s="802">
        <v>55802.77</v>
      </c>
      <c r="F901" s="802">
        <v>62337</v>
      </c>
      <c r="G901" s="807">
        <v>321109</v>
      </c>
      <c r="H901" s="807"/>
      <c r="I901" s="808">
        <v>6033</v>
      </c>
      <c r="J901" s="808">
        <v>281394</v>
      </c>
      <c r="K901" s="808">
        <v>21993</v>
      </c>
      <c r="L901" s="807">
        <v>4809</v>
      </c>
      <c r="M901" s="807"/>
      <c r="N901" s="808">
        <v>11252</v>
      </c>
      <c r="O901" s="808">
        <v>103861</v>
      </c>
      <c r="P901" s="808">
        <v>0</v>
      </c>
      <c r="Q901" s="807">
        <v>7353</v>
      </c>
      <c r="R901" s="807"/>
      <c r="S901" s="808">
        <v>85828</v>
      </c>
      <c r="T901" s="809">
        <v>-2145</v>
      </c>
      <c r="U901" s="809">
        <v>83683</v>
      </c>
    </row>
    <row r="902" spans="1:21" s="794" customFormat="1" x14ac:dyDescent="0.25">
      <c r="A902" s="799">
        <v>99931</v>
      </c>
      <c r="B902" s="810" t="s">
        <v>3515</v>
      </c>
      <c r="C902" s="811">
        <v>2.51E-5</v>
      </c>
      <c r="D902" s="811">
        <v>2.5700000000000001E-5</v>
      </c>
      <c r="E902" s="802">
        <v>9194.32</v>
      </c>
      <c r="F902" s="802">
        <v>11534</v>
      </c>
      <c r="G902" s="812">
        <v>53271</v>
      </c>
      <c r="H902" s="812"/>
      <c r="I902" s="812">
        <v>1000.8625</v>
      </c>
      <c r="J902" s="812">
        <v>46682</v>
      </c>
      <c r="K902" s="812">
        <v>3649</v>
      </c>
      <c r="L902" s="812">
        <v>0</v>
      </c>
      <c r="N902" s="812">
        <v>1867</v>
      </c>
      <c r="O902" s="812">
        <v>17230</v>
      </c>
      <c r="P902" s="813">
        <v>0</v>
      </c>
      <c r="Q902" s="812">
        <v>5581</v>
      </c>
      <c r="R902" s="812"/>
      <c r="S902" s="812">
        <v>14238</v>
      </c>
      <c r="T902" s="812">
        <v>-2038</v>
      </c>
      <c r="U902" s="812">
        <v>12201</v>
      </c>
    </row>
    <row r="903" spans="1:21" x14ac:dyDescent="0.25">
      <c r="A903" s="805">
        <v>99941</v>
      </c>
      <c r="B903" s="795" t="s">
        <v>3516</v>
      </c>
      <c r="C903" s="806">
        <v>7.8200000000000003E-5</v>
      </c>
      <c r="D903" s="806">
        <v>8.7899999999999995E-5</v>
      </c>
      <c r="E903" s="802">
        <v>27969.51</v>
      </c>
      <c r="F903" s="802">
        <v>39449</v>
      </c>
      <c r="G903" s="812">
        <v>165967</v>
      </c>
      <c r="H903" s="812"/>
      <c r="I903" s="812">
        <v>3118</v>
      </c>
      <c r="J903" s="812">
        <v>145440</v>
      </c>
      <c r="K903" s="812">
        <v>11367</v>
      </c>
      <c r="L903" s="812">
        <v>0</v>
      </c>
      <c r="N903" s="812">
        <v>5816</v>
      </c>
      <c r="O903" s="812">
        <v>53681</v>
      </c>
      <c r="P903" s="813">
        <v>0</v>
      </c>
      <c r="Q903" s="812">
        <v>11883</v>
      </c>
      <c r="R903" s="812"/>
      <c r="S903" s="812">
        <v>44360</v>
      </c>
      <c r="T903" s="812">
        <v>-3675</v>
      </c>
      <c r="U903" s="812">
        <v>40686</v>
      </c>
    </row>
    <row r="904" spans="1:21" x14ac:dyDescent="0.25">
      <c r="A904" s="805">
        <v>99991</v>
      </c>
      <c r="B904" s="795" t="s">
        <v>3517</v>
      </c>
      <c r="C904" s="806">
        <v>5.6990000000000003E-4</v>
      </c>
      <c r="D904" s="806">
        <v>5.1539999999999995E-4</v>
      </c>
      <c r="E904" s="802">
        <v>214761.88</v>
      </c>
      <c r="F904" s="802">
        <v>231308</v>
      </c>
      <c r="G904" s="812">
        <v>1209519</v>
      </c>
      <c r="H904" s="812"/>
      <c r="I904" s="812">
        <v>22725</v>
      </c>
      <c r="J904" s="812">
        <v>1059924</v>
      </c>
      <c r="K904" s="812">
        <v>82841</v>
      </c>
      <c r="L904" s="812">
        <v>48305</v>
      </c>
      <c r="N904" s="812">
        <v>42383</v>
      </c>
      <c r="O904" s="812">
        <v>391212</v>
      </c>
      <c r="P904" s="813">
        <v>0</v>
      </c>
      <c r="Q904" s="812">
        <v>0</v>
      </c>
      <c r="R904" s="812"/>
      <c r="S904" s="812">
        <v>323287</v>
      </c>
      <c r="T904" s="812">
        <v>19414</v>
      </c>
      <c r="U904" s="812">
        <v>342701</v>
      </c>
    </row>
    <row r="905" spans="1:21" x14ac:dyDescent="0.25">
      <c r="A905" s="805">
        <v>99999</v>
      </c>
      <c r="B905" s="795" t="s">
        <v>3518</v>
      </c>
      <c r="C905" s="806">
        <v>1.0101000000000001E-3</v>
      </c>
      <c r="D905" s="806">
        <v>9.3599999999999998E-4</v>
      </c>
      <c r="E905" s="802">
        <v>441362</v>
      </c>
      <c r="F905" s="802">
        <v>420071</v>
      </c>
      <c r="G905" s="812">
        <v>2143771</v>
      </c>
      <c r="H905" s="812"/>
      <c r="I905" s="812">
        <v>40278</v>
      </c>
      <c r="J905" s="812">
        <v>1878626</v>
      </c>
      <c r="K905" s="812">
        <v>146829</v>
      </c>
      <c r="L905" s="812">
        <v>111413</v>
      </c>
      <c r="N905" s="812">
        <v>75120</v>
      </c>
      <c r="O905" s="812">
        <v>693391</v>
      </c>
      <c r="P905" s="813">
        <v>0</v>
      </c>
      <c r="Q905" s="812">
        <v>43600.9</v>
      </c>
      <c r="R905" s="812"/>
      <c r="S905" s="812">
        <v>572998</v>
      </c>
      <c r="T905" s="812">
        <v>11793</v>
      </c>
      <c r="U905" s="812">
        <v>584791</v>
      </c>
    </row>
    <row r="906" spans="1:21" x14ac:dyDescent="0.25">
      <c r="A906" s="814" t="s">
        <v>2624</v>
      </c>
      <c r="B906" s="772" t="s">
        <v>2623</v>
      </c>
      <c r="C906" s="801">
        <v>2.3587E-3</v>
      </c>
      <c r="D906" s="801">
        <v>2.3326000000000002E-3</v>
      </c>
      <c r="E906" s="802">
        <v>908617.53</v>
      </c>
      <c r="F906" s="802">
        <v>1046857</v>
      </c>
      <c r="G906" s="802">
        <v>5005952</v>
      </c>
      <c r="H906" s="802"/>
      <c r="I906" s="803">
        <v>94053</v>
      </c>
      <c r="J906" s="803">
        <v>4386809</v>
      </c>
      <c r="K906" s="803">
        <v>342863</v>
      </c>
      <c r="L906" s="802">
        <v>35812.04</v>
      </c>
      <c r="M906" s="802"/>
      <c r="N906" s="803">
        <v>175414</v>
      </c>
      <c r="O906" s="803">
        <v>1619148</v>
      </c>
      <c r="P906" s="803">
        <v>0</v>
      </c>
      <c r="Q906" s="802">
        <v>44222</v>
      </c>
      <c r="R906" s="802"/>
      <c r="S906" s="803">
        <v>1338017</v>
      </c>
      <c r="T906" s="804">
        <v>5621</v>
      </c>
      <c r="U906" s="804">
        <v>1343639</v>
      </c>
    </row>
    <row r="907" spans="1:21" x14ac:dyDescent="0.25">
      <c r="B907" s="816" t="s">
        <v>2028</v>
      </c>
      <c r="C907" s="817">
        <f>SUM(C7:C905)</f>
        <v>1</v>
      </c>
      <c r="D907" s="817">
        <f>SUM(D7:D905)</f>
        <v>1</v>
      </c>
      <c r="E907" s="818">
        <f>SUM(E7:E905)</f>
        <v>411243363</v>
      </c>
      <c r="F907" s="818">
        <f>SUM(F7:F905)</f>
        <v>448793979</v>
      </c>
      <c r="G907" s="818">
        <f>SUM(G7:G905)</f>
        <v>2122335002</v>
      </c>
      <c r="H907" s="818"/>
      <c r="I907" s="818">
        <f>SUM(I7:I905)</f>
        <v>39875005</v>
      </c>
      <c r="J907" s="818">
        <f>SUM(J7:J905)</f>
        <v>1859842000</v>
      </c>
      <c r="K907" s="818">
        <f>SUM(K7:K905)</f>
        <v>145360990</v>
      </c>
      <c r="L907" s="818">
        <f>SUM(L7:L905)</f>
        <v>47059867</v>
      </c>
      <c r="M907" s="818"/>
      <c r="N907" s="818">
        <f>SUM(N7:N905)</f>
        <v>74369003</v>
      </c>
      <c r="O907" s="818">
        <f>SUM(O7:O905)</f>
        <v>686457998</v>
      </c>
      <c r="P907" s="818">
        <f>SUM(P7:P905)</f>
        <v>0</v>
      </c>
      <c r="Q907" s="818">
        <f>SUM(Q7:Q905)</f>
        <v>47059539</v>
      </c>
      <c r="R907" s="818"/>
      <c r="S907" s="818">
        <f>SUM(S7:S905)</f>
        <v>567268993</v>
      </c>
      <c r="T907" s="818">
        <f>SUM(T7:T905)</f>
        <v>95</v>
      </c>
      <c r="U907" s="818">
        <f>SUM(U7:U905)</f>
        <v>567269105</v>
      </c>
    </row>
    <row r="908" spans="1:21" x14ac:dyDescent="0.25">
      <c r="G908" s="819"/>
      <c r="H908" s="819"/>
      <c r="I908" s="819"/>
      <c r="J908" s="819"/>
      <c r="K908" s="819"/>
      <c r="L908" s="819"/>
      <c r="M908" s="819"/>
      <c r="N908" s="819"/>
      <c r="O908" s="819"/>
      <c r="P908" s="819"/>
      <c r="Q908" s="819"/>
      <c r="R908" s="819"/>
      <c r="S908" s="819"/>
      <c r="T908" s="819"/>
      <c r="U908" s="819"/>
    </row>
    <row r="909" spans="1:21" x14ac:dyDescent="0.25">
      <c r="G909" s="820"/>
      <c r="H909" s="820"/>
      <c r="I909" s="820"/>
      <c r="J909" s="820"/>
      <c r="K909" s="820"/>
      <c r="L909" s="820"/>
      <c r="M909" s="820"/>
      <c r="N909" s="820"/>
      <c r="O909" s="820"/>
      <c r="P909" s="820"/>
      <c r="Q909" s="820"/>
      <c r="R909" s="820"/>
      <c r="S909" s="820"/>
      <c r="T909" s="820"/>
      <c r="U909" s="820"/>
    </row>
    <row r="910" spans="1:21" x14ac:dyDescent="0.25">
      <c r="B910" s="795" t="s">
        <v>2089</v>
      </c>
      <c r="C910" s="797" t="s">
        <v>825</v>
      </c>
    </row>
    <row r="911" spans="1:21" x14ac:dyDescent="0.25">
      <c r="B911" s="795" t="s">
        <v>1704</v>
      </c>
      <c r="C911" s="799">
        <v>96331</v>
      </c>
    </row>
    <row r="912" spans="1:21" x14ac:dyDescent="0.25">
      <c r="B912" s="795" t="s">
        <v>1583</v>
      </c>
      <c r="C912" s="799">
        <v>94611</v>
      </c>
    </row>
    <row r="913" spans="2:21" x14ac:dyDescent="0.25">
      <c r="B913" s="795" t="s">
        <v>1465</v>
      </c>
      <c r="C913" s="799">
        <v>93402</v>
      </c>
      <c r="G913" s="794"/>
      <c r="H913" s="794"/>
      <c r="I913" s="794"/>
      <c r="J913" s="794"/>
      <c r="K913" s="794"/>
      <c r="L913" s="794"/>
      <c r="M913" s="794"/>
      <c r="N913" s="794"/>
      <c r="O913" s="794"/>
      <c r="P913" s="794"/>
      <c r="Q913" s="794"/>
      <c r="R913" s="794"/>
      <c r="S913" s="794"/>
      <c r="T913" s="794"/>
      <c r="U913" s="794"/>
    </row>
    <row r="914" spans="2:21" x14ac:dyDescent="0.25">
      <c r="B914" s="795" t="s">
        <v>1526</v>
      </c>
      <c r="C914" s="799">
        <v>94109</v>
      </c>
      <c r="D914" s="821"/>
      <c r="E914" s="821"/>
      <c r="F914" s="821"/>
    </row>
    <row r="915" spans="2:21" x14ac:dyDescent="0.25">
      <c r="B915" s="795" t="s">
        <v>1170</v>
      </c>
      <c r="C915" s="799">
        <v>90101</v>
      </c>
      <c r="D915" s="821"/>
      <c r="E915" s="821"/>
      <c r="F915" s="821"/>
    </row>
    <row r="916" spans="2:21" x14ac:dyDescent="0.25">
      <c r="B916" s="795" t="s">
        <v>3519</v>
      </c>
      <c r="C916" s="799">
        <v>90117</v>
      </c>
      <c r="D916" s="821"/>
      <c r="E916" s="821"/>
      <c r="F916" s="821"/>
    </row>
    <row r="917" spans="2:21" x14ac:dyDescent="0.25">
      <c r="B917" s="795" t="s">
        <v>1176</v>
      </c>
      <c r="C917" s="799">
        <v>90151</v>
      </c>
      <c r="D917" s="821"/>
      <c r="E917" s="821"/>
      <c r="F917" s="821"/>
    </row>
    <row r="918" spans="2:21" x14ac:dyDescent="0.25">
      <c r="B918" s="795" t="s">
        <v>1903</v>
      </c>
      <c r="C918" s="799">
        <v>98417</v>
      </c>
      <c r="D918" s="821"/>
      <c r="E918" s="821"/>
      <c r="F918" s="821"/>
    </row>
    <row r="919" spans="2:21" x14ac:dyDescent="0.25">
      <c r="B919" s="795" t="s">
        <v>1766</v>
      </c>
      <c r="C919" s="799">
        <v>97008</v>
      </c>
      <c r="D919" s="821"/>
      <c r="E919" s="821"/>
      <c r="F919" s="821"/>
    </row>
    <row r="920" spans="2:21" x14ac:dyDescent="0.25">
      <c r="B920" s="795" t="s">
        <v>1767</v>
      </c>
      <c r="C920" s="799">
        <v>97010</v>
      </c>
      <c r="D920" s="821"/>
      <c r="E920" s="821"/>
      <c r="F920" s="821"/>
    </row>
    <row r="921" spans="2:21" x14ac:dyDescent="0.25">
      <c r="B921" s="795" t="s">
        <v>3520</v>
      </c>
      <c r="C921" s="799">
        <v>90096</v>
      </c>
      <c r="D921" s="821"/>
      <c r="E921" s="821"/>
      <c r="F921" s="821"/>
    </row>
    <row r="922" spans="2:21" x14ac:dyDescent="0.25">
      <c r="B922" s="795" t="s">
        <v>1217</v>
      </c>
      <c r="C922" s="799">
        <v>90805</v>
      </c>
      <c r="D922" s="821"/>
      <c r="E922" s="821"/>
      <c r="F922" s="821"/>
    </row>
    <row r="923" spans="2:21" x14ac:dyDescent="0.25">
      <c r="B923" s="795" t="s">
        <v>1357</v>
      </c>
      <c r="C923" s="799">
        <v>92109</v>
      </c>
      <c r="D923" s="821"/>
      <c r="E923" s="821"/>
      <c r="F923" s="821"/>
    </row>
    <row r="924" spans="2:21" x14ac:dyDescent="0.25">
      <c r="B924" s="795" t="s">
        <v>1902</v>
      </c>
      <c r="C924" s="799">
        <v>98411</v>
      </c>
      <c r="D924" s="821"/>
      <c r="E924" s="821"/>
      <c r="F924" s="821"/>
    </row>
    <row r="925" spans="2:21" x14ac:dyDescent="0.25">
      <c r="B925" s="795" t="s">
        <v>1178</v>
      </c>
      <c r="C925" s="799">
        <v>90201</v>
      </c>
      <c r="D925" s="821"/>
      <c r="E925" s="821"/>
      <c r="F925" s="821"/>
    </row>
    <row r="926" spans="2:21" x14ac:dyDescent="0.25">
      <c r="B926" s="795" t="s">
        <v>1179</v>
      </c>
      <c r="C926" s="799">
        <v>90203</v>
      </c>
      <c r="D926" s="821"/>
      <c r="E926" s="821"/>
      <c r="F926" s="821"/>
    </row>
    <row r="927" spans="2:21" x14ac:dyDescent="0.25">
      <c r="B927" s="795" t="s">
        <v>1180</v>
      </c>
      <c r="C927" s="799">
        <v>90205</v>
      </c>
    </row>
    <row r="928" spans="2:21" x14ac:dyDescent="0.25">
      <c r="B928" s="795" t="s">
        <v>1181</v>
      </c>
      <c r="C928" s="799">
        <v>90206</v>
      </c>
      <c r="D928" s="821"/>
      <c r="E928" s="821"/>
      <c r="F928" s="821"/>
    </row>
    <row r="929" spans="2:6" x14ac:dyDescent="0.25">
      <c r="B929" s="795" t="s">
        <v>1183</v>
      </c>
      <c r="C929" s="799">
        <v>90301</v>
      </c>
    </row>
    <row r="930" spans="2:6" x14ac:dyDescent="0.25">
      <c r="B930" s="795" t="s">
        <v>1449</v>
      </c>
      <c r="C930" s="799">
        <v>93209</v>
      </c>
      <c r="D930" s="821"/>
      <c r="E930" s="821"/>
      <c r="F930" s="821"/>
    </row>
    <row r="931" spans="2:6" x14ac:dyDescent="0.25">
      <c r="B931" s="795" t="s">
        <v>1354</v>
      </c>
      <c r="C931" s="799">
        <v>92021</v>
      </c>
    </row>
    <row r="932" spans="2:6" x14ac:dyDescent="0.25">
      <c r="B932" s="795" t="s">
        <v>1557</v>
      </c>
      <c r="C932" s="799">
        <v>94347</v>
      </c>
    </row>
    <row r="933" spans="2:6" x14ac:dyDescent="0.25">
      <c r="B933" s="795" t="s">
        <v>1558</v>
      </c>
      <c r="C933" s="799">
        <v>94351</v>
      </c>
    </row>
    <row r="934" spans="2:6" x14ac:dyDescent="0.25">
      <c r="B934" s="795" t="s">
        <v>1186</v>
      </c>
      <c r="C934" s="799">
        <v>90401</v>
      </c>
    </row>
    <row r="935" spans="2:6" x14ac:dyDescent="0.25">
      <c r="B935" s="795" t="s">
        <v>1193</v>
      </c>
      <c r="C935" s="799">
        <v>90451</v>
      </c>
    </row>
    <row r="936" spans="2:6" x14ac:dyDescent="0.25">
      <c r="B936" s="795" t="s">
        <v>1971</v>
      </c>
      <c r="C936" s="799">
        <v>99271</v>
      </c>
    </row>
    <row r="937" spans="2:6" x14ac:dyDescent="0.25">
      <c r="B937" s="795" t="s">
        <v>1169</v>
      </c>
      <c r="C937" s="799">
        <v>90099</v>
      </c>
    </row>
    <row r="938" spans="2:6" x14ac:dyDescent="0.25">
      <c r="B938" s="795" t="s">
        <v>2006</v>
      </c>
      <c r="C938" s="799">
        <v>99705</v>
      </c>
    </row>
    <row r="939" spans="2:6" x14ac:dyDescent="0.25">
      <c r="B939" s="795" t="s">
        <v>1817</v>
      </c>
      <c r="C939" s="799">
        <v>97651</v>
      </c>
    </row>
    <row r="940" spans="2:6" x14ac:dyDescent="0.25">
      <c r="B940" s="795" t="s">
        <v>1612</v>
      </c>
      <c r="C940" s="799">
        <v>95106</v>
      </c>
    </row>
    <row r="941" spans="2:6" x14ac:dyDescent="0.25">
      <c r="B941" s="795" t="s">
        <v>1195</v>
      </c>
      <c r="C941" s="799">
        <v>90501</v>
      </c>
    </row>
    <row r="942" spans="2:6" x14ac:dyDescent="0.25">
      <c r="B942" s="795" t="s">
        <v>1808</v>
      </c>
      <c r="C942" s="799">
        <v>97607</v>
      </c>
    </row>
    <row r="943" spans="2:6" x14ac:dyDescent="0.25">
      <c r="B943" s="795" t="s">
        <v>1810</v>
      </c>
      <c r="C943" s="799">
        <v>97613</v>
      </c>
    </row>
    <row r="944" spans="2:6" x14ac:dyDescent="0.25">
      <c r="B944" s="795" t="s">
        <v>1809</v>
      </c>
      <c r="C944" s="799">
        <v>97611</v>
      </c>
    </row>
    <row r="945" spans="2:3" x14ac:dyDescent="0.25">
      <c r="B945" s="795" t="s">
        <v>1268</v>
      </c>
      <c r="C945" s="799">
        <v>91127</v>
      </c>
    </row>
    <row r="946" spans="2:3" x14ac:dyDescent="0.25">
      <c r="B946" s="795" t="s">
        <v>1269</v>
      </c>
      <c r="C946" s="799">
        <v>91128</v>
      </c>
    </row>
    <row r="947" spans="2:3" x14ac:dyDescent="0.25">
      <c r="B947" s="795" t="s">
        <v>1267</v>
      </c>
      <c r="C947" s="799">
        <v>91121</v>
      </c>
    </row>
    <row r="948" spans="2:3" x14ac:dyDescent="0.25">
      <c r="B948" s="795" t="s">
        <v>1324</v>
      </c>
      <c r="C948" s="799">
        <v>91681</v>
      </c>
    </row>
    <row r="949" spans="2:3" x14ac:dyDescent="0.25">
      <c r="B949" s="795" t="s">
        <v>1219</v>
      </c>
      <c r="C949" s="799">
        <v>90811</v>
      </c>
    </row>
    <row r="950" spans="2:3" x14ac:dyDescent="0.25">
      <c r="B950" s="795" t="s">
        <v>1211</v>
      </c>
      <c r="C950" s="799">
        <v>90721</v>
      </c>
    </row>
    <row r="951" spans="2:3" x14ac:dyDescent="0.25">
      <c r="B951" s="795" t="s">
        <v>1893</v>
      </c>
      <c r="C951" s="799">
        <v>98271</v>
      </c>
    </row>
    <row r="952" spans="2:3" x14ac:dyDescent="0.25">
      <c r="B952" s="795" t="s">
        <v>1199</v>
      </c>
      <c r="C952" s="799">
        <v>90601</v>
      </c>
    </row>
    <row r="953" spans="2:3" x14ac:dyDescent="0.25">
      <c r="B953" s="795" t="s">
        <v>2102</v>
      </c>
      <c r="C953" s="799">
        <v>90602</v>
      </c>
    </row>
    <row r="954" spans="2:3" x14ac:dyDescent="0.25">
      <c r="B954" s="795" t="s">
        <v>1200</v>
      </c>
      <c r="C954" s="799">
        <v>90605</v>
      </c>
    </row>
    <row r="955" spans="2:3" x14ac:dyDescent="0.25">
      <c r="B955" s="795" t="s">
        <v>1799</v>
      </c>
      <c r="C955" s="799">
        <v>97463</v>
      </c>
    </row>
    <row r="956" spans="2:3" x14ac:dyDescent="0.25">
      <c r="B956" s="795" t="s">
        <v>1798</v>
      </c>
      <c r="C956" s="799">
        <v>97461</v>
      </c>
    </row>
    <row r="957" spans="2:3" x14ac:dyDescent="0.25">
      <c r="B957" s="795" t="s">
        <v>1209</v>
      </c>
      <c r="C957" s="799">
        <v>90705</v>
      </c>
    </row>
    <row r="958" spans="2:3" x14ac:dyDescent="0.25">
      <c r="B958" s="795" t="s">
        <v>1908</v>
      </c>
      <c r="C958" s="799">
        <v>98451</v>
      </c>
    </row>
    <row r="959" spans="2:3" x14ac:dyDescent="0.25">
      <c r="B959" s="795" t="s">
        <v>1718</v>
      </c>
      <c r="C959" s="799">
        <v>96451</v>
      </c>
    </row>
    <row r="960" spans="2:3" x14ac:dyDescent="0.25">
      <c r="B960" s="795" t="s">
        <v>1688</v>
      </c>
      <c r="C960" s="799">
        <v>96121</v>
      </c>
    </row>
    <row r="961" spans="2:3" x14ac:dyDescent="0.25">
      <c r="B961" s="795" t="s">
        <v>1257</v>
      </c>
      <c r="C961" s="799">
        <v>91091</v>
      </c>
    </row>
    <row r="962" spans="2:3" x14ac:dyDescent="0.25">
      <c r="B962" s="795" t="s">
        <v>1201</v>
      </c>
      <c r="C962" s="799">
        <v>90611</v>
      </c>
    </row>
    <row r="963" spans="2:3" x14ac:dyDescent="0.25">
      <c r="B963" s="795" t="s">
        <v>1761</v>
      </c>
      <c r="C963" s="799">
        <v>96918</v>
      </c>
    </row>
    <row r="964" spans="2:3" x14ac:dyDescent="0.25">
      <c r="B964" s="795" t="s">
        <v>1759</v>
      </c>
      <c r="C964" s="799">
        <v>96911</v>
      </c>
    </row>
    <row r="965" spans="2:3" x14ac:dyDescent="0.25">
      <c r="B965" s="795" t="s">
        <v>1958</v>
      </c>
      <c r="C965" s="799">
        <v>99208</v>
      </c>
    </row>
    <row r="966" spans="2:3" x14ac:dyDescent="0.25">
      <c r="B966" s="795" t="s">
        <v>1207</v>
      </c>
      <c r="C966" s="799">
        <v>90701</v>
      </c>
    </row>
    <row r="967" spans="2:3" x14ac:dyDescent="0.25">
      <c r="B967" s="795" t="s">
        <v>1208</v>
      </c>
      <c r="C967" s="799">
        <v>90704</v>
      </c>
    </row>
    <row r="968" spans="2:3" x14ac:dyDescent="0.25">
      <c r="B968" s="795" t="s">
        <v>1319</v>
      </c>
      <c r="C968" s="799">
        <v>91633</v>
      </c>
    </row>
    <row r="969" spans="2:3" x14ac:dyDescent="0.25">
      <c r="B969" s="795" t="s">
        <v>1318</v>
      </c>
      <c r="C969" s="799">
        <v>91631</v>
      </c>
    </row>
    <row r="970" spans="2:3" x14ac:dyDescent="0.25">
      <c r="B970" s="795" t="s">
        <v>1204</v>
      </c>
      <c r="C970" s="799">
        <v>90631</v>
      </c>
    </row>
    <row r="971" spans="2:3" x14ac:dyDescent="0.25">
      <c r="B971" s="795" t="s">
        <v>1212</v>
      </c>
      <c r="C971" s="799">
        <v>90731</v>
      </c>
    </row>
    <row r="972" spans="2:3" x14ac:dyDescent="0.25">
      <c r="B972" s="795" t="s">
        <v>1491</v>
      </c>
      <c r="C972" s="799">
        <v>93623</v>
      </c>
    </row>
    <row r="973" spans="2:3" x14ac:dyDescent="0.25">
      <c r="B973" s="795" t="s">
        <v>1490</v>
      </c>
      <c r="C973" s="799">
        <v>93621</v>
      </c>
    </row>
    <row r="974" spans="2:3" x14ac:dyDescent="0.25">
      <c r="B974" s="795" t="s">
        <v>1242</v>
      </c>
      <c r="C974" s="799">
        <v>91020</v>
      </c>
    </row>
    <row r="975" spans="2:3" x14ac:dyDescent="0.25">
      <c r="B975" s="795" t="s">
        <v>1609</v>
      </c>
      <c r="C975" s="799">
        <v>95103</v>
      </c>
    </row>
    <row r="976" spans="2:3" x14ac:dyDescent="0.25">
      <c r="B976" s="795" t="s">
        <v>1619</v>
      </c>
      <c r="C976" s="799">
        <v>95141</v>
      </c>
    </row>
    <row r="977" spans="2:3" x14ac:dyDescent="0.25">
      <c r="B977" s="795" t="s">
        <v>1430</v>
      </c>
      <c r="C977" s="799">
        <v>93021</v>
      </c>
    </row>
    <row r="978" spans="2:3" x14ac:dyDescent="0.25">
      <c r="B978" s="795" t="s">
        <v>1215</v>
      </c>
      <c r="C978" s="799">
        <v>90801</v>
      </c>
    </row>
    <row r="979" spans="2:3" x14ac:dyDescent="0.25">
      <c r="B979" s="795" t="s">
        <v>1216</v>
      </c>
      <c r="C979" s="799">
        <v>90804</v>
      </c>
    </row>
    <row r="980" spans="2:3" x14ac:dyDescent="0.25">
      <c r="B980" s="795" t="s">
        <v>1218</v>
      </c>
      <c r="C980" s="799">
        <v>90808</v>
      </c>
    </row>
    <row r="981" spans="2:3" x14ac:dyDescent="0.25">
      <c r="B981" s="795" t="s">
        <v>1498</v>
      </c>
      <c r="C981" s="799">
        <v>93677</v>
      </c>
    </row>
    <row r="982" spans="2:3" x14ac:dyDescent="0.25">
      <c r="B982" s="795" t="s">
        <v>1497</v>
      </c>
      <c r="C982" s="799">
        <v>93671</v>
      </c>
    </row>
    <row r="983" spans="2:3" x14ac:dyDescent="0.25">
      <c r="B983" s="795" t="s">
        <v>1796</v>
      </c>
      <c r="C983" s="799">
        <v>97441</v>
      </c>
    </row>
    <row r="984" spans="2:3" x14ac:dyDescent="0.25">
      <c r="B984" s="795" t="s">
        <v>1434</v>
      </c>
      <c r="C984" s="799">
        <v>93111</v>
      </c>
    </row>
    <row r="985" spans="2:3" x14ac:dyDescent="0.25">
      <c r="B985" s="795" t="s">
        <v>1264</v>
      </c>
      <c r="C985" s="799">
        <v>91111</v>
      </c>
    </row>
    <row r="986" spans="2:3" x14ac:dyDescent="0.25">
      <c r="B986" s="795" t="s">
        <v>1693</v>
      </c>
      <c r="C986" s="799">
        <v>96231</v>
      </c>
    </row>
    <row r="987" spans="2:3" x14ac:dyDescent="0.25">
      <c r="B987" s="795" t="s">
        <v>2018</v>
      </c>
      <c r="C987" s="799">
        <v>99831</v>
      </c>
    </row>
    <row r="988" spans="2:3" x14ac:dyDescent="0.25">
      <c r="B988" s="795" t="s">
        <v>1274</v>
      </c>
      <c r="C988" s="799">
        <v>91154</v>
      </c>
    </row>
    <row r="989" spans="2:3" x14ac:dyDescent="0.25">
      <c r="B989" s="795" t="s">
        <v>1273</v>
      </c>
      <c r="C989" s="799">
        <v>91151</v>
      </c>
    </row>
    <row r="990" spans="2:3" x14ac:dyDescent="0.25">
      <c r="B990" s="795" t="s">
        <v>1223</v>
      </c>
      <c r="C990" s="799">
        <v>90901</v>
      </c>
    </row>
    <row r="991" spans="2:3" x14ac:dyDescent="0.25">
      <c r="B991" s="795" t="s">
        <v>1229</v>
      </c>
      <c r="C991" s="799">
        <v>90941</v>
      </c>
    </row>
    <row r="992" spans="2:3" x14ac:dyDescent="0.25">
      <c r="B992" s="795" t="s">
        <v>1991</v>
      </c>
      <c r="C992" s="799">
        <v>99527</v>
      </c>
    </row>
    <row r="993" spans="2:3" x14ac:dyDescent="0.25">
      <c r="B993" s="795" t="s">
        <v>1987</v>
      </c>
      <c r="C993" s="799">
        <v>99508</v>
      </c>
    </row>
    <row r="994" spans="2:3" x14ac:dyDescent="0.25">
      <c r="B994" s="795" t="s">
        <v>1990</v>
      </c>
      <c r="C994" s="799">
        <v>99521</v>
      </c>
    </row>
    <row r="995" spans="2:3" x14ac:dyDescent="0.25">
      <c r="B995" s="795" t="s">
        <v>1576</v>
      </c>
      <c r="C995" s="799">
        <v>94532</v>
      </c>
    </row>
    <row r="996" spans="2:3" x14ac:dyDescent="0.25">
      <c r="B996" s="795" t="s">
        <v>1255</v>
      </c>
      <c r="C996" s="799">
        <v>91077</v>
      </c>
    </row>
    <row r="997" spans="2:3" x14ac:dyDescent="0.25">
      <c r="B997" s="795" t="s">
        <v>1254</v>
      </c>
      <c r="C997" s="799">
        <v>91071</v>
      </c>
    </row>
    <row r="998" spans="2:3" x14ac:dyDescent="0.25">
      <c r="B998" s="795" t="s">
        <v>1367</v>
      </c>
      <c r="C998" s="799">
        <v>92331</v>
      </c>
    </row>
    <row r="999" spans="2:3" x14ac:dyDescent="0.25">
      <c r="B999" s="795" t="s">
        <v>1989</v>
      </c>
      <c r="C999" s="799">
        <v>99511</v>
      </c>
    </row>
    <row r="1000" spans="2:3" x14ac:dyDescent="0.25">
      <c r="B1000" s="795" t="s">
        <v>2025</v>
      </c>
      <c r="C1000" s="805">
        <v>99941</v>
      </c>
    </row>
    <row r="1001" spans="2:3" x14ac:dyDescent="0.25">
      <c r="B1001" s="795" t="s">
        <v>1713</v>
      </c>
      <c r="C1001" s="799">
        <v>96405</v>
      </c>
    </row>
    <row r="1002" spans="2:3" x14ac:dyDescent="0.25">
      <c r="B1002" s="795" t="s">
        <v>1929</v>
      </c>
      <c r="C1002" s="799">
        <v>98817</v>
      </c>
    </row>
    <row r="1003" spans="2:3" x14ac:dyDescent="0.25">
      <c r="B1003" s="795" t="s">
        <v>1928</v>
      </c>
      <c r="C1003" s="799">
        <v>98811</v>
      </c>
    </row>
    <row r="1004" spans="2:3" x14ac:dyDescent="0.25">
      <c r="B1004" s="795" t="s">
        <v>1393</v>
      </c>
      <c r="C1004" s="799">
        <v>92561</v>
      </c>
    </row>
    <row r="1005" spans="2:3" x14ac:dyDescent="0.25">
      <c r="B1005" s="795" t="s">
        <v>1872</v>
      </c>
      <c r="C1005" s="799">
        <v>98102</v>
      </c>
    </row>
    <row r="1006" spans="2:3" x14ac:dyDescent="0.25">
      <c r="B1006" s="795" t="s">
        <v>1633</v>
      </c>
      <c r="C1006" s="799">
        <v>95321</v>
      </c>
    </row>
    <row r="1007" spans="2:3" x14ac:dyDescent="0.25">
      <c r="B1007" s="795" t="s">
        <v>1340</v>
      </c>
      <c r="C1007" s="799">
        <v>91861</v>
      </c>
    </row>
    <row r="1008" spans="2:3" x14ac:dyDescent="0.25">
      <c r="B1008" s="795" t="s">
        <v>1230</v>
      </c>
      <c r="C1008" s="799">
        <v>91001</v>
      </c>
    </row>
    <row r="1009" spans="2:3" x14ac:dyDescent="0.25">
      <c r="B1009" s="795" t="s">
        <v>1233</v>
      </c>
      <c r="C1009" s="799">
        <v>91004</v>
      </c>
    </row>
    <row r="1010" spans="2:3" x14ac:dyDescent="0.25">
      <c r="B1010" s="795" t="s">
        <v>3521</v>
      </c>
      <c r="C1010" s="799">
        <v>91006</v>
      </c>
    </row>
    <row r="1011" spans="2:3" x14ac:dyDescent="0.25">
      <c r="B1011" s="795" t="s">
        <v>1232</v>
      </c>
      <c r="C1011" s="799">
        <v>91003</v>
      </c>
    </row>
    <row r="1012" spans="2:3" x14ac:dyDescent="0.25">
      <c r="B1012" s="795" t="s">
        <v>1236</v>
      </c>
      <c r="C1012" s="799">
        <v>91009</v>
      </c>
    </row>
    <row r="1013" spans="2:3" x14ac:dyDescent="0.25">
      <c r="B1013" s="795" t="s">
        <v>3522</v>
      </c>
      <c r="C1013" s="799">
        <v>91042</v>
      </c>
    </row>
    <row r="1014" spans="2:3" x14ac:dyDescent="0.25">
      <c r="B1014" s="795" t="s">
        <v>1375</v>
      </c>
      <c r="C1014" s="799">
        <v>92421</v>
      </c>
    </row>
    <row r="1015" spans="2:3" x14ac:dyDescent="0.25">
      <c r="B1015" s="795" t="s">
        <v>1926</v>
      </c>
      <c r="C1015" s="799">
        <v>98717</v>
      </c>
    </row>
    <row r="1016" spans="2:3" x14ac:dyDescent="0.25">
      <c r="B1016" s="795" t="s">
        <v>1925</v>
      </c>
      <c r="C1016" s="799">
        <v>98711</v>
      </c>
    </row>
    <row r="1017" spans="2:3" x14ac:dyDescent="0.25">
      <c r="B1017" s="795" t="s">
        <v>1258</v>
      </c>
      <c r="C1017" s="799">
        <v>91101</v>
      </c>
    </row>
    <row r="1018" spans="2:3" x14ac:dyDescent="0.25">
      <c r="B1018" s="795" t="s">
        <v>1482</v>
      </c>
      <c r="C1018" s="799">
        <v>93537</v>
      </c>
    </row>
    <row r="1019" spans="2:3" x14ac:dyDescent="0.25">
      <c r="B1019" s="795" t="s">
        <v>1481</v>
      </c>
      <c r="C1019" s="799">
        <v>93531</v>
      </c>
    </row>
    <row r="1020" spans="2:3" x14ac:dyDescent="0.25">
      <c r="B1020" s="795" t="s">
        <v>1775</v>
      </c>
      <c r="C1020" s="799">
        <v>97111</v>
      </c>
    </row>
    <row r="1021" spans="2:3" x14ac:dyDescent="0.25">
      <c r="B1021" s="795" t="s">
        <v>1277</v>
      </c>
      <c r="C1021" s="799">
        <v>91201</v>
      </c>
    </row>
    <row r="1022" spans="2:3" x14ac:dyDescent="0.25">
      <c r="B1022" s="795" t="s">
        <v>3523</v>
      </c>
      <c r="C1022" s="799">
        <v>91206</v>
      </c>
    </row>
    <row r="1023" spans="2:3" x14ac:dyDescent="0.25">
      <c r="B1023" s="795" t="s">
        <v>1279</v>
      </c>
      <c r="C1023" s="799">
        <v>91203</v>
      </c>
    </row>
    <row r="1024" spans="2:3" x14ac:dyDescent="0.25">
      <c r="B1024" s="795" t="s">
        <v>1280</v>
      </c>
      <c r="C1024" s="799">
        <v>91208</v>
      </c>
    </row>
    <row r="1025" spans="2:3" x14ac:dyDescent="0.25">
      <c r="B1025" s="795" t="s">
        <v>1278</v>
      </c>
      <c r="C1025" s="799">
        <v>91202</v>
      </c>
    </row>
    <row r="1026" spans="2:3" x14ac:dyDescent="0.25">
      <c r="B1026" s="795" t="s">
        <v>1171</v>
      </c>
      <c r="C1026" s="799">
        <v>90111</v>
      </c>
    </row>
    <row r="1027" spans="2:3" x14ac:dyDescent="0.25">
      <c r="B1027" s="795" t="s">
        <v>1166</v>
      </c>
      <c r="C1027" s="799">
        <v>90011</v>
      </c>
    </row>
    <row r="1028" spans="2:3" x14ac:dyDescent="0.25">
      <c r="B1028" s="795" t="s">
        <v>1515</v>
      </c>
      <c r="C1028" s="799">
        <v>93931</v>
      </c>
    </row>
    <row r="1029" spans="2:3" x14ac:dyDescent="0.25">
      <c r="B1029" s="795" t="s">
        <v>1293</v>
      </c>
      <c r="C1029" s="805">
        <v>91306</v>
      </c>
    </row>
    <row r="1030" spans="2:3" x14ac:dyDescent="0.25">
      <c r="B1030" s="795" t="s">
        <v>1294</v>
      </c>
      <c r="C1030" s="799">
        <v>91308</v>
      </c>
    </row>
    <row r="1031" spans="2:3" x14ac:dyDescent="0.25">
      <c r="B1031" s="795" t="s">
        <v>1291</v>
      </c>
      <c r="C1031" s="805">
        <v>91301</v>
      </c>
    </row>
    <row r="1032" spans="2:3" x14ac:dyDescent="0.25">
      <c r="B1032" s="795" t="s">
        <v>1310</v>
      </c>
      <c r="C1032" s="799">
        <v>91461</v>
      </c>
    </row>
    <row r="1033" spans="2:3" x14ac:dyDescent="0.25">
      <c r="B1033" s="795" t="s">
        <v>1234</v>
      </c>
      <c r="C1033" s="799">
        <v>91007</v>
      </c>
    </row>
    <row r="1034" spans="2:3" x14ac:dyDescent="0.25">
      <c r="B1034" s="795" t="s">
        <v>1237</v>
      </c>
      <c r="C1034" s="799">
        <v>91010</v>
      </c>
    </row>
    <row r="1035" spans="2:3" x14ac:dyDescent="0.25">
      <c r="B1035" s="795" t="s">
        <v>1301</v>
      </c>
      <c r="C1035" s="799">
        <v>91401</v>
      </c>
    </row>
    <row r="1036" spans="2:3" x14ac:dyDescent="0.25">
      <c r="B1036" s="795" t="s">
        <v>1443</v>
      </c>
      <c r="C1036" s="799">
        <v>93171</v>
      </c>
    </row>
    <row r="1037" spans="2:3" x14ac:dyDescent="0.25">
      <c r="B1037" s="795" t="s">
        <v>1311</v>
      </c>
      <c r="C1037" s="799">
        <v>91501</v>
      </c>
    </row>
    <row r="1038" spans="2:3" x14ac:dyDescent="0.25">
      <c r="B1038" s="795" t="s">
        <v>1312</v>
      </c>
      <c r="C1038" s="799">
        <v>91504</v>
      </c>
    </row>
    <row r="1039" spans="2:3" x14ac:dyDescent="0.25">
      <c r="B1039" s="795" t="s">
        <v>1702</v>
      </c>
      <c r="C1039" s="799">
        <v>96312</v>
      </c>
    </row>
    <row r="1040" spans="2:3" x14ac:dyDescent="0.25">
      <c r="B1040" s="795" t="s">
        <v>1694</v>
      </c>
      <c r="C1040" s="799">
        <v>96241</v>
      </c>
    </row>
    <row r="1041" spans="2:3" x14ac:dyDescent="0.25">
      <c r="B1041" s="795" t="s">
        <v>1568</v>
      </c>
      <c r="C1041" s="799">
        <v>94437</v>
      </c>
    </row>
    <row r="1042" spans="2:3" x14ac:dyDescent="0.25">
      <c r="B1042" s="795" t="s">
        <v>1567</v>
      </c>
      <c r="C1042" s="799">
        <v>94431</v>
      </c>
    </row>
    <row r="1043" spans="2:3" x14ac:dyDescent="0.25">
      <c r="B1043" s="795" t="s">
        <v>1323</v>
      </c>
      <c r="C1043" s="799">
        <v>91671</v>
      </c>
    </row>
    <row r="1044" spans="2:3" x14ac:dyDescent="0.25">
      <c r="B1044" s="795" t="s">
        <v>1235</v>
      </c>
      <c r="C1044" s="799">
        <v>91008</v>
      </c>
    </row>
    <row r="1045" spans="2:3" x14ac:dyDescent="0.25">
      <c r="B1045" s="795" t="s">
        <v>1727</v>
      </c>
      <c r="C1045" s="799">
        <v>96512</v>
      </c>
    </row>
    <row r="1046" spans="2:3" x14ac:dyDescent="0.25">
      <c r="B1046" s="795" t="s">
        <v>1724</v>
      </c>
      <c r="C1046" s="799">
        <v>96507</v>
      </c>
    </row>
    <row r="1047" spans="2:3" x14ac:dyDescent="0.25">
      <c r="B1047" s="795" t="s">
        <v>1729</v>
      </c>
      <c r="C1047" s="799">
        <v>96521</v>
      </c>
    </row>
    <row r="1048" spans="2:3" x14ac:dyDescent="0.25">
      <c r="B1048" s="795" t="s">
        <v>1244</v>
      </c>
      <c r="C1048" s="799">
        <v>91024</v>
      </c>
    </row>
    <row r="1049" spans="2:3" x14ac:dyDescent="0.25">
      <c r="B1049" s="795" t="s">
        <v>1756</v>
      </c>
      <c r="C1049" s="799">
        <v>96821</v>
      </c>
    </row>
    <row r="1050" spans="2:3" x14ac:dyDescent="0.25">
      <c r="B1050" s="795" t="s">
        <v>1313</v>
      </c>
      <c r="C1050" s="799">
        <v>91601</v>
      </c>
    </row>
    <row r="1051" spans="2:3" x14ac:dyDescent="0.25">
      <c r="B1051" s="795" t="s">
        <v>1314</v>
      </c>
      <c r="C1051" s="799">
        <v>91604</v>
      </c>
    </row>
    <row r="1052" spans="2:3" x14ac:dyDescent="0.25">
      <c r="B1052" s="795" t="s">
        <v>1710</v>
      </c>
      <c r="C1052" s="799">
        <v>96391</v>
      </c>
    </row>
    <row r="1053" spans="2:3" x14ac:dyDescent="0.25">
      <c r="B1053" s="795" t="s">
        <v>1964</v>
      </c>
      <c r="C1053" s="799">
        <v>99221</v>
      </c>
    </row>
    <row r="1054" spans="2:3" x14ac:dyDescent="0.25">
      <c r="B1054" s="795" t="s">
        <v>1250</v>
      </c>
      <c r="C1054" s="799">
        <v>91051</v>
      </c>
    </row>
    <row r="1055" spans="2:3" x14ac:dyDescent="0.25">
      <c r="B1055" s="795" t="s">
        <v>1326</v>
      </c>
      <c r="C1055" s="799">
        <v>91701</v>
      </c>
    </row>
    <row r="1056" spans="2:3" x14ac:dyDescent="0.25">
      <c r="B1056" s="795" t="s">
        <v>1327</v>
      </c>
      <c r="C1056" s="799">
        <v>91704</v>
      </c>
    </row>
    <row r="1057" spans="2:3" x14ac:dyDescent="0.25">
      <c r="B1057" s="795" t="s">
        <v>3524</v>
      </c>
      <c r="C1057" s="799">
        <v>91706</v>
      </c>
    </row>
    <row r="1058" spans="2:3" x14ac:dyDescent="0.25">
      <c r="B1058" s="795" t="s">
        <v>1329</v>
      </c>
      <c r="C1058" s="799">
        <v>91801</v>
      </c>
    </row>
    <row r="1059" spans="2:3" x14ac:dyDescent="0.25">
      <c r="B1059" s="795" t="s">
        <v>1330</v>
      </c>
      <c r="C1059" s="799">
        <v>91804</v>
      </c>
    </row>
    <row r="1060" spans="2:3" x14ac:dyDescent="0.25">
      <c r="B1060" s="795" t="s">
        <v>1342</v>
      </c>
      <c r="C1060" s="799">
        <v>91881</v>
      </c>
    </row>
    <row r="1061" spans="2:3" x14ac:dyDescent="0.25">
      <c r="B1061" s="795" t="s">
        <v>1325</v>
      </c>
      <c r="C1061" s="799">
        <v>91691</v>
      </c>
    </row>
    <row r="1062" spans="2:3" x14ac:dyDescent="0.25">
      <c r="B1062" s="795" t="s">
        <v>1965</v>
      </c>
      <c r="C1062" s="799">
        <v>99222</v>
      </c>
    </row>
    <row r="1063" spans="2:3" x14ac:dyDescent="0.25">
      <c r="B1063" s="795" t="s">
        <v>3525</v>
      </c>
      <c r="C1063" s="799">
        <v>93408</v>
      </c>
    </row>
    <row r="1064" spans="2:3" x14ac:dyDescent="0.25">
      <c r="B1064" s="795" t="s">
        <v>1675</v>
      </c>
      <c r="C1064" s="799">
        <v>96009</v>
      </c>
    </row>
    <row r="1065" spans="2:3" x14ac:dyDescent="0.25">
      <c r="B1065" s="795" t="s">
        <v>1378</v>
      </c>
      <c r="C1065" s="799">
        <v>92441</v>
      </c>
    </row>
    <row r="1066" spans="2:3" x14ac:dyDescent="0.25">
      <c r="B1066" s="795" t="s">
        <v>1755</v>
      </c>
      <c r="C1066" s="799">
        <v>96811</v>
      </c>
    </row>
    <row r="1067" spans="2:3" x14ac:dyDescent="0.25">
      <c r="B1067" s="795" t="s">
        <v>1671</v>
      </c>
      <c r="C1067" s="799">
        <v>96003</v>
      </c>
    </row>
    <row r="1068" spans="2:3" x14ac:dyDescent="0.25">
      <c r="B1068" s="795" t="s">
        <v>1677</v>
      </c>
      <c r="C1068" s="799">
        <v>96018</v>
      </c>
    </row>
    <row r="1069" spans="2:3" x14ac:dyDescent="0.25">
      <c r="B1069" s="795" t="s">
        <v>3526</v>
      </c>
      <c r="C1069" s="799">
        <v>96012</v>
      </c>
    </row>
    <row r="1070" spans="2:3" x14ac:dyDescent="0.25">
      <c r="B1070" s="795" t="s">
        <v>1676</v>
      </c>
      <c r="C1070" s="799">
        <v>96011</v>
      </c>
    </row>
    <row r="1071" spans="2:3" x14ac:dyDescent="0.25">
      <c r="B1071" s="795" t="s">
        <v>1673</v>
      </c>
      <c r="C1071" s="799">
        <v>96005</v>
      </c>
    </row>
    <row r="1072" spans="2:3" x14ac:dyDescent="0.25">
      <c r="B1072" s="795" t="s">
        <v>1343</v>
      </c>
      <c r="C1072" s="799">
        <v>91901</v>
      </c>
    </row>
    <row r="1073" spans="2:3" x14ac:dyDescent="0.25">
      <c r="B1073" s="795" t="s">
        <v>1345</v>
      </c>
      <c r="C1073" s="799">
        <v>91904</v>
      </c>
    </row>
    <row r="1074" spans="2:3" x14ac:dyDescent="0.25">
      <c r="B1074" s="795" t="s">
        <v>1344</v>
      </c>
      <c r="C1074" s="799">
        <v>91903</v>
      </c>
    </row>
    <row r="1075" spans="2:3" x14ac:dyDescent="0.25">
      <c r="B1075" s="795" t="s">
        <v>1350</v>
      </c>
      <c r="C1075" s="799">
        <v>92001</v>
      </c>
    </row>
    <row r="1076" spans="2:3" x14ac:dyDescent="0.25">
      <c r="B1076" s="795" t="s">
        <v>1494</v>
      </c>
      <c r="C1076" s="799">
        <v>93647</v>
      </c>
    </row>
    <row r="1077" spans="2:3" x14ac:dyDescent="0.25">
      <c r="B1077" s="795" t="s">
        <v>1493</v>
      </c>
      <c r="C1077" s="799">
        <v>93641</v>
      </c>
    </row>
    <row r="1078" spans="2:3" x14ac:dyDescent="0.25">
      <c r="B1078" s="795" t="s">
        <v>1865</v>
      </c>
      <c r="C1078" s="799">
        <v>98041</v>
      </c>
    </row>
    <row r="1079" spans="2:3" x14ac:dyDescent="0.25">
      <c r="B1079" s="795" t="s">
        <v>1735</v>
      </c>
      <c r="C1079" s="799">
        <v>96612</v>
      </c>
    </row>
    <row r="1080" spans="2:3" x14ac:dyDescent="0.25">
      <c r="B1080" s="795" t="s">
        <v>1214</v>
      </c>
      <c r="C1080" s="799">
        <v>90751</v>
      </c>
    </row>
    <row r="1081" spans="2:3" x14ac:dyDescent="0.25">
      <c r="B1081" s="795" t="s">
        <v>1355</v>
      </c>
      <c r="C1081" s="799">
        <v>92101</v>
      </c>
    </row>
    <row r="1082" spans="2:3" x14ac:dyDescent="0.25">
      <c r="B1082" s="795" t="s">
        <v>1356</v>
      </c>
      <c r="C1082" s="799">
        <v>92104</v>
      </c>
    </row>
    <row r="1083" spans="2:3" x14ac:dyDescent="0.25">
      <c r="B1083" s="795" t="s">
        <v>2016</v>
      </c>
      <c r="C1083" s="799">
        <v>99818</v>
      </c>
    </row>
    <row r="1084" spans="2:3" x14ac:dyDescent="0.25">
      <c r="B1084" s="795" t="s">
        <v>1336</v>
      </c>
      <c r="C1084" s="799">
        <v>91821</v>
      </c>
    </row>
    <row r="1085" spans="2:3" x14ac:dyDescent="0.25">
      <c r="B1085" s="795" t="s">
        <v>1228</v>
      </c>
      <c r="C1085" s="799">
        <v>90931</v>
      </c>
    </row>
    <row r="1086" spans="2:3" x14ac:dyDescent="0.25">
      <c r="B1086" s="795" t="s">
        <v>1360</v>
      </c>
      <c r="C1086" s="799">
        <v>92201</v>
      </c>
    </row>
    <row r="1087" spans="2:3" x14ac:dyDescent="0.25">
      <c r="B1087" s="795" t="s">
        <v>1618</v>
      </c>
      <c r="C1087" s="799">
        <v>95131</v>
      </c>
    </row>
    <row r="1088" spans="2:3" x14ac:dyDescent="0.25">
      <c r="B1088" s="795" t="s">
        <v>1472</v>
      </c>
      <c r="C1088" s="799">
        <v>93442</v>
      </c>
    </row>
    <row r="1089" spans="2:3" x14ac:dyDescent="0.25">
      <c r="B1089" s="795" t="s">
        <v>1471</v>
      </c>
      <c r="C1089" s="799">
        <v>93441</v>
      </c>
    </row>
    <row r="1090" spans="2:3" x14ac:dyDescent="0.25">
      <c r="B1090" s="795" t="s">
        <v>1361</v>
      </c>
      <c r="C1090" s="799">
        <v>92301</v>
      </c>
    </row>
    <row r="1091" spans="2:3" x14ac:dyDescent="0.25">
      <c r="B1091" s="795" t="s">
        <v>1362</v>
      </c>
      <c r="C1091" s="799">
        <v>92302</v>
      </c>
    </row>
    <row r="1092" spans="2:3" x14ac:dyDescent="0.25">
      <c r="B1092" s="795" t="s">
        <v>1870</v>
      </c>
      <c r="C1092" s="799">
        <v>98091</v>
      </c>
    </row>
    <row r="1093" spans="2:3" x14ac:dyDescent="0.25">
      <c r="B1093" s="795" t="s">
        <v>1886</v>
      </c>
      <c r="C1093" s="799">
        <v>98218</v>
      </c>
    </row>
    <row r="1094" spans="2:3" x14ac:dyDescent="0.25">
      <c r="B1094" s="795" t="s">
        <v>1885</v>
      </c>
      <c r="C1094" s="799">
        <v>98211</v>
      </c>
    </row>
    <row r="1095" spans="2:3" x14ac:dyDescent="0.25">
      <c r="B1095" s="795" t="s">
        <v>1728</v>
      </c>
      <c r="C1095" s="799">
        <v>96519</v>
      </c>
    </row>
    <row r="1096" spans="2:3" x14ac:dyDescent="0.25">
      <c r="B1096" s="795" t="s">
        <v>1387</v>
      </c>
      <c r="C1096" s="799">
        <v>92508</v>
      </c>
    </row>
    <row r="1097" spans="2:3" x14ac:dyDescent="0.25">
      <c r="B1097" s="795" t="s">
        <v>1556</v>
      </c>
      <c r="C1097" s="799">
        <v>94341</v>
      </c>
    </row>
    <row r="1098" spans="2:3" x14ac:dyDescent="0.25">
      <c r="B1098" s="795" t="s">
        <v>1586</v>
      </c>
      <c r="C1098" s="799">
        <v>94641</v>
      </c>
    </row>
    <row r="1099" spans="2:3" x14ac:dyDescent="0.25">
      <c r="B1099" s="795" t="s">
        <v>1221</v>
      </c>
      <c r="C1099" s="799">
        <v>90813</v>
      </c>
    </row>
    <row r="1100" spans="2:3" x14ac:dyDescent="0.25">
      <c r="B1100" s="795" t="s">
        <v>1537</v>
      </c>
      <c r="C1100" s="799">
        <v>94168</v>
      </c>
    </row>
    <row r="1101" spans="2:3" x14ac:dyDescent="0.25">
      <c r="B1101" s="795" t="s">
        <v>1932</v>
      </c>
      <c r="C1101" s="799">
        <v>98911</v>
      </c>
    </row>
    <row r="1102" spans="2:3" x14ac:dyDescent="0.25">
      <c r="B1102" s="795" t="s">
        <v>1370</v>
      </c>
      <c r="C1102" s="799">
        <v>92401</v>
      </c>
    </row>
    <row r="1103" spans="2:3" x14ac:dyDescent="0.25">
      <c r="B1103" s="795" t="s">
        <v>1805</v>
      </c>
      <c r="C1103" s="799">
        <v>97521</v>
      </c>
    </row>
    <row r="1104" spans="2:3" x14ac:dyDescent="0.25">
      <c r="B1104" s="795" t="s">
        <v>1296</v>
      </c>
      <c r="C1104" s="799">
        <v>91317</v>
      </c>
    </row>
    <row r="1105" spans="2:3" x14ac:dyDescent="0.25">
      <c r="B1105" s="795" t="s">
        <v>1295</v>
      </c>
      <c r="C1105" s="799">
        <v>91311</v>
      </c>
    </row>
    <row r="1106" spans="2:3" x14ac:dyDescent="0.25">
      <c r="B1106" s="795" t="s">
        <v>1290</v>
      </c>
      <c r="C1106" s="799">
        <v>91261</v>
      </c>
    </row>
    <row r="1107" spans="2:3" x14ac:dyDescent="0.25">
      <c r="B1107" s="795" t="s">
        <v>1339</v>
      </c>
      <c r="C1107" s="799">
        <v>91851</v>
      </c>
    </row>
    <row r="1108" spans="2:3" x14ac:dyDescent="0.25">
      <c r="B1108" s="795" t="s">
        <v>3527</v>
      </c>
      <c r="C1108" s="799">
        <v>97408</v>
      </c>
    </row>
    <row r="1109" spans="2:3" x14ac:dyDescent="0.25">
      <c r="B1109" s="795" t="s">
        <v>1738</v>
      </c>
      <c r="C1109" s="799">
        <v>96641</v>
      </c>
    </row>
    <row r="1110" spans="2:3" x14ac:dyDescent="0.25">
      <c r="B1110" s="795" t="s">
        <v>1431</v>
      </c>
      <c r="C1110" s="799">
        <v>93027</v>
      </c>
    </row>
    <row r="1111" spans="2:3" x14ac:dyDescent="0.25">
      <c r="B1111" s="795" t="s">
        <v>1432</v>
      </c>
      <c r="C1111" s="799">
        <v>93031</v>
      </c>
    </row>
    <row r="1112" spans="2:3" x14ac:dyDescent="0.25">
      <c r="B1112" s="795" t="s">
        <v>1681</v>
      </c>
      <c r="C1112" s="799">
        <v>96051</v>
      </c>
    </row>
    <row r="1113" spans="2:3" x14ac:dyDescent="0.25">
      <c r="B1113" s="795" t="s">
        <v>1394</v>
      </c>
      <c r="C1113" s="799">
        <v>92571</v>
      </c>
    </row>
    <row r="1114" spans="2:3" x14ac:dyDescent="0.25">
      <c r="B1114" s="795" t="s">
        <v>1492</v>
      </c>
      <c r="C1114" s="799">
        <v>93631</v>
      </c>
    </row>
    <row r="1115" spans="2:3" x14ac:dyDescent="0.25">
      <c r="B1115" s="795" t="s">
        <v>1381</v>
      </c>
      <c r="C1115" s="799">
        <v>92501</v>
      </c>
    </row>
    <row r="1116" spans="2:3" x14ac:dyDescent="0.25">
      <c r="B1116" s="795" t="s">
        <v>1383</v>
      </c>
      <c r="C1116" s="799">
        <v>92504</v>
      </c>
    </row>
    <row r="1117" spans="2:3" x14ac:dyDescent="0.25">
      <c r="B1117" s="795" t="s">
        <v>1385</v>
      </c>
      <c r="C1117" s="799">
        <v>92506</v>
      </c>
    </row>
    <row r="1118" spans="2:3" x14ac:dyDescent="0.25">
      <c r="B1118" s="795" t="s">
        <v>1384</v>
      </c>
      <c r="C1118" s="799">
        <v>92505</v>
      </c>
    </row>
    <row r="1119" spans="2:3" x14ac:dyDescent="0.25">
      <c r="B1119" s="795" t="s">
        <v>1514</v>
      </c>
      <c r="C1119" s="799">
        <v>93921</v>
      </c>
    </row>
    <row r="1120" spans="2:3" x14ac:dyDescent="0.25">
      <c r="B1120" s="795" t="s">
        <v>1984</v>
      </c>
      <c r="C1120" s="799">
        <v>99431</v>
      </c>
    </row>
    <row r="1121" spans="2:3" x14ac:dyDescent="0.25">
      <c r="B1121" s="795" t="s">
        <v>1395</v>
      </c>
      <c r="C1121" s="799">
        <v>92601</v>
      </c>
    </row>
    <row r="1122" spans="2:3" x14ac:dyDescent="0.25">
      <c r="B1122" s="795" t="s">
        <v>1397</v>
      </c>
      <c r="C1122" s="799">
        <v>92604</v>
      </c>
    </row>
    <row r="1123" spans="2:3" x14ac:dyDescent="0.25">
      <c r="B1123" s="795" t="s">
        <v>1398</v>
      </c>
      <c r="C1123" s="799">
        <v>92608</v>
      </c>
    </row>
    <row r="1124" spans="2:3" x14ac:dyDescent="0.25">
      <c r="B1124" s="795" t="s">
        <v>1409</v>
      </c>
      <c r="C1124" s="799">
        <v>92701</v>
      </c>
    </row>
    <row r="1125" spans="2:3" x14ac:dyDescent="0.25">
      <c r="B1125" s="795" t="s">
        <v>1410</v>
      </c>
      <c r="C1125" s="799">
        <v>92704</v>
      </c>
    </row>
    <row r="1126" spans="2:3" x14ac:dyDescent="0.25">
      <c r="B1126" s="795" t="s">
        <v>1495</v>
      </c>
      <c r="C1126" s="799">
        <v>93651</v>
      </c>
    </row>
    <row r="1127" spans="2:3" x14ac:dyDescent="0.25">
      <c r="B1127" s="795" t="s">
        <v>1411</v>
      </c>
      <c r="C1127" s="799">
        <v>92801</v>
      </c>
    </row>
    <row r="1128" spans="2:3" x14ac:dyDescent="0.25">
      <c r="B1128" s="795" t="s">
        <v>1413</v>
      </c>
      <c r="C1128" s="799">
        <v>92804</v>
      </c>
    </row>
    <row r="1129" spans="2:3" x14ac:dyDescent="0.25">
      <c r="B1129" s="795" t="s">
        <v>1412</v>
      </c>
      <c r="C1129" s="799">
        <v>92802</v>
      </c>
    </row>
    <row r="1130" spans="2:3" x14ac:dyDescent="0.25">
      <c r="B1130" s="795" t="s">
        <v>1420</v>
      </c>
      <c r="C1130" s="799">
        <v>92901</v>
      </c>
    </row>
    <row r="1131" spans="2:3" x14ac:dyDescent="0.25">
      <c r="B1131" s="795" t="s">
        <v>1684</v>
      </c>
      <c r="C1131" s="799">
        <v>96081</v>
      </c>
    </row>
    <row r="1132" spans="2:3" x14ac:dyDescent="0.25">
      <c r="B1132" s="795" t="s">
        <v>1427</v>
      </c>
      <c r="C1132" s="799">
        <v>93001</v>
      </c>
    </row>
    <row r="1133" spans="2:3" x14ac:dyDescent="0.25">
      <c r="B1133" s="795" t="s">
        <v>1428</v>
      </c>
      <c r="C1133" s="799">
        <v>93009</v>
      </c>
    </row>
    <row r="1134" spans="2:3" x14ac:dyDescent="0.25">
      <c r="B1134" s="795" t="s">
        <v>1424</v>
      </c>
      <c r="C1134" s="799">
        <v>92921</v>
      </c>
    </row>
    <row r="1135" spans="2:3" x14ac:dyDescent="0.25">
      <c r="B1135" s="795" t="s">
        <v>1919</v>
      </c>
      <c r="C1135" s="799">
        <v>98627</v>
      </c>
    </row>
    <row r="1136" spans="2:3" x14ac:dyDescent="0.25">
      <c r="B1136" s="795" t="s">
        <v>1918</v>
      </c>
      <c r="C1136" s="799">
        <v>98621</v>
      </c>
    </row>
    <row r="1137" spans="2:3" x14ac:dyDescent="0.25">
      <c r="B1137" s="795" t="s">
        <v>1285</v>
      </c>
      <c r="C1137" s="799">
        <v>91221</v>
      </c>
    </row>
    <row r="1138" spans="2:3" x14ac:dyDescent="0.25">
      <c r="B1138" s="795" t="s">
        <v>1419</v>
      </c>
      <c r="C1138" s="799">
        <v>92861</v>
      </c>
    </row>
    <row r="1139" spans="2:3" x14ac:dyDescent="0.25">
      <c r="B1139" s="795" t="s">
        <v>1553</v>
      </c>
      <c r="C1139" s="799">
        <v>94317</v>
      </c>
    </row>
    <row r="1140" spans="2:3" x14ac:dyDescent="0.25">
      <c r="B1140" s="795" t="s">
        <v>1552</v>
      </c>
      <c r="C1140" s="799">
        <v>94313</v>
      </c>
    </row>
    <row r="1141" spans="2:3" x14ac:dyDescent="0.25">
      <c r="B1141" s="795" t="s">
        <v>1551</v>
      </c>
      <c r="C1141" s="799">
        <v>94311</v>
      </c>
    </row>
    <row r="1142" spans="2:3" x14ac:dyDescent="0.25">
      <c r="B1142" s="795" t="s">
        <v>1433</v>
      </c>
      <c r="C1142" s="799">
        <v>93101</v>
      </c>
    </row>
    <row r="1143" spans="2:3" x14ac:dyDescent="0.25">
      <c r="B1143" s="795" t="s">
        <v>2103</v>
      </c>
      <c r="C1143" s="799">
        <v>93103</v>
      </c>
    </row>
    <row r="1144" spans="2:3" x14ac:dyDescent="0.25">
      <c r="B1144" s="795" t="s">
        <v>1451</v>
      </c>
      <c r="C1144" s="799">
        <v>93212</v>
      </c>
    </row>
    <row r="1145" spans="2:3" x14ac:dyDescent="0.25">
      <c r="B1145" s="795" t="s">
        <v>1446</v>
      </c>
      <c r="C1145" s="799">
        <v>93201</v>
      </c>
    </row>
    <row r="1146" spans="2:3" x14ac:dyDescent="0.25">
      <c r="B1146" s="795" t="s">
        <v>1448</v>
      </c>
      <c r="C1146" s="799">
        <v>93204</v>
      </c>
    </row>
    <row r="1147" spans="2:3" x14ac:dyDescent="0.25">
      <c r="B1147" s="795" t="s">
        <v>1961</v>
      </c>
      <c r="C1147" s="799">
        <v>99212</v>
      </c>
    </row>
    <row r="1148" spans="2:3" x14ac:dyDescent="0.25">
      <c r="B1148" s="795" t="s">
        <v>1450</v>
      </c>
      <c r="C1148" s="799">
        <v>93211</v>
      </c>
    </row>
    <row r="1149" spans="2:3" x14ac:dyDescent="0.25">
      <c r="B1149" s="795" t="s">
        <v>1765</v>
      </c>
      <c r="C1149" s="799">
        <v>97005</v>
      </c>
    </row>
    <row r="1150" spans="2:3" x14ac:dyDescent="0.25">
      <c r="B1150" s="795" t="s">
        <v>2024</v>
      </c>
      <c r="C1150" s="799">
        <v>99931</v>
      </c>
    </row>
    <row r="1151" spans="2:3" x14ac:dyDescent="0.25">
      <c r="B1151" s="795" t="s">
        <v>3528</v>
      </c>
      <c r="C1151" s="799">
        <v>92509</v>
      </c>
    </row>
    <row r="1152" spans="2:3" x14ac:dyDescent="0.25">
      <c r="B1152" s="795" t="s">
        <v>1863</v>
      </c>
      <c r="C1152" s="799">
        <v>98023</v>
      </c>
    </row>
    <row r="1153" spans="2:3" x14ac:dyDescent="0.25">
      <c r="B1153" s="795" t="s">
        <v>1862</v>
      </c>
      <c r="C1153" s="799">
        <v>98021</v>
      </c>
    </row>
    <row r="1154" spans="2:3" x14ac:dyDescent="0.25">
      <c r="B1154" s="795" t="s">
        <v>1160</v>
      </c>
      <c r="C1154" s="799">
        <v>70505</v>
      </c>
    </row>
    <row r="1155" spans="2:3" x14ac:dyDescent="0.25">
      <c r="B1155" s="795" t="s">
        <v>1995</v>
      </c>
      <c r="C1155" s="799">
        <v>99603</v>
      </c>
    </row>
    <row r="1156" spans="2:3" x14ac:dyDescent="0.25">
      <c r="B1156" s="795" t="s">
        <v>1998</v>
      </c>
      <c r="C1156" s="799">
        <v>99610</v>
      </c>
    </row>
    <row r="1157" spans="2:3" x14ac:dyDescent="0.25">
      <c r="B1157" s="795" t="s">
        <v>1408</v>
      </c>
      <c r="C1157" s="799">
        <v>92681</v>
      </c>
    </row>
    <row r="1158" spans="2:3" x14ac:dyDescent="0.25">
      <c r="B1158" s="795" t="s">
        <v>3529</v>
      </c>
      <c r="C1158" s="799">
        <v>93108</v>
      </c>
    </row>
    <row r="1159" spans="2:3" x14ac:dyDescent="0.25">
      <c r="B1159" s="795" t="s">
        <v>1855</v>
      </c>
      <c r="C1159" s="799">
        <v>97957</v>
      </c>
    </row>
    <row r="1160" spans="2:3" x14ac:dyDescent="0.25">
      <c r="B1160" s="795" t="s">
        <v>1854</v>
      </c>
      <c r="C1160" s="799">
        <v>97951</v>
      </c>
    </row>
    <row r="1161" spans="2:3" x14ac:dyDescent="0.25">
      <c r="B1161" s="795" t="s">
        <v>1358</v>
      </c>
      <c r="C1161" s="799">
        <v>92111</v>
      </c>
    </row>
    <row r="1162" spans="2:3" x14ac:dyDescent="0.25">
      <c r="B1162" s="795" t="s">
        <v>1453</v>
      </c>
      <c r="C1162" s="799">
        <v>93301</v>
      </c>
    </row>
    <row r="1163" spans="2:3" x14ac:dyDescent="0.25">
      <c r="B1163" s="795" t="s">
        <v>1454</v>
      </c>
      <c r="C1163" s="799">
        <v>93304</v>
      </c>
    </row>
    <row r="1164" spans="2:3" x14ac:dyDescent="0.25">
      <c r="B1164" s="795" t="s">
        <v>1455</v>
      </c>
      <c r="C1164" s="799">
        <v>93305</v>
      </c>
    </row>
    <row r="1165" spans="2:3" x14ac:dyDescent="0.25">
      <c r="B1165" s="795" t="s">
        <v>1959</v>
      </c>
      <c r="C1165" s="799">
        <v>99210</v>
      </c>
    </row>
    <row r="1166" spans="2:3" x14ac:dyDescent="0.25">
      <c r="B1166" s="795" t="s">
        <v>1768</v>
      </c>
      <c r="C1166" s="799">
        <v>97011</v>
      </c>
    </row>
    <row r="1167" spans="2:3" x14ac:dyDescent="0.25">
      <c r="B1167" s="795" t="s">
        <v>1770</v>
      </c>
      <c r="C1167" s="799">
        <v>97013</v>
      </c>
    </row>
    <row r="1168" spans="2:3" x14ac:dyDescent="0.25">
      <c r="B1168" s="795" t="s">
        <v>1769</v>
      </c>
      <c r="C1168" s="799">
        <v>97012</v>
      </c>
    </row>
    <row r="1169" spans="2:3" x14ac:dyDescent="0.25">
      <c r="B1169" s="795" t="s">
        <v>1772</v>
      </c>
      <c r="C1169" s="799">
        <v>97018</v>
      </c>
    </row>
    <row r="1170" spans="2:3" x14ac:dyDescent="0.25">
      <c r="B1170" s="795" t="s">
        <v>1225</v>
      </c>
      <c r="C1170" s="799">
        <v>90917</v>
      </c>
    </row>
    <row r="1171" spans="2:3" x14ac:dyDescent="0.25">
      <c r="B1171" s="795" t="s">
        <v>1224</v>
      </c>
      <c r="C1171" s="799">
        <v>90911</v>
      </c>
    </row>
    <row r="1172" spans="2:3" x14ac:dyDescent="0.25">
      <c r="B1172" s="795" t="s">
        <v>1205</v>
      </c>
      <c r="C1172" s="799">
        <v>90641</v>
      </c>
    </row>
    <row r="1173" spans="2:3" x14ac:dyDescent="0.25">
      <c r="B1173" s="795" t="s">
        <v>1923</v>
      </c>
      <c r="C1173" s="799">
        <v>98647</v>
      </c>
    </row>
    <row r="1174" spans="2:3" x14ac:dyDescent="0.25">
      <c r="B1174" s="795" t="s">
        <v>1922</v>
      </c>
      <c r="C1174" s="799">
        <v>98641</v>
      </c>
    </row>
    <row r="1175" spans="2:3" x14ac:dyDescent="0.25">
      <c r="B1175" s="795" t="s">
        <v>1882</v>
      </c>
      <c r="C1175" s="799">
        <v>98161</v>
      </c>
    </row>
    <row r="1176" spans="2:3" x14ac:dyDescent="0.25">
      <c r="B1176" s="795" t="s">
        <v>1826</v>
      </c>
      <c r="C1176" s="799">
        <v>97731</v>
      </c>
    </row>
    <row r="1177" spans="2:3" x14ac:dyDescent="0.25">
      <c r="B1177" s="795" t="s">
        <v>2020</v>
      </c>
      <c r="C1177" s="799">
        <v>99851</v>
      </c>
    </row>
    <row r="1178" spans="2:3" x14ac:dyDescent="0.25">
      <c r="B1178" s="795" t="s">
        <v>1174</v>
      </c>
      <c r="C1178" s="799">
        <v>90131</v>
      </c>
    </row>
    <row r="1179" spans="2:3" x14ac:dyDescent="0.25">
      <c r="B1179" s="795" t="s">
        <v>1321</v>
      </c>
      <c r="C1179" s="799">
        <v>91651</v>
      </c>
    </row>
    <row r="1180" spans="2:3" x14ac:dyDescent="0.25">
      <c r="B1180" s="795" t="s">
        <v>1544</v>
      </c>
      <c r="C1180" s="799">
        <v>94211</v>
      </c>
    </row>
    <row r="1181" spans="2:3" x14ac:dyDescent="0.25">
      <c r="B1181" s="795" t="s">
        <v>1555</v>
      </c>
      <c r="C1181" s="799">
        <v>94331</v>
      </c>
    </row>
    <row r="1182" spans="2:3" x14ac:dyDescent="0.25">
      <c r="B1182" s="795" t="s">
        <v>1377</v>
      </c>
      <c r="C1182" s="799">
        <v>92431</v>
      </c>
    </row>
    <row r="1183" spans="2:3" x14ac:dyDescent="0.25">
      <c r="B1183" s="795" t="s">
        <v>1835</v>
      </c>
      <c r="C1183" s="799">
        <v>97823</v>
      </c>
    </row>
    <row r="1184" spans="2:3" x14ac:dyDescent="0.25">
      <c r="B1184" s="795" t="s">
        <v>1834</v>
      </c>
      <c r="C1184" s="799">
        <v>97821</v>
      </c>
    </row>
    <row r="1185" spans="2:3" x14ac:dyDescent="0.25">
      <c r="B1185" s="795" t="s">
        <v>1439</v>
      </c>
      <c r="C1185" s="799">
        <v>93141</v>
      </c>
    </row>
    <row r="1186" spans="2:3" x14ac:dyDescent="0.25">
      <c r="B1186" s="795" t="s">
        <v>1869</v>
      </c>
      <c r="C1186" s="799">
        <v>98081</v>
      </c>
    </row>
    <row r="1187" spans="2:3" x14ac:dyDescent="0.25">
      <c r="B1187" s="795" t="s">
        <v>1407</v>
      </c>
      <c r="C1187" s="799">
        <v>92671</v>
      </c>
    </row>
    <row r="1188" spans="2:3" x14ac:dyDescent="0.25">
      <c r="B1188" s="795" t="s">
        <v>1794</v>
      </c>
      <c r="C1188" s="799">
        <v>97423</v>
      </c>
    </row>
    <row r="1189" spans="2:3" x14ac:dyDescent="0.25">
      <c r="B1189" s="795" t="s">
        <v>1793</v>
      </c>
      <c r="C1189" s="799">
        <v>97421</v>
      </c>
    </row>
    <row r="1190" spans="2:3" x14ac:dyDescent="0.25">
      <c r="B1190" s="795" t="s">
        <v>1400</v>
      </c>
      <c r="C1190" s="799">
        <v>92613</v>
      </c>
    </row>
    <row r="1191" spans="2:3" x14ac:dyDescent="0.25">
      <c r="B1191" s="795" t="s">
        <v>1401</v>
      </c>
      <c r="C1191" s="799">
        <v>92614</v>
      </c>
    </row>
    <row r="1192" spans="2:3" x14ac:dyDescent="0.25">
      <c r="B1192" s="795" t="s">
        <v>1399</v>
      </c>
      <c r="C1192" s="799">
        <v>92611</v>
      </c>
    </row>
    <row r="1193" spans="2:3" x14ac:dyDescent="0.25">
      <c r="B1193" s="795" t="s">
        <v>1382</v>
      </c>
      <c r="C1193" s="799">
        <v>92502</v>
      </c>
    </row>
    <row r="1194" spans="2:3" x14ac:dyDescent="0.25">
      <c r="B1194" s="795" t="s">
        <v>1575</v>
      </c>
      <c r="C1194" s="799">
        <v>94531</v>
      </c>
    </row>
    <row r="1195" spans="2:3" x14ac:dyDescent="0.25">
      <c r="B1195" s="795" t="s">
        <v>1578</v>
      </c>
      <c r="C1195" s="799">
        <v>94547</v>
      </c>
    </row>
    <row r="1196" spans="2:3" x14ac:dyDescent="0.25">
      <c r="B1196" s="795" t="s">
        <v>1577</v>
      </c>
      <c r="C1196" s="799">
        <v>94541</v>
      </c>
    </row>
    <row r="1197" spans="2:3" x14ac:dyDescent="0.25">
      <c r="B1197" s="795" t="s">
        <v>1604</v>
      </c>
      <c r="C1197" s="799">
        <v>95005</v>
      </c>
    </row>
    <row r="1198" spans="2:3" x14ac:dyDescent="0.25">
      <c r="B1198" s="795" t="s">
        <v>1876</v>
      </c>
      <c r="C1198" s="799">
        <v>98111</v>
      </c>
    </row>
    <row r="1199" spans="2:3" x14ac:dyDescent="0.25">
      <c r="B1199" s="795" t="s">
        <v>1874</v>
      </c>
      <c r="C1199" s="799">
        <v>98107</v>
      </c>
    </row>
    <row r="1200" spans="2:3" x14ac:dyDescent="0.25">
      <c r="B1200" s="795" t="s">
        <v>1877</v>
      </c>
      <c r="C1200" s="799">
        <v>98113</v>
      </c>
    </row>
    <row r="1201" spans="2:3" x14ac:dyDescent="0.25">
      <c r="B1201" s="795" t="s">
        <v>1994</v>
      </c>
      <c r="C1201" s="799">
        <v>99602</v>
      </c>
    </row>
    <row r="1202" spans="2:3" x14ac:dyDescent="0.25">
      <c r="B1202" s="795" t="s">
        <v>1464</v>
      </c>
      <c r="C1202" s="799">
        <v>93401</v>
      </c>
    </row>
    <row r="1203" spans="2:3" x14ac:dyDescent="0.25">
      <c r="B1203" s="795" t="s">
        <v>1802</v>
      </c>
      <c r="C1203" s="799">
        <v>97491</v>
      </c>
    </row>
    <row r="1204" spans="2:3" x14ac:dyDescent="0.25">
      <c r="B1204" s="795" t="s">
        <v>1620</v>
      </c>
      <c r="C1204" s="799">
        <v>95151</v>
      </c>
    </row>
    <row r="1205" spans="2:3" x14ac:dyDescent="0.25">
      <c r="B1205" s="795" t="s">
        <v>1709</v>
      </c>
      <c r="C1205" s="799">
        <v>96381</v>
      </c>
    </row>
    <row r="1206" spans="2:3" x14ac:dyDescent="0.25">
      <c r="B1206" s="795" t="s">
        <v>1476</v>
      </c>
      <c r="C1206" s="799">
        <v>93501</v>
      </c>
    </row>
    <row r="1207" spans="2:3" x14ac:dyDescent="0.25">
      <c r="B1207" s="795" t="s">
        <v>1649</v>
      </c>
      <c r="C1207" s="799">
        <v>95611</v>
      </c>
    </row>
    <row r="1208" spans="2:3" x14ac:dyDescent="0.25">
      <c r="B1208" s="795" t="s">
        <v>1478</v>
      </c>
      <c r="C1208" s="799">
        <v>93517</v>
      </c>
    </row>
    <row r="1209" spans="2:3" x14ac:dyDescent="0.25">
      <c r="B1209" s="795" t="s">
        <v>1477</v>
      </c>
      <c r="C1209" s="799">
        <v>93511</v>
      </c>
    </row>
    <row r="1210" spans="2:3" x14ac:dyDescent="0.25">
      <c r="B1210" s="795" t="s">
        <v>2002</v>
      </c>
      <c r="C1210" s="799">
        <v>99631</v>
      </c>
    </row>
    <row r="1211" spans="2:3" x14ac:dyDescent="0.25">
      <c r="B1211" s="795" t="s">
        <v>1970</v>
      </c>
      <c r="C1211" s="799">
        <v>99261</v>
      </c>
    </row>
    <row r="1212" spans="2:3" x14ac:dyDescent="0.25">
      <c r="B1212" s="795" t="s">
        <v>1890</v>
      </c>
      <c r="C1212" s="799">
        <v>98241</v>
      </c>
    </row>
    <row r="1213" spans="2:3" x14ac:dyDescent="0.25">
      <c r="B1213" s="795" t="s">
        <v>1969</v>
      </c>
      <c r="C1213" s="799">
        <v>99252</v>
      </c>
    </row>
    <row r="1214" spans="2:3" x14ac:dyDescent="0.25">
      <c r="B1214" s="795" t="s">
        <v>1968</v>
      </c>
      <c r="C1214" s="799">
        <v>99251</v>
      </c>
    </row>
    <row r="1215" spans="2:3" x14ac:dyDescent="0.25">
      <c r="B1215" s="795" t="s">
        <v>1737</v>
      </c>
      <c r="C1215" s="799">
        <v>96631</v>
      </c>
    </row>
    <row r="1216" spans="2:3" x14ac:dyDescent="0.25">
      <c r="B1216" s="795" t="s">
        <v>1489</v>
      </c>
      <c r="C1216" s="799">
        <v>93618</v>
      </c>
    </row>
    <row r="1217" spans="2:3" x14ac:dyDescent="0.25">
      <c r="B1217" s="795" t="s">
        <v>1484</v>
      </c>
      <c r="C1217" s="799">
        <v>93601</v>
      </c>
    </row>
    <row r="1218" spans="2:3" x14ac:dyDescent="0.25">
      <c r="B1218" s="795" t="s">
        <v>1739</v>
      </c>
      <c r="C1218" s="799">
        <v>96651</v>
      </c>
    </row>
    <row r="1219" spans="2:3" x14ac:dyDescent="0.25">
      <c r="B1219" s="795" t="s">
        <v>1488</v>
      </c>
      <c r="C1219" s="799">
        <v>93617</v>
      </c>
    </row>
    <row r="1220" spans="2:3" x14ac:dyDescent="0.25">
      <c r="B1220" s="795" t="s">
        <v>1487</v>
      </c>
      <c r="C1220" s="799">
        <v>93611</v>
      </c>
    </row>
    <row r="1221" spans="2:3" x14ac:dyDescent="0.25">
      <c r="B1221" s="795" t="s">
        <v>1501</v>
      </c>
      <c r="C1221" s="799">
        <v>93701</v>
      </c>
    </row>
    <row r="1222" spans="2:3" x14ac:dyDescent="0.25">
      <c r="B1222" s="795" t="s">
        <v>1502</v>
      </c>
      <c r="C1222" s="799">
        <v>93704</v>
      </c>
    </row>
    <row r="1223" spans="2:3" x14ac:dyDescent="0.25">
      <c r="B1223" s="795" t="s">
        <v>1900</v>
      </c>
      <c r="C1223" s="799">
        <v>98331</v>
      </c>
    </row>
    <row r="1224" spans="2:3" x14ac:dyDescent="0.25">
      <c r="B1224" s="795" t="s">
        <v>1535</v>
      </c>
      <c r="C1224" s="799">
        <v>94157</v>
      </c>
    </row>
    <row r="1225" spans="2:3" x14ac:dyDescent="0.25">
      <c r="B1225" s="795" t="s">
        <v>1534</v>
      </c>
      <c r="C1225" s="799">
        <v>94151</v>
      </c>
    </row>
    <row r="1226" spans="2:3" x14ac:dyDescent="0.25">
      <c r="B1226" s="795" t="s">
        <v>1288</v>
      </c>
      <c r="C1226" s="799">
        <v>91241</v>
      </c>
    </row>
    <row r="1227" spans="2:3" x14ac:dyDescent="0.25">
      <c r="B1227" s="795" t="s">
        <v>1638</v>
      </c>
      <c r="C1227" s="799">
        <v>95412</v>
      </c>
    </row>
    <row r="1228" spans="2:3" x14ac:dyDescent="0.25">
      <c r="B1228" s="795" t="s">
        <v>3530</v>
      </c>
      <c r="C1228" s="799">
        <v>99613</v>
      </c>
    </row>
    <row r="1229" spans="2:3" x14ac:dyDescent="0.25">
      <c r="B1229" s="795" t="s">
        <v>1999</v>
      </c>
      <c r="C1229" s="799">
        <v>99611</v>
      </c>
    </row>
    <row r="1230" spans="2:3" x14ac:dyDescent="0.25">
      <c r="B1230" s="795" t="s">
        <v>1346</v>
      </c>
      <c r="C1230" s="799">
        <v>91908</v>
      </c>
    </row>
    <row r="1231" spans="2:3" x14ac:dyDescent="0.25">
      <c r="B1231" s="795" t="s">
        <v>1503</v>
      </c>
      <c r="C1231" s="799">
        <v>93801</v>
      </c>
    </row>
    <row r="1232" spans="2:3" x14ac:dyDescent="0.25">
      <c r="B1232" s="795" t="s">
        <v>3531</v>
      </c>
      <c r="C1232" s="799">
        <v>93806</v>
      </c>
    </row>
    <row r="1233" spans="2:3" x14ac:dyDescent="0.25">
      <c r="B1233" s="795" t="s">
        <v>1504</v>
      </c>
      <c r="C1233" s="799">
        <v>93803</v>
      </c>
    </row>
    <row r="1234" spans="2:3" x14ac:dyDescent="0.25">
      <c r="B1234" s="795" t="s">
        <v>1173</v>
      </c>
      <c r="C1234" s="799">
        <v>90121</v>
      </c>
    </row>
    <row r="1235" spans="2:3" x14ac:dyDescent="0.25">
      <c r="B1235" s="795" t="s">
        <v>1303</v>
      </c>
      <c r="C1235" s="799">
        <v>91417</v>
      </c>
    </row>
    <row r="1236" spans="2:3" x14ac:dyDescent="0.25">
      <c r="B1236" s="795" t="s">
        <v>1302</v>
      </c>
      <c r="C1236" s="799">
        <v>91411</v>
      </c>
    </row>
    <row r="1237" spans="2:3" x14ac:dyDescent="0.25">
      <c r="B1237" s="795" t="s">
        <v>1867</v>
      </c>
      <c r="C1237" s="799">
        <v>98061</v>
      </c>
    </row>
    <row r="1238" spans="2:3" x14ac:dyDescent="0.25">
      <c r="B1238" s="795" t="s">
        <v>1506</v>
      </c>
      <c r="C1238" s="799">
        <v>93901</v>
      </c>
    </row>
    <row r="1239" spans="2:3" x14ac:dyDescent="0.25">
      <c r="B1239" s="795" t="s">
        <v>1507</v>
      </c>
      <c r="C1239" s="799">
        <v>93904</v>
      </c>
    </row>
    <row r="1240" spans="2:3" x14ac:dyDescent="0.25">
      <c r="B1240" s="795" t="s">
        <v>1508</v>
      </c>
      <c r="C1240" s="799">
        <v>93906</v>
      </c>
    </row>
    <row r="1241" spans="2:3" x14ac:dyDescent="0.25">
      <c r="B1241" s="795" t="s">
        <v>1509</v>
      </c>
      <c r="C1241" s="799">
        <v>93908</v>
      </c>
    </row>
    <row r="1242" spans="2:3" x14ac:dyDescent="0.25">
      <c r="B1242" s="795" t="s">
        <v>1594</v>
      </c>
      <c r="C1242" s="799">
        <v>94908</v>
      </c>
    </row>
    <row r="1243" spans="2:3" x14ac:dyDescent="0.25">
      <c r="B1243" s="795" t="s">
        <v>1177</v>
      </c>
      <c r="C1243" s="799">
        <v>90161</v>
      </c>
    </row>
    <row r="1244" spans="2:3" x14ac:dyDescent="0.25">
      <c r="B1244" s="795" t="s">
        <v>1516</v>
      </c>
      <c r="C1244" s="799">
        <v>94001</v>
      </c>
    </row>
    <row r="1245" spans="2:3" x14ac:dyDescent="0.25">
      <c r="B1245" s="795" t="s">
        <v>1518</v>
      </c>
      <c r="C1245" s="799">
        <v>94004</v>
      </c>
    </row>
    <row r="1246" spans="2:3" x14ac:dyDescent="0.25">
      <c r="B1246" s="795" t="s">
        <v>1529</v>
      </c>
      <c r="C1246" s="799">
        <v>94117</v>
      </c>
    </row>
    <row r="1247" spans="2:3" x14ac:dyDescent="0.25">
      <c r="B1247" s="795" t="s">
        <v>1527</v>
      </c>
      <c r="C1247" s="799">
        <v>94111</v>
      </c>
    </row>
    <row r="1248" spans="2:3" x14ac:dyDescent="0.25">
      <c r="B1248" s="795" t="s">
        <v>1792</v>
      </c>
      <c r="C1248" s="799">
        <v>97413</v>
      </c>
    </row>
    <row r="1249" spans="2:3" x14ac:dyDescent="0.25">
      <c r="B1249" s="795" t="s">
        <v>1791</v>
      </c>
      <c r="C1249" s="799">
        <v>97412</v>
      </c>
    </row>
    <row r="1250" spans="2:3" x14ac:dyDescent="0.25">
      <c r="B1250" s="795" t="s">
        <v>1790</v>
      </c>
      <c r="C1250" s="799">
        <v>97411</v>
      </c>
    </row>
    <row r="1251" spans="2:3" x14ac:dyDescent="0.25">
      <c r="B1251" s="795" t="s">
        <v>1795</v>
      </c>
      <c r="C1251" s="799">
        <v>97431</v>
      </c>
    </row>
    <row r="1252" spans="2:3" x14ac:dyDescent="0.25">
      <c r="B1252" s="795" t="s">
        <v>1800</v>
      </c>
      <c r="C1252" s="799">
        <v>97471</v>
      </c>
    </row>
    <row r="1253" spans="2:3" x14ac:dyDescent="0.25">
      <c r="B1253" s="795" t="s">
        <v>1369</v>
      </c>
      <c r="C1253" s="799">
        <v>92351</v>
      </c>
    </row>
    <row r="1254" spans="2:3" x14ac:dyDescent="0.25">
      <c r="B1254" s="795" t="s">
        <v>1530</v>
      </c>
      <c r="C1254" s="799">
        <v>94118</v>
      </c>
    </row>
    <row r="1255" spans="2:3" x14ac:dyDescent="0.25">
      <c r="B1255" s="795" t="s">
        <v>1523</v>
      </c>
      <c r="C1255" s="799">
        <v>94101</v>
      </c>
    </row>
    <row r="1256" spans="2:3" x14ac:dyDescent="0.25">
      <c r="B1256" s="795" t="s">
        <v>1524</v>
      </c>
      <c r="C1256" s="799">
        <v>94102</v>
      </c>
    </row>
    <row r="1257" spans="2:3" x14ac:dyDescent="0.25">
      <c r="B1257" s="795" t="s">
        <v>1540</v>
      </c>
      <c r="C1257" s="799">
        <v>94201</v>
      </c>
    </row>
    <row r="1258" spans="2:3" x14ac:dyDescent="0.25">
      <c r="B1258" s="795" t="s">
        <v>1541</v>
      </c>
      <c r="C1258" s="799">
        <v>94204</v>
      </c>
    </row>
    <row r="1259" spans="2:3" x14ac:dyDescent="0.25">
      <c r="B1259" s="795" t="s">
        <v>1542</v>
      </c>
      <c r="C1259" s="799">
        <v>94205</v>
      </c>
    </row>
    <row r="1260" spans="2:3" x14ac:dyDescent="0.25">
      <c r="B1260" s="795" t="s">
        <v>1662</v>
      </c>
      <c r="C1260" s="799">
        <v>95831</v>
      </c>
    </row>
    <row r="1261" spans="2:3" x14ac:dyDescent="0.25">
      <c r="B1261" s="795" t="s">
        <v>1823</v>
      </c>
      <c r="C1261" s="799">
        <v>97717</v>
      </c>
    </row>
    <row r="1262" spans="2:3" x14ac:dyDescent="0.25">
      <c r="B1262" s="795" t="s">
        <v>1824</v>
      </c>
      <c r="C1262" s="799">
        <v>97721</v>
      </c>
    </row>
    <row r="1263" spans="2:3" x14ac:dyDescent="0.25">
      <c r="B1263" s="795" t="s">
        <v>1550</v>
      </c>
      <c r="C1263" s="799">
        <v>94301</v>
      </c>
    </row>
    <row r="1264" spans="2:3" x14ac:dyDescent="0.25">
      <c r="B1264" s="795" t="s">
        <v>1307</v>
      </c>
      <c r="C1264" s="799">
        <v>91441</v>
      </c>
    </row>
    <row r="1265" spans="2:3" x14ac:dyDescent="0.25">
      <c r="B1265" s="795" t="s">
        <v>1390</v>
      </c>
      <c r="C1265" s="799">
        <v>92531</v>
      </c>
    </row>
    <row r="1266" spans="2:3" x14ac:dyDescent="0.25">
      <c r="B1266" s="795" t="s">
        <v>1175</v>
      </c>
      <c r="C1266" s="799">
        <v>90141</v>
      </c>
    </row>
    <row r="1267" spans="2:3" x14ac:dyDescent="0.25">
      <c r="B1267" s="795" t="s">
        <v>1559</v>
      </c>
      <c r="C1267" s="799">
        <v>94401</v>
      </c>
    </row>
    <row r="1268" spans="2:3" x14ac:dyDescent="0.25">
      <c r="B1268" s="795" t="s">
        <v>1560</v>
      </c>
      <c r="C1268" s="799">
        <v>94402</v>
      </c>
    </row>
    <row r="1269" spans="2:3" x14ac:dyDescent="0.25">
      <c r="B1269" s="795" t="s">
        <v>1569</v>
      </c>
      <c r="C1269" s="799">
        <v>94501</v>
      </c>
    </row>
    <row r="1270" spans="2:3" x14ac:dyDescent="0.25">
      <c r="B1270" s="795" t="s">
        <v>1951</v>
      </c>
      <c r="C1270" s="799">
        <v>99111</v>
      </c>
    </row>
    <row r="1271" spans="2:3" x14ac:dyDescent="0.25">
      <c r="B1271" s="795" t="s">
        <v>1572</v>
      </c>
      <c r="C1271" s="799">
        <v>94517</v>
      </c>
    </row>
    <row r="1272" spans="2:3" x14ac:dyDescent="0.25">
      <c r="B1272" s="795" t="s">
        <v>1571</v>
      </c>
      <c r="C1272" s="799">
        <v>94512</v>
      </c>
    </row>
    <row r="1273" spans="2:3" x14ac:dyDescent="0.25">
      <c r="B1273" s="795" t="s">
        <v>1570</v>
      </c>
      <c r="C1273" s="799">
        <v>94511</v>
      </c>
    </row>
    <row r="1274" spans="2:3" x14ac:dyDescent="0.25">
      <c r="B1274" s="795" t="s">
        <v>1781</v>
      </c>
      <c r="C1274" s="799">
        <v>97217</v>
      </c>
    </row>
    <row r="1275" spans="2:3" x14ac:dyDescent="0.25">
      <c r="B1275" s="795" t="s">
        <v>1580</v>
      </c>
      <c r="C1275" s="799">
        <v>94601</v>
      </c>
    </row>
    <row r="1276" spans="2:3" x14ac:dyDescent="0.25">
      <c r="B1276" s="795" t="s">
        <v>1581</v>
      </c>
      <c r="C1276" s="799">
        <v>94604</v>
      </c>
    </row>
    <row r="1277" spans="2:3" x14ac:dyDescent="0.25">
      <c r="B1277" s="795" t="s">
        <v>1582</v>
      </c>
      <c r="C1277" s="799">
        <v>94606</v>
      </c>
    </row>
    <row r="1278" spans="2:3" x14ac:dyDescent="0.25">
      <c r="B1278" s="795" t="s">
        <v>1780</v>
      </c>
      <c r="C1278" s="799">
        <v>97213</v>
      </c>
    </row>
    <row r="1279" spans="2:3" x14ac:dyDescent="0.25">
      <c r="B1279" s="795" t="s">
        <v>1779</v>
      </c>
      <c r="C1279" s="799">
        <v>97211</v>
      </c>
    </row>
    <row r="1280" spans="2:3" x14ac:dyDescent="0.25">
      <c r="B1280" s="795" t="s">
        <v>1333</v>
      </c>
      <c r="C1280" s="799">
        <v>91813</v>
      </c>
    </row>
    <row r="1281" spans="2:3" x14ac:dyDescent="0.25">
      <c r="B1281" s="795" t="s">
        <v>1331</v>
      </c>
      <c r="C1281" s="799">
        <v>91811</v>
      </c>
    </row>
    <row r="1282" spans="2:3" x14ac:dyDescent="0.25">
      <c r="B1282" s="795" t="s">
        <v>1332</v>
      </c>
      <c r="C1282" s="799">
        <v>91812</v>
      </c>
    </row>
    <row r="1283" spans="2:3" x14ac:dyDescent="0.25">
      <c r="B1283" s="795" t="s">
        <v>1202</v>
      </c>
      <c r="C1283" s="799">
        <v>90617</v>
      </c>
    </row>
    <row r="1284" spans="2:3" x14ac:dyDescent="0.25">
      <c r="B1284" s="795" t="s">
        <v>1532</v>
      </c>
      <c r="C1284" s="799">
        <v>94127</v>
      </c>
    </row>
    <row r="1285" spans="2:3" x14ac:dyDescent="0.25">
      <c r="B1285" s="795" t="s">
        <v>1531</v>
      </c>
      <c r="C1285" s="799">
        <v>94121</v>
      </c>
    </row>
    <row r="1286" spans="2:3" x14ac:dyDescent="0.25">
      <c r="B1286" s="795" t="s">
        <v>1650</v>
      </c>
      <c r="C1286" s="799">
        <v>95617</v>
      </c>
    </row>
    <row r="1287" spans="2:3" x14ac:dyDescent="0.25">
      <c r="B1287" s="795" t="s">
        <v>1651</v>
      </c>
      <c r="C1287" s="799">
        <v>95621</v>
      </c>
    </row>
    <row r="1288" spans="2:3" x14ac:dyDescent="0.25">
      <c r="B1288" s="795" t="s">
        <v>1289</v>
      </c>
      <c r="C1288" s="799">
        <v>91251</v>
      </c>
    </row>
    <row r="1289" spans="2:3" x14ac:dyDescent="0.25">
      <c r="B1289" s="795" t="s">
        <v>1757</v>
      </c>
      <c r="C1289" s="799">
        <v>96831</v>
      </c>
    </row>
    <row r="1290" spans="2:3" x14ac:dyDescent="0.25">
      <c r="B1290" s="795" t="s">
        <v>1548</v>
      </c>
      <c r="C1290" s="799">
        <v>94251</v>
      </c>
    </row>
    <row r="1291" spans="2:3" x14ac:dyDescent="0.25">
      <c r="B1291" s="795" t="s">
        <v>1587</v>
      </c>
      <c r="C1291" s="799">
        <v>94701</v>
      </c>
    </row>
    <row r="1292" spans="2:3" x14ac:dyDescent="0.25">
      <c r="B1292" s="795" t="s">
        <v>1588</v>
      </c>
      <c r="C1292" s="799">
        <v>94704</v>
      </c>
    </row>
    <row r="1293" spans="2:3" x14ac:dyDescent="0.25">
      <c r="B1293" s="795" t="s">
        <v>1240</v>
      </c>
      <c r="C1293" s="799">
        <v>91014</v>
      </c>
    </row>
    <row r="1294" spans="2:3" x14ac:dyDescent="0.25">
      <c r="B1294" s="795" t="s">
        <v>1749</v>
      </c>
      <c r="C1294" s="799">
        <v>96733</v>
      </c>
    </row>
    <row r="1295" spans="2:3" x14ac:dyDescent="0.25">
      <c r="B1295" s="795" t="s">
        <v>1748</v>
      </c>
      <c r="C1295" s="799">
        <v>96731</v>
      </c>
    </row>
    <row r="1296" spans="2:3" x14ac:dyDescent="0.25">
      <c r="B1296" s="795" t="s">
        <v>1953</v>
      </c>
      <c r="C1296" s="799">
        <v>99202</v>
      </c>
    </row>
    <row r="1297" spans="2:3" x14ac:dyDescent="0.25">
      <c r="B1297" s="795" t="s">
        <v>1520</v>
      </c>
      <c r="C1297" s="799">
        <v>94011</v>
      </c>
    </row>
    <row r="1298" spans="2:3" x14ac:dyDescent="0.25">
      <c r="B1298" s="795" t="s">
        <v>1403</v>
      </c>
      <c r="C1298" s="799">
        <v>92631</v>
      </c>
    </row>
    <row r="1299" spans="2:3" x14ac:dyDescent="0.25">
      <c r="B1299" s="795" t="s">
        <v>1655</v>
      </c>
      <c r="C1299" s="799">
        <v>95733</v>
      </c>
    </row>
    <row r="1300" spans="2:3" x14ac:dyDescent="0.25">
      <c r="B1300" s="795" t="s">
        <v>1306</v>
      </c>
      <c r="C1300" s="799">
        <v>91431</v>
      </c>
    </row>
    <row r="1301" spans="2:3" x14ac:dyDescent="0.25">
      <c r="B1301" s="795" t="s">
        <v>1680</v>
      </c>
      <c r="C1301" s="799">
        <v>96041</v>
      </c>
    </row>
    <row r="1302" spans="2:3" x14ac:dyDescent="0.25">
      <c r="B1302" s="795" t="s">
        <v>1590</v>
      </c>
      <c r="C1302" s="799">
        <v>94801</v>
      </c>
    </row>
    <row r="1303" spans="2:3" x14ac:dyDescent="0.25">
      <c r="B1303" s="795" t="s">
        <v>1591</v>
      </c>
      <c r="C1303" s="799">
        <v>94804</v>
      </c>
    </row>
    <row r="1304" spans="2:3" x14ac:dyDescent="0.25">
      <c r="B1304" s="795" t="s">
        <v>1322</v>
      </c>
      <c r="C1304" s="799">
        <v>91661</v>
      </c>
    </row>
    <row r="1305" spans="2:3" x14ac:dyDescent="0.25">
      <c r="B1305" s="795" t="s">
        <v>3532</v>
      </c>
      <c r="C1305" s="799">
        <v>99014</v>
      </c>
    </row>
    <row r="1306" spans="2:3" x14ac:dyDescent="0.25">
      <c r="B1306" s="795" t="s">
        <v>1942</v>
      </c>
      <c r="C1306" s="799">
        <v>99051</v>
      </c>
    </row>
    <row r="1307" spans="2:3" x14ac:dyDescent="0.25">
      <c r="B1307" s="795" t="s">
        <v>1593</v>
      </c>
      <c r="C1307" s="799">
        <v>94901</v>
      </c>
    </row>
    <row r="1308" spans="2:3" x14ac:dyDescent="0.25">
      <c r="B1308" s="795" t="s">
        <v>1875</v>
      </c>
      <c r="C1308" s="799">
        <v>98109</v>
      </c>
    </row>
    <row r="1309" spans="2:3" x14ac:dyDescent="0.25">
      <c r="B1309" s="795" t="s">
        <v>1884</v>
      </c>
      <c r="C1309" s="799">
        <v>98205</v>
      </c>
    </row>
    <row r="1310" spans="2:3" x14ac:dyDescent="0.25">
      <c r="B1310" s="795" t="s">
        <v>1602</v>
      </c>
      <c r="C1310" s="799">
        <v>95001</v>
      </c>
    </row>
    <row r="1311" spans="2:3" x14ac:dyDescent="0.25">
      <c r="B1311" s="795" t="s">
        <v>3533</v>
      </c>
      <c r="C1311" s="799">
        <v>95017</v>
      </c>
    </row>
    <row r="1312" spans="2:3" x14ac:dyDescent="0.25">
      <c r="B1312" s="795" t="s">
        <v>1740</v>
      </c>
      <c r="C1312" s="799">
        <v>96661</v>
      </c>
    </row>
    <row r="1313" spans="2:3" x14ac:dyDescent="0.25">
      <c r="B1313" s="795" t="s">
        <v>1746</v>
      </c>
      <c r="C1313" s="799">
        <v>96711</v>
      </c>
    </row>
    <row r="1314" spans="2:3" x14ac:dyDescent="0.25">
      <c r="B1314" s="795" t="s">
        <v>1533</v>
      </c>
      <c r="C1314" s="799">
        <v>94131</v>
      </c>
    </row>
    <row r="1315" spans="2:3" x14ac:dyDescent="0.25">
      <c r="B1315" s="795" t="s">
        <v>1663</v>
      </c>
      <c r="C1315" s="799">
        <v>95841</v>
      </c>
    </row>
    <row r="1316" spans="2:3" x14ac:dyDescent="0.25">
      <c r="B1316" s="795" t="s">
        <v>1197</v>
      </c>
      <c r="C1316" s="799">
        <v>90511</v>
      </c>
    </row>
    <row r="1317" spans="2:3" x14ac:dyDescent="0.25">
      <c r="B1317" s="795" t="s">
        <v>1608</v>
      </c>
      <c r="C1317" s="799">
        <v>95101</v>
      </c>
    </row>
    <row r="1318" spans="2:3" x14ac:dyDescent="0.25">
      <c r="B1318" s="795" t="s">
        <v>1610</v>
      </c>
      <c r="C1318" s="799">
        <v>95104</v>
      </c>
    </row>
    <row r="1319" spans="2:3" x14ac:dyDescent="0.25">
      <c r="B1319" s="795" t="s">
        <v>1611</v>
      </c>
      <c r="C1319" s="799">
        <v>95105</v>
      </c>
    </row>
    <row r="1320" spans="2:3" x14ac:dyDescent="0.25">
      <c r="B1320" s="795" t="s">
        <v>3534</v>
      </c>
      <c r="C1320" s="799">
        <v>95110</v>
      </c>
    </row>
    <row r="1321" spans="2:3" x14ac:dyDescent="0.25">
      <c r="B1321" s="795" t="s">
        <v>1625</v>
      </c>
      <c r="C1321" s="799">
        <v>95201</v>
      </c>
    </row>
    <row r="1322" spans="2:3" x14ac:dyDescent="0.25">
      <c r="B1322" s="795" t="s">
        <v>1626</v>
      </c>
      <c r="C1322" s="799">
        <v>95204</v>
      </c>
    </row>
    <row r="1323" spans="2:3" x14ac:dyDescent="0.25">
      <c r="B1323" s="795" t="s">
        <v>2023</v>
      </c>
      <c r="C1323" s="799">
        <v>99921</v>
      </c>
    </row>
    <row r="1324" spans="2:3" x14ac:dyDescent="0.25">
      <c r="B1324" s="795" t="s">
        <v>1561</v>
      </c>
      <c r="C1324" s="799">
        <v>94408</v>
      </c>
    </row>
    <row r="1325" spans="2:3" x14ac:dyDescent="0.25">
      <c r="B1325" s="795" t="s">
        <v>1299</v>
      </c>
      <c r="C1325" s="799">
        <v>91331</v>
      </c>
    </row>
    <row r="1326" spans="2:3" x14ac:dyDescent="0.25">
      <c r="B1326" s="795" t="s">
        <v>1436</v>
      </c>
      <c r="C1326" s="799">
        <v>93127</v>
      </c>
    </row>
    <row r="1327" spans="2:3" x14ac:dyDescent="0.25">
      <c r="B1327" s="795" t="s">
        <v>1435</v>
      </c>
      <c r="C1327" s="799">
        <v>93121</v>
      </c>
    </row>
    <row r="1328" spans="2:3" x14ac:dyDescent="0.25">
      <c r="B1328" s="795" t="s">
        <v>1622</v>
      </c>
      <c r="C1328" s="799">
        <v>95171</v>
      </c>
    </row>
    <row r="1329" spans="2:3" x14ac:dyDescent="0.25">
      <c r="B1329" s="795" t="s">
        <v>1469</v>
      </c>
      <c r="C1329" s="799">
        <v>93421</v>
      </c>
    </row>
    <row r="1330" spans="2:3" x14ac:dyDescent="0.25">
      <c r="B1330" s="795" t="s">
        <v>1950</v>
      </c>
      <c r="C1330" s="799">
        <v>99110</v>
      </c>
    </row>
    <row r="1331" spans="2:3" x14ac:dyDescent="0.25">
      <c r="B1331" s="795" t="s">
        <v>1949</v>
      </c>
      <c r="C1331" s="799">
        <v>99109</v>
      </c>
    </row>
    <row r="1332" spans="2:3" x14ac:dyDescent="0.25">
      <c r="B1332" s="795" t="s">
        <v>1415</v>
      </c>
      <c r="C1332" s="799">
        <v>92821</v>
      </c>
    </row>
    <row r="1333" spans="2:3" x14ac:dyDescent="0.25">
      <c r="B1333" s="795" t="s">
        <v>1913</v>
      </c>
      <c r="C1333" s="799">
        <v>98521</v>
      </c>
    </row>
    <row r="1334" spans="2:3" x14ac:dyDescent="0.25">
      <c r="B1334" s="795" t="s">
        <v>1366</v>
      </c>
      <c r="C1334" s="799">
        <v>92327</v>
      </c>
    </row>
    <row r="1335" spans="2:3" x14ac:dyDescent="0.25">
      <c r="B1335" s="795" t="s">
        <v>1365</v>
      </c>
      <c r="C1335" s="799">
        <v>92321</v>
      </c>
    </row>
    <row r="1336" spans="2:3" x14ac:dyDescent="0.25">
      <c r="B1336" s="795" t="s">
        <v>1639</v>
      </c>
      <c r="C1336" s="799">
        <v>95413</v>
      </c>
    </row>
    <row r="1337" spans="2:3" x14ac:dyDescent="0.25">
      <c r="B1337" s="795" t="s">
        <v>1637</v>
      </c>
      <c r="C1337" s="799">
        <v>95411</v>
      </c>
    </row>
    <row r="1338" spans="2:3" x14ac:dyDescent="0.25">
      <c r="B1338" s="795" t="s">
        <v>1640</v>
      </c>
      <c r="C1338" s="799">
        <v>95415</v>
      </c>
    </row>
    <row r="1339" spans="2:3" x14ac:dyDescent="0.25">
      <c r="B1339" s="795" t="s">
        <v>1418</v>
      </c>
      <c r="C1339" s="799">
        <v>92851</v>
      </c>
    </row>
    <row r="1340" spans="2:3" x14ac:dyDescent="0.25">
      <c r="B1340" s="795" t="s">
        <v>1973</v>
      </c>
      <c r="C1340" s="799">
        <v>99291</v>
      </c>
    </row>
    <row r="1341" spans="2:3" x14ac:dyDescent="0.25">
      <c r="B1341" s="795" t="s">
        <v>1731</v>
      </c>
      <c r="C1341" s="799">
        <v>96541</v>
      </c>
    </row>
    <row r="1342" spans="2:3" x14ac:dyDescent="0.25">
      <c r="B1342" s="795" t="s">
        <v>1642</v>
      </c>
      <c r="C1342" s="799">
        <v>95431</v>
      </c>
    </row>
    <row r="1343" spans="2:3" x14ac:dyDescent="0.25">
      <c r="B1343" s="795" t="s">
        <v>1879</v>
      </c>
      <c r="C1343" s="799">
        <v>98131</v>
      </c>
    </row>
    <row r="1344" spans="2:3" x14ac:dyDescent="0.25">
      <c r="B1344" s="795" t="s">
        <v>1376</v>
      </c>
      <c r="C1344" s="799">
        <v>92427</v>
      </c>
    </row>
    <row r="1345" spans="2:3" x14ac:dyDescent="0.25">
      <c r="B1345" s="795" t="s">
        <v>1380</v>
      </c>
      <c r="C1345" s="799">
        <v>92461</v>
      </c>
    </row>
    <row r="1346" spans="2:3" x14ac:dyDescent="0.25">
      <c r="B1346" s="795" t="s">
        <v>1866</v>
      </c>
      <c r="C1346" s="799">
        <v>98051</v>
      </c>
    </row>
    <row r="1347" spans="2:3" x14ac:dyDescent="0.25">
      <c r="B1347" s="795" t="s">
        <v>1259</v>
      </c>
      <c r="C1347" s="799">
        <v>91102</v>
      </c>
    </row>
    <row r="1348" spans="2:3" x14ac:dyDescent="0.25">
      <c r="B1348" s="795" t="s">
        <v>1574</v>
      </c>
      <c r="C1348" s="799">
        <v>94527</v>
      </c>
    </row>
    <row r="1349" spans="2:3" x14ac:dyDescent="0.25">
      <c r="B1349" s="795" t="s">
        <v>1573</v>
      </c>
      <c r="C1349" s="799">
        <v>94521</v>
      </c>
    </row>
    <row r="1350" spans="2:3" x14ac:dyDescent="0.25">
      <c r="B1350" s="795" t="s">
        <v>1898</v>
      </c>
      <c r="C1350" s="799">
        <v>98313</v>
      </c>
    </row>
    <row r="1351" spans="2:3" x14ac:dyDescent="0.25">
      <c r="B1351" s="795" t="s">
        <v>1897</v>
      </c>
      <c r="C1351" s="799">
        <v>98311</v>
      </c>
    </row>
    <row r="1352" spans="2:3" x14ac:dyDescent="0.25">
      <c r="B1352" s="795" t="s">
        <v>1896</v>
      </c>
      <c r="C1352" s="799">
        <v>98308</v>
      </c>
    </row>
    <row r="1353" spans="2:3" x14ac:dyDescent="0.25">
      <c r="B1353" s="795" t="s">
        <v>1368</v>
      </c>
      <c r="C1353" s="799">
        <v>92341</v>
      </c>
    </row>
    <row r="1354" spans="2:3" x14ac:dyDescent="0.25">
      <c r="B1354" s="795" t="s">
        <v>1630</v>
      </c>
      <c r="C1354" s="799">
        <v>95301</v>
      </c>
    </row>
    <row r="1355" spans="2:3" x14ac:dyDescent="0.25">
      <c r="B1355" s="795" t="s">
        <v>1231</v>
      </c>
      <c r="C1355" s="799">
        <v>91002</v>
      </c>
    </row>
    <row r="1356" spans="2:3" x14ac:dyDescent="0.25">
      <c r="B1356" s="795" t="s">
        <v>1309</v>
      </c>
      <c r="C1356" s="799">
        <v>91457</v>
      </c>
    </row>
    <row r="1357" spans="2:3" x14ac:dyDescent="0.25">
      <c r="B1357" s="795" t="s">
        <v>1634</v>
      </c>
      <c r="C1357" s="799">
        <v>95401</v>
      </c>
    </row>
    <row r="1358" spans="2:3" x14ac:dyDescent="0.25">
      <c r="B1358" s="795" t="s">
        <v>1635</v>
      </c>
      <c r="C1358" s="799">
        <v>95404</v>
      </c>
    </row>
    <row r="1359" spans="2:3" x14ac:dyDescent="0.25">
      <c r="B1359" s="795" t="s">
        <v>1305</v>
      </c>
      <c r="C1359" s="799">
        <v>91423</v>
      </c>
    </row>
    <row r="1360" spans="2:3" x14ac:dyDescent="0.25">
      <c r="B1360" s="795" t="s">
        <v>1308</v>
      </c>
      <c r="C1360" s="799">
        <v>91451</v>
      </c>
    </row>
    <row r="1361" spans="2:3" x14ac:dyDescent="0.25">
      <c r="B1361" s="795" t="s">
        <v>1222</v>
      </c>
      <c r="C1361" s="799">
        <v>90861</v>
      </c>
    </row>
    <row r="1362" spans="2:3" x14ac:dyDescent="0.25">
      <c r="B1362" s="795" t="s">
        <v>1473</v>
      </c>
      <c r="C1362" s="799">
        <v>93451</v>
      </c>
    </row>
    <row r="1363" spans="2:3" x14ac:dyDescent="0.25">
      <c r="B1363" s="795" t="s">
        <v>1423</v>
      </c>
      <c r="C1363" s="799">
        <v>92917</v>
      </c>
    </row>
    <row r="1364" spans="2:3" x14ac:dyDescent="0.25">
      <c r="B1364" s="795" t="s">
        <v>1425</v>
      </c>
      <c r="C1364" s="799">
        <v>92931</v>
      </c>
    </row>
    <row r="1365" spans="2:3" x14ac:dyDescent="0.25">
      <c r="B1365" s="795" t="s">
        <v>1815</v>
      </c>
      <c r="C1365" s="799">
        <v>97637</v>
      </c>
    </row>
    <row r="1366" spans="2:3" x14ac:dyDescent="0.25">
      <c r="B1366" s="795" t="s">
        <v>1814</v>
      </c>
      <c r="C1366" s="799">
        <v>97631</v>
      </c>
    </row>
    <row r="1367" spans="2:3" x14ac:dyDescent="0.25">
      <c r="B1367" s="795" t="s">
        <v>1190</v>
      </c>
      <c r="C1367" s="799">
        <v>90421</v>
      </c>
    </row>
    <row r="1368" spans="2:3" x14ac:dyDescent="0.25">
      <c r="B1368" s="795" t="s">
        <v>1554</v>
      </c>
      <c r="C1368" s="799">
        <v>94321</v>
      </c>
    </row>
    <row r="1369" spans="2:3" x14ac:dyDescent="0.25">
      <c r="B1369" s="795" t="s">
        <v>1643</v>
      </c>
      <c r="C1369" s="799">
        <v>95501</v>
      </c>
    </row>
    <row r="1370" spans="2:3" x14ac:dyDescent="0.25">
      <c r="B1370" s="795" t="s">
        <v>1644</v>
      </c>
      <c r="C1370" s="799">
        <v>95504</v>
      </c>
    </row>
    <row r="1371" spans="2:3" x14ac:dyDescent="0.25">
      <c r="B1371" s="795" t="s">
        <v>1647</v>
      </c>
      <c r="C1371" s="799">
        <v>95517</v>
      </c>
    </row>
    <row r="1372" spans="2:3" x14ac:dyDescent="0.25">
      <c r="B1372" s="795" t="s">
        <v>1646</v>
      </c>
      <c r="C1372" s="799">
        <v>95513</v>
      </c>
    </row>
    <row r="1373" spans="2:3" x14ac:dyDescent="0.25">
      <c r="B1373" s="795" t="s">
        <v>1645</v>
      </c>
      <c r="C1373" s="799">
        <v>95511</v>
      </c>
    </row>
    <row r="1374" spans="2:3" x14ac:dyDescent="0.25">
      <c r="B1374" s="795" t="s">
        <v>1405</v>
      </c>
      <c r="C1374" s="799">
        <v>92651</v>
      </c>
    </row>
    <row r="1375" spans="2:3" x14ac:dyDescent="0.25">
      <c r="B1375" s="795" t="s">
        <v>1549</v>
      </c>
      <c r="C1375" s="799">
        <v>94261</v>
      </c>
    </row>
    <row r="1376" spans="2:3" x14ac:dyDescent="0.25">
      <c r="B1376" s="795" t="s">
        <v>1906</v>
      </c>
      <c r="C1376" s="799">
        <v>98431</v>
      </c>
    </row>
    <row r="1377" spans="2:3" x14ac:dyDescent="0.25">
      <c r="B1377" s="795" t="s">
        <v>1338</v>
      </c>
      <c r="C1377" s="799">
        <v>91841</v>
      </c>
    </row>
    <row r="1378" spans="2:3" x14ac:dyDescent="0.25">
      <c r="B1378" s="795" t="s">
        <v>1480</v>
      </c>
      <c r="C1378" s="799">
        <v>93527</v>
      </c>
    </row>
    <row r="1379" spans="2:3" x14ac:dyDescent="0.25">
      <c r="B1379" s="795" t="s">
        <v>1479</v>
      </c>
      <c r="C1379" s="799">
        <v>93521</v>
      </c>
    </row>
    <row r="1380" spans="2:3" x14ac:dyDescent="0.25">
      <c r="B1380" s="795" t="s">
        <v>1496</v>
      </c>
      <c r="C1380" s="799">
        <v>93661</v>
      </c>
    </row>
    <row r="1381" spans="2:3" x14ac:dyDescent="0.25">
      <c r="B1381" s="795" t="s">
        <v>1725</v>
      </c>
      <c r="C1381" s="799">
        <v>96508</v>
      </c>
    </row>
    <row r="1382" spans="2:3" x14ac:dyDescent="0.25">
      <c r="B1382" s="795" t="s">
        <v>2019</v>
      </c>
      <c r="C1382" s="799">
        <v>99841</v>
      </c>
    </row>
    <row r="1383" spans="2:3" x14ac:dyDescent="0.25">
      <c r="B1383" s="795" t="s">
        <v>1828</v>
      </c>
      <c r="C1383" s="799">
        <v>97802</v>
      </c>
    </row>
    <row r="1384" spans="2:3" x14ac:dyDescent="0.25">
      <c r="B1384" s="795" t="s">
        <v>1832</v>
      </c>
      <c r="C1384" s="799">
        <v>97817</v>
      </c>
    </row>
    <row r="1385" spans="2:3" x14ac:dyDescent="0.25">
      <c r="B1385" s="795" t="s">
        <v>1833</v>
      </c>
      <c r="C1385" s="799">
        <v>97818</v>
      </c>
    </row>
    <row r="1386" spans="2:3" x14ac:dyDescent="0.25">
      <c r="B1386" s="795" t="s">
        <v>1831</v>
      </c>
      <c r="C1386" s="799">
        <v>97811</v>
      </c>
    </row>
    <row r="1387" spans="2:3" x14ac:dyDescent="0.25">
      <c r="B1387" s="795" t="s">
        <v>1462</v>
      </c>
      <c r="C1387" s="799">
        <v>93341</v>
      </c>
    </row>
    <row r="1388" spans="2:3" x14ac:dyDescent="0.25">
      <c r="B1388" s="795" t="s">
        <v>1648</v>
      </c>
      <c r="C1388" s="799">
        <v>95601</v>
      </c>
    </row>
    <row r="1389" spans="2:3" x14ac:dyDescent="0.25">
      <c r="B1389" s="795" t="s">
        <v>1852</v>
      </c>
      <c r="C1389" s="799">
        <v>97947</v>
      </c>
    </row>
    <row r="1390" spans="2:3" x14ac:dyDescent="0.25">
      <c r="B1390" s="795" t="s">
        <v>1652</v>
      </c>
      <c r="C1390" s="799">
        <v>95701</v>
      </c>
    </row>
    <row r="1391" spans="2:3" x14ac:dyDescent="0.25">
      <c r="B1391" s="795" t="s">
        <v>1851</v>
      </c>
      <c r="C1391" s="799">
        <v>97941</v>
      </c>
    </row>
    <row r="1392" spans="2:3" x14ac:dyDescent="0.25">
      <c r="B1392" s="795" t="s">
        <v>1853</v>
      </c>
      <c r="C1392" s="799">
        <v>97948</v>
      </c>
    </row>
    <row r="1393" spans="2:3" x14ac:dyDescent="0.25">
      <c r="B1393" s="795" t="s">
        <v>1565</v>
      </c>
      <c r="C1393" s="799">
        <v>94427</v>
      </c>
    </row>
    <row r="1394" spans="2:3" x14ac:dyDescent="0.25">
      <c r="B1394" s="795" t="s">
        <v>1566</v>
      </c>
      <c r="C1394" s="799">
        <v>94428</v>
      </c>
    </row>
    <row r="1395" spans="2:3" x14ac:dyDescent="0.25">
      <c r="B1395" s="795" t="s">
        <v>1564</v>
      </c>
      <c r="C1395" s="799">
        <v>94421</v>
      </c>
    </row>
    <row r="1396" spans="2:3" x14ac:dyDescent="0.25">
      <c r="B1396" s="795" t="s">
        <v>1445</v>
      </c>
      <c r="C1396" s="799">
        <v>93191</v>
      </c>
    </row>
    <row r="1397" spans="2:3" x14ac:dyDescent="0.25">
      <c r="B1397" s="795" t="s">
        <v>1337</v>
      </c>
      <c r="C1397" s="799">
        <v>91831</v>
      </c>
    </row>
    <row r="1398" spans="2:3" x14ac:dyDescent="0.25">
      <c r="B1398" s="795" t="s">
        <v>1416</v>
      </c>
      <c r="C1398" s="799">
        <v>92831</v>
      </c>
    </row>
    <row r="1399" spans="2:3" x14ac:dyDescent="0.25">
      <c r="B1399" s="795" t="s">
        <v>1668</v>
      </c>
      <c r="C1399" s="799">
        <v>95917</v>
      </c>
    </row>
    <row r="1400" spans="2:3" x14ac:dyDescent="0.25">
      <c r="B1400" s="795" t="s">
        <v>1667</v>
      </c>
      <c r="C1400" s="799">
        <v>95911</v>
      </c>
    </row>
    <row r="1401" spans="2:3" x14ac:dyDescent="0.25">
      <c r="B1401" s="795" t="s">
        <v>1653</v>
      </c>
      <c r="C1401" s="799">
        <v>95711</v>
      </c>
    </row>
    <row r="1402" spans="2:3" x14ac:dyDescent="0.25">
      <c r="B1402" s="795" t="s">
        <v>1654</v>
      </c>
      <c r="C1402" s="799">
        <v>95721</v>
      </c>
    </row>
    <row r="1403" spans="2:3" x14ac:dyDescent="0.25">
      <c r="B1403" s="795" t="s">
        <v>1937</v>
      </c>
      <c r="C1403" s="799">
        <v>99021</v>
      </c>
    </row>
    <row r="1404" spans="2:3" x14ac:dyDescent="0.25">
      <c r="B1404" s="795" t="s">
        <v>1656</v>
      </c>
      <c r="C1404" s="799">
        <v>95801</v>
      </c>
    </row>
    <row r="1405" spans="2:3" x14ac:dyDescent="0.25">
      <c r="B1405" s="795" t="s">
        <v>1658</v>
      </c>
      <c r="C1405" s="799">
        <v>95804</v>
      </c>
    </row>
    <row r="1406" spans="2:3" x14ac:dyDescent="0.25">
      <c r="B1406" s="795" t="s">
        <v>1657</v>
      </c>
      <c r="C1406" s="799">
        <v>95802</v>
      </c>
    </row>
    <row r="1407" spans="2:3" x14ac:dyDescent="0.25">
      <c r="B1407" s="795" t="s">
        <v>1167</v>
      </c>
      <c r="C1407" s="799">
        <v>90092</v>
      </c>
    </row>
    <row r="1408" spans="2:3" x14ac:dyDescent="0.25">
      <c r="B1408" s="795" t="s">
        <v>1945</v>
      </c>
      <c r="C1408" s="799">
        <v>99081</v>
      </c>
    </row>
    <row r="1409" spans="2:3" x14ac:dyDescent="0.25">
      <c r="B1409" s="795" t="s">
        <v>1683</v>
      </c>
      <c r="C1409" s="799">
        <v>96071</v>
      </c>
    </row>
    <row r="1410" spans="2:3" x14ac:dyDescent="0.25">
      <c r="B1410" s="795" t="s">
        <v>1517</v>
      </c>
      <c r="C1410" s="799">
        <v>94002</v>
      </c>
    </row>
    <row r="1411" spans="2:3" x14ac:dyDescent="0.25">
      <c r="B1411" s="795" t="s">
        <v>1839</v>
      </c>
      <c r="C1411" s="799">
        <v>97847</v>
      </c>
    </row>
    <row r="1412" spans="2:3" x14ac:dyDescent="0.25">
      <c r="B1412" s="795" t="s">
        <v>1838</v>
      </c>
      <c r="C1412" s="799">
        <v>97840</v>
      </c>
    </row>
    <row r="1413" spans="2:3" x14ac:dyDescent="0.25">
      <c r="B1413" s="795" t="s">
        <v>1849</v>
      </c>
      <c r="C1413" s="799">
        <v>97921</v>
      </c>
    </row>
    <row r="1414" spans="2:3" x14ac:dyDescent="0.25">
      <c r="B1414" s="795" t="s">
        <v>1629</v>
      </c>
      <c r="C1414" s="799">
        <v>95221</v>
      </c>
    </row>
    <row r="1415" spans="2:3" x14ac:dyDescent="0.25">
      <c r="B1415" s="795" t="s">
        <v>1486</v>
      </c>
      <c r="C1415" s="799">
        <v>93610</v>
      </c>
    </row>
    <row r="1416" spans="2:3" x14ac:dyDescent="0.25">
      <c r="B1416" s="795" t="s">
        <v>3535</v>
      </c>
      <c r="C1416" s="799">
        <v>95901</v>
      </c>
    </row>
    <row r="1417" spans="2:3" x14ac:dyDescent="0.25">
      <c r="B1417" s="795" t="s">
        <v>1172</v>
      </c>
      <c r="C1417" s="799">
        <v>90114</v>
      </c>
    </row>
    <row r="1418" spans="2:3" x14ac:dyDescent="0.25">
      <c r="B1418" s="795" t="s">
        <v>1670</v>
      </c>
      <c r="C1418" s="799">
        <v>96001</v>
      </c>
    </row>
    <row r="1419" spans="2:3" x14ac:dyDescent="0.25">
      <c r="B1419" s="795" t="s">
        <v>1672</v>
      </c>
      <c r="C1419" s="799">
        <v>96004</v>
      </c>
    </row>
    <row r="1420" spans="2:3" x14ac:dyDescent="0.25">
      <c r="B1420" s="795" t="s">
        <v>1674</v>
      </c>
      <c r="C1420" s="799">
        <v>96008</v>
      </c>
    </row>
    <row r="1421" spans="2:3" x14ac:dyDescent="0.25">
      <c r="B1421" s="795" t="s">
        <v>1262</v>
      </c>
      <c r="C1421" s="799">
        <v>91108</v>
      </c>
    </row>
    <row r="1422" spans="2:3" x14ac:dyDescent="0.25">
      <c r="B1422" s="795" t="s">
        <v>1601</v>
      </c>
      <c r="C1422" s="799">
        <v>94941</v>
      </c>
    </row>
    <row r="1423" spans="2:3" x14ac:dyDescent="0.25">
      <c r="B1423" s="795" t="s">
        <v>1616</v>
      </c>
      <c r="C1423" s="799">
        <v>95122</v>
      </c>
    </row>
    <row r="1424" spans="2:3" x14ac:dyDescent="0.25">
      <c r="B1424" s="795" t="s">
        <v>3536</v>
      </c>
      <c r="C1424" s="799">
        <v>92607</v>
      </c>
    </row>
    <row r="1425" spans="2:3" x14ac:dyDescent="0.25">
      <c r="B1425" s="795" t="s">
        <v>1716</v>
      </c>
      <c r="C1425" s="799">
        <v>96431</v>
      </c>
    </row>
    <row r="1426" spans="2:3" x14ac:dyDescent="0.25">
      <c r="B1426" s="795" t="s">
        <v>3537</v>
      </c>
      <c r="C1426" s="799">
        <v>90709</v>
      </c>
    </row>
    <row r="1427" spans="2:3" x14ac:dyDescent="0.25">
      <c r="B1427" s="795" t="s">
        <v>1300</v>
      </c>
      <c r="C1427" s="799">
        <v>91341</v>
      </c>
    </row>
    <row r="1428" spans="2:3" x14ac:dyDescent="0.25">
      <c r="B1428" s="795" t="s">
        <v>1579</v>
      </c>
      <c r="C1428" s="799">
        <v>94551</v>
      </c>
    </row>
    <row r="1429" spans="2:3" x14ac:dyDescent="0.25">
      <c r="B1429" s="795" t="s">
        <v>3538</v>
      </c>
      <c r="C1429" s="799">
        <v>99022</v>
      </c>
    </row>
    <row r="1430" spans="2:3" x14ac:dyDescent="0.25">
      <c r="B1430" s="795" t="s">
        <v>1679</v>
      </c>
      <c r="C1430" s="799">
        <v>96031</v>
      </c>
    </row>
    <row r="1431" spans="2:3" x14ac:dyDescent="0.25">
      <c r="B1431" s="795" t="s">
        <v>1161</v>
      </c>
      <c r="C1431" s="799">
        <v>71786</v>
      </c>
    </row>
    <row r="1432" spans="2:3" x14ac:dyDescent="0.25">
      <c r="B1432" s="795" t="s">
        <v>1685</v>
      </c>
      <c r="C1432" s="799">
        <v>96101</v>
      </c>
    </row>
    <row r="1433" spans="2:3" x14ac:dyDescent="0.25">
      <c r="B1433" s="795" t="s">
        <v>1686</v>
      </c>
      <c r="C1433" s="799">
        <v>96102</v>
      </c>
    </row>
    <row r="1434" spans="2:3" x14ac:dyDescent="0.25">
      <c r="B1434" s="795" t="s">
        <v>1429</v>
      </c>
      <c r="C1434" s="799">
        <v>93011</v>
      </c>
    </row>
    <row r="1435" spans="2:3" x14ac:dyDescent="0.25">
      <c r="B1435" s="795" t="s">
        <v>1936</v>
      </c>
      <c r="C1435" s="799">
        <v>99017</v>
      </c>
    </row>
    <row r="1436" spans="2:3" x14ac:dyDescent="0.25">
      <c r="B1436" s="795" t="s">
        <v>1935</v>
      </c>
      <c r="C1436" s="799">
        <v>99013</v>
      </c>
    </row>
    <row r="1437" spans="2:3" x14ac:dyDescent="0.25">
      <c r="B1437" s="795" t="s">
        <v>1934</v>
      </c>
      <c r="C1437" s="799">
        <v>99011</v>
      </c>
    </row>
    <row r="1438" spans="2:3" x14ac:dyDescent="0.25">
      <c r="B1438" s="795" t="s">
        <v>1689</v>
      </c>
      <c r="C1438" s="799">
        <v>96201</v>
      </c>
    </row>
    <row r="1439" spans="2:3" x14ac:dyDescent="0.25">
      <c r="B1439" s="795" t="s">
        <v>1690</v>
      </c>
      <c r="C1439" s="799">
        <v>96204</v>
      </c>
    </row>
    <row r="1440" spans="2:3" x14ac:dyDescent="0.25">
      <c r="B1440" s="795" t="s">
        <v>1275</v>
      </c>
      <c r="C1440" s="799">
        <v>91161</v>
      </c>
    </row>
    <row r="1441" spans="2:3" x14ac:dyDescent="0.25">
      <c r="B1441" s="795" t="s">
        <v>1696</v>
      </c>
      <c r="C1441" s="799">
        <v>96301</v>
      </c>
    </row>
    <row r="1442" spans="2:3" x14ac:dyDescent="0.25">
      <c r="B1442" s="795" t="s">
        <v>1698</v>
      </c>
      <c r="C1442" s="799">
        <v>96304</v>
      </c>
    </row>
    <row r="1443" spans="2:3" x14ac:dyDescent="0.25">
      <c r="B1443" s="795" t="s">
        <v>1700</v>
      </c>
      <c r="C1443" s="799">
        <v>96310</v>
      </c>
    </row>
    <row r="1444" spans="2:3" x14ac:dyDescent="0.25">
      <c r="B1444" s="795" t="s">
        <v>1699</v>
      </c>
      <c r="C1444" s="799">
        <v>96305</v>
      </c>
    </row>
    <row r="1445" spans="2:3" x14ac:dyDescent="0.25">
      <c r="B1445" s="795" t="s">
        <v>1599</v>
      </c>
      <c r="C1445" s="799">
        <v>94927</v>
      </c>
    </row>
    <row r="1446" spans="2:3" x14ac:dyDescent="0.25">
      <c r="B1446" s="795" t="s">
        <v>1598</v>
      </c>
      <c r="C1446" s="799">
        <v>94923</v>
      </c>
    </row>
    <row r="1447" spans="2:3" x14ac:dyDescent="0.25">
      <c r="B1447" s="795" t="s">
        <v>1597</v>
      </c>
      <c r="C1447" s="799">
        <v>94921</v>
      </c>
    </row>
    <row r="1448" spans="2:3" x14ac:dyDescent="0.25">
      <c r="B1448" s="795" t="s">
        <v>1316</v>
      </c>
      <c r="C1448" s="799">
        <v>91611</v>
      </c>
    </row>
    <row r="1449" spans="2:3" x14ac:dyDescent="0.25">
      <c r="B1449" s="795" t="s">
        <v>1284</v>
      </c>
      <c r="C1449" s="799">
        <v>91217</v>
      </c>
    </row>
    <row r="1450" spans="2:3" x14ac:dyDescent="0.25">
      <c r="B1450" s="795" t="s">
        <v>1287</v>
      </c>
      <c r="C1450" s="799">
        <v>91233</v>
      </c>
    </row>
    <row r="1451" spans="2:3" x14ac:dyDescent="0.25">
      <c r="B1451" s="795" t="s">
        <v>1286</v>
      </c>
      <c r="C1451" s="799">
        <v>91231</v>
      </c>
    </row>
    <row r="1452" spans="2:3" x14ac:dyDescent="0.25">
      <c r="B1452" s="795" t="s">
        <v>1956</v>
      </c>
      <c r="C1452" s="799">
        <v>99206</v>
      </c>
    </row>
    <row r="1453" spans="2:3" x14ac:dyDescent="0.25">
      <c r="B1453" s="795" t="s">
        <v>1194</v>
      </c>
      <c r="C1453" s="799">
        <v>90461</v>
      </c>
    </row>
    <row r="1454" spans="2:3" x14ac:dyDescent="0.25">
      <c r="B1454" s="795" t="s">
        <v>1920</v>
      </c>
      <c r="C1454" s="799">
        <v>98631</v>
      </c>
    </row>
    <row r="1455" spans="2:3" x14ac:dyDescent="0.25">
      <c r="B1455" s="795" t="s">
        <v>1695</v>
      </c>
      <c r="C1455" s="799">
        <v>96251</v>
      </c>
    </row>
    <row r="1456" spans="2:3" x14ac:dyDescent="0.25">
      <c r="B1456" s="795" t="s">
        <v>2001</v>
      </c>
      <c r="C1456" s="799">
        <v>99623</v>
      </c>
    </row>
    <row r="1457" spans="2:3" x14ac:dyDescent="0.25">
      <c r="B1457" s="795" t="s">
        <v>2000</v>
      </c>
      <c r="C1457" s="799">
        <v>99621</v>
      </c>
    </row>
    <row r="1458" spans="2:3" x14ac:dyDescent="0.25">
      <c r="B1458" s="795" t="s">
        <v>1297</v>
      </c>
      <c r="C1458" s="799">
        <v>91321</v>
      </c>
    </row>
    <row r="1459" spans="2:3" x14ac:dyDescent="0.25">
      <c r="B1459" s="795" t="s">
        <v>1921</v>
      </c>
      <c r="C1459" s="799">
        <v>98637</v>
      </c>
    </row>
    <row r="1460" spans="2:3" x14ac:dyDescent="0.25">
      <c r="B1460" s="795" t="s">
        <v>1500</v>
      </c>
      <c r="C1460" s="799">
        <v>93691</v>
      </c>
    </row>
    <row r="1461" spans="2:3" x14ac:dyDescent="0.25">
      <c r="B1461" s="795" t="s">
        <v>1298</v>
      </c>
      <c r="C1461" s="799">
        <v>91327</v>
      </c>
    </row>
    <row r="1462" spans="2:3" x14ac:dyDescent="0.25">
      <c r="B1462" s="795" t="s">
        <v>1584</v>
      </c>
      <c r="C1462" s="799">
        <v>94621</v>
      </c>
    </row>
    <row r="1463" spans="2:3" x14ac:dyDescent="0.25">
      <c r="B1463" s="795" t="s">
        <v>1353</v>
      </c>
      <c r="C1463" s="799">
        <v>92017</v>
      </c>
    </row>
    <row r="1464" spans="2:3" x14ac:dyDescent="0.25">
      <c r="B1464" s="795" t="s">
        <v>1352</v>
      </c>
      <c r="C1464" s="799">
        <v>92011</v>
      </c>
    </row>
    <row r="1465" spans="2:3" x14ac:dyDescent="0.25">
      <c r="B1465" s="795" t="s">
        <v>2026</v>
      </c>
      <c r="C1465" s="805">
        <v>99991</v>
      </c>
    </row>
    <row r="1466" spans="2:3" x14ac:dyDescent="0.25">
      <c r="B1466" s="795" t="s">
        <v>2027</v>
      </c>
      <c r="C1466" s="805">
        <v>99999</v>
      </c>
    </row>
    <row r="1467" spans="2:3" x14ac:dyDescent="0.25">
      <c r="B1467" s="795" t="s">
        <v>1414</v>
      </c>
      <c r="C1467" s="799">
        <v>92811</v>
      </c>
    </row>
    <row r="1468" spans="2:3" x14ac:dyDescent="0.25">
      <c r="B1468" s="795" t="s">
        <v>1351</v>
      </c>
      <c r="C1468" s="799">
        <v>92005</v>
      </c>
    </row>
    <row r="1469" spans="2:3" x14ac:dyDescent="0.25">
      <c r="B1469" s="795" t="s">
        <v>1711</v>
      </c>
      <c r="C1469" s="799">
        <v>96401</v>
      </c>
    </row>
    <row r="1470" spans="2:3" x14ac:dyDescent="0.25">
      <c r="B1470" s="795" t="s">
        <v>1712</v>
      </c>
      <c r="C1470" s="799">
        <v>96404</v>
      </c>
    </row>
    <row r="1471" spans="2:3" x14ac:dyDescent="0.25">
      <c r="B1471" s="795" t="s">
        <v>1715</v>
      </c>
      <c r="C1471" s="799">
        <v>96421</v>
      </c>
    </row>
    <row r="1472" spans="2:3" x14ac:dyDescent="0.25">
      <c r="B1472" s="795" t="s">
        <v>1636</v>
      </c>
      <c r="C1472" s="799">
        <v>95405</v>
      </c>
    </row>
    <row r="1473" spans="2:3" x14ac:dyDescent="0.25">
      <c r="B1473" s="795" t="s">
        <v>1519</v>
      </c>
      <c r="C1473" s="799">
        <v>94005</v>
      </c>
    </row>
    <row r="1474" spans="2:3" x14ac:dyDescent="0.25">
      <c r="B1474" s="795" t="s">
        <v>1627</v>
      </c>
      <c r="C1474" s="799">
        <v>95205</v>
      </c>
    </row>
    <row r="1475" spans="2:3" x14ac:dyDescent="0.25">
      <c r="B1475" s="795" t="s">
        <v>1386</v>
      </c>
      <c r="C1475" s="799">
        <v>92507</v>
      </c>
    </row>
    <row r="1476" spans="2:3" x14ac:dyDescent="0.25">
      <c r="B1476" s="795" t="s">
        <v>1388</v>
      </c>
      <c r="C1476" s="799">
        <v>92511</v>
      </c>
    </row>
    <row r="1477" spans="2:3" x14ac:dyDescent="0.25">
      <c r="B1477" s="795" t="s">
        <v>1721</v>
      </c>
      <c r="C1477" s="799">
        <v>96502</v>
      </c>
    </row>
    <row r="1478" spans="2:3" x14ac:dyDescent="0.25">
      <c r="B1478" s="795" t="s">
        <v>1720</v>
      </c>
      <c r="C1478" s="799">
        <v>96501</v>
      </c>
    </row>
    <row r="1479" spans="2:3" x14ac:dyDescent="0.25">
      <c r="B1479" s="795" t="s">
        <v>1723</v>
      </c>
      <c r="C1479" s="799">
        <v>96504</v>
      </c>
    </row>
    <row r="1480" spans="2:3" x14ac:dyDescent="0.25">
      <c r="B1480" s="795" t="s">
        <v>1847</v>
      </c>
      <c r="C1480" s="799">
        <v>97913</v>
      </c>
    </row>
    <row r="1481" spans="2:3" x14ac:dyDescent="0.25">
      <c r="B1481" s="795" t="s">
        <v>1203</v>
      </c>
      <c r="C1481" s="799">
        <v>90621</v>
      </c>
    </row>
    <row r="1482" spans="2:3" x14ac:dyDescent="0.25">
      <c r="B1482" s="795" t="s">
        <v>1317</v>
      </c>
      <c r="C1482" s="799">
        <v>91621</v>
      </c>
    </row>
    <row r="1483" spans="2:3" x14ac:dyDescent="0.25">
      <c r="B1483" s="795" t="s">
        <v>1888</v>
      </c>
      <c r="C1483" s="799">
        <v>98231</v>
      </c>
    </row>
    <row r="1484" spans="2:3" x14ac:dyDescent="0.25">
      <c r="B1484" s="795" t="s">
        <v>1341</v>
      </c>
      <c r="C1484" s="799">
        <v>91871</v>
      </c>
    </row>
    <row r="1485" spans="2:3" x14ac:dyDescent="0.25">
      <c r="B1485" s="795" t="s">
        <v>1976</v>
      </c>
      <c r="C1485" s="799">
        <v>99311</v>
      </c>
    </row>
    <row r="1486" spans="2:3" x14ac:dyDescent="0.25">
      <c r="B1486" s="795" t="s">
        <v>1751</v>
      </c>
      <c r="C1486" s="799">
        <v>96751</v>
      </c>
    </row>
    <row r="1487" spans="2:3" x14ac:dyDescent="0.25">
      <c r="B1487" s="795" t="s">
        <v>2008</v>
      </c>
      <c r="C1487" s="799">
        <v>99717</v>
      </c>
    </row>
    <row r="1488" spans="2:3" x14ac:dyDescent="0.25">
      <c r="B1488" s="795" t="s">
        <v>2007</v>
      </c>
      <c r="C1488" s="799">
        <v>99711</v>
      </c>
    </row>
    <row r="1489" spans="2:3" x14ac:dyDescent="0.25">
      <c r="B1489" s="795" t="s">
        <v>1732</v>
      </c>
      <c r="C1489" s="799">
        <v>96601</v>
      </c>
    </row>
    <row r="1490" spans="2:3" x14ac:dyDescent="0.25">
      <c r="B1490" s="795" t="s">
        <v>1733</v>
      </c>
      <c r="C1490" s="799">
        <v>96604</v>
      </c>
    </row>
    <row r="1491" spans="2:3" x14ac:dyDescent="0.25">
      <c r="B1491" s="795" t="s">
        <v>1239</v>
      </c>
      <c r="C1491" s="799">
        <v>91012</v>
      </c>
    </row>
    <row r="1492" spans="2:3" x14ac:dyDescent="0.25">
      <c r="B1492" s="795" t="s">
        <v>1184</v>
      </c>
      <c r="C1492" s="799">
        <v>90305</v>
      </c>
    </row>
    <row r="1493" spans="2:3" x14ac:dyDescent="0.25">
      <c r="B1493" s="795" t="s">
        <v>1905</v>
      </c>
      <c r="C1493" s="799">
        <v>98427</v>
      </c>
    </row>
    <row r="1494" spans="2:3" x14ac:dyDescent="0.25">
      <c r="B1494" s="795" t="s">
        <v>1904</v>
      </c>
      <c r="C1494" s="799">
        <v>98421</v>
      </c>
    </row>
    <row r="1495" spans="2:3" x14ac:dyDescent="0.25">
      <c r="B1495" s="795" t="s">
        <v>1661</v>
      </c>
      <c r="C1495" s="799">
        <v>95821</v>
      </c>
    </row>
    <row r="1496" spans="2:3" x14ac:dyDescent="0.25">
      <c r="B1496" s="795" t="s">
        <v>1246</v>
      </c>
      <c r="C1496" s="799">
        <v>91027</v>
      </c>
    </row>
    <row r="1497" spans="2:3" x14ac:dyDescent="0.25">
      <c r="B1497" s="795" t="s">
        <v>1243</v>
      </c>
      <c r="C1497" s="799">
        <v>91021</v>
      </c>
    </row>
    <row r="1498" spans="2:3" x14ac:dyDescent="0.25">
      <c r="B1498" s="795" t="s">
        <v>1536</v>
      </c>
      <c r="C1498" s="799">
        <v>94161</v>
      </c>
    </row>
    <row r="1499" spans="2:3" x14ac:dyDescent="0.25">
      <c r="B1499" s="795" t="s">
        <v>1907</v>
      </c>
      <c r="C1499" s="799">
        <v>98441</v>
      </c>
    </row>
    <row r="1500" spans="2:3" x14ac:dyDescent="0.25">
      <c r="B1500" s="795" t="s">
        <v>1253</v>
      </c>
      <c r="C1500" s="799">
        <v>91067</v>
      </c>
    </row>
    <row r="1501" spans="2:3" x14ac:dyDescent="0.25">
      <c r="B1501" s="795" t="s">
        <v>1252</v>
      </c>
      <c r="C1501" s="799">
        <v>91061</v>
      </c>
    </row>
    <row r="1502" spans="2:3" x14ac:dyDescent="0.25">
      <c r="B1502" s="795" t="s">
        <v>1592</v>
      </c>
      <c r="C1502" s="799">
        <v>94812</v>
      </c>
    </row>
    <row r="1503" spans="2:3" x14ac:dyDescent="0.25">
      <c r="B1503" s="795" t="s">
        <v>1669</v>
      </c>
      <c r="C1503" s="799">
        <v>95921</v>
      </c>
    </row>
    <row r="1504" spans="2:3" x14ac:dyDescent="0.25">
      <c r="B1504" s="795" t="s">
        <v>1743</v>
      </c>
      <c r="C1504" s="799">
        <v>96701</v>
      </c>
    </row>
    <row r="1505" spans="2:3" x14ac:dyDescent="0.25">
      <c r="B1505" s="795" t="s">
        <v>1744</v>
      </c>
      <c r="C1505" s="799">
        <v>96704</v>
      </c>
    </row>
    <row r="1506" spans="2:3" x14ac:dyDescent="0.25">
      <c r="B1506" s="795" t="s">
        <v>1745</v>
      </c>
      <c r="C1506" s="799">
        <v>96708</v>
      </c>
    </row>
    <row r="1507" spans="2:3" x14ac:dyDescent="0.25">
      <c r="B1507" s="795" t="s">
        <v>1752</v>
      </c>
      <c r="C1507" s="799">
        <v>96801</v>
      </c>
    </row>
    <row r="1508" spans="2:3" x14ac:dyDescent="0.25">
      <c r="B1508" s="795" t="s">
        <v>1753</v>
      </c>
      <c r="C1508" s="799">
        <v>96804</v>
      </c>
    </row>
    <row r="1509" spans="2:3" x14ac:dyDescent="0.25">
      <c r="B1509" s="795" t="s">
        <v>1754</v>
      </c>
      <c r="C1509" s="799">
        <v>96808</v>
      </c>
    </row>
    <row r="1510" spans="2:3" x14ac:dyDescent="0.25">
      <c r="B1510" s="795" t="s">
        <v>1760</v>
      </c>
      <c r="C1510" s="799">
        <v>96912</v>
      </c>
    </row>
    <row r="1511" spans="2:3" x14ac:dyDescent="0.25">
      <c r="B1511" s="795" t="s">
        <v>1512</v>
      </c>
      <c r="C1511" s="799">
        <v>93913</v>
      </c>
    </row>
    <row r="1512" spans="2:3" x14ac:dyDescent="0.25">
      <c r="B1512" s="795" t="s">
        <v>1511</v>
      </c>
      <c r="C1512" s="799">
        <v>93911</v>
      </c>
    </row>
    <row r="1513" spans="2:3" x14ac:dyDescent="0.25">
      <c r="B1513" s="795" t="s">
        <v>1758</v>
      </c>
      <c r="C1513" s="799">
        <v>96901</v>
      </c>
    </row>
    <row r="1514" spans="2:3" x14ac:dyDescent="0.25">
      <c r="B1514" s="795" t="s">
        <v>3539</v>
      </c>
      <c r="C1514" s="799">
        <v>97841</v>
      </c>
    </row>
    <row r="1515" spans="2:3" x14ac:dyDescent="0.25">
      <c r="B1515" s="795" t="s">
        <v>1447</v>
      </c>
      <c r="C1515" s="799">
        <v>93202</v>
      </c>
    </row>
    <row r="1516" spans="2:3" x14ac:dyDescent="0.25">
      <c r="B1516" s="795" t="s">
        <v>3540</v>
      </c>
      <c r="C1516" s="799">
        <v>93609</v>
      </c>
    </row>
    <row r="1517" spans="2:3" x14ac:dyDescent="0.25">
      <c r="B1517" s="795" t="s">
        <v>1762</v>
      </c>
      <c r="C1517" s="799">
        <v>97001</v>
      </c>
    </row>
    <row r="1518" spans="2:3" x14ac:dyDescent="0.25">
      <c r="B1518" s="795" t="s">
        <v>1764</v>
      </c>
      <c r="C1518" s="799">
        <v>97004</v>
      </c>
    </row>
    <row r="1519" spans="2:3" x14ac:dyDescent="0.25">
      <c r="B1519" s="795" t="s">
        <v>1763</v>
      </c>
      <c r="C1519" s="799">
        <v>97002</v>
      </c>
    </row>
    <row r="1520" spans="2:3" x14ac:dyDescent="0.25">
      <c r="B1520" s="795" t="s">
        <v>1771</v>
      </c>
      <c r="C1520" s="799">
        <v>97015</v>
      </c>
    </row>
    <row r="1521" spans="2:3" x14ac:dyDescent="0.25">
      <c r="B1521" s="795" t="s">
        <v>1192</v>
      </c>
      <c r="C1521" s="799">
        <v>90441</v>
      </c>
    </row>
    <row r="1522" spans="2:3" x14ac:dyDescent="0.25">
      <c r="B1522" s="795" t="s">
        <v>1841</v>
      </c>
      <c r="C1522" s="799">
        <v>97853</v>
      </c>
    </row>
    <row r="1523" spans="2:3" x14ac:dyDescent="0.25">
      <c r="B1523" s="795" t="s">
        <v>1840</v>
      </c>
      <c r="C1523" s="799">
        <v>97851</v>
      </c>
    </row>
    <row r="1524" spans="2:3" x14ac:dyDescent="0.25">
      <c r="B1524" s="795" t="s">
        <v>1773</v>
      </c>
      <c r="C1524" s="799">
        <v>97101</v>
      </c>
    </row>
    <row r="1525" spans="2:3" x14ac:dyDescent="0.25">
      <c r="B1525" s="795" t="s">
        <v>1774</v>
      </c>
      <c r="C1525" s="799">
        <v>97104</v>
      </c>
    </row>
    <row r="1526" spans="2:3" x14ac:dyDescent="0.25">
      <c r="B1526" s="795" t="s">
        <v>1778</v>
      </c>
      <c r="C1526" s="799">
        <v>97201</v>
      </c>
    </row>
    <row r="1527" spans="2:3" x14ac:dyDescent="0.25">
      <c r="B1527" s="795" t="s">
        <v>1783</v>
      </c>
      <c r="C1527" s="799">
        <v>97301</v>
      </c>
    </row>
    <row r="1528" spans="2:3" x14ac:dyDescent="0.25">
      <c r="B1528" s="795" t="s">
        <v>1784</v>
      </c>
      <c r="C1528" s="799">
        <v>97304</v>
      </c>
    </row>
    <row r="1529" spans="2:3" x14ac:dyDescent="0.25">
      <c r="B1529" s="795" t="s">
        <v>1980</v>
      </c>
      <c r="C1529" s="799">
        <v>99405</v>
      </c>
    </row>
    <row r="1530" spans="2:3" x14ac:dyDescent="0.25">
      <c r="B1530" s="795" t="s">
        <v>1162</v>
      </c>
      <c r="C1530" s="799">
        <v>72265</v>
      </c>
    </row>
    <row r="1531" spans="2:3" x14ac:dyDescent="0.25">
      <c r="B1531" s="795" t="s">
        <v>1466</v>
      </c>
      <c r="C1531" s="799">
        <v>93406</v>
      </c>
    </row>
    <row r="1532" spans="2:3" x14ac:dyDescent="0.25">
      <c r="B1532" s="795" t="s">
        <v>1528</v>
      </c>
      <c r="C1532" s="799">
        <v>94112</v>
      </c>
    </row>
    <row r="1533" spans="2:3" x14ac:dyDescent="0.25">
      <c r="B1533" s="795" t="s">
        <v>2003</v>
      </c>
      <c r="C1533" s="799">
        <v>99651</v>
      </c>
    </row>
    <row r="1534" spans="2:3" x14ac:dyDescent="0.25">
      <c r="B1534" s="795" t="s">
        <v>1915</v>
      </c>
      <c r="C1534" s="799">
        <v>98607</v>
      </c>
    </row>
    <row r="1535" spans="2:3" x14ac:dyDescent="0.25">
      <c r="B1535" s="795" t="s">
        <v>1917</v>
      </c>
      <c r="C1535" s="799">
        <v>98611</v>
      </c>
    </row>
    <row r="1536" spans="2:3" x14ac:dyDescent="0.25">
      <c r="B1536" s="795" t="s">
        <v>1320</v>
      </c>
      <c r="C1536" s="799">
        <v>91641</v>
      </c>
    </row>
    <row r="1537" spans="2:3" x14ac:dyDescent="0.25">
      <c r="B1537" s="795" t="s">
        <v>1621</v>
      </c>
      <c r="C1537" s="799">
        <v>95161</v>
      </c>
    </row>
    <row r="1538" spans="2:3" x14ac:dyDescent="0.25">
      <c r="B1538" s="795" t="s">
        <v>1707</v>
      </c>
      <c r="C1538" s="799">
        <v>96361</v>
      </c>
    </row>
    <row r="1539" spans="2:3" x14ac:dyDescent="0.25">
      <c r="B1539" s="795" t="s">
        <v>1525</v>
      </c>
      <c r="C1539" s="799">
        <v>94108</v>
      </c>
    </row>
    <row r="1540" spans="2:3" x14ac:dyDescent="0.25">
      <c r="B1540" s="795" t="s">
        <v>1706</v>
      </c>
      <c r="C1540" s="799">
        <v>96351</v>
      </c>
    </row>
    <row r="1541" spans="2:3" x14ac:dyDescent="0.25">
      <c r="B1541" s="795" t="s">
        <v>1460</v>
      </c>
      <c r="C1541" s="799">
        <v>93331</v>
      </c>
    </row>
    <row r="1542" spans="2:3" x14ac:dyDescent="0.25">
      <c r="B1542" s="795" t="s">
        <v>1678</v>
      </c>
      <c r="C1542" s="799">
        <v>96021</v>
      </c>
    </row>
    <row r="1543" spans="2:3" x14ac:dyDescent="0.25">
      <c r="B1543" s="795" t="s">
        <v>1641</v>
      </c>
      <c r="C1543" s="799">
        <v>95421</v>
      </c>
    </row>
    <row r="1544" spans="2:3" x14ac:dyDescent="0.25">
      <c r="B1544" s="795" t="s">
        <v>1786</v>
      </c>
      <c r="C1544" s="799">
        <v>97401</v>
      </c>
    </row>
    <row r="1545" spans="2:3" x14ac:dyDescent="0.25">
      <c r="B1545" s="795" t="s">
        <v>1788</v>
      </c>
      <c r="C1545" s="799">
        <v>97404</v>
      </c>
    </row>
    <row r="1546" spans="2:3" x14ac:dyDescent="0.25">
      <c r="B1546" s="795" t="s">
        <v>1787</v>
      </c>
      <c r="C1546" s="799">
        <v>97402</v>
      </c>
    </row>
    <row r="1547" spans="2:3" x14ac:dyDescent="0.25">
      <c r="B1547" s="795" t="s">
        <v>1349</v>
      </c>
      <c r="C1547" s="799">
        <v>91921</v>
      </c>
    </row>
    <row r="1548" spans="2:3" x14ac:dyDescent="0.25">
      <c r="B1548" s="795" t="s">
        <v>1666</v>
      </c>
      <c r="C1548" s="799">
        <v>95908</v>
      </c>
    </row>
    <row r="1549" spans="2:3" x14ac:dyDescent="0.25">
      <c r="B1549" s="795" t="s">
        <v>1982</v>
      </c>
      <c r="C1549" s="799">
        <v>99413</v>
      </c>
    </row>
    <row r="1550" spans="2:3" x14ac:dyDescent="0.25">
      <c r="B1550" s="795" t="s">
        <v>1981</v>
      </c>
      <c r="C1550" s="799">
        <v>99411</v>
      </c>
    </row>
    <row r="1551" spans="2:3" x14ac:dyDescent="0.25">
      <c r="B1551" s="795" t="s">
        <v>1803</v>
      </c>
      <c r="C1551" s="799">
        <v>97501</v>
      </c>
    </row>
    <row r="1552" spans="2:3" x14ac:dyDescent="0.25">
      <c r="B1552" s="795" t="s">
        <v>1191</v>
      </c>
      <c r="C1552" s="799">
        <v>90431</v>
      </c>
    </row>
    <row r="1553" spans="2:3" x14ac:dyDescent="0.25">
      <c r="B1553" s="795" t="s">
        <v>1628</v>
      </c>
      <c r="C1553" s="799">
        <v>95211</v>
      </c>
    </row>
    <row r="1554" spans="2:3" x14ac:dyDescent="0.25">
      <c r="B1554" s="795" t="s">
        <v>1623</v>
      </c>
      <c r="C1554" s="799">
        <v>95181</v>
      </c>
    </row>
    <row r="1555" spans="2:3" x14ac:dyDescent="0.25">
      <c r="B1555" s="795" t="s">
        <v>1463</v>
      </c>
      <c r="C1555" s="799">
        <v>93351</v>
      </c>
    </row>
    <row r="1556" spans="2:3" x14ac:dyDescent="0.25">
      <c r="B1556" s="795" t="s">
        <v>1589</v>
      </c>
      <c r="C1556" s="799">
        <v>94711</v>
      </c>
    </row>
    <row r="1557" spans="2:3" x14ac:dyDescent="0.25">
      <c r="B1557" s="795" t="s">
        <v>1962</v>
      </c>
      <c r="C1557" s="799">
        <v>99213</v>
      </c>
    </row>
    <row r="1558" spans="2:3" x14ac:dyDescent="0.25">
      <c r="B1558" s="795" t="s">
        <v>1960</v>
      </c>
      <c r="C1558" s="799">
        <v>99211</v>
      </c>
    </row>
    <row r="1559" spans="2:3" x14ac:dyDescent="0.25">
      <c r="B1559" s="795" t="s">
        <v>1963</v>
      </c>
      <c r="C1559" s="799">
        <v>99218</v>
      </c>
    </row>
    <row r="1560" spans="2:3" x14ac:dyDescent="0.25">
      <c r="B1560" s="795" t="s">
        <v>1816</v>
      </c>
      <c r="C1560" s="799">
        <v>97641</v>
      </c>
    </row>
    <row r="1561" spans="2:3" x14ac:dyDescent="0.25">
      <c r="B1561" s="795" t="s">
        <v>1813</v>
      </c>
      <c r="C1561" s="799">
        <v>97627</v>
      </c>
    </row>
    <row r="1562" spans="2:3" x14ac:dyDescent="0.25">
      <c r="B1562" s="795" t="s">
        <v>1812</v>
      </c>
      <c r="C1562" s="799">
        <v>97623</v>
      </c>
    </row>
    <row r="1563" spans="2:3" x14ac:dyDescent="0.25">
      <c r="B1563" s="795" t="s">
        <v>1811</v>
      </c>
      <c r="C1563" s="799">
        <v>97621</v>
      </c>
    </row>
    <row r="1564" spans="2:3" x14ac:dyDescent="0.25">
      <c r="B1564" s="795" t="s">
        <v>1807</v>
      </c>
      <c r="C1564" s="799">
        <v>97601</v>
      </c>
    </row>
    <row r="1565" spans="2:3" x14ac:dyDescent="0.25">
      <c r="B1565" s="795" t="s">
        <v>1499</v>
      </c>
      <c r="C1565" s="799">
        <v>93681</v>
      </c>
    </row>
    <row r="1566" spans="2:3" x14ac:dyDescent="0.25">
      <c r="B1566" s="795" t="s">
        <v>1844</v>
      </c>
      <c r="C1566" s="799">
        <v>97877</v>
      </c>
    </row>
    <row r="1567" spans="2:3" x14ac:dyDescent="0.25">
      <c r="B1567" s="795" t="s">
        <v>1843</v>
      </c>
      <c r="C1567" s="799">
        <v>97871</v>
      </c>
    </row>
    <row r="1568" spans="2:3" x14ac:dyDescent="0.25">
      <c r="B1568" s="795" t="s">
        <v>1986</v>
      </c>
      <c r="C1568" s="799">
        <v>99502</v>
      </c>
    </row>
    <row r="1569" spans="2:3" x14ac:dyDescent="0.25">
      <c r="B1569" s="795" t="s">
        <v>1848</v>
      </c>
      <c r="C1569" s="799">
        <v>97917</v>
      </c>
    </row>
    <row r="1570" spans="2:3" x14ac:dyDescent="0.25">
      <c r="B1570" s="795" t="s">
        <v>1846</v>
      </c>
      <c r="C1570" s="799">
        <v>97911</v>
      </c>
    </row>
    <row r="1571" spans="2:3" x14ac:dyDescent="0.25">
      <c r="B1571" s="795" t="s">
        <v>1734</v>
      </c>
      <c r="C1571" s="799">
        <v>96611</v>
      </c>
    </row>
    <row r="1572" spans="2:3" x14ac:dyDescent="0.25">
      <c r="B1572" s="795" t="s">
        <v>1750</v>
      </c>
      <c r="C1572" s="799">
        <v>96741</v>
      </c>
    </row>
    <row r="1573" spans="2:3" x14ac:dyDescent="0.25">
      <c r="B1573" s="795" t="s">
        <v>1819</v>
      </c>
      <c r="C1573" s="799">
        <v>97701</v>
      </c>
    </row>
    <row r="1574" spans="2:3" x14ac:dyDescent="0.25">
      <c r="B1574" s="795" t="s">
        <v>1391</v>
      </c>
      <c r="C1574" s="799">
        <v>92541</v>
      </c>
    </row>
    <row r="1575" spans="2:3" x14ac:dyDescent="0.25">
      <c r="B1575" s="795" t="s">
        <v>1543</v>
      </c>
      <c r="C1575" s="799">
        <v>94209</v>
      </c>
    </row>
    <row r="1576" spans="2:3" x14ac:dyDescent="0.25">
      <c r="B1576" s="795" t="s">
        <v>1545</v>
      </c>
      <c r="C1576" s="799">
        <v>94221</v>
      </c>
    </row>
    <row r="1577" spans="2:3" x14ac:dyDescent="0.25">
      <c r="B1577" s="795" t="s">
        <v>1705</v>
      </c>
      <c r="C1577" s="799">
        <v>96341</v>
      </c>
    </row>
    <row r="1578" spans="2:3" x14ac:dyDescent="0.25">
      <c r="B1578" s="795" t="s">
        <v>1505</v>
      </c>
      <c r="C1578" s="799">
        <v>93821</v>
      </c>
    </row>
    <row r="1579" spans="2:3" x14ac:dyDescent="0.25">
      <c r="B1579" s="795" t="s">
        <v>1665</v>
      </c>
      <c r="C1579" s="799">
        <v>95853</v>
      </c>
    </row>
    <row r="1580" spans="2:3" x14ac:dyDescent="0.25">
      <c r="B1580" s="795" t="s">
        <v>1664</v>
      </c>
      <c r="C1580" s="799">
        <v>95851</v>
      </c>
    </row>
    <row r="1581" spans="2:3" x14ac:dyDescent="0.25">
      <c r="B1581" s="795" t="s">
        <v>1827</v>
      </c>
      <c r="C1581" s="799">
        <v>97801</v>
      </c>
    </row>
    <row r="1582" spans="2:3" x14ac:dyDescent="0.25">
      <c r="B1582" s="795" t="s">
        <v>1829</v>
      </c>
      <c r="C1582" s="799">
        <v>97803</v>
      </c>
    </row>
    <row r="1583" spans="2:3" x14ac:dyDescent="0.25">
      <c r="B1583" s="795" t="s">
        <v>1830</v>
      </c>
      <c r="C1583" s="799">
        <v>97805</v>
      </c>
    </row>
    <row r="1584" spans="2:3" x14ac:dyDescent="0.25">
      <c r="B1584" s="795" t="s">
        <v>1825</v>
      </c>
      <c r="C1584" s="799">
        <v>97727</v>
      </c>
    </row>
    <row r="1585" spans="2:3" x14ac:dyDescent="0.25">
      <c r="B1585" s="795" t="s">
        <v>1845</v>
      </c>
      <c r="C1585" s="799">
        <v>97901</v>
      </c>
    </row>
    <row r="1586" spans="2:3" x14ac:dyDescent="0.25">
      <c r="B1586" s="795" t="s">
        <v>1822</v>
      </c>
      <c r="C1586" s="799">
        <v>97713</v>
      </c>
    </row>
    <row r="1587" spans="2:3" x14ac:dyDescent="0.25">
      <c r="B1587" s="795" t="s">
        <v>1821</v>
      </c>
      <c r="C1587" s="799">
        <v>97711</v>
      </c>
    </row>
    <row r="1588" spans="2:3" x14ac:dyDescent="0.25">
      <c r="B1588" s="795" t="s">
        <v>1868</v>
      </c>
      <c r="C1588" s="799">
        <v>98071</v>
      </c>
    </row>
    <row r="1589" spans="2:3" x14ac:dyDescent="0.25">
      <c r="B1589" s="795" t="s">
        <v>1461</v>
      </c>
      <c r="C1589" s="799">
        <v>93333</v>
      </c>
    </row>
    <row r="1590" spans="2:3" x14ac:dyDescent="0.25">
      <c r="B1590" s="795" t="s">
        <v>1458</v>
      </c>
      <c r="C1590" s="799">
        <v>93321</v>
      </c>
    </row>
    <row r="1591" spans="2:3" x14ac:dyDescent="0.25">
      <c r="B1591" s="795" t="s">
        <v>1459</v>
      </c>
      <c r="C1591" s="799">
        <v>93323</v>
      </c>
    </row>
    <row r="1592" spans="2:3" x14ac:dyDescent="0.25">
      <c r="B1592" s="795" t="s">
        <v>1954</v>
      </c>
      <c r="C1592" s="799">
        <v>99203</v>
      </c>
    </row>
    <row r="1593" spans="2:3" x14ac:dyDescent="0.25">
      <c r="B1593" s="795" t="s">
        <v>1983</v>
      </c>
      <c r="C1593" s="799">
        <v>99421</v>
      </c>
    </row>
    <row r="1594" spans="2:3" x14ac:dyDescent="0.25">
      <c r="B1594" s="795" t="s">
        <v>1442</v>
      </c>
      <c r="C1594" s="799">
        <v>93161</v>
      </c>
    </row>
    <row r="1595" spans="2:3" x14ac:dyDescent="0.25">
      <c r="B1595" s="795" t="s">
        <v>1889</v>
      </c>
      <c r="C1595" s="799">
        <v>98237</v>
      </c>
    </row>
    <row r="1596" spans="2:3" x14ac:dyDescent="0.25">
      <c r="B1596" s="795" t="s">
        <v>1892</v>
      </c>
      <c r="C1596" s="799">
        <v>98261</v>
      </c>
    </row>
    <row r="1597" spans="2:3" x14ac:dyDescent="0.25">
      <c r="B1597" s="795" t="s">
        <v>3541</v>
      </c>
      <c r="C1597" s="799">
        <v>98002</v>
      </c>
    </row>
    <row r="1598" spans="2:3" x14ac:dyDescent="0.25">
      <c r="B1598" s="795" t="s">
        <v>1856</v>
      </c>
      <c r="C1598" s="799">
        <v>98001</v>
      </c>
    </row>
    <row r="1599" spans="2:3" x14ac:dyDescent="0.25">
      <c r="B1599" s="795" t="s">
        <v>1858</v>
      </c>
      <c r="C1599" s="799">
        <v>98004</v>
      </c>
    </row>
    <row r="1600" spans="2:3" x14ac:dyDescent="0.25">
      <c r="B1600" s="795" t="s">
        <v>1857</v>
      </c>
      <c r="C1600" s="799">
        <v>98003</v>
      </c>
    </row>
    <row r="1601" spans="2:3" x14ac:dyDescent="0.25">
      <c r="B1601" s="795" t="s">
        <v>1859</v>
      </c>
      <c r="C1601" s="799">
        <v>98008</v>
      </c>
    </row>
    <row r="1602" spans="2:3" x14ac:dyDescent="0.25">
      <c r="B1602" s="795" t="s">
        <v>1842</v>
      </c>
      <c r="C1602" s="799">
        <v>97861</v>
      </c>
    </row>
    <row r="1603" spans="2:3" x14ac:dyDescent="0.25">
      <c r="B1603" s="795" t="s">
        <v>1785</v>
      </c>
      <c r="C1603" s="799">
        <v>97311</v>
      </c>
    </row>
    <row r="1604" spans="2:3" x14ac:dyDescent="0.25">
      <c r="B1604" s="795" t="s">
        <v>1470</v>
      </c>
      <c r="C1604" s="799">
        <v>93431</v>
      </c>
    </row>
    <row r="1605" spans="2:3" x14ac:dyDescent="0.25">
      <c r="B1605" s="795" t="s">
        <v>1283</v>
      </c>
      <c r="C1605" s="799">
        <v>91214</v>
      </c>
    </row>
    <row r="1606" spans="2:3" x14ac:dyDescent="0.25">
      <c r="B1606" s="795" t="s">
        <v>1871</v>
      </c>
      <c r="C1606" s="799">
        <v>98101</v>
      </c>
    </row>
    <row r="1607" spans="2:3" x14ac:dyDescent="0.25">
      <c r="B1607" s="795" t="s">
        <v>1873</v>
      </c>
      <c r="C1607" s="799">
        <v>98103</v>
      </c>
    </row>
    <row r="1608" spans="2:3" x14ac:dyDescent="0.25">
      <c r="B1608" s="795" t="s">
        <v>1881</v>
      </c>
      <c r="C1608" s="799">
        <v>98147</v>
      </c>
    </row>
    <row r="1609" spans="2:3" x14ac:dyDescent="0.25">
      <c r="B1609" s="795" t="s">
        <v>1880</v>
      </c>
      <c r="C1609" s="799">
        <v>98141</v>
      </c>
    </row>
    <row r="1610" spans="2:3" x14ac:dyDescent="0.25">
      <c r="B1610" s="795" t="s">
        <v>1837</v>
      </c>
      <c r="C1610" s="799">
        <v>97837</v>
      </c>
    </row>
    <row r="1611" spans="2:3" x14ac:dyDescent="0.25">
      <c r="B1611" s="795" t="s">
        <v>1887</v>
      </c>
      <c r="C1611" s="799">
        <v>98221</v>
      </c>
    </row>
    <row r="1612" spans="2:3" x14ac:dyDescent="0.25">
      <c r="B1612" s="795" t="s">
        <v>1861</v>
      </c>
      <c r="C1612" s="799">
        <v>98013</v>
      </c>
    </row>
    <row r="1613" spans="2:3" x14ac:dyDescent="0.25">
      <c r="B1613" s="795" t="s">
        <v>1860</v>
      </c>
      <c r="C1613" s="799">
        <v>98011</v>
      </c>
    </row>
    <row r="1614" spans="2:3" x14ac:dyDescent="0.25">
      <c r="B1614" s="795" t="s">
        <v>1806</v>
      </c>
      <c r="C1614" s="799">
        <v>97531</v>
      </c>
    </row>
    <row r="1615" spans="2:3" x14ac:dyDescent="0.25">
      <c r="B1615" s="795" t="s">
        <v>1883</v>
      </c>
      <c r="C1615" s="799">
        <v>98201</v>
      </c>
    </row>
    <row r="1616" spans="2:3" x14ac:dyDescent="0.25">
      <c r="B1616" s="795" t="s">
        <v>1820</v>
      </c>
      <c r="C1616" s="799">
        <v>97705</v>
      </c>
    </row>
    <row r="1617" spans="2:3" x14ac:dyDescent="0.25">
      <c r="B1617" s="795" t="s">
        <v>3542</v>
      </c>
      <c r="C1617" s="799">
        <v>96318</v>
      </c>
    </row>
    <row r="1618" spans="2:3" x14ac:dyDescent="0.25">
      <c r="B1618" s="795" t="s">
        <v>1632</v>
      </c>
      <c r="C1618" s="799">
        <v>95317</v>
      </c>
    </row>
    <row r="1619" spans="2:3" x14ac:dyDescent="0.25">
      <c r="B1619" s="795" t="s">
        <v>1631</v>
      </c>
      <c r="C1619" s="799">
        <v>95311</v>
      </c>
    </row>
    <row r="1620" spans="2:3" x14ac:dyDescent="0.25">
      <c r="B1620" s="795" t="s">
        <v>1304</v>
      </c>
      <c r="C1620" s="799">
        <v>91421</v>
      </c>
    </row>
    <row r="1621" spans="2:3" x14ac:dyDescent="0.25">
      <c r="B1621" s="795" t="s">
        <v>1894</v>
      </c>
      <c r="C1621" s="799">
        <v>98301</v>
      </c>
    </row>
    <row r="1622" spans="2:3" x14ac:dyDescent="0.25">
      <c r="B1622" s="795" t="s">
        <v>1895</v>
      </c>
      <c r="C1622" s="799">
        <v>98304</v>
      </c>
    </row>
    <row r="1623" spans="2:3" x14ac:dyDescent="0.25">
      <c r="B1623" s="795" t="s">
        <v>1547</v>
      </c>
      <c r="C1623" s="799">
        <v>94241</v>
      </c>
    </row>
    <row r="1624" spans="2:3" x14ac:dyDescent="0.25">
      <c r="B1624" s="795" t="s">
        <v>1742</v>
      </c>
      <c r="C1624" s="799">
        <v>96681</v>
      </c>
    </row>
    <row r="1625" spans="2:3" x14ac:dyDescent="0.25">
      <c r="B1625" s="795" t="s">
        <v>1617</v>
      </c>
      <c r="C1625" s="799">
        <v>95123</v>
      </c>
    </row>
    <row r="1626" spans="2:3" x14ac:dyDescent="0.25">
      <c r="B1626" s="795" t="s">
        <v>1615</v>
      </c>
      <c r="C1626" s="799">
        <v>95121</v>
      </c>
    </row>
    <row r="1627" spans="2:3" x14ac:dyDescent="0.25">
      <c r="B1627" s="795" t="s">
        <v>1992</v>
      </c>
      <c r="C1627" s="799">
        <v>99531</v>
      </c>
    </row>
    <row r="1628" spans="2:3" x14ac:dyDescent="0.25">
      <c r="B1628" s="795" t="s">
        <v>1741</v>
      </c>
      <c r="C1628" s="799">
        <v>96671</v>
      </c>
    </row>
    <row r="1629" spans="2:3" x14ac:dyDescent="0.25">
      <c r="B1629" s="795" t="s">
        <v>1251</v>
      </c>
      <c r="C1629" s="799">
        <v>91057</v>
      </c>
    </row>
    <row r="1630" spans="2:3" x14ac:dyDescent="0.25">
      <c r="B1630" s="795" t="s">
        <v>1256</v>
      </c>
      <c r="C1630" s="799">
        <v>91081</v>
      </c>
    </row>
    <row r="1631" spans="2:3" x14ac:dyDescent="0.25">
      <c r="B1631" s="795" t="s">
        <v>1719</v>
      </c>
      <c r="C1631" s="799">
        <v>96461</v>
      </c>
    </row>
    <row r="1632" spans="2:3" x14ac:dyDescent="0.25">
      <c r="B1632" s="795" t="s">
        <v>1364</v>
      </c>
      <c r="C1632" s="799">
        <v>92317</v>
      </c>
    </row>
    <row r="1633" spans="2:3" x14ac:dyDescent="0.25">
      <c r="B1633" s="795" t="s">
        <v>1363</v>
      </c>
      <c r="C1633" s="799">
        <v>92311</v>
      </c>
    </row>
    <row r="1634" spans="2:3" x14ac:dyDescent="0.25">
      <c r="B1634" s="795" t="s">
        <v>1789</v>
      </c>
      <c r="C1634" s="799">
        <v>97405</v>
      </c>
    </row>
    <row r="1635" spans="2:3" x14ac:dyDescent="0.25">
      <c r="B1635" s="795" t="s">
        <v>1348</v>
      </c>
      <c r="C1635" s="799">
        <v>91917</v>
      </c>
    </row>
    <row r="1636" spans="2:3" x14ac:dyDescent="0.25">
      <c r="B1636" s="795" t="s">
        <v>1347</v>
      </c>
      <c r="C1636" s="799">
        <v>91911</v>
      </c>
    </row>
    <row r="1637" spans="2:3" x14ac:dyDescent="0.25">
      <c r="B1637" s="795" t="s">
        <v>1801</v>
      </c>
      <c r="C1637" s="799">
        <v>97481</v>
      </c>
    </row>
    <row r="1638" spans="2:3" x14ac:dyDescent="0.25">
      <c r="B1638" s="795" t="s">
        <v>1270</v>
      </c>
      <c r="C1638" s="799">
        <v>91138</v>
      </c>
    </row>
    <row r="1639" spans="2:3" x14ac:dyDescent="0.25">
      <c r="B1639" s="795" t="s">
        <v>1614</v>
      </c>
      <c r="C1639" s="799">
        <v>95113</v>
      </c>
    </row>
    <row r="1640" spans="2:3" x14ac:dyDescent="0.25">
      <c r="B1640" s="795" t="s">
        <v>1613</v>
      </c>
      <c r="C1640" s="799">
        <v>95111</v>
      </c>
    </row>
    <row r="1641" spans="2:3" x14ac:dyDescent="0.25">
      <c r="B1641" s="795" t="s">
        <v>1606</v>
      </c>
      <c r="C1641" s="799">
        <v>95009</v>
      </c>
    </row>
    <row r="1642" spans="2:3" x14ac:dyDescent="0.25">
      <c r="B1642" s="795" t="s">
        <v>1521</v>
      </c>
      <c r="C1642" s="799">
        <v>94021</v>
      </c>
    </row>
    <row r="1643" spans="2:3" x14ac:dyDescent="0.25">
      <c r="B1643" s="795" t="s">
        <v>1510</v>
      </c>
      <c r="C1643" s="799">
        <v>93910</v>
      </c>
    </row>
    <row r="1644" spans="2:3" x14ac:dyDescent="0.25">
      <c r="B1644" s="795" t="s">
        <v>3543</v>
      </c>
      <c r="C1644" s="799">
        <v>91013</v>
      </c>
    </row>
    <row r="1645" spans="2:3" x14ac:dyDescent="0.25">
      <c r="B1645" s="795" t="s">
        <v>1226</v>
      </c>
      <c r="C1645" s="799">
        <v>90918</v>
      </c>
    </row>
    <row r="1646" spans="2:3" x14ac:dyDescent="0.25">
      <c r="B1646" s="795" t="s">
        <v>1701</v>
      </c>
      <c r="C1646" s="799">
        <v>96311</v>
      </c>
    </row>
    <row r="1647" spans="2:3" x14ac:dyDescent="0.25">
      <c r="B1647" s="795" t="s">
        <v>1417</v>
      </c>
      <c r="C1647" s="799">
        <v>92841</v>
      </c>
    </row>
    <row r="1648" spans="2:3" x14ac:dyDescent="0.25">
      <c r="B1648" s="795" t="s">
        <v>1997</v>
      </c>
      <c r="C1648" s="799">
        <v>99609</v>
      </c>
    </row>
    <row r="1649" spans="2:3" x14ac:dyDescent="0.25">
      <c r="B1649" s="795" t="s">
        <v>1241</v>
      </c>
      <c r="C1649" s="799">
        <v>91017</v>
      </c>
    </row>
    <row r="1650" spans="2:3" x14ac:dyDescent="0.25">
      <c r="B1650" s="795" t="s">
        <v>1238</v>
      </c>
      <c r="C1650" s="799">
        <v>91011</v>
      </c>
    </row>
    <row r="1651" spans="2:3" x14ac:dyDescent="0.25">
      <c r="B1651" s="795" t="s">
        <v>1605</v>
      </c>
      <c r="C1651" s="799">
        <v>95008</v>
      </c>
    </row>
    <row r="1652" spans="2:3" x14ac:dyDescent="0.25">
      <c r="B1652" s="795" t="s">
        <v>1185</v>
      </c>
      <c r="C1652" s="799">
        <v>90307</v>
      </c>
    </row>
    <row r="1653" spans="2:3" x14ac:dyDescent="0.25">
      <c r="B1653" s="795" t="s">
        <v>1163</v>
      </c>
      <c r="C1653" s="799">
        <v>72657</v>
      </c>
    </row>
    <row r="1654" spans="2:3" x14ac:dyDescent="0.25">
      <c r="B1654" s="795" t="s">
        <v>1864</v>
      </c>
      <c r="C1654" s="799">
        <v>98031</v>
      </c>
    </row>
    <row r="1655" spans="2:3" x14ac:dyDescent="0.25">
      <c r="B1655" s="795" t="s">
        <v>1878</v>
      </c>
      <c r="C1655" s="799">
        <v>98121</v>
      </c>
    </row>
    <row r="1656" spans="2:3" x14ac:dyDescent="0.25">
      <c r="B1656" s="795" t="s">
        <v>1714</v>
      </c>
      <c r="C1656" s="799">
        <v>96411</v>
      </c>
    </row>
    <row r="1657" spans="2:3" x14ac:dyDescent="0.25">
      <c r="B1657" s="795" t="s">
        <v>1406</v>
      </c>
      <c r="C1657" s="799">
        <v>92661</v>
      </c>
    </row>
    <row r="1658" spans="2:3" x14ac:dyDescent="0.25">
      <c r="B1658" s="795" t="s">
        <v>1687</v>
      </c>
      <c r="C1658" s="799">
        <v>96111</v>
      </c>
    </row>
    <row r="1659" spans="2:3" x14ac:dyDescent="0.25">
      <c r="B1659" s="795" t="s">
        <v>1247</v>
      </c>
      <c r="C1659" s="799">
        <v>91032</v>
      </c>
    </row>
    <row r="1660" spans="2:3" x14ac:dyDescent="0.25">
      <c r="B1660" s="795" t="s">
        <v>1836</v>
      </c>
      <c r="C1660" s="799">
        <v>97831</v>
      </c>
    </row>
    <row r="1661" spans="2:3" x14ac:dyDescent="0.25">
      <c r="B1661" s="795" t="s">
        <v>1682</v>
      </c>
      <c r="C1661" s="799">
        <v>96061</v>
      </c>
    </row>
    <row r="1662" spans="2:3" x14ac:dyDescent="0.25">
      <c r="B1662" s="795" t="s">
        <v>1909</v>
      </c>
      <c r="C1662" s="799">
        <v>98481</v>
      </c>
    </row>
    <row r="1663" spans="2:3" x14ac:dyDescent="0.25">
      <c r="B1663" s="795" t="s">
        <v>1485</v>
      </c>
      <c r="C1663" s="799">
        <v>93602</v>
      </c>
    </row>
    <row r="1664" spans="2:3" x14ac:dyDescent="0.25">
      <c r="B1664" s="795" t="s">
        <v>1901</v>
      </c>
      <c r="C1664" s="799">
        <v>98401</v>
      </c>
    </row>
    <row r="1665" spans="2:3" x14ac:dyDescent="0.25">
      <c r="B1665" s="795" t="s">
        <v>2017</v>
      </c>
      <c r="C1665" s="799">
        <v>99821</v>
      </c>
    </row>
    <row r="1666" spans="2:3" x14ac:dyDescent="0.25">
      <c r="B1666" s="795" t="s">
        <v>1691</v>
      </c>
      <c r="C1666" s="799">
        <v>96211</v>
      </c>
    </row>
    <row r="1667" spans="2:3" x14ac:dyDescent="0.25">
      <c r="B1667" s="795" t="s">
        <v>1596</v>
      </c>
      <c r="C1667" s="799">
        <v>94917</v>
      </c>
    </row>
    <row r="1668" spans="2:3" x14ac:dyDescent="0.25">
      <c r="B1668" s="795" t="s">
        <v>1595</v>
      </c>
      <c r="C1668" s="799">
        <v>94911</v>
      </c>
    </row>
    <row r="1669" spans="2:3" x14ac:dyDescent="0.25">
      <c r="B1669" s="795" t="s">
        <v>1402</v>
      </c>
      <c r="C1669" s="799">
        <v>92621</v>
      </c>
    </row>
    <row r="1670" spans="2:3" x14ac:dyDescent="0.25">
      <c r="B1670" s="795" t="s">
        <v>1910</v>
      </c>
      <c r="C1670" s="799">
        <v>98501</v>
      </c>
    </row>
    <row r="1671" spans="2:3" x14ac:dyDescent="0.25">
      <c r="B1671" s="795" t="s">
        <v>1850</v>
      </c>
      <c r="C1671" s="799">
        <v>97931</v>
      </c>
    </row>
    <row r="1672" spans="2:3" x14ac:dyDescent="0.25">
      <c r="B1672" s="795" t="s">
        <v>1513</v>
      </c>
      <c r="C1672" s="799">
        <v>93914</v>
      </c>
    </row>
    <row r="1673" spans="2:3" x14ac:dyDescent="0.25">
      <c r="B1673" s="795" t="s">
        <v>1206</v>
      </c>
      <c r="C1673" s="799">
        <v>90651</v>
      </c>
    </row>
    <row r="1674" spans="2:3" x14ac:dyDescent="0.25">
      <c r="B1674" s="795" t="s">
        <v>1539</v>
      </c>
      <c r="C1674" s="799">
        <v>94172</v>
      </c>
    </row>
    <row r="1675" spans="2:3" x14ac:dyDescent="0.25">
      <c r="B1675" s="795" t="s">
        <v>1538</v>
      </c>
      <c r="C1675" s="799">
        <v>94171</v>
      </c>
    </row>
    <row r="1676" spans="2:3" x14ac:dyDescent="0.25">
      <c r="B1676" s="795" t="s">
        <v>1249</v>
      </c>
      <c r="C1676" s="799">
        <v>91047</v>
      </c>
    </row>
    <row r="1677" spans="2:3" x14ac:dyDescent="0.25">
      <c r="B1677" s="795" t="s">
        <v>1248</v>
      </c>
      <c r="C1677" s="799">
        <v>91041</v>
      </c>
    </row>
    <row r="1678" spans="2:3" x14ac:dyDescent="0.25">
      <c r="B1678" s="795" t="s">
        <v>1777</v>
      </c>
      <c r="C1678" s="799">
        <v>97131</v>
      </c>
    </row>
    <row r="1679" spans="2:3" x14ac:dyDescent="0.25">
      <c r="B1679" s="795" t="s">
        <v>1914</v>
      </c>
      <c r="C1679" s="799">
        <v>98601</v>
      </c>
    </row>
    <row r="1680" spans="2:3" x14ac:dyDescent="0.25">
      <c r="B1680" s="795" t="s">
        <v>1924</v>
      </c>
      <c r="C1680" s="799">
        <v>98701</v>
      </c>
    </row>
    <row r="1681" spans="2:3" x14ac:dyDescent="0.25">
      <c r="B1681" s="795" t="s">
        <v>1747</v>
      </c>
      <c r="C1681" s="799">
        <v>96721</v>
      </c>
    </row>
    <row r="1682" spans="2:3" x14ac:dyDescent="0.25">
      <c r="B1682" s="795" t="s">
        <v>1607</v>
      </c>
      <c r="C1682" s="799">
        <v>95011</v>
      </c>
    </row>
    <row r="1683" spans="2:3" x14ac:dyDescent="0.25">
      <c r="B1683" s="795" t="s">
        <v>1379</v>
      </c>
      <c r="C1683" s="799">
        <v>92451</v>
      </c>
    </row>
    <row r="1684" spans="2:3" x14ac:dyDescent="0.25">
      <c r="B1684" s="795" t="s">
        <v>1457</v>
      </c>
      <c r="C1684" s="799">
        <v>93317</v>
      </c>
    </row>
    <row r="1685" spans="2:3" x14ac:dyDescent="0.25">
      <c r="B1685" s="795" t="s">
        <v>1456</v>
      </c>
      <c r="C1685" s="799">
        <v>93311</v>
      </c>
    </row>
    <row r="1686" spans="2:3" x14ac:dyDescent="0.25">
      <c r="B1686" s="795" t="s">
        <v>1182</v>
      </c>
      <c r="C1686" s="799">
        <v>90211</v>
      </c>
    </row>
    <row r="1687" spans="2:3" x14ac:dyDescent="0.25">
      <c r="B1687" s="795" t="s">
        <v>1697</v>
      </c>
      <c r="C1687" s="799">
        <v>96302</v>
      </c>
    </row>
    <row r="1688" spans="2:3" x14ac:dyDescent="0.25">
      <c r="B1688" s="795" t="s">
        <v>1444</v>
      </c>
      <c r="C1688" s="799">
        <v>93181</v>
      </c>
    </row>
    <row r="1689" spans="2:3" x14ac:dyDescent="0.25">
      <c r="B1689" s="795" t="s">
        <v>1359</v>
      </c>
      <c r="C1689" s="799">
        <v>92113</v>
      </c>
    </row>
    <row r="1690" spans="2:3" x14ac:dyDescent="0.25">
      <c r="B1690" s="795" t="s">
        <v>1422</v>
      </c>
      <c r="C1690" s="799">
        <v>92913</v>
      </c>
    </row>
    <row r="1691" spans="2:3" x14ac:dyDescent="0.25">
      <c r="B1691" s="795" t="s">
        <v>1421</v>
      </c>
      <c r="C1691" s="799">
        <v>92911</v>
      </c>
    </row>
    <row r="1692" spans="2:3" x14ac:dyDescent="0.25">
      <c r="B1692" s="795" t="s">
        <v>1475</v>
      </c>
      <c r="C1692" s="799">
        <v>93471</v>
      </c>
    </row>
    <row r="1693" spans="2:3" x14ac:dyDescent="0.25">
      <c r="B1693" s="795" t="s">
        <v>1168</v>
      </c>
      <c r="C1693" s="799">
        <v>90098</v>
      </c>
    </row>
    <row r="1694" spans="2:3" x14ac:dyDescent="0.25">
      <c r="B1694" s="795" t="s">
        <v>1776</v>
      </c>
      <c r="C1694" s="799">
        <v>97121</v>
      </c>
    </row>
    <row r="1695" spans="2:3" x14ac:dyDescent="0.25">
      <c r="B1695" s="795" t="s">
        <v>1373</v>
      </c>
      <c r="C1695" s="799">
        <v>92414</v>
      </c>
    </row>
    <row r="1696" spans="2:3" x14ac:dyDescent="0.25">
      <c r="B1696" s="795" t="s">
        <v>1426</v>
      </c>
      <c r="C1696" s="799">
        <v>92941</v>
      </c>
    </row>
    <row r="1697" spans="2:3" x14ac:dyDescent="0.25">
      <c r="B1697" s="795" t="s">
        <v>1245</v>
      </c>
      <c r="C1697" s="799">
        <v>91026</v>
      </c>
    </row>
    <row r="1698" spans="2:3" x14ac:dyDescent="0.25">
      <c r="B1698" s="795" t="s">
        <v>1927</v>
      </c>
      <c r="C1698" s="799">
        <v>98801</v>
      </c>
    </row>
    <row r="1699" spans="2:3" x14ac:dyDescent="0.25">
      <c r="B1699" s="795" t="s">
        <v>1389</v>
      </c>
      <c r="C1699" s="799">
        <v>92521</v>
      </c>
    </row>
    <row r="1700" spans="2:3" x14ac:dyDescent="0.25">
      <c r="B1700" s="795" t="s">
        <v>3544</v>
      </c>
      <c r="C1700" s="799">
        <v>93417</v>
      </c>
    </row>
    <row r="1701" spans="2:3" x14ac:dyDescent="0.25">
      <c r="B1701" s="795" t="s">
        <v>1452</v>
      </c>
      <c r="C1701" s="799">
        <v>93219</v>
      </c>
    </row>
    <row r="1702" spans="2:3" x14ac:dyDescent="0.25">
      <c r="B1702" s="795" t="s">
        <v>3545</v>
      </c>
      <c r="C1702" s="799">
        <v>92513</v>
      </c>
    </row>
    <row r="1703" spans="2:3" x14ac:dyDescent="0.25">
      <c r="B1703" s="795" t="s">
        <v>1818</v>
      </c>
      <c r="C1703" s="799">
        <v>97661</v>
      </c>
    </row>
    <row r="1704" spans="2:3" x14ac:dyDescent="0.25">
      <c r="B1704" s="795" t="s">
        <v>1600</v>
      </c>
      <c r="C1704" s="799">
        <v>94931</v>
      </c>
    </row>
    <row r="1705" spans="2:3" x14ac:dyDescent="0.25">
      <c r="B1705" s="795" t="s">
        <v>1692</v>
      </c>
      <c r="C1705" s="799">
        <v>96221</v>
      </c>
    </row>
    <row r="1706" spans="2:3" x14ac:dyDescent="0.25">
      <c r="B1706" s="795" t="s">
        <v>1804</v>
      </c>
      <c r="C1706" s="799">
        <v>97511</v>
      </c>
    </row>
    <row r="1707" spans="2:3" x14ac:dyDescent="0.25">
      <c r="B1707" s="795" t="s">
        <v>1603</v>
      </c>
      <c r="C1707" s="799">
        <v>95002</v>
      </c>
    </row>
    <row r="1708" spans="2:3" x14ac:dyDescent="0.25">
      <c r="B1708" s="795" t="s">
        <v>1891</v>
      </c>
      <c r="C1708" s="799">
        <v>98251</v>
      </c>
    </row>
    <row r="1709" spans="2:3" x14ac:dyDescent="0.25">
      <c r="B1709" s="795" t="s">
        <v>1930</v>
      </c>
      <c r="C1709" s="799">
        <v>98901</v>
      </c>
    </row>
    <row r="1710" spans="2:3" x14ac:dyDescent="0.25">
      <c r="B1710" s="795" t="s">
        <v>1931</v>
      </c>
      <c r="C1710" s="799">
        <v>98904</v>
      </c>
    </row>
    <row r="1711" spans="2:3" x14ac:dyDescent="0.25">
      <c r="B1711" s="795" t="s">
        <v>1933</v>
      </c>
      <c r="C1711" s="799">
        <v>99001</v>
      </c>
    </row>
    <row r="1712" spans="2:3" x14ac:dyDescent="0.25">
      <c r="B1712" s="795" t="s">
        <v>1943</v>
      </c>
      <c r="C1712" s="799">
        <v>99061</v>
      </c>
    </row>
    <row r="1713" spans="2:3" x14ac:dyDescent="0.25">
      <c r="B1713" s="795" t="s">
        <v>3546</v>
      </c>
      <c r="C1713" s="799">
        <v>93309</v>
      </c>
    </row>
    <row r="1714" spans="2:3" x14ac:dyDescent="0.25">
      <c r="B1714" s="795" t="s">
        <v>1282</v>
      </c>
      <c r="C1714" s="799">
        <v>91213</v>
      </c>
    </row>
    <row r="1715" spans="2:3" x14ac:dyDescent="0.25">
      <c r="B1715" s="795" t="s">
        <v>1281</v>
      </c>
      <c r="C1715" s="799">
        <v>91211</v>
      </c>
    </row>
    <row r="1716" spans="2:3" x14ac:dyDescent="0.25">
      <c r="B1716" s="795" t="s">
        <v>1947</v>
      </c>
      <c r="C1716" s="799">
        <v>99101</v>
      </c>
    </row>
    <row r="1717" spans="2:3" x14ac:dyDescent="0.25">
      <c r="B1717" s="795" t="s">
        <v>1948</v>
      </c>
      <c r="C1717" s="799">
        <v>99104</v>
      </c>
    </row>
    <row r="1718" spans="2:3" x14ac:dyDescent="0.25">
      <c r="B1718" s="795" t="s">
        <v>1392</v>
      </c>
      <c r="C1718" s="799">
        <v>92551</v>
      </c>
    </row>
    <row r="1719" spans="2:3" x14ac:dyDescent="0.25">
      <c r="B1719" s="795" t="s">
        <v>1703</v>
      </c>
      <c r="C1719" s="799">
        <v>96321</v>
      </c>
    </row>
    <row r="1720" spans="2:3" x14ac:dyDescent="0.25">
      <c r="B1720" s="795" t="s">
        <v>1404</v>
      </c>
      <c r="C1720" s="799">
        <v>92641</v>
      </c>
    </row>
    <row r="1721" spans="2:3" x14ac:dyDescent="0.25">
      <c r="B1721" s="795" t="s">
        <v>1189</v>
      </c>
      <c r="C1721" s="799">
        <v>90417</v>
      </c>
    </row>
    <row r="1722" spans="2:3" x14ac:dyDescent="0.25">
      <c r="B1722" s="795" t="s">
        <v>1188</v>
      </c>
      <c r="C1722" s="799">
        <v>90413</v>
      </c>
    </row>
    <row r="1723" spans="2:3" x14ac:dyDescent="0.25">
      <c r="B1723" s="795" t="s">
        <v>1187</v>
      </c>
      <c r="C1723" s="799">
        <v>90411</v>
      </c>
    </row>
    <row r="1724" spans="2:3" x14ac:dyDescent="0.25">
      <c r="B1724" s="795" t="s">
        <v>1899</v>
      </c>
      <c r="C1724" s="799">
        <v>98321</v>
      </c>
    </row>
    <row r="1725" spans="2:3" x14ac:dyDescent="0.25">
      <c r="B1725" s="795" t="s">
        <v>1952</v>
      </c>
      <c r="C1725" s="799">
        <v>99201</v>
      </c>
    </row>
    <row r="1726" spans="2:3" x14ac:dyDescent="0.25">
      <c r="B1726" s="795" t="s">
        <v>1955</v>
      </c>
      <c r="C1726" s="799">
        <v>99204</v>
      </c>
    </row>
    <row r="1727" spans="2:3" x14ac:dyDescent="0.25">
      <c r="B1727" s="795" t="s">
        <v>1957</v>
      </c>
      <c r="C1727" s="799">
        <v>99207</v>
      </c>
    </row>
    <row r="1728" spans="2:3" x14ac:dyDescent="0.25">
      <c r="B1728" s="795" t="s">
        <v>1972</v>
      </c>
      <c r="C1728" s="799">
        <v>99281</v>
      </c>
    </row>
    <row r="1729" spans="2:3" x14ac:dyDescent="0.25">
      <c r="B1729" s="795" t="s">
        <v>1474</v>
      </c>
      <c r="C1729" s="799">
        <v>93461</v>
      </c>
    </row>
    <row r="1730" spans="2:3" x14ac:dyDescent="0.25">
      <c r="B1730" s="795" t="s">
        <v>1441</v>
      </c>
      <c r="C1730" s="799">
        <v>93157</v>
      </c>
    </row>
    <row r="1731" spans="2:3" x14ac:dyDescent="0.25">
      <c r="B1731" s="795" t="s">
        <v>1440</v>
      </c>
      <c r="C1731" s="799">
        <v>93151</v>
      </c>
    </row>
    <row r="1732" spans="2:3" x14ac:dyDescent="0.25">
      <c r="B1732" s="795" t="s">
        <v>1912</v>
      </c>
      <c r="C1732" s="799">
        <v>98517</v>
      </c>
    </row>
    <row r="1733" spans="2:3" x14ac:dyDescent="0.25">
      <c r="B1733" s="795" t="s">
        <v>1911</v>
      </c>
      <c r="C1733" s="799">
        <v>98511</v>
      </c>
    </row>
    <row r="1734" spans="2:3" x14ac:dyDescent="0.25">
      <c r="B1734" s="795" t="s">
        <v>2004</v>
      </c>
      <c r="C1734" s="799">
        <v>99661</v>
      </c>
    </row>
    <row r="1735" spans="2:3" x14ac:dyDescent="0.25">
      <c r="B1735" s="795" t="s">
        <v>1522</v>
      </c>
      <c r="C1735" s="799">
        <v>94031</v>
      </c>
    </row>
    <row r="1736" spans="2:3" x14ac:dyDescent="0.25">
      <c r="B1736" s="795" t="s">
        <v>1974</v>
      </c>
      <c r="C1736" s="799">
        <v>99301</v>
      </c>
    </row>
    <row r="1737" spans="2:3" x14ac:dyDescent="0.25">
      <c r="B1737" s="795" t="s">
        <v>1975</v>
      </c>
      <c r="C1737" s="799">
        <v>99304</v>
      </c>
    </row>
    <row r="1738" spans="2:3" x14ac:dyDescent="0.25">
      <c r="B1738" s="795" t="s">
        <v>1977</v>
      </c>
      <c r="C1738" s="799">
        <v>99321</v>
      </c>
    </row>
    <row r="1739" spans="2:3" x14ac:dyDescent="0.25">
      <c r="B1739" s="795" t="s">
        <v>1438</v>
      </c>
      <c r="C1739" s="799">
        <v>93137</v>
      </c>
    </row>
    <row r="1740" spans="2:3" x14ac:dyDescent="0.25">
      <c r="B1740" s="795" t="s">
        <v>1437</v>
      </c>
      <c r="C1740" s="799">
        <v>93131</v>
      </c>
    </row>
    <row r="1741" spans="2:3" x14ac:dyDescent="0.25">
      <c r="B1741" s="795" t="s">
        <v>1978</v>
      </c>
      <c r="C1741" s="799">
        <v>99401</v>
      </c>
    </row>
    <row r="1742" spans="2:3" x14ac:dyDescent="0.25">
      <c r="B1742" s="795" t="s">
        <v>1979</v>
      </c>
      <c r="C1742" s="799">
        <v>99404</v>
      </c>
    </row>
    <row r="1743" spans="2:3" x14ac:dyDescent="0.25">
      <c r="B1743" s="795" t="s">
        <v>1213</v>
      </c>
      <c r="C1743" s="799">
        <v>90741</v>
      </c>
    </row>
    <row r="1744" spans="2:3" x14ac:dyDescent="0.25">
      <c r="B1744" s="795" t="s">
        <v>1210</v>
      </c>
      <c r="C1744" s="799">
        <v>90711</v>
      </c>
    </row>
    <row r="1745" spans="2:3" x14ac:dyDescent="0.25">
      <c r="B1745" s="795" t="s">
        <v>1985</v>
      </c>
      <c r="C1745" s="799">
        <v>99501</v>
      </c>
    </row>
    <row r="1746" spans="2:3" x14ac:dyDescent="0.25">
      <c r="B1746" s="795" t="s">
        <v>1988</v>
      </c>
      <c r="C1746" s="799">
        <v>99509</v>
      </c>
    </row>
    <row r="1747" spans="2:3" x14ac:dyDescent="0.25">
      <c r="B1747" s="795" t="s">
        <v>1292</v>
      </c>
      <c r="C1747" s="805">
        <v>91302</v>
      </c>
    </row>
    <row r="1748" spans="2:3" x14ac:dyDescent="0.25">
      <c r="B1748" s="795" t="s">
        <v>1941</v>
      </c>
      <c r="C1748" s="799">
        <v>99047</v>
      </c>
    </row>
    <row r="1749" spans="2:3" x14ac:dyDescent="0.25">
      <c r="B1749" s="795" t="s">
        <v>1940</v>
      </c>
      <c r="C1749" s="799">
        <v>99041</v>
      </c>
    </row>
    <row r="1750" spans="2:3" x14ac:dyDescent="0.25">
      <c r="B1750" s="795" t="s">
        <v>1993</v>
      </c>
      <c r="C1750" s="799">
        <v>99601</v>
      </c>
    </row>
    <row r="1751" spans="2:3" x14ac:dyDescent="0.25">
      <c r="B1751" s="795" t="s">
        <v>1996</v>
      </c>
      <c r="C1751" s="799">
        <v>99604</v>
      </c>
    </row>
    <row r="1752" spans="2:3" x14ac:dyDescent="0.25">
      <c r="B1752" s="795" t="s">
        <v>1563</v>
      </c>
      <c r="C1752" s="799">
        <v>94412</v>
      </c>
    </row>
    <row r="1753" spans="2:3" x14ac:dyDescent="0.25">
      <c r="B1753" s="795" t="s">
        <v>1562</v>
      </c>
      <c r="C1753" s="799">
        <v>94411</v>
      </c>
    </row>
    <row r="1754" spans="2:3" x14ac:dyDescent="0.25">
      <c r="B1754" s="795" t="s">
        <v>1272</v>
      </c>
      <c r="C1754" s="799">
        <v>91147</v>
      </c>
    </row>
    <row r="1755" spans="2:3" x14ac:dyDescent="0.25">
      <c r="B1755" s="795" t="s">
        <v>1271</v>
      </c>
      <c r="C1755" s="799">
        <v>91141</v>
      </c>
    </row>
    <row r="1756" spans="2:3" x14ac:dyDescent="0.25">
      <c r="B1756" s="795" t="s">
        <v>1944</v>
      </c>
      <c r="C1756" s="799">
        <v>99071</v>
      </c>
    </row>
    <row r="1757" spans="2:3" x14ac:dyDescent="0.25">
      <c r="B1757" s="795" t="s">
        <v>1546</v>
      </c>
      <c r="C1757" s="799">
        <v>94231</v>
      </c>
    </row>
    <row r="1758" spans="2:3" x14ac:dyDescent="0.25">
      <c r="B1758" s="795" t="s">
        <v>1966</v>
      </c>
      <c r="C1758" s="799">
        <v>99231</v>
      </c>
    </row>
    <row r="1759" spans="2:3" x14ac:dyDescent="0.25">
      <c r="B1759" s="795" t="s">
        <v>1946</v>
      </c>
      <c r="C1759" s="799">
        <v>99091</v>
      </c>
    </row>
    <row r="1760" spans="2:3" x14ac:dyDescent="0.25">
      <c r="B1760" s="795" t="s">
        <v>1266</v>
      </c>
      <c r="C1760" s="799">
        <v>91120</v>
      </c>
    </row>
    <row r="1761" spans="2:3" x14ac:dyDescent="0.25">
      <c r="B1761" s="795" t="s">
        <v>3547</v>
      </c>
      <c r="C1761" s="799">
        <v>92444</v>
      </c>
    </row>
    <row r="1762" spans="2:3" x14ac:dyDescent="0.25">
      <c r="B1762" s="795" t="s">
        <v>1196</v>
      </c>
      <c r="C1762" s="799">
        <v>90507</v>
      </c>
    </row>
    <row r="1763" spans="2:3" x14ac:dyDescent="0.25">
      <c r="B1763" s="795" t="s">
        <v>1198</v>
      </c>
      <c r="C1763" s="799">
        <v>90521</v>
      </c>
    </row>
    <row r="1764" spans="2:3" x14ac:dyDescent="0.25">
      <c r="B1764" s="795" t="s">
        <v>1396</v>
      </c>
      <c r="C1764" s="799">
        <v>92602</v>
      </c>
    </row>
    <row r="1765" spans="2:3" x14ac:dyDescent="0.25">
      <c r="B1765" s="795" t="s">
        <v>1315</v>
      </c>
      <c r="C1765" s="799">
        <v>91608</v>
      </c>
    </row>
    <row r="1766" spans="2:3" x14ac:dyDescent="0.25">
      <c r="B1766" s="795" t="s">
        <v>1265</v>
      </c>
      <c r="C1766" s="799">
        <v>91119</v>
      </c>
    </row>
    <row r="1767" spans="2:3" x14ac:dyDescent="0.25">
      <c r="B1767" s="795" t="s">
        <v>1261</v>
      </c>
      <c r="C1767" s="799">
        <v>91107</v>
      </c>
    </row>
    <row r="1768" spans="2:3" x14ac:dyDescent="0.25">
      <c r="B1768" s="795" t="s">
        <v>1334</v>
      </c>
      <c r="C1768" s="799">
        <v>91818</v>
      </c>
    </row>
    <row r="1769" spans="2:3" x14ac:dyDescent="0.25">
      <c r="B1769" s="795" t="s">
        <v>1335</v>
      </c>
      <c r="C1769" s="799">
        <v>91819</v>
      </c>
    </row>
    <row r="1770" spans="2:3" x14ac:dyDescent="0.25">
      <c r="B1770" s="795" t="s">
        <v>1708</v>
      </c>
      <c r="C1770" s="799">
        <v>96371</v>
      </c>
    </row>
    <row r="1771" spans="2:3" x14ac:dyDescent="0.25">
      <c r="B1771" s="795" t="s">
        <v>1717</v>
      </c>
      <c r="C1771" s="799">
        <v>96441</v>
      </c>
    </row>
    <row r="1772" spans="2:3" x14ac:dyDescent="0.25">
      <c r="B1772" s="795" t="s">
        <v>1227</v>
      </c>
      <c r="C1772" s="799">
        <v>90921</v>
      </c>
    </row>
    <row r="1773" spans="2:3" x14ac:dyDescent="0.25">
      <c r="B1773" s="795" t="s">
        <v>1374</v>
      </c>
      <c r="C1773" s="799">
        <v>92417</v>
      </c>
    </row>
    <row r="1774" spans="2:3" x14ac:dyDescent="0.25">
      <c r="B1774" s="795" t="s">
        <v>1371</v>
      </c>
      <c r="C1774" s="799">
        <v>92403</v>
      </c>
    </row>
    <row r="1775" spans="2:3" x14ac:dyDescent="0.25">
      <c r="B1775" s="795" t="s">
        <v>1372</v>
      </c>
      <c r="C1775" s="799">
        <v>92411</v>
      </c>
    </row>
    <row r="1776" spans="2:3" x14ac:dyDescent="0.25">
      <c r="B1776" s="795" t="s">
        <v>2005</v>
      </c>
      <c r="C1776" s="799">
        <v>99701</v>
      </c>
    </row>
    <row r="1777" spans="2:3" x14ac:dyDescent="0.25">
      <c r="B1777" s="795" t="s">
        <v>2010</v>
      </c>
      <c r="C1777" s="799">
        <v>99727</v>
      </c>
    </row>
    <row r="1778" spans="2:3" x14ac:dyDescent="0.25">
      <c r="B1778" s="795" t="s">
        <v>2009</v>
      </c>
      <c r="C1778" s="799">
        <v>99721</v>
      </c>
    </row>
    <row r="1779" spans="2:3" x14ac:dyDescent="0.25">
      <c r="B1779" s="795" t="s">
        <v>1660</v>
      </c>
      <c r="C1779" s="799">
        <v>95813</v>
      </c>
    </row>
    <row r="1780" spans="2:3" x14ac:dyDescent="0.25">
      <c r="B1780" s="795" t="s">
        <v>1659</v>
      </c>
      <c r="C1780" s="799">
        <v>95811</v>
      </c>
    </row>
    <row r="1781" spans="2:3" x14ac:dyDescent="0.25">
      <c r="B1781" s="795" t="s">
        <v>1722</v>
      </c>
      <c r="C1781" s="799">
        <v>96503</v>
      </c>
    </row>
    <row r="1782" spans="2:3" x14ac:dyDescent="0.25">
      <c r="B1782" s="795" t="s">
        <v>1730</v>
      </c>
      <c r="C1782" s="799">
        <v>96531</v>
      </c>
    </row>
    <row r="1783" spans="2:3" x14ac:dyDescent="0.25">
      <c r="B1783" s="795" t="s">
        <v>2011</v>
      </c>
      <c r="C1783" s="799">
        <v>99801</v>
      </c>
    </row>
    <row r="1784" spans="2:3" x14ac:dyDescent="0.25">
      <c r="B1784" s="795" t="s">
        <v>2013</v>
      </c>
      <c r="C1784" s="799">
        <v>99804</v>
      </c>
    </row>
    <row r="1785" spans="2:3" x14ac:dyDescent="0.25">
      <c r="B1785" s="795" t="s">
        <v>2012</v>
      </c>
      <c r="C1785" s="799">
        <v>99802</v>
      </c>
    </row>
    <row r="1786" spans="2:3" x14ac:dyDescent="0.25">
      <c r="B1786" s="795" t="s">
        <v>2015</v>
      </c>
      <c r="C1786" s="799">
        <v>99812</v>
      </c>
    </row>
    <row r="1787" spans="2:3" x14ac:dyDescent="0.25">
      <c r="B1787" s="795" t="s">
        <v>2014</v>
      </c>
      <c r="C1787" s="799">
        <v>99811</v>
      </c>
    </row>
    <row r="1788" spans="2:3" x14ac:dyDescent="0.25">
      <c r="B1788" s="795" t="s">
        <v>1624</v>
      </c>
      <c r="C1788" s="799">
        <v>95191</v>
      </c>
    </row>
    <row r="1789" spans="2:3" x14ac:dyDescent="0.25">
      <c r="B1789" s="795" t="s">
        <v>1220</v>
      </c>
      <c r="C1789" s="799">
        <v>90812</v>
      </c>
    </row>
    <row r="1790" spans="2:3" x14ac:dyDescent="0.25">
      <c r="B1790" s="795" t="s">
        <v>1782</v>
      </c>
      <c r="C1790" s="799">
        <v>97221</v>
      </c>
    </row>
    <row r="1791" spans="2:3" x14ac:dyDescent="0.25">
      <c r="B1791" s="795" t="s">
        <v>1939</v>
      </c>
      <c r="C1791" s="799">
        <v>99031</v>
      </c>
    </row>
    <row r="1792" spans="2:3" x14ac:dyDescent="0.25">
      <c r="B1792" s="795" t="s">
        <v>1468</v>
      </c>
      <c r="C1792" s="799">
        <v>93413</v>
      </c>
    </row>
    <row r="1793" spans="2:3" x14ac:dyDescent="0.25">
      <c r="B1793" s="795" t="s">
        <v>1467</v>
      </c>
      <c r="C1793" s="799">
        <v>93411</v>
      </c>
    </row>
    <row r="1794" spans="2:3" x14ac:dyDescent="0.25">
      <c r="B1794" s="795" t="s">
        <v>1797</v>
      </c>
      <c r="C1794" s="799">
        <v>97451</v>
      </c>
    </row>
    <row r="1795" spans="2:3" x14ac:dyDescent="0.25">
      <c r="B1795" s="795" t="s">
        <v>1585</v>
      </c>
      <c r="C1795" s="799">
        <v>94631</v>
      </c>
    </row>
    <row r="1796" spans="2:3" x14ac:dyDescent="0.25">
      <c r="B1796" s="795" t="s">
        <v>1260</v>
      </c>
      <c r="C1796" s="799">
        <v>91104</v>
      </c>
    </row>
    <row r="1797" spans="2:3" x14ac:dyDescent="0.25">
      <c r="B1797" s="795" t="s">
        <v>1263</v>
      </c>
      <c r="C1797" s="799">
        <v>91109</v>
      </c>
    </row>
    <row r="1798" spans="2:3" x14ac:dyDescent="0.25">
      <c r="B1798" s="795" t="s">
        <v>1276</v>
      </c>
      <c r="C1798" s="799">
        <v>91171</v>
      </c>
    </row>
    <row r="1799" spans="2:3" x14ac:dyDescent="0.25">
      <c r="B1799" s="795" t="s">
        <v>1736</v>
      </c>
      <c r="C1799" s="799">
        <v>96621</v>
      </c>
    </row>
    <row r="1800" spans="2:3" x14ac:dyDescent="0.25">
      <c r="B1800" s="795" t="s">
        <v>1726</v>
      </c>
      <c r="C1800" s="799">
        <v>96511</v>
      </c>
    </row>
    <row r="1801" spans="2:3" x14ac:dyDescent="0.25">
      <c r="B1801" s="795" t="s">
        <v>2021</v>
      </c>
      <c r="C1801" s="799">
        <v>99901</v>
      </c>
    </row>
    <row r="1802" spans="2:3" x14ac:dyDescent="0.25">
      <c r="B1802" s="795" t="s">
        <v>3548</v>
      </c>
      <c r="C1802" s="799">
        <v>98604</v>
      </c>
    </row>
    <row r="1803" spans="2:3" x14ac:dyDescent="0.25">
      <c r="B1803" s="795" t="s">
        <v>1916</v>
      </c>
      <c r="C1803" s="799">
        <v>98608</v>
      </c>
    </row>
    <row r="1804" spans="2:3" x14ac:dyDescent="0.25">
      <c r="B1804" s="795" t="s">
        <v>2022</v>
      </c>
      <c r="C1804" s="799">
        <v>99911</v>
      </c>
    </row>
    <row r="1805" spans="2:3" x14ac:dyDescent="0.25">
      <c r="B1805" s="795" t="s">
        <v>1164</v>
      </c>
      <c r="C1805" s="799">
        <v>90001</v>
      </c>
    </row>
    <row r="1806" spans="2:3" x14ac:dyDescent="0.25">
      <c r="B1806" s="795" t="s">
        <v>1165</v>
      </c>
      <c r="C1806" s="799">
        <v>90002</v>
      </c>
    </row>
    <row r="1807" spans="2:3" x14ac:dyDescent="0.25">
      <c r="B1807" s="795" t="s">
        <v>1328</v>
      </c>
      <c r="C1807" s="799">
        <v>91719</v>
      </c>
    </row>
    <row r="1808" spans="2:3" x14ac:dyDescent="0.25">
      <c r="B1808" s="795" t="s">
        <v>1483</v>
      </c>
      <c r="C1808" s="799">
        <v>93541</v>
      </c>
    </row>
    <row r="1809" spans="2:3" x14ac:dyDescent="0.25">
      <c r="B1809" s="795" t="s">
        <v>1967</v>
      </c>
      <c r="C1809" s="799">
        <v>99241</v>
      </c>
    </row>
    <row r="1810" spans="2:3" x14ac:dyDescent="0.25">
      <c r="B1810" s="795" t="s">
        <v>2623</v>
      </c>
      <c r="C1810" s="822" t="s">
        <v>2624</v>
      </c>
    </row>
  </sheetData>
  <customSheetViews>
    <customSheetView guid="{C1197650-3ED8-49E4-8E4C-0D1D4B503FC0}" scale="90" fitToPage="1" state="hidden" topLeftCell="A891">
      <selection activeCell="O7" sqref="O7"/>
      <pageMargins left="0.25" right="0.25" top="0.5" bottom="0.5" header="0.3" footer="0.3"/>
      <pageSetup scale="46" fitToHeight="0" orientation="landscape" r:id="rId1"/>
    </customSheetView>
    <customSheetView guid="{D2B860EA-92EC-4999-9A59-C624E1F8C7FB}" scale="90" fitToPage="1" state="hidden" topLeftCell="A891">
      <selection activeCell="O7" sqref="O7"/>
      <pageMargins left="0.25" right="0.25" top="0.5" bottom="0.5" header="0.3" footer="0.3"/>
      <pageSetup scale="46" fitToHeight="0" orientation="landscape" r:id="rId2"/>
    </customSheetView>
  </customSheetViews>
  <conditionalFormatting sqref="V2:V3">
    <cfRule type="containsErrors" dxfId="33" priority="1">
      <formula>ISERROR(V2)</formula>
    </cfRule>
  </conditionalFormatting>
  <pageMargins left="0.25" right="0.25" top="0.5" bottom="0.5" header="0.3" footer="0.3"/>
  <pageSetup scale="46" fitToHeight="0" orientation="landscape"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AA118"/>
  <sheetViews>
    <sheetView zoomScale="80" zoomScaleNormal="80" workbookViewId="0"/>
  </sheetViews>
  <sheetFormatPr defaultRowHeight="12.75" x14ac:dyDescent="0.2"/>
  <cols>
    <col min="1" max="1" width="15.28515625" customWidth="1"/>
    <col min="2" max="2" width="55.5703125" bestFit="1" customWidth="1"/>
    <col min="3" max="3" width="22.5703125" customWidth="1"/>
    <col min="4" max="4" width="21.42578125" customWidth="1"/>
    <col min="5" max="5" width="18.28515625" customWidth="1"/>
    <col min="6" max="6" width="37.42578125" customWidth="1"/>
    <col min="7" max="7" width="18.28515625" customWidth="1"/>
    <col min="8" max="8" width="20" customWidth="1"/>
    <col min="9" max="9" width="19.7109375" customWidth="1"/>
    <col min="10" max="10" width="19.42578125" customWidth="1"/>
    <col min="11" max="11" width="39" customWidth="1"/>
    <col min="12" max="12" width="18.28515625" customWidth="1"/>
    <col min="13" max="13" width="20" customWidth="1"/>
    <col min="14" max="14" width="16.7109375" customWidth="1"/>
    <col min="15" max="15" width="19.42578125" customWidth="1"/>
    <col min="16" max="16" width="38.28515625" customWidth="1"/>
    <col min="17" max="17" width="13.85546875" customWidth="1"/>
    <col min="18" max="18" width="22.42578125" customWidth="1"/>
    <col min="19" max="19" width="12.42578125" customWidth="1"/>
    <col min="20" max="20" width="11.7109375" customWidth="1"/>
    <col min="21" max="21" width="36.28515625" customWidth="1"/>
    <col min="22" max="22" width="15" bestFit="1" customWidth="1"/>
  </cols>
  <sheetData>
    <row r="2" spans="1:27" ht="15.75" x14ac:dyDescent="0.25">
      <c r="A2" s="1566" t="s">
        <v>2038</v>
      </c>
      <c r="B2" s="1567"/>
      <c r="C2" s="1568"/>
    </row>
    <row r="5" spans="1:27" ht="52.15" customHeight="1" x14ac:dyDescent="0.2">
      <c r="A5" s="1580" t="s">
        <v>4189</v>
      </c>
      <c r="B5" s="1580"/>
      <c r="C5" s="1580"/>
    </row>
    <row r="11" spans="1:27" ht="15" x14ac:dyDescent="0.2">
      <c r="A11" s="677" t="s">
        <v>540</v>
      </c>
      <c r="B11" s="678" t="s">
        <v>2039</v>
      </c>
      <c r="C11" s="679"/>
    </row>
    <row r="14" spans="1:27" x14ac:dyDescent="0.2">
      <c r="B14" s="19" t="s">
        <v>2037</v>
      </c>
      <c r="C14" s="751" t="s">
        <v>2625</v>
      </c>
    </row>
    <row r="16" spans="1:27" ht="38.25" x14ac:dyDescent="0.2">
      <c r="A16" s="685" t="s">
        <v>541</v>
      </c>
      <c r="B16" s="757" t="s">
        <v>4091</v>
      </c>
      <c r="C16" s="788">
        <v>3200</v>
      </c>
      <c r="D16" s="756"/>
      <c r="E16" s="756"/>
      <c r="F16" s="756"/>
      <c r="G16" s="756"/>
      <c r="H16" s="756"/>
      <c r="I16" s="756"/>
      <c r="J16" s="756"/>
      <c r="K16" s="756"/>
      <c r="L16" s="756"/>
      <c r="M16" s="756"/>
      <c r="N16" s="756"/>
      <c r="O16" s="756"/>
      <c r="P16" s="756"/>
      <c r="Q16" s="756"/>
      <c r="R16" s="756"/>
      <c r="S16" s="756"/>
      <c r="T16" s="756"/>
      <c r="U16" s="756"/>
      <c r="V16" s="756"/>
      <c r="W16" s="756"/>
      <c r="X16" s="756"/>
      <c r="Y16" s="756"/>
      <c r="Z16" s="756"/>
      <c r="AA16" s="756"/>
    </row>
    <row r="17" spans="1:27" s="754" customFormat="1" x14ac:dyDescent="0.2">
      <c r="A17" s="756"/>
      <c r="B17" s="756"/>
      <c r="C17" s="756"/>
      <c r="D17" s="756"/>
      <c r="E17" s="756"/>
      <c r="F17" s="756"/>
      <c r="G17" s="756"/>
      <c r="H17" s="756"/>
      <c r="I17" s="756"/>
      <c r="J17" s="756"/>
      <c r="K17" s="756"/>
      <c r="L17" s="756"/>
      <c r="M17" s="756"/>
      <c r="N17" s="756"/>
      <c r="O17" s="756"/>
      <c r="P17" s="756"/>
      <c r="Q17" s="756"/>
      <c r="R17" s="756"/>
      <c r="S17" s="756"/>
      <c r="T17" s="756"/>
      <c r="U17" s="756"/>
      <c r="V17" s="756"/>
      <c r="W17" s="756"/>
      <c r="X17" s="756"/>
      <c r="Y17" s="756"/>
      <c r="Z17" s="756"/>
      <c r="AA17" s="756"/>
    </row>
    <row r="18" spans="1:27" s="754" customFormat="1" x14ac:dyDescent="0.2">
      <c r="C18" s="754">
        <v>2</v>
      </c>
      <c r="D18" s="754">
        <v>3</v>
      </c>
      <c r="F18" s="754">
        <v>4</v>
      </c>
      <c r="G18" s="754">
        <v>5</v>
      </c>
      <c r="H18" s="754">
        <v>6</v>
      </c>
      <c r="I18" s="754">
        <v>7</v>
      </c>
      <c r="J18" s="754">
        <v>8</v>
      </c>
      <c r="K18" s="754">
        <v>9</v>
      </c>
      <c r="L18" s="754">
        <v>10</v>
      </c>
      <c r="M18" s="754">
        <v>11</v>
      </c>
      <c r="N18" s="754">
        <v>12</v>
      </c>
      <c r="O18" s="754">
        <v>13</v>
      </c>
      <c r="P18" s="754">
        <v>14</v>
      </c>
      <c r="Q18" s="754">
        <v>15</v>
      </c>
      <c r="R18" s="754">
        <v>16</v>
      </c>
      <c r="S18" s="754">
        <v>17</v>
      </c>
      <c r="T18" s="754">
        <v>18</v>
      </c>
      <c r="U18" s="754">
        <v>19</v>
      </c>
      <c r="V18" s="754">
        <v>20</v>
      </c>
      <c r="W18" s="756"/>
      <c r="X18" s="756"/>
      <c r="Y18" s="756"/>
      <c r="Z18" s="756"/>
      <c r="AA18" s="756"/>
    </row>
    <row r="19" spans="1:27" s="754" customFormat="1" ht="15" x14ac:dyDescent="0.25">
      <c r="F19" s="60"/>
      <c r="G19" s="60"/>
      <c r="J19" s="675" t="s">
        <v>1147</v>
      </c>
      <c r="K19" s="675"/>
      <c r="L19" s="675"/>
      <c r="M19" s="675"/>
      <c r="O19" s="675" t="s">
        <v>1148</v>
      </c>
      <c r="P19" s="675"/>
      <c r="Q19" s="675"/>
      <c r="R19" s="675"/>
      <c r="T19" s="675" t="s">
        <v>1149</v>
      </c>
      <c r="U19" s="675"/>
      <c r="V19" s="675"/>
      <c r="W19" s="756"/>
      <c r="X19" s="756"/>
      <c r="Y19" s="756"/>
      <c r="Z19" s="756"/>
      <c r="AA19" s="756"/>
    </row>
    <row r="20" spans="1:27" s="754" customFormat="1" ht="105" x14ac:dyDescent="0.25">
      <c r="A20" s="676"/>
      <c r="B20" s="676" t="s">
        <v>1151</v>
      </c>
      <c r="C20" s="676" t="s">
        <v>2090</v>
      </c>
      <c r="D20" s="676" t="s">
        <v>2091</v>
      </c>
      <c r="E20" s="676" t="s">
        <v>2092</v>
      </c>
      <c r="F20" s="676" t="s">
        <v>2093</v>
      </c>
      <c r="G20" s="676" t="s">
        <v>3584</v>
      </c>
      <c r="H20" s="676" t="s">
        <v>3585</v>
      </c>
      <c r="I20" s="676"/>
      <c r="J20" s="676" t="s">
        <v>1153</v>
      </c>
      <c r="K20" s="676" t="s">
        <v>1154</v>
      </c>
      <c r="L20" s="676" t="s">
        <v>1155</v>
      </c>
      <c r="M20" s="676" t="s">
        <v>1156</v>
      </c>
      <c r="N20" s="676"/>
      <c r="O20" s="676" t="s">
        <v>1153</v>
      </c>
      <c r="P20" s="676" t="s">
        <v>1154</v>
      </c>
      <c r="Q20" s="676" t="s">
        <v>1155</v>
      </c>
      <c r="R20" s="676" t="s">
        <v>1156</v>
      </c>
      <c r="S20" s="676"/>
      <c r="T20" s="676" t="s">
        <v>1157</v>
      </c>
      <c r="U20" s="676" t="s">
        <v>1158</v>
      </c>
      <c r="V20" s="676" t="s">
        <v>2096</v>
      </c>
      <c r="W20" s="756"/>
      <c r="X20" s="756"/>
      <c r="Y20" s="756"/>
      <c r="Z20" s="756"/>
      <c r="AA20" s="756"/>
    </row>
    <row r="21" spans="1:27" s="754" customFormat="1" ht="15" x14ac:dyDescent="0.25">
      <c r="A21" s="676"/>
      <c r="B21" s="676"/>
      <c r="C21" s="676"/>
      <c r="D21" s="676"/>
      <c r="E21" s="676"/>
      <c r="F21" s="676"/>
      <c r="G21" s="676"/>
      <c r="H21" s="676"/>
      <c r="I21" s="676"/>
      <c r="J21" s="676"/>
      <c r="K21" s="676"/>
      <c r="L21" s="676"/>
      <c r="M21" s="676"/>
      <c r="N21" s="676"/>
      <c r="O21" s="676"/>
      <c r="P21" s="676"/>
      <c r="Q21" s="676"/>
      <c r="R21" s="676"/>
      <c r="S21" s="676"/>
      <c r="T21" s="676"/>
      <c r="U21" s="676"/>
      <c r="V21" s="676"/>
      <c r="W21" s="756"/>
      <c r="X21" s="756"/>
      <c r="Y21" s="756"/>
      <c r="Z21" s="756"/>
      <c r="AA21" s="756"/>
    </row>
    <row r="22" spans="1:27" s="754" customFormat="1" ht="15" x14ac:dyDescent="0.25">
      <c r="A22" s="676" t="s">
        <v>2097</v>
      </c>
      <c r="B22" s="676"/>
      <c r="C22" s="676"/>
      <c r="D22" s="676"/>
      <c r="E22" s="676"/>
      <c r="F22" s="676"/>
      <c r="G22" s="676"/>
      <c r="H22" s="676"/>
      <c r="I22" s="676"/>
      <c r="J22" s="676"/>
      <c r="K22" s="676"/>
      <c r="L22" s="676"/>
      <c r="M22" s="676"/>
      <c r="N22" s="676"/>
      <c r="O22" s="676"/>
      <c r="P22" s="676"/>
      <c r="Q22" s="676"/>
      <c r="R22" s="676"/>
      <c r="S22" s="676"/>
      <c r="T22" s="676"/>
      <c r="U22" s="676"/>
      <c r="V22" s="676"/>
      <c r="W22" s="756"/>
      <c r="X22" s="756"/>
      <c r="Y22" s="756"/>
      <c r="Z22" s="756"/>
      <c r="AA22" s="756"/>
    </row>
    <row r="23" spans="1:27" s="754" customFormat="1" x14ac:dyDescent="0.2">
      <c r="B23" s="776" t="str">
        <f>C14</f>
        <v>CAROLINA COUNTY</v>
      </c>
      <c r="C23" s="777">
        <f>VLOOKUP($B$23,'2019 Summary ROD'!$A$6:$R$107,2,FALSE)</f>
        <v>4.5899000000000001E-3</v>
      </c>
      <c r="D23" s="777">
        <f>VLOOKUP($B$23,'2019 Summary ROD'!$A$6:$R$107,3,FALSE)</f>
        <v>4.5522000000000002E-3</v>
      </c>
      <c r="E23" s="777">
        <f>C23-D23</f>
        <v>3.7700000000000002E-5</v>
      </c>
      <c r="F23" s="36">
        <f>VLOOKUP($B$23,'2018 Contributions ROD'!$A$2:$BT$103,2,FALSE)</f>
        <v>3928</v>
      </c>
      <c r="G23" s="36">
        <f>H28</f>
        <v>-77702</v>
      </c>
      <c r="H23" s="36">
        <f>VLOOKUP($B$23,'2019 Summary ROD'!$A$6:$R$107,4,FALSE)</f>
        <v>-76023</v>
      </c>
      <c r="I23" s="36"/>
      <c r="J23" s="36">
        <f>VLOOKUP($B$23,'2019 Summary ROD'!$A$6:$R$107,6,FALSE)</f>
        <v>670</v>
      </c>
      <c r="K23" s="36">
        <f>VLOOKUP($B$23,'2019 Summary ROD'!$A$6:$R$107,7,FALSE)</f>
        <v>12117</v>
      </c>
      <c r="L23" s="36">
        <f>VLOOKUP($B$23,'2019 Summary ROD'!$A$6:$R$107,8,FALSE)</f>
        <v>3576</v>
      </c>
      <c r="M23" s="36">
        <f>VLOOKUP($B$23,'2019 Summary ROD'!$A$6:$R$107,9,FALSE)</f>
        <v>0</v>
      </c>
      <c r="N23" s="36"/>
      <c r="O23" s="36">
        <f>VLOOKUP($B$23,'2019 Summary ROD'!$A$6:$R$107,11,FALSE)</f>
        <v>3470</v>
      </c>
      <c r="P23" s="36">
        <f>VLOOKUP($B$23,'2019 Summary ROD'!$A$6:$R$107,12,FALSE)</f>
        <v>0</v>
      </c>
      <c r="Q23" s="36">
        <f>VLOOKUP($B$23,'2019 Summary ROD'!$A$6:$R$107,13,FALSE)</f>
        <v>0</v>
      </c>
      <c r="R23" s="36">
        <f>VLOOKUP($B$23,'2019 Summary ROD'!$A$6:$R$107,14,FALSE)</f>
        <v>1642</v>
      </c>
      <c r="S23" s="36"/>
      <c r="T23" s="36">
        <f>VLOOKUP($B$23,'2019 Summary ROD'!$A$6:$R$107,16,FALSE)</f>
        <v>14330</v>
      </c>
      <c r="U23" s="36">
        <f>VLOOKUP($B$23,'2019 Summary ROD'!$A$6:$R$107,17,FALSE)</f>
        <v>-2144</v>
      </c>
      <c r="V23" s="36">
        <f>VLOOKUP($B$23,'2019 Summary ROD'!$A$6:$R$107,18,FALSE)</f>
        <v>12186</v>
      </c>
      <c r="W23" s="756"/>
      <c r="X23" s="756"/>
      <c r="Y23" s="756"/>
      <c r="Z23" s="756"/>
      <c r="AA23" s="756"/>
    </row>
    <row r="24" spans="1:27" s="754" customFormat="1" x14ac:dyDescent="0.2">
      <c r="W24" s="756"/>
      <c r="X24" s="756"/>
      <c r="Y24" s="756"/>
      <c r="Z24" s="756"/>
      <c r="AA24" s="756"/>
    </row>
    <row r="25" spans="1:27" s="754" customFormat="1" x14ac:dyDescent="0.2">
      <c r="A25" s="19"/>
      <c r="B25" s="697" t="s">
        <v>4090</v>
      </c>
      <c r="F25" s="775">
        <f>'2018 Contributions ROD'!B104</f>
        <v>855778</v>
      </c>
      <c r="G25" s="775">
        <f>'N.2a ROD 2018 PY'!F107</f>
        <v>-17069002</v>
      </c>
      <c r="H25" s="775">
        <f>'2019 Summary ROD'!D108</f>
        <v>-16563001</v>
      </c>
      <c r="I25" s="775"/>
      <c r="J25" s="775">
        <f>'2019 Summary ROD'!F108</f>
        <v>146001</v>
      </c>
      <c r="K25" s="775">
        <f>'2019 Summary ROD'!G108</f>
        <v>2639999</v>
      </c>
      <c r="L25" s="775">
        <f>'2019 Summary ROD'!H108</f>
        <v>778996</v>
      </c>
      <c r="M25" s="775">
        <f>'2019 Summary ROD'!I108</f>
        <v>819852</v>
      </c>
      <c r="N25" s="775"/>
      <c r="O25" s="775">
        <f>'2019 Summary ROD'!K108</f>
        <v>755999</v>
      </c>
      <c r="P25" s="775">
        <f>'2019 Summary ROD'!L108</f>
        <v>0</v>
      </c>
      <c r="Q25" s="775">
        <f>'2019 Summary ROD'!M108</f>
        <v>0</v>
      </c>
      <c r="R25" s="775">
        <f>'2019 Summary ROD'!N108</f>
        <v>819859</v>
      </c>
      <c r="S25" s="775"/>
      <c r="T25" s="775">
        <f>'2019 Summary ROD'!P108</f>
        <v>3122002</v>
      </c>
      <c r="U25" s="775">
        <f>'2019 Summary ROD'!Q108</f>
        <v>20</v>
      </c>
      <c r="V25" s="775">
        <f>'2019 Summary ROD'!R108</f>
        <v>3122022</v>
      </c>
      <c r="W25" s="756"/>
      <c r="X25" s="756"/>
      <c r="Y25" s="756"/>
      <c r="Z25" s="756"/>
      <c r="AA25" s="756"/>
    </row>
    <row r="26" spans="1:27" s="754" customFormat="1" x14ac:dyDescent="0.2">
      <c r="A26" s="19"/>
      <c r="F26" s="775"/>
      <c r="G26" s="775"/>
      <c r="H26" s="775"/>
      <c r="J26" s="775"/>
      <c r="K26" s="775"/>
      <c r="L26" s="775"/>
      <c r="M26" s="775"/>
      <c r="O26" s="775"/>
      <c r="P26" s="775"/>
      <c r="Q26" s="775"/>
      <c r="R26" s="775"/>
      <c r="T26" s="775"/>
      <c r="U26" s="775"/>
      <c r="V26" s="775"/>
      <c r="W26" s="756"/>
      <c r="X26" s="756"/>
      <c r="Y26" s="756"/>
      <c r="Z26" s="756"/>
      <c r="AA26" s="756"/>
    </row>
    <row r="27" spans="1:27" s="754" customFormat="1" ht="15" x14ac:dyDescent="0.25">
      <c r="A27" s="761" t="s">
        <v>2099</v>
      </c>
      <c r="F27" s="775"/>
      <c r="G27" s="775"/>
      <c r="H27" s="775"/>
      <c r="J27" s="775"/>
      <c r="K27" s="775"/>
      <c r="L27" s="775"/>
      <c r="M27" s="775"/>
      <c r="O27" s="775"/>
      <c r="P27" s="775"/>
      <c r="Q27" s="775"/>
      <c r="R27" s="775"/>
      <c r="T27" s="775"/>
      <c r="U27" s="775"/>
      <c r="V27" s="775"/>
      <c r="W27" s="756"/>
      <c r="X27" s="756"/>
      <c r="Y27" s="756"/>
      <c r="Z27" s="756"/>
      <c r="AA27" s="756"/>
    </row>
    <row r="28" spans="1:27" s="754" customFormat="1" x14ac:dyDescent="0.2">
      <c r="A28" s="19"/>
      <c r="B28" s="776" t="str">
        <f>B23</f>
        <v>CAROLINA COUNTY</v>
      </c>
      <c r="C28" s="777">
        <f>VLOOKUP(B28,'N.2a ROD 2018 PY'!$A$6:$V$107,2,FALSE)</f>
        <v>4.5522000000000002E-3</v>
      </c>
      <c r="D28" s="777">
        <f>VLOOKUP(B28,'N.2a ROD 2018 PY'!$A$6:$V$107,3,FALSE)</f>
        <v>4.4989000000000001E-3</v>
      </c>
      <c r="E28" s="777">
        <f>C28-D28</f>
        <v>5.3300000000000001E-5</v>
      </c>
      <c r="F28" s="36">
        <f>VLOOKUP(B28,'N.2a ROD 2018 PY'!$A$6:$V$107,4,FALSE)</f>
        <v>3955</v>
      </c>
      <c r="G28" s="36">
        <f>VLOOKUP(B28,'N.2a ROD 2018 PY'!$A$6:$V$107,5,FALSE)</f>
        <v>-84111</v>
      </c>
      <c r="H28" s="36">
        <f>VLOOKUP(B28,'N.2a ROD 2018 PY'!$A$6:$V$107,6,FALSE)</f>
        <v>-77702</v>
      </c>
      <c r="I28" s="36"/>
      <c r="J28" s="36">
        <f>VLOOKUP(B28,'N.2a ROD 2018 PY'!$A$6:$V$107,8,FALSE)</f>
        <v>1334</v>
      </c>
      <c r="K28" s="36">
        <f>VLOOKUP(B28,'N.2a ROD 2018 PY'!$A$6:$V$107,9,FALSE)</f>
        <v>9591</v>
      </c>
      <c r="L28" s="36">
        <f>VLOOKUP(B28,'N.2a ROD 2018 PY'!$A$6:$V$107,10,FALSE)</f>
        <v>13110</v>
      </c>
      <c r="M28" s="36">
        <f>VLOOKUP(B28,'N.2a ROD 2018 PY'!$A$6:$V$107,11,FALSE)</f>
        <v>387</v>
      </c>
      <c r="N28" s="36"/>
      <c r="O28" s="36">
        <f>VLOOKUP(B28,'N.2a ROD 2018 PY'!$A$6:$V$107,13,FALSE)</f>
        <v>250</v>
      </c>
      <c r="P28" s="36">
        <f>VLOOKUP(B28,'N.2a ROD 2018 PY'!$A$6:$V$107,14,FALSE)</f>
        <v>2986</v>
      </c>
      <c r="Q28" s="36">
        <f>VLOOKUP(B28,'N.2a ROD 2018 PY'!$A$6:$V$107,15,FALSE)</f>
        <v>0</v>
      </c>
      <c r="R28" s="36">
        <f>VLOOKUP(B28,'N.2a ROD 2018 PY'!$A$6:$V$107,16,FALSE)</f>
        <v>3357</v>
      </c>
      <c r="S28" s="36"/>
      <c r="T28" s="36">
        <f>VLOOKUP(B28,'N.2a ROD 2018 PY'!$A$6:$V$107,18,FALSE)</f>
        <v>12373</v>
      </c>
      <c r="U28" s="36">
        <f>VLOOKUP(B28,'N.2a ROD 2018 PY'!$A$6:$V$107,19,FALSE)</f>
        <v>-221</v>
      </c>
      <c r="V28" s="36">
        <f>VLOOKUP(B28,'N.2a ROD 2018 PY'!$A$6:$V$107,20,FALSE)</f>
        <v>12152</v>
      </c>
      <c r="W28" s="756"/>
      <c r="X28" s="756"/>
      <c r="Y28" s="756"/>
      <c r="Z28" s="756"/>
      <c r="AA28" s="756"/>
    </row>
    <row r="29" spans="1:27" s="754" customFormat="1" x14ac:dyDescent="0.2">
      <c r="A29" s="19"/>
      <c r="F29" s="775"/>
      <c r="G29" s="775"/>
      <c r="H29" s="775"/>
      <c r="J29" s="775"/>
      <c r="K29" s="775"/>
      <c r="L29" s="775"/>
      <c r="M29" s="775"/>
      <c r="O29" s="775"/>
      <c r="P29" s="775"/>
      <c r="Q29" s="775"/>
      <c r="R29" s="775"/>
      <c r="T29" s="775"/>
      <c r="U29" s="775"/>
      <c r="V29" s="775"/>
      <c r="W29" s="756"/>
      <c r="X29" s="756"/>
      <c r="Y29" s="756"/>
      <c r="Z29" s="756"/>
      <c r="AA29" s="756"/>
    </row>
    <row r="30" spans="1:27" s="754" customFormat="1" x14ac:dyDescent="0.2">
      <c r="A30" s="19"/>
      <c r="B30" s="697" t="s">
        <v>4089</v>
      </c>
      <c r="F30" s="775">
        <f>'N.2a ROD 2018 PY'!D107</f>
        <v>868856</v>
      </c>
      <c r="G30" s="775">
        <f>'N.2a ROD 2018 PY'!E107</f>
        <v>-18696001</v>
      </c>
      <c r="H30" s="775">
        <f>'N.2a ROD 2018 PY'!F107</f>
        <v>-17069002</v>
      </c>
      <c r="I30" s="775"/>
      <c r="J30" s="775">
        <f>'N.2a ROD 2018 PY'!H107</f>
        <v>293003</v>
      </c>
      <c r="K30" s="775">
        <f>'N.2a ROD 2018 PY'!I107</f>
        <v>2107003</v>
      </c>
      <c r="L30" s="775">
        <f>'N.2a ROD 2018 PY'!J107</f>
        <v>2879999</v>
      </c>
      <c r="M30" s="775">
        <f>'N.2a ROD 2018 PY'!K107</f>
        <v>880444</v>
      </c>
      <c r="N30" s="775"/>
      <c r="O30" s="775">
        <f>'N.2a ROD 2018 PY'!M107</f>
        <v>55001</v>
      </c>
      <c r="P30" s="775">
        <f>'N.2a ROD 2018 PY'!N107</f>
        <v>655997</v>
      </c>
      <c r="Q30" s="775">
        <f>'N.2a ROD 2018 PY'!O107</f>
        <v>0</v>
      </c>
      <c r="R30" s="775">
        <f>'N.2a ROD 2018 PY'!P107</f>
        <v>880446</v>
      </c>
      <c r="S30" s="775"/>
      <c r="T30" s="775">
        <f>'N.2a ROD 2018 PY'!R107</f>
        <v>2718007</v>
      </c>
      <c r="U30" s="775">
        <f>'N.2a ROD 2018 PY'!S107</f>
        <v>-6</v>
      </c>
      <c r="V30" s="775">
        <f>'N.2a ROD 2018 PY'!T107</f>
        <v>2717997</v>
      </c>
      <c r="W30" s="756"/>
      <c r="X30" s="756"/>
      <c r="Y30" s="756"/>
      <c r="Z30" s="756"/>
      <c r="AA30" s="756"/>
    </row>
    <row r="31" spans="1:27" s="754" customFormat="1" x14ac:dyDescent="0.2">
      <c r="A31" s="19"/>
      <c r="F31" s="775"/>
      <c r="G31" s="775"/>
      <c r="H31" s="775"/>
      <c r="J31" s="775"/>
      <c r="K31" s="775"/>
      <c r="L31" s="775"/>
      <c r="M31" s="775"/>
      <c r="O31" s="775"/>
      <c r="P31" s="775"/>
      <c r="Q31" s="775"/>
      <c r="R31" s="775"/>
      <c r="T31" s="775"/>
      <c r="U31" s="775"/>
      <c r="V31" s="775"/>
      <c r="W31" s="756"/>
      <c r="X31" s="756"/>
      <c r="Y31" s="756"/>
      <c r="Z31" s="756"/>
      <c r="AA31" s="756"/>
    </row>
    <row r="32" spans="1:27" s="790" customFormat="1" ht="25.5" x14ac:dyDescent="0.2">
      <c r="A32" s="829"/>
      <c r="F32" s="847"/>
      <c r="G32" s="847"/>
      <c r="H32" s="847"/>
      <c r="J32" s="793" t="s">
        <v>3551</v>
      </c>
      <c r="K32" s="10">
        <f>K28-P28</f>
        <v>6605</v>
      </c>
      <c r="L32" s="847"/>
      <c r="M32" s="847"/>
      <c r="O32" s="847"/>
      <c r="P32" s="847"/>
      <c r="Q32" s="847"/>
      <c r="R32" s="847"/>
      <c r="T32" s="847"/>
      <c r="U32" s="847"/>
      <c r="V32" s="847"/>
    </row>
    <row r="33" spans="1:22" s="790" customFormat="1" ht="15" x14ac:dyDescent="0.25">
      <c r="A33" s="829"/>
      <c r="B33" s="825"/>
      <c r="F33" s="847"/>
      <c r="G33" s="847"/>
      <c r="H33" s="847"/>
      <c r="J33" s="847"/>
      <c r="K33" s="847"/>
      <c r="L33" s="847"/>
      <c r="M33" s="847"/>
      <c r="O33" s="847"/>
      <c r="P33" s="847"/>
      <c r="Q33" s="847"/>
      <c r="R33" s="847"/>
      <c r="T33" s="847"/>
      <c r="U33" s="847"/>
      <c r="V33" s="847"/>
    </row>
    <row r="34" spans="1:22" s="790" customFormat="1" x14ac:dyDescent="0.2">
      <c r="A34" s="829"/>
      <c r="B34" s="790" t="s">
        <v>3586</v>
      </c>
      <c r="D34" s="10"/>
      <c r="E34" s="826">
        <f>-G23</f>
        <v>77702</v>
      </c>
      <c r="F34" s="847"/>
      <c r="G34" s="847"/>
      <c r="H34" s="847"/>
      <c r="J34" s="847"/>
      <c r="K34" s="847"/>
      <c r="L34" s="847"/>
      <c r="M34" s="847"/>
      <c r="O34" s="847"/>
      <c r="P34" s="847"/>
      <c r="Q34" s="847"/>
      <c r="R34" s="847"/>
      <c r="T34" s="847"/>
      <c r="U34" s="847"/>
      <c r="V34" s="847"/>
    </row>
    <row r="35" spans="1:22" s="790" customFormat="1" ht="15" x14ac:dyDescent="0.25">
      <c r="A35" s="829"/>
      <c r="B35" s="790" t="s">
        <v>3587</v>
      </c>
      <c r="D35" s="10">
        <f>-H23</f>
        <v>76023</v>
      </c>
      <c r="E35" s="826"/>
      <c r="F35" s="676"/>
      <c r="G35" s="847"/>
      <c r="I35" s="847"/>
      <c r="J35" s="847"/>
      <c r="K35" s="847"/>
      <c r="L35" s="847"/>
      <c r="N35" s="847"/>
      <c r="P35" s="847"/>
      <c r="Q35" s="847"/>
      <c r="R35" s="847"/>
      <c r="T35" s="847"/>
      <c r="U35" s="847"/>
      <c r="V35" s="847"/>
    </row>
    <row r="36" spans="1:22" s="790" customFormat="1" x14ac:dyDescent="0.2">
      <c r="A36" s="829"/>
      <c r="B36" s="790" t="s">
        <v>3554</v>
      </c>
      <c r="D36" s="10">
        <f>V23</f>
        <v>12186</v>
      </c>
      <c r="E36" s="826"/>
      <c r="F36" s="847"/>
      <c r="G36" s="847"/>
      <c r="I36" s="847"/>
      <c r="J36" s="847"/>
      <c r="K36" s="847"/>
      <c r="L36" s="847"/>
      <c r="N36" s="847"/>
      <c r="P36" s="847"/>
      <c r="Q36" s="847"/>
      <c r="R36" s="847"/>
      <c r="T36" s="847"/>
      <c r="U36" s="847"/>
      <c r="V36" s="847"/>
    </row>
    <row r="37" spans="1:22" s="790" customFormat="1" x14ac:dyDescent="0.2">
      <c r="A37" s="829"/>
      <c r="B37" s="790" t="s">
        <v>3555</v>
      </c>
      <c r="D37" s="10"/>
      <c r="E37" s="826">
        <f>J28</f>
        <v>1334</v>
      </c>
      <c r="F37" s="847"/>
      <c r="G37" s="847"/>
      <c r="I37" s="847"/>
      <c r="J37" s="847"/>
      <c r="K37" s="847"/>
      <c r="L37" s="847"/>
      <c r="N37" s="847"/>
      <c r="P37" s="847"/>
      <c r="Q37" s="847"/>
      <c r="R37" s="847"/>
      <c r="T37" s="847"/>
      <c r="U37" s="847"/>
      <c r="V37" s="847"/>
    </row>
    <row r="38" spans="1:22" s="790" customFormat="1" x14ac:dyDescent="0.2">
      <c r="A38" s="829"/>
      <c r="B38" s="790" t="s">
        <v>3556</v>
      </c>
      <c r="D38" s="10"/>
      <c r="E38" s="826">
        <f>IF(K28-P28&gt;0,K28-P28,0)</f>
        <v>6605</v>
      </c>
      <c r="F38" s="847"/>
      <c r="G38" s="847"/>
      <c r="I38" s="847"/>
      <c r="J38" s="847"/>
      <c r="K38" s="847"/>
      <c r="L38" s="847"/>
      <c r="N38" s="847"/>
      <c r="P38" s="847"/>
      <c r="Q38" s="847"/>
      <c r="R38" s="847"/>
      <c r="T38" s="847"/>
      <c r="U38" s="847"/>
      <c r="V38" s="847"/>
    </row>
    <row r="39" spans="1:22" s="790" customFormat="1" x14ac:dyDescent="0.2">
      <c r="A39" s="829"/>
      <c r="B39" s="790" t="s">
        <v>3557</v>
      </c>
      <c r="D39" s="10"/>
      <c r="E39" s="826">
        <f>L28</f>
        <v>13110</v>
      </c>
      <c r="F39" s="133"/>
      <c r="G39" s="133"/>
      <c r="H39" s="133"/>
      <c r="I39" s="133"/>
      <c r="J39" s="133"/>
      <c r="K39" s="133"/>
      <c r="L39" s="133"/>
      <c r="M39" s="133"/>
      <c r="N39" s="133"/>
      <c r="P39" s="847"/>
      <c r="Q39" s="847"/>
      <c r="R39" s="847"/>
      <c r="T39" s="847"/>
      <c r="U39" s="847"/>
      <c r="V39" s="847"/>
    </row>
    <row r="40" spans="1:22" s="790" customFormat="1" x14ac:dyDescent="0.2">
      <c r="A40" s="829"/>
      <c r="B40" s="793" t="s">
        <v>3558</v>
      </c>
      <c r="D40" s="10"/>
      <c r="E40" s="826">
        <f>M28</f>
        <v>387</v>
      </c>
      <c r="F40" s="133"/>
      <c r="G40" s="133"/>
      <c r="H40" s="133"/>
      <c r="I40" s="133"/>
      <c r="J40" s="133"/>
      <c r="K40" s="133"/>
      <c r="L40" s="133"/>
      <c r="M40" s="133"/>
      <c r="N40" s="133"/>
      <c r="P40" s="847"/>
      <c r="Q40" s="847"/>
      <c r="R40" s="847"/>
      <c r="T40" s="847"/>
      <c r="U40" s="847"/>
      <c r="V40" s="847"/>
    </row>
    <row r="41" spans="1:22" s="790" customFormat="1" x14ac:dyDescent="0.2">
      <c r="A41" s="829"/>
      <c r="B41" s="793" t="s">
        <v>3559</v>
      </c>
      <c r="D41" s="10">
        <f>O28</f>
        <v>250</v>
      </c>
      <c r="E41" s="145"/>
      <c r="F41" s="749"/>
      <c r="G41" s="749"/>
      <c r="H41" s="749"/>
      <c r="J41" s="764"/>
      <c r="P41" s="847"/>
      <c r="Q41" s="847"/>
      <c r="R41" s="847"/>
      <c r="T41" s="847"/>
      <c r="U41" s="847"/>
      <c r="V41" s="847"/>
    </row>
    <row r="42" spans="1:22" s="790" customFormat="1" x14ac:dyDescent="0.2">
      <c r="A42" s="829"/>
      <c r="B42" s="790" t="s">
        <v>3560</v>
      </c>
      <c r="D42" s="10">
        <f>IF(P28-K28&gt;0,P28-K28,0)</f>
        <v>0</v>
      </c>
      <c r="E42" s="826"/>
      <c r="F42" s="749"/>
      <c r="G42" s="749"/>
      <c r="H42" s="749"/>
      <c r="J42" s="764"/>
      <c r="P42" s="847"/>
      <c r="Q42" s="847"/>
      <c r="R42" s="847"/>
      <c r="T42" s="847"/>
      <c r="U42" s="847"/>
      <c r="V42" s="847"/>
    </row>
    <row r="43" spans="1:22" s="790" customFormat="1" ht="15" x14ac:dyDescent="0.25">
      <c r="A43" s="829"/>
      <c r="B43" s="828" t="s">
        <v>3561</v>
      </c>
      <c r="C43" s="827"/>
      <c r="D43" s="833">
        <f>Q28</f>
        <v>0</v>
      </c>
      <c r="E43" s="833"/>
      <c r="F43" s="830"/>
      <c r="G43" s="830"/>
      <c r="H43" s="830"/>
      <c r="I43" s="830"/>
      <c r="J43" s="830"/>
      <c r="K43" s="830"/>
      <c r="L43" s="830"/>
      <c r="M43" s="830"/>
      <c r="N43" s="830"/>
      <c r="P43" s="847"/>
      <c r="Q43" s="847"/>
      <c r="R43" s="847"/>
      <c r="T43" s="847"/>
      <c r="U43" s="847"/>
      <c r="V43" s="847"/>
    </row>
    <row r="44" spans="1:22" s="790" customFormat="1" x14ac:dyDescent="0.2">
      <c r="A44" s="829"/>
      <c r="B44" s="828" t="s">
        <v>3562</v>
      </c>
      <c r="C44" s="827"/>
      <c r="D44" s="833">
        <f>R28</f>
        <v>3357</v>
      </c>
      <c r="E44" s="833"/>
      <c r="F44" s="848"/>
      <c r="G44" s="848"/>
      <c r="H44" s="848"/>
      <c r="P44" s="847"/>
      <c r="Q44" s="847"/>
      <c r="R44" s="847"/>
      <c r="T44" s="847"/>
      <c r="U44" s="847"/>
      <c r="V44" s="847"/>
    </row>
    <row r="45" spans="1:22" s="790" customFormat="1" x14ac:dyDescent="0.2">
      <c r="A45" s="829"/>
      <c r="B45" s="790" t="s">
        <v>3563</v>
      </c>
      <c r="C45" s="827"/>
      <c r="D45" s="833">
        <f>J23</f>
        <v>670</v>
      </c>
      <c r="E45" s="833"/>
      <c r="P45" s="847"/>
      <c r="Q45" s="847"/>
      <c r="R45" s="847"/>
      <c r="T45" s="847"/>
      <c r="U45" s="847"/>
      <c r="V45" s="847"/>
    </row>
    <row r="46" spans="1:22" s="790" customFormat="1" x14ac:dyDescent="0.2">
      <c r="A46" s="829"/>
      <c r="B46" s="790" t="s">
        <v>3564</v>
      </c>
      <c r="C46" s="827"/>
      <c r="D46" s="833">
        <f>IF(K23-P23&gt;0,K23-P23,0)</f>
        <v>12117</v>
      </c>
      <c r="E46" s="833"/>
      <c r="F46" s="823"/>
      <c r="G46" s="823"/>
      <c r="H46" s="823"/>
      <c r="P46" s="847"/>
      <c r="Q46" s="847"/>
      <c r="R46" s="847"/>
      <c r="T46" s="847"/>
      <c r="U46" s="847"/>
      <c r="V46" s="847"/>
    </row>
    <row r="47" spans="1:22" s="790" customFormat="1" x14ac:dyDescent="0.2">
      <c r="A47" s="829"/>
      <c r="B47" s="790" t="s">
        <v>3565</v>
      </c>
      <c r="C47" s="827"/>
      <c r="D47" s="833">
        <f>L23</f>
        <v>3576</v>
      </c>
      <c r="E47" s="145"/>
      <c r="P47" s="847"/>
      <c r="Q47" s="847"/>
      <c r="R47" s="847"/>
      <c r="T47" s="847"/>
      <c r="U47" s="847"/>
      <c r="V47" s="847"/>
    </row>
    <row r="48" spans="1:22" s="790" customFormat="1" ht="15" x14ac:dyDescent="0.25">
      <c r="A48" s="829"/>
      <c r="B48" s="793" t="s">
        <v>3566</v>
      </c>
      <c r="C48" s="827"/>
      <c r="D48" s="833">
        <f>M23</f>
        <v>0</v>
      </c>
      <c r="E48" s="145"/>
      <c r="F48" s="824"/>
      <c r="G48" s="824"/>
      <c r="H48" s="824"/>
      <c r="I48" s="825"/>
      <c r="J48" s="825"/>
      <c r="K48" s="825"/>
      <c r="L48" s="825"/>
      <c r="M48" s="825"/>
      <c r="N48" s="825"/>
      <c r="P48" s="847"/>
      <c r="Q48" s="847"/>
      <c r="R48" s="847"/>
      <c r="T48" s="847"/>
      <c r="U48" s="847"/>
      <c r="V48" s="847"/>
    </row>
    <row r="49" spans="1:22" s="790" customFormat="1" x14ac:dyDescent="0.2">
      <c r="A49" s="829"/>
      <c r="B49" s="793" t="s">
        <v>3567</v>
      </c>
      <c r="C49" s="827"/>
      <c r="D49" s="833"/>
      <c r="E49" s="145">
        <f>O23</f>
        <v>3470</v>
      </c>
      <c r="P49" s="847"/>
      <c r="Q49" s="847"/>
      <c r="R49" s="847"/>
      <c r="T49" s="847"/>
      <c r="U49" s="847"/>
      <c r="V49" s="847"/>
    </row>
    <row r="50" spans="1:22" s="790" customFormat="1" x14ac:dyDescent="0.2">
      <c r="A50" s="829"/>
      <c r="B50" s="790" t="s">
        <v>3568</v>
      </c>
      <c r="D50" s="10"/>
      <c r="E50" s="826">
        <f>IF(P23-K23&gt;0,P23-K23,0)</f>
        <v>0</v>
      </c>
      <c r="L50" s="823"/>
      <c r="P50" s="847"/>
      <c r="Q50" s="847"/>
      <c r="R50" s="847"/>
      <c r="T50" s="847"/>
      <c r="U50" s="847"/>
      <c r="V50" s="847"/>
    </row>
    <row r="51" spans="1:22" s="790" customFormat="1" x14ac:dyDescent="0.2">
      <c r="A51" s="829"/>
      <c r="B51" s="828" t="s">
        <v>3569</v>
      </c>
      <c r="D51" s="10"/>
      <c r="E51" s="826">
        <f>Q23</f>
        <v>0</v>
      </c>
      <c r="L51" s="823"/>
      <c r="P51" s="847"/>
      <c r="Q51" s="847"/>
      <c r="R51" s="847"/>
      <c r="T51" s="847"/>
      <c r="U51" s="847"/>
      <c r="V51" s="847"/>
    </row>
    <row r="52" spans="1:22" s="790" customFormat="1" x14ac:dyDescent="0.2">
      <c r="A52" s="829"/>
      <c r="B52" s="828" t="s">
        <v>3570</v>
      </c>
      <c r="D52" s="10"/>
      <c r="E52" s="826">
        <f>R23</f>
        <v>1642</v>
      </c>
      <c r="L52" s="848"/>
      <c r="P52" s="847"/>
      <c r="Q52" s="847"/>
      <c r="R52" s="847"/>
      <c r="T52" s="847"/>
      <c r="U52" s="847"/>
      <c r="V52" s="847"/>
    </row>
    <row r="53" spans="1:22" s="790" customFormat="1" x14ac:dyDescent="0.2">
      <c r="A53" s="829"/>
      <c r="B53" s="790" t="s">
        <v>3571</v>
      </c>
      <c r="D53" s="10"/>
      <c r="E53" s="826">
        <f>C16</f>
        <v>3200</v>
      </c>
      <c r="L53" s="823"/>
      <c r="P53" s="847"/>
      <c r="Q53" s="847"/>
      <c r="R53" s="847"/>
      <c r="T53" s="847"/>
      <c r="U53" s="847"/>
      <c r="V53" s="847"/>
    </row>
    <row r="54" spans="1:22" s="790" customFormat="1" x14ac:dyDescent="0.2">
      <c r="A54" s="829"/>
      <c r="B54" s="790" t="s">
        <v>3572</v>
      </c>
      <c r="D54" s="10">
        <f>IF(C16&gt;F23,C16-F23,0)</f>
        <v>0</v>
      </c>
      <c r="E54" s="826">
        <f>IF(F23&gt;C16,F23-C16,0)</f>
        <v>728</v>
      </c>
      <c r="F54" s="823"/>
      <c r="G54" s="823"/>
      <c r="H54" s="823"/>
      <c r="I54" s="823"/>
      <c r="J54" s="823"/>
      <c r="K54" s="823"/>
      <c r="L54" s="823"/>
      <c r="M54" s="848"/>
      <c r="N54" s="823"/>
      <c r="P54" s="847"/>
      <c r="Q54" s="847"/>
      <c r="R54" s="847"/>
      <c r="T54" s="847"/>
      <c r="U54" s="847"/>
      <c r="V54" s="847"/>
    </row>
    <row r="55" spans="1:22" s="790" customFormat="1" x14ac:dyDescent="0.2">
      <c r="A55" s="829"/>
      <c r="B55" s="790" t="s">
        <v>3573</v>
      </c>
      <c r="D55" s="10">
        <f>IF(SUM(E34:E54)&gt;SUM(D34:D54),SUM(E34:E54)-SUM(D34:D54),0)</f>
        <v>0</v>
      </c>
      <c r="E55" s="826">
        <f>IF(SUM(D34:D54)&gt;SUM(E34:E54),SUM(D34:D54)-SUM(E34:E54),0)</f>
        <v>1</v>
      </c>
      <c r="P55" s="847"/>
      <c r="Q55" s="847"/>
      <c r="R55" s="847"/>
      <c r="T55" s="847"/>
      <c r="U55" s="847"/>
      <c r="V55" s="847"/>
    </row>
    <row r="56" spans="1:22" s="790" customFormat="1" x14ac:dyDescent="0.2">
      <c r="A56" s="829"/>
      <c r="D56" s="10">
        <f>SUM(D34:D55)</f>
        <v>108179</v>
      </c>
      <c r="E56" s="10">
        <f>SUM(E34:E55)</f>
        <v>108179</v>
      </c>
      <c r="F56" s="848"/>
      <c r="G56" s="848"/>
      <c r="H56" s="848"/>
      <c r="I56" s="848"/>
      <c r="J56" s="848"/>
      <c r="K56" s="848"/>
      <c r="L56" s="848"/>
      <c r="M56" s="848"/>
      <c r="N56" s="848"/>
      <c r="P56" s="847"/>
      <c r="Q56" s="847"/>
      <c r="R56" s="847"/>
      <c r="T56" s="847"/>
      <c r="U56" s="847"/>
      <c r="V56" s="847"/>
    </row>
    <row r="57" spans="1:22" s="790" customFormat="1" x14ac:dyDescent="0.2">
      <c r="A57" s="682"/>
      <c r="B57" s="793"/>
      <c r="C57" s="793"/>
      <c r="D57" s="793"/>
      <c r="E57" s="793"/>
      <c r="F57" s="848"/>
      <c r="G57" s="848"/>
    </row>
    <row r="58" spans="1:22" s="790" customFormat="1" x14ac:dyDescent="0.2">
      <c r="A58" s="682"/>
      <c r="B58" s="793"/>
      <c r="C58" s="681"/>
      <c r="D58" s="681"/>
    </row>
    <row r="59" spans="1:22" s="790" customFormat="1" x14ac:dyDescent="0.2">
      <c r="A59" s="682"/>
      <c r="B59" s="793"/>
      <c r="C59" s="681"/>
      <c r="D59" s="681"/>
    </row>
    <row r="60" spans="1:22" x14ac:dyDescent="0.2">
      <c r="A60" s="683"/>
      <c r="B60" s="34"/>
      <c r="C60" s="684"/>
      <c r="D60" s="684"/>
    </row>
    <row r="61" spans="1:22" x14ac:dyDescent="0.2">
      <c r="A61" s="685" t="s">
        <v>804</v>
      </c>
      <c r="B61" s="1581" t="s">
        <v>2040</v>
      </c>
      <c r="C61" s="1582"/>
      <c r="D61" s="1582"/>
      <c r="E61" s="1582"/>
      <c r="F61" s="1582"/>
      <c r="G61" s="1582"/>
      <c r="H61" s="1582"/>
      <c r="I61" s="1583"/>
    </row>
    <row r="62" spans="1:22" x14ac:dyDescent="0.2">
      <c r="A62" s="685"/>
      <c r="B62" s="686"/>
      <c r="C62" s="686"/>
      <c r="D62" s="686"/>
      <c r="E62" s="686"/>
      <c r="F62" s="686"/>
      <c r="G62" s="686"/>
      <c r="H62" s="686"/>
      <c r="I62" s="686"/>
    </row>
    <row r="63" spans="1:22" hidden="1" x14ac:dyDescent="0.2">
      <c r="A63" s="685"/>
      <c r="B63" s="686" t="s">
        <v>2036</v>
      </c>
      <c r="C63" s="750">
        <v>1</v>
      </c>
      <c r="D63" s="686"/>
      <c r="E63" s="686"/>
      <c r="F63" s="686"/>
      <c r="G63" s="686"/>
      <c r="H63" s="686"/>
      <c r="I63" s="686"/>
    </row>
    <row r="64" spans="1:22" x14ac:dyDescent="0.2">
      <c r="A64" s="683"/>
      <c r="B64" s="44"/>
      <c r="C64" s="31"/>
      <c r="D64" s="31"/>
      <c r="E64" s="31"/>
      <c r="F64" s="31"/>
      <c r="G64" s="31"/>
      <c r="H64" s="31"/>
      <c r="I64" s="31"/>
    </row>
    <row r="65" spans="1:5" x14ac:dyDescent="0.2">
      <c r="A65" s="683"/>
      <c r="B65" s="34"/>
      <c r="C65" s="687" t="s">
        <v>2032</v>
      </c>
      <c r="D65" s="687" t="s">
        <v>2033</v>
      </c>
    </row>
    <row r="66" spans="1:5" x14ac:dyDescent="0.2">
      <c r="A66" s="683"/>
      <c r="B66" s="792" t="s">
        <v>1095</v>
      </c>
      <c r="C66" s="285">
        <f t="shared" ref="C66:C86" si="0">G97</f>
        <v>0</v>
      </c>
      <c r="D66" s="285">
        <f t="shared" ref="D66:D86" si="1">H97</f>
        <v>0</v>
      </c>
    </row>
    <row r="67" spans="1:5" x14ac:dyDescent="0.2">
      <c r="A67" s="683"/>
      <c r="B67" s="792" t="s">
        <v>2100</v>
      </c>
      <c r="C67" s="285">
        <f t="shared" si="0"/>
        <v>0</v>
      </c>
      <c r="D67" s="285">
        <f t="shared" si="1"/>
        <v>1679</v>
      </c>
      <c r="E67" s="688"/>
    </row>
    <row r="68" spans="1:5" x14ac:dyDescent="0.2">
      <c r="A68" s="683"/>
      <c r="B68" s="792" t="s">
        <v>2031</v>
      </c>
      <c r="C68" s="285">
        <f t="shared" si="0"/>
        <v>0</v>
      </c>
      <c r="D68" s="285">
        <f t="shared" si="1"/>
        <v>0</v>
      </c>
      <c r="E68" s="688"/>
    </row>
    <row r="69" spans="1:5" x14ac:dyDescent="0.2">
      <c r="A69" s="683"/>
      <c r="B69" s="792" t="s">
        <v>2066</v>
      </c>
      <c r="C69" s="285">
        <f t="shared" si="0"/>
        <v>11457</v>
      </c>
      <c r="D69" s="285">
        <f t="shared" si="1"/>
        <v>0</v>
      </c>
      <c r="E69" s="894"/>
    </row>
    <row r="70" spans="1:5" s="754" customFormat="1" x14ac:dyDescent="0.2">
      <c r="A70" s="683"/>
      <c r="B70" s="792" t="s">
        <v>2067</v>
      </c>
      <c r="C70" s="285">
        <f t="shared" si="0"/>
        <v>0</v>
      </c>
      <c r="D70" s="285">
        <f t="shared" si="1"/>
        <v>0</v>
      </c>
    </row>
    <row r="71" spans="1:5" x14ac:dyDescent="0.2">
      <c r="A71" s="683"/>
      <c r="B71" s="792" t="s">
        <v>2068</v>
      </c>
      <c r="C71" s="285">
        <f t="shared" si="0"/>
        <v>0</v>
      </c>
      <c r="D71" s="285">
        <f t="shared" si="1"/>
        <v>0</v>
      </c>
    </row>
    <row r="72" spans="1:5" s="754" customFormat="1" x14ac:dyDescent="0.2">
      <c r="A72" s="683"/>
      <c r="B72" s="792" t="s">
        <v>2069</v>
      </c>
      <c r="C72" s="285">
        <f t="shared" si="0"/>
        <v>0</v>
      </c>
      <c r="D72" s="285">
        <f t="shared" si="1"/>
        <v>0</v>
      </c>
    </row>
    <row r="73" spans="1:5" x14ac:dyDescent="0.2">
      <c r="A73" s="683"/>
      <c r="B73" s="792" t="s">
        <v>2070</v>
      </c>
      <c r="C73" s="285">
        <f t="shared" si="0"/>
        <v>0</v>
      </c>
      <c r="D73" s="285">
        <f t="shared" si="1"/>
        <v>0</v>
      </c>
    </row>
    <row r="74" spans="1:5" s="754" customFormat="1" x14ac:dyDescent="0.2">
      <c r="A74" s="683"/>
      <c r="B74" s="792" t="s">
        <v>3588</v>
      </c>
      <c r="C74" s="285">
        <f t="shared" si="0"/>
        <v>0</v>
      </c>
      <c r="D74" s="285">
        <f t="shared" si="1"/>
        <v>0</v>
      </c>
    </row>
    <row r="75" spans="1:5" x14ac:dyDescent="0.2">
      <c r="A75" s="683"/>
      <c r="B75" s="792" t="s">
        <v>2071</v>
      </c>
      <c r="C75" s="285">
        <f t="shared" si="0"/>
        <v>0</v>
      </c>
      <c r="D75" s="285">
        <f t="shared" si="1"/>
        <v>0</v>
      </c>
    </row>
    <row r="76" spans="1:5" s="754" customFormat="1" x14ac:dyDescent="0.2">
      <c r="A76" s="683"/>
      <c r="B76" s="792" t="s">
        <v>3589</v>
      </c>
      <c r="C76" s="285">
        <f t="shared" si="0"/>
        <v>0</v>
      </c>
      <c r="D76" s="285">
        <f t="shared" si="1"/>
        <v>0</v>
      </c>
    </row>
    <row r="77" spans="1:5" s="789" customFormat="1" x14ac:dyDescent="0.2">
      <c r="A77" s="683"/>
      <c r="B77" s="792" t="s">
        <v>2072</v>
      </c>
      <c r="C77" s="285">
        <f t="shared" si="0"/>
        <v>0</v>
      </c>
      <c r="D77" s="285">
        <f t="shared" si="1"/>
        <v>0</v>
      </c>
    </row>
    <row r="78" spans="1:5" s="789" customFormat="1" ht="25.5" x14ac:dyDescent="0.2">
      <c r="A78" s="683"/>
      <c r="B78" s="792" t="s">
        <v>3574</v>
      </c>
      <c r="C78" s="285">
        <f t="shared" si="0"/>
        <v>0</v>
      </c>
      <c r="D78" s="285">
        <f t="shared" si="1"/>
        <v>664</v>
      </c>
    </row>
    <row r="79" spans="1:5" s="789" customFormat="1" ht="25.5" x14ac:dyDescent="0.2">
      <c r="A79" s="683"/>
      <c r="B79" s="792" t="s">
        <v>2101</v>
      </c>
      <c r="C79" s="285">
        <f t="shared" si="0"/>
        <v>5512</v>
      </c>
      <c r="D79" s="285">
        <f t="shared" si="1"/>
        <v>0</v>
      </c>
    </row>
    <row r="80" spans="1:5" s="754" customFormat="1" x14ac:dyDescent="0.2">
      <c r="A80" s="683"/>
      <c r="B80" s="792" t="s">
        <v>3575</v>
      </c>
      <c r="C80" s="285">
        <f t="shared" si="0"/>
        <v>0</v>
      </c>
      <c r="D80" s="285">
        <f t="shared" si="1"/>
        <v>9534</v>
      </c>
    </row>
    <row r="81" spans="1:9" s="754" customFormat="1" ht="38.25" x14ac:dyDescent="0.2">
      <c r="A81" s="683"/>
      <c r="B81" s="792" t="s">
        <v>3576</v>
      </c>
      <c r="C81" s="285">
        <f t="shared" si="0"/>
        <v>0</v>
      </c>
      <c r="D81" s="285">
        <f t="shared" si="1"/>
        <v>387</v>
      </c>
    </row>
    <row r="82" spans="1:9" s="754" customFormat="1" ht="25.5" x14ac:dyDescent="0.2">
      <c r="A82" s="683"/>
      <c r="B82" s="792" t="s">
        <v>3577</v>
      </c>
      <c r="C82" s="285">
        <f t="shared" si="0"/>
        <v>0</v>
      </c>
      <c r="D82" s="285">
        <f t="shared" si="1"/>
        <v>3220</v>
      </c>
    </row>
    <row r="83" spans="1:9" s="754" customFormat="1" ht="25.5" x14ac:dyDescent="0.2">
      <c r="A83" s="683"/>
      <c r="B83" s="792" t="s">
        <v>3578</v>
      </c>
      <c r="C83" s="285">
        <f t="shared" si="0"/>
        <v>0</v>
      </c>
      <c r="D83" s="285">
        <f t="shared" si="1"/>
        <v>0</v>
      </c>
    </row>
    <row r="84" spans="1:9" s="754" customFormat="1" x14ac:dyDescent="0.2">
      <c r="A84" s="683"/>
      <c r="B84" s="792" t="s">
        <v>3579</v>
      </c>
      <c r="C84" s="285">
        <f t="shared" si="0"/>
        <v>0</v>
      </c>
      <c r="D84" s="285">
        <f t="shared" si="1"/>
        <v>0</v>
      </c>
    </row>
    <row r="85" spans="1:9" s="754" customFormat="1" ht="38.25" x14ac:dyDescent="0.2">
      <c r="A85" s="683"/>
      <c r="B85" s="792" t="s">
        <v>3580</v>
      </c>
      <c r="C85" s="285">
        <f t="shared" si="0"/>
        <v>1715</v>
      </c>
      <c r="D85" s="285">
        <f t="shared" si="1"/>
        <v>0</v>
      </c>
    </row>
    <row r="86" spans="1:9" x14ac:dyDescent="0.2">
      <c r="A86" s="683"/>
      <c r="B86" s="792" t="s">
        <v>2034</v>
      </c>
      <c r="C86" s="285">
        <f t="shared" si="0"/>
        <v>0</v>
      </c>
      <c r="D86" s="285">
        <f t="shared" si="1"/>
        <v>3200</v>
      </c>
      <c r="E86" s="894"/>
    </row>
    <row r="87" spans="1:9" x14ac:dyDescent="0.2">
      <c r="A87" s="683"/>
      <c r="B87" s="34"/>
      <c r="C87" s="684"/>
      <c r="D87" s="684"/>
      <c r="G87" s="197"/>
      <c r="H87" s="197"/>
      <c r="I87" s="197"/>
    </row>
    <row r="88" spans="1:9" ht="13.5" thickBot="1" x14ac:dyDescent="0.25">
      <c r="A88" s="683"/>
      <c r="B88" s="34"/>
      <c r="C88" s="689">
        <f>SUM(C66:C87)</f>
        <v>18684</v>
      </c>
      <c r="D88" s="689">
        <f>SUM(D66:D87)</f>
        <v>18684</v>
      </c>
      <c r="G88" s="197"/>
      <c r="H88" s="197"/>
      <c r="I88" s="197"/>
    </row>
    <row r="89" spans="1:9" ht="13.5" thickTop="1" x14ac:dyDescent="0.2">
      <c r="A89" s="683"/>
      <c r="B89" s="34"/>
      <c r="C89" s="684"/>
      <c r="D89" s="684"/>
    </row>
    <row r="90" spans="1:9" x14ac:dyDescent="0.2">
      <c r="A90" s="683"/>
      <c r="B90" s="34"/>
      <c r="C90" s="684"/>
      <c r="D90" s="684"/>
    </row>
    <row r="91" spans="1:9" x14ac:dyDescent="0.2">
      <c r="A91" s="683"/>
      <c r="B91" s="1587" t="s">
        <v>2075</v>
      </c>
      <c r="C91" s="1587"/>
      <c r="D91" s="1587"/>
      <c r="E91" s="1587"/>
      <c r="F91" s="1587"/>
      <c r="G91" s="1587"/>
      <c r="H91" s="1587"/>
    </row>
    <row r="92" spans="1:9" x14ac:dyDescent="0.2">
      <c r="A92" s="683"/>
      <c r="B92" s="1587"/>
      <c r="C92" s="1587"/>
      <c r="D92" s="1587"/>
      <c r="E92" s="1587"/>
      <c r="F92" s="1587"/>
      <c r="G92" s="1587"/>
      <c r="H92" s="1587"/>
    </row>
    <row r="93" spans="1:9" ht="18" x14ac:dyDescent="0.25">
      <c r="B93" s="711"/>
      <c r="C93" s="711"/>
      <c r="D93" s="711"/>
      <c r="E93" s="711"/>
      <c r="F93" s="711"/>
      <c r="G93" s="711"/>
      <c r="H93" s="710"/>
    </row>
    <row r="94" spans="1:9" ht="18" x14ac:dyDescent="0.2">
      <c r="B94" s="711"/>
      <c r="C94" s="712"/>
      <c r="D94" s="714"/>
      <c r="E94" s="715"/>
      <c r="F94" s="711"/>
      <c r="G94" s="1429" t="s">
        <v>905</v>
      </c>
      <c r="H94" s="1430"/>
    </row>
    <row r="95" spans="1:9" x14ac:dyDescent="0.2">
      <c r="B95" s="793"/>
      <c r="C95" s="766"/>
      <c r="D95" s="767"/>
      <c r="E95" s="258"/>
      <c r="F95" s="790"/>
      <c r="G95" s="210"/>
      <c r="H95" s="211"/>
    </row>
    <row r="96" spans="1:9" x14ac:dyDescent="0.2">
      <c r="B96" s="793"/>
      <c r="C96" s="713" t="s">
        <v>510</v>
      </c>
      <c r="D96" s="154" t="s">
        <v>511</v>
      </c>
      <c r="E96" s="259" t="s">
        <v>2073</v>
      </c>
      <c r="F96" s="790"/>
      <c r="G96" s="71" t="s">
        <v>510</v>
      </c>
      <c r="H96" s="72" t="s">
        <v>511</v>
      </c>
    </row>
    <row r="97" spans="2:8" x14ac:dyDescent="0.2">
      <c r="B97" s="792" t="s">
        <v>1095</v>
      </c>
      <c r="C97" s="831">
        <v>0</v>
      </c>
      <c r="D97" s="768">
        <v>0</v>
      </c>
      <c r="E97" s="716">
        <f>C97-D97</f>
        <v>0</v>
      </c>
      <c r="F97" s="789"/>
      <c r="G97" s="114">
        <f t="shared" ref="G97:G117" si="2">IF(E97&lt;0,0,E97)</f>
        <v>0</v>
      </c>
      <c r="H97" s="718">
        <f t="shared" ref="H97:H117" si="3">IF(E97&gt;0,0,E97*-1)</f>
        <v>0</v>
      </c>
    </row>
    <row r="98" spans="2:8" x14ac:dyDescent="0.2">
      <c r="B98" s="792" t="s">
        <v>2100</v>
      </c>
      <c r="C98" s="770">
        <f>1*(D34+D35)</f>
        <v>76023</v>
      </c>
      <c r="D98" s="769">
        <f>1*(E34+E35)</f>
        <v>77702</v>
      </c>
      <c r="E98" s="716">
        <f t="shared" ref="E98:E117" si="4">C98-D98</f>
        <v>-1679</v>
      </c>
      <c r="F98" s="789"/>
      <c r="G98" s="114">
        <f t="shared" si="2"/>
        <v>0</v>
      </c>
      <c r="H98" s="718">
        <f>IF(E98&gt;0,0,E98*-1)</f>
        <v>1679</v>
      </c>
    </row>
    <row r="99" spans="2:8" x14ac:dyDescent="0.2">
      <c r="B99" s="792" t="s">
        <v>2031</v>
      </c>
      <c r="C99" s="770">
        <v>0</v>
      </c>
      <c r="D99" s="769">
        <v>0</v>
      </c>
      <c r="E99" s="716">
        <f t="shared" si="4"/>
        <v>0</v>
      </c>
      <c r="F99" s="789"/>
      <c r="G99" s="114">
        <f t="shared" si="2"/>
        <v>0</v>
      </c>
      <c r="H99" s="718">
        <f>IF(E99&gt;0,0,E99*-1)</f>
        <v>0</v>
      </c>
    </row>
    <row r="100" spans="2:8" x14ac:dyDescent="0.2">
      <c r="B100" s="792" t="s">
        <v>2066</v>
      </c>
      <c r="C100" s="770">
        <f>1*(D36+D54+D55)</f>
        <v>12186</v>
      </c>
      <c r="D100" s="769">
        <f>1*(E36+E54+E55)</f>
        <v>729</v>
      </c>
      <c r="E100" s="716">
        <f t="shared" si="4"/>
        <v>11457</v>
      </c>
      <c r="F100" s="789"/>
      <c r="G100" s="114">
        <f>IF(E100&lt;0,0,E100)-E118</f>
        <v>11457</v>
      </c>
      <c r="H100" s="718">
        <f t="shared" si="3"/>
        <v>0</v>
      </c>
    </row>
    <row r="101" spans="2:8" s="754" customFormat="1" x14ac:dyDescent="0.2">
      <c r="B101" s="792" t="s">
        <v>2067</v>
      </c>
      <c r="C101" s="770">
        <v>0</v>
      </c>
      <c r="D101" s="769">
        <v>0</v>
      </c>
      <c r="E101" s="716">
        <f t="shared" si="4"/>
        <v>0</v>
      </c>
      <c r="F101" s="789"/>
      <c r="G101" s="114">
        <f t="shared" si="2"/>
        <v>0</v>
      </c>
      <c r="H101" s="718">
        <f t="shared" si="3"/>
        <v>0</v>
      </c>
    </row>
    <row r="102" spans="2:8" x14ac:dyDescent="0.2">
      <c r="B102" s="792" t="s">
        <v>2068</v>
      </c>
      <c r="C102" s="770">
        <v>0</v>
      </c>
      <c r="D102" s="769">
        <v>0</v>
      </c>
      <c r="E102" s="716">
        <f t="shared" si="4"/>
        <v>0</v>
      </c>
      <c r="F102" s="789"/>
      <c r="G102" s="114">
        <f t="shared" si="2"/>
        <v>0</v>
      </c>
      <c r="H102" s="718">
        <f t="shared" si="3"/>
        <v>0</v>
      </c>
    </row>
    <row r="103" spans="2:8" s="754" customFormat="1" x14ac:dyDescent="0.2">
      <c r="B103" s="792" t="s">
        <v>2069</v>
      </c>
      <c r="C103" s="770">
        <v>0</v>
      </c>
      <c r="D103" s="769">
        <v>0</v>
      </c>
      <c r="E103" s="716">
        <f t="shared" si="4"/>
        <v>0</v>
      </c>
      <c r="F103" s="789"/>
      <c r="G103" s="114">
        <f t="shared" si="2"/>
        <v>0</v>
      </c>
      <c r="H103" s="718">
        <f t="shared" si="3"/>
        <v>0</v>
      </c>
    </row>
    <row r="104" spans="2:8" x14ac:dyDescent="0.2">
      <c r="B104" s="792" t="s">
        <v>2070</v>
      </c>
      <c r="C104" s="770">
        <v>0</v>
      </c>
      <c r="D104" s="769">
        <v>0</v>
      </c>
      <c r="E104" s="716">
        <f t="shared" si="4"/>
        <v>0</v>
      </c>
      <c r="F104" s="789"/>
      <c r="G104" s="114">
        <f t="shared" si="2"/>
        <v>0</v>
      </c>
      <c r="H104" s="718">
        <f t="shared" si="3"/>
        <v>0</v>
      </c>
    </row>
    <row r="105" spans="2:8" s="754" customFormat="1" x14ac:dyDescent="0.2">
      <c r="B105" s="792" t="s">
        <v>3588</v>
      </c>
      <c r="C105" s="770">
        <v>0</v>
      </c>
      <c r="D105" s="769">
        <v>0</v>
      </c>
      <c r="E105" s="716">
        <f t="shared" si="4"/>
        <v>0</v>
      </c>
      <c r="F105" s="789"/>
      <c r="G105" s="114">
        <f t="shared" si="2"/>
        <v>0</v>
      </c>
      <c r="H105" s="718">
        <f t="shared" si="3"/>
        <v>0</v>
      </c>
    </row>
    <row r="106" spans="2:8" x14ac:dyDescent="0.2">
      <c r="B106" s="792" t="s">
        <v>2071</v>
      </c>
      <c r="C106" s="770">
        <v>0</v>
      </c>
      <c r="D106" s="769">
        <v>0</v>
      </c>
      <c r="E106" s="716">
        <f t="shared" si="4"/>
        <v>0</v>
      </c>
      <c r="F106" s="789"/>
      <c r="G106" s="114">
        <f t="shared" si="2"/>
        <v>0</v>
      </c>
      <c r="H106" s="718">
        <f t="shared" si="3"/>
        <v>0</v>
      </c>
    </row>
    <row r="107" spans="2:8" s="754" customFormat="1" x14ac:dyDescent="0.2">
      <c r="B107" s="792" t="s">
        <v>3589</v>
      </c>
      <c r="C107" s="770">
        <v>0</v>
      </c>
      <c r="D107" s="769">
        <v>0</v>
      </c>
      <c r="E107" s="716">
        <f t="shared" si="4"/>
        <v>0</v>
      </c>
      <c r="F107" s="789"/>
      <c r="G107" s="114">
        <f t="shared" si="2"/>
        <v>0</v>
      </c>
      <c r="H107" s="718">
        <f t="shared" si="3"/>
        <v>0</v>
      </c>
    </row>
    <row r="108" spans="2:8" s="754" customFormat="1" x14ac:dyDescent="0.2">
      <c r="B108" s="792" t="s">
        <v>2072</v>
      </c>
      <c r="C108" s="770">
        <v>0</v>
      </c>
      <c r="D108" s="769">
        <v>0</v>
      </c>
      <c r="E108" s="716">
        <f t="shared" si="4"/>
        <v>0</v>
      </c>
      <c r="F108" s="789"/>
      <c r="G108" s="114">
        <f t="shared" si="2"/>
        <v>0</v>
      </c>
      <c r="H108" s="718">
        <f t="shared" si="3"/>
        <v>0</v>
      </c>
    </row>
    <row r="109" spans="2:8" s="754" customFormat="1" ht="25.5" x14ac:dyDescent="0.2">
      <c r="B109" s="792" t="s">
        <v>3574</v>
      </c>
      <c r="C109" s="770">
        <f t="shared" ref="C109:D116" si="5">1*(D37+D45)</f>
        <v>670</v>
      </c>
      <c r="D109" s="851">
        <f t="shared" si="5"/>
        <v>1334</v>
      </c>
      <c r="E109" s="850">
        <f t="shared" si="4"/>
        <v>-664</v>
      </c>
      <c r="F109" s="790"/>
      <c r="G109" s="114">
        <f t="shared" si="2"/>
        <v>0</v>
      </c>
      <c r="H109" s="718">
        <f t="shared" si="3"/>
        <v>664</v>
      </c>
    </row>
    <row r="110" spans="2:8" s="754" customFormat="1" ht="25.5" x14ac:dyDescent="0.2">
      <c r="B110" s="792" t="s">
        <v>2101</v>
      </c>
      <c r="C110" s="770">
        <f t="shared" si="5"/>
        <v>12117</v>
      </c>
      <c r="D110" s="851">
        <f t="shared" si="5"/>
        <v>6605</v>
      </c>
      <c r="E110" s="850">
        <f t="shared" si="4"/>
        <v>5512</v>
      </c>
      <c r="F110" s="790"/>
      <c r="G110" s="114">
        <f t="shared" si="2"/>
        <v>5512</v>
      </c>
      <c r="H110" s="718">
        <f t="shared" si="3"/>
        <v>0</v>
      </c>
    </row>
    <row r="111" spans="2:8" s="754" customFormat="1" x14ac:dyDescent="0.2">
      <c r="B111" s="792" t="s">
        <v>3575</v>
      </c>
      <c r="C111" s="770">
        <f t="shared" si="5"/>
        <v>3576</v>
      </c>
      <c r="D111" s="851">
        <f t="shared" si="5"/>
        <v>13110</v>
      </c>
      <c r="E111" s="850">
        <f t="shared" si="4"/>
        <v>-9534</v>
      </c>
      <c r="F111" s="790"/>
      <c r="G111" s="114">
        <f t="shared" si="2"/>
        <v>0</v>
      </c>
      <c r="H111" s="718">
        <f t="shared" si="3"/>
        <v>9534</v>
      </c>
    </row>
    <row r="112" spans="2:8" s="754" customFormat="1" ht="38.25" x14ac:dyDescent="0.2">
      <c r="B112" s="792" t="s">
        <v>3576</v>
      </c>
      <c r="C112" s="770">
        <f t="shared" si="5"/>
        <v>0</v>
      </c>
      <c r="D112" s="851">
        <f t="shared" si="5"/>
        <v>387</v>
      </c>
      <c r="E112" s="850">
        <f t="shared" si="4"/>
        <v>-387</v>
      </c>
      <c r="F112" s="790"/>
      <c r="G112" s="114">
        <f t="shared" si="2"/>
        <v>0</v>
      </c>
      <c r="H112" s="718">
        <f t="shared" si="3"/>
        <v>387</v>
      </c>
    </row>
    <row r="113" spans="2:8" s="754" customFormat="1" ht="25.5" x14ac:dyDescent="0.2">
      <c r="B113" s="792" t="s">
        <v>3577</v>
      </c>
      <c r="C113" s="770">
        <f t="shared" si="5"/>
        <v>250</v>
      </c>
      <c r="D113" s="851">
        <f t="shared" si="5"/>
        <v>3470</v>
      </c>
      <c r="E113" s="850">
        <f t="shared" si="4"/>
        <v>-3220</v>
      </c>
      <c r="F113" s="790"/>
      <c r="G113" s="114">
        <f t="shared" si="2"/>
        <v>0</v>
      </c>
      <c r="H113" s="718">
        <f t="shared" si="3"/>
        <v>3220</v>
      </c>
    </row>
    <row r="114" spans="2:8" ht="25.5" x14ac:dyDescent="0.2">
      <c r="B114" s="792" t="s">
        <v>3578</v>
      </c>
      <c r="C114" s="770">
        <f t="shared" si="5"/>
        <v>0</v>
      </c>
      <c r="D114" s="851">
        <f t="shared" si="5"/>
        <v>0</v>
      </c>
      <c r="E114" s="850">
        <f t="shared" si="4"/>
        <v>0</v>
      </c>
      <c r="F114" s="790"/>
      <c r="G114" s="114">
        <f t="shared" si="2"/>
        <v>0</v>
      </c>
      <c r="H114" s="718">
        <f t="shared" si="3"/>
        <v>0</v>
      </c>
    </row>
    <row r="115" spans="2:8" x14ac:dyDescent="0.2">
      <c r="B115" s="792" t="s">
        <v>3579</v>
      </c>
      <c r="C115" s="770">
        <f t="shared" si="5"/>
        <v>0</v>
      </c>
      <c r="D115" s="851">
        <f t="shared" si="5"/>
        <v>0</v>
      </c>
      <c r="E115" s="850">
        <f t="shared" si="4"/>
        <v>0</v>
      </c>
      <c r="F115" s="790"/>
      <c r="G115" s="114">
        <f t="shared" si="2"/>
        <v>0</v>
      </c>
      <c r="H115" s="718">
        <f t="shared" si="3"/>
        <v>0</v>
      </c>
    </row>
    <row r="116" spans="2:8" ht="38.25" x14ac:dyDescent="0.2">
      <c r="B116" s="792" t="s">
        <v>3580</v>
      </c>
      <c r="C116" s="770">
        <f t="shared" si="5"/>
        <v>3357</v>
      </c>
      <c r="D116" s="851">
        <f t="shared" si="5"/>
        <v>1642</v>
      </c>
      <c r="E116" s="850">
        <f t="shared" si="4"/>
        <v>1715</v>
      </c>
      <c r="F116" s="790"/>
      <c r="G116" s="114">
        <f t="shared" si="2"/>
        <v>1715</v>
      </c>
      <c r="H116" s="718">
        <f t="shared" si="3"/>
        <v>0</v>
      </c>
    </row>
    <row r="117" spans="2:8" x14ac:dyDescent="0.2">
      <c r="B117" s="792" t="s">
        <v>2034</v>
      </c>
      <c r="C117" s="770">
        <f>1*D53</f>
        <v>0</v>
      </c>
      <c r="D117" s="769">
        <f>1*E53</f>
        <v>3200</v>
      </c>
      <c r="E117" s="716">
        <f t="shared" si="4"/>
        <v>-3200</v>
      </c>
      <c r="F117" s="790"/>
      <c r="G117" s="114">
        <f t="shared" si="2"/>
        <v>0</v>
      </c>
      <c r="H117" s="718">
        <f t="shared" si="3"/>
        <v>3200</v>
      </c>
    </row>
    <row r="118" spans="2:8" x14ac:dyDescent="0.2">
      <c r="B118" s="789"/>
      <c r="C118" s="719">
        <f>SUM(C96:C117)</f>
        <v>108179</v>
      </c>
      <c r="D118" s="720">
        <f>SUM(D96:D117)</f>
        <v>108179</v>
      </c>
      <c r="E118" s="717">
        <f>SUM(E96:E117)</f>
        <v>0</v>
      </c>
      <c r="F118" s="214"/>
      <c r="G118" s="719">
        <f>SUM(G96:G117)</f>
        <v>18684</v>
      </c>
      <c r="H118" s="720">
        <f>SUM(H96:H117)</f>
        <v>18684</v>
      </c>
    </row>
  </sheetData>
  <customSheetViews>
    <customSheetView guid="{C1197650-3ED8-49E4-8E4C-0D1D4B503FC0}" scale="90" fitToPage="1" hiddenRows="1" topLeftCell="A18">
      <selection activeCell="A34" sqref="A34:XFD56"/>
      <pageMargins left="0.7" right="0.7" top="0.75" bottom="0.75" header="0.3" footer="0.3"/>
      <pageSetup scale="47" fitToWidth="2" fitToHeight="4" orientation="landscape" r:id="rId1"/>
    </customSheetView>
    <customSheetView guid="{D2B860EA-92EC-4999-9A59-C624E1F8C7FB}" scale="90" fitToPage="1" hiddenRows="1" topLeftCell="A18">
      <selection activeCell="A34" sqref="A34:XFD56"/>
      <pageMargins left="0.7" right="0.7" top="0.75" bottom="0.75" header="0.3" footer="0.3"/>
      <pageSetup scale="47" fitToWidth="2" fitToHeight="4" orientation="landscape" r:id="rId2"/>
    </customSheetView>
  </customSheetViews>
  <mergeCells count="5">
    <mergeCell ref="B91:H92"/>
    <mergeCell ref="G94:H94"/>
    <mergeCell ref="A2:C2"/>
    <mergeCell ref="A5:C5"/>
    <mergeCell ref="B61:I61"/>
  </mergeCells>
  <conditionalFormatting sqref="B35:E42 C50:E52 B53:E56">
    <cfRule type="expression" dxfId="32" priority="11">
      <formula>#REF!=2</formula>
    </cfRule>
  </conditionalFormatting>
  <conditionalFormatting sqref="B43">
    <cfRule type="expression" dxfId="31" priority="10">
      <formula>#REF!=2</formula>
    </cfRule>
  </conditionalFormatting>
  <conditionalFormatting sqref="E47:E49">
    <cfRule type="expression" dxfId="30" priority="9">
      <formula>#REF!=2</formula>
    </cfRule>
  </conditionalFormatting>
  <conditionalFormatting sqref="C43:E43">
    <cfRule type="expression" dxfId="29" priority="8">
      <formula>#REF!=2</formula>
    </cfRule>
  </conditionalFormatting>
  <conditionalFormatting sqref="B44">
    <cfRule type="expression" dxfId="28" priority="7">
      <formula>#REF!=2</formula>
    </cfRule>
  </conditionalFormatting>
  <conditionalFormatting sqref="C44:C49">
    <cfRule type="expression" dxfId="27" priority="6">
      <formula>#REF!=2</formula>
    </cfRule>
  </conditionalFormatting>
  <conditionalFormatting sqref="D44:D49">
    <cfRule type="expression" dxfId="26" priority="5">
      <formula>#REF!=2</formula>
    </cfRule>
  </conditionalFormatting>
  <conditionalFormatting sqref="E44:E46">
    <cfRule type="expression" dxfId="25" priority="4">
      <formula>#REF!=2</formula>
    </cfRule>
  </conditionalFormatting>
  <conditionalFormatting sqref="B45:B50">
    <cfRule type="expression" dxfId="24" priority="3">
      <formula>#REF!=2</formula>
    </cfRule>
  </conditionalFormatting>
  <conditionalFormatting sqref="B51">
    <cfRule type="expression" dxfId="23" priority="2">
      <formula>#REF!=2</formula>
    </cfRule>
  </conditionalFormatting>
  <conditionalFormatting sqref="B52">
    <cfRule type="expression" dxfId="22" priority="1">
      <formula>#REF!=2</formula>
    </cfRule>
  </conditionalFormatting>
  <pageMargins left="0.7" right="0.7" top="0.75" bottom="0.75" header="0.3" footer="0.3"/>
  <pageSetup scale="47" fitToWidth="2" fitToHeight="4" orientation="landscape"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'N.2a ROD 2018 PY'!$A$6:$A$106</xm:f>
          </x14:formula1>
          <xm:sqref>C14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U106"/>
  <sheetViews>
    <sheetView workbookViewId="0"/>
  </sheetViews>
  <sheetFormatPr defaultColWidth="9.140625" defaultRowHeight="15" x14ac:dyDescent="0.25"/>
  <cols>
    <col min="1" max="1" width="3.42578125" style="834" customWidth="1"/>
    <col min="2" max="2" width="18.7109375" style="834" bestFit="1" customWidth="1"/>
    <col min="3" max="6" width="13.85546875" style="834" customWidth="1"/>
    <col min="7" max="7" width="19" style="834" customWidth="1"/>
    <col min="8" max="8" width="5.42578125" style="834" customWidth="1"/>
    <col min="9" max="9" width="18.28515625" style="834" customWidth="1"/>
    <col min="10" max="10" width="20" style="834" customWidth="1"/>
    <col min="11" max="11" width="14.42578125" style="834" customWidth="1"/>
    <col min="12" max="12" width="19.42578125" style="834" customWidth="1"/>
    <col min="13" max="13" width="3.85546875" style="834" customWidth="1"/>
    <col min="14" max="14" width="18.28515625" style="834" customWidth="1"/>
    <col min="15" max="15" width="20" style="834" customWidth="1"/>
    <col min="16" max="16" width="12" style="834" customWidth="1"/>
    <col min="17" max="17" width="19.42578125" style="834" customWidth="1"/>
    <col min="18" max="18" width="3.85546875" style="834" customWidth="1"/>
    <col min="19" max="19" width="14.7109375" style="834" customWidth="1"/>
    <col min="20" max="20" width="22.42578125" style="834" customWidth="1"/>
    <col min="21" max="21" width="12.42578125" style="834" customWidth="1"/>
    <col min="22" max="16384" width="9.140625" style="834"/>
  </cols>
  <sheetData>
    <row r="1" spans="2:21" x14ac:dyDescent="0.25">
      <c r="I1" s="835" t="s">
        <v>1147</v>
      </c>
      <c r="J1" s="835"/>
      <c r="K1" s="835"/>
      <c r="L1" s="835"/>
      <c r="N1" s="835" t="s">
        <v>1148</v>
      </c>
      <c r="O1" s="835"/>
      <c r="P1" s="835"/>
      <c r="Q1" s="835"/>
      <c r="S1" s="835" t="s">
        <v>1149</v>
      </c>
      <c r="T1" s="835"/>
      <c r="U1" s="835"/>
    </row>
    <row r="2" spans="2:21" ht="120" x14ac:dyDescent="0.25">
      <c r="B2" s="836" t="s">
        <v>2514</v>
      </c>
      <c r="C2" s="836" t="s">
        <v>2090</v>
      </c>
      <c r="D2" s="836" t="s">
        <v>2091</v>
      </c>
      <c r="E2" s="836" t="s">
        <v>2515</v>
      </c>
      <c r="F2" s="836" t="s">
        <v>3582</v>
      </c>
      <c r="G2" s="836" t="s">
        <v>3583</v>
      </c>
      <c r="H2" s="836"/>
      <c r="I2" s="836" t="s">
        <v>1153</v>
      </c>
      <c r="J2" s="836" t="s">
        <v>1154</v>
      </c>
      <c r="K2" s="836" t="s">
        <v>1155</v>
      </c>
      <c r="L2" s="836" t="s">
        <v>1156</v>
      </c>
      <c r="M2" s="836"/>
      <c r="N2" s="836" t="s">
        <v>1153</v>
      </c>
      <c r="O2" s="836" t="s">
        <v>1154</v>
      </c>
      <c r="P2" s="836" t="s">
        <v>1155</v>
      </c>
      <c r="Q2" s="836" t="s">
        <v>1156</v>
      </c>
      <c r="R2" s="836"/>
      <c r="S2" s="836" t="s">
        <v>1157</v>
      </c>
      <c r="T2" s="836" t="s">
        <v>1158</v>
      </c>
      <c r="U2" s="836" t="s">
        <v>1159</v>
      </c>
    </row>
    <row r="3" spans="2:21" x14ac:dyDescent="0.25">
      <c r="B3" s="815" t="s">
        <v>2516</v>
      </c>
      <c r="C3" s="806">
        <v>1.5880399999999999E-2</v>
      </c>
      <c r="D3" s="806">
        <v>1.57255E-2</v>
      </c>
      <c r="E3" s="807">
        <v>12973</v>
      </c>
      <c r="F3" s="807">
        <v>-364423</v>
      </c>
      <c r="G3" s="807">
        <v>-296900</v>
      </c>
      <c r="H3" s="837"/>
      <c r="I3" s="838">
        <v>318</v>
      </c>
      <c r="J3" s="838">
        <v>14753</v>
      </c>
      <c r="K3" s="838">
        <v>79100</v>
      </c>
      <c r="L3" s="807">
        <v>173311</v>
      </c>
      <c r="M3" s="807"/>
      <c r="N3" s="838">
        <v>3843</v>
      </c>
      <c r="O3" s="838">
        <v>14245</v>
      </c>
      <c r="P3" s="838">
        <v>0</v>
      </c>
      <c r="Q3" s="807">
        <v>11285</v>
      </c>
      <c r="R3" s="807"/>
      <c r="S3" s="838">
        <v>21963</v>
      </c>
      <c r="T3" s="839">
        <v>99999</v>
      </c>
      <c r="U3" s="839">
        <v>121961</v>
      </c>
    </row>
    <row r="4" spans="2:21" x14ac:dyDescent="0.25">
      <c r="B4" s="815" t="s">
        <v>2517</v>
      </c>
      <c r="C4" s="806">
        <v>2.8471999999999998E-3</v>
      </c>
      <c r="D4" s="806">
        <v>2.8473999999999999E-3</v>
      </c>
      <c r="E4" s="807">
        <v>2326</v>
      </c>
      <c r="F4" s="807">
        <v>-65986</v>
      </c>
      <c r="G4" s="807">
        <v>-53231</v>
      </c>
      <c r="H4" s="837"/>
      <c r="I4" s="838">
        <v>57</v>
      </c>
      <c r="J4" s="838">
        <v>2645</v>
      </c>
      <c r="K4" s="838">
        <v>14182</v>
      </c>
      <c r="L4" s="807">
        <v>618</v>
      </c>
      <c r="M4" s="807"/>
      <c r="N4" s="838">
        <v>689</v>
      </c>
      <c r="O4" s="838">
        <v>2554</v>
      </c>
      <c r="P4" s="838">
        <v>0</v>
      </c>
      <c r="Q4" s="807">
        <v>412</v>
      </c>
      <c r="R4" s="807"/>
      <c r="S4" s="838">
        <v>3938</v>
      </c>
      <c r="T4" s="839">
        <v>-1546</v>
      </c>
      <c r="U4" s="839">
        <v>2392</v>
      </c>
    </row>
    <row r="5" spans="2:21" x14ac:dyDescent="0.25">
      <c r="B5" s="815" t="s">
        <v>2518</v>
      </c>
      <c r="C5" s="806">
        <v>1.4815E-3</v>
      </c>
      <c r="D5" s="806">
        <v>1.5223999999999999E-3</v>
      </c>
      <c r="E5" s="807">
        <v>1210</v>
      </c>
      <c r="F5" s="807">
        <v>-35280</v>
      </c>
      <c r="G5" s="807">
        <v>-27698</v>
      </c>
      <c r="H5" s="837"/>
      <c r="I5" s="838">
        <v>29.63</v>
      </c>
      <c r="J5" s="838">
        <v>1376</v>
      </c>
      <c r="K5" s="838">
        <v>7379</v>
      </c>
      <c r="L5" s="807">
        <v>692</v>
      </c>
      <c r="M5" s="807"/>
      <c r="N5" s="838">
        <v>359</v>
      </c>
      <c r="O5" s="838">
        <v>1329</v>
      </c>
      <c r="P5" s="838">
        <v>0</v>
      </c>
      <c r="Q5" s="807">
        <v>102</v>
      </c>
      <c r="R5" s="807"/>
      <c r="S5" s="838">
        <v>2049</v>
      </c>
      <c r="T5" s="839">
        <v>-106</v>
      </c>
      <c r="U5" s="839">
        <v>1943</v>
      </c>
    </row>
    <row r="6" spans="2:21" x14ac:dyDescent="0.25">
      <c r="B6" s="815" t="s">
        <v>2519</v>
      </c>
      <c r="C6" s="806">
        <v>1.7148E-3</v>
      </c>
      <c r="D6" s="806">
        <v>1.7566999999999999E-3</v>
      </c>
      <c r="E6" s="807">
        <v>1401</v>
      </c>
      <c r="F6" s="807">
        <v>-40710</v>
      </c>
      <c r="G6" s="807">
        <v>-32060</v>
      </c>
      <c r="H6" s="837"/>
      <c r="I6" s="838">
        <v>34</v>
      </c>
      <c r="J6" s="838">
        <v>1593</v>
      </c>
      <c r="K6" s="838">
        <v>8541</v>
      </c>
      <c r="L6" s="807">
        <v>905</v>
      </c>
      <c r="M6" s="807"/>
      <c r="N6" s="838">
        <v>415</v>
      </c>
      <c r="O6" s="838">
        <v>1538</v>
      </c>
      <c r="P6" s="838">
        <v>0</v>
      </c>
      <c r="Q6" s="807">
        <v>117</v>
      </c>
      <c r="R6" s="807"/>
      <c r="S6" s="838">
        <v>2372</v>
      </c>
      <c r="T6" s="839">
        <v>-122</v>
      </c>
      <c r="U6" s="839">
        <v>2249</v>
      </c>
    </row>
    <row r="7" spans="2:21" x14ac:dyDescent="0.25">
      <c r="B7" s="815" t="s">
        <v>2520</v>
      </c>
      <c r="C7" s="806">
        <v>3.5569999999999998E-3</v>
      </c>
      <c r="D7" s="806">
        <v>3.5098999999999998E-3</v>
      </c>
      <c r="E7" s="807">
        <v>2906</v>
      </c>
      <c r="F7" s="807">
        <v>-81338</v>
      </c>
      <c r="G7" s="807">
        <v>-66502</v>
      </c>
      <c r="H7" s="837"/>
      <c r="I7" s="838">
        <v>71.14</v>
      </c>
      <c r="J7" s="838">
        <v>3304</v>
      </c>
      <c r="K7" s="838">
        <v>17717</v>
      </c>
      <c r="L7" s="807">
        <v>0</v>
      </c>
      <c r="M7" s="807"/>
      <c r="N7" s="838">
        <v>861</v>
      </c>
      <c r="O7" s="838">
        <v>3191</v>
      </c>
      <c r="P7" s="838">
        <v>0</v>
      </c>
      <c r="Q7" s="807">
        <v>2159</v>
      </c>
      <c r="R7" s="807"/>
      <c r="S7" s="838">
        <v>4919</v>
      </c>
      <c r="T7" s="839">
        <v>-1633</v>
      </c>
      <c r="U7" s="839">
        <v>3287</v>
      </c>
    </row>
    <row r="8" spans="2:21" x14ac:dyDescent="0.25">
      <c r="B8" s="815" t="s">
        <v>2521</v>
      </c>
      <c r="C8" s="806">
        <v>2.8322E-3</v>
      </c>
      <c r="D8" s="806">
        <v>2.6254E-3</v>
      </c>
      <c r="E8" s="807">
        <v>2314</v>
      </c>
      <c r="F8" s="807">
        <v>-60841</v>
      </c>
      <c r="G8" s="807">
        <v>-52951</v>
      </c>
      <c r="H8" s="837"/>
      <c r="I8" s="838">
        <v>57</v>
      </c>
      <c r="J8" s="838">
        <v>2631</v>
      </c>
      <c r="K8" s="838">
        <v>14107</v>
      </c>
      <c r="L8" s="807">
        <v>2219</v>
      </c>
      <c r="M8" s="807"/>
      <c r="N8" s="838">
        <v>685</v>
      </c>
      <c r="O8" s="838">
        <v>2540</v>
      </c>
      <c r="P8" s="838">
        <v>0</v>
      </c>
      <c r="Q8" s="807">
        <v>3563</v>
      </c>
      <c r="R8" s="807"/>
      <c r="S8" s="838">
        <v>3917</v>
      </c>
      <c r="T8" s="839">
        <v>49</v>
      </c>
      <c r="U8" s="839">
        <v>3966</v>
      </c>
    </row>
    <row r="9" spans="2:21" x14ac:dyDescent="0.25">
      <c r="B9" s="815" t="s">
        <v>2522</v>
      </c>
      <c r="C9" s="806">
        <v>4.4989000000000001E-3</v>
      </c>
      <c r="D9" s="806">
        <v>4.2408999999999997E-3</v>
      </c>
      <c r="E9" s="807">
        <v>3675.28125</v>
      </c>
      <c r="F9" s="807">
        <v>-98279</v>
      </c>
      <c r="G9" s="807">
        <v>-84111</v>
      </c>
      <c r="H9" s="837"/>
      <c r="I9" s="838">
        <v>90</v>
      </c>
      <c r="J9" s="838">
        <v>4179</v>
      </c>
      <c r="K9" s="838">
        <v>22409</v>
      </c>
      <c r="L9" s="807">
        <v>2424</v>
      </c>
      <c r="M9" s="807"/>
      <c r="N9" s="838">
        <v>1089</v>
      </c>
      <c r="O9" s="838">
        <v>4036</v>
      </c>
      <c r="P9" s="838">
        <v>0</v>
      </c>
      <c r="Q9" s="807">
        <v>4364</v>
      </c>
      <c r="R9" s="807"/>
      <c r="S9" s="838">
        <v>6222</v>
      </c>
      <c r="T9" s="839">
        <v>615</v>
      </c>
      <c r="U9" s="839">
        <v>6837</v>
      </c>
    </row>
    <row r="10" spans="2:21" x14ac:dyDescent="0.25">
      <c r="B10" s="815" t="s">
        <v>2523</v>
      </c>
      <c r="C10" s="806">
        <v>1.1913E-3</v>
      </c>
      <c r="D10" s="806">
        <v>1.1998E-3</v>
      </c>
      <c r="E10" s="807">
        <v>973</v>
      </c>
      <c r="F10" s="807">
        <v>-27804</v>
      </c>
      <c r="G10" s="807">
        <v>-22273</v>
      </c>
      <c r="H10" s="837"/>
      <c r="I10" s="838">
        <v>24</v>
      </c>
      <c r="J10" s="838">
        <v>1107</v>
      </c>
      <c r="K10" s="838">
        <v>5934</v>
      </c>
      <c r="L10" s="807">
        <v>387</v>
      </c>
      <c r="M10" s="807"/>
      <c r="N10" s="838">
        <v>288</v>
      </c>
      <c r="O10" s="838">
        <v>1069</v>
      </c>
      <c r="P10" s="838">
        <v>0</v>
      </c>
      <c r="Q10" s="807">
        <v>54</v>
      </c>
      <c r="R10" s="807"/>
      <c r="S10" s="838">
        <v>1648</v>
      </c>
      <c r="T10" s="839">
        <v>-7</v>
      </c>
      <c r="U10" s="839">
        <v>1641</v>
      </c>
    </row>
    <row r="11" spans="2:21" x14ac:dyDescent="0.25">
      <c r="B11" s="815" t="s">
        <v>2524</v>
      </c>
      <c r="C11" s="806">
        <v>2.5176999999999999E-3</v>
      </c>
      <c r="D11" s="806">
        <v>2.5879000000000002E-3</v>
      </c>
      <c r="E11" s="807">
        <v>2057</v>
      </c>
      <c r="F11" s="807">
        <v>-59972</v>
      </c>
      <c r="G11" s="807">
        <v>-47071</v>
      </c>
      <c r="H11" s="837"/>
      <c r="I11" s="838">
        <v>50</v>
      </c>
      <c r="J11" s="838">
        <v>2339</v>
      </c>
      <c r="K11" s="838">
        <v>12541</v>
      </c>
      <c r="L11" s="807">
        <v>1187</v>
      </c>
      <c r="M11" s="807"/>
      <c r="N11" s="838">
        <v>609</v>
      </c>
      <c r="O11" s="838">
        <v>2258</v>
      </c>
      <c r="P11" s="838">
        <v>0</v>
      </c>
      <c r="Q11" s="807">
        <v>439</v>
      </c>
      <c r="R11" s="807"/>
      <c r="S11" s="838">
        <v>3482</v>
      </c>
      <c r="T11" s="839">
        <v>-1669</v>
      </c>
      <c r="U11" s="839">
        <v>1813</v>
      </c>
    </row>
    <row r="12" spans="2:21" x14ac:dyDescent="0.25">
      <c r="B12" s="815" t="s">
        <v>2525</v>
      </c>
      <c r="C12" s="806">
        <v>1.9386E-2</v>
      </c>
      <c r="D12" s="806">
        <v>2.1004100000000001E-2</v>
      </c>
      <c r="E12" s="807">
        <v>15837</v>
      </c>
      <c r="F12" s="807">
        <v>-486749</v>
      </c>
      <c r="G12" s="807">
        <v>-362441</v>
      </c>
      <c r="H12" s="837"/>
      <c r="I12" s="838">
        <v>387.72</v>
      </c>
      <c r="J12" s="838">
        <v>18010</v>
      </c>
      <c r="K12" s="838">
        <v>96562</v>
      </c>
      <c r="L12" s="807">
        <v>27371</v>
      </c>
      <c r="M12" s="807"/>
      <c r="N12" s="838">
        <v>4691</v>
      </c>
      <c r="O12" s="838">
        <v>17389</v>
      </c>
      <c r="P12" s="838">
        <v>0</v>
      </c>
      <c r="Q12" s="807">
        <v>1414</v>
      </c>
      <c r="R12" s="807"/>
      <c r="S12" s="838">
        <v>26811</v>
      </c>
      <c r="T12" s="839">
        <v>4716</v>
      </c>
      <c r="U12" s="839">
        <v>31527</v>
      </c>
    </row>
    <row r="13" spans="2:21" x14ac:dyDescent="0.25">
      <c r="B13" s="815" t="s">
        <v>2526</v>
      </c>
      <c r="C13" s="806">
        <v>3.46618E-2</v>
      </c>
      <c r="D13" s="806">
        <v>3.4609599999999997E-2</v>
      </c>
      <c r="E13" s="807">
        <v>28316</v>
      </c>
      <c r="F13" s="807">
        <v>-802043</v>
      </c>
      <c r="G13" s="807">
        <v>-648037</v>
      </c>
      <c r="H13" s="837"/>
      <c r="I13" s="838">
        <v>693</v>
      </c>
      <c r="J13" s="838">
        <v>32201</v>
      </c>
      <c r="K13" s="838">
        <v>172650</v>
      </c>
      <c r="L13" s="807">
        <v>0</v>
      </c>
      <c r="M13" s="807"/>
      <c r="N13" s="838">
        <v>8388</v>
      </c>
      <c r="O13" s="838">
        <v>31092</v>
      </c>
      <c r="P13" s="838">
        <v>0</v>
      </c>
      <c r="Q13" s="807">
        <v>28739</v>
      </c>
      <c r="R13" s="807"/>
      <c r="S13" s="838">
        <v>47937</v>
      </c>
      <c r="T13" s="839">
        <v>-28500</v>
      </c>
      <c r="U13" s="839">
        <v>19438</v>
      </c>
    </row>
    <row r="14" spans="2:21" x14ac:dyDescent="0.25">
      <c r="B14" s="815" t="s">
        <v>2527</v>
      </c>
      <c r="C14" s="806">
        <v>1.0696499999999999E-2</v>
      </c>
      <c r="D14" s="806">
        <v>8.3555000000000001E-3</v>
      </c>
      <c r="E14" s="807">
        <v>8738</v>
      </c>
      <c r="F14" s="807">
        <v>-193630</v>
      </c>
      <c r="G14" s="807">
        <v>-199982</v>
      </c>
      <c r="H14" s="837"/>
      <c r="I14" s="838">
        <v>214</v>
      </c>
      <c r="J14" s="838">
        <v>9937</v>
      </c>
      <c r="K14" s="838">
        <v>53279</v>
      </c>
      <c r="L14" s="807">
        <v>0</v>
      </c>
      <c r="M14" s="807"/>
      <c r="N14" s="838">
        <v>2589</v>
      </c>
      <c r="O14" s="838">
        <v>9595</v>
      </c>
      <c r="P14" s="838">
        <v>0</v>
      </c>
      <c r="Q14" s="807">
        <v>46343</v>
      </c>
      <c r="R14" s="807"/>
      <c r="S14" s="838">
        <v>14793</v>
      </c>
      <c r="T14" s="839">
        <v>-26324</v>
      </c>
      <c r="U14" s="839">
        <v>-11531</v>
      </c>
    </row>
    <row r="15" spans="2:21" x14ac:dyDescent="0.25">
      <c r="B15" s="815" t="s">
        <v>2528</v>
      </c>
      <c r="C15" s="806">
        <v>2.39884E-2</v>
      </c>
      <c r="D15" s="806">
        <v>2.2662600000000001E-2</v>
      </c>
      <c r="E15" s="807">
        <v>19597.03</v>
      </c>
      <c r="F15" s="807">
        <v>-525183</v>
      </c>
      <c r="G15" s="807">
        <v>-448487</v>
      </c>
      <c r="H15" s="837"/>
      <c r="I15" s="838">
        <v>480</v>
      </c>
      <c r="J15" s="838">
        <v>22285</v>
      </c>
      <c r="K15" s="838">
        <v>119486</v>
      </c>
      <c r="L15" s="807">
        <v>276</v>
      </c>
      <c r="M15" s="807"/>
      <c r="N15" s="838">
        <v>5805</v>
      </c>
      <c r="O15" s="838">
        <v>21518</v>
      </c>
      <c r="P15" s="838">
        <v>0</v>
      </c>
      <c r="Q15" s="807">
        <v>32965</v>
      </c>
      <c r="R15" s="807"/>
      <c r="S15" s="838">
        <v>33176</v>
      </c>
      <c r="T15" s="839">
        <v>-16866</v>
      </c>
      <c r="U15" s="839">
        <v>16310</v>
      </c>
    </row>
    <row r="16" spans="2:21" x14ac:dyDescent="0.25">
      <c r="B16" s="815" t="s">
        <v>2529</v>
      </c>
      <c r="C16" s="806">
        <v>7.5778E-3</v>
      </c>
      <c r="D16" s="806">
        <v>7.2118E-3</v>
      </c>
      <c r="E16" s="807">
        <v>6191</v>
      </c>
      <c r="F16" s="807">
        <v>-167126</v>
      </c>
      <c r="G16" s="807">
        <v>-141675</v>
      </c>
      <c r="H16" s="837"/>
      <c r="I16" s="838">
        <v>152</v>
      </c>
      <c r="J16" s="838">
        <v>7040</v>
      </c>
      <c r="K16" s="838">
        <v>37745</v>
      </c>
      <c r="L16" s="807">
        <v>3800</v>
      </c>
      <c r="M16" s="807"/>
      <c r="N16" s="838">
        <v>1834</v>
      </c>
      <c r="O16" s="838">
        <v>6797</v>
      </c>
      <c r="P16" s="838">
        <v>0</v>
      </c>
      <c r="Q16" s="807">
        <v>7320</v>
      </c>
      <c r="R16" s="807"/>
      <c r="S16" s="838">
        <v>10480</v>
      </c>
      <c r="T16" s="839">
        <v>-5091</v>
      </c>
      <c r="U16" s="839">
        <v>5389</v>
      </c>
    </row>
    <row r="17" spans="2:21" x14ac:dyDescent="0.25">
      <c r="B17" s="815" t="s">
        <v>2530</v>
      </c>
      <c r="C17" s="806">
        <v>1.103E-3</v>
      </c>
      <c r="D17" s="806">
        <v>9.5220000000000005E-4</v>
      </c>
      <c r="E17" s="807">
        <v>901</v>
      </c>
      <c r="F17" s="807">
        <v>-22066</v>
      </c>
      <c r="G17" s="807">
        <v>-20622</v>
      </c>
      <c r="H17" s="837"/>
      <c r="I17" s="838">
        <v>22</v>
      </c>
      <c r="J17" s="838">
        <v>1025</v>
      </c>
      <c r="K17" s="838">
        <v>5494</v>
      </c>
      <c r="L17" s="807">
        <v>660</v>
      </c>
      <c r="M17" s="807"/>
      <c r="N17" s="838">
        <v>267</v>
      </c>
      <c r="O17" s="838">
        <v>989</v>
      </c>
      <c r="P17" s="838">
        <v>0</v>
      </c>
      <c r="Q17" s="807">
        <v>2551</v>
      </c>
      <c r="R17" s="807"/>
      <c r="S17" s="838">
        <v>1525</v>
      </c>
      <c r="T17" s="839">
        <v>142</v>
      </c>
      <c r="U17" s="839">
        <v>1667</v>
      </c>
    </row>
    <row r="18" spans="2:21" x14ac:dyDescent="0.25">
      <c r="B18" s="815" t="s">
        <v>2531</v>
      </c>
      <c r="C18" s="806">
        <v>1.33673E-2</v>
      </c>
      <c r="D18" s="806">
        <v>1.09128E-2</v>
      </c>
      <c r="E18" s="807">
        <v>10920</v>
      </c>
      <c r="F18" s="807">
        <v>-252893</v>
      </c>
      <c r="G18" s="807">
        <v>-249915</v>
      </c>
      <c r="H18" s="837"/>
      <c r="I18" s="838">
        <v>267</v>
      </c>
      <c r="J18" s="838">
        <v>12418</v>
      </c>
      <c r="K18" s="838">
        <v>66583</v>
      </c>
      <c r="L18" s="807">
        <v>1177</v>
      </c>
      <c r="M18" s="807"/>
      <c r="N18" s="838">
        <v>3235</v>
      </c>
      <c r="O18" s="838">
        <v>11990</v>
      </c>
      <c r="P18" s="838">
        <v>0</v>
      </c>
      <c r="Q18" s="807">
        <v>41519</v>
      </c>
      <c r="R18" s="807"/>
      <c r="S18" s="838">
        <v>18487</v>
      </c>
      <c r="T18" s="839">
        <v>-14988</v>
      </c>
      <c r="U18" s="839">
        <v>3499</v>
      </c>
    </row>
    <row r="19" spans="2:21" x14ac:dyDescent="0.25">
      <c r="B19" s="815" t="s">
        <v>2532</v>
      </c>
      <c r="C19" s="806">
        <v>1.7351999999999999E-3</v>
      </c>
      <c r="D19" s="806">
        <v>1.6876E-3</v>
      </c>
      <c r="E19" s="807">
        <v>1418</v>
      </c>
      <c r="F19" s="807">
        <v>-39108</v>
      </c>
      <c r="G19" s="807">
        <v>-32441</v>
      </c>
      <c r="H19" s="837"/>
      <c r="I19" s="838">
        <v>35</v>
      </c>
      <c r="J19" s="838">
        <v>1612</v>
      </c>
      <c r="K19" s="838">
        <v>8643</v>
      </c>
      <c r="L19" s="807">
        <v>89</v>
      </c>
      <c r="M19" s="807"/>
      <c r="N19" s="838">
        <v>420</v>
      </c>
      <c r="O19" s="838">
        <v>1556</v>
      </c>
      <c r="P19" s="838">
        <v>0</v>
      </c>
      <c r="Q19" s="807">
        <v>1071</v>
      </c>
      <c r="R19" s="807"/>
      <c r="S19" s="838">
        <v>2400</v>
      </c>
      <c r="T19" s="839">
        <v>-1594</v>
      </c>
      <c r="U19" s="839">
        <v>806</v>
      </c>
    </row>
    <row r="20" spans="2:21" x14ac:dyDescent="0.25">
      <c r="B20" s="815" t="s">
        <v>2533</v>
      </c>
      <c r="C20" s="806">
        <v>1.6867199999999999E-2</v>
      </c>
      <c r="D20" s="806">
        <v>1.65814E-2</v>
      </c>
      <c r="E20" s="807">
        <v>13779</v>
      </c>
      <c r="F20" s="807">
        <v>-384257</v>
      </c>
      <c r="G20" s="807">
        <v>-315349</v>
      </c>
      <c r="H20" s="837"/>
      <c r="I20" s="838">
        <v>337</v>
      </c>
      <c r="J20" s="838">
        <v>15670</v>
      </c>
      <c r="K20" s="838">
        <v>84016</v>
      </c>
      <c r="L20" s="807">
        <v>0</v>
      </c>
      <c r="M20" s="807"/>
      <c r="N20" s="838">
        <v>4082</v>
      </c>
      <c r="O20" s="838">
        <v>15130</v>
      </c>
      <c r="P20" s="838">
        <v>0</v>
      </c>
      <c r="Q20" s="807">
        <v>8888</v>
      </c>
      <c r="R20" s="807"/>
      <c r="S20" s="838">
        <v>23327</v>
      </c>
      <c r="T20" s="839">
        <v>-6759</v>
      </c>
      <c r="U20" s="839">
        <v>16569</v>
      </c>
    </row>
    <row r="21" spans="2:21" x14ac:dyDescent="0.25">
      <c r="B21" s="815" t="s">
        <v>2534</v>
      </c>
      <c r="C21" s="806">
        <v>8.1905999999999993E-3</v>
      </c>
      <c r="D21" s="806">
        <v>8.4030000000000007E-3</v>
      </c>
      <c r="E21" s="807">
        <v>6691</v>
      </c>
      <c r="F21" s="807">
        <v>-194731</v>
      </c>
      <c r="G21" s="807">
        <v>-153131</v>
      </c>
      <c r="H21" s="837"/>
      <c r="I21" s="838">
        <v>164</v>
      </c>
      <c r="J21" s="838">
        <v>7609</v>
      </c>
      <c r="K21" s="838">
        <v>40797</v>
      </c>
      <c r="L21" s="807">
        <v>3593</v>
      </c>
      <c r="M21" s="807"/>
      <c r="N21" s="838">
        <v>1982</v>
      </c>
      <c r="O21" s="838">
        <v>7347</v>
      </c>
      <c r="P21" s="838">
        <v>0</v>
      </c>
      <c r="Q21" s="807">
        <v>1438</v>
      </c>
      <c r="R21" s="807"/>
      <c r="S21" s="838">
        <v>11328</v>
      </c>
      <c r="T21" s="839">
        <v>-1210</v>
      </c>
      <c r="U21" s="839">
        <v>10117</v>
      </c>
    </row>
    <row r="22" spans="2:21" x14ac:dyDescent="0.25">
      <c r="B22" s="815" t="s">
        <v>2535</v>
      </c>
      <c r="C22" s="806">
        <v>3.8235000000000001E-3</v>
      </c>
      <c r="D22" s="806">
        <v>3.7967000000000001E-3</v>
      </c>
      <c r="E22" s="807">
        <v>3124</v>
      </c>
      <c r="F22" s="807">
        <v>-87985</v>
      </c>
      <c r="G22" s="807">
        <v>-71484</v>
      </c>
      <c r="H22" s="837"/>
      <c r="I22" s="838">
        <v>76.47</v>
      </c>
      <c r="J22" s="838">
        <v>3552</v>
      </c>
      <c r="K22" s="838">
        <v>19045</v>
      </c>
      <c r="L22" s="807">
        <v>62</v>
      </c>
      <c r="M22" s="807"/>
      <c r="N22" s="838">
        <v>925</v>
      </c>
      <c r="O22" s="838">
        <v>3430</v>
      </c>
      <c r="P22" s="838">
        <v>0</v>
      </c>
      <c r="Q22" s="807">
        <v>2434</v>
      </c>
      <c r="R22" s="807"/>
      <c r="S22" s="838">
        <v>5288</v>
      </c>
      <c r="T22" s="839">
        <v>-1532</v>
      </c>
      <c r="U22" s="839">
        <v>3756</v>
      </c>
    </row>
    <row r="23" spans="2:21" x14ac:dyDescent="0.25">
      <c r="B23" s="815" t="s">
        <v>2536</v>
      </c>
      <c r="C23" s="806">
        <v>1.5716E-3</v>
      </c>
      <c r="D23" s="806">
        <v>1.6087E-3</v>
      </c>
      <c r="E23" s="807">
        <v>1283.895</v>
      </c>
      <c r="F23" s="807">
        <v>-37280</v>
      </c>
      <c r="G23" s="807">
        <v>-29383</v>
      </c>
      <c r="H23" s="837"/>
      <c r="I23" s="838">
        <v>31</v>
      </c>
      <c r="J23" s="838">
        <v>1460</v>
      </c>
      <c r="K23" s="838">
        <v>7828</v>
      </c>
      <c r="L23" s="807">
        <v>987</v>
      </c>
      <c r="M23" s="807"/>
      <c r="N23" s="838">
        <v>380</v>
      </c>
      <c r="O23" s="838">
        <v>1410</v>
      </c>
      <c r="P23" s="838">
        <v>0</v>
      </c>
      <c r="Q23" s="807">
        <v>128</v>
      </c>
      <c r="R23" s="807"/>
      <c r="S23" s="838">
        <v>2174</v>
      </c>
      <c r="T23" s="839">
        <v>-76</v>
      </c>
      <c r="U23" s="839">
        <v>2098</v>
      </c>
    </row>
    <row r="24" spans="2:21" x14ac:dyDescent="0.25">
      <c r="B24" s="815" t="s">
        <v>2537</v>
      </c>
      <c r="C24" s="806">
        <v>1.5135000000000001E-3</v>
      </c>
      <c r="D24" s="806">
        <v>1.588E-3</v>
      </c>
      <c r="E24" s="807">
        <v>1236</v>
      </c>
      <c r="F24" s="807">
        <v>-36800</v>
      </c>
      <c r="G24" s="807">
        <v>-28296</v>
      </c>
      <c r="H24" s="837"/>
      <c r="I24" s="838">
        <v>30</v>
      </c>
      <c r="J24" s="838">
        <v>1406</v>
      </c>
      <c r="K24" s="838">
        <v>7539</v>
      </c>
      <c r="L24" s="807">
        <v>2566</v>
      </c>
      <c r="M24" s="807"/>
      <c r="N24" s="838">
        <v>366</v>
      </c>
      <c r="O24" s="838">
        <v>1358</v>
      </c>
      <c r="P24" s="838">
        <v>0</v>
      </c>
      <c r="Q24" s="807">
        <v>81</v>
      </c>
      <c r="R24" s="807"/>
      <c r="S24" s="838">
        <v>2093</v>
      </c>
      <c r="T24" s="839">
        <v>1215</v>
      </c>
      <c r="U24" s="839">
        <v>3308</v>
      </c>
    </row>
    <row r="25" spans="2:21" x14ac:dyDescent="0.25">
      <c r="B25" s="815" t="s">
        <v>2538</v>
      </c>
      <c r="C25" s="806">
        <v>6.5862000000000004E-3</v>
      </c>
      <c r="D25" s="806">
        <v>6.7035999999999997E-3</v>
      </c>
      <c r="E25" s="807">
        <v>5380</v>
      </c>
      <c r="F25" s="807">
        <v>-155349</v>
      </c>
      <c r="G25" s="807">
        <v>-123136</v>
      </c>
      <c r="H25" s="837"/>
      <c r="I25" s="838">
        <v>132</v>
      </c>
      <c r="J25" s="838">
        <v>6119</v>
      </c>
      <c r="K25" s="838">
        <v>32806</v>
      </c>
      <c r="L25" s="807">
        <v>1986</v>
      </c>
      <c r="M25" s="807"/>
      <c r="N25" s="838">
        <v>1594</v>
      </c>
      <c r="O25" s="838">
        <v>5908</v>
      </c>
      <c r="P25" s="838">
        <v>0</v>
      </c>
      <c r="Q25" s="807">
        <v>3022</v>
      </c>
      <c r="R25" s="807"/>
      <c r="S25" s="838">
        <v>9109</v>
      </c>
      <c r="T25" s="839">
        <v>-3336</v>
      </c>
      <c r="U25" s="839">
        <v>5773</v>
      </c>
    </row>
    <row r="26" spans="2:21" x14ac:dyDescent="0.25">
      <c r="B26" s="815" t="s">
        <v>2539</v>
      </c>
      <c r="C26" s="806">
        <v>4.1635999999999999E-3</v>
      </c>
      <c r="D26" s="806">
        <v>4.5163E-3</v>
      </c>
      <c r="E26" s="807">
        <v>3401</v>
      </c>
      <c r="F26" s="807">
        <v>-104661</v>
      </c>
      <c r="G26" s="807">
        <v>-77843</v>
      </c>
      <c r="H26" s="837"/>
      <c r="I26" s="838">
        <v>83</v>
      </c>
      <c r="J26" s="838">
        <v>3868</v>
      </c>
      <c r="K26" s="838">
        <v>20739</v>
      </c>
      <c r="L26" s="807">
        <v>6561</v>
      </c>
      <c r="M26" s="807"/>
      <c r="N26" s="838">
        <v>1008</v>
      </c>
      <c r="O26" s="838">
        <v>3735</v>
      </c>
      <c r="P26" s="838">
        <v>0</v>
      </c>
      <c r="Q26" s="807">
        <v>1735</v>
      </c>
      <c r="R26" s="807"/>
      <c r="S26" s="838">
        <v>5758</v>
      </c>
      <c r="T26" s="839">
        <v>-5660</v>
      </c>
      <c r="U26" s="839">
        <v>98</v>
      </c>
    </row>
    <row r="27" spans="2:21" x14ac:dyDescent="0.25">
      <c r="B27" s="815" t="s">
        <v>2540</v>
      </c>
      <c r="C27" s="806">
        <v>1.21683E-2</v>
      </c>
      <c r="D27" s="806">
        <v>1.1118100000000001E-2</v>
      </c>
      <c r="E27" s="807">
        <v>9941</v>
      </c>
      <c r="F27" s="807">
        <v>-257651</v>
      </c>
      <c r="G27" s="807">
        <v>-227499</v>
      </c>
      <c r="H27" s="837"/>
      <c r="I27" s="838">
        <v>243</v>
      </c>
      <c r="J27" s="838">
        <v>11304</v>
      </c>
      <c r="K27" s="838">
        <v>60610</v>
      </c>
      <c r="L27" s="807">
        <v>193</v>
      </c>
      <c r="M27" s="807"/>
      <c r="N27" s="838">
        <v>2945</v>
      </c>
      <c r="O27" s="838">
        <v>10915</v>
      </c>
      <c r="P27" s="838">
        <v>0</v>
      </c>
      <c r="Q27" s="807">
        <v>18066</v>
      </c>
      <c r="R27" s="807"/>
      <c r="S27" s="838">
        <v>16829</v>
      </c>
      <c r="T27" s="839">
        <v>-6784</v>
      </c>
      <c r="U27" s="839">
        <v>10045</v>
      </c>
    </row>
    <row r="28" spans="2:21" x14ac:dyDescent="0.25">
      <c r="B28" s="815" t="s">
        <v>2541</v>
      </c>
      <c r="C28" s="806">
        <v>3.3197299999999999E-2</v>
      </c>
      <c r="D28" s="806">
        <v>3.4555299999999997E-2</v>
      </c>
      <c r="E28" s="807">
        <v>27120</v>
      </c>
      <c r="F28" s="807">
        <v>-800785</v>
      </c>
      <c r="G28" s="807">
        <v>-620657</v>
      </c>
      <c r="H28" s="837"/>
      <c r="I28" s="838">
        <v>664</v>
      </c>
      <c r="J28" s="838">
        <v>30840</v>
      </c>
      <c r="K28" s="838">
        <v>165356</v>
      </c>
      <c r="L28" s="807">
        <v>27988</v>
      </c>
      <c r="M28" s="807"/>
      <c r="N28" s="838">
        <v>8034</v>
      </c>
      <c r="O28" s="838">
        <v>29778</v>
      </c>
      <c r="P28" s="838">
        <v>0</v>
      </c>
      <c r="Q28" s="807">
        <v>189</v>
      </c>
      <c r="R28" s="807"/>
      <c r="S28" s="838">
        <v>45912</v>
      </c>
      <c r="T28" s="839">
        <v>12930</v>
      </c>
      <c r="U28" s="839">
        <v>58842</v>
      </c>
    </row>
    <row r="29" spans="2:21" x14ac:dyDescent="0.25">
      <c r="B29" s="815" t="s">
        <v>2542</v>
      </c>
      <c r="C29" s="806">
        <v>4.1034000000000001E-3</v>
      </c>
      <c r="D29" s="806">
        <v>4.2293000000000001E-3</v>
      </c>
      <c r="E29" s="807">
        <v>3352</v>
      </c>
      <c r="F29" s="807">
        <v>-98010</v>
      </c>
      <c r="G29" s="807">
        <v>-76717</v>
      </c>
      <c r="H29" s="837"/>
      <c r="I29" s="838">
        <v>82</v>
      </c>
      <c r="J29" s="838">
        <v>3812</v>
      </c>
      <c r="K29" s="838">
        <v>20439</v>
      </c>
      <c r="L29" s="807">
        <v>2902</v>
      </c>
      <c r="M29" s="807"/>
      <c r="N29" s="838">
        <v>993</v>
      </c>
      <c r="O29" s="838">
        <v>3681</v>
      </c>
      <c r="P29" s="838">
        <v>0</v>
      </c>
      <c r="Q29" s="807">
        <v>0</v>
      </c>
      <c r="R29" s="807"/>
      <c r="S29" s="838">
        <v>5675</v>
      </c>
      <c r="T29" s="839">
        <v>3084</v>
      </c>
      <c r="U29" s="839">
        <v>8759</v>
      </c>
    </row>
    <row r="30" spans="2:21" x14ac:dyDescent="0.25">
      <c r="B30" s="815" t="s">
        <v>2543</v>
      </c>
      <c r="C30" s="806">
        <v>9.5162000000000007E-3</v>
      </c>
      <c r="D30" s="806">
        <v>9.1173000000000001E-3</v>
      </c>
      <c r="E30" s="807">
        <v>7774</v>
      </c>
      <c r="F30" s="807">
        <v>-211284</v>
      </c>
      <c r="G30" s="807">
        <v>-177915</v>
      </c>
      <c r="H30" s="837"/>
      <c r="I30" s="838">
        <v>190</v>
      </c>
      <c r="J30" s="838">
        <v>8841</v>
      </c>
      <c r="K30" s="838">
        <v>47400</v>
      </c>
      <c r="L30" s="807">
        <v>2644</v>
      </c>
      <c r="M30" s="807"/>
      <c r="N30" s="838">
        <v>2303</v>
      </c>
      <c r="O30" s="838">
        <v>8536</v>
      </c>
      <c r="P30" s="838">
        <v>0</v>
      </c>
      <c r="Q30" s="807">
        <v>6748</v>
      </c>
      <c r="R30" s="807"/>
      <c r="S30" s="838">
        <v>13161</v>
      </c>
      <c r="T30" s="839">
        <v>505</v>
      </c>
      <c r="U30" s="839">
        <v>13666</v>
      </c>
    </row>
    <row r="31" spans="2:21" x14ac:dyDescent="0.25">
      <c r="B31" s="815" t="s">
        <v>2544</v>
      </c>
      <c r="C31" s="806">
        <v>1.08719E-2</v>
      </c>
      <c r="D31" s="806">
        <v>1.2908599999999999E-2</v>
      </c>
      <c r="E31" s="807">
        <v>8882</v>
      </c>
      <c r="F31" s="807">
        <v>-299144</v>
      </c>
      <c r="G31" s="807">
        <v>-203261</v>
      </c>
      <c r="H31" s="837"/>
      <c r="I31" s="838">
        <v>217</v>
      </c>
      <c r="J31" s="838">
        <v>10100</v>
      </c>
      <c r="K31" s="838">
        <v>54153</v>
      </c>
      <c r="L31" s="807">
        <v>41077</v>
      </c>
      <c r="M31" s="807"/>
      <c r="N31" s="838">
        <v>2631</v>
      </c>
      <c r="O31" s="838">
        <v>9752</v>
      </c>
      <c r="P31" s="838">
        <v>0</v>
      </c>
      <c r="Q31" s="807">
        <v>0</v>
      </c>
      <c r="R31" s="807"/>
      <c r="S31" s="838">
        <v>15036</v>
      </c>
      <c r="T31" s="839">
        <v>42387</v>
      </c>
      <c r="U31" s="839">
        <v>57423</v>
      </c>
    </row>
    <row r="32" spans="2:21" x14ac:dyDescent="0.25">
      <c r="B32" s="815" t="s">
        <v>2545</v>
      </c>
      <c r="C32" s="806">
        <v>4.0918999999999999E-3</v>
      </c>
      <c r="D32" s="806">
        <v>4.2021000000000003E-3</v>
      </c>
      <c r="E32" s="807">
        <v>3343</v>
      </c>
      <c r="F32" s="807">
        <v>-97379</v>
      </c>
      <c r="G32" s="807">
        <v>-76502</v>
      </c>
      <c r="H32" s="837"/>
      <c r="I32" s="838">
        <v>82</v>
      </c>
      <c r="J32" s="838">
        <v>3801</v>
      </c>
      <c r="K32" s="838">
        <v>20382</v>
      </c>
      <c r="L32" s="807">
        <v>1864</v>
      </c>
      <c r="M32" s="807"/>
      <c r="N32" s="838">
        <v>990</v>
      </c>
      <c r="O32" s="838">
        <v>3670</v>
      </c>
      <c r="P32" s="838">
        <v>0</v>
      </c>
      <c r="Q32" s="807">
        <v>1863</v>
      </c>
      <c r="R32" s="807"/>
      <c r="S32" s="838">
        <v>5659</v>
      </c>
      <c r="T32" s="839">
        <v>-1331</v>
      </c>
      <c r="U32" s="839">
        <v>4328</v>
      </c>
    </row>
    <row r="33" spans="2:21" x14ac:dyDescent="0.25">
      <c r="B33" s="815" t="s">
        <v>2546</v>
      </c>
      <c r="C33" s="806">
        <v>4.2513000000000004E-3</v>
      </c>
      <c r="D33" s="806">
        <v>4.1583999999999996E-3</v>
      </c>
      <c r="E33" s="807">
        <v>3473</v>
      </c>
      <c r="F33" s="807">
        <v>-96367</v>
      </c>
      <c r="G33" s="807">
        <v>-79482</v>
      </c>
      <c r="H33" s="837"/>
      <c r="I33" s="838">
        <v>85</v>
      </c>
      <c r="J33" s="838">
        <v>3949</v>
      </c>
      <c r="K33" s="838">
        <v>21176</v>
      </c>
      <c r="L33" s="807">
        <v>0</v>
      </c>
      <c r="M33" s="807"/>
      <c r="N33" s="838">
        <v>1029</v>
      </c>
      <c r="O33" s="838">
        <v>3813</v>
      </c>
      <c r="P33" s="838">
        <v>0</v>
      </c>
      <c r="Q33" s="807">
        <v>2037</v>
      </c>
      <c r="R33" s="807"/>
      <c r="S33" s="838">
        <v>5880</v>
      </c>
      <c r="T33" s="839">
        <v>-2586</v>
      </c>
      <c r="U33" s="839">
        <v>3293</v>
      </c>
    </row>
    <row r="34" spans="2:21" x14ac:dyDescent="0.25">
      <c r="B34" s="815" t="s">
        <v>2547</v>
      </c>
      <c r="C34" s="806">
        <v>3.1125E-2</v>
      </c>
      <c r="D34" s="806">
        <v>3.0139099999999999E-2</v>
      </c>
      <c r="E34" s="807">
        <v>25427</v>
      </c>
      <c r="F34" s="807">
        <v>-698444</v>
      </c>
      <c r="G34" s="807">
        <v>-581913</v>
      </c>
      <c r="H34" s="837"/>
      <c r="I34" s="838">
        <v>622.5</v>
      </c>
      <c r="J34" s="838">
        <v>28915.125</v>
      </c>
      <c r="K34" s="838">
        <v>155034</v>
      </c>
      <c r="L34" s="807">
        <v>0</v>
      </c>
      <c r="M34" s="807"/>
      <c r="N34" s="838">
        <v>7532.25</v>
      </c>
      <c r="O34" s="838">
        <v>27919.125</v>
      </c>
      <c r="P34" s="838">
        <v>0</v>
      </c>
      <c r="Q34" s="807">
        <v>28285</v>
      </c>
      <c r="R34" s="807"/>
      <c r="S34" s="838">
        <v>43045.875</v>
      </c>
      <c r="T34" s="839">
        <v>-23643</v>
      </c>
      <c r="U34" s="839">
        <v>19402</v>
      </c>
    </row>
    <row r="35" spans="2:21" x14ac:dyDescent="0.25">
      <c r="B35" s="815" t="s">
        <v>2548</v>
      </c>
      <c r="C35" s="806">
        <v>3.4244000000000002E-3</v>
      </c>
      <c r="D35" s="806">
        <v>3.5536000000000001E-3</v>
      </c>
      <c r="E35" s="807">
        <v>2798</v>
      </c>
      <c r="F35" s="807">
        <v>-82351</v>
      </c>
      <c r="G35" s="807">
        <v>-64023</v>
      </c>
      <c r="H35" s="837"/>
      <c r="I35" s="838">
        <v>68</v>
      </c>
      <c r="J35" s="838">
        <v>3181</v>
      </c>
      <c r="K35" s="838">
        <v>17057</v>
      </c>
      <c r="L35" s="807">
        <v>2185</v>
      </c>
      <c r="M35" s="807"/>
      <c r="N35" s="838">
        <v>829</v>
      </c>
      <c r="O35" s="838">
        <v>3072</v>
      </c>
      <c r="P35" s="838">
        <v>0</v>
      </c>
      <c r="Q35" s="807">
        <v>785</v>
      </c>
      <c r="R35" s="807"/>
      <c r="S35" s="838">
        <v>4736</v>
      </c>
      <c r="T35" s="839">
        <v>-517</v>
      </c>
      <c r="U35" s="839">
        <v>4219</v>
      </c>
    </row>
    <row r="36" spans="2:21" x14ac:dyDescent="0.25">
      <c r="B36" s="815" t="s">
        <v>2549</v>
      </c>
      <c r="C36" s="806">
        <v>3.9605899999999999E-2</v>
      </c>
      <c r="D36" s="806">
        <v>3.9285199999999999E-2</v>
      </c>
      <c r="E36" s="807">
        <v>32356</v>
      </c>
      <c r="F36" s="807">
        <v>-910395</v>
      </c>
      <c r="G36" s="807">
        <v>-740472</v>
      </c>
      <c r="H36" s="837"/>
      <c r="I36" s="838">
        <v>792</v>
      </c>
      <c r="J36" s="838">
        <v>36794</v>
      </c>
      <c r="K36" s="838">
        <v>197277</v>
      </c>
      <c r="L36" s="807">
        <v>0</v>
      </c>
      <c r="M36" s="807"/>
      <c r="N36" s="838">
        <v>9585</v>
      </c>
      <c r="O36" s="838">
        <v>35526</v>
      </c>
      <c r="P36" s="838">
        <v>0</v>
      </c>
      <c r="Q36" s="807">
        <v>11427</v>
      </c>
      <c r="R36" s="807"/>
      <c r="S36" s="838">
        <v>54775</v>
      </c>
      <c r="T36" s="839">
        <v>-11290</v>
      </c>
      <c r="U36" s="839">
        <v>43485</v>
      </c>
    </row>
    <row r="37" spans="2:21" x14ac:dyDescent="0.25">
      <c r="B37" s="815" t="s">
        <v>2550</v>
      </c>
      <c r="C37" s="806">
        <v>5.6988999999999998E-3</v>
      </c>
      <c r="D37" s="806">
        <v>5.2674999999999996E-3</v>
      </c>
      <c r="E37" s="807">
        <v>4656</v>
      </c>
      <c r="F37" s="807">
        <v>-122069</v>
      </c>
      <c r="G37" s="807">
        <v>-106547</v>
      </c>
      <c r="H37" s="837"/>
      <c r="I37" s="838">
        <v>114</v>
      </c>
      <c r="J37" s="838">
        <v>5294</v>
      </c>
      <c r="K37" s="838">
        <v>28386</v>
      </c>
      <c r="L37" s="807">
        <v>0</v>
      </c>
      <c r="M37" s="807"/>
      <c r="N37" s="838">
        <v>1379</v>
      </c>
      <c r="O37" s="838">
        <v>5112</v>
      </c>
      <c r="P37" s="838">
        <v>0</v>
      </c>
      <c r="Q37" s="807">
        <v>7956</v>
      </c>
      <c r="R37" s="807"/>
      <c r="S37" s="838">
        <v>7882</v>
      </c>
      <c r="T37" s="839">
        <v>-4779</v>
      </c>
      <c r="U37" s="839">
        <v>3103</v>
      </c>
    </row>
    <row r="38" spans="2:21" x14ac:dyDescent="0.25">
      <c r="B38" s="815" t="s">
        <v>2551</v>
      </c>
      <c r="C38" s="806">
        <v>1.13299E-2</v>
      </c>
      <c r="D38" s="806">
        <v>1.34155E-2</v>
      </c>
      <c r="E38" s="807">
        <v>9256</v>
      </c>
      <c r="F38" s="807">
        <v>-310891</v>
      </c>
      <c r="G38" s="807">
        <v>-211824</v>
      </c>
      <c r="H38" s="837"/>
      <c r="I38" s="838">
        <v>227</v>
      </c>
      <c r="J38" s="838">
        <v>10525</v>
      </c>
      <c r="K38" s="838">
        <v>56434</v>
      </c>
      <c r="L38" s="807">
        <v>42086</v>
      </c>
      <c r="M38" s="807"/>
      <c r="N38" s="838">
        <v>2742</v>
      </c>
      <c r="O38" s="838">
        <v>10163</v>
      </c>
      <c r="P38" s="838">
        <v>0</v>
      </c>
      <c r="Q38" s="807">
        <v>299</v>
      </c>
      <c r="R38" s="807"/>
      <c r="S38" s="838">
        <v>15669</v>
      </c>
      <c r="T38" s="839">
        <v>19065</v>
      </c>
      <c r="U38" s="839">
        <v>34734</v>
      </c>
    </row>
    <row r="39" spans="2:21" x14ac:dyDescent="0.25">
      <c r="B39" s="815" t="s">
        <v>2552</v>
      </c>
      <c r="C39" s="806">
        <v>9.5730000000000001E-4</v>
      </c>
      <c r="D39" s="806">
        <v>9.4289999999999999E-4</v>
      </c>
      <c r="E39" s="807">
        <v>782</v>
      </c>
      <c r="F39" s="807">
        <v>-21851</v>
      </c>
      <c r="G39" s="807">
        <v>-17898</v>
      </c>
      <c r="H39" s="837"/>
      <c r="I39" s="838">
        <v>19</v>
      </c>
      <c r="J39" s="838">
        <v>889</v>
      </c>
      <c r="K39" s="838">
        <v>4768</v>
      </c>
      <c r="L39" s="807">
        <v>468</v>
      </c>
      <c r="M39" s="807"/>
      <c r="N39" s="838">
        <v>232</v>
      </c>
      <c r="O39" s="838">
        <v>859</v>
      </c>
      <c r="P39" s="838">
        <v>0</v>
      </c>
      <c r="Q39" s="807">
        <v>305</v>
      </c>
      <c r="R39" s="807"/>
      <c r="S39" s="838">
        <v>1324</v>
      </c>
      <c r="T39" s="839">
        <v>-20</v>
      </c>
      <c r="U39" s="839">
        <v>1304</v>
      </c>
    </row>
    <row r="40" spans="2:21" x14ac:dyDescent="0.25">
      <c r="B40" s="815" t="s">
        <v>2553</v>
      </c>
      <c r="C40" s="806">
        <v>6.8349999999999997E-4</v>
      </c>
      <c r="D40" s="806">
        <v>6.3060000000000004E-4</v>
      </c>
      <c r="E40" s="807">
        <v>558</v>
      </c>
      <c r="F40" s="807">
        <v>-14614</v>
      </c>
      <c r="G40" s="807">
        <v>-12779</v>
      </c>
      <c r="H40" s="837"/>
      <c r="I40" s="838">
        <v>13.67</v>
      </c>
      <c r="J40" s="838">
        <v>635</v>
      </c>
      <c r="K40" s="838">
        <v>3405</v>
      </c>
      <c r="L40" s="807">
        <v>355</v>
      </c>
      <c r="M40" s="807"/>
      <c r="N40" s="838">
        <v>165</v>
      </c>
      <c r="O40" s="838">
        <v>613</v>
      </c>
      <c r="P40" s="838">
        <v>0</v>
      </c>
      <c r="Q40" s="807">
        <v>899</v>
      </c>
      <c r="R40" s="807"/>
      <c r="S40" s="838">
        <v>945</v>
      </c>
      <c r="T40" s="839">
        <v>-104</v>
      </c>
      <c r="U40" s="839">
        <v>841</v>
      </c>
    </row>
    <row r="41" spans="2:21" x14ac:dyDescent="0.25">
      <c r="B41" s="815" t="s">
        <v>2554</v>
      </c>
      <c r="C41" s="806">
        <v>4.3911999999999996E-3</v>
      </c>
      <c r="D41" s="806">
        <v>4.5859000000000004E-3</v>
      </c>
      <c r="E41" s="807">
        <v>3587.31</v>
      </c>
      <c r="F41" s="807">
        <v>-106274</v>
      </c>
      <c r="G41" s="807">
        <v>-82098</v>
      </c>
      <c r="H41" s="837"/>
      <c r="I41" s="838">
        <v>88</v>
      </c>
      <c r="J41" s="838">
        <v>4079</v>
      </c>
      <c r="K41" s="838">
        <v>21873</v>
      </c>
      <c r="L41" s="807">
        <v>3293</v>
      </c>
      <c r="M41" s="807"/>
      <c r="N41" s="838">
        <v>1063</v>
      </c>
      <c r="O41" s="838">
        <v>3939</v>
      </c>
      <c r="P41" s="838">
        <v>0</v>
      </c>
      <c r="Q41" s="807">
        <v>513</v>
      </c>
      <c r="R41" s="807"/>
      <c r="S41" s="838">
        <v>6073</v>
      </c>
      <c r="T41" s="839">
        <v>-725</v>
      </c>
      <c r="U41" s="839">
        <v>5348</v>
      </c>
    </row>
    <row r="42" spans="2:21" x14ac:dyDescent="0.25">
      <c r="B42" s="815" t="s">
        <v>2555</v>
      </c>
      <c r="C42" s="806">
        <v>1.2329000000000001E-3</v>
      </c>
      <c r="D42" s="806">
        <v>1.1410999999999999E-3</v>
      </c>
      <c r="E42" s="807">
        <v>1007</v>
      </c>
      <c r="F42" s="807">
        <v>-26444</v>
      </c>
      <c r="G42" s="807">
        <v>-23050</v>
      </c>
      <c r="H42" s="837"/>
      <c r="I42" s="838">
        <v>25</v>
      </c>
      <c r="J42" s="838">
        <v>1145</v>
      </c>
      <c r="K42" s="838">
        <v>6141</v>
      </c>
      <c r="L42" s="807">
        <v>457</v>
      </c>
      <c r="M42" s="807"/>
      <c r="N42" s="838">
        <v>298</v>
      </c>
      <c r="O42" s="838">
        <v>1106</v>
      </c>
      <c r="P42" s="838">
        <v>0</v>
      </c>
      <c r="Q42" s="807">
        <v>1846</v>
      </c>
      <c r="R42" s="807"/>
      <c r="S42" s="838">
        <v>1705</v>
      </c>
      <c r="T42" s="839">
        <v>-1740</v>
      </c>
      <c r="U42" s="839">
        <v>-35</v>
      </c>
    </row>
    <row r="43" spans="2:21" x14ac:dyDescent="0.25">
      <c r="B43" s="815" t="s">
        <v>2556</v>
      </c>
      <c r="C43" s="806">
        <v>4.39733E-2</v>
      </c>
      <c r="D43" s="806">
        <v>4.36596E-2</v>
      </c>
      <c r="E43" s="807">
        <v>35923</v>
      </c>
      <c r="F43" s="807">
        <v>-1011768</v>
      </c>
      <c r="G43" s="807">
        <v>-822125</v>
      </c>
      <c r="H43" s="837"/>
      <c r="I43" s="838">
        <v>879</v>
      </c>
      <c r="J43" s="838">
        <v>40851</v>
      </c>
      <c r="K43" s="838">
        <v>219031</v>
      </c>
      <c r="L43" s="807">
        <v>0</v>
      </c>
      <c r="M43" s="807"/>
      <c r="N43" s="838">
        <v>10642</v>
      </c>
      <c r="O43" s="838">
        <v>39444</v>
      </c>
      <c r="P43" s="838">
        <v>0</v>
      </c>
      <c r="Q43" s="807">
        <v>10687</v>
      </c>
      <c r="R43" s="807"/>
      <c r="S43" s="838">
        <v>60815</v>
      </c>
      <c r="T43" s="839">
        <v>-7278</v>
      </c>
      <c r="U43" s="839">
        <v>53537</v>
      </c>
    </row>
    <row r="44" spans="2:21" x14ac:dyDescent="0.25">
      <c r="B44" s="815" t="s">
        <v>2557</v>
      </c>
      <c r="C44" s="806">
        <v>4.2215000000000004E-3</v>
      </c>
      <c r="D44" s="806">
        <v>4.3917000000000001E-3</v>
      </c>
      <c r="E44" s="807">
        <v>3449</v>
      </c>
      <c r="F44" s="807">
        <v>-101773</v>
      </c>
      <c r="G44" s="807">
        <v>-78925</v>
      </c>
      <c r="H44" s="837"/>
      <c r="I44" s="838">
        <v>84.43</v>
      </c>
      <c r="J44" s="838">
        <v>3922</v>
      </c>
      <c r="K44" s="838">
        <v>21027</v>
      </c>
      <c r="L44" s="807">
        <v>2879</v>
      </c>
      <c r="M44" s="807"/>
      <c r="N44" s="838">
        <v>1022</v>
      </c>
      <c r="O44" s="838">
        <v>3787</v>
      </c>
      <c r="P44" s="838">
        <v>0</v>
      </c>
      <c r="Q44" s="807">
        <v>1256</v>
      </c>
      <c r="R44" s="807"/>
      <c r="S44" s="838">
        <v>5838</v>
      </c>
      <c r="T44" s="839">
        <v>-1320</v>
      </c>
      <c r="U44" s="839">
        <v>4518</v>
      </c>
    </row>
    <row r="45" spans="2:21" x14ac:dyDescent="0.25">
      <c r="B45" s="815" t="s">
        <v>2558</v>
      </c>
      <c r="C45" s="806">
        <v>1.2143599999999999E-2</v>
      </c>
      <c r="D45" s="806">
        <v>1.2464599999999999E-2</v>
      </c>
      <c r="E45" s="807">
        <v>9921</v>
      </c>
      <c r="F45" s="807">
        <v>-288855</v>
      </c>
      <c r="G45" s="807">
        <v>-227037</v>
      </c>
      <c r="H45" s="837"/>
      <c r="I45" s="838">
        <v>243</v>
      </c>
      <c r="J45" s="838">
        <v>11281</v>
      </c>
      <c r="K45" s="838">
        <v>60487</v>
      </c>
      <c r="L45" s="807">
        <v>6235</v>
      </c>
      <c r="M45" s="807"/>
      <c r="N45" s="838">
        <v>2939</v>
      </c>
      <c r="O45" s="838">
        <v>10893</v>
      </c>
      <c r="P45" s="838">
        <v>0</v>
      </c>
      <c r="Q45" s="807">
        <v>2427</v>
      </c>
      <c r="R45" s="807"/>
      <c r="S45" s="838">
        <v>16795</v>
      </c>
      <c r="T45" s="839">
        <v>4293</v>
      </c>
      <c r="U45" s="839">
        <v>21088</v>
      </c>
    </row>
    <row r="46" spans="2:21" x14ac:dyDescent="0.25">
      <c r="B46" s="815" t="s">
        <v>2559</v>
      </c>
      <c r="C46" s="806">
        <v>7.4390999999999997E-3</v>
      </c>
      <c r="D46" s="806">
        <v>7.5659999999999998E-3</v>
      </c>
      <c r="E46" s="807">
        <v>6077</v>
      </c>
      <c r="F46" s="807">
        <v>-175334</v>
      </c>
      <c r="G46" s="807">
        <v>-139081</v>
      </c>
      <c r="H46" s="837"/>
      <c r="I46" s="838">
        <v>149</v>
      </c>
      <c r="J46" s="838">
        <v>6911</v>
      </c>
      <c r="K46" s="838">
        <v>37054</v>
      </c>
      <c r="L46" s="807">
        <v>2245</v>
      </c>
      <c r="M46" s="807"/>
      <c r="N46" s="838">
        <v>1800</v>
      </c>
      <c r="O46" s="838">
        <v>6673</v>
      </c>
      <c r="P46" s="838">
        <v>0</v>
      </c>
      <c r="Q46" s="807">
        <v>4267</v>
      </c>
      <c r="R46" s="807"/>
      <c r="S46" s="838">
        <v>10288</v>
      </c>
      <c r="T46" s="839">
        <v>-2157</v>
      </c>
      <c r="U46" s="839">
        <v>8131</v>
      </c>
    </row>
    <row r="47" spans="2:21" x14ac:dyDescent="0.25">
      <c r="B47" s="815" t="s">
        <v>2560</v>
      </c>
      <c r="C47" s="806">
        <v>1.4215500000000001E-2</v>
      </c>
      <c r="D47" s="806">
        <v>1.3649100000000001E-2</v>
      </c>
      <c r="E47" s="807">
        <v>11613</v>
      </c>
      <c r="F47" s="807">
        <v>-316304</v>
      </c>
      <c r="G47" s="807">
        <v>-265773</v>
      </c>
      <c r="H47" s="837"/>
      <c r="I47" s="838">
        <v>284.31</v>
      </c>
      <c r="J47" s="838">
        <v>13206</v>
      </c>
      <c r="K47" s="838">
        <v>70807</v>
      </c>
      <c r="L47" s="807">
        <v>0</v>
      </c>
      <c r="M47" s="807"/>
      <c r="N47" s="838">
        <v>3440</v>
      </c>
      <c r="O47" s="838">
        <v>12751</v>
      </c>
      <c r="P47" s="838">
        <v>0</v>
      </c>
      <c r="Q47" s="807">
        <v>14393</v>
      </c>
      <c r="R47" s="807"/>
      <c r="S47" s="838">
        <v>19660</v>
      </c>
      <c r="T47" s="839">
        <v>-11680</v>
      </c>
      <c r="U47" s="839">
        <v>7980</v>
      </c>
    </row>
    <row r="48" spans="2:21" x14ac:dyDescent="0.25">
      <c r="B48" s="815" t="s">
        <v>2561</v>
      </c>
      <c r="C48" s="806">
        <v>1.8568E-3</v>
      </c>
      <c r="D48" s="806">
        <v>1.8614E-3</v>
      </c>
      <c r="E48" s="807">
        <v>1517</v>
      </c>
      <c r="F48" s="807">
        <v>-43136</v>
      </c>
      <c r="G48" s="807">
        <v>-34715</v>
      </c>
      <c r="H48" s="837"/>
      <c r="I48" s="838">
        <v>37</v>
      </c>
      <c r="J48" s="838">
        <v>1725</v>
      </c>
      <c r="K48" s="838">
        <v>9249</v>
      </c>
      <c r="L48" s="807">
        <v>594</v>
      </c>
      <c r="M48" s="807"/>
      <c r="N48" s="838">
        <v>449</v>
      </c>
      <c r="O48" s="838">
        <v>1666</v>
      </c>
      <c r="P48" s="838">
        <v>0</v>
      </c>
      <c r="Q48" s="807">
        <v>115</v>
      </c>
      <c r="R48" s="807"/>
      <c r="S48" s="838">
        <v>2568</v>
      </c>
      <c r="T48" s="839">
        <v>-112</v>
      </c>
      <c r="U48" s="839">
        <v>2456</v>
      </c>
    </row>
    <row r="49" spans="2:21" x14ac:dyDescent="0.25">
      <c r="B49" s="815" t="s">
        <v>2562</v>
      </c>
      <c r="C49" s="806">
        <v>5.0083999999999997E-3</v>
      </c>
      <c r="D49" s="806">
        <v>4.7543999999999998E-3</v>
      </c>
      <c r="E49" s="807">
        <v>4092</v>
      </c>
      <c r="F49" s="807">
        <v>-110178</v>
      </c>
      <c r="G49" s="807">
        <v>-93637</v>
      </c>
      <c r="H49" s="837"/>
      <c r="I49" s="838">
        <v>100</v>
      </c>
      <c r="J49" s="838">
        <v>4653</v>
      </c>
      <c r="K49" s="838">
        <v>24947</v>
      </c>
      <c r="L49" s="807">
        <v>2539</v>
      </c>
      <c r="M49" s="807"/>
      <c r="N49" s="838">
        <v>1212</v>
      </c>
      <c r="O49" s="838">
        <v>4493</v>
      </c>
      <c r="P49" s="838">
        <v>0</v>
      </c>
      <c r="Q49" s="807">
        <v>4297</v>
      </c>
      <c r="R49" s="807"/>
      <c r="S49" s="838">
        <v>6927</v>
      </c>
      <c r="T49" s="839">
        <v>881</v>
      </c>
      <c r="U49" s="839">
        <v>7808</v>
      </c>
    </row>
    <row r="50" spans="2:21" x14ac:dyDescent="0.25">
      <c r="B50" s="815" t="s">
        <v>2563</v>
      </c>
      <c r="C50" s="806">
        <v>4.6650000000000001E-4</v>
      </c>
      <c r="D50" s="806">
        <v>4.6450000000000001E-4</v>
      </c>
      <c r="E50" s="807">
        <v>381</v>
      </c>
      <c r="F50" s="807">
        <v>-10764</v>
      </c>
      <c r="G50" s="807">
        <v>-8722</v>
      </c>
      <c r="H50" s="837"/>
      <c r="I50" s="838">
        <v>9.33</v>
      </c>
      <c r="J50" s="838">
        <v>433</v>
      </c>
      <c r="K50" s="838">
        <v>2324</v>
      </c>
      <c r="L50" s="807">
        <v>52</v>
      </c>
      <c r="M50" s="807"/>
      <c r="N50" s="838">
        <v>113</v>
      </c>
      <c r="O50" s="838">
        <v>418</v>
      </c>
      <c r="P50" s="838">
        <v>0</v>
      </c>
      <c r="Q50" s="807">
        <v>602</v>
      </c>
      <c r="R50" s="807"/>
      <c r="S50" s="838">
        <v>645</v>
      </c>
      <c r="T50" s="839">
        <v>-228</v>
      </c>
      <c r="U50" s="839">
        <v>417</v>
      </c>
    </row>
    <row r="51" spans="2:21" x14ac:dyDescent="0.25">
      <c r="B51" s="815" t="s">
        <v>2564</v>
      </c>
      <c r="C51" s="806">
        <v>2.0577100000000001E-2</v>
      </c>
      <c r="D51" s="806">
        <v>1.9471499999999999E-2</v>
      </c>
      <c r="E51" s="807">
        <v>16810</v>
      </c>
      <c r="F51" s="807">
        <v>-451233</v>
      </c>
      <c r="G51" s="807">
        <v>-384709</v>
      </c>
      <c r="H51" s="837"/>
      <c r="I51" s="838">
        <v>412</v>
      </c>
      <c r="J51" s="838">
        <v>19116</v>
      </c>
      <c r="K51" s="838">
        <v>102495</v>
      </c>
      <c r="L51" s="807">
        <v>329</v>
      </c>
      <c r="M51" s="807"/>
      <c r="N51" s="838">
        <v>4980</v>
      </c>
      <c r="O51" s="838">
        <v>18458</v>
      </c>
      <c r="P51" s="838">
        <v>0</v>
      </c>
      <c r="Q51" s="807">
        <v>25182</v>
      </c>
      <c r="R51" s="807"/>
      <c r="S51" s="838">
        <v>28458</v>
      </c>
      <c r="T51" s="839">
        <v>-11646</v>
      </c>
      <c r="U51" s="839">
        <v>16812</v>
      </c>
    </row>
    <row r="52" spans="2:21" x14ac:dyDescent="0.25">
      <c r="B52" s="815" t="s">
        <v>2565</v>
      </c>
      <c r="C52" s="806">
        <v>6.6058000000000002E-3</v>
      </c>
      <c r="D52" s="806">
        <v>4.7653000000000001E-3</v>
      </c>
      <c r="E52" s="807">
        <v>5396</v>
      </c>
      <c r="F52" s="807">
        <v>-110431</v>
      </c>
      <c r="G52" s="807">
        <v>-123502</v>
      </c>
      <c r="H52" s="837"/>
      <c r="I52" s="838">
        <v>132</v>
      </c>
      <c r="J52" s="838">
        <v>6137</v>
      </c>
      <c r="K52" s="838">
        <v>32903</v>
      </c>
      <c r="L52" s="807">
        <v>0</v>
      </c>
      <c r="M52" s="807"/>
      <c r="N52" s="838">
        <v>1599</v>
      </c>
      <c r="O52" s="838">
        <v>5925</v>
      </c>
      <c r="P52" s="838">
        <v>0</v>
      </c>
      <c r="Q52" s="807">
        <v>32496</v>
      </c>
      <c r="R52" s="807"/>
      <c r="S52" s="838">
        <v>9136</v>
      </c>
      <c r="T52" s="839">
        <v>-14442</v>
      </c>
      <c r="U52" s="839">
        <v>-5307</v>
      </c>
    </row>
    <row r="53" spans="2:21" x14ac:dyDescent="0.25">
      <c r="B53" s="815" t="s">
        <v>2566</v>
      </c>
      <c r="C53" s="806">
        <v>1.98465E-2</v>
      </c>
      <c r="D53" s="806">
        <v>1.8983E-2</v>
      </c>
      <c r="E53" s="807">
        <v>16213</v>
      </c>
      <c r="F53" s="807">
        <v>-439912</v>
      </c>
      <c r="G53" s="807">
        <v>-371050</v>
      </c>
      <c r="H53" s="837"/>
      <c r="I53" s="838">
        <v>396.93</v>
      </c>
      <c r="J53" s="838">
        <v>18437</v>
      </c>
      <c r="K53" s="838">
        <v>98855</v>
      </c>
      <c r="L53" s="807">
        <v>2465</v>
      </c>
      <c r="M53" s="807"/>
      <c r="N53" s="838">
        <v>4803</v>
      </c>
      <c r="O53" s="838">
        <v>17802</v>
      </c>
      <c r="P53" s="838">
        <v>0</v>
      </c>
      <c r="Q53" s="807">
        <v>15881</v>
      </c>
      <c r="R53" s="807"/>
      <c r="S53" s="838">
        <v>27448</v>
      </c>
      <c r="T53" s="839">
        <v>-10480</v>
      </c>
      <c r="U53" s="839">
        <v>16968</v>
      </c>
    </row>
    <row r="54" spans="2:21" x14ac:dyDescent="0.25">
      <c r="B54" s="815" t="s">
        <v>2567</v>
      </c>
      <c r="C54" s="806">
        <v>8.3480000000000002E-4</v>
      </c>
      <c r="D54" s="806">
        <v>1.0701E-3</v>
      </c>
      <c r="E54" s="807">
        <v>681.96749999999997</v>
      </c>
      <c r="F54" s="807">
        <v>-24798</v>
      </c>
      <c r="G54" s="807">
        <v>-15607</v>
      </c>
      <c r="H54" s="837"/>
      <c r="I54" s="838">
        <v>17</v>
      </c>
      <c r="J54" s="838">
        <v>776</v>
      </c>
      <c r="K54" s="838">
        <v>4158</v>
      </c>
      <c r="L54" s="807">
        <v>3980</v>
      </c>
      <c r="M54" s="807"/>
      <c r="N54" s="838">
        <v>202</v>
      </c>
      <c r="O54" s="838">
        <v>749</v>
      </c>
      <c r="P54" s="838">
        <v>0</v>
      </c>
      <c r="Q54" s="807">
        <v>897</v>
      </c>
      <c r="R54" s="807"/>
      <c r="S54" s="838">
        <v>1155</v>
      </c>
      <c r="T54" s="839">
        <v>371</v>
      </c>
      <c r="U54" s="839">
        <v>1525</v>
      </c>
    </row>
    <row r="55" spans="2:21" x14ac:dyDescent="0.25">
      <c r="B55" s="815" t="s">
        <v>2568</v>
      </c>
      <c r="C55" s="806">
        <v>5.7454000000000003E-3</v>
      </c>
      <c r="D55" s="806">
        <v>5.6010000000000001E-3</v>
      </c>
      <c r="E55" s="807">
        <v>4694</v>
      </c>
      <c r="F55" s="807">
        <v>-129798</v>
      </c>
      <c r="G55" s="807">
        <v>-107416</v>
      </c>
      <c r="H55" s="837"/>
      <c r="I55" s="838">
        <v>115</v>
      </c>
      <c r="J55" s="838">
        <v>5337</v>
      </c>
      <c r="K55" s="838">
        <v>28618</v>
      </c>
      <c r="L55" s="807">
        <v>0</v>
      </c>
      <c r="M55" s="807"/>
      <c r="N55" s="838">
        <v>1390</v>
      </c>
      <c r="O55" s="838">
        <v>5154</v>
      </c>
      <c r="P55" s="838">
        <v>0</v>
      </c>
      <c r="Q55" s="807">
        <v>2991</v>
      </c>
      <c r="R55" s="807"/>
      <c r="S55" s="838">
        <v>7946</v>
      </c>
      <c r="T55" s="839">
        <v>-2889</v>
      </c>
      <c r="U55" s="839">
        <v>5057</v>
      </c>
    </row>
    <row r="56" spans="2:21" x14ac:dyDescent="0.25">
      <c r="B56" s="815" t="s">
        <v>2569</v>
      </c>
      <c r="C56" s="806">
        <v>3.5750000000000001E-3</v>
      </c>
      <c r="D56" s="806">
        <v>3.4470999999999998E-3</v>
      </c>
      <c r="E56" s="807">
        <v>2920.53</v>
      </c>
      <c r="F56" s="807">
        <v>-79883</v>
      </c>
      <c r="G56" s="807">
        <v>-66838.2</v>
      </c>
      <c r="H56" s="837"/>
      <c r="I56" s="838">
        <v>71.5</v>
      </c>
      <c r="J56" s="838">
        <v>3321</v>
      </c>
      <c r="K56" s="838">
        <v>17807</v>
      </c>
      <c r="L56" s="807">
        <v>2436</v>
      </c>
      <c r="M56" s="807"/>
      <c r="N56" s="838">
        <v>865.15</v>
      </c>
      <c r="O56" s="838">
        <v>3207</v>
      </c>
      <c r="P56" s="838">
        <v>0</v>
      </c>
      <c r="Q56" s="807">
        <v>2650</v>
      </c>
      <c r="R56" s="807"/>
      <c r="S56" s="838">
        <v>4944</v>
      </c>
      <c r="T56" s="839">
        <v>-1315</v>
      </c>
      <c r="U56" s="839">
        <v>3629</v>
      </c>
    </row>
    <row r="57" spans="2:21" x14ac:dyDescent="0.25">
      <c r="B57" s="815" t="s">
        <v>2570</v>
      </c>
      <c r="C57" s="806">
        <v>8.9589999999999999E-3</v>
      </c>
      <c r="D57" s="806">
        <v>8.4183000000000001E-3</v>
      </c>
      <c r="E57" s="807">
        <v>7319</v>
      </c>
      <c r="F57" s="807">
        <v>-195086</v>
      </c>
      <c r="G57" s="807">
        <v>-167497</v>
      </c>
      <c r="H57" s="837"/>
      <c r="I57" s="838">
        <v>179.18</v>
      </c>
      <c r="J57" s="838">
        <v>8323</v>
      </c>
      <c r="K57" s="838">
        <v>44625</v>
      </c>
      <c r="L57" s="807">
        <v>0</v>
      </c>
      <c r="M57" s="807"/>
      <c r="N57" s="838">
        <v>2168</v>
      </c>
      <c r="O57" s="838">
        <v>8036</v>
      </c>
      <c r="P57" s="838">
        <v>0</v>
      </c>
      <c r="Q57" s="807">
        <v>12119</v>
      </c>
      <c r="R57" s="807"/>
      <c r="S57" s="838">
        <v>12390</v>
      </c>
      <c r="T57" s="839">
        <v>-6850</v>
      </c>
      <c r="U57" s="839">
        <v>5540</v>
      </c>
    </row>
    <row r="58" spans="2:21" x14ac:dyDescent="0.25">
      <c r="B58" s="815" t="s">
        <v>2571</v>
      </c>
      <c r="C58" s="806">
        <v>4.2973000000000004E-3</v>
      </c>
      <c r="D58" s="806">
        <v>4.2405000000000003E-3</v>
      </c>
      <c r="E58" s="807">
        <v>3511</v>
      </c>
      <c r="F58" s="807">
        <v>-98269</v>
      </c>
      <c r="G58" s="807">
        <v>-80342</v>
      </c>
      <c r="H58" s="837"/>
      <c r="I58" s="838">
        <v>86</v>
      </c>
      <c r="J58" s="838">
        <v>3992</v>
      </c>
      <c r="K58" s="838">
        <v>21405</v>
      </c>
      <c r="L58" s="807">
        <v>679</v>
      </c>
      <c r="M58" s="807"/>
      <c r="N58" s="838">
        <v>1040</v>
      </c>
      <c r="O58" s="838">
        <v>3855</v>
      </c>
      <c r="P58" s="838">
        <v>0</v>
      </c>
      <c r="Q58" s="807">
        <v>4113</v>
      </c>
      <c r="R58" s="807"/>
      <c r="S58" s="838">
        <v>5943</v>
      </c>
      <c r="T58" s="839">
        <v>364</v>
      </c>
      <c r="U58" s="839">
        <v>6307</v>
      </c>
    </row>
    <row r="59" spans="2:21" x14ac:dyDescent="0.25">
      <c r="B59" s="815" t="s">
        <v>2572</v>
      </c>
      <c r="C59" s="806">
        <v>5.1720000000000004E-3</v>
      </c>
      <c r="D59" s="806">
        <v>4.8856000000000004E-3</v>
      </c>
      <c r="E59" s="807">
        <v>4225.16</v>
      </c>
      <c r="F59" s="807">
        <v>-113219</v>
      </c>
      <c r="G59" s="807">
        <v>-96696</v>
      </c>
      <c r="H59" s="837"/>
      <c r="I59" s="838">
        <v>103</v>
      </c>
      <c r="J59" s="838">
        <v>4805</v>
      </c>
      <c r="K59" s="838">
        <v>25762</v>
      </c>
      <c r="L59" s="807">
        <v>0</v>
      </c>
      <c r="M59" s="807"/>
      <c r="N59" s="838">
        <v>1252</v>
      </c>
      <c r="O59" s="838">
        <v>4639</v>
      </c>
      <c r="P59" s="838">
        <v>0</v>
      </c>
      <c r="Q59" s="807">
        <v>7363</v>
      </c>
      <c r="R59" s="807"/>
      <c r="S59" s="838">
        <v>7153</v>
      </c>
      <c r="T59" s="839">
        <v>-9331</v>
      </c>
      <c r="U59" s="839">
        <v>-2178</v>
      </c>
    </row>
    <row r="60" spans="2:21" x14ac:dyDescent="0.25">
      <c r="B60" s="815" t="s">
        <v>2573</v>
      </c>
      <c r="C60" s="806">
        <v>1.8517E-3</v>
      </c>
      <c r="D60" s="806">
        <v>1.8458000000000001E-3</v>
      </c>
      <c r="E60" s="807">
        <v>1513</v>
      </c>
      <c r="F60" s="807">
        <v>-42775</v>
      </c>
      <c r="G60" s="807">
        <v>-34619</v>
      </c>
      <c r="H60" s="837"/>
      <c r="I60" s="838">
        <v>37</v>
      </c>
      <c r="J60" s="838">
        <v>1720</v>
      </c>
      <c r="K60" s="838">
        <v>9223</v>
      </c>
      <c r="L60" s="807">
        <v>270</v>
      </c>
      <c r="M60" s="807"/>
      <c r="N60" s="838">
        <v>448</v>
      </c>
      <c r="O60" s="838">
        <v>1661</v>
      </c>
      <c r="P60" s="838">
        <v>0</v>
      </c>
      <c r="Q60" s="807">
        <v>344</v>
      </c>
      <c r="R60" s="807"/>
      <c r="S60" s="838">
        <v>2561</v>
      </c>
      <c r="T60" s="839">
        <v>-1039</v>
      </c>
      <c r="U60" s="839">
        <v>1522</v>
      </c>
    </row>
    <row r="61" spans="2:21" x14ac:dyDescent="0.25">
      <c r="B61" s="815" t="s">
        <v>2574</v>
      </c>
      <c r="C61" s="806">
        <v>4.0070000000000001E-3</v>
      </c>
      <c r="D61" s="806">
        <v>3.7981999999999998E-3</v>
      </c>
      <c r="E61" s="807">
        <v>3274</v>
      </c>
      <c r="F61" s="807">
        <v>-88019</v>
      </c>
      <c r="G61" s="807">
        <v>-74915</v>
      </c>
      <c r="H61" s="837"/>
      <c r="I61" s="838">
        <v>80.14</v>
      </c>
      <c r="J61" s="838">
        <v>3723</v>
      </c>
      <c r="K61" s="838">
        <v>19959</v>
      </c>
      <c r="L61" s="807">
        <v>395</v>
      </c>
      <c r="M61" s="807"/>
      <c r="N61" s="838">
        <v>970</v>
      </c>
      <c r="O61" s="838">
        <v>3594</v>
      </c>
      <c r="P61" s="838">
        <v>0</v>
      </c>
      <c r="Q61" s="807">
        <v>3665</v>
      </c>
      <c r="R61" s="807"/>
      <c r="S61" s="838">
        <v>5542</v>
      </c>
      <c r="T61" s="839">
        <v>-1828</v>
      </c>
      <c r="U61" s="839">
        <v>3714</v>
      </c>
    </row>
    <row r="62" spans="2:21" x14ac:dyDescent="0.25">
      <c r="B62" s="815" t="s">
        <v>2575</v>
      </c>
      <c r="C62" s="806">
        <v>7.9832E-2</v>
      </c>
      <c r="D62" s="806">
        <v>8.8390399999999994E-2</v>
      </c>
      <c r="E62" s="807">
        <v>65218</v>
      </c>
      <c r="F62" s="807">
        <v>-2048359</v>
      </c>
      <c r="G62" s="807">
        <v>-1492539</v>
      </c>
      <c r="H62" s="837"/>
      <c r="I62" s="838">
        <v>1596.64</v>
      </c>
      <c r="J62" s="838">
        <v>74164</v>
      </c>
      <c r="K62" s="838">
        <v>397643</v>
      </c>
      <c r="L62" s="807">
        <v>155634</v>
      </c>
      <c r="M62" s="807"/>
      <c r="N62" s="838">
        <v>19319</v>
      </c>
      <c r="O62" s="838">
        <v>71609</v>
      </c>
      <c r="P62" s="838">
        <v>0</v>
      </c>
      <c r="Q62" s="807">
        <v>10056</v>
      </c>
      <c r="R62" s="807"/>
      <c r="S62" s="838">
        <v>110408</v>
      </c>
      <c r="T62" s="839">
        <v>107021</v>
      </c>
      <c r="U62" s="839">
        <v>217428</v>
      </c>
    </row>
    <row r="63" spans="2:21" x14ac:dyDescent="0.25">
      <c r="B63" s="815" t="s">
        <v>2576</v>
      </c>
      <c r="C63" s="806">
        <v>1.5782999999999999E-3</v>
      </c>
      <c r="D63" s="806">
        <v>1.5759000000000001E-3</v>
      </c>
      <c r="E63" s="807">
        <v>1289</v>
      </c>
      <c r="F63" s="807">
        <v>-36520</v>
      </c>
      <c r="G63" s="807">
        <v>-29508</v>
      </c>
      <c r="H63" s="837"/>
      <c r="I63" s="838">
        <v>32</v>
      </c>
      <c r="J63" s="838">
        <v>1466</v>
      </c>
      <c r="K63" s="838">
        <v>7862</v>
      </c>
      <c r="L63" s="807">
        <v>659</v>
      </c>
      <c r="M63" s="807"/>
      <c r="N63" s="838">
        <v>382</v>
      </c>
      <c r="O63" s="838">
        <v>1416</v>
      </c>
      <c r="P63" s="838">
        <v>0</v>
      </c>
      <c r="Q63" s="807">
        <v>41</v>
      </c>
      <c r="R63" s="807"/>
      <c r="S63" s="838">
        <v>2183</v>
      </c>
      <c r="T63" s="839">
        <v>805</v>
      </c>
      <c r="U63" s="839">
        <v>2988</v>
      </c>
    </row>
    <row r="64" spans="2:21" x14ac:dyDescent="0.25">
      <c r="B64" s="815" t="s">
        <v>2577</v>
      </c>
      <c r="C64" s="806">
        <v>2.4842000000000002E-3</v>
      </c>
      <c r="D64" s="806">
        <v>2.4891000000000002E-3</v>
      </c>
      <c r="E64" s="807">
        <v>2029.41</v>
      </c>
      <c r="F64" s="807">
        <v>-57682</v>
      </c>
      <c r="G64" s="807">
        <v>-46445</v>
      </c>
      <c r="H64" s="837"/>
      <c r="I64" s="838">
        <v>50</v>
      </c>
      <c r="J64" s="838">
        <v>2308</v>
      </c>
      <c r="K64" s="838">
        <v>12374</v>
      </c>
      <c r="L64" s="807">
        <v>83</v>
      </c>
      <c r="M64" s="807"/>
      <c r="N64" s="838">
        <v>601</v>
      </c>
      <c r="O64" s="838">
        <v>2228</v>
      </c>
      <c r="P64" s="838">
        <v>0</v>
      </c>
      <c r="Q64" s="807">
        <v>524</v>
      </c>
      <c r="R64" s="807"/>
      <c r="S64" s="838">
        <v>3436</v>
      </c>
      <c r="T64" s="839">
        <v>-1144</v>
      </c>
      <c r="U64" s="839">
        <v>2292</v>
      </c>
    </row>
    <row r="65" spans="2:21" x14ac:dyDescent="0.25">
      <c r="B65" s="815" t="s">
        <v>2578</v>
      </c>
      <c r="C65" s="806">
        <v>2.2974999999999999E-2</v>
      </c>
      <c r="D65" s="806">
        <v>1.29915E-2</v>
      </c>
      <c r="E65" s="807">
        <v>18769</v>
      </c>
      <c r="F65" s="807">
        <v>-301065</v>
      </c>
      <c r="G65" s="807">
        <v>-429540.6</v>
      </c>
      <c r="H65" s="837"/>
      <c r="I65" s="838">
        <v>459.5</v>
      </c>
      <c r="J65" s="838">
        <v>21344</v>
      </c>
      <c r="K65" s="838">
        <v>114438</v>
      </c>
      <c r="L65" s="807">
        <v>0</v>
      </c>
      <c r="M65" s="807"/>
      <c r="N65" s="838">
        <v>5559.95</v>
      </c>
      <c r="O65" s="838">
        <v>20609</v>
      </c>
      <c r="P65" s="838">
        <v>0</v>
      </c>
      <c r="Q65" s="807">
        <v>171966</v>
      </c>
      <c r="R65" s="807"/>
      <c r="S65" s="838">
        <v>31774</v>
      </c>
      <c r="T65" s="839">
        <v>-74669</v>
      </c>
      <c r="U65" s="839">
        <v>-42895</v>
      </c>
    </row>
    <row r="66" spans="2:21" x14ac:dyDescent="0.25">
      <c r="B66" s="815" t="s">
        <v>2579</v>
      </c>
      <c r="C66" s="806">
        <v>8.3230999999999999E-3</v>
      </c>
      <c r="D66" s="806">
        <v>8.3500999999999992E-3</v>
      </c>
      <c r="E66" s="807">
        <v>6799</v>
      </c>
      <c r="F66" s="807">
        <v>-193505</v>
      </c>
      <c r="G66" s="807">
        <v>-155609</v>
      </c>
      <c r="H66" s="837"/>
      <c r="I66" s="838">
        <v>166</v>
      </c>
      <c r="J66" s="838">
        <v>7732</v>
      </c>
      <c r="K66" s="838">
        <v>41457</v>
      </c>
      <c r="L66" s="807">
        <v>1192</v>
      </c>
      <c r="M66" s="807"/>
      <c r="N66" s="838">
        <v>2014</v>
      </c>
      <c r="O66" s="838">
        <v>7466</v>
      </c>
      <c r="P66" s="838">
        <v>0</v>
      </c>
      <c r="Q66" s="807">
        <v>0</v>
      </c>
      <c r="R66" s="807"/>
      <c r="S66" s="838">
        <v>11511</v>
      </c>
      <c r="T66" s="839">
        <v>1699</v>
      </c>
      <c r="U66" s="839">
        <v>13210</v>
      </c>
    </row>
    <row r="67" spans="2:21" x14ac:dyDescent="0.25">
      <c r="B67" s="815" t="s">
        <v>2580</v>
      </c>
      <c r="C67" s="806">
        <v>2.7473600000000001E-2</v>
      </c>
      <c r="D67" s="806">
        <v>2.5998500000000001E-2</v>
      </c>
      <c r="E67" s="807">
        <v>22444</v>
      </c>
      <c r="F67" s="807">
        <v>-602489</v>
      </c>
      <c r="G67" s="807">
        <v>-513646</v>
      </c>
      <c r="H67" s="837"/>
      <c r="I67" s="838">
        <v>549</v>
      </c>
      <c r="J67" s="838">
        <v>25523</v>
      </c>
      <c r="K67" s="838">
        <v>136846</v>
      </c>
      <c r="L67" s="807">
        <v>1251</v>
      </c>
      <c r="M67" s="807"/>
      <c r="N67" s="838">
        <v>6649</v>
      </c>
      <c r="O67" s="838">
        <v>24644</v>
      </c>
      <c r="P67" s="838">
        <v>0</v>
      </c>
      <c r="Q67" s="807">
        <v>33771</v>
      </c>
      <c r="R67" s="807"/>
      <c r="S67" s="838">
        <v>37996</v>
      </c>
      <c r="T67" s="839">
        <v>-11623</v>
      </c>
      <c r="U67" s="839">
        <v>26373</v>
      </c>
    </row>
    <row r="68" spans="2:21" x14ac:dyDescent="0.25">
      <c r="B68" s="815" t="s">
        <v>2581</v>
      </c>
      <c r="C68" s="806">
        <v>1.7821E-3</v>
      </c>
      <c r="D68" s="806">
        <v>1.7045000000000001E-3</v>
      </c>
      <c r="E68" s="807">
        <v>1456</v>
      </c>
      <c r="F68" s="807">
        <v>-39500</v>
      </c>
      <c r="G68" s="807">
        <v>-33318</v>
      </c>
      <c r="H68" s="837"/>
      <c r="I68" s="838">
        <v>36</v>
      </c>
      <c r="J68" s="838">
        <v>1656</v>
      </c>
      <c r="K68" s="838">
        <v>8877</v>
      </c>
      <c r="L68" s="807">
        <v>0</v>
      </c>
      <c r="M68" s="807"/>
      <c r="N68" s="838">
        <v>431</v>
      </c>
      <c r="O68" s="838">
        <v>1599</v>
      </c>
      <c r="P68" s="838">
        <v>0</v>
      </c>
      <c r="Q68" s="807">
        <v>1815</v>
      </c>
      <c r="R68" s="807"/>
      <c r="S68" s="838">
        <v>2465</v>
      </c>
      <c r="T68" s="839">
        <v>-1400</v>
      </c>
      <c r="U68" s="839">
        <v>1064</v>
      </c>
    </row>
    <row r="69" spans="2:21" x14ac:dyDescent="0.25">
      <c r="B69" s="815" t="s">
        <v>2582</v>
      </c>
      <c r="C69" s="806">
        <v>2.22189E-2</v>
      </c>
      <c r="D69" s="806">
        <v>2.28341E-2</v>
      </c>
      <c r="E69" s="807">
        <v>18151</v>
      </c>
      <c r="F69" s="807">
        <v>-529157</v>
      </c>
      <c r="G69" s="807">
        <v>-415405</v>
      </c>
      <c r="H69" s="837"/>
      <c r="I69" s="838">
        <v>444</v>
      </c>
      <c r="J69" s="838">
        <v>20641</v>
      </c>
      <c r="K69" s="838">
        <v>110672</v>
      </c>
      <c r="L69" s="807">
        <v>12760</v>
      </c>
      <c r="M69" s="807"/>
      <c r="N69" s="838">
        <v>5377</v>
      </c>
      <c r="O69" s="838">
        <v>19930</v>
      </c>
      <c r="P69" s="838">
        <v>0</v>
      </c>
      <c r="Q69" s="807">
        <v>446</v>
      </c>
      <c r="R69" s="807"/>
      <c r="S69" s="838">
        <v>30729</v>
      </c>
      <c r="T69" s="839">
        <v>15786</v>
      </c>
      <c r="U69" s="839">
        <v>46515</v>
      </c>
    </row>
    <row r="70" spans="2:21" x14ac:dyDescent="0.25">
      <c r="B70" s="815" t="s">
        <v>2583</v>
      </c>
      <c r="C70" s="806">
        <v>1.15307E-2</v>
      </c>
      <c r="D70" s="806">
        <v>1.09301E-2</v>
      </c>
      <c r="E70" s="807">
        <v>9420</v>
      </c>
      <c r="F70" s="807">
        <v>-253294</v>
      </c>
      <c r="G70" s="807">
        <v>-215578</v>
      </c>
      <c r="H70" s="837"/>
      <c r="I70" s="838">
        <v>231</v>
      </c>
      <c r="J70" s="838">
        <v>10712</v>
      </c>
      <c r="K70" s="838">
        <v>57434</v>
      </c>
      <c r="L70" s="807">
        <v>710</v>
      </c>
      <c r="M70" s="807"/>
      <c r="N70" s="838">
        <v>2790</v>
      </c>
      <c r="O70" s="838">
        <v>10343</v>
      </c>
      <c r="P70" s="838">
        <v>0</v>
      </c>
      <c r="Q70" s="807">
        <v>13287</v>
      </c>
      <c r="R70" s="807"/>
      <c r="S70" s="838">
        <v>15947</v>
      </c>
      <c r="T70" s="839">
        <v>-3345</v>
      </c>
      <c r="U70" s="839">
        <v>12602</v>
      </c>
    </row>
    <row r="71" spans="2:21" x14ac:dyDescent="0.25">
      <c r="B71" s="815" t="s">
        <v>2584</v>
      </c>
      <c r="C71" s="806">
        <v>1.5663999999999999E-3</v>
      </c>
      <c r="D71" s="806">
        <v>1.3946E-3</v>
      </c>
      <c r="E71" s="807">
        <v>1280</v>
      </c>
      <c r="F71" s="807">
        <v>-32318</v>
      </c>
      <c r="G71" s="807">
        <v>-29285</v>
      </c>
      <c r="H71" s="837"/>
      <c r="I71" s="838">
        <v>31</v>
      </c>
      <c r="J71" s="838">
        <v>1455</v>
      </c>
      <c r="K71" s="838">
        <v>7802</v>
      </c>
      <c r="L71" s="807">
        <v>718</v>
      </c>
      <c r="M71" s="807"/>
      <c r="N71" s="838">
        <v>379</v>
      </c>
      <c r="O71" s="838">
        <v>1405</v>
      </c>
      <c r="P71" s="838">
        <v>0</v>
      </c>
      <c r="Q71" s="807">
        <v>3068</v>
      </c>
      <c r="R71" s="807"/>
      <c r="S71" s="838">
        <v>2166</v>
      </c>
      <c r="T71" s="839">
        <v>-1436</v>
      </c>
      <c r="U71" s="839">
        <v>730</v>
      </c>
    </row>
    <row r="72" spans="2:21" x14ac:dyDescent="0.25">
      <c r="B72" s="815" t="s">
        <v>2585</v>
      </c>
      <c r="C72" s="806">
        <v>4.2376999999999996E-3</v>
      </c>
      <c r="D72" s="806">
        <v>4.1191999999999999E-3</v>
      </c>
      <c r="E72" s="807">
        <v>3462</v>
      </c>
      <c r="F72" s="807">
        <v>-95458</v>
      </c>
      <c r="G72" s="807">
        <v>-79228</v>
      </c>
      <c r="H72" s="837"/>
      <c r="I72" s="838">
        <v>85</v>
      </c>
      <c r="J72" s="838">
        <v>3937</v>
      </c>
      <c r="K72" s="838">
        <v>21108</v>
      </c>
      <c r="L72" s="807">
        <v>956</v>
      </c>
      <c r="M72" s="807"/>
      <c r="N72" s="838">
        <v>1026</v>
      </c>
      <c r="O72" s="838">
        <v>3801</v>
      </c>
      <c r="P72" s="838">
        <v>0</v>
      </c>
      <c r="Q72" s="807">
        <v>2025</v>
      </c>
      <c r="R72" s="807"/>
      <c r="S72" s="838">
        <v>5861</v>
      </c>
      <c r="T72" s="839">
        <v>-153</v>
      </c>
      <c r="U72" s="839">
        <v>5708</v>
      </c>
    </row>
    <row r="73" spans="2:21" x14ac:dyDescent="0.25">
      <c r="B73" s="815" t="s">
        <v>2586</v>
      </c>
      <c r="C73" s="806">
        <v>7.2559E-3</v>
      </c>
      <c r="D73" s="806">
        <v>7.0577000000000001E-3</v>
      </c>
      <c r="E73" s="807">
        <v>5928</v>
      </c>
      <c r="F73" s="807">
        <v>-163555</v>
      </c>
      <c r="G73" s="807">
        <v>-135656</v>
      </c>
      <c r="H73" s="837"/>
      <c r="I73" s="838">
        <v>145</v>
      </c>
      <c r="J73" s="838">
        <v>6741</v>
      </c>
      <c r="K73" s="838">
        <v>36142</v>
      </c>
      <c r="L73" s="807">
        <v>0</v>
      </c>
      <c r="M73" s="807"/>
      <c r="N73" s="838">
        <v>1756</v>
      </c>
      <c r="O73" s="838">
        <v>6509</v>
      </c>
      <c r="P73" s="838">
        <v>0</v>
      </c>
      <c r="Q73" s="807">
        <v>6422</v>
      </c>
      <c r="R73" s="807"/>
      <c r="S73" s="838">
        <v>10035</v>
      </c>
      <c r="T73" s="839">
        <v>-4648</v>
      </c>
      <c r="U73" s="839">
        <v>5387</v>
      </c>
    </row>
    <row r="74" spans="2:21" x14ac:dyDescent="0.25">
      <c r="B74" s="815" t="s">
        <v>2587</v>
      </c>
      <c r="C74" s="806">
        <v>1.4243000000000001E-3</v>
      </c>
      <c r="D74" s="806">
        <v>1.3423E-3</v>
      </c>
      <c r="E74" s="807">
        <v>1164</v>
      </c>
      <c r="F74" s="807">
        <v>-31106</v>
      </c>
      <c r="G74" s="807">
        <v>-26629</v>
      </c>
      <c r="H74" s="837"/>
      <c r="I74" s="838">
        <v>28</v>
      </c>
      <c r="J74" s="838">
        <v>1323</v>
      </c>
      <c r="K74" s="838">
        <v>7094</v>
      </c>
      <c r="L74" s="807">
        <v>401</v>
      </c>
      <c r="M74" s="807"/>
      <c r="N74" s="838">
        <v>345</v>
      </c>
      <c r="O74" s="838">
        <v>1278</v>
      </c>
      <c r="P74" s="838">
        <v>0</v>
      </c>
      <c r="Q74" s="807">
        <v>1387</v>
      </c>
      <c r="R74" s="807"/>
      <c r="S74" s="838">
        <v>1970</v>
      </c>
      <c r="T74" s="839">
        <v>-110</v>
      </c>
      <c r="U74" s="839">
        <v>1860</v>
      </c>
    </row>
    <row r="75" spans="2:21" x14ac:dyDescent="0.25">
      <c r="B75" s="815" t="s">
        <v>2588</v>
      </c>
      <c r="C75" s="806">
        <v>3.5128999999999998E-3</v>
      </c>
      <c r="D75" s="806">
        <v>3.5444999999999999E-3</v>
      </c>
      <c r="E75" s="807">
        <v>2870</v>
      </c>
      <c r="F75" s="807">
        <v>-82140</v>
      </c>
      <c r="G75" s="807">
        <v>-65677</v>
      </c>
      <c r="H75" s="837"/>
      <c r="I75" s="838">
        <v>70</v>
      </c>
      <c r="J75" s="838">
        <v>3263</v>
      </c>
      <c r="K75" s="838">
        <v>17498</v>
      </c>
      <c r="L75" s="807">
        <v>2153</v>
      </c>
      <c r="M75" s="807"/>
      <c r="N75" s="838">
        <v>850</v>
      </c>
      <c r="O75" s="838">
        <v>3151</v>
      </c>
      <c r="P75" s="838">
        <v>0</v>
      </c>
      <c r="Q75" s="807">
        <v>288</v>
      </c>
      <c r="R75" s="807"/>
      <c r="S75" s="838">
        <v>4858</v>
      </c>
      <c r="T75" s="839">
        <v>136</v>
      </c>
      <c r="U75" s="839">
        <v>4995</v>
      </c>
    </row>
    <row r="76" spans="2:21" x14ac:dyDescent="0.25">
      <c r="B76" s="815" t="s">
        <v>2589</v>
      </c>
      <c r="C76" s="806">
        <v>1.42188E-2</v>
      </c>
      <c r="D76" s="806">
        <v>1.45868E-2</v>
      </c>
      <c r="E76" s="807">
        <v>11616</v>
      </c>
      <c r="F76" s="807">
        <v>-338035</v>
      </c>
      <c r="G76" s="807">
        <v>-265835</v>
      </c>
      <c r="H76" s="837"/>
      <c r="I76" s="838">
        <v>284</v>
      </c>
      <c r="J76" s="838">
        <v>13209</v>
      </c>
      <c r="K76" s="838">
        <v>70824</v>
      </c>
      <c r="L76" s="807">
        <v>7900</v>
      </c>
      <c r="M76" s="807"/>
      <c r="N76" s="838">
        <v>3441</v>
      </c>
      <c r="O76" s="838">
        <v>12754</v>
      </c>
      <c r="P76" s="838">
        <v>0</v>
      </c>
      <c r="Q76" s="807">
        <v>736</v>
      </c>
      <c r="R76" s="807"/>
      <c r="S76" s="838">
        <v>19665</v>
      </c>
      <c r="T76" s="839">
        <v>342</v>
      </c>
      <c r="U76" s="839">
        <v>20007</v>
      </c>
    </row>
    <row r="77" spans="2:21" x14ac:dyDescent="0.25">
      <c r="B77" s="815" t="s">
        <v>2590</v>
      </c>
      <c r="C77" s="806">
        <v>2.2653999999999999E-3</v>
      </c>
      <c r="D77" s="806">
        <v>2.4053999999999998E-3</v>
      </c>
      <c r="E77" s="807">
        <v>1851</v>
      </c>
      <c r="F77" s="807">
        <v>-55743</v>
      </c>
      <c r="G77" s="807">
        <v>-42354</v>
      </c>
      <c r="H77" s="837"/>
      <c r="I77" s="838">
        <v>45</v>
      </c>
      <c r="J77" s="838">
        <v>2105</v>
      </c>
      <c r="K77" s="838">
        <v>11284</v>
      </c>
      <c r="L77" s="807">
        <v>2368</v>
      </c>
      <c r="M77" s="807"/>
      <c r="N77" s="838">
        <v>548</v>
      </c>
      <c r="O77" s="838">
        <v>2032</v>
      </c>
      <c r="P77" s="838">
        <v>0</v>
      </c>
      <c r="Q77" s="807">
        <v>1853</v>
      </c>
      <c r="R77" s="807"/>
      <c r="S77" s="838">
        <v>3133</v>
      </c>
      <c r="T77" s="839">
        <v>-1312</v>
      </c>
      <c r="U77" s="839">
        <v>1821</v>
      </c>
    </row>
    <row r="78" spans="2:21" x14ac:dyDescent="0.25">
      <c r="B78" s="815" t="s">
        <v>2591</v>
      </c>
      <c r="C78" s="806">
        <v>1.1860799999999999E-2</v>
      </c>
      <c r="D78" s="806">
        <v>1.32129E-2</v>
      </c>
      <c r="E78" s="807">
        <v>9690</v>
      </c>
      <c r="F78" s="807">
        <v>-306196</v>
      </c>
      <c r="G78" s="807">
        <v>-221750</v>
      </c>
      <c r="H78" s="837"/>
      <c r="I78" s="838">
        <v>237</v>
      </c>
      <c r="J78" s="838">
        <v>11019</v>
      </c>
      <c r="K78" s="838">
        <v>59079</v>
      </c>
      <c r="L78" s="807">
        <v>22872</v>
      </c>
      <c r="M78" s="807"/>
      <c r="N78" s="838">
        <v>2870</v>
      </c>
      <c r="O78" s="838">
        <v>10639</v>
      </c>
      <c r="P78" s="838">
        <v>0</v>
      </c>
      <c r="Q78" s="807">
        <v>12807</v>
      </c>
      <c r="R78" s="807"/>
      <c r="S78" s="838">
        <v>16403</v>
      </c>
      <c r="T78" s="839">
        <v>-3660</v>
      </c>
      <c r="U78" s="839">
        <v>12744</v>
      </c>
    </row>
    <row r="79" spans="2:21" x14ac:dyDescent="0.25">
      <c r="B79" s="815" t="s">
        <v>2592</v>
      </c>
      <c r="C79" s="806">
        <v>2.9551E-3</v>
      </c>
      <c r="D79" s="806">
        <v>2.8926999999999998E-3</v>
      </c>
      <c r="E79" s="807">
        <v>2414</v>
      </c>
      <c r="F79" s="807">
        <v>-67035</v>
      </c>
      <c r="G79" s="807">
        <v>-55249</v>
      </c>
      <c r="H79" s="837"/>
      <c r="I79" s="838">
        <v>59</v>
      </c>
      <c r="J79" s="838">
        <v>2745</v>
      </c>
      <c r="K79" s="838">
        <v>14719</v>
      </c>
      <c r="L79" s="807">
        <v>0</v>
      </c>
      <c r="M79" s="807"/>
      <c r="N79" s="838">
        <v>715</v>
      </c>
      <c r="O79" s="838">
        <v>2651</v>
      </c>
      <c r="P79" s="838">
        <v>0</v>
      </c>
      <c r="Q79" s="807">
        <v>2107</v>
      </c>
      <c r="R79" s="807"/>
      <c r="S79" s="838">
        <v>4087</v>
      </c>
      <c r="T79" s="839">
        <v>-2369</v>
      </c>
      <c r="U79" s="839">
        <v>1718</v>
      </c>
    </row>
    <row r="80" spans="2:21" x14ac:dyDescent="0.25">
      <c r="B80" s="815" t="s">
        <v>2593</v>
      </c>
      <c r="C80" s="806">
        <v>8.4644000000000004E-3</v>
      </c>
      <c r="D80" s="806">
        <v>7.7958000000000003E-3</v>
      </c>
      <c r="E80" s="807">
        <v>6915</v>
      </c>
      <c r="F80" s="807">
        <v>-180660</v>
      </c>
      <c r="G80" s="807">
        <v>-158250</v>
      </c>
      <c r="H80" s="837"/>
      <c r="I80" s="838">
        <v>169</v>
      </c>
      <c r="J80" s="838">
        <v>7863</v>
      </c>
      <c r="K80" s="838">
        <v>42161</v>
      </c>
      <c r="L80" s="807">
        <v>1363</v>
      </c>
      <c r="M80" s="807"/>
      <c r="N80" s="838">
        <v>2048</v>
      </c>
      <c r="O80" s="838">
        <v>7593</v>
      </c>
      <c r="P80" s="838">
        <v>0</v>
      </c>
      <c r="Q80" s="807">
        <v>12201</v>
      </c>
      <c r="R80" s="807"/>
      <c r="S80" s="838">
        <v>11706</v>
      </c>
      <c r="T80" s="839">
        <v>-8092</v>
      </c>
      <c r="U80" s="839">
        <v>3615</v>
      </c>
    </row>
    <row r="81" spans="2:21" x14ac:dyDescent="0.25">
      <c r="B81" s="815" t="s">
        <v>2594</v>
      </c>
      <c r="C81" s="806">
        <v>7.9863E-3</v>
      </c>
      <c r="D81" s="806">
        <v>8.1589999999999996E-3</v>
      </c>
      <c r="E81" s="807">
        <v>6524</v>
      </c>
      <c r="F81" s="807">
        <v>-189077</v>
      </c>
      <c r="G81" s="807">
        <v>-149312</v>
      </c>
      <c r="H81" s="837"/>
      <c r="I81" s="838">
        <v>160</v>
      </c>
      <c r="J81" s="838">
        <v>7419</v>
      </c>
      <c r="K81" s="838">
        <v>39780</v>
      </c>
      <c r="L81" s="807">
        <v>2921</v>
      </c>
      <c r="M81" s="807"/>
      <c r="N81" s="838">
        <v>1933</v>
      </c>
      <c r="O81" s="838">
        <v>7164</v>
      </c>
      <c r="P81" s="838">
        <v>0</v>
      </c>
      <c r="Q81" s="807">
        <v>1354</v>
      </c>
      <c r="R81" s="807"/>
      <c r="S81" s="838">
        <v>11045</v>
      </c>
      <c r="T81" s="839">
        <v>-2223</v>
      </c>
      <c r="U81" s="839">
        <v>8822</v>
      </c>
    </row>
    <row r="82" spans="2:21" x14ac:dyDescent="0.25">
      <c r="B82" s="815" t="s">
        <v>2595</v>
      </c>
      <c r="C82" s="806">
        <v>1.2933699999999999E-2</v>
      </c>
      <c r="D82" s="806">
        <v>1.2605999999999999E-2</v>
      </c>
      <c r="E82" s="807">
        <v>10566</v>
      </c>
      <c r="F82" s="807">
        <v>-292131</v>
      </c>
      <c r="G82" s="807">
        <v>-241808</v>
      </c>
      <c r="H82" s="837"/>
      <c r="I82" s="838">
        <v>259</v>
      </c>
      <c r="J82" s="838">
        <v>12015</v>
      </c>
      <c r="K82" s="838">
        <v>64423</v>
      </c>
      <c r="L82" s="807">
        <v>326</v>
      </c>
      <c r="M82" s="807"/>
      <c r="N82" s="838">
        <v>3130</v>
      </c>
      <c r="O82" s="838">
        <v>11602</v>
      </c>
      <c r="P82" s="838">
        <v>0</v>
      </c>
      <c r="Q82" s="807">
        <v>6321</v>
      </c>
      <c r="R82" s="807"/>
      <c r="S82" s="838">
        <v>17887</v>
      </c>
      <c r="T82" s="839">
        <v>-5955</v>
      </c>
      <c r="U82" s="839">
        <v>11932</v>
      </c>
    </row>
    <row r="83" spans="2:21" x14ac:dyDescent="0.25">
      <c r="B83" s="815" t="s">
        <v>2596</v>
      </c>
      <c r="C83" s="806">
        <v>6.5884000000000003E-3</v>
      </c>
      <c r="D83" s="806">
        <v>6.5573999999999997E-3</v>
      </c>
      <c r="E83" s="807">
        <v>5382</v>
      </c>
      <c r="F83" s="807">
        <v>-151961</v>
      </c>
      <c r="G83" s="807">
        <v>-123177</v>
      </c>
      <c r="H83" s="837"/>
      <c r="I83" s="838">
        <v>132</v>
      </c>
      <c r="J83" s="838">
        <v>6121</v>
      </c>
      <c r="K83" s="838">
        <v>32817</v>
      </c>
      <c r="L83" s="807">
        <v>0</v>
      </c>
      <c r="M83" s="807"/>
      <c r="N83" s="838">
        <v>1594</v>
      </c>
      <c r="O83" s="838">
        <v>5910</v>
      </c>
      <c r="P83" s="838">
        <v>0</v>
      </c>
      <c r="Q83" s="807">
        <v>2570</v>
      </c>
      <c r="R83" s="807"/>
      <c r="S83" s="838">
        <v>9112</v>
      </c>
      <c r="T83" s="839">
        <v>-2528</v>
      </c>
      <c r="U83" s="839">
        <v>6583</v>
      </c>
    </row>
    <row r="84" spans="2:21" x14ac:dyDescent="0.25">
      <c r="B84" s="815" t="s">
        <v>2597</v>
      </c>
      <c r="C84" s="806">
        <v>5.0077999999999998E-3</v>
      </c>
      <c r="D84" s="806">
        <v>4.8568999999999999E-3</v>
      </c>
      <c r="E84" s="807">
        <v>4091</v>
      </c>
      <c r="F84" s="807">
        <v>-112554</v>
      </c>
      <c r="G84" s="807">
        <v>-93626</v>
      </c>
      <c r="H84" s="837"/>
      <c r="I84" s="838">
        <v>100</v>
      </c>
      <c r="J84" s="838">
        <v>4652</v>
      </c>
      <c r="K84" s="838">
        <v>24944</v>
      </c>
      <c r="L84" s="807">
        <v>232</v>
      </c>
      <c r="M84" s="807"/>
      <c r="N84" s="838">
        <v>1212</v>
      </c>
      <c r="O84" s="838">
        <v>4492</v>
      </c>
      <c r="P84" s="838">
        <v>0</v>
      </c>
      <c r="Q84" s="807">
        <v>2961</v>
      </c>
      <c r="R84" s="807"/>
      <c r="S84" s="838">
        <v>6926</v>
      </c>
      <c r="T84" s="839">
        <v>-2925</v>
      </c>
      <c r="U84" s="839">
        <v>4001</v>
      </c>
    </row>
    <row r="85" spans="2:21" x14ac:dyDescent="0.25">
      <c r="B85" s="815" t="s">
        <v>2598</v>
      </c>
      <c r="C85" s="806">
        <v>3.0856999999999998E-3</v>
      </c>
      <c r="D85" s="806">
        <v>2.8443000000000001E-3</v>
      </c>
      <c r="E85" s="807">
        <v>2521</v>
      </c>
      <c r="F85" s="807">
        <v>-65914</v>
      </c>
      <c r="G85" s="807">
        <v>-57690</v>
      </c>
      <c r="H85" s="837"/>
      <c r="I85" s="838">
        <v>62</v>
      </c>
      <c r="J85" s="838">
        <v>2867</v>
      </c>
      <c r="K85" s="838">
        <v>15370</v>
      </c>
      <c r="L85" s="807">
        <v>0</v>
      </c>
      <c r="M85" s="807"/>
      <c r="N85" s="838">
        <v>747</v>
      </c>
      <c r="O85" s="838">
        <v>2768</v>
      </c>
      <c r="P85" s="838">
        <v>0</v>
      </c>
      <c r="Q85" s="807">
        <v>4425</v>
      </c>
      <c r="R85" s="807"/>
      <c r="S85" s="838">
        <v>4268</v>
      </c>
      <c r="T85" s="839">
        <v>-2836</v>
      </c>
      <c r="U85" s="839">
        <v>1432</v>
      </c>
    </row>
    <row r="86" spans="2:21" x14ac:dyDescent="0.25">
      <c r="B86" s="815" t="s">
        <v>2599</v>
      </c>
      <c r="C86" s="806">
        <v>6.2223000000000001E-3</v>
      </c>
      <c r="D86" s="806">
        <v>5.8481000000000002E-3</v>
      </c>
      <c r="E86" s="807">
        <v>5083</v>
      </c>
      <c r="F86" s="807">
        <v>-135524</v>
      </c>
      <c r="G86" s="807">
        <v>-116332</v>
      </c>
      <c r="H86" s="837"/>
      <c r="I86" s="838">
        <v>124</v>
      </c>
      <c r="J86" s="838">
        <v>5781</v>
      </c>
      <c r="K86" s="838">
        <v>30993</v>
      </c>
      <c r="L86" s="807">
        <v>0</v>
      </c>
      <c r="M86" s="807"/>
      <c r="N86" s="838">
        <v>1506</v>
      </c>
      <c r="O86" s="838">
        <v>5581</v>
      </c>
      <c r="P86" s="838">
        <v>0</v>
      </c>
      <c r="Q86" s="807">
        <v>9399</v>
      </c>
      <c r="R86" s="807"/>
      <c r="S86" s="838">
        <v>8605</v>
      </c>
      <c r="T86" s="839">
        <v>-6382</v>
      </c>
      <c r="U86" s="839">
        <v>2224</v>
      </c>
    </row>
    <row r="87" spans="2:21" x14ac:dyDescent="0.25">
      <c r="B87" s="815" t="s">
        <v>2600</v>
      </c>
      <c r="C87" s="806">
        <v>3.6819000000000001E-3</v>
      </c>
      <c r="D87" s="806">
        <v>3.8609E-3</v>
      </c>
      <c r="E87" s="807">
        <v>3008</v>
      </c>
      <c r="F87" s="807">
        <v>-89472</v>
      </c>
      <c r="G87" s="807">
        <v>-68837</v>
      </c>
      <c r="H87" s="837"/>
      <c r="I87" s="838">
        <v>74</v>
      </c>
      <c r="J87" s="838">
        <v>3420</v>
      </c>
      <c r="K87" s="838">
        <v>18340</v>
      </c>
      <c r="L87" s="807">
        <v>3028</v>
      </c>
      <c r="M87" s="807"/>
      <c r="N87" s="838">
        <v>891</v>
      </c>
      <c r="O87" s="838">
        <v>3303</v>
      </c>
      <c r="P87" s="838">
        <v>0</v>
      </c>
      <c r="Q87" s="807">
        <v>2019</v>
      </c>
      <c r="R87" s="807"/>
      <c r="S87" s="838">
        <v>5092</v>
      </c>
      <c r="T87" s="839">
        <v>-930</v>
      </c>
      <c r="U87" s="839">
        <v>4162</v>
      </c>
    </row>
    <row r="88" spans="2:21" x14ac:dyDescent="0.25">
      <c r="B88" s="815" t="s">
        <v>2601</v>
      </c>
      <c r="C88" s="806">
        <v>7.1685999999999998E-3</v>
      </c>
      <c r="D88" s="806">
        <v>7.0705000000000004E-3</v>
      </c>
      <c r="E88" s="807">
        <v>5856</v>
      </c>
      <c r="F88" s="807">
        <v>-163852</v>
      </c>
      <c r="G88" s="807">
        <v>-134024</v>
      </c>
      <c r="H88" s="837"/>
      <c r="I88" s="838">
        <v>143</v>
      </c>
      <c r="J88" s="838">
        <v>6660</v>
      </c>
      <c r="K88" s="838">
        <v>35707</v>
      </c>
      <c r="L88" s="807">
        <v>0</v>
      </c>
      <c r="M88" s="807"/>
      <c r="N88" s="838">
        <v>1735</v>
      </c>
      <c r="O88" s="838">
        <v>6430</v>
      </c>
      <c r="P88" s="838">
        <v>0</v>
      </c>
      <c r="Q88" s="807">
        <v>2170</v>
      </c>
      <c r="R88" s="807"/>
      <c r="S88" s="838">
        <v>9914</v>
      </c>
      <c r="T88" s="839">
        <v>-3015</v>
      </c>
      <c r="U88" s="839">
        <v>6899</v>
      </c>
    </row>
    <row r="89" spans="2:21" x14ac:dyDescent="0.25">
      <c r="B89" s="815" t="s">
        <v>2602</v>
      </c>
      <c r="C89" s="806">
        <v>3.0403000000000001E-3</v>
      </c>
      <c r="D89" s="806">
        <v>2.8243000000000001E-3</v>
      </c>
      <c r="E89" s="807">
        <v>2484</v>
      </c>
      <c r="F89" s="807">
        <v>-65450</v>
      </c>
      <c r="G89" s="807">
        <v>-56841</v>
      </c>
      <c r="H89" s="837"/>
      <c r="I89" s="838">
        <v>61</v>
      </c>
      <c r="J89" s="838">
        <v>2824</v>
      </c>
      <c r="K89" s="838">
        <v>15144</v>
      </c>
      <c r="L89" s="807">
        <v>2419</v>
      </c>
      <c r="M89" s="807"/>
      <c r="N89" s="838">
        <v>736</v>
      </c>
      <c r="O89" s="838">
        <v>2727</v>
      </c>
      <c r="P89" s="838">
        <v>0</v>
      </c>
      <c r="Q89" s="807">
        <v>3673</v>
      </c>
      <c r="R89" s="807"/>
      <c r="S89" s="838">
        <v>4205</v>
      </c>
      <c r="T89" s="839">
        <v>10539</v>
      </c>
      <c r="U89" s="839">
        <v>14743</v>
      </c>
    </row>
    <row r="90" spans="2:21" x14ac:dyDescent="0.25">
      <c r="B90" s="815" t="s">
        <v>2603</v>
      </c>
      <c r="C90" s="806">
        <v>4.2072000000000003E-3</v>
      </c>
      <c r="D90" s="806">
        <v>4.1405000000000001E-3</v>
      </c>
      <c r="E90" s="807">
        <v>3437</v>
      </c>
      <c r="F90" s="807">
        <v>-95952</v>
      </c>
      <c r="G90" s="807">
        <v>-78658</v>
      </c>
      <c r="H90" s="837"/>
      <c r="I90" s="838">
        <v>84</v>
      </c>
      <c r="J90" s="838">
        <v>3908</v>
      </c>
      <c r="K90" s="838">
        <v>20956</v>
      </c>
      <c r="L90" s="807">
        <v>0</v>
      </c>
      <c r="M90" s="807"/>
      <c r="N90" s="838">
        <v>1018</v>
      </c>
      <c r="O90" s="838">
        <v>3774</v>
      </c>
      <c r="P90" s="838">
        <v>0</v>
      </c>
      <c r="Q90" s="807">
        <v>1770</v>
      </c>
      <c r="R90" s="807"/>
      <c r="S90" s="838">
        <v>5819</v>
      </c>
      <c r="T90" s="839">
        <v>-1123</v>
      </c>
      <c r="U90" s="839">
        <v>4696</v>
      </c>
    </row>
    <row r="91" spans="2:21" x14ac:dyDescent="0.25">
      <c r="B91" s="815" t="s">
        <v>2604</v>
      </c>
      <c r="C91" s="806">
        <v>3.724E-4</v>
      </c>
      <c r="D91" s="806">
        <v>3.3819999999999998E-4</v>
      </c>
      <c r="E91" s="807">
        <v>304.23874999999998</v>
      </c>
      <c r="F91" s="807">
        <v>-7837</v>
      </c>
      <c r="G91" s="807">
        <v>-6962</v>
      </c>
      <c r="H91" s="837"/>
      <c r="I91" s="838">
        <v>7</v>
      </c>
      <c r="J91" s="838">
        <v>346</v>
      </c>
      <c r="K91" s="838">
        <v>1855</v>
      </c>
      <c r="L91" s="807">
        <v>719</v>
      </c>
      <c r="M91" s="807"/>
      <c r="N91" s="838">
        <v>90</v>
      </c>
      <c r="O91" s="838">
        <v>334</v>
      </c>
      <c r="P91" s="838">
        <v>0</v>
      </c>
      <c r="Q91" s="807">
        <v>658</v>
      </c>
      <c r="R91" s="807"/>
      <c r="S91" s="838">
        <v>515</v>
      </c>
      <c r="T91" s="839">
        <v>-40</v>
      </c>
      <c r="U91" s="839">
        <v>475</v>
      </c>
    </row>
    <row r="92" spans="2:21" x14ac:dyDescent="0.25">
      <c r="B92" s="815" t="s">
        <v>2605</v>
      </c>
      <c r="C92" s="806">
        <v>2.6073599999999999E-2</v>
      </c>
      <c r="D92" s="806">
        <v>2.6178099999999999E-2</v>
      </c>
      <c r="E92" s="807">
        <v>21300</v>
      </c>
      <c r="F92" s="807">
        <v>-606651</v>
      </c>
      <c r="G92" s="807">
        <v>-487472</v>
      </c>
      <c r="H92" s="837"/>
      <c r="I92" s="838">
        <v>521</v>
      </c>
      <c r="J92" s="838">
        <v>24222</v>
      </c>
      <c r="K92" s="838">
        <v>129873</v>
      </c>
      <c r="L92" s="807">
        <v>2731</v>
      </c>
      <c r="M92" s="807"/>
      <c r="N92" s="838">
        <v>6310</v>
      </c>
      <c r="O92" s="838">
        <v>23388</v>
      </c>
      <c r="P92" s="838">
        <v>0</v>
      </c>
      <c r="Q92" s="807">
        <v>9407</v>
      </c>
      <c r="R92" s="807"/>
      <c r="S92" s="838">
        <v>36060</v>
      </c>
      <c r="T92" s="839">
        <v>-2277</v>
      </c>
      <c r="U92" s="839">
        <v>33783</v>
      </c>
    </row>
    <row r="93" spans="2:21" x14ac:dyDescent="0.25">
      <c r="B93" s="815" t="s">
        <v>2606</v>
      </c>
      <c r="C93" s="806">
        <v>3.6116999999999998E-3</v>
      </c>
      <c r="D93" s="806">
        <v>3.7046000000000002E-3</v>
      </c>
      <c r="E93" s="807">
        <v>2950</v>
      </c>
      <c r="F93" s="807">
        <v>-85850</v>
      </c>
      <c r="G93" s="807">
        <v>-67524</v>
      </c>
      <c r="H93" s="837"/>
      <c r="I93" s="838">
        <v>72</v>
      </c>
      <c r="J93" s="838">
        <v>3355</v>
      </c>
      <c r="K93" s="838">
        <v>17990</v>
      </c>
      <c r="L93" s="807">
        <v>2470</v>
      </c>
      <c r="M93" s="807"/>
      <c r="N93" s="838">
        <v>874</v>
      </c>
      <c r="O93" s="838">
        <v>3240</v>
      </c>
      <c r="P93" s="838">
        <v>0</v>
      </c>
      <c r="Q93" s="807">
        <v>408</v>
      </c>
      <c r="R93" s="807"/>
      <c r="S93" s="838">
        <v>4995</v>
      </c>
      <c r="T93" s="839">
        <v>-629</v>
      </c>
      <c r="U93" s="839">
        <v>4366</v>
      </c>
    </row>
    <row r="94" spans="2:21" x14ac:dyDescent="0.25">
      <c r="B94" s="815" t="s">
        <v>2607</v>
      </c>
      <c r="C94" s="806">
        <v>9.9709900000000004E-2</v>
      </c>
      <c r="D94" s="806">
        <v>0.1114588</v>
      </c>
      <c r="E94" s="807">
        <v>81457</v>
      </c>
      <c r="F94" s="807">
        <v>-2582946</v>
      </c>
      <c r="G94" s="807">
        <v>-1864176</v>
      </c>
      <c r="H94" s="837"/>
      <c r="I94" s="838">
        <v>1994</v>
      </c>
      <c r="J94" s="838">
        <v>92630</v>
      </c>
      <c r="K94" s="838">
        <v>496655</v>
      </c>
      <c r="L94" s="807">
        <v>207682</v>
      </c>
      <c r="M94" s="807"/>
      <c r="N94" s="838">
        <v>24130</v>
      </c>
      <c r="O94" s="838">
        <v>89440</v>
      </c>
      <c r="P94" s="838">
        <v>0</v>
      </c>
      <c r="Q94" s="807">
        <v>53956</v>
      </c>
      <c r="R94" s="807"/>
      <c r="S94" s="838">
        <v>137899</v>
      </c>
      <c r="T94" s="839">
        <v>83603</v>
      </c>
      <c r="U94" s="839">
        <v>221502</v>
      </c>
    </row>
    <row r="95" spans="2:21" x14ac:dyDescent="0.25">
      <c r="B95" s="815" t="s">
        <v>2608</v>
      </c>
      <c r="C95" s="806">
        <v>1.6083E-3</v>
      </c>
      <c r="D95" s="806">
        <v>1.408E-3</v>
      </c>
      <c r="E95" s="807">
        <v>1314</v>
      </c>
      <c r="F95" s="807">
        <v>-32629</v>
      </c>
      <c r="G95" s="807">
        <v>-30069</v>
      </c>
      <c r="H95" s="837"/>
      <c r="I95" s="838">
        <v>32</v>
      </c>
      <c r="J95" s="838">
        <v>1494</v>
      </c>
      <c r="K95" s="838">
        <v>8011</v>
      </c>
      <c r="L95" s="807">
        <v>1219</v>
      </c>
      <c r="M95" s="807"/>
      <c r="N95" s="838">
        <v>389</v>
      </c>
      <c r="O95" s="838">
        <v>1443</v>
      </c>
      <c r="P95" s="838">
        <v>0</v>
      </c>
      <c r="Q95" s="807">
        <v>3388</v>
      </c>
      <c r="R95" s="807"/>
      <c r="S95" s="838">
        <v>2224</v>
      </c>
      <c r="T95" s="839">
        <v>-157</v>
      </c>
      <c r="U95" s="839">
        <v>2067</v>
      </c>
    </row>
    <row r="96" spans="2:21" x14ac:dyDescent="0.25">
      <c r="B96" s="815" t="s">
        <v>2609</v>
      </c>
      <c r="C96" s="806">
        <v>1.2009E-3</v>
      </c>
      <c r="D96" s="806">
        <v>1.2325000000000001E-3</v>
      </c>
      <c r="E96" s="807">
        <v>981.09375</v>
      </c>
      <c r="F96" s="807">
        <v>-28562</v>
      </c>
      <c r="G96" s="807">
        <v>-22452</v>
      </c>
      <c r="H96" s="837"/>
      <c r="I96" s="838">
        <v>24</v>
      </c>
      <c r="J96" s="838">
        <v>1116</v>
      </c>
      <c r="K96" s="838">
        <v>5982</v>
      </c>
      <c r="L96" s="807">
        <v>535</v>
      </c>
      <c r="M96" s="807"/>
      <c r="N96" s="838">
        <v>291</v>
      </c>
      <c r="O96" s="838">
        <v>1077</v>
      </c>
      <c r="P96" s="838">
        <v>0</v>
      </c>
      <c r="Q96" s="807">
        <v>2476</v>
      </c>
      <c r="R96" s="807"/>
      <c r="S96" s="838">
        <v>1661</v>
      </c>
      <c r="T96" s="839">
        <v>-3145</v>
      </c>
      <c r="U96" s="839">
        <v>-1484</v>
      </c>
    </row>
    <row r="97" spans="2:21" x14ac:dyDescent="0.25">
      <c r="B97" s="815" t="s">
        <v>2610</v>
      </c>
      <c r="C97" s="806">
        <v>6.6734000000000003E-3</v>
      </c>
      <c r="D97" s="806">
        <v>6.5928999999999996E-3</v>
      </c>
      <c r="E97" s="807">
        <v>5452</v>
      </c>
      <c r="F97" s="807">
        <v>-152784</v>
      </c>
      <c r="G97" s="807">
        <v>-124766</v>
      </c>
      <c r="H97" s="837"/>
      <c r="I97" s="838">
        <v>133</v>
      </c>
      <c r="J97" s="838">
        <v>6200</v>
      </c>
      <c r="K97" s="838">
        <v>33240</v>
      </c>
      <c r="L97" s="807">
        <v>415</v>
      </c>
      <c r="M97" s="807"/>
      <c r="N97" s="838">
        <v>1615</v>
      </c>
      <c r="O97" s="838">
        <v>5986</v>
      </c>
      <c r="P97" s="838">
        <v>0</v>
      </c>
      <c r="Q97" s="807">
        <v>3883</v>
      </c>
      <c r="R97" s="807"/>
      <c r="S97" s="838">
        <v>9229</v>
      </c>
      <c r="T97" s="839">
        <v>-601</v>
      </c>
      <c r="U97" s="839">
        <v>8629</v>
      </c>
    </row>
    <row r="98" spans="2:21" x14ac:dyDescent="0.25">
      <c r="B98" s="815" t="s">
        <v>2611</v>
      </c>
      <c r="C98" s="806">
        <v>9.8042000000000008E-3</v>
      </c>
      <c r="D98" s="806">
        <v>9.5604000000000001E-3</v>
      </c>
      <c r="E98" s="807">
        <v>8009</v>
      </c>
      <c r="F98" s="807">
        <v>-221553</v>
      </c>
      <c r="G98" s="807">
        <v>-183299</v>
      </c>
      <c r="H98" s="837"/>
      <c r="I98" s="838">
        <v>196</v>
      </c>
      <c r="J98" s="838">
        <v>9108</v>
      </c>
      <c r="K98" s="838">
        <v>48835</v>
      </c>
      <c r="L98" s="807">
        <v>514</v>
      </c>
      <c r="M98" s="807"/>
      <c r="N98" s="838">
        <v>2373</v>
      </c>
      <c r="O98" s="838">
        <v>8794</v>
      </c>
      <c r="P98" s="838">
        <v>0</v>
      </c>
      <c r="Q98" s="807">
        <v>4616</v>
      </c>
      <c r="R98" s="807"/>
      <c r="S98" s="838">
        <v>13559</v>
      </c>
      <c r="T98" s="839">
        <v>-3771</v>
      </c>
      <c r="U98" s="839">
        <v>9788</v>
      </c>
    </row>
    <row r="99" spans="2:21" x14ac:dyDescent="0.25">
      <c r="B99" s="815" t="s">
        <v>2612</v>
      </c>
      <c r="C99" s="806">
        <v>6.1932000000000003E-3</v>
      </c>
      <c r="D99" s="806">
        <v>6.3542E-3</v>
      </c>
      <c r="E99" s="807">
        <v>5059</v>
      </c>
      <c r="F99" s="807">
        <v>-147252</v>
      </c>
      <c r="G99" s="807">
        <v>-115788</v>
      </c>
      <c r="H99" s="837"/>
      <c r="I99" s="838">
        <v>124</v>
      </c>
      <c r="J99" s="838">
        <v>5753</v>
      </c>
      <c r="K99" s="838">
        <v>30848</v>
      </c>
      <c r="L99" s="807">
        <v>2723</v>
      </c>
      <c r="M99" s="807"/>
      <c r="N99" s="838">
        <v>1499</v>
      </c>
      <c r="O99" s="838">
        <v>5555</v>
      </c>
      <c r="P99" s="838">
        <v>0</v>
      </c>
      <c r="Q99" s="807">
        <v>1322</v>
      </c>
      <c r="R99" s="807"/>
      <c r="S99" s="838">
        <v>8565</v>
      </c>
      <c r="T99" s="839">
        <v>-2466</v>
      </c>
      <c r="U99" s="839">
        <v>6099</v>
      </c>
    </row>
    <row r="100" spans="2:21" x14ac:dyDescent="0.25">
      <c r="B100" s="815" t="s">
        <v>2613</v>
      </c>
      <c r="C100" s="806">
        <v>4.7648999999999999E-3</v>
      </c>
      <c r="D100" s="806">
        <v>4.7707000000000001E-3</v>
      </c>
      <c r="E100" s="807">
        <v>3893</v>
      </c>
      <c r="F100" s="807">
        <v>-110556</v>
      </c>
      <c r="G100" s="807">
        <v>-89085</v>
      </c>
      <c r="H100" s="837"/>
      <c r="I100" s="838">
        <v>95</v>
      </c>
      <c r="J100" s="838">
        <v>4427</v>
      </c>
      <c r="K100" s="838">
        <v>23734</v>
      </c>
      <c r="L100" s="807">
        <v>1206</v>
      </c>
      <c r="M100" s="807"/>
      <c r="N100" s="838">
        <v>1153</v>
      </c>
      <c r="O100" s="838">
        <v>4274</v>
      </c>
      <c r="P100" s="838">
        <v>0</v>
      </c>
      <c r="Q100" s="807">
        <v>212</v>
      </c>
      <c r="R100" s="807"/>
      <c r="S100" s="838">
        <v>6590</v>
      </c>
      <c r="T100" s="839">
        <v>-94</v>
      </c>
      <c r="U100" s="839">
        <v>6496</v>
      </c>
    </row>
    <row r="101" spans="2:21" x14ac:dyDescent="0.25">
      <c r="B101" s="815" t="s">
        <v>2513</v>
      </c>
      <c r="C101" s="806">
        <v>3.2017E-3</v>
      </c>
      <c r="D101" s="806">
        <v>3.0948999999999998E-3</v>
      </c>
      <c r="E101" s="807">
        <v>2616</v>
      </c>
      <c r="F101" s="807">
        <v>-71721</v>
      </c>
      <c r="G101" s="807">
        <v>-59859</v>
      </c>
      <c r="H101" s="837"/>
      <c r="I101" s="838">
        <v>64</v>
      </c>
      <c r="J101" s="838">
        <v>2974</v>
      </c>
      <c r="K101" s="838">
        <v>15948</v>
      </c>
      <c r="L101" s="807">
        <v>484</v>
      </c>
      <c r="M101" s="807"/>
      <c r="N101" s="838">
        <v>775</v>
      </c>
      <c r="O101" s="838">
        <v>2872</v>
      </c>
      <c r="P101" s="838">
        <v>0</v>
      </c>
      <c r="Q101" s="807">
        <v>2095</v>
      </c>
      <c r="R101" s="807"/>
      <c r="S101" s="838">
        <v>4428</v>
      </c>
      <c r="T101" s="839">
        <v>-1803</v>
      </c>
      <c r="U101" s="839">
        <v>2625</v>
      </c>
    </row>
    <row r="102" spans="2:21" x14ac:dyDescent="0.25">
      <c r="B102" s="815" t="s">
        <v>2614</v>
      </c>
      <c r="C102" s="806">
        <v>1.7052E-3</v>
      </c>
      <c r="D102" s="806">
        <v>1.7247E-3</v>
      </c>
      <c r="E102" s="807">
        <v>1393</v>
      </c>
      <c r="F102" s="807">
        <v>-39968</v>
      </c>
      <c r="G102" s="807">
        <v>-31880</v>
      </c>
      <c r="H102" s="837"/>
      <c r="I102" s="838">
        <v>34</v>
      </c>
      <c r="J102" s="838">
        <v>1584</v>
      </c>
      <c r="K102" s="838">
        <v>8494</v>
      </c>
      <c r="L102" s="807">
        <v>1134</v>
      </c>
      <c r="M102" s="807"/>
      <c r="N102" s="838">
        <v>413</v>
      </c>
      <c r="O102" s="838">
        <v>1530</v>
      </c>
      <c r="P102" s="838">
        <v>0</v>
      </c>
      <c r="Q102" s="807">
        <v>274</v>
      </c>
      <c r="R102" s="807"/>
      <c r="S102" s="838">
        <v>2358</v>
      </c>
      <c r="T102" s="839">
        <v>-559</v>
      </c>
      <c r="U102" s="839">
        <v>1799</v>
      </c>
    </row>
    <row r="103" spans="2:21" x14ac:dyDescent="0.25">
      <c r="B103" s="774" t="s">
        <v>2625</v>
      </c>
      <c r="C103" s="806">
        <v>4.4989000000000001E-3</v>
      </c>
      <c r="D103" s="806">
        <v>4.2408999999999997E-3</v>
      </c>
      <c r="E103" s="807">
        <v>3675.28125</v>
      </c>
      <c r="F103" s="807">
        <v>-98279</v>
      </c>
      <c r="G103" s="807">
        <v>-84111</v>
      </c>
      <c r="H103" s="837"/>
      <c r="I103" s="838">
        <v>90</v>
      </c>
      <c r="J103" s="838">
        <v>4179</v>
      </c>
      <c r="K103" s="838">
        <v>22409</v>
      </c>
      <c r="L103" s="807">
        <v>2424</v>
      </c>
      <c r="M103" s="807"/>
      <c r="N103" s="838">
        <v>1089</v>
      </c>
      <c r="O103" s="838">
        <v>4036</v>
      </c>
      <c r="P103" s="838">
        <v>0</v>
      </c>
      <c r="Q103" s="807">
        <v>4364</v>
      </c>
      <c r="R103" s="807"/>
      <c r="S103" s="838">
        <v>6222</v>
      </c>
      <c r="T103" s="839">
        <v>615</v>
      </c>
      <c r="U103" s="839">
        <v>6837</v>
      </c>
    </row>
    <row r="104" spans="2:21" s="840" customFormat="1" x14ac:dyDescent="0.25">
      <c r="B104" s="840" t="s">
        <v>2028</v>
      </c>
      <c r="E104" s="841">
        <f>SUM(E3:E102)</f>
        <v>816937</v>
      </c>
      <c r="F104" s="841">
        <f>SUM(F3:F102)</f>
        <v>-23173995</v>
      </c>
      <c r="G104" s="841">
        <f>SUM(G3:G102)</f>
        <v>-18696001</v>
      </c>
      <c r="H104" s="842"/>
      <c r="I104" s="841">
        <f>SUM(I3:I102)</f>
        <v>19995</v>
      </c>
      <c r="J104" s="841">
        <f>SUM(J3:J102)</f>
        <v>928994</v>
      </c>
      <c r="K104" s="841">
        <f>SUM(K3:K102)</f>
        <v>4981002</v>
      </c>
      <c r="L104" s="841">
        <f>SUM(L3:L102)</f>
        <v>823259</v>
      </c>
      <c r="M104" s="842"/>
      <c r="N104" s="841">
        <f>SUM(N3:N102)</f>
        <v>242003</v>
      </c>
      <c r="O104" s="841">
        <f>SUM(O3:O102)</f>
        <v>897004</v>
      </c>
      <c r="P104" s="841">
        <f>SUM(P3:P102)</f>
        <v>0</v>
      </c>
      <c r="Q104" s="841">
        <f>SUM(Q3:Q102)</f>
        <v>823263</v>
      </c>
      <c r="R104" s="842"/>
      <c r="S104" s="841">
        <f>SUM(S3:S102)</f>
        <v>1383004</v>
      </c>
      <c r="T104" s="841">
        <f>SUM(T3:T102)</f>
        <v>-6</v>
      </c>
      <c r="U104" s="841">
        <f>SUM(U3:U102)</f>
        <v>1382995</v>
      </c>
    </row>
    <row r="105" spans="2:21" x14ac:dyDescent="0.25">
      <c r="C105" s="843"/>
      <c r="D105" s="843"/>
      <c r="E105" s="843"/>
      <c r="F105" s="843"/>
      <c r="G105" s="843"/>
      <c r="H105" s="843"/>
      <c r="I105" s="844"/>
      <c r="J105" s="844"/>
      <c r="K105" s="844"/>
      <c r="L105" s="844"/>
      <c r="M105" s="844"/>
      <c r="N105" s="844"/>
      <c r="O105" s="844"/>
      <c r="P105" s="844"/>
      <c r="Q105" s="844"/>
      <c r="R105" s="844"/>
      <c r="S105" s="844"/>
      <c r="T105" s="844"/>
      <c r="U105" s="844"/>
    </row>
    <row r="106" spans="2:21" x14ac:dyDescent="0.25">
      <c r="C106" s="843"/>
      <c r="D106" s="843"/>
      <c r="E106" s="843"/>
      <c r="F106" s="843"/>
      <c r="G106" s="843"/>
      <c r="H106" s="843"/>
      <c r="I106" s="844"/>
      <c r="J106" s="844"/>
      <c r="K106" s="844"/>
      <c r="L106" s="844"/>
      <c r="M106" s="844"/>
      <c r="N106" s="844"/>
      <c r="O106" s="844"/>
      <c r="P106" s="844"/>
      <c r="Q106" s="844"/>
      <c r="R106" s="844"/>
      <c r="S106" s="844"/>
      <c r="T106" s="844"/>
      <c r="U106" s="844"/>
    </row>
  </sheetData>
  <customSheetViews>
    <customSheetView guid="{C1197650-3ED8-49E4-8E4C-0D1D4B503FC0}" fitToPage="1" state="hidden">
      <pane xSplit="2" ySplit="2" topLeftCell="C76" activePane="bottomRight" state="frozen"/>
      <selection pane="bottomRight" activeCell="H100" sqref="H100"/>
      <pageMargins left="0.25" right="0.25" top="0.75" bottom="0.75" header="0.3" footer="0.3"/>
      <pageSetup paperSize="5" scale="63" fitToHeight="0" orientation="landscape" r:id="rId1"/>
      <headerFooter scaleWithDoc="0"/>
    </customSheetView>
    <customSheetView guid="{D2B860EA-92EC-4999-9A59-C624E1F8C7FB}" fitToPage="1" state="hidden">
      <pane xSplit="2" ySplit="2" topLeftCell="C76" activePane="bottomRight" state="frozen"/>
      <selection pane="bottomRight" activeCell="H100" sqref="H100"/>
      <pageMargins left="0.25" right="0.25" top="0.75" bottom="0.75" header="0.3" footer="0.3"/>
      <pageSetup paperSize="5" scale="63" fitToHeight="0" orientation="landscape" r:id="rId2"/>
      <headerFooter scaleWithDoc="0"/>
    </customSheetView>
  </customSheetViews>
  <pageMargins left="0.25" right="0.25" top="0.75" bottom="0.75" header="0.3" footer="0.3"/>
  <pageSetup paperSize="5" scale="63" fitToHeight="0" orientation="landscape" r:id="rId3"/>
  <headerFooter scaleWithDoc="0"/>
  <legacyDrawingHF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DF6C1-912B-4A78-A63D-C61324B0F2F4}">
  <dimension ref="A1:V109"/>
  <sheetViews>
    <sheetView workbookViewId="0"/>
  </sheetViews>
  <sheetFormatPr defaultRowHeight="12.75" x14ac:dyDescent="0.2"/>
  <cols>
    <col min="1" max="1" width="28.7109375" bestFit="1" customWidth="1"/>
    <col min="2" max="2" width="12.42578125" customWidth="1"/>
    <col min="3" max="3" width="13.42578125" customWidth="1"/>
    <col min="4" max="4" width="11.85546875" bestFit="1" customWidth="1"/>
    <col min="6" max="6" width="28.85546875" bestFit="1" customWidth="1"/>
    <col min="7" max="7" width="13" customWidth="1"/>
    <col min="8" max="8" width="12.140625" customWidth="1"/>
    <col min="9" max="9" width="26.28515625" customWidth="1"/>
    <col min="11" max="11" width="28.5703125" bestFit="1" customWidth="1"/>
    <col min="12" max="12" width="13" customWidth="1"/>
    <col min="13" max="13" width="8.7109375" bestFit="1" customWidth="1"/>
    <col min="14" max="14" width="19.5703125" customWidth="1"/>
    <col min="16" max="16" width="16.140625" bestFit="1" customWidth="1"/>
    <col min="17" max="17" width="20.7109375" customWidth="1"/>
    <col min="18" max="18" width="10.28515625" bestFit="1" customWidth="1"/>
    <col min="20" max="21" width="11.85546875" bestFit="1" customWidth="1"/>
  </cols>
  <sheetData>
    <row r="1" spans="1:22" ht="15" x14ac:dyDescent="0.25">
      <c r="A1" s="1175" t="s">
        <v>4079</v>
      </c>
      <c r="B1" s="1175"/>
      <c r="C1" s="1012"/>
      <c r="D1" s="1012"/>
      <c r="E1" s="1012"/>
      <c r="F1" s="1012"/>
      <c r="G1" s="1012"/>
      <c r="H1" s="1012"/>
      <c r="I1" s="1012"/>
      <c r="J1" s="1012"/>
      <c r="K1" s="1012"/>
      <c r="L1" s="1012"/>
      <c r="M1" s="1012"/>
      <c r="N1" s="1012"/>
      <c r="O1" s="1012"/>
      <c r="P1" s="1012"/>
      <c r="Q1" s="1012"/>
      <c r="R1" s="1012"/>
      <c r="S1" s="1012"/>
      <c r="T1" s="1012"/>
      <c r="U1" s="1012"/>
    </row>
    <row r="2" spans="1:22" ht="15" x14ac:dyDescent="0.25">
      <c r="A2" s="1175" t="s">
        <v>3969</v>
      </c>
      <c r="B2" s="1175"/>
      <c r="C2" s="1012"/>
      <c r="D2" s="1012"/>
      <c r="E2" s="1012"/>
      <c r="F2" s="1012"/>
      <c r="G2" s="1012"/>
      <c r="H2" s="1012"/>
      <c r="I2" s="1012"/>
      <c r="J2" s="1012"/>
      <c r="K2" s="1012"/>
      <c r="L2" s="1012"/>
      <c r="M2" s="1012"/>
      <c r="N2" s="1012"/>
      <c r="O2" s="1012"/>
      <c r="P2" s="1012"/>
      <c r="Q2" s="1012"/>
      <c r="R2" s="1012"/>
      <c r="S2" s="1012"/>
      <c r="T2" s="1012"/>
      <c r="U2" s="1012"/>
    </row>
    <row r="3" spans="1:22" ht="15" x14ac:dyDescent="0.25">
      <c r="A3" s="1012"/>
      <c r="B3" s="1012"/>
      <c r="C3" s="1012"/>
      <c r="D3" s="1012"/>
      <c r="E3" s="1012"/>
      <c r="F3" s="1012"/>
      <c r="G3" s="1012"/>
      <c r="H3" s="1012"/>
      <c r="I3" s="1012"/>
      <c r="J3" s="1012"/>
      <c r="K3" s="1012"/>
      <c r="L3" s="1012"/>
      <c r="M3" s="1012"/>
      <c r="N3" s="1012"/>
      <c r="O3" s="1012"/>
      <c r="P3" s="1012"/>
      <c r="Q3" s="1012"/>
      <c r="R3" s="1012"/>
      <c r="S3" s="1012"/>
      <c r="T3" s="1012"/>
      <c r="U3" s="1012"/>
    </row>
    <row r="4" spans="1:22" ht="15" x14ac:dyDescent="0.25">
      <c r="A4" s="1165"/>
      <c r="B4" s="1165"/>
      <c r="C4" s="1165"/>
      <c r="D4" s="1165"/>
      <c r="E4" s="1165"/>
      <c r="F4" s="1588" t="s">
        <v>1147</v>
      </c>
      <c r="G4" s="1588"/>
      <c r="H4" s="1588"/>
      <c r="I4" s="1588"/>
      <c r="J4" s="1165"/>
      <c r="K4" s="1588" t="s">
        <v>1148</v>
      </c>
      <c r="L4" s="1588"/>
      <c r="M4" s="1588"/>
      <c r="N4" s="1588"/>
      <c r="O4" s="1165"/>
      <c r="P4" s="1588" t="s">
        <v>1149</v>
      </c>
      <c r="Q4" s="1588"/>
      <c r="R4" s="1588"/>
      <c r="S4" s="1176" t="s">
        <v>4080</v>
      </c>
      <c r="T4" s="1177"/>
      <c r="U4" s="1177"/>
    </row>
    <row r="5" spans="1:22" ht="135" x14ac:dyDescent="0.25">
      <c r="A5" s="1015" t="s">
        <v>4081</v>
      </c>
      <c r="B5" s="1015" t="s">
        <v>2090</v>
      </c>
      <c r="C5" s="1015" t="s">
        <v>2091</v>
      </c>
      <c r="D5" s="1015" t="s">
        <v>4082</v>
      </c>
      <c r="E5" s="1015"/>
      <c r="F5" s="1015" t="s">
        <v>1153</v>
      </c>
      <c r="G5" s="1015" t="s">
        <v>1154</v>
      </c>
      <c r="H5" s="1015" t="s">
        <v>1155</v>
      </c>
      <c r="I5" s="1015" t="s">
        <v>1156</v>
      </c>
      <c r="J5" s="1015"/>
      <c r="K5" s="1015" t="s">
        <v>1153</v>
      </c>
      <c r="L5" s="1015" t="s">
        <v>4083</v>
      </c>
      <c r="M5" s="1015" t="s">
        <v>1155</v>
      </c>
      <c r="N5" s="1015" t="s">
        <v>1156</v>
      </c>
      <c r="O5" s="1015"/>
      <c r="P5" s="1015" t="s">
        <v>1157</v>
      </c>
      <c r="Q5" s="1015" t="s">
        <v>1158</v>
      </c>
      <c r="R5" s="1015" t="s">
        <v>1159</v>
      </c>
      <c r="S5" s="1015"/>
      <c r="T5" s="1015" t="s">
        <v>4084</v>
      </c>
      <c r="U5" s="1015" t="s">
        <v>4085</v>
      </c>
      <c r="V5" s="1166"/>
    </row>
    <row r="6" spans="1:22" ht="15" x14ac:dyDescent="0.25">
      <c r="A6" s="1019" t="s">
        <v>4086</v>
      </c>
      <c r="B6" s="1167">
        <v>0</v>
      </c>
      <c r="C6" s="1167">
        <v>0</v>
      </c>
      <c r="D6" s="1167">
        <v>0</v>
      </c>
      <c r="E6" s="1167"/>
      <c r="F6" s="1167">
        <v>0</v>
      </c>
      <c r="G6" s="1167">
        <v>0</v>
      </c>
      <c r="H6" s="1167">
        <v>0</v>
      </c>
      <c r="I6" s="1167">
        <v>0</v>
      </c>
      <c r="J6" s="1167"/>
      <c r="K6" s="1167">
        <v>0</v>
      </c>
      <c r="L6" s="1167">
        <v>0</v>
      </c>
      <c r="M6" s="1167">
        <v>0</v>
      </c>
      <c r="N6" s="1167">
        <v>0</v>
      </c>
      <c r="O6" s="1167"/>
      <c r="P6" s="1167">
        <v>0</v>
      </c>
      <c r="Q6" s="1167">
        <v>0</v>
      </c>
      <c r="R6" s="1167">
        <v>0</v>
      </c>
      <c r="S6" s="1167"/>
      <c r="T6" s="1167">
        <v>0</v>
      </c>
      <c r="U6" s="1167">
        <v>0</v>
      </c>
    </row>
    <row r="7" spans="1:22" ht="15" x14ac:dyDescent="0.25">
      <c r="A7" s="1019" t="s">
        <v>2516</v>
      </c>
      <c r="B7" s="1168">
        <v>1.5755000000000002E-2</v>
      </c>
      <c r="C7" s="1168">
        <v>1.55155E-2</v>
      </c>
      <c r="D7" s="1169">
        <v>-260950</v>
      </c>
      <c r="E7" s="1006"/>
      <c r="F7" s="1169">
        <v>2300</v>
      </c>
      <c r="G7" s="1169">
        <v>41593</v>
      </c>
      <c r="H7" s="1169">
        <v>12273</v>
      </c>
      <c r="I7" s="1169">
        <v>2856</v>
      </c>
      <c r="J7" s="1006"/>
      <c r="K7" s="1169">
        <v>11911</v>
      </c>
      <c r="L7" s="1169"/>
      <c r="M7" s="1169">
        <v>0</v>
      </c>
      <c r="N7" s="1169">
        <v>3862</v>
      </c>
      <c r="O7" s="1006"/>
      <c r="P7" s="1169">
        <v>49187</v>
      </c>
      <c r="Q7" s="1169">
        <v>28909</v>
      </c>
      <c r="R7" s="1169">
        <v>78096</v>
      </c>
      <c r="S7" s="1169"/>
      <c r="T7" s="1169">
        <v>-205745</v>
      </c>
      <c r="U7" s="1169">
        <v>-307506</v>
      </c>
    </row>
    <row r="8" spans="1:22" ht="15" x14ac:dyDescent="0.25">
      <c r="A8" s="1019" t="s">
        <v>2517</v>
      </c>
      <c r="B8" s="1168">
        <v>2.8513000000000002E-3</v>
      </c>
      <c r="C8" s="1168">
        <v>2.7699999999999999E-3</v>
      </c>
      <c r="D8" s="36">
        <v>-47226</v>
      </c>
      <c r="E8" s="1006"/>
      <c r="F8" s="36">
        <v>416</v>
      </c>
      <c r="G8" s="36">
        <v>7527</v>
      </c>
      <c r="H8" s="36">
        <v>2221</v>
      </c>
      <c r="I8" s="36">
        <v>607</v>
      </c>
      <c r="J8" s="1006"/>
      <c r="K8" s="36">
        <v>2156</v>
      </c>
      <c r="L8" s="36"/>
      <c r="M8" s="36">
        <v>0</v>
      </c>
      <c r="N8" s="36">
        <v>1172</v>
      </c>
      <c r="O8" s="1006"/>
      <c r="P8" s="36">
        <v>8902</v>
      </c>
      <c r="Q8" s="36">
        <v>123</v>
      </c>
      <c r="R8" s="36">
        <v>9025</v>
      </c>
      <c r="S8" s="36"/>
      <c r="T8" s="36">
        <v>-37235</v>
      </c>
      <c r="U8" s="36">
        <v>-55652</v>
      </c>
    </row>
    <row r="9" spans="1:22" ht="15" x14ac:dyDescent="0.25">
      <c r="A9" s="1019" t="s">
        <v>2518</v>
      </c>
      <c r="B9" s="1168">
        <v>1.5004E-3</v>
      </c>
      <c r="C9" s="1168">
        <v>1.4677E-3</v>
      </c>
      <c r="D9" s="36">
        <v>-24851</v>
      </c>
      <c r="E9" s="1006"/>
      <c r="F9" s="36">
        <v>219</v>
      </c>
      <c r="G9" s="36">
        <v>3961</v>
      </c>
      <c r="H9" s="36">
        <v>1169</v>
      </c>
      <c r="I9" s="36">
        <v>216</v>
      </c>
      <c r="J9" s="1006"/>
      <c r="K9" s="36">
        <v>1134</v>
      </c>
      <c r="L9" s="36"/>
      <c r="M9" s="36">
        <v>0</v>
      </c>
      <c r="N9" s="36">
        <v>471</v>
      </c>
      <c r="O9" s="1006"/>
      <c r="P9" s="36">
        <v>4684</v>
      </c>
      <c r="Q9" s="36">
        <v>158</v>
      </c>
      <c r="R9" s="36">
        <v>4842</v>
      </c>
      <c r="S9" s="36"/>
      <c r="T9" s="36">
        <v>-19594</v>
      </c>
      <c r="U9" s="36">
        <v>-29285</v>
      </c>
    </row>
    <row r="10" spans="1:22" ht="15" x14ac:dyDescent="0.25">
      <c r="A10" s="1019" t="s">
        <v>2519</v>
      </c>
      <c r="B10" s="1168">
        <v>1.7306000000000001E-3</v>
      </c>
      <c r="C10" s="1168">
        <v>1.6808999999999999E-3</v>
      </c>
      <c r="D10" s="36">
        <v>-28664</v>
      </c>
      <c r="E10" s="1006"/>
      <c r="F10" s="36">
        <v>253</v>
      </c>
      <c r="G10" s="36">
        <v>4569</v>
      </c>
      <c r="H10" s="36">
        <v>1348</v>
      </c>
      <c r="I10" s="36">
        <v>377</v>
      </c>
      <c r="J10" s="1006"/>
      <c r="K10" s="36">
        <v>1308</v>
      </c>
      <c r="L10" s="36"/>
      <c r="M10" s="36">
        <v>0</v>
      </c>
      <c r="N10" s="36">
        <v>717</v>
      </c>
      <c r="O10" s="1006"/>
      <c r="P10" s="36">
        <v>5403</v>
      </c>
      <c r="Q10" s="36">
        <v>238</v>
      </c>
      <c r="R10" s="36">
        <v>5641</v>
      </c>
      <c r="S10" s="36"/>
      <c r="T10" s="36">
        <v>-22600</v>
      </c>
      <c r="U10" s="36">
        <v>-33778</v>
      </c>
    </row>
    <row r="11" spans="1:22" ht="15" x14ac:dyDescent="0.25">
      <c r="A11" s="1019" t="s">
        <v>2520</v>
      </c>
      <c r="B11" s="1168">
        <v>3.4716E-3</v>
      </c>
      <c r="C11" s="1168">
        <v>3.4340999999999998E-3</v>
      </c>
      <c r="D11" s="36">
        <v>-57500</v>
      </c>
      <c r="E11" s="1006"/>
      <c r="F11" s="36">
        <v>507</v>
      </c>
      <c r="G11" s="36">
        <v>9165</v>
      </c>
      <c r="H11" s="36">
        <v>2704</v>
      </c>
      <c r="I11" s="36">
        <v>963</v>
      </c>
      <c r="J11" s="1006"/>
      <c r="K11" s="36">
        <v>2625</v>
      </c>
      <c r="L11" s="36"/>
      <c r="M11" s="36">
        <v>0</v>
      </c>
      <c r="N11" s="36">
        <v>666</v>
      </c>
      <c r="O11" s="1006"/>
      <c r="P11" s="36">
        <v>10838</v>
      </c>
      <c r="Q11" s="36">
        <v>135</v>
      </c>
      <c r="R11" s="36">
        <v>10973</v>
      </c>
      <c r="S11" s="36"/>
      <c r="T11" s="36">
        <v>-45336</v>
      </c>
      <c r="U11" s="36">
        <v>-67759</v>
      </c>
    </row>
    <row r="12" spans="1:22" ht="15" x14ac:dyDescent="0.25">
      <c r="A12" s="1019" t="s">
        <v>2521</v>
      </c>
      <c r="B12" s="1168">
        <v>4.1438999999999998E-3</v>
      </c>
      <c r="C12" s="1168">
        <v>2.928E-3</v>
      </c>
      <c r="D12" s="36">
        <v>-68635</v>
      </c>
      <c r="E12" s="1006"/>
      <c r="F12" s="36">
        <v>605</v>
      </c>
      <c r="G12" s="36">
        <v>10940</v>
      </c>
      <c r="H12" s="36">
        <v>3228</v>
      </c>
      <c r="I12" s="36">
        <v>0</v>
      </c>
      <c r="J12" s="1006"/>
      <c r="K12" s="36">
        <v>3133</v>
      </c>
      <c r="L12" s="36"/>
      <c r="M12" s="36">
        <v>0</v>
      </c>
      <c r="N12" s="36">
        <v>18835</v>
      </c>
      <c r="O12" s="1006"/>
      <c r="P12" s="36">
        <v>12937</v>
      </c>
      <c r="Q12" s="36">
        <v>-10625</v>
      </c>
      <c r="R12" s="36">
        <v>2312</v>
      </c>
      <c r="S12" s="36"/>
      <c r="T12" s="36">
        <v>-54115</v>
      </c>
      <c r="U12" s="36">
        <v>-80881</v>
      </c>
    </row>
    <row r="13" spans="1:22" ht="15" x14ac:dyDescent="0.25">
      <c r="A13" s="1019" t="s">
        <v>2522</v>
      </c>
      <c r="B13" s="1168">
        <v>4.5899000000000001E-3</v>
      </c>
      <c r="C13" s="1168">
        <v>4.5522000000000002E-3</v>
      </c>
      <c r="D13" s="36">
        <v>-76023</v>
      </c>
      <c r="E13" s="1006"/>
      <c r="F13" s="36">
        <v>670</v>
      </c>
      <c r="G13" s="36">
        <v>12117</v>
      </c>
      <c r="H13" s="36">
        <v>3576</v>
      </c>
      <c r="I13" s="36">
        <v>0</v>
      </c>
      <c r="J13" s="1006"/>
      <c r="K13" s="36">
        <v>3470</v>
      </c>
      <c r="L13" s="36"/>
      <c r="M13" s="36">
        <v>0</v>
      </c>
      <c r="N13" s="36">
        <v>1642</v>
      </c>
      <c r="O13" s="1006"/>
      <c r="P13" s="36">
        <v>14330</v>
      </c>
      <c r="Q13" s="36">
        <v>-2144</v>
      </c>
      <c r="R13" s="36">
        <v>12186</v>
      </c>
      <c r="S13" s="36"/>
      <c r="T13" s="36">
        <v>-59940</v>
      </c>
      <c r="U13" s="36">
        <v>-89586</v>
      </c>
    </row>
    <row r="14" spans="1:22" ht="15" x14ac:dyDescent="0.25">
      <c r="A14" s="1019" t="s">
        <v>2523</v>
      </c>
      <c r="B14" s="1168">
        <v>1.1714E-3</v>
      </c>
      <c r="C14" s="1168">
        <v>1.2287999999999999E-3</v>
      </c>
      <c r="D14" s="36">
        <v>-19402</v>
      </c>
      <c r="E14" s="1006"/>
      <c r="F14" s="36">
        <v>171</v>
      </c>
      <c r="G14" s="36">
        <v>3092</v>
      </c>
      <c r="H14" s="36">
        <v>913</v>
      </c>
      <c r="I14" s="36">
        <v>848</v>
      </c>
      <c r="J14" s="1006"/>
      <c r="K14" s="36">
        <v>886</v>
      </c>
      <c r="L14" s="36"/>
      <c r="M14" s="36">
        <v>0</v>
      </c>
      <c r="N14" s="36">
        <v>293</v>
      </c>
      <c r="O14" s="1006"/>
      <c r="P14" s="36">
        <v>3657</v>
      </c>
      <c r="Q14" s="36">
        <v>221</v>
      </c>
      <c r="R14" s="36">
        <v>3878</v>
      </c>
      <c r="S14" s="36"/>
      <c r="T14" s="36">
        <v>-15297</v>
      </c>
      <c r="U14" s="36">
        <v>-22863</v>
      </c>
    </row>
    <row r="15" spans="1:22" ht="15" x14ac:dyDescent="0.25">
      <c r="A15" s="1019" t="s">
        <v>2524</v>
      </c>
      <c r="B15" s="1168">
        <v>2.4632E-3</v>
      </c>
      <c r="C15" s="1168">
        <v>2.5241999999999999E-3</v>
      </c>
      <c r="D15" s="36">
        <v>-40798</v>
      </c>
      <c r="E15" s="1006"/>
      <c r="F15" s="36">
        <v>360</v>
      </c>
      <c r="G15" s="36">
        <v>6503</v>
      </c>
      <c r="H15" s="36">
        <v>1919</v>
      </c>
      <c r="I15" s="36">
        <v>1067</v>
      </c>
      <c r="J15" s="1006"/>
      <c r="K15" s="36">
        <v>1862</v>
      </c>
      <c r="L15" s="36"/>
      <c r="M15" s="36">
        <v>0</v>
      </c>
      <c r="N15" s="36">
        <v>51</v>
      </c>
      <c r="O15" s="1006"/>
      <c r="P15" s="36">
        <v>7690</v>
      </c>
      <c r="Q15" s="36">
        <v>889</v>
      </c>
      <c r="R15" s="36">
        <v>8579</v>
      </c>
      <c r="S15" s="36"/>
      <c r="T15" s="36">
        <v>-32167</v>
      </c>
      <c r="U15" s="36">
        <v>-48077</v>
      </c>
    </row>
    <row r="16" spans="1:22" ht="15" x14ac:dyDescent="0.25">
      <c r="A16" s="1019" t="s">
        <v>2525</v>
      </c>
      <c r="B16" s="1168">
        <v>2.5120699999999999E-2</v>
      </c>
      <c r="C16" s="1168">
        <v>2.1895999999999999E-2</v>
      </c>
      <c r="D16" s="36">
        <v>-416074</v>
      </c>
      <c r="E16" s="1006"/>
      <c r="F16" s="36">
        <v>3668</v>
      </c>
      <c r="G16" s="36">
        <v>66319</v>
      </c>
      <c r="H16" s="36">
        <v>19569</v>
      </c>
      <c r="I16" s="36">
        <v>4273</v>
      </c>
      <c r="J16" s="1006"/>
      <c r="K16" s="36">
        <v>18991</v>
      </c>
      <c r="L16" s="36"/>
      <c r="M16" s="36">
        <v>0</v>
      </c>
      <c r="N16" s="36">
        <v>66167</v>
      </c>
      <c r="O16" s="1006"/>
      <c r="P16" s="36">
        <v>78427</v>
      </c>
      <c r="Q16" s="36">
        <v>-31370</v>
      </c>
      <c r="R16" s="36">
        <v>47057</v>
      </c>
      <c r="S16" s="36"/>
      <c r="T16" s="36">
        <v>-328051</v>
      </c>
      <c r="U16" s="36">
        <v>-490306</v>
      </c>
    </row>
    <row r="17" spans="1:21" ht="15" x14ac:dyDescent="0.25">
      <c r="A17" s="1019" t="s">
        <v>2526</v>
      </c>
      <c r="B17" s="1168">
        <v>3.1788799999999999E-2</v>
      </c>
      <c r="C17" s="1168">
        <v>3.51478E-2</v>
      </c>
      <c r="D17" s="36">
        <v>-526518</v>
      </c>
      <c r="E17" s="1006"/>
      <c r="F17" s="36">
        <v>4641</v>
      </c>
      <c r="G17" s="36">
        <v>83922</v>
      </c>
      <c r="H17" s="36">
        <v>24763</v>
      </c>
      <c r="I17" s="36">
        <v>48455</v>
      </c>
      <c r="J17" s="1006"/>
      <c r="K17" s="36">
        <v>24032</v>
      </c>
      <c r="L17" s="36"/>
      <c r="M17" s="36">
        <v>0</v>
      </c>
      <c r="N17" s="36">
        <v>3942</v>
      </c>
      <c r="O17" s="1006"/>
      <c r="P17" s="36">
        <v>99245</v>
      </c>
      <c r="Q17" s="36">
        <v>15604</v>
      </c>
      <c r="R17" s="36">
        <v>114849</v>
      </c>
      <c r="S17" s="36"/>
      <c r="T17" s="36">
        <v>-415130</v>
      </c>
      <c r="U17" s="36">
        <v>-620454</v>
      </c>
    </row>
    <row r="18" spans="1:21" ht="15" x14ac:dyDescent="0.25">
      <c r="A18" s="1019" t="s">
        <v>2527</v>
      </c>
      <c r="B18" s="1168">
        <v>1.3018500000000001E-2</v>
      </c>
      <c r="C18" s="1168">
        <v>1.1046800000000001E-2</v>
      </c>
      <c r="D18" s="36">
        <v>-215625</v>
      </c>
      <c r="E18" s="1006"/>
      <c r="F18" s="36">
        <v>1901</v>
      </c>
      <c r="G18" s="36">
        <v>34369</v>
      </c>
      <c r="H18" s="36">
        <v>10141</v>
      </c>
      <c r="I18" s="36">
        <v>0</v>
      </c>
      <c r="J18" s="1006"/>
      <c r="K18" s="36">
        <v>9842</v>
      </c>
      <c r="L18" s="36"/>
      <c r="M18" s="36">
        <v>0</v>
      </c>
      <c r="N18" s="36">
        <v>37367</v>
      </c>
      <c r="O18" s="1006"/>
      <c r="P18" s="36">
        <v>40644</v>
      </c>
      <c r="Q18" s="36">
        <v>-34637</v>
      </c>
      <c r="R18" s="36">
        <v>6007</v>
      </c>
      <c r="S18" s="36"/>
      <c r="T18" s="36">
        <v>-170009</v>
      </c>
      <c r="U18" s="36">
        <v>-254095</v>
      </c>
    </row>
    <row r="19" spans="1:21" ht="15" x14ac:dyDescent="0.25">
      <c r="A19" s="1019" t="s">
        <v>2528</v>
      </c>
      <c r="B19" s="1168">
        <v>2.2804499999999998E-2</v>
      </c>
      <c r="C19" s="1168">
        <v>2.3873700000000001E-2</v>
      </c>
      <c r="D19" s="36">
        <v>-377711</v>
      </c>
      <c r="E19" s="1006"/>
      <c r="F19" s="36">
        <v>3329</v>
      </c>
      <c r="G19" s="36">
        <v>60204</v>
      </c>
      <c r="H19" s="36">
        <v>17765</v>
      </c>
      <c r="I19" s="36">
        <v>16321</v>
      </c>
      <c r="J19" s="1006"/>
      <c r="K19" s="36">
        <v>17240</v>
      </c>
      <c r="L19" s="36"/>
      <c r="M19" s="36">
        <v>0</v>
      </c>
      <c r="N19" s="36">
        <v>3500</v>
      </c>
      <c r="O19" s="1006"/>
      <c r="P19" s="36">
        <v>71196</v>
      </c>
      <c r="Q19" s="36">
        <v>-2609</v>
      </c>
      <c r="R19" s="36">
        <v>68587</v>
      </c>
      <c r="S19" s="36"/>
      <c r="T19" s="36">
        <v>-297804</v>
      </c>
      <c r="U19" s="36">
        <v>-445098</v>
      </c>
    </row>
    <row r="20" spans="1:21" ht="15" x14ac:dyDescent="0.25">
      <c r="A20" s="1019" t="s">
        <v>2529</v>
      </c>
      <c r="B20" s="1168">
        <v>6.8684000000000002E-3</v>
      </c>
      <c r="C20" s="1168">
        <v>6.7060000000000002E-3</v>
      </c>
      <c r="D20" s="36">
        <v>-113761</v>
      </c>
      <c r="E20" s="1006"/>
      <c r="F20" s="36">
        <v>1003</v>
      </c>
      <c r="G20" s="36">
        <v>18133</v>
      </c>
      <c r="H20" s="36">
        <v>5350</v>
      </c>
      <c r="I20" s="36">
        <v>6826</v>
      </c>
      <c r="J20" s="1006"/>
      <c r="K20" s="36">
        <v>5193</v>
      </c>
      <c r="L20" s="36"/>
      <c r="M20" s="36">
        <v>0</v>
      </c>
      <c r="N20" s="36">
        <v>3310</v>
      </c>
      <c r="O20" s="1006"/>
      <c r="P20" s="36">
        <v>21443</v>
      </c>
      <c r="Q20" s="36">
        <v>3676</v>
      </c>
      <c r="R20" s="36">
        <v>25119</v>
      </c>
      <c r="S20" s="36"/>
      <c r="T20" s="36">
        <v>-89694</v>
      </c>
      <c r="U20" s="36">
        <v>-134057</v>
      </c>
    </row>
    <row r="21" spans="1:21" ht="15" x14ac:dyDescent="0.25">
      <c r="A21" s="1019" t="s">
        <v>2530</v>
      </c>
      <c r="B21" s="1168">
        <v>1.1213E-3</v>
      </c>
      <c r="C21" s="1168">
        <v>1.0656999999999999E-3</v>
      </c>
      <c r="D21" s="36">
        <v>-18572</v>
      </c>
      <c r="E21" s="1006"/>
      <c r="F21" s="36">
        <v>164</v>
      </c>
      <c r="G21" s="36">
        <v>2960</v>
      </c>
      <c r="H21" s="36">
        <v>873</v>
      </c>
      <c r="I21" s="36">
        <v>292</v>
      </c>
      <c r="J21" s="1006"/>
      <c r="K21" s="36">
        <v>848</v>
      </c>
      <c r="L21" s="36"/>
      <c r="M21" s="36">
        <v>0</v>
      </c>
      <c r="N21" s="36">
        <v>1202</v>
      </c>
      <c r="O21" s="1006"/>
      <c r="P21" s="36">
        <v>3501</v>
      </c>
      <c r="Q21" s="36">
        <v>-1103</v>
      </c>
      <c r="R21" s="36">
        <v>2398</v>
      </c>
      <c r="S21" s="36"/>
      <c r="T21" s="36">
        <v>-14643</v>
      </c>
      <c r="U21" s="36">
        <v>-21886</v>
      </c>
    </row>
    <row r="22" spans="1:21" ht="15" x14ac:dyDescent="0.25">
      <c r="A22" s="1019" t="s">
        <v>2531</v>
      </c>
      <c r="B22" s="1168">
        <v>1.0663000000000001E-2</v>
      </c>
      <c r="C22" s="1168">
        <v>9.3938000000000008E-3</v>
      </c>
      <c r="D22" s="36">
        <v>-176611</v>
      </c>
      <c r="E22" s="1006"/>
      <c r="F22" s="36">
        <v>1557</v>
      </c>
      <c r="G22" s="36">
        <v>28150</v>
      </c>
      <c r="H22" s="36">
        <v>8306</v>
      </c>
      <c r="I22" s="36">
        <v>31108</v>
      </c>
      <c r="J22" s="1006"/>
      <c r="K22" s="36">
        <v>8061</v>
      </c>
      <c r="L22" s="36"/>
      <c r="M22" s="36">
        <v>0</v>
      </c>
      <c r="N22" s="36">
        <v>24791</v>
      </c>
      <c r="O22" s="1006"/>
      <c r="P22" s="36">
        <v>33290</v>
      </c>
      <c r="Q22" s="36">
        <v>4570</v>
      </c>
      <c r="R22" s="36">
        <v>37860</v>
      </c>
      <c r="S22" s="36"/>
      <c r="T22" s="36">
        <v>-139248</v>
      </c>
      <c r="U22" s="36">
        <v>-208120</v>
      </c>
    </row>
    <row r="23" spans="1:21" ht="15" x14ac:dyDescent="0.25">
      <c r="A23" s="1019" t="s">
        <v>2532</v>
      </c>
      <c r="B23" s="1168">
        <v>1.2042000000000001E-3</v>
      </c>
      <c r="C23" s="1168">
        <v>1.6682999999999999E-3</v>
      </c>
      <c r="D23" s="36">
        <v>-19945</v>
      </c>
      <c r="E23" s="1006"/>
      <c r="F23" s="36">
        <v>176</v>
      </c>
      <c r="G23" s="36">
        <v>3179</v>
      </c>
      <c r="H23" s="36">
        <v>938</v>
      </c>
      <c r="I23" s="36">
        <v>7218</v>
      </c>
      <c r="J23" s="1006"/>
      <c r="K23" s="36">
        <v>910</v>
      </c>
      <c r="L23" s="36"/>
      <c r="M23" s="36">
        <v>0</v>
      </c>
      <c r="N23" s="36">
        <v>125</v>
      </c>
      <c r="O23" s="1006"/>
      <c r="P23" s="36">
        <v>3760</v>
      </c>
      <c r="Q23" s="36">
        <v>3547</v>
      </c>
      <c r="R23" s="36">
        <v>7307</v>
      </c>
      <c r="S23" s="36"/>
      <c r="T23" s="36">
        <v>-15726</v>
      </c>
      <c r="U23" s="36">
        <v>-23504</v>
      </c>
    </row>
    <row r="24" spans="1:21" ht="15" x14ac:dyDescent="0.25">
      <c r="A24" s="1019" t="s">
        <v>2533</v>
      </c>
      <c r="B24" s="1168">
        <v>1.6183199999999998E-2</v>
      </c>
      <c r="C24" s="1168">
        <v>1.6446300000000001E-2</v>
      </c>
      <c r="D24" s="36">
        <v>-268042</v>
      </c>
      <c r="E24" s="1006"/>
      <c r="F24" s="36">
        <v>2363</v>
      </c>
      <c r="G24" s="36">
        <v>42724</v>
      </c>
      <c r="H24" s="36">
        <v>12607</v>
      </c>
      <c r="I24" s="36">
        <v>7091</v>
      </c>
      <c r="J24" s="1006"/>
      <c r="K24" s="36">
        <v>12234</v>
      </c>
      <c r="L24" s="36"/>
      <c r="M24" s="36">
        <v>0</v>
      </c>
      <c r="N24" s="36">
        <v>754</v>
      </c>
      <c r="O24" s="1006"/>
      <c r="P24" s="36">
        <v>50524</v>
      </c>
      <c r="Q24" s="36">
        <v>2530</v>
      </c>
      <c r="R24" s="36">
        <v>53054</v>
      </c>
      <c r="S24" s="36"/>
      <c r="T24" s="36">
        <v>-211336</v>
      </c>
      <c r="U24" s="36">
        <v>-315864</v>
      </c>
    </row>
    <row r="25" spans="1:21" ht="15" x14ac:dyDescent="0.25">
      <c r="A25" s="1019" t="s">
        <v>2534</v>
      </c>
      <c r="B25" s="1168">
        <v>8.7805000000000001E-3</v>
      </c>
      <c r="C25" s="1168">
        <v>8.7611000000000008E-3</v>
      </c>
      <c r="D25" s="36">
        <v>-145431</v>
      </c>
      <c r="E25" s="1006"/>
      <c r="F25" s="36">
        <v>1282</v>
      </c>
      <c r="G25" s="36">
        <v>23181</v>
      </c>
      <c r="H25" s="36">
        <v>6840</v>
      </c>
      <c r="I25" s="36">
        <v>561</v>
      </c>
      <c r="J25" s="1006"/>
      <c r="K25" s="36">
        <v>6638</v>
      </c>
      <c r="L25" s="36"/>
      <c r="M25" s="36">
        <v>0</v>
      </c>
      <c r="N25" s="36">
        <v>4747</v>
      </c>
      <c r="O25" s="1006"/>
      <c r="P25" s="36">
        <v>27413</v>
      </c>
      <c r="Q25" s="36">
        <v>-3269</v>
      </c>
      <c r="R25" s="36">
        <v>24144</v>
      </c>
      <c r="S25" s="36"/>
      <c r="T25" s="36">
        <v>-114665</v>
      </c>
      <c r="U25" s="36">
        <v>-171378</v>
      </c>
    </row>
    <row r="26" spans="1:21" ht="15" x14ac:dyDescent="0.25">
      <c r="A26" s="1019" t="s">
        <v>2535</v>
      </c>
      <c r="B26" s="1168">
        <v>4.0013999999999996E-3</v>
      </c>
      <c r="C26" s="1168">
        <v>3.6286999999999999E-3</v>
      </c>
      <c r="D26" s="36">
        <v>-66275</v>
      </c>
      <c r="E26" s="1006"/>
      <c r="F26" s="36">
        <v>584</v>
      </c>
      <c r="G26" s="36">
        <v>10564</v>
      </c>
      <c r="H26" s="36">
        <v>3117</v>
      </c>
      <c r="I26" s="36">
        <v>1525</v>
      </c>
      <c r="J26" s="1006"/>
      <c r="K26" s="36">
        <v>3025</v>
      </c>
      <c r="L26" s="36"/>
      <c r="M26" s="36">
        <v>0</v>
      </c>
      <c r="N26" s="36">
        <v>5449</v>
      </c>
      <c r="O26" s="1006"/>
      <c r="P26" s="36">
        <v>12492</v>
      </c>
      <c r="Q26" s="36">
        <v>-1684</v>
      </c>
      <c r="R26" s="36">
        <v>10808</v>
      </c>
      <c r="S26" s="36"/>
      <c r="T26" s="36">
        <v>-52254</v>
      </c>
      <c r="U26" s="36">
        <v>-78099</v>
      </c>
    </row>
    <row r="27" spans="1:21" ht="15" x14ac:dyDescent="0.25">
      <c r="A27" s="1019" t="s">
        <v>2536</v>
      </c>
      <c r="B27" s="1168">
        <v>1.5900000000000001E-3</v>
      </c>
      <c r="C27" s="1168">
        <v>1.5244E-3</v>
      </c>
      <c r="D27" s="36">
        <v>-26335</v>
      </c>
      <c r="E27" s="1006"/>
      <c r="F27" s="36">
        <v>232</v>
      </c>
      <c r="G27" s="36">
        <v>4198</v>
      </c>
      <c r="H27" s="36">
        <v>1239</v>
      </c>
      <c r="I27" s="36">
        <v>466</v>
      </c>
      <c r="J27" s="1006"/>
      <c r="K27" s="36">
        <v>1202</v>
      </c>
      <c r="L27" s="36"/>
      <c r="M27" s="36">
        <v>0</v>
      </c>
      <c r="N27" s="36">
        <v>947</v>
      </c>
      <c r="O27" s="1006"/>
      <c r="P27" s="36">
        <v>4964</v>
      </c>
      <c r="Q27" s="36">
        <v>223</v>
      </c>
      <c r="R27" s="36">
        <v>5187</v>
      </c>
      <c r="S27" s="36"/>
      <c r="T27" s="36">
        <v>-20764</v>
      </c>
      <c r="U27" s="36">
        <v>-31034</v>
      </c>
    </row>
    <row r="28" spans="1:21" ht="15" x14ac:dyDescent="0.25">
      <c r="A28" s="1019" t="s">
        <v>2537</v>
      </c>
      <c r="B28" s="1168">
        <v>1.6616000000000001E-3</v>
      </c>
      <c r="C28" s="1168">
        <v>1.5047999999999999E-3</v>
      </c>
      <c r="D28" s="36">
        <v>-27521</v>
      </c>
      <c r="E28" s="1006"/>
      <c r="F28" s="36">
        <v>243</v>
      </c>
      <c r="G28" s="36">
        <v>4387</v>
      </c>
      <c r="H28" s="36">
        <v>1294</v>
      </c>
      <c r="I28" s="36">
        <v>264</v>
      </c>
      <c r="J28" s="1006"/>
      <c r="K28" s="36">
        <v>1256</v>
      </c>
      <c r="L28" s="36"/>
      <c r="M28" s="36">
        <v>0</v>
      </c>
      <c r="N28" s="36">
        <v>2263</v>
      </c>
      <c r="O28" s="1006"/>
      <c r="P28" s="36">
        <v>5188</v>
      </c>
      <c r="Q28" s="36">
        <v>-312</v>
      </c>
      <c r="R28" s="36">
        <v>4876</v>
      </c>
      <c r="S28" s="36"/>
      <c r="T28" s="36">
        <v>-21699</v>
      </c>
      <c r="U28" s="36">
        <v>-32431</v>
      </c>
    </row>
    <row r="29" spans="1:21" ht="15" x14ac:dyDescent="0.25">
      <c r="A29" s="1019" t="s">
        <v>2538</v>
      </c>
      <c r="B29" s="1168">
        <v>8.0599000000000001E-3</v>
      </c>
      <c r="C29" s="1168">
        <v>7.0412000000000001E-3</v>
      </c>
      <c r="D29" s="36">
        <v>-133496</v>
      </c>
      <c r="E29" s="1006"/>
      <c r="F29" s="36">
        <v>1177</v>
      </c>
      <c r="G29" s="36">
        <v>21278</v>
      </c>
      <c r="H29" s="36">
        <v>6279</v>
      </c>
      <c r="I29" s="36">
        <v>309</v>
      </c>
      <c r="J29" s="1006"/>
      <c r="K29" s="36">
        <v>6093</v>
      </c>
      <c r="L29" s="36"/>
      <c r="M29" s="36">
        <v>0</v>
      </c>
      <c r="N29" s="36">
        <v>18258</v>
      </c>
      <c r="O29" s="1006"/>
      <c r="P29" s="36">
        <v>25163</v>
      </c>
      <c r="Q29" s="36">
        <v>-10508</v>
      </c>
      <c r="R29" s="36">
        <v>14655</v>
      </c>
      <c r="S29" s="36"/>
      <c r="T29" s="36">
        <v>-105254</v>
      </c>
      <c r="U29" s="36">
        <v>-157313</v>
      </c>
    </row>
    <row r="30" spans="1:21" ht="15" x14ac:dyDescent="0.25">
      <c r="A30" s="1019" t="s">
        <v>2539</v>
      </c>
      <c r="B30" s="1168">
        <v>4.4640000000000001E-3</v>
      </c>
      <c r="C30" s="1168">
        <v>4.2263999999999999E-3</v>
      </c>
      <c r="D30" s="36">
        <v>-73937</v>
      </c>
      <c r="E30" s="1006"/>
      <c r="F30" s="36">
        <v>652</v>
      </c>
      <c r="G30" s="36">
        <v>11785</v>
      </c>
      <c r="H30" s="36">
        <v>3477</v>
      </c>
      <c r="I30" s="36">
        <v>932</v>
      </c>
      <c r="J30" s="1006"/>
      <c r="K30" s="36">
        <v>3375</v>
      </c>
      <c r="L30" s="36"/>
      <c r="M30" s="36">
        <v>0</v>
      </c>
      <c r="N30" s="36">
        <v>3918</v>
      </c>
      <c r="O30" s="1006"/>
      <c r="P30" s="36">
        <v>13937</v>
      </c>
      <c r="Q30" s="36">
        <v>409</v>
      </c>
      <c r="R30" s="36">
        <v>14346</v>
      </c>
      <c r="S30" s="36"/>
      <c r="T30" s="36">
        <v>-58295</v>
      </c>
      <c r="U30" s="36">
        <v>-87128</v>
      </c>
    </row>
    <row r="31" spans="1:21" ht="15" x14ac:dyDescent="0.25">
      <c r="A31" s="1019" t="s">
        <v>2540</v>
      </c>
      <c r="B31" s="1168">
        <v>8.7150000000000005E-3</v>
      </c>
      <c r="C31" s="1168">
        <v>1.1783800000000001E-2</v>
      </c>
      <c r="D31" s="36">
        <v>-144347</v>
      </c>
      <c r="E31" s="1006"/>
      <c r="F31" s="36">
        <v>1272</v>
      </c>
      <c r="G31" s="36">
        <v>23008</v>
      </c>
      <c r="H31" s="36">
        <v>6789</v>
      </c>
      <c r="I31" s="36">
        <v>47280</v>
      </c>
      <c r="J31" s="1006"/>
      <c r="K31" s="36">
        <v>6589</v>
      </c>
      <c r="L31" s="36"/>
      <c r="M31" s="36">
        <v>0</v>
      </c>
      <c r="N31" s="36">
        <v>2772</v>
      </c>
      <c r="O31" s="1006"/>
      <c r="P31" s="36">
        <v>27208</v>
      </c>
      <c r="Q31" s="36">
        <v>17599</v>
      </c>
      <c r="R31" s="36">
        <v>44807</v>
      </c>
      <c r="S31" s="36"/>
      <c r="T31" s="36">
        <v>-113809</v>
      </c>
      <c r="U31" s="36">
        <v>-170099</v>
      </c>
    </row>
    <row r="32" spans="1:21" ht="15" x14ac:dyDescent="0.25">
      <c r="A32" s="1019" t="s">
        <v>2541</v>
      </c>
      <c r="B32" s="1168">
        <v>2.9560099999999999E-2</v>
      </c>
      <c r="C32" s="1168">
        <v>3.2709700000000001E-2</v>
      </c>
      <c r="D32" s="36">
        <v>-489604</v>
      </c>
      <c r="E32" s="1006"/>
      <c r="F32" s="36">
        <v>4316</v>
      </c>
      <c r="G32" s="36">
        <v>78039</v>
      </c>
      <c r="H32" s="36">
        <v>23027</v>
      </c>
      <c r="I32" s="36">
        <v>52838</v>
      </c>
      <c r="J32" s="1006"/>
      <c r="K32" s="36">
        <v>22347</v>
      </c>
      <c r="L32" s="36"/>
      <c r="M32" s="36">
        <v>0</v>
      </c>
      <c r="N32" s="36">
        <v>0</v>
      </c>
      <c r="O32" s="1006"/>
      <c r="P32" s="36">
        <v>92287</v>
      </c>
      <c r="Q32" s="36">
        <v>37063</v>
      </c>
      <c r="R32" s="36">
        <v>129350</v>
      </c>
      <c r="S32" s="36"/>
      <c r="T32" s="36">
        <v>-386025</v>
      </c>
      <c r="U32" s="36">
        <v>-576954</v>
      </c>
    </row>
    <row r="33" spans="1:21" ht="15" x14ac:dyDescent="0.25">
      <c r="A33" s="1019" t="s">
        <v>2542</v>
      </c>
      <c r="B33" s="1168">
        <v>4.0235999999999996E-3</v>
      </c>
      <c r="C33" s="1168">
        <v>3.9345999999999999E-3</v>
      </c>
      <c r="D33" s="36">
        <v>-66643</v>
      </c>
      <c r="E33" s="1006"/>
      <c r="F33" s="36">
        <v>587</v>
      </c>
      <c r="G33" s="36">
        <v>10622</v>
      </c>
      <c r="H33" s="36">
        <v>3134</v>
      </c>
      <c r="I33" s="36">
        <v>1652</v>
      </c>
      <c r="J33" s="1006"/>
      <c r="K33" s="36">
        <v>3042</v>
      </c>
      <c r="L33" s="36"/>
      <c r="M33" s="36">
        <v>0</v>
      </c>
      <c r="N33" s="36">
        <v>1283</v>
      </c>
      <c r="O33" s="1006"/>
      <c r="P33" s="36">
        <v>12562</v>
      </c>
      <c r="Q33" s="36">
        <v>1646</v>
      </c>
      <c r="R33" s="36">
        <v>14208</v>
      </c>
      <c r="S33" s="36"/>
      <c r="T33" s="36">
        <v>-52544</v>
      </c>
      <c r="U33" s="36">
        <v>-78533</v>
      </c>
    </row>
    <row r="34" spans="1:21" ht="15" x14ac:dyDescent="0.25">
      <c r="A34" s="1019" t="s">
        <v>2543</v>
      </c>
      <c r="B34" s="1168">
        <v>8.5092999999999992E-3</v>
      </c>
      <c r="C34" s="1168">
        <v>8.9502999999999996E-3</v>
      </c>
      <c r="D34" s="36">
        <v>-140940</v>
      </c>
      <c r="E34" s="1006"/>
      <c r="F34" s="36">
        <v>1242</v>
      </c>
      <c r="G34" s="36">
        <v>22465</v>
      </c>
      <c r="H34" s="36">
        <v>6629</v>
      </c>
      <c r="I34" s="36">
        <v>10793</v>
      </c>
      <c r="J34" s="1006"/>
      <c r="K34" s="36">
        <v>6433</v>
      </c>
      <c r="L34" s="36"/>
      <c r="M34" s="36">
        <v>0</v>
      </c>
      <c r="N34" s="36">
        <v>1054</v>
      </c>
      <c r="O34" s="1006"/>
      <c r="P34" s="36">
        <v>26566</v>
      </c>
      <c r="Q34" s="36">
        <v>5160</v>
      </c>
      <c r="R34" s="36">
        <v>31726</v>
      </c>
      <c r="S34" s="36"/>
      <c r="T34" s="36">
        <v>-111123</v>
      </c>
      <c r="U34" s="36">
        <v>-166085</v>
      </c>
    </row>
    <row r="35" spans="1:21" ht="15" x14ac:dyDescent="0.25">
      <c r="A35" s="1019" t="s">
        <v>2544</v>
      </c>
      <c r="B35" s="1168">
        <v>1.32316E-2</v>
      </c>
      <c r="C35" s="1168">
        <v>1.55941E-2</v>
      </c>
      <c r="D35" s="36">
        <v>-219155</v>
      </c>
      <c r="E35" s="1006"/>
      <c r="F35" s="36">
        <v>1932</v>
      </c>
      <c r="G35" s="36">
        <v>34931</v>
      </c>
      <c r="H35" s="36">
        <v>10307</v>
      </c>
      <c r="I35" s="36">
        <v>39458</v>
      </c>
      <c r="J35" s="1006"/>
      <c r="K35" s="36">
        <v>10003</v>
      </c>
      <c r="L35" s="36"/>
      <c r="M35" s="36">
        <v>0</v>
      </c>
      <c r="N35" s="36">
        <v>36970</v>
      </c>
      <c r="O35" s="1006"/>
      <c r="P35" s="36">
        <v>41309</v>
      </c>
      <c r="Q35" s="36">
        <v>-5182</v>
      </c>
      <c r="R35" s="36">
        <v>36127</v>
      </c>
      <c r="S35" s="36"/>
      <c r="T35" s="36">
        <v>-172791</v>
      </c>
      <c r="U35" s="36">
        <v>-258254</v>
      </c>
    </row>
    <row r="36" spans="1:21" ht="15" x14ac:dyDescent="0.25">
      <c r="A36" s="1019" t="s">
        <v>2545</v>
      </c>
      <c r="B36" s="1168">
        <v>3.7848999999999999E-3</v>
      </c>
      <c r="C36" s="1168">
        <v>4.2516000000000003E-3</v>
      </c>
      <c r="D36" s="36">
        <v>-62689</v>
      </c>
      <c r="E36" s="1006"/>
      <c r="F36" s="36">
        <v>553</v>
      </c>
      <c r="G36" s="36">
        <v>9992</v>
      </c>
      <c r="H36" s="36">
        <v>2948</v>
      </c>
      <c r="I36" s="36">
        <v>7023</v>
      </c>
      <c r="J36" s="1006"/>
      <c r="K36" s="36">
        <v>2861</v>
      </c>
      <c r="L36" s="36"/>
      <c r="M36" s="36">
        <v>0</v>
      </c>
      <c r="N36" s="36">
        <v>1251</v>
      </c>
      <c r="O36" s="1006"/>
      <c r="P36" s="36">
        <v>11816</v>
      </c>
      <c r="Q36" s="36">
        <v>2616</v>
      </c>
      <c r="R36" s="36">
        <v>14432</v>
      </c>
      <c r="S36" s="36"/>
      <c r="T36" s="36">
        <v>-49427</v>
      </c>
      <c r="U36" s="36">
        <v>-73874</v>
      </c>
    </row>
    <row r="37" spans="1:21" ht="15" x14ac:dyDescent="0.25">
      <c r="A37" s="1019" t="s">
        <v>2546</v>
      </c>
      <c r="B37" s="1168">
        <v>3.8148000000000001E-3</v>
      </c>
      <c r="C37" s="1168">
        <v>3.9173999999999997E-3</v>
      </c>
      <c r="D37" s="36">
        <v>-63185</v>
      </c>
      <c r="E37" s="1006"/>
      <c r="F37" s="36">
        <v>557</v>
      </c>
      <c r="G37" s="36">
        <v>10071</v>
      </c>
      <c r="H37" s="36">
        <v>2972</v>
      </c>
      <c r="I37" s="36">
        <v>4094</v>
      </c>
      <c r="J37" s="1006"/>
      <c r="K37" s="36">
        <v>2884</v>
      </c>
      <c r="L37" s="36"/>
      <c r="M37" s="36">
        <v>0</v>
      </c>
      <c r="N37" s="36">
        <v>246</v>
      </c>
      <c r="O37" s="1006"/>
      <c r="P37" s="36">
        <v>11910</v>
      </c>
      <c r="Q37" s="36">
        <v>2674</v>
      </c>
      <c r="R37" s="36">
        <v>14584</v>
      </c>
      <c r="S37" s="36"/>
      <c r="T37" s="36">
        <v>-49817</v>
      </c>
      <c r="U37" s="36">
        <v>-74457</v>
      </c>
    </row>
    <row r="38" spans="1:21" ht="15" x14ac:dyDescent="0.25">
      <c r="A38" s="1019" t="s">
        <v>2547</v>
      </c>
      <c r="B38" s="1168">
        <v>3.0817600000000001E-2</v>
      </c>
      <c r="C38" s="1168">
        <v>3.13446E-2</v>
      </c>
      <c r="D38" s="36">
        <v>-510432</v>
      </c>
      <c r="E38" s="1006"/>
      <c r="F38" s="36">
        <v>4499</v>
      </c>
      <c r="G38" s="36">
        <v>81358</v>
      </c>
      <c r="H38" s="36">
        <v>24007</v>
      </c>
      <c r="I38" s="36">
        <v>7601</v>
      </c>
      <c r="J38" s="1006"/>
      <c r="K38" s="36">
        <v>23298</v>
      </c>
      <c r="L38" s="36"/>
      <c r="M38" s="36">
        <v>0</v>
      </c>
      <c r="N38" s="36">
        <v>4323</v>
      </c>
      <c r="O38" s="1006"/>
      <c r="P38" s="36">
        <v>96213</v>
      </c>
      <c r="Q38" s="36">
        <v>-6613</v>
      </c>
      <c r="R38" s="36">
        <v>89600</v>
      </c>
      <c r="S38" s="36"/>
      <c r="T38" s="36">
        <v>-402447</v>
      </c>
      <c r="U38" s="36">
        <v>-601498</v>
      </c>
    </row>
    <row r="39" spans="1:21" ht="15" x14ac:dyDescent="0.25">
      <c r="A39" s="1019" t="s">
        <v>2548</v>
      </c>
      <c r="B39" s="1168">
        <v>3.6396000000000002E-3</v>
      </c>
      <c r="C39" s="1168">
        <v>3.1862000000000001E-3</v>
      </c>
      <c r="D39" s="36">
        <v>-60283</v>
      </c>
      <c r="E39" s="1006"/>
      <c r="F39" s="36">
        <v>531</v>
      </c>
      <c r="G39" s="36">
        <v>9609</v>
      </c>
      <c r="H39" s="36">
        <v>2835</v>
      </c>
      <c r="I39" s="36">
        <v>2207</v>
      </c>
      <c r="J39" s="1006"/>
      <c r="K39" s="36">
        <v>2752</v>
      </c>
      <c r="L39" s="36"/>
      <c r="M39" s="36">
        <v>0</v>
      </c>
      <c r="N39" s="36">
        <v>6541</v>
      </c>
      <c r="O39" s="1006"/>
      <c r="P39" s="36">
        <v>11363</v>
      </c>
      <c r="Q39" s="36">
        <v>-582</v>
      </c>
      <c r="R39" s="36">
        <v>10781</v>
      </c>
      <c r="S39" s="36"/>
      <c r="T39" s="36">
        <v>-47530</v>
      </c>
      <c r="U39" s="36">
        <v>-71038</v>
      </c>
    </row>
    <row r="40" spans="1:21" ht="15" x14ac:dyDescent="0.25">
      <c r="A40" s="1019" t="s">
        <v>2549</v>
      </c>
      <c r="B40" s="1168">
        <v>3.7801500000000002E-2</v>
      </c>
      <c r="C40" s="1168">
        <v>3.9621999999999997E-2</v>
      </c>
      <c r="D40" s="36">
        <v>-626106</v>
      </c>
      <c r="E40" s="1006"/>
      <c r="F40" s="36">
        <v>5519</v>
      </c>
      <c r="G40" s="36">
        <v>99796</v>
      </c>
      <c r="H40" s="36">
        <v>29447</v>
      </c>
      <c r="I40" s="36">
        <v>26261</v>
      </c>
      <c r="J40" s="1006"/>
      <c r="K40" s="36">
        <v>28578</v>
      </c>
      <c r="L40" s="36"/>
      <c r="M40" s="36">
        <v>0</v>
      </c>
      <c r="N40" s="36">
        <v>972</v>
      </c>
      <c r="O40" s="1006"/>
      <c r="P40" s="36">
        <v>118016</v>
      </c>
      <c r="Q40" s="36">
        <v>9876</v>
      </c>
      <c r="R40" s="36">
        <v>127892</v>
      </c>
      <c r="S40" s="36"/>
      <c r="T40" s="36">
        <v>-493650</v>
      </c>
      <c r="U40" s="36">
        <v>-737810</v>
      </c>
    </row>
    <row r="41" spans="1:21" ht="15" x14ac:dyDescent="0.25">
      <c r="A41" s="1019" t="s">
        <v>2550</v>
      </c>
      <c r="B41" s="1168">
        <v>6.2415999999999999E-3</v>
      </c>
      <c r="C41" s="1168">
        <v>6.2922000000000004E-3</v>
      </c>
      <c r="D41" s="36">
        <v>-103380</v>
      </c>
      <c r="E41" s="1006"/>
      <c r="F41" s="36">
        <v>911</v>
      </c>
      <c r="G41" s="36">
        <v>16478</v>
      </c>
      <c r="H41" s="36">
        <v>4862</v>
      </c>
      <c r="I41" s="36">
        <v>731</v>
      </c>
      <c r="J41" s="1006"/>
      <c r="K41" s="36">
        <v>4719</v>
      </c>
      <c r="L41" s="36"/>
      <c r="M41" s="36">
        <v>0</v>
      </c>
      <c r="N41" s="36">
        <v>5784</v>
      </c>
      <c r="O41" s="1006"/>
      <c r="P41" s="36">
        <v>19486</v>
      </c>
      <c r="Q41" s="36">
        <v>-7423</v>
      </c>
      <c r="R41" s="36">
        <v>12063</v>
      </c>
      <c r="S41" s="36"/>
      <c r="T41" s="36">
        <v>-81509</v>
      </c>
      <c r="U41" s="36">
        <v>-121824</v>
      </c>
    </row>
    <row r="42" spans="1:21" ht="15" x14ac:dyDescent="0.25">
      <c r="A42" s="1019" t="s">
        <v>2551</v>
      </c>
      <c r="B42" s="1168">
        <v>7.8516999999999997E-3</v>
      </c>
      <c r="C42" s="1168">
        <v>8.5229999999999993E-3</v>
      </c>
      <c r="D42" s="36">
        <v>-130048</v>
      </c>
      <c r="E42" s="1006"/>
      <c r="F42" s="36">
        <v>1146</v>
      </c>
      <c r="G42" s="36">
        <v>20728</v>
      </c>
      <c r="H42" s="36">
        <v>6116</v>
      </c>
      <c r="I42" s="36">
        <v>37166</v>
      </c>
      <c r="J42" s="1006"/>
      <c r="K42" s="36">
        <v>5936</v>
      </c>
      <c r="L42" s="36"/>
      <c r="M42" s="36">
        <v>0</v>
      </c>
      <c r="N42" s="36">
        <v>0</v>
      </c>
      <c r="O42" s="1006"/>
      <c r="P42" s="36">
        <v>24513</v>
      </c>
      <c r="Q42" s="36">
        <v>42837</v>
      </c>
      <c r="R42" s="36">
        <v>67350</v>
      </c>
      <c r="S42" s="36"/>
      <c r="T42" s="36">
        <v>-102535</v>
      </c>
      <c r="U42" s="36">
        <v>-153249</v>
      </c>
    </row>
    <row r="43" spans="1:21" ht="15" x14ac:dyDescent="0.25">
      <c r="A43" s="1019" t="s">
        <v>2552</v>
      </c>
      <c r="B43" s="1168">
        <v>8.9740000000000002E-4</v>
      </c>
      <c r="C43" s="1168">
        <v>8.7089999999999997E-4</v>
      </c>
      <c r="D43" s="36">
        <v>-14864</v>
      </c>
      <c r="E43" s="1006"/>
      <c r="F43" s="36">
        <v>131</v>
      </c>
      <c r="G43" s="36">
        <v>2369</v>
      </c>
      <c r="H43" s="36">
        <v>699</v>
      </c>
      <c r="I43" s="36">
        <v>677</v>
      </c>
      <c r="J43" s="1006"/>
      <c r="K43" s="36">
        <v>678</v>
      </c>
      <c r="L43" s="36"/>
      <c r="M43" s="36">
        <v>0</v>
      </c>
      <c r="N43" s="36">
        <v>420</v>
      </c>
      <c r="O43" s="1006"/>
      <c r="P43" s="36">
        <v>2802</v>
      </c>
      <c r="Q43" s="36">
        <v>460</v>
      </c>
      <c r="R43" s="36">
        <v>3262</v>
      </c>
      <c r="S43" s="36"/>
      <c r="T43" s="36">
        <v>-11719</v>
      </c>
      <c r="U43" s="36">
        <v>-17515</v>
      </c>
    </row>
    <row r="44" spans="1:21" ht="15" x14ac:dyDescent="0.25">
      <c r="A44" s="1019" t="s">
        <v>2553</v>
      </c>
      <c r="B44" s="1168">
        <v>7.6199999999999998E-4</v>
      </c>
      <c r="C44" s="1168">
        <v>6.9390000000000001E-4</v>
      </c>
      <c r="D44" s="36">
        <v>-12621</v>
      </c>
      <c r="E44" s="1006"/>
      <c r="F44" s="36">
        <v>111</v>
      </c>
      <c r="G44" s="36">
        <v>2012</v>
      </c>
      <c r="H44" s="36">
        <v>594</v>
      </c>
      <c r="I44" s="36">
        <v>0</v>
      </c>
      <c r="J44" s="1006"/>
      <c r="K44" s="36">
        <v>576</v>
      </c>
      <c r="L44" s="36"/>
      <c r="M44" s="36">
        <v>0</v>
      </c>
      <c r="N44" s="36">
        <v>1206</v>
      </c>
      <c r="O44" s="1006"/>
      <c r="P44" s="36">
        <v>2379</v>
      </c>
      <c r="Q44" s="36">
        <v>-889</v>
      </c>
      <c r="R44" s="36">
        <v>1490</v>
      </c>
      <c r="S44" s="36"/>
      <c r="T44" s="36">
        <v>-9951</v>
      </c>
      <c r="U44" s="36">
        <v>-14873</v>
      </c>
    </row>
    <row r="45" spans="1:21" ht="15" x14ac:dyDescent="0.25">
      <c r="A45" s="1019" t="s">
        <v>2554</v>
      </c>
      <c r="B45" s="1168">
        <v>4.7184000000000002E-3</v>
      </c>
      <c r="C45" s="1168">
        <v>4.8060000000000004E-3</v>
      </c>
      <c r="D45" s="36">
        <v>-78151</v>
      </c>
      <c r="E45" s="1006"/>
      <c r="F45" s="36">
        <v>689</v>
      </c>
      <c r="G45" s="36">
        <v>12457</v>
      </c>
      <c r="H45" s="36">
        <v>3676</v>
      </c>
      <c r="I45" s="36">
        <v>1778</v>
      </c>
      <c r="J45" s="1006"/>
      <c r="K45" s="36">
        <v>3567</v>
      </c>
      <c r="L45" s="36"/>
      <c r="M45" s="36">
        <v>0</v>
      </c>
      <c r="N45" s="36">
        <v>3248</v>
      </c>
      <c r="O45" s="1006"/>
      <c r="P45" s="36">
        <v>14731</v>
      </c>
      <c r="Q45" s="36">
        <v>-1242</v>
      </c>
      <c r="R45" s="36">
        <v>13489</v>
      </c>
      <c r="S45" s="36"/>
      <c r="T45" s="36">
        <v>-61618</v>
      </c>
      <c r="U45" s="36">
        <v>-92094</v>
      </c>
    </row>
    <row r="46" spans="1:21" ht="15" x14ac:dyDescent="0.25">
      <c r="A46" s="1019" t="s">
        <v>2555</v>
      </c>
      <c r="B46" s="1168">
        <v>1.0494E-3</v>
      </c>
      <c r="C46" s="1168">
        <v>1.1391999999999999E-3</v>
      </c>
      <c r="D46" s="36">
        <v>-17381</v>
      </c>
      <c r="E46" s="1006"/>
      <c r="F46" s="36">
        <v>153</v>
      </c>
      <c r="G46" s="36">
        <v>2770</v>
      </c>
      <c r="H46" s="36">
        <v>817</v>
      </c>
      <c r="I46" s="36">
        <v>2029</v>
      </c>
      <c r="J46" s="1006"/>
      <c r="K46" s="36">
        <v>793</v>
      </c>
      <c r="L46" s="36"/>
      <c r="M46" s="36">
        <v>0</v>
      </c>
      <c r="N46" s="36">
        <v>243</v>
      </c>
      <c r="O46" s="1006"/>
      <c r="P46" s="36">
        <v>3276</v>
      </c>
      <c r="Q46" s="36">
        <v>803</v>
      </c>
      <c r="R46" s="36">
        <v>4079</v>
      </c>
      <c r="S46" s="36"/>
      <c r="T46" s="36">
        <v>-13704</v>
      </c>
      <c r="U46" s="36">
        <v>-20482</v>
      </c>
    </row>
    <row r="47" spans="1:21" ht="15" x14ac:dyDescent="0.25">
      <c r="A47" s="1019" t="s">
        <v>2556</v>
      </c>
      <c r="B47" s="1168">
        <v>4.2479299999999998E-2</v>
      </c>
      <c r="C47" s="1168">
        <v>4.39079E-2</v>
      </c>
      <c r="D47" s="36">
        <v>-703585</v>
      </c>
      <c r="E47" s="1006"/>
      <c r="F47" s="36">
        <v>6202</v>
      </c>
      <c r="G47" s="36">
        <v>112145</v>
      </c>
      <c r="H47" s="36">
        <v>33091</v>
      </c>
      <c r="I47" s="36">
        <v>21120</v>
      </c>
      <c r="J47" s="1006"/>
      <c r="K47" s="36">
        <v>32114</v>
      </c>
      <c r="L47" s="36"/>
      <c r="M47" s="36">
        <v>0</v>
      </c>
      <c r="N47" s="36">
        <v>828</v>
      </c>
      <c r="O47" s="1006"/>
      <c r="P47" s="36">
        <v>132620</v>
      </c>
      <c r="Q47" s="36">
        <v>7704</v>
      </c>
      <c r="R47" s="36">
        <v>140324</v>
      </c>
      <c r="S47" s="36"/>
      <c r="T47" s="36">
        <v>-554737</v>
      </c>
      <c r="U47" s="36">
        <v>-829111</v>
      </c>
    </row>
    <row r="48" spans="1:21" ht="15" x14ac:dyDescent="0.25">
      <c r="A48" s="1019" t="s">
        <v>2557</v>
      </c>
      <c r="B48" s="1168">
        <v>4.1554000000000001E-3</v>
      </c>
      <c r="C48" s="1168">
        <v>4.2783999999999999E-3</v>
      </c>
      <c r="D48" s="36">
        <v>-68826</v>
      </c>
      <c r="E48" s="1006"/>
      <c r="F48" s="36">
        <v>607</v>
      </c>
      <c r="G48" s="36">
        <v>10970</v>
      </c>
      <c r="H48" s="36">
        <v>3237</v>
      </c>
      <c r="I48" s="36">
        <v>2224</v>
      </c>
      <c r="J48" s="1006"/>
      <c r="K48" s="36">
        <v>3141</v>
      </c>
      <c r="L48" s="36"/>
      <c r="M48" s="36">
        <v>0</v>
      </c>
      <c r="N48" s="36">
        <v>446</v>
      </c>
      <c r="O48" s="1006"/>
      <c r="P48" s="36">
        <v>12973</v>
      </c>
      <c r="Q48" s="36">
        <v>1507</v>
      </c>
      <c r="R48" s="36">
        <v>14480</v>
      </c>
      <c r="S48" s="36"/>
      <c r="T48" s="36">
        <v>-54265</v>
      </c>
      <c r="U48" s="36">
        <v>-81105</v>
      </c>
    </row>
    <row r="49" spans="1:21" ht="15" x14ac:dyDescent="0.25">
      <c r="A49" s="1019" t="s">
        <v>2558</v>
      </c>
      <c r="B49" s="1168">
        <v>1.19995E-2</v>
      </c>
      <c r="C49" s="1168">
        <v>1.24961E-2</v>
      </c>
      <c r="D49" s="36">
        <v>-198748</v>
      </c>
      <c r="E49" s="1006"/>
      <c r="F49" s="36">
        <v>1752</v>
      </c>
      <c r="G49" s="36">
        <v>31679</v>
      </c>
      <c r="H49" s="36">
        <v>9348</v>
      </c>
      <c r="I49" s="36">
        <v>8012</v>
      </c>
      <c r="J49" s="1006"/>
      <c r="K49" s="36">
        <v>9072</v>
      </c>
      <c r="L49" s="36"/>
      <c r="M49" s="36">
        <v>0</v>
      </c>
      <c r="N49" s="36">
        <v>2759</v>
      </c>
      <c r="O49" s="1006"/>
      <c r="P49" s="36">
        <v>37462</v>
      </c>
      <c r="Q49" s="36">
        <v>2709</v>
      </c>
      <c r="R49" s="36">
        <v>40171</v>
      </c>
      <c r="S49" s="36"/>
      <c r="T49" s="36">
        <v>-156701</v>
      </c>
      <c r="U49" s="36">
        <v>-234206</v>
      </c>
    </row>
    <row r="50" spans="1:21" ht="15" x14ac:dyDescent="0.25">
      <c r="A50" s="1019" t="s">
        <v>2559</v>
      </c>
      <c r="B50" s="1168">
        <v>7.7530999999999997E-3</v>
      </c>
      <c r="C50" s="1168">
        <v>7.6893999999999999E-3</v>
      </c>
      <c r="D50" s="36">
        <v>-128415</v>
      </c>
      <c r="E50" s="1006"/>
      <c r="F50" s="36">
        <v>1132</v>
      </c>
      <c r="G50" s="36">
        <v>20468</v>
      </c>
      <c r="H50" s="36">
        <v>6040</v>
      </c>
      <c r="I50" s="36">
        <v>334</v>
      </c>
      <c r="J50" s="1006"/>
      <c r="K50" s="36">
        <v>5861</v>
      </c>
      <c r="L50" s="36"/>
      <c r="M50" s="36">
        <v>0</v>
      </c>
      <c r="N50" s="36">
        <v>2879</v>
      </c>
      <c r="O50" s="1006"/>
      <c r="P50" s="36">
        <v>24205</v>
      </c>
      <c r="Q50" s="36">
        <v>-2226</v>
      </c>
      <c r="R50" s="36">
        <v>21979</v>
      </c>
      <c r="S50" s="36"/>
      <c r="T50" s="36">
        <v>-101248</v>
      </c>
      <c r="U50" s="36">
        <v>-151325</v>
      </c>
    </row>
    <row r="51" spans="1:21" ht="15" x14ac:dyDescent="0.25">
      <c r="A51" s="1019" t="s">
        <v>2560</v>
      </c>
      <c r="B51" s="1168">
        <v>1.38721E-2</v>
      </c>
      <c r="C51" s="1168">
        <v>1.42083E-2</v>
      </c>
      <c r="D51" s="36">
        <v>-229764</v>
      </c>
      <c r="E51" s="1006"/>
      <c r="F51" s="36">
        <v>2025</v>
      </c>
      <c r="G51" s="36">
        <v>36622</v>
      </c>
      <c r="H51" s="36">
        <v>10806</v>
      </c>
      <c r="I51" s="36">
        <v>4906</v>
      </c>
      <c r="J51" s="1006"/>
      <c r="K51" s="36">
        <v>10487</v>
      </c>
      <c r="L51" s="36"/>
      <c r="M51" s="36">
        <v>0</v>
      </c>
      <c r="N51" s="36">
        <v>1495</v>
      </c>
      <c r="O51" s="1006"/>
      <c r="P51" s="36">
        <v>43309</v>
      </c>
      <c r="Q51" s="36">
        <v>-2218</v>
      </c>
      <c r="R51" s="36">
        <v>41091</v>
      </c>
      <c r="S51" s="36"/>
      <c r="T51" s="36">
        <v>-181156</v>
      </c>
      <c r="U51" s="36">
        <v>-270756</v>
      </c>
    </row>
    <row r="52" spans="1:21" ht="15" x14ac:dyDescent="0.25">
      <c r="A52" s="1019" t="s">
        <v>2561</v>
      </c>
      <c r="B52" s="1168">
        <v>1.7214999999999999E-3</v>
      </c>
      <c r="C52" s="1168">
        <v>1.7851E-3</v>
      </c>
      <c r="D52" s="36">
        <v>-28513</v>
      </c>
      <c r="E52" s="1006"/>
      <c r="F52" s="36">
        <v>251</v>
      </c>
      <c r="G52" s="36">
        <v>4545</v>
      </c>
      <c r="H52" s="36">
        <v>1341</v>
      </c>
      <c r="I52" s="36">
        <v>1492</v>
      </c>
      <c r="J52" s="1006"/>
      <c r="K52" s="36">
        <v>1301</v>
      </c>
      <c r="L52" s="36"/>
      <c r="M52" s="36">
        <v>0</v>
      </c>
      <c r="N52" s="36">
        <v>0</v>
      </c>
      <c r="O52" s="1006"/>
      <c r="P52" s="36">
        <v>5375</v>
      </c>
      <c r="Q52" s="36">
        <v>1138</v>
      </c>
      <c r="R52" s="36">
        <v>6513</v>
      </c>
      <c r="S52" s="36"/>
      <c r="T52" s="36">
        <v>-22481</v>
      </c>
      <c r="U52" s="36">
        <v>-33600</v>
      </c>
    </row>
    <row r="53" spans="1:21" ht="15" x14ac:dyDescent="0.25">
      <c r="A53" s="1019" t="s">
        <v>2562</v>
      </c>
      <c r="B53" s="1168">
        <v>5.1979000000000001E-3</v>
      </c>
      <c r="C53" s="1168">
        <v>4.4527000000000004E-3</v>
      </c>
      <c r="D53" s="36">
        <v>-86093</v>
      </c>
      <c r="E53" s="1006"/>
      <c r="F53" s="36">
        <v>759</v>
      </c>
      <c r="G53" s="36">
        <v>13722</v>
      </c>
      <c r="H53" s="36">
        <v>4049</v>
      </c>
      <c r="I53" s="36">
        <v>4350</v>
      </c>
      <c r="J53" s="1006"/>
      <c r="K53" s="36">
        <v>3930</v>
      </c>
      <c r="L53" s="36"/>
      <c r="M53" s="36">
        <v>0</v>
      </c>
      <c r="N53" s="36">
        <v>11419</v>
      </c>
      <c r="O53" s="1006"/>
      <c r="P53" s="36">
        <v>16228</v>
      </c>
      <c r="Q53" s="36">
        <v>-2437</v>
      </c>
      <c r="R53" s="36">
        <v>13791</v>
      </c>
      <c r="S53" s="36"/>
      <c r="T53" s="36">
        <v>-67879</v>
      </c>
      <c r="U53" s="36">
        <v>-101453</v>
      </c>
    </row>
    <row r="54" spans="1:21" ht="15" x14ac:dyDescent="0.25">
      <c r="A54" s="1019" t="s">
        <v>2563</v>
      </c>
      <c r="B54" s="1168">
        <v>4.4860000000000001E-4</v>
      </c>
      <c r="C54" s="1168">
        <v>4.8450000000000001E-4</v>
      </c>
      <c r="D54" s="36">
        <v>-7430</v>
      </c>
      <c r="E54" s="1006"/>
      <c r="F54" s="36">
        <v>65</v>
      </c>
      <c r="G54" s="36">
        <v>1184</v>
      </c>
      <c r="H54" s="36">
        <v>349</v>
      </c>
      <c r="I54" s="36">
        <v>518</v>
      </c>
      <c r="J54" s="1006"/>
      <c r="K54" s="36">
        <v>339</v>
      </c>
      <c r="L54" s="36"/>
      <c r="M54" s="36">
        <v>0</v>
      </c>
      <c r="N54" s="36">
        <v>147</v>
      </c>
      <c r="O54" s="1006"/>
      <c r="P54" s="36">
        <v>1401</v>
      </c>
      <c r="Q54" s="36">
        <v>9</v>
      </c>
      <c r="R54" s="36">
        <v>1410</v>
      </c>
      <c r="S54" s="36"/>
      <c r="T54" s="36">
        <v>-5858</v>
      </c>
      <c r="U54" s="36">
        <v>-8756</v>
      </c>
    </row>
    <row r="55" spans="1:21" ht="15" x14ac:dyDescent="0.25">
      <c r="A55" s="1019" t="s">
        <v>2564</v>
      </c>
      <c r="B55" s="1168">
        <v>2.0304300000000001E-2</v>
      </c>
      <c r="C55" s="1168">
        <v>2.0341999999999999E-2</v>
      </c>
      <c r="D55" s="36">
        <v>-336300</v>
      </c>
      <c r="E55" s="1006"/>
      <c r="F55" s="36">
        <v>2964</v>
      </c>
      <c r="G55" s="36">
        <v>53603</v>
      </c>
      <c r="H55" s="36">
        <v>15817</v>
      </c>
      <c r="I55" s="36">
        <v>2384</v>
      </c>
      <c r="J55" s="1006"/>
      <c r="K55" s="36">
        <v>15350</v>
      </c>
      <c r="L55" s="36"/>
      <c r="M55" s="36">
        <v>0</v>
      </c>
      <c r="N55" s="36">
        <v>2920</v>
      </c>
      <c r="O55" s="1006"/>
      <c r="P55" s="36">
        <v>63390</v>
      </c>
      <c r="Q55" s="36">
        <v>-6857</v>
      </c>
      <c r="R55" s="36">
        <v>56533</v>
      </c>
      <c r="S55" s="36"/>
      <c r="T55" s="36">
        <v>-265154</v>
      </c>
      <c r="U55" s="36">
        <v>-396299</v>
      </c>
    </row>
    <row r="56" spans="1:21" ht="15" x14ac:dyDescent="0.25">
      <c r="A56" s="1019" t="s">
        <v>2565</v>
      </c>
      <c r="B56" s="1168">
        <v>6.1491999999999996E-3</v>
      </c>
      <c r="C56" s="1168">
        <v>6.7647999999999996E-3</v>
      </c>
      <c r="D56" s="36">
        <v>-101849</v>
      </c>
      <c r="E56" s="1006"/>
      <c r="F56" s="36">
        <v>898</v>
      </c>
      <c r="G56" s="36">
        <v>16234</v>
      </c>
      <c r="H56" s="36">
        <v>4790</v>
      </c>
      <c r="I56" s="36">
        <v>8880</v>
      </c>
      <c r="J56" s="1006"/>
      <c r="K56" s="36">
        <v>4649</v>
      </c>
      <c r="L56" s="36"/>
      <c r="M56" s="36">
        <v>0</v>
      </c>
      <c r="N56" s="36">
        <v>6107</v>
      </c>
      <c r="O56" s="1006"/>
      <c r="P56" s="36">
        <v>19198</v>
      </c>
      <c r="Q56" s="36">
        <v>-10161</v>
      </c>
      <c r="R56" s="36">
        <v>9037</v>
      </c>
      <c r="S56" s="36"/>
      <c r="T56" s="36">
        <v>-80302</v>
      </c>
      <c r="U56" s="36">
        <v>-120020</v>
      </c>
    </row>
    <row r="57" spans="1:21" ht="15" x14ac:dyDescent="0.25">
      <c r="A57" s="1019" t="s">
        <v>2566</v>
      </c>
      <c r="B57" s="1168">
        <v>2.1887E-2</v>
      </c>
      <c r="C57" s="1168">
        <v>2.1563800000000001E-2</v>
      </c>
      <c r="D57" s="36">
        <v>-362514</v>
      </c>
      <c r="E57" s="1006"/>
      <c r="F57" s="36">
        <v>3196</v>
      </c>
      <c r="G57" s="36">
        <v>57782</v>
      </c>
      <c r="H57" s="36">
        <v>17050</v>
      </c>
      <c r="I57" s="36">
        <v>0</v>
      </c>
      <c r="J57" s="1006"/>
      <c r="K57" s="36">
        <v>16547</v>
      </c>
      <c r="L57" s="36"/>
      <c r="M57" s="36">
        <v>0</v>
      </c>
      <c r="N57" s="36">
        <v>20386</v>
      </c>
      <c r="O57" s="1006"/>
      <c r="P57" s="36">
        <v>68331</v>
      </c>
      <c r="Q57" s="36">
        <v>-21529</v>
      </c>
      <c r="R57" s="36">
        <v>46802</v>
      </c>
      <c r="S57" s="36"/>
      <c r="T57" s="36">
        <v>-285822</v>
      </c>
      <c r="U57" s="36">
        <v>-427190</v>
      </c>
    </row>
    <row r="58" spans="1:21" ht="15" x14ac:dyDescent="0.25">
      <c r="A58" s="1019" t="s">
        <v>2567</v>
      </c>
      <c r="B58" s="1168">
        <v>8.1380000000000005E-4</v>
      </c>
      <c r="C58" s="1168">
        <v>8.2770000000000001E-4</v>
      </c>
      <c r="D58" s="36">
        <v>-13479</v>
      </c>
      <c r="E58" s="1006"/>
      <c r="F58" s="36">
        <v>119</v>
      </c>
      <c r="G58" s="36">
        <v>2148</v>
      </c>
      <c r="H58" s="36">
        <v>634</v>
      </c>
      <c r="I58" s="36">
        <v>876</v>
      </c>
      <c r="J58" s="1006"/>
      <c r="K58" s="36">
        <v>615</v>
      </c>
      <c r="L58" s="36"/>
      <c r="M58" s="36">
        <v>0</v>
      </c>
      <c r="N58" s="36">
        <v>0</v>
      </c>
      <c r="O58" s="1006"/>
      <c r="P58" s="36">
        <v>2541</v>
      </c>
      <c r="Q58" s="36">
        <v>1710</v>
      </c>
      <c r="R58" s="36">
        <v>4251</v>
      </c>
      <c r="S58" s="36"/>
      <c r="T58" s="36">
        <v>-10627</v>
      </c>
      <c r="U58" s="36">
        <v>-15884</v>
      </c>
    </row>
    <row r="59" spans="1:21" ht="15" x14ac:dyDescent="0.25">
      <c r="A59" s="1019" t="s">
        <v>2568</v>
      </c>
      <c r="B59" s="1168">
        <v>5.6004000000000002E-3</v>
      </c>
      <c r="C59" s="1168">
        <v>5.6318999999999996E-3</v>
      </c>
      <c r="D59" s="36">
        <v>-92759</v>
      </c>
      <c r="E59" s="1006"/>
      <c r="F59" s="36">
        <v>818</v>
      </c>
      <c r="G59" s="36">
        <v>14785</v>
      </c>
      <c r="H59" s="36">
        <v>4363</v>
      </c>
      <c r="I59" s="36">
        <v>1343</v>
      </c>
      <c r="J59" s="1006"/>
      <c r="K59" s="36">
        <v>4234</v>
      </c>
      <c r="L59" s="36"/>
      <c r="M59" s="36">
        <v>0</v>
      </c>
      <c r="N59" s="36">
        <v>380</v>
      </c>
      <c r="O59" s="1006"/>
      <c r="P59" s="36">
        <v>17484</v>
      </c>
      <c r="Q59" s="36">
        <v>50</v>
      </c>
      <c r="R59" s="36">
        <v>17534</v>
      </c>
      <c r="S59" s="36"/>
      <c r="T59" s="36">
        <v>-73136</v>
      </c>
      <c r="U59" s="36">
        <v>-109309</v>
      </c>
    </row>
    <row r="60" spans="1:21" ht="15" x14ac:dyDescent="0.25">
      <c r="A60" s="1019" t="s">
        <v>2569</v>
      </c>
      <c r="B60" s="1168">
        <v>3.5228E-3</v>
      </c>
      <c r="C60" s="1168">
        <v>3.4169000000000001E-3</v>
      </c>
      <c r="D60" s="36">
        <v>-58348</v>
      </c>
      <c r="E60" s="1006"/>
      <c r="F60" s="36">
        <v>514</v>
      </c>
      <c r="G60" s="36">
        <v>9300</v>
      </c>
      <c r="H60" s="36">
        <v>2744</v>
      </c>
      <c r="I60" s="36">
        <v>1237</v>
      </c>
      <c r="J60" s="1006"/>
      <c r="K60" s="36">
        <v>2663</v>
      </c>
      <c r="L60" s="36"/>
      <c r="M60" s="36">
        <v>0</v>
      </c>
      <c r="N60" s="36">
        <v>1864</v>
      </c>
      <c r="O60" s="1006"/>
      <c r="P60" s="36">
        <v>10998</v>
      </c>
      <c r="Q60" s="36">
        <v>-33</v>
      </c>
      <c r="R60" s="36">
        <v>10965</v>
      </c>
      <c r="S60" s="36"/>
      <c r="T60" s="36">
        <v>-46004</v>
      </c>
      <c r="U60" s="36">
        <v>-68758</v>
      </c>
    </row>
    <row r="61" spans="1:21" ht="15" x14ac:dyDescent="0.25">
      <c r="A61" s="1019" t="s">
        <v>2570</v>
      </c>
      <c r="B61" s="1168">
        <v>9.5402000000000004E-3</v>
      </c>
      <c r="C61" s="1168">
        <v>9.2902000000000002E-3</v>
      </c>
      <c r="D61" s="36">
        <v>-158014</v>
      </c>
      <c r="E61" s="1006"/>
      <c r="F61" s="36">
        <v>1393</v>
      </c>
      <c r="G61" s="36">
        <v>25186</v>
      </c>
      <c r="H61" s="36">
        <v>7432</v>
      </c>
      <c r="I61" s="36">
        <v>0</v>
      </c>
      <c r="J61" s="1006"/>
      <c r="K61" s="36">
        <v>7212</v>
      </c>
      <c r="L61" s="36"/>
      <c r="M61" s="36">
        <v>0</v>
      </c>
      <c r="N61" s="36">
        <v>7628</v>
      </c>
      <c r="O61" s="1006"/>
      <c r="P61" s="36">
        <v>29785</v>
      </c>
      <c r="Q61" s="36">
        <v>-8730</v>
      </c>
      <c r="R61" s="36">
        <v>21055</v>
      </c>
      <c r="S61" s="36"/>
      <c r="T61" s="36">
        <v>-124585</v>
      </c>
      <c r="U61" s="36">
        <v>-186206</v>
      </c>
    </row>
    <row r="62" spans="1:21" ht="15" x14ac:dyDescent="0.25">
      <c r="A62" s="1019" t="s">
        <v>2571</v>
      </c>
      <c r="B62" s="1168">
        <v>4.3553999999999997E-3</v>
      </c>
      <c r="C62" s="1168">
        <v>4.2596999999999999E-3</v>
      </c>
      <c r="D62" s="36">
        <v>-72138</v>
      </c>
      <c r="E62" s="1006"/>
      <c r="F62" s="36">
        <v>636</v>
      </c>
      <c r="G62" s="36">
        <v>11498</v>
      </c>
      <c r="H62" s="36">
        <v>3393</v>
      </c>
      <c r="I62" s="36">
        <v>295</v>
      </c>
      <c r="J62" s="1006"/>
      <c r="K62" s="36">
        <v>3293</v>
      </c>
      <c r="L62" s="36"/>
      <c r="M62" s="36">
        <v>0</v>
      </c>
      <c r="N62" s="36">
        <v>1530</v>
      </c>
      <c r="O62" s="1006"/>
      <c r="P62" s="36">
        <v>13598</v>
      </c>
      <c r="Q62" s="36">
        <v>-1325</v>
      </c>
      <c r="R62" s="36">
        <v>12273</v>
      </c>
      <c r="S62" s="36"/>
      <c r="T62" s="36">
        <v>-56877</v>
      </c>
      <c r="U62" s="36">
        <v>-85009</v>
      </c>
    </row>
    <row r="63" spans="1:21" ht="15" x14ac:dyDescent="0.25">
      <c r="A63" s="1019" t="s">
        <v>2572</v>
      </c>
      <c r="B63" s="1168">
        <v>5.5142000000000004E-3</v>
      </c>
      <c r="C63" s="1168">
        <v>5.3855999999999999E-3</v>
      </c>
      <c r="D63" s="36">
        <v>-91332</v>
      </c>
      <c r="E63" s="1006"/>
      <c r="F63" s="36">
        <v>805</v>
      </c>
      <c r="G63" s="36">
        <v>14557</v>
      </c>
      <c r="H63" s="36">
        <v>4296</v>
      </c>
      <c r="I63" s="36">
        <v>0</v>
      </c>
      <c r="J63" s="1006"/>
      <c r="K63" s="36">
        <v>4169</v>
      </c>
      <c r="L63" s="36"/>
      <c r="M63" s="36">
        <v>0</v>
      </c>
      <c r="N63" s="36">
        <v>4285</v>
      </c>
      <c r="O63" s="1006"/>
      <c r="P63" s="36">
        <v>17215</v>
      </c>
      <c r="Q63" s="36">
        <v>-4856</v>
      </c>
      <c r="R63" s="36">
        <v>12359</v>
      </c>
      <c r="S63" s="36"/>
      <c r="T63" s="36">
        <v>-72010</v>
      </c>
      <c r="U63" s="36">
        <v>-107626</v>
      </c>
    </row>
    <row r="64" spans="1:21" ht="15" x14ac:dyDescent="0.25">
      <c r="A64" s="1019" t="s">
        <v>2573</v>
      </c>
      <c r="B64" s="1168">
        <v>1.6861999999999999E-3</v>
      </c>
      <c r="C64" s="1168">
        <v>1.7650999999999999E-3</v>
      </c>
      <c r="D64" s="36">
        <v>-27929</v>
      </c>
      <c r="E64" s="1006"/>
      <c r="F64" s="36">
        <v>246</v>
      </c>
      <c r="G64" s="36">
        <v>4452</v>
      </c>
      <c r="H64" s="36">
        <v>1314</v>
      </c>
      <c r="I64" s="36">
        <v>1815</v>
      </c>
      <c r="J64" s="1006"/>
      <c r="K64" s="36">
        <v>1275</v>
      </c>
      <c r="L64" s="36"/>
      <c r="M64" s="36">
        <v>0</v>
      </c>
      <c r="N64" s="36">
        <v>16</v>
      </c>
      <c r="O64" s="1006"/>
      <c r="P64" s="36">
        <v>5264</v>
      </c>
      <c r="Q64" s="36">
        <v>1251</v>
      </c>
      <c r="R64" s="36">
        <v>6515</v>
      </c>
      <c r="S64" s="36"/>
      <c r="T64" s="36">
        <v>-22020</v>
      </c>
      <c r="U64" s="36">
        <v>-32911</v>
      </c>
    </row>
    <row r="65" spans="1:21" ht="15" x14ac:dyDescent="0.25">
      <c r="A65" s="1019" t="s">
        <v>2574</v>
      </c>
      <c r="B65" s="1168">
        <v>3.6643000000000001E-3</v>
      </c>
      <c r="C65" s="1168">
        <v>4.065E-3</v>
      </c>
      <c r="D65" s="36">
        <v>-60692</v>
      </c>
      <c r="E65" s="1006"/>
      <c r="F65" s="36">
        <v>535</v>
      </c>
      <c r="G65" s="36">
        <v>9674</v>
      </c>
      <c r="H65" s="36">
        <v>2854</v>
      </c>
      <c r="I65" s="36">
        <v>5779</v>
      </c>
      <c r="J65" s="1006"/>
      <c r="K65" s="36">
        <v>2770</v>
      </c>
      <c r="L65" s="36"/>
      <c r="M65" s="36">
        <v>0</v>
      </c>
      <c r="N65" s="36">
        <v>1005</v>
      </c>
      <c r="O65" s="1006"/>
      <c r="P65" s="36">
        <v>11440</v>
      </c>
      <c r="Q65" s="36">
        <v>1012</v>
      </c>
      <c r="R65" s="36">
        <v>12452</v>
      </c>
      <c r="S65" s="36"/>
      <c r="T65" s="36">
        <v>-47852</v>
      </c>
      <c r="U65" s="36">
        <v>-71520</v>
      </c>
    </row>
    <row r="66" spans="1:21" ht="15" x14ac:dyDescent="0.25">
      <c r="A66" s="1019" t="s">
        <v>2575</v>
      </c>
      <c r="B66" s="1168">
        <v>7.6944100000000001E-2</v>
      </c>
      <c r="C66" s="1168">
        <v>8.22431E-2</v>
      </c>
      <c r="D66" s="36">
        <v>-1274425</v>
      </c>
      <c r="E66" s="1006"/>
      <c r="F66" s="36">
        <v>11234</v>
      </c>
      <c r="G66" s="36">
        <v>203132</v>
      </c>
      <c r="H66" s="36">
        <v>59939</v>
      </c>
      <c r="I66" s="36">
        <v>99039</v>
      </c>
      <c r="J66" s="1006"/>
      <c r="K66" s="36">
        <v>58170</v>
      </c>
      <c r="L66" s="36"/>
      <c r="M66" s="36">
        <v>0</v>
      </c>
      <c r="N66" s="36">
        <v>18876</v>
      </c>
      <c r="O66" s="1006"/>
      <c r="P66" s="36">
        <v>240219</v>
      </c>
      <c r="Q66" s="36">
        <v>78753</v>
      </c>
      <c r="R66" s="36">
        <v>318972</v>
      </c>
      <c r="S66" s="36"/>
      <c r="T66" s="36">
        <v>-1004813</v>
      </c>
      <c r="U66" s="36">
        <v>-1501795</v>
      </c>
    </row>
    <row r="67" spans="1:21" ht="15" x14ac:dyDescent="0.25">
      <c r="A67" s="1019" t="s">
        <v>2576</v>
      </c>
      <c r="B67" s="1168">
        <v>1.5459E-3</v>
      </c>
      <c r="C67" s="1168">
        <v>1.4748999999999999E-3</v>
      </c>
      <c r="D67" s="36">
        <v>-25605</v>
      </c>
      <c r="E67" s="1006"/>
      <c r="F67" s="36">
        <v>226</v>
      </c>
      <c r="G67" s="36">
        <v>4081</v>
      </c>
      <c r="H67" s="36">
        <v>1204</v>
      </c>
      <c r="I67" s="36">
        <v>809</v>
      </c>
      <c r="J67" s="1006"/>
      <c r="K67" s="36">
        <v>1169</v>
      </c>
      <c r="L67" s="36"/>
      <c r="M67" s="36">
        <v>0</v>
      </c>
      <c r="N67" s="36">
        <v>1031</v>
      </c>
      <c r="O67" s="1006"/>
      <c r="P67" s="36">
        <v>4826</v>
      </c>
      <c r="Q67" s="36">
        <v>380</v>
      </c>
      <c r="R67" s="36">
        <v>5206</v>
      </c>
      <c r="S67" s="36"/>
      <c r="T67" s="36">
        <v>-20188</v>
      </c>
      <c r="U67" s="36">
        <v>-30173</v>
      </c>
    </row>
    <row r="68" spans="1:21" ht="15" x14ac:dyDescent="0.25">
      <c r="A68" s="1019" t="s">
        <v>2577</v>
      </c>
      <c r="B68" s="1168">
        <v>2.5293999999999998E-3</v>
      </c>
      <c r="C68" s="1168">
        <v>2.4242999999999999E-3</v>
      </c>
      <c r="D68" s="36">
        <v>-41894</v>
      </c>
      <c r="E68" s="1006"/>
      <c r="F68" s="36">
        <v>369</v>
      </c>
      <c r="G68" s="36">
        <v>6678</v>
      </c>
      <c r="H68" s="36">
        <v>1970</v>
      </c>
      <c r="I68" s="36">
        <v>482</v>
      </c>
      <c r="J68" s="1006"/>
      <c r="K68" s="36">
        <v>1912</v>
      </c>
      <c r="L68" s="36"/>
      <c r="M68" s="36">
        <v>0</v>
      </c>
      <c r="N68" s="36">
        <v>1516</v>
      </c>
      <c r="O68" s="1006"/>
      <c r="P68" s="36">
        <v>7897</v>
      </c>
      <c r="Q68" s="36">
        <v>-312</v>
      </c>
      <c r="R68" s="36">
        <v>7585</v>
      </c>
      <c r="S68" s="36"/>
      <c r="T68" s="36">
        <v>-33031</v>
      </c>
      <c r="U68" s="36">
        <v>-49369</v>
      </c>
    </row>
    <row r="69" spans="1:21" ht="15" x14ac:dyDescent="0.25">
      <c r="A69" s="1019" t="s">
        <v>2578</v>
      </c>
      <c r="B69" s="1168">
        <v>1.29754E-2</v>
      </c>
      <c r="C69" s="1168">
        <v>6.9439999999999997E-3</v>
      </c>
      <c r="D69" s="36">
        <v>-214912</v>
      </c>
      <c r="E69" s="1006"/>
      <c r="F69" s="36">
        <v>1894</v>
      </c>
      <c r="G69" s="36">
        <v>34255</v>
      </c>
      <c r="H69" s="36">
        <v>10108</v>
      </c>
      <c r="I69" s="36">
        <v>125506</v>
      </c>
      <c r="J69" s="1006"/>
      <c r="K69" s="36">
        <v>9809</v>
      </c>
      <c r="L69" s="36"/>
      <c r="M69" s="36">
        <v>0</v>
      </c>
      <c r="N69" s="36">
        <v>113369</v>
      </c>
      <c r="O69" s="1006"/>
      <c r="P69" s="36">
        <v>40509</v>
      </c>
      <c r="Q69" s="36">
        <v>10269</v>
      </c>
      <c r="R69" s="36">
        <v>50778</v>
      </c>
      <c r="S69" s="36"/>
      <c r="T69" s="36">
        <v>-169446</v>
      </c>
      <c r="U69" s="36">
        <v>-253254</v>
      </c>
    </row>
    <row r="70" spans="1:21" ht="15" x14ac:dyDescent="0.25">
      <c r="A70" s="1019" t="s">
        <v>2579</v>
      </c>
      <c r="B70" s="1168">
        <v>8.5197999999999992E-3</v>
      </c>
      <c r="C70" s="1168">
        <v>8.3329000000000007E-3</v>
      </c>
      <c r="D70" s="36">
        <v>-141113</v>
      </c>
      <c r="E70" s="1006"/>
      <c r="F70" s="36">
        <v>1244</v>
      </c>
      <c r="G70" s="36">
        <v>22492</v>
      </c>
      <c r="H70" s="36">
        <v>6637</v>
      </c>
      <c r="I70" s="36">
        <v>70</v>
      </c>
      <c r="J70" s="1006"/>
      <c r="K70" s="36">
        <v>6441</v>
      </c>
      <c r="L70" s="36"/>
      <c r="M70" s="36">
        <v>0</v>
      </c>
      <c r="N70" s="36">
        <v>2771</v>
      </c>
      <c r="O70" s="1006"/>
      <c r="P70" s="36">
        <v>26599</v>
      </c>
      <c r="Q70" s="36">
        <v>-1146</v>
      </c>
      <c r="R70" s="36">
        <v>25453</v>
      </c>
      <c r="S70" s="36"/>
      <c r="T70" s="36">
        <v>-111260</v>
      </c>
      <c r="U70" s="36">
        <v>-166289</v>
      </c>
    </row>
    <row r="71" spans="1:21" ht="15" x14ac:dyDescent="0.25">
      <c r="A71" s="1019" t="s">
        <v>2580</v>
      </c>
      <c r="B71" s="1168">
        <v>2.6295800000000001E-2</v>
      </c>
      <c r="C71" s="1168">
        <v>2.74573E-2</v>
      </c>
      <c r="D71" s="36">
        <v>-435537</v>
      </c>
      <c r="E71" s="1006"/>
      <c r="F71" s="36">
        <v>3839</v>
      </c>
      <c r="G71" s="36">
        <v>69421</v>
      </c>
      <c r="H71" s="36">
        <v>20484</v>
      </c>
      <c r="I71" s="36">
        <v>16882</v>
      </c>
      <c r="J71" s="1006"/>
      <c r="K71" s="36">
        <v>19880</v>
      </c>
      <c r="L71" s="36"/>
      <c r="M71" s="36">
        <v>0</v>
      </c>
      <c r="N71" s="36">
        <v>3897</v>
      </c>
      <c r="O71" s="1006"/>
      <c r="P71" s="36">
        <v>82095</v>
      </c>
      <c r="Q71" s="36">
        <v>-3491</v>
      </c>
      <c r="R71" s="36">
        <v>78604</v>
      </c>
      <c r="S71" s="36"/>
      <c r="T71" s="36">
        <v>-343397</v>
      </c>
      <c r="U71" s="36">
        <v>-513241</v>
      </c>
    </row>
    <row r="72" spans="1:21" ht="15" x14ac:dyDescent="0.25">
      <c r="A72" s="1019" t="s">
        <v>2581</v>
      </c>
      <c r="B72" s="1168">
        <v>1.4216999999999999E-3</v>
      </c>
      <c r="C72" s="1168">
        <v>1.5912999999999999E-3</v>
      </c>
      <c r="D72" s="36">
        <v>-23548</v>
      </c>
      <c r="E72" s="1006"/>
      <c r="F72" s="36">
        <v>208</v>
      </c>
      <c r="G72" s="36">
        <v>3753</v>
      </c>
      <c r="H72" s="36">
        <v>1108</v>
      </c>
      <c r="I72" s="36">
        <v>3939</v>
      </c>
      <c r="J72" s="1006"/>
      <c r="K72" s="36">
        <v>1075</v>
      </c>
      <c r="L72" s="36"/>
      <c r="M72" s="36">
        <v>0</v>
      </c>
      <c r="N72" s="36">
        <v>205</v>
      </c>
      <c r="O72" s="1006"/>
      <c r="P72" s="36">
        <v>4439</v>
      </c>
      <c r="Q72" s="36">
        <v>2096</v>
      </c>
      <c r="R72" s="36">
        <v>6535</v>
      </c>
      <c r="S72" s="36"/>
      <c r="T72" s="36">
        <v>-18566</v>
      </c>
      <c r="U72" s="36">
        <v>-27749</v>
      </c>
    </row>
    <row r="73" spans="1:21" ht="15" x14ac:dyDescent="0.25">
      <c r="A73" s="1019" t="s">
        <v>2582</v>
      </c>
      <c r="B73" s="1168">
        <v>2.2576100000000002E-2</v>
      </c>
      <c r="C73" s="1168">
        <v>2.2098099999999999E-2</v>
      </c>
      <c r="D73" s="36">
        <v>-373928</v>
      </c>
      <c r="E73" s="1006"/>
      <c r="F73" s="36">
        <v>3296</v>
      </c>
      <c r="G73" s="36">
        <v>59601</v>
      </c>
      <c r="H73" s="36">
        <v>17587</v>
      </c>
      <c r="I73" s="36">
        <v>2569</v>
      </c>
      <c r="J73" s="1006"/>
      <c r="K73" s="36">
        <v>17068</v>
      </c>
      <c r="L73" s="36"/>
      <c r="M73" s="36">
        <v>0</v>
      </c>
      <c r="N73" s="36">
        <v>6895</v>
      </c>
      <c r="O73" s="1006"/>
      <c r="P73" s="36">
        <v>70483</v>
      </c>
      <c r="Q73" s="36">
        <v>1816</v>
      </c>
      <c r="R73" s="36">
        <v>72299</v>
      </c>
      <c r="S73" s="36"/>
      <c r="T73" s="36">
        <v>-294821</v>
      </c>
      <c r="U73" s="36">
        <v>-440640</v>
      </c>
    </row>
    <row r="74" spans="1:21" ht="15" x14ac:dyDescent="0.25">
      <c r="A74" s="1019" t="s">
        <v>2583</v>
      </c>
      <c r="B74" s="1168">
        <v>1.1271E-2</v>
      </c>
      <c r="C74" s="1168">
        <v>1.12581E-2</v>
      </c>
      <c r="D74" s="36">
        <v>-186682</v>
      </c>
      <c r="E74" s="1006"/>
      <c r="F74" s="36">
        <v>1646</v>
      </c>
      <c r="G74" s="36">
        <v>29755</v>
      </c>
      <c r="H74" s="36">
        <v>8780</v>
      </c>
      <c r="I74" s="36">
        <v>2135</v>
      </c>
      <c r="J74" s="1006"/>
      <c r="K74" s="36">
        <v>8521</v>
      </c>
      <c r="L74" s="36"/>
      <c r="M74" s="36">
        <v>0</v>
      </c>
      <c r="N74" s="36">
        <v>1770</v>
      </c>
      <c r="O74" s="1006"/>
      <c r="P74" s="36">
        <v>35188</v>
      </c>
      <c r="Q74" s="36">
        <v>-2766</v>
      </c>
      <c r="R74" s="36">
        <v>32422</v>
      </c>
      <c r="S74" s="36"/>
      <c r="T74" s="36">
        <v>-147188</v>
      </c>
      <c r="U74" s="36">
        <v>-219987</v>
      </c>
    </row>
    <row r="75" spans="1:21" ht="15" x14ac:dyDescent="0.25">
      <c r="A75" s="1019" t="s">
        <v>2584</v>
      </c>
      <c r="B75" s="1168">
        <v>1.3504999999999999E-3</v>
      </c>
      <c r="C75" s="1168">
        <v>1.4119E-3</v>
      </c>
      <c r="D75" s="36">
        <v>-22368</v>
      </c>
      <c r="E75" s="1006"/>
      <c r="F75" s="36">
        <v>197</v>
      </c>
      <c r="G75" s="36">
        <v>3565</v>
      </c>
      <c r="H75" s="36">
        <v>1052</v>
      </c>
      <c r="I75" s="36">
        <v>2094</v>
      </c>
      <c r="J75" s="1006"/>
      <c r="K75" s="36">
        <v>1021</v>
      </c>
      <c r="L75" s="36"/>
      <c r="M75" s="36">
        <v>0</v>
      </c>
      <c r="N75" s="36">
        <v>454</v>
      </c>
      <c r="O75" s="1006"/>
      <c r="P75" s="36">
        <v>4216</v>
      </c>
      <c r="Q75" s="36">
        <v>546</v>
      </c>
      <c r="R75" s="36">
        <v>4762</v>
      </c>
      <c r="S75" s="36"/>
      <c r="T75" s="36">
        <v>-17636</v>
      </c>
      <c r="U75" s="36">
        <v>-26359</v>
      </c>
    </row>
    <row r="76" spans="1:21" ht="15" x14ac:dyDescent="0.25">
      <c r="A76" s="1019" t="s">
        <v>2585</v>
      </c>
      <c r="B76" s="1168">
        <v>4.0229999999999997E-3</v>
      </c>
      <c r="C76" s="1168">
        <v>4.0241000000000001E-3</v>
      </c>
      <c r="D76" s="36">
        <v>-66633</v>
      </c>
      <c r="E76" s="1006"/>
      <c r="F76" s="36">
        <v>587</v>
      </c>
      <c r="G76" s="36">
        <v>10621</v>
      </c>
      <c r="H76" s="36">
        <v>3134</v>
      </c>
      <c r="I76" s="36">
        <v>1688</v>
      </c>
      <c r="J76" s="1006"/>
      <c r="K76" s="36">
        <v>3041</v>
      </c>
      <c r="L76" s="36"/>
      <c r="M76" s="36">
        <v>0</v>
      </c>
      <c r="N76" s="36">
        <v>312</v>
      </c>
      <c r="O76" s="1006"/>
      <c r="P76" s="36">
        <v>12560</v>
      </c>
      <c r="Q76" s="36">
        <v>994</v>
      </c>
      <c r="R76" s="36">
        <v>13554</v>
      </c>
      <c r="S76" s="36"/>
      <c r="T76" s="36">
        <v>-52536</v>
      </c>
      <c r="U76" s="36">
        <v>-78521</v>
      </c>
    </row>
    <row r="77" spans="1:21" ht="15" x14ac:dyDescent="0.25">
      <c r="A77" s="1019" t="s">
        <v>2586</v>
      </c>
      <c r="B77" s="1168">
        <v>7.2078999999999997E-3</v>
      </c>
      <c r="C77" s="1168">
        <v>7.4469999999999996E-3</v>
      </c>
      <c r="D77" s="36">
        <v>-119384</v>
      </c>
      <c r="E77" s="1006"/>
      <c r="F77" s="36">
        <v>1052</v>
      </c>
      <c r="G77" s="36">
        <v>19029</v>
      </c>
      <c r="H77" s="36">
        <v>5615</v>
      </c>
      <c r="I77" s="36">
        <v>3449</v>
      </c>
      <c r="J77" s="1006"/>
      <c r="K77" s="36">
        <v>5449</v>
      </c>
      <c r="L77" s="36"/>
      <c r="M77" s="36">
        <v>0</v>
      </c>
      <c r="N77" s="36">
        <v>2018</v>
      </c>
      <c r="O77" s="1006"/>
      <c r="P77" s="36">
        <v>22503</v>
      </c>
      <c r="Q77" s="36">
        <v>-1672</v>
      </c>
      <c r="R77" s="36">
        <v>20831</v>
      </c>
      <c r="S77" s="36"/>
      <c r="T77" s="36">
        <v>-94128</v>
      </c>
      <c r="U77" s="36">
        <v>-140684</v>
      </c>
    </row>
    <row r="78" spans="1:21" ht="15" x14ac:dyDescent="0.25">
      <c r="A78" s="1019" t="s">
        <v>2587</v>
      </c>
      <c r="B78" s="1168">
        <v>1.3741000000000001E-3</v>
      </c>
      <c r="C78" s="1168">
        <v>1.2819000000000001E-3</v>
      </c>
      <c r="D78" s="36">
        <v>-22759</v>
      </c>
      <c r="E78" s="1006"/>
      <c r="F78" s="36">
        <v>201</v>
      </c>
      <c r="G78" s="36">
        <v>3628</v>
      </c>
      <c r="H78" s="36">
        <v>1070</v>
      </c>
      <c r="I78" s="36">
        <v>1115</v>
      </c>
      <c r="J78" s="1006"/>
      <c r="K78" s="36">
        <v>1039</v>
      </c>
      <c r="L78" s="36"/>
      <c r="M78" s="36">
        <v>0</v>
      </c>
      <c r="N78" s="36">
        <v>1547</v>
      </c>
      <c r="O78" s="1006"/>
      <c r="P78" s="36">
        <v>4290</v>
      </c>
      <c r="Q78" s="36">
        <v>-74</v>
      </c>
      <c r="R78" s="36">
        <v>4216</v>
      </c>
      <c r="S78" s="36"/>
      <c r="T78" s="36">
        <v>-17944</v>
      </c>
      <c r="U78" s="36">
        <v>-26820</v>
      </c>
    </row>
    <row r="79" spans="1:21" ht="15" x14ac:dyDescent="0.25">
      <c r="A79" s="1019" t="s">
        <v>2588</v>
      </c>
      <c r="B79" s="1168">
        <v>3.4971999999999998E-3</v>
      </c>
      <c r="C79" s="1168">
        <v>3.4467E-3</v>
      </c>
      <c r="D79" s="36">
        <v>-57924</v>
      </c>
      <c r="E79" s="1006"/>
      <c r="F79" s="36">
        <v>511</v>
      </c>
      <c r="G79" s="36">
        <v>9233</v>
      </c>
      <c r="H79" s="36">
        <v>2724</v>
      </c>
      <c r="I79" s="36">
        <v>601</v>
      </c>
      <c r="J79" s="1006"/>
      <c r="K79" s="36">
        <v>2644</v>
      </c>
      <c r="L79" s="36"/>
      <c r="M79" s="36">
        <v>0</v>
      </c>
      <c r="N79" s="36">
        <v>729</v>
      </c>
      <c r="O79" s="1006"/>
      <c r="P79" s="36">
        <v>10918</v>
      </c>
      <c r="Q79" s="36">
        <v>650</v>
      </c>
      <c r="R79" s="36">
        <v>11568</v>
      </c>
      <c r="S79" s="36"/>
      <c r="T79" s="36">
        <v>-45670</v>
      </c>
      <c r="U79" s="36">
        <v>-68258</v>
      </c>
    </row>
    <row r="80" spans="1:21" ht="15" x14ac:dyDescent="0.25">
      <c r="A80" s="1019" t="s">
        <v>2589</v>
      </c>
      <c r="B80" s="1168">
        <v>1.43987E-2</v>
      </c>
      <c r="C80" s="1168">
        <v>1.4525700000000001E-2</v>
      </c>
      <c r="D80" s="36">
        <v>-238486</v>
      </c>
      <c r="E80" s="1006"/>
      <c r="F80" s="36">
        <v>2102</v>
      </c>
      <c r="G80" s="36">
        <v>38013</v>
      </c>
      <c r="H80" s="36">
        <v>11217</v>
      </c>
      <c r="I80" s="36">
        <v>2805</v>
      </c>
      <c r="J80" s="1006"/>
      <c r="K80" s="36">
        <v>10885</v>
      </c>
      <c r="L80" s="36"/>
      <c r="M80" s="36">
        <v>0</v>
      </c>
      <c r="N80" s="36">
        <v>2402</v>
      </c>
      <c r="O80" s="1006"/>
      <c r="P80" s="36">
        <v>44953</v>
      </c>
      <c r="Q80" s="36">
        <v>1419</v>
      </c>
      <c r="R80" s="36">
        <v>46372</v>
      </c>
      <c r="S80" s="36"/>
      <c r="T80" s="36">
        <v>-188033</v>
      </c>
      <c r="U80" s="36">
        <v>-281034</v>
      </c>
    </row>
    <row r="81" spans="1:21" ht="15" x14ac:dyDescent="0.25">
      <c r="A81" s="1019" t="s">
        <v>2590</v>
      </c>
      <c r="B81" s="1168">
        <v>2.7234E-3</v>
      </c>
      <c r="C81" s="1168">
        <v>2.3395999999999998E-3</v>
      </c>
      <c r="D81" s="36">
        <v>-45108</v>
      </c>
      <c r="E81" s="1006"/>
      <c r="F81" s="36">
        <v>398</v>
      </c>
      <c r="G81" s="36">
        <v>7190</v>
      </c>
      <c r="H81" s="36">
        <v>2122</v>
      </c>
      <c r="I81" s="36">
        <v>370</v>
      </c>
      <c r="J81" s="1006"/>
      <c r="K81" s="36">
        <v>2059</v>
      </c>
      <c r="L81" s="36"/>
      <c r="M81" s="36">
        <v>0</v>
      </c>
      <c r="N81" s="36">
        <v>6117</v>
      </c>
      <c r="O81" s="1006"/>
      <c r="P81" s="36">
        <v>8502</v>
      </c>
      <c r="Q81" s="36">
        <v>-2628</v>
      </c>
      <c r="R81" s="36">
        <v>5874</v>
      </c>
      <c r="S81" s="36"/>
      <c r="T81" s="36">
        <v>-35565</v>
      </c>
      <c r="U81" s="36">
        <v>-53155</v>
      </c>
    </row>
    <row r="82" spans="1:21" ht="15" x14ac:dyDescent="0.25">
      <c r="A82" s="1019" t="s">
        <v>2591</v>
      </c>
      <c r="B82" s="1168">
        <v>1.17597E-2</v>
      </c>
      <c r="C82" s="1168">
        <v>1.20278E-2</v>
      </c>
      <c r="D82" s="36">
        <v>-194776</v>
      </c>
      <c r="E82" s="1006"/>
      <c r="F82" s="36">
        <v>1717</v>
      </c>
      <c r="G82" s="36">
        <v>31046</v>
      </c>
      <c r="H82" s="36">
        <v>9161</v>
      </c>
      <c r="I82" s="36">
        <v>7439</v>
      </c>
      <c r="J82" s="1006"/>
      <c r="K82" s="36">
        <v>8890</v>
      </c>
      <c r="L82" s="36"/>
      <c r="M82" s="36">
        <v>0</v>
      </c>
      <c r="N82" s="36">
        <v>1308</v>
      </c>
      <c r="O82" s="1006"/>
      <c r="P82" s="36">
        <v>36714</v>
      </c>
      <c r="Q82" s="36">
        <v>8249</v>
      </c>
      <c r="R82" s="36">
        <v>44963</v>
      </c>
      <c r="S82" s="36"/>
      <c r="T82" s="36">
        <v>-153570</v>
      </c>
      <c r="U82" s="36">
        <v>-229526</v>
      </c>
    </row>
    <row r="83" spans="1:21" ht="15" x14ac:dyDescent="0.25">
      <c r="A83" s="1019" t="s">
        <v>2592</v>
      </c>
      <c r="B83" s="1168">
        <v>3.0539E-3</v>
      </c>
      <c r="C83" s="1168">
        <v>2.7853999999999999E-3</v>
      </c>
      <c r="D83" s="36">
        <v>-50582</v>
      </c>
      <c r="E83" s="1006"/>
      <c r="F83" s="36">
        <v>446</v>
      </c>
      <c r="G83" s="36">
        <v>8062</v>
      </c>
      <c r="H83" s="36">
        <v>2379</v>
      </c>
      <c r="I83" s="36">
        <v>1328</v>
      </c>
      <c r="J83" s="1006"/>
      <c r="K83" s="36">
        <v>2309</v>
      </c>
      <c r="L83" s="36"/>
      <c r="M83" s="36">
        <v>0</v>
      </c>
      <c r="N83" s="36">
        <v>4039</v>
      </c>
      <c r="O83" s="1006"/>
      <c r="P83" s="36">
        <v>9534</v>
      </c>
      <c r="Q83" s="36">
        <v>-1186</v>
      </c>
      <c r="R83" s="36">
        <v>8348</v>
      </c>
      <c r="S83" s="36"/>
      <c r="T83" s="36">
        <v>-39881</v>
      </c>
      <c r="U83" s="36">
        <v>-59606</v>
      </c>
    </row>
    <row r="84" spans="1:21" ht="15" x14ac:dyDescent="0.25">
      <c r="A84" s="1019" t="s">
        <v>2593</v>
      </c>
      <c r="B84" s="1168">
        <v>8.0315000000000004E-3</v>
      </c>
      <c r="C84" s="1168">
        <v>7.8741000000000002E-3</v>
      </c>
      <c r="D84" s="36">
        <v>-133026</v>
      </c>
      <c r="E84" s="1006"/>
      <c r="F84" s="36">
        <v>1173</v>
      </c>
      <c r="G84" s="36">
        <v>21203</v>
      </c>
      <c r="H84" s="36">
        <v>6257</v>
      </c>
      <c r="I84" s="36">
        <v>4622</v>
      </c>
      <c r="J84" s="1006"/>
      <c r="K84" s="36">
        <v>6072</v>
      </c>
      <c r="L84" s="36"/>
      <c r="M84" s="36">
        <v>0</v>
      </c>
      <c r="N84" s="36">
        <v>4037</v>
      </c>
      <c r="O84" s="1006"/>
      <c r="P84" s="36">
        <v>25074</v>
      </c>
      <c r="Q84" s="36">
        <v>-1061</v>
      </c>
      <c r="R84" s="36">
        <v>24013</v>
      </c>
      <c r="S84" s="36"/>
      <c r="T84" s="36">
        <v>-104883</v>
      </c>
      <c r="U84" s="36">
        <v>-156759</v>
      </c>
    </row>
    <row r="85" spans="1:21" ht="15" x14ac:dyDescent="0.25">
      <c r="A85" s="1019" t="s">
        <v>2594</v>
      </c>
      <c r="B85" s="1168">
        <v>8.4376999999999994E-3</v>
      </c>
      <c r="C85" s="1168">
        <v>8.0756999999999999E-3</v>
      </c>
      <c r="D85" s="36">
        <v>-139754</v>
      </c>
      <c r="E85" s="1006"/>
      <c r="F85" s="36">
        <v>1232</v>
      </c>
      <c r="G85" s="36">
        <v>22276</v>
      </c>
      <c r="H85" s="36">
        <v>6573</v>
      </c>
      <c r="I85" s="36">
        <v>455</v>
      </c>
      <c r="J85" s="1006"/>
      <c r="K85" s="36">
        <v>6379</v>
      </c>
      <c r="L85" s="36"/>
      <c r="M85" s="36">
        <v>0</v>
      </c>
      <c r="N85" s="36">
        <v>5922</v>
      </c>
      <c r="O85" s="1006"/>
      <c r="P85" s="36">
        <v>26342</v>
      </c>
      <c r="Q85" s="36">
        <v>-2211</v>
      </c>
      <c r="R85" s="36">
        <v>24131</v>
      </c>
      <c r="S85" s="36"/>
      <c r="T85" s="36">
        <v>-110188</v>
      </c>
      <c r="U85" s="36">
        <v>-164687</v>
      </c>
    </row>
    <row r="86" spans="1:21" ht="15" x14ac:dyDescent="0.25">
      <c r="A86" s="1019" t="s">
        <v>2595</v>
      </c>
      <c r="B86" s="1168">
        <v>1.3658699999999999E-2</v>
      </c>
      <c r="C86" s="1168">
        <v>1.3247699999999999E-2</v>
      </c>
      <c r="D86" s="36">
        <v>-226229</v>
      </c>
      <c r="E86" s="1006"/>
      <c r="F86" s="36">
        <v>1994</v>
      </c>
      <c r="G86" s="36">
        <v>36059</v>
      </c>
      <c r="H86" s="36">
        <v>10640</v>
      </c>
      <c r="I86" s="36">
        <v>0</v>
      </c>
      <c r="J86" s="1006"/>
      <c r="K86" s="36">
        <v>10326</v>
      </c>
      <c r="L86" s="36"/>
      <c r="M86" s="36">
        <v>0</v>
      </c>
      <c r="N86" s="36">
        <v>9253</v>
      </c>
      <c r="O86" s="1006"/>
      <c r="P86" s="36">
        <v>42642</v>
      </c>
      <c r="Q86" s="36">
        <v>-7706</v>
      </c>
      <c r="R86" s="36">
        <v>34936</v>
      </c>
      <c r="S86" s="36"/>
      <c r="T86" s="36">
        <v>-178369</v>
      </c>
      <c r="U86" s="36">
        <v>-266591</v>
      </c>
    </row>
    <row r="87" spans="1:21" ht="15" x14ac:dyDescent="0.25">
      <c r="A87" s="1019" t="s">
        <v>2596</v>
      </c>
      <c r="B87" s="1168">
        <v>6.7662E-3</v>
      </c>
      <c r="C87" s="1168">
        <v>6.8475000000000003E-3</v>
      </c>
      <c r="D87" s="36">
        <v>-112069</v>
      </c>
      <c r="E87" s="1006"/>
      <c r="F87" s="36">
        <v>988</v>
      </c>
      <c r="G87" s="36">
        <v>17863</v>
      </c>
      <c r="H87" s="36">
        <v>5271</v>
      </c>
      <c r="I87" s="36">
        <v>1173</v>
      </c>
      <c r="J87" s="1006"/>
      <c r="K87" s="36">
        <v>5115</v>
      </c>
      <c r="L87" s="36"/>
      <c r="M87" s="36">
        <v>0</v>
      </c>
      <c r="N87" s="36">
        <v>2112</v>
      </c>
      <c r="O87" s="1006"/>
      <c r="P87" s="36">
        <v>21124</v>
      </c>
      <c r="Q87" s="36">
        <v>-1980</v>
      </c>
      <c r="R87" s="36">
        <v>19144</v>
      </c>
      <c r="S87" s="36"/>
      <c r="T87" s="36">
        <v>-88360</v>
      </c>
      <c r="U87" s="36">
        <v>-132063</v>
      </c>
    </row>
    <row r="88" spans="1:21" ht="15" x14ac:dyDescent="0.25">
      <c r="A88" s="1019" t="s">
        <v>2597</v>
      </c>
      <c r="B88" s="1168">
        <v>4.7327999999999997E-3</v>
      </c>
      <c r="C88" s="1168">
        <v>4.8418000000000003E-3</v>
      </c>
      <c r="D88" s="36">
        <v>-78389</v>
      </c>
      <c r="E88" s="1006"/>
      <c r="F88" s="36">
        <v>691</v>
      </c>
      <c r="G88" s="36">
        <v>12495</v>
      </c>
      <c r="H88" s="36">
        <v>3687</v>
      </c>
      <c r="I88" s="36">
        <v>2872</v>
      </c>
      <c r="J88" s="1006"/>
      <c r="K88" s="36">
        <v>3578</v>
      </c>
      <c r="L88" s="36"/>
      <c r="M88" s="36">
        <v>0</v>
      </c>
      <c r="N88" s="36">
        <v>399</v>
      </c>
      <c r="O88" s="1006"/>
      <c r="P88" s="36">
        <v>14776</v>
      </c>
      <c r="Q88" s="36">
        <v>1049</v>
      </c>
      <c r="R88" s="36">
        <v>15825</v>
      </c>
      <c r="S88" s="36"/>
      <c r="T88" s="36">
        <v>-61806</v>
      </c>
      <c r="U88" s="36">
        <v>-92375</v>
      </c>
    </row>
    <row r="89" spans="1:21" ht="15" x14ac:dyDescent="0.25">
      <c r="A89" s="1019" t="s">
        <v>2598</v>
      </c>
      <c r="B89" s="1168">
        <v>2.7859999999999998E-3</v>
      </c>
      <c r="C89" s="1168">
        <v>2.9344000000000002E-3</v>
      </c>
      <c r="D89" s="36">
        <v>-46145</v>
      </c>
      <c r="E89" s="1006"/>
      <c r="F89" s="36">
        <v>407</v>
      </c>
      <c r="G89" s="36">
        <v>7355</v>
      </c>
      <c r="H89" s="36">
        <v>2170</v>
      </c>
      <c r="I89" s="36">
        <v>3325</v>
      </c>
      <c r="J89" s="1006"/>
      <c r="K89" s="36">
        <v>2106</v>
      </c>
      <c r="L89" s="36"/>
      <c r="M89" s="36">
        <v>0</v>
      </c>
      <c r="N89" s="36">
        <v>637</v>
      </c>
      <c r="O89" s="1006"/>
      <c r="P89" s="36">
        <v>8698</v>
      </c>
      <c r="Q89" s="36">
        <v>510</v>
      </c>
      <c r="R89" s="36">
        <v>9208</v>
      </c>
      <c r="S89" s="36"/>
      <c r="T89" s="36">
        <v>-36382</v>
      </c>
      <c r="U89" s="36">
        <v>-54377</v>
      </c>
    </row>
    <row r="90" spans="1:21" ht="15" x14ac:dyDescent="0.25">
      <c r="A90" s="1019" t="s">
        <v>2599</v>
      </c>
      <c r="B90" s="1168">
        <v>6.2506999999999997E-3</v>
      </c>
      <c r="C90" s="1168">
        <v>6.3501E-3</v>
      </c>
      <c r="D90" s="36">
        <v>-103530</v>
      </c>
      <c r="E90" s="1006"/>
      <c r="F90" s="36">
        <v>913</v>
      </c>
      <c r="G90" s="36">
        <v>16502</v>
      </c>
      <c r="H90" s="36">
        <v>4869</v>
      </c>
      <c r="I90" s="36">
        <v>1435</v>
      </c>
      <c r="J90" s="1006"/>
      <c r="K90" s="36">
        <v>4726</v>
      </c>
      <c r="L90" s="36"/>
      <c r="M90" s="36">
        <v>0</v>
      </c>
      <c r="N90" s="36">
        <v>1988</v>
      </c>
      <c r="O90" s="1006"/>
      <c r="P90" s="36">
        <v>19515</v>
      </c>
      <c r="Q90" s="36">
        <v>-3419</v>
      </c>
      <c r="R90" s="36">
        <v>16096</v>
      </c>
      <c r="S90" s="36"/>
      <c r="T90" s="36">
        <v>-81628</v>
      </c>
      <c r="U90" s="36">
        <v>-122001</v>
      </c>
    </row>
    <row r="91" spans="1:21" ht="15" x14ac:dyDescent="0.25">
      <c r="A91" s="1019" t="s">
        <v>2600</v>
      </c>
      <c r="B91" s="1168">
        <v>3.6289E-3</v>
      </c>
      <c r="C91" s="1168">
        <v>3.8162000000000001E-3</v>
      </c>
      <c r="D91" s="36">
        <v>-60105</v>
      </c>
      <c r="E91" s="1006"/>
      <c r="F91" s="36">
        <v>530</v>
      </c>
      <c r="G91" s="36">
        <v>9580</v>
      </c>
      <c r="H91" s="36">
        <v>2827</v>
      </c>
      <c r="I91" s="36">
        <v>3176</v>
      </c>
      <c r="J91" s="1006"/>
      <c r="K91" s="36">
        <v>2743</v>
      </c>
      <c r="L91" s="36"/>
      <c r="M91" s="36">
        <v>0</v>
      </c>
      <c r="N91" s="36">
        <v>1052</v>
      </c>
      <c r="O91" s="1006"/>
      <c r="P91" s="36">
        <v>11329</v>
      </c>
      <c r="Q91" s="36">
        <v>1261</v>
      </c>
      <c r="R91" s="36">
        <v>12590</v>
      </c>
      <c r="S91" s="36"/>
      <c r="T91" s="36">
        <v>-47390</v>
      </c>
      <c r="U91" s="36">
        <v>-70829</v>
      </c>
    </row>
    <row r="92" spans="1:21" ht="15" x14ac:dyDescent="0.25">
      <c r="A92" s="1019" t="s">
        <v>2601</v>
      </c>
      <c r="B92" s="1168">
        <v>7.6375999999999996E-3</v>
      </c>
      <c r="C92" s="1168">
        <v>6.3610999999999997E-3</v>
      </c>
      <c r="D92" s="36">
        <v>-126502</v>
      </c>
      <c r="E92" s="1006"/>
      <c r="F92" s="36">
        <v>1115</v>
      </c>
      <c r="G92" s="36">
        <v>20163</v>
      </c>
      <c r="H92" s="36">
        <v>5950</v>
      </c>
      <c r="I92" s="36">
        <v>6322</v>
      </c>
      <c r="J92" s="1006"/>
      <c r="K92" s="36">
        <v>5774</v>
      </c>
      <c r="L92" s="36"/>
      <c r="M92" s="36">
        <v>0</v>
      </c>
      <c r="N92" s="36">
        <v>18673</v>
      </c>
      <c r="O92" s="1006"/>
      <c r="P92" s="36">
        <v>23845</v>
      </c>
      <c r="Q92" s="36">
        <v>-3596</v>
      </c>
      <c r="R92" s="36">
        <v>20249</v>
      </c>
      <c r="S92" s="36"/>
      <c r="T92" s="36">
        <v>-99739</v>
      </c>
      <c r="U92" s="36">
        <v>-149071</v>
      </c>
    </row>
    <row r="93" spans="1:21" ht="15" x14ac:dyDescent="0.25">
      <c r="A93" s="1019" t="s">
        <v>2602</v>
      </c>
      <c r="B93" s="1168">
        <v>3.0925000000000002E-3</v>
      </c>
      <c r="C93" s="1168">
        <v>3.0937999999999998E-3</v>
      </c>
      <c r="D93" s="36">
        <v>-51221</v>
      </c>
      <c r="E93" s="1006"/>
      <c r="F93" s="36">
        <v>452</v>
      </c>
      <c r="G93" s="36">
        <v>8164</v>
      </c>
      <c r="H93" s="36">
        <v>2409</v>
      </c>
      <c r="I93" s="36">
        <v>18</v>
      </c>
      <c r="J93" s="1006"/>
      <c r="K93" s="36">
        <v>2338</v>
      </c>
      <c r="L93" s="36"/>
      <c r="M93" s="36">
        <v>0</v>
      </c>
      <c r="N93" s="36">
        <v>988</v>
      </c>
      <c r="O93" s="1006"/>
      <c r="P93" s="36">
        <v>9655</v>
      </c>
      <c r="Q93" s="36">
        <v>-1956</v>
      </c>
      <c r="R93" s="36">
        <v>7699</v>
      </c>
      <c r="S93" s="36"/>
      <c r="T93" s="36">
        <v>-40385</v>
      </c>
      <c r="U93" s="36">
        <v>-60359</v>
      </c>
    </row>
    <row r="94" spans="1:21" ht="15" x14ac:dyDescent="0.25">
      <c r="A94" s="1019" t="s">
        <v>2603</v>
      </c>
      <c r="B94" s="1168">
        <v>3.6638999999999999E-3</v>
      </c>
      <c r="C94" s="1168">
        <v>4.2665999999999997E-3</v>
      </c>
      <c r="D94" s="36">
        <v>-60685</v>
      </c>
      <c r="E94" s="1006"/>
      <c r="F94" s="36">
        <v>535</v>
      </c>
      <c r="G94" s="36">
        <v>9673</v>
      </c>
      <c r="H94" s="36">
        <v>2854</v>
      </c>
      <c r="I94" s="36">
        <v>8695</v>
      </c>
      <c r="J94" s="1006"/>
      <c r="K94" s="36">
        <v>2770</v>
      </c>
      <c r="L94" s="36"/>
      <c r="M94" s="36">
        <v>0</v>
      </c>
      <c r="N94" s="36">
        <v>641</v>
      </c>
      <c r="O94" s="1006"/>
      <c r="P94" s="36">
        <v>11439</v>
      </c>
      <c r="Q94" s="36">
        <v>3303</v>
      </c>
      <c r="R94" s="36">
        <v>14742</v>
      </c>
      <c r="S94" s="36"/>
      <c r="T94" s="36">
        <v>-47847</v>
      </c>
      <c r="U94" s="36">
        <v>-71512</v>
      </c>
    </row>
    <row r="95" spans="1:21" ht="15" x14ac:dyDescent="0.25">
      <c r="A95" s="1019" t="s">
        <v>2604</v>
      </c>
      <c r="B95" s="1168">
        <v>3.189E-4</v>
      </c>
      <c r="C95" s="1168">
        <v>3.0699999999999998E-4</v>
      </c>
      <c r="D95" s="36">
        <v>-5282</v>
      </c>
      <c r="E95" s="1006"/>
      <c r="F95" s="36">
        <v>47</v>
      </c>
      <c r="G95" s="36">
        <v>842</v>
      </c>
      <c r="H95" s="36">
        <v>248</v>
      </c>
      <c r="I95" s="36">
        <v>512</v>
      </c>
      <c r="J95" s="1006"/>
      <c r="K95" s="36">
        <v>241</v>
      </c>
      <c r="L95" s="36"/>
      <c r="M95" s="36">
        <v>0</v>
      </c>
      <c r="N95" s="36">
        <v>263</v>
      </c>
      <c r="O95" s="1006"/>
      <c r="P95" s="36">
        <v>996</v>
      </c>
      <c r="Q95" s="36">
        <v>302</v>
      </c>
      <c r="R95" s="36">
        <v>1298</v>
      </c>
      <c r="S95" s="36"/>
      <c r="T95" s="36">
        <v>-4165</v>
      </c>
      <c r="U95" s="36">
        <v>-6224</v>
      </c>
    </row>
    <row r="96" spans="1:21" ht="15" x14ac:dyDescent="0.25">
      <c r="A96" s="1019" t="s">
        <v>2605</v>
      </c>
      <c r="B96" s="1168">
        <v>2.5016799999999999E-2</v>
      </c>
      <c r="C96" s="1168">
        <v>2.61335E-2</v>
      </c>
      <c r="D96" s="36">
        <v>-414353</v>
      </c>
      <c r="E96" s="1006"/>
      <c r="F96" s="36">
        <v>3652</v>
      </c>
      <c r="G96" s="36">
        <v>66044</v>
      </c>
      <c r="H96" s="36">
        <v>19488</v>
      </c>
      <c r="I96" s="36">
        <v>16385</v>
      </c>
      <c r="J96" s="1006"/>
      <c r="K96" s="36">
        <v>18913</v>
      </c>
      <c r="L96" s="36"/>
      <c r="M96" s="36">
        <v>0</v>
      </c>
      <c r="N96" s="36">
        <v>469</v>
      </c>
      <c r="O96" s="1006"/>
      <c r="P96" s="36">
        <v>78102</v>
      </c>
      <c r="Q96" s="36">
        <v>6762</v>
      </c>
      <c r="R96" s="36">
        <v>84864</v>
      </c>
      <c r="S96" s="36"/>
      <c r="T96" s="36">
        <v>-326694</v>
      </c>
      <c r="U96" s="36">
        <v>-488278</v>
      </c>
    </row>
    <row r="97" spans="1:21" ht="15" x14ac:dyDescent="0.25">
      <c r="A97" s="1019" t="s">
        <v>2606</v>
      </c>
      <c r="B97" s="1168">
        <v>3.6557999999999998E-3</v>
      </c>
      <c r="C97" s="1168">
        <v>3.5677999999999999E-3</v>
      </c>
      <c r="D97" s="36">
        <v>-60551</v>
      </c>
      <c r="E97" s="1006"/>
      <c r="F97" s="36">
        <v>534</v>
      </c>
      <c r="G97" s="36">
        <v>9651</v>
      </c>
      <c r="H97" s="36">
        <v>2848</v>
      </c>
      <c r="I97" s="36">
        <v>588</v>
      </c>
      <c r="J97" s="1006"/>
      <c r="K97" s="36">
        <v>2764</v>
      </c>
      <c r="L97" s="36"/>
      <c r="M97" s="36">
        <v>0</v>
      </c>
      <c r="N97" s="36">
        <v>1269</v>
      </c>
      <c r="O97" s="1006"/>
      <c r="P97" s="36">
        <v>11413</v>
      </c>
      <c r="Q97" s="36">
        <v>523</v>
      </c>
      <c r="R97" s="36">
        <v>11936</v>
      </c>
      <c r="S97" s="36"/>
      <c r="T97" s="36">
        <v>-47741</v>
      </c>
      <c r="U97" s="36">
        <v>-71354</v>
      </c>
    </row>
    <row r="98" spans="1:21" ht="15" x14ac:dyDescent="0.25">
      <c r="A98" s="1019" t="s">
        <v>2607</v>
      </c>
      <c r="B98" s="1168">
        <v>0.1244343</v>
      </c>
      <c r="C98" s="1168">
        <v>0.1145418</v>
      </c>
      <c r="D98" s="36">
        <v>-2061005</v>
      </c>
      <c r="E98" s="1006"/>
      <c r="F98" s="36">
        <v>18167</v>
      </c>
      <c r="G98" s="36">
        <v>328507</v>
      </c>
      <c r="H98" s="36">
        <v>96934</v>
      </c>
      <c r="I98" s="36">
        <v>31028</v>
      </c>
      <c r="J98" s="1006"/>
      <c r="K98" s="36">
        <v>94072</v>
      </c>
      <c r="L98" s="36"/>
      <c r="M98" s="36">
        <v>0</v>
      </c>
      <c r="N98" s="36">
        <v>258822</v>
      </c>
      <c r="O98" s="1006"/>
      <c r="P98" s="36">
        <v>388484</v>
      </c>
      <c r="Q98" s="36">
        <v>-112608</v>
      </c>
      <c r="R98" s="36">
        <v>275876</v>
      </c>
      <c r="S98" s="36"/>
      <c r="T98" s="36">
        <v>-1624988</v>
      </c>
      <c r="U98" s="36">
        <v>-2428709</v>
      </c>
    </row>
    <row r="99" spans="1:21" ht="15" x14ac:dyDescent="0.25">
      <c r="A99" s="1019" t="s">
        <v>2608</v>
      </c>
      <c r="B99" s="1168">
        <v>1.4475E-3</v>
      </c>
      <c r="C99" s="1168">
        <v>1.4982000000000001E-3</v>
      </c>
      <c r="D99" s="36">
        <v>-23975</v>
      </c>
      <c r="E99" s="1006"/>
      <c r="F99" s="36">
        <v>211</v>
      </c>
      <c r="G99" s="36">
        <v>3821</v>
      </c>
      <c r="H99" s="36">
        <v>1128</v>
      </c>
      <c r="I99" s="36">
        <v>1595</v>
      </c>
      <c r="J99" s="1006"/>
      <c r="K99" s="36">
        <v>1094</v>
      </c>
      <c r="L99" s="36"/>
      <c r="M99" s="36">
        <v>0</v>
      </c>
      <c r="N99" s="36">
        <v>528</v>
      </c>
      <c r="O99" s="1006"/>
      <c r="P99" s="36">
        <v>4519</v>
      </c>
      <c r="Q99" s="36">
        <v>-9</v>
      </c>
      <c r="R99" s="36">
        <v>4510</v>
      </c>
      <c r="S99" s="36"/>
      <c r="T99" s="36">
        <v>-18903</v>
      </c>
      <c r="U99" s="36">
        <v>-28252</v>
      </c>
    </row>
    <row r="100" spans="1:21" ht="15" x14ac:dyDescent="0.25">
      <c r="A100" s="1019" t="s">
        <v>2609</v>
      </c>
      <c r="B100" s="1168">
        <v>8.5550000000000003E-4</v>
      </c>
      <c r="C100" s="1168">
        <v>1.3189E-3</v>
      </c>
      <c r="D100" s="36">
        <v>-14170</v>
      </c>
      <c r="E100" s="1006"/>
      <c r="F100" s="36">
        <v>125</v>
      </c>
      <c r="G100" s="36">
        <v>2259</v>
      </c>
      <c r="H100" s="36">
        <v>666</v>
      </c>
      <c r="I100" s="36">
        <v>6765</v>
      </c>
      <c r="J100" s="1006"/>
      <c r="K100" s="36">
        <v>647</v>
      </c>
      <c r="L100" s="36"/>
      <c r="M100" s="36">
        <v>0</v>
      </c>
      <c r="N100" s="36">
        <v>923</v>
      </c>
      <c r="O100" s="1006"/>
      <c r="P100" s="36">
        <v>2671</v>
      </c>
      <c r="Q100" s="36">
        <v>2282</v>
      </c>
      <c r="R100" s="36">
        <v>4953</v>
      </c>
      <c r="S100" s="36"/>
      <c r="T100" s="36">
        <v>-11172</v>
      </c>
      <c r="U100" s="36">
        <v>-16698</v>
      </c>
    </row>
    <row r="101" spans="1:21" ht="15" x14ac:dyDescent="0.25">
      <c r="A101" s="1019" t="s">
        <v>2610</v>
      </c>
      <c r="B101" s="1168">
        <v>6.1612999999999998E-3</v>
      </c>
      <c r="C101" s="1168">
        <v>6.5062000000000002E-3</v>
      </c>
      <c r="D101" s="36">
        <v>-102050</v>
      </c>
      <c r="E101" s="1006"/>
      <c r="F101" s="36">
        <v>900</v>
      </c>
      <c r="G101" s="36">
        <v>16266</v>
      </c>
      <c r="H101" s="36">
        <v>4800</v>
      </c>
      <c r="I101" s="36">
        <v>6284</v>
      </c>
      <c r="J101" s="1006"/>
      <c r="K101" s="36">
        <v>4658</v>
      </c>
      <c r="L101" s="36"/>
      <c r="M101" s="36">
        <v>0</v>
      </c>
      <c r="N101" s="36">
        <v>214</v>
      </c>
      <c r="O101" s="1006"/>
      <c r="P101" s="36">
        <v>19236</v>
      </c>
      <c r="Q101" s="36">
        <v>2802</v>
      </c>
      <c r="R101" s="36">
        <v>22038</v>
      </c>
      <c r="S101" s="36"/>
      <c r="T101" s="36">
        <v>-80460</v>
      </c>
      <c r="U101" s="36">
        <v>-120256</v>
      </c>
    </row>
    <row r="102" spans="1:21" ht="15" x14ac:dyDescent="0.25">
      <c r="A102" s="1019" t="s">
        <v>2611</v>
      </c>
      <c r="B102" s="1168">
        <v>9.5361000000000005E-3</v>
      </c>
      <c r="C102" s="1168">
        <v>9.7663000000000003E-3</v>
      </c>
      <c r="D102" s="36">
        <v>-157946</v>
      </c>
      <c r="E102" s="1006"/>
      <c r="F102" s="36">
        <v>1392</v>
      </c>
      <c r="G102" s="36">
        <v>25175</v>
      </c>
      <c r="H102" s="36">
        <v>7429</v>
      </c>
      <c r="I102" s="36">
        <v>3617</v>
      </c>
      <c r="J102" s="1006"/>
      <c r="K102" s="36">
        <v>7209</v>
      </c>
      <c r="L102" s="36"/>
      <c r="M102" s="36">
        <v>0</v>
      </c>
      <c r="N102" s="36">
        <v>644</v>
      </c>
      <c r="O102" s="1006"/>
      <c r="P102" s="36">
        <v>29772</v>
      </c>
      <c r="Q102" s="36">
        <v>302</v>
      </c>
      <c r="R102" s="36">
        <v>30074</v>
      </c>
      <c r="S102" s="36"/>
      <c r="T102" s="36">
        <v>-124532</v>
      </c>
      <c r="U102" s="36">
        <v>-186126</v>
      </c>
    </row>
    <row r="103" spans="1:21" ht="15" x14ac:dyDescent="0.25">
      <c r="A103" s="1019" t="s">
        <v>2612</v>
      </c>
      <c r="B103" s="1168">
        <v>5.9652999999999998E-3</v>
      </c>
      <c r="C103" s="1168">
        <v>5.8377000000000004E-3</v>
      </c>
      <c r="D103" s="36">
        <v>-98803</v>
      </c>
      <c r="E103" s="1006"/>
      <c r="F103" s="36">
        <v>871</v>
      </c>
      <c r="G103" s="36">
        <v>15748</v>
      </c>
      <c r="H103" s="36">
        <v>4647</v>
      </c>
      <c r="I103" s="36">
        <v>3210</v>
      </c>
      <c r="J103" s="1006"/>
      <c r="K103" s="36">
        <v>4510</v>
      </c>
      <c r="L103" s="36"/>
      <c r="M103" s="36">
        <v>0</v>
      </c>
      <c r="N103" s="36">
        <v>1841</v>
      </c>
      <c r="O103" s="1006"/>
      <c r="P103" s="36">
        <v>18624</v>
      </c>
      <c r="Q103" s="36">
        <v>2892</v>
      </c>
      <c r="R103" s="36">
        <v>21516</v>
      </c>
      <c r="S103" s="36"/>
      <c r="T103" s="36">
        <v>-77901</v>
      </c>
      <c r="U103" s="36">
        <v>-116431</v>
      </c>
    </row>
    <row r="104" spans="1:21" ht="15" x14ac:dyDescent="0.25">
      <c r="A104" s="1019" t="s">
        <v>2613</v>
      </c>
      <c r="B104" s="1168">
        <v>4.4482000000000002E-3</v>
      </c>
      <c r="C104" s="1168">
        <v>4.5783000000000004E-3</v>
      </c>
      <c r="D104" s="36">
        <v>-73676</v>
      </c>
      <c r="E104" s="1006"/>
      <c r="F104" s="36">
        <v>649</v>
      </c>
      <c r="G104" s="36">
        <v>11743</v>
      </c>
      <c r="H104" s="36">
        <v>3465</v>
      </c>
      <c r="I104" s="36">
        <v>3352</v>
      </c>
      <c r="J104" s="1006"/>
      <c r="K104" s="36">
        <v>3363</v>
      </c>
      <c r="L104" s="36"/>
      <c r="M104" s="36">
        <v>0</v>
      </c>
      <c r="N104" s="36">
        <v>0</v>
      </c>
      <c r="O104" s="1006"/>
      <c r="P104" s="36">
        <v>13887</v>
      </c>
      <c r="Q104" s="36">
        <v>2626</v>
      </c>
      <c r="R104" s="36">
        <v>16513</v>
      </c>
      <c r="S104" s="36"/>
      <c r="T104" s="36">
        <v>-58089</v>
      </c>
      <c r="U104" s="36">
        <v>-86820</v>
      </c>
    </row>
    <row r="105" spans="1:21" ht="15" x14ac:dyDescent="0.25">
      <c r="A105" s="1019" t="s">
        <v>2513</v>
      </c>
      <c r="B105" s="1168">
        <v>3.0008999999999999E-3</v>
      </c>
      <c r="C105" s="1168">
        <v>3.1147000000000002E-3</v>
      </c>
      <c r="D105" s="36">
        <v>-49704</v>
      </c>
      <c r="E105" s="1006"/>
      <c r="F105" s="36">
        <v>438</v>
      </c>
      <c r="G105" s="36">
        <v>7922</v>
      </c>
      <c r="H105" s="36">
        <v>2338</v>
      </c>
      <c r="I105" s="36">
        <v>2323</v>
      </c>
      <c r="J105" s="1006"/>
      <c r="K105" s="36">
        <v>2269</v>
      </c>
      <c r="L105" s="36"/>
      <c r="M105" s="36">
        <v>0</v>
      </c>
      <c r="N105" s="36">
        <v>283</v>
      </c>
      <c r="O105" s="1006"/>
      <c r="P105" s="36">
        <v>9369</v>
      </c>
      <c r="Q105" s="36">
        <v>820</v>
      </c>
      <c r="R105" s="36">
        <v>10189</v>
      </c>
      <c r="S105" s="36"/>
      <c r="T105" s="36">
        <v>-39189</v>
      </c>
      <c r="U105" s="36">
        <v>-58572</v>
      </c>
    </row>
    <row r="106" spans="1:21" ht="15" x14ac:dyDescent="0.25">
      <c r="A106" s="1019" t="s">
        <v>2614</v>
      </c>
      <c r="B106" s="1168">
        <v>1.9143000000000001E-3</v>
      </c>
      <c r="C106" s="1168">
        <v>1.7394999999999999E-3</v>
      </c>
      <c r="D106" s="36">
        <v>-31707</v>
      </c>
      <c r="E106" s="1006"/>
      <c r="F106" s="36">
        <v>279</v>
      </c>
      <c r="G106" s="36">
        <v>5054</v>
      </c>
      <c r="H106" s="36">
        <v>1491</v>
      </c>
      <c r="I106" s="36">
        <v>52</v>
      </c>
      <c r="J106" s="1006"/>
      <c r="K106" s="36">
        <v>1447</v>
      </c>
      <c r="L106" s="36"/>
      <c r="M106" s="36">
        <v>0</v>
      </c>
      <c r="N106" s="36">
        <v>2789</v>
      </c>
      <c r="O106" s="1006"/>
      <c r="P106" s="36">
        <v>5976</v>
      </c>
      <c r="Q106" s="36">
        <v>-1257</v>
      </c>
      <c r="R106" s="36">
        <v>4719</v>
      </c>
      <c r="S106" s="36"/>
      <c r="T106" s="36">
        <v>-24999</v>
      </c>
      <c r="U106" s="36">
        <v>-37363</v>
      </c>
    </row>
    <row r="107" spans="1:21" ht="15" x14ac:dyDescent="0.25">
      <c r="A107" s="1012" t="s">
        <v>2625</v>
      </c>
      <c r="B107" s="1168">
        <v>4.5899000000000001E-3</v>
      </c>
      <c r="C107" s="1168">
        <v>4.5522000000000002E-3</v>
      </c>
      <c r="D107" s="36">
        <v>-76023</v>
      </c>
      <c r="E107" s="1006"/>
      <c r="F107" s="36">
        <v>670</v>
      </c>
      <c r="G107" s="36">
        <v>12117</v>
      </c>
      <c r="H107" s="36">
        <v>3576</v>
      </c>
      <c r="I107" s="36">
        <v>0</v>
      </c>
      <c r="J107" s="1006"/>
      <c r="K107" s="36">
        <v>3470</v>
      </c>
      <c r="L107" s="36"/>
      <c r="M107" s="36">
        <v>0</v>
      </c>
      <c r="N107" s="36">
        <v>1642</v>
      </c>
      <c r="O107" s="1006"/>
      <c r="P107" s="36">
        <v>14330</v>
      </c>
      <c r="Q107" s="36">
        <v>-2144</v>
      </c>
      <c r="R107" s="36">
        <v>12186</v>
      </c>
      <c r="S107" s="36"/>
      <c r="T107" s="36">
        <v>-59940</v>
      </c>
      <c r="U107" s="36">
        <v>-89586</v>
      </c>
    </row>
    <row r="108" spans="1:21" ht="15" x14ac:dyDescent="0.25">
      <c r="A108" s="1019" t="s">
        <v>702</v>
      </c>
      <c r="B108" s="1170">
        <f>SUM(B6:B106)</f>
        <v>1</v>
      </c>
      <c r="C108" s="1170">
        <f>SUM(C6:C106)</f>
        <v>1</v>
      </c>
      <c r="D108" s="5">
        <f>SUM(D6:D106)</f>
        <v>-16563001</v>
      </c>
      <c r="E108" s="1165"/>
      <c r="F108" s="5">
        <f>SUM(F6:F106)</f>
        <v>146001</v>
      </c>
      <c r="G108" s="5">
        <f>SUM(G6:G106)</f>
        <v>2639999</v>
      </c>
      <c r="H108" s="5">
        <f>SUM(H6:H106)</f>
        <v>778996</v>
      </c>
      <c r="I108" s="5">
        <f>SUM(I6:I106)</f>
        <v>819852</v>
      </c>
      <c r="J108" s="1165"/>
      <c r="K108" s="5">
        <f>SUM(K6:K106)</f>
        <v>755999</v>
      </c>
      <c r="L108" s="5">
        <f>SUM(L6:L106)</f>
        <v>0</v>
      </c>
      <c r="M108" s="5">
        <f>SUM(M6:M106)</f>
        <v>0</v>
      </c>
      <c r="N108" s="5">
        <f>SUM(N6:N106)</f>
        <v>819859</v>
      </c>
      <c r="O108" s="1165"/>
      <c r="P108" s="5">
        <f>SUM(P6:P106)</f>
        <v>3122002</v>
      </c>
      <c r="Q108" s="5">
        <f>SUM(Q6:Q106)</f>
        <v>20</v>
      </c>
      <c r="R108" s="5">
        <f>SUM(R6:R106)</f>
        <v>3122022</v>
      </c>
      <c r="S108" s="1165"/>
      <c r="T108" s="5">
        <f>SUM(T6:T106)</f>
        <v>-13058997</v>
      </c>
      <c r="U108" s="5">
        <f>SUM(U6:U106)</f>
        <v>-19518004</v>
      </c>
    </row>
    <row r="109" spans="1:21" ht="15" x14ac:dyDescent="0.25">
      <c r="A109" s="1020"/>
      <c r="B109" s="1171"/>
      <c r="C109" s="1172"/>
      <c r="D109" s="1173"/>
      <c r="E109" s="1174"/>
      <c r="F109" s="1173"/>
      <c r="G109" s="1173"/>
      <c r="H109" s="1173"/>
      <c r="I109" s="1173"/>
      <c r="J109" s="1174"/>
      <c r="K109" s="1173"/>
      <c r="L109" s="1173"/>
      <c r="M109" s="1173"/>
      <c r="N109" s="1173"/>
      <c r="O109" s="1174"/>
      <c r="P109" s="1173"/>
      <c r="Q109" s="1173"/>
      <c r="R109" s="1173"/>
      <c r="S109" s="1173"/>
      <c r="T109" s="1173"/>
      <c r="U109" s="1173"/>
    </row>
  </sheetData>
  <customSheetViews>
    <customSheetView guid="{C1197650-3ED8-49E4-8E4C-0D1D4B503FC0}" state="hidden">
      <pane xSplit="1" ySplit="5" topLeftCell="B45" activePane="bottomRight" state="frozen"/>
      <selection pane="bottomRight"/>
      <pageMargins left="0.7" right="0.7" top="0.75" bottom="0.75" header="0.3" footer="0.3"/>
      <pageSetup orientation="portrait" horizontalDpi="1200" verticalDpi="1200" r:id="rId1"/>
    </customSheetView>
    <customSheetView guid="{D2B860EA-92EC-4999-9A59-C624E1F8C7FB}" state="hidden">
      <pane xSplit="1" ySplit="5" topLeftCell="B45" activePane="bottomRight" state="frozen"/>
      <selection pane="bottomRight"/>
      <pageMargins left="0.7" right="0.7" top="0.75" bottom="0.75" header="0.3" footer="0.3"/>
      <pageSetup orientation="portrait" horizontalDpi="1200" verticalDpi="1200" r:id="rId2"/>
    </customSheetView>
  </customSheetViews>
  <mergeCells count="3">
    <mergeCell ref="F4:I4"/>
    <mergeCell ref="K4:N4"/>
    <mergeCell ref="P4:R4"/>
  </mergeCells>
  <pageMargins left="0.7" right="0.7" top="0.75" bottom="0.75" header="0.3" footer="0.3"/>
  <pageSetup orientation="portrait" horizontalDpi="1200" verticalDpi="1200"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V107"/>
  <sheetViews>
    <sheetView workbookViewId="0"/>
  </sheetViews>
  <sheetFormatPr defaultColWidth="9.140625" defaultRowHeight="15" x14ac:dyDescent="0.25"/>
  <cols>
    <col min="1" max="1" width="20.5703125" style="1012" customWidth="1"/>
    <col min="2" max="5" width="13.85546875" style="1012" customWidth="1"/>
    <col min="6" max="6" width="18.28515625" style="1012" customWidth="1"/>
    <col min="7" max="7" width="5.28515625" style="1012" customWidth="1"/>
    <col min="8" max="8" width="18.28515625" style="1012" customWidth="1"/>
    <col min="9" max="9" width="20" style="1012" customWidth="1"/>
    <col min="10" max="10" width="14.42578125" style="1012" customWidth="1"/>
    <col min="11" max="11" width="19.42578125" style="1012" customWidth="1"/>
    <col min="12" max="12" width="3.85546875" style="1012" customWidth="1"/>
    <col min="13" max="13" width="18.28515625" style="1012" customWidth="1"/>
    <col min="14" max="14" width="20" style="1012" customWidth="1"/>
    <col min="15" max="15" width="14.42578125" style="1012" customWidth="1"/>
    <col min="16" max="16" width="19.42578125" style="1012" customWidth="1"/>
    <col min="17" max="17" width="3.85546875" style="1012" customWidth="1"/>
    <col min="18" max="18" width="13.85546875" style="1012" customWidth="1"/>
    <col min="19" max="19" width="22.42578125" style="1012" customWidth="1"/>
    <col min="20" max="20" width="12.42578125" style="1012" customWidth="1"/>
    <col min="21" max="21" width="9.140625" style="1012" customWidth="1"/>
    <col min="22" max="22" width="9.140625" style="1012"/>
    <col min="23" max="23" width="9.140625" style="1012" customWidth="1"/>
    <col min="24" max="16384" width="9.140625" style="1012"/>
  </cols>
  <sheetData>
    <row r="1" spans="1:22" x14ac:dyDescent="0.25">
      <c r="A1" s="1012" t="s">
        <v>3660</v>
      </c>
      <c r="B1" s="1013"/>
    </row>
    <row r="2" spans="1:22" x14ac:dyDescent="0.25">
      <c r="A2" s="1012" t="s">
        <v>3969</v>
      </c>
      <c r="B2" s="1013"/>
    </row>
    <row r="3" spans="1:22" x14ac:dyDescent="0.25">
      <c r="B3" s="1013"/>
    </row>
    <row r="4" spans="1:22" x14ac:dyDescent="0.25">
      <c r="B4" s="1013"/>
      <c r="H4" s="1014" t="s">
        <v>1147</v>
      </c>
      <c r="I4" s="1014"/>
      <c r="J4" s="1014"/>
      <c r="K4" s="1014"/>
      <c r="M4" s="1014" t="s">
        <v>1148</v>
      </c>
      <c r="N4" s="1014"/>
      <c r="O4" s="1014"/>
      <c r="P4" s="1014"/>
      <c r="R4" s="1014" t="s">
        <v>1149</v>
      </c>
      <c r="S4" s="1014"/>
      <c r="T4" s="1014"/>
    </row>
    <row r="5" spans="1:22" ht="120" x14ac:dyDescent="0.25">
      <c r="A5" s="1015" t="s">
        <v>2514</v>
      </c>
      <c r="B5" s="1015" t="s">
        <v>2090</v>
      </c>
      <c r="C5" s="1015" t="s">
        <v>2091</v>
      </c>
      <c r="D5" s="836" t="s">
        <v>2515</v>
      </c>
      <c r="E5" s="836" t="s">
        <v>3582</v>
      </c>
      <c r="F5" s="836" t="s">
        <v>3583</v>
      </c>
      <c r="G5" s="1015"/>
      <c r="H5" s="1015" t="s">
        <v>1153</v>
      </c>
      <c r="I5" s="1015" t="s">
        <v>1154</v>
      </c>
      <c r="J5" s="1015" t="s">
        <v>1155</v>
      </c>
      <c r="K5" s="1015" t="s">
        <v>1156</v>
      </c>
      <c r="L5" s="1015"/>
      <c r="M5" s="1015" t="s">
        <v>1153</v>
      </c>
      <c r="N5" s="1015" t="s">
        <v>1154</v>
      </c>
      <c r="O5" s="1015" t="s">
        <v>1155</v>
      </c>
      <c r="P5" s="1015" t="s">
        <v>1156</v>
      </c>
      <c r="Q5" s="1015"/>
      <c r="R5" s="1015" t="s">
        <v>1157</v>
      </c>
      <c r="S5" s="1015" t="s">
        <v>1158</v>
      </c>
      <c r="T5" s="1015" t="s">
        <v>1159</v>
      </c>
    </row>
    <row r="6" spans="1:22" x14ac:dyDescent="0.25">
      <c r="A6" s="1019" t="s">
        <v>2516</v>
      </c>
      <c r="B6" s="1016">
        <v>1.55155E-2</v>
      </c>
      <c r="C6" s="1016">
        <v>1.5880399999999999E-2</v>
      </c>
      <c r="D6" s="684">
        <v>13480.74</v>
      </c>
      <c r="E6" s="807">
        <v>-296900</v>
      </c>
      <c r="F6" s="1006">
        <v>-264834</v>
      </c>
      <c r="G6" s="1006"/>
      <c r="H6" s="1017">
        <v>4546</v>
      </c>
      <c r="I6" s="1017">
        <v>32691</v>
      </c>
      <c r="J6" s="1017">
        <v>44685</v>
      </c>
      <c r="K6" s="1006">
        <v>34599</v>
      </c>
      <c r="L6" s="1006"/>
      <c r="M6" s="1017">
        <v>853</v>
      </c>
      <c r="N6" s="1017">
        <v>10178</v>
      </c>
      <c r="O6" s="1017">
        <v>0</v>
      </c>
      <c r="P6" s="1006">
        <v>1515</v>
      </c>
      <c r="Q6" s="1006"/>
      <c r="R6" s="1017">
        <v>42171</v>
      </c>
      <c r="S6" s="1018">
        <v>137513</v>
      </c>
      <c r="T6" s="1018">
        <v>179684</v>
      </c>
      <c r="U6" s="1018"/>
      <c r="V6" s="1018"/>
    </row>
    <row r="7" spans="1:22" x14ac:dyDescent="0.25">
      <c r="A7" s="1019" t="s">
        <v>2517</v>
      </c>
      <c r="B7" s="1016">
        <v>2.7699999999999999E-3</v>
      </c>
      <c r="C7" s="1016">
        <v>2.8471999999999998E-3</v>
      </c>
      <c r="D7" s="684">
        <v>2406.7199999999998</v>
      </c>
      <c r="E7" s="807">
        <v>-53231</v>
      </c>
      <c r="F7" s="1006">
        <v>-47281</v>
      </c>
      <c r="G7" s="1006"/>
      <c r="H7" s="1017">
        <v>812</v>
      </c>
      <c r="I7" s="1017">
        <v>5836</v>
      </c>
      <c r="J7" s="1017">
        <v>7978</v>
      </c>
      <c r="K7" s="1006">
        <v>1313</v>
      </c>
      <c r="L7" s="1006"/>
      <c r="M7" s="1017">
        <v>152</v>
      </c>
      <c r="N7" s="1017">
        <v>1817</v>
      </c>
      <c r="O7" s="1017">
        <v>0</v>
      </c>
      <c r="P7" s="1006">
        <v>0</v>
      </c>
      <c r="Q7" s="1006"/>
      <c r="R7" s="1017">
        <v>7529</v>
      </c>
      <c r="S7" s="1018">
        <v>706</v>
      </c>
      <c r="T7" s="1018">
        <v>8235</v>
      </c>
      <c r="U7" s="1018"/>
      <c r="V7" s="1018"/>
    </row>
    <row r="8" spans="1:22" x14ac:dyDescent="0.25">
      <c r="A8" s="1019" t="s">
        <v>2518</v>
      </c>
      <c r="B8" s="1016">
        <v>1.4677E-3</v>
      </c>
      <c r="C8" s="1016">
        <v>1.4815E-3</v>
      </c>
      <c r="D8" s="684">
        <v>1275.22</v>
      </c>
      <c r="E8" s="807">
        <v>-27698</v>
      </c>
      <c r="F8" s="1006">
        <v>-25052</v>
      </c>
      <c r="G8" s="1006"/>
      <c r="H8" s="1017">
        <v>430</v>
      </c>
      <c r="I8" s="1017">
        <v>3092</v>
      </c>
      <c r="J8" s="1017">
        <v>4227</v>
      </c>
      <c r="K8" s="1006">
        <v>616</v>
      </c>
      <c r="L8" s="1006"/>
      <c r="M8" s="1017">
        <v>81</v>
      </c>
      <c r="N8" s="1017">
        <v>963</v>
      </c>
      <c r="O8" s="1017">
        <v>0</v>
      </c>
      <c r="P8" s="1006">
        <v>5</v>
      </c>
      <c r="Q8" s="1006"/>
      <c r="R8" s="1017">
        <v>3989</v>
      </c>
      <c r="S8" s="1018">
        <v>302</v>
      </c>
      <c r="T8" s="1018">
        <v>4291</v>
      </c>
      <c r="U8" s="1018"/>
      <c r="V8" s="1018"/>
    </row>
    <row r="9" spans="1:22" x14ac:dyDescent="0.25">
      <c r="A9" s="1019" t="s">
        <v>2519</v>
      </c>
      <c r="B9" s="1016">
        <v>1.6808999999999999E-3</v>
      </c>
      <c r="C9" s="1016">
        <v>1.7148E-3</v>
      </c>
      <c r="D9" s="684">
        <v>1460.48</v>
      </c>
      <c r="E9" s="807">
        <v>-32060</v>
      </c>
      <c r="F9" s="1006">
        <v>-28691</v>
      </c>
      <c r="G9" s="1006"/>
      <c r="H9" s="1017">
        <v>493</v>
      </c>
      <c r="I9" s="1017">
        <v>3542</v>
      </c>
      <c r="J9" s="1017">
        <v>4841</v>
      </c>
      <c r="K9" s="1006">
        <v>973</v>
      </c>
      <c r="L9" s="1006"/>
      <c r="M9" s="1017">
        <v>92</v>
      </c>
      <c r="N9" s="1017">
        <v>1103</v>
      </c>
      <c r="O9" s="1017">
        <v>0</v>
      </c>
      <c r="P9" s="1006">
        <v>0</v>
      </c>
      <c r="Q9" s="1006"/>
      <c r="R9" s="1017">
        <v>4569</v>
      </c>
      <c r="S9" s="1018">
        <v>611</v>
      </c>
      <c r="T9" s="1018">
        <v>5180</v>
      </c>
      <c r="U9" s="1018"/>
      <c r="V9" s="1018"/>
    </row>
    <row r="10" spans="1:22" x14ac:dyDescent="0.25">
      <c r="A10" s="1019" t="s">
        <v>2520</v>
      </c>
      <c r="B10" s="1016">
        <v>3.4340999999999998E-3</v>
      </c>
      <c r="C10" s="1016">
        <v>3.5569999999999998E-3</v>
      </c>
      <c r="D10" s="684">
        <v>2983.73</v>
      </c>
      <c r="E10" s="807">
        <v>-66502</v>
      </c>
      <c r="F10" s="1006">
        <v>-58617</v>
      </c>
      <c r="G10" s="1006"/>
      <c r="H10" s="1017">
        <v>1006</v>
      </c>
      <c r="I10" s="1017">
        <v>7236</v>
      </c>
      <c r="J10" s="1017">
        <v>9890</v>
      </c>
      <c r="K10" s="1006">
        <v>1924</v>
      </c>
      <c r="L10" s="1006"/>
      <c r="M10" s="1017">
        <v>189</v>
      </c>
      <c r="N10" s="1017">
        <v>2253</v>
      </c>
      <c r="O10" s="1017">
        <v>0</v>
      </c>
      <c r="P10" s="1006">
        <v>681</v>
      </c>
      <c r="Q10" s="1006"/>
      <c r="R10" s="1017">
        <v>9334</v>
      </c>
      <c r="S10" s="1018">
        <v>-516</v>
      </c>
      <c r="T10" s="1018">
        <v>8818</v>
      </c>
      <c r="U10" s="1018"/>
      <c r="V10" s="1018"/>
    </row>
    <row r="11" spans="1:22" x14ac:dyDescent="0.25">
      <c r="A11" s="1019" t="s">
        <v>2521</v>
      </c>
      <c r="B11" s="1016">
        <v>2.928E-3</v>
      </c>
      <c r="C11" s="1016">
        <v>2.8322E-3</v>
      </c>
      <c r="D11" s="684">
        <v>2543.98</v>
      </c>
      <c r="E11" s="807">
        <v>-52951</v>
      </c>
      <c r="F11" s="1006">
        <v>-49978</v>
      </c>
      <c r="G11" s="1006"/>
      <c r="H11" s="1017">
        <v>858</v>
      </c>
      <c r="I11" s="1017">
        <v>6169</v>
      </c>
      <c r="J11" s="1017">
        <v>8433</v>
      </c>
      <c r="K11" s="1006">
        <v>370</v>
      </c>
      <c r="L11" s="1006"/>
      <c r="M11" s="1017">
        <v>161</v>
      </c>
      <c r="N11" s="1017">
        <v>1921</v>
      </c>
      <c r="O11" s="1017">
        <v>0</v>
      </c>
      <c r="P11" s="1006">
        <v>3522</v>
      </c>
      <c r="Q11" s="1006"/>
      <c r="R11" s="1017">
        <v>7958</v>
      </c>
      <c r="S11" s="1018">
        <v>-442</v>
      </c>
      <c r="T11" s="1018">
        <v>7517</v>
      </c>
      <c r="U11" s="1018"/>
      <c r="V11" s="1018"/>
    </row>
    <row r="12" spans="1:22" x14ac:dyDescent="0.25">
      <c r="A12" s="1019" t="s">
        <v>2522</v>
      </c>
      <c r="B12" s="1016">
        <v>4.5522000000000002E-3</v>
      </c>
      <c r="C12" s="1016">
        <v>4.4989000000000001E-3</v>
      </c>
      <c r="D12" s="684">
        <v>3955.24</v>
      </c>
      <c r="E12" s="807">
        <v>-84111</v>
      </c>
      <c r="F12" s="1006">
        <v>-77702</v>
      </c>
      <c r="G12" s="1006"/>
      <c r="H12" s="1017">
        <v>1334</v>
      </c>
      <c r="I12" s="1017">
        <v>9591</v>
      </c>
      <c r="J12" s="1017">
        <v>13110</v>
      </c>
      <c r="K12" s="1006">
        <v>387</v>
      </c>
      <c r="L12" s="1006"/>
      <c r="M12" s="1017">
        <v>250</v>
      </c>
      <c r="N12" s="1017">
        <v>2986</v>
      </c>
      <c r="O12" s="1017">
        <v>0</v>
      </c>
      <c r="P12" s="1006">
        <v>3357</v>
      </c>
      <c r="Q12" s="1006"/>
      <c r="R12" s="1017">
        <v>12373</v>
      </c>
      <c r="S12" s="1018">
        <v>-221</v>
      </c>
      <c r="T12" s="1018">
        <v>12152</v>
      </c>
      <c r="U12" s="1018"/>
      <c r="V12" s="1018"/>
    </row>
    <row r="13" spans="1:22" x14ac:dyDescent="0.25">
      <c r="A13" s="1019" t="s">
        <v>2523</v>
      </c>
      <c r="B13" s="1016">
        <v>1.2287999999999999E-3</v>
      </c>
      <c r="C13" s="1016">
        <v>1.1913E-3</v>
      </c>
      <c r="D13" s="684">
        <v>1067.6400000000001</v>
      </c>
      <c r="E13" s="807">
        <v>-22273</v>
      </c>
      <c r="F13" s="1006">
        <v>-20974</v>
      </c>
      <c r="G13" s="1006"/>
      <c r="H13" s="1017">
        <v>360</v>
      </c>
      <c r="I13" s="1017">
        <v>2589</v>
      </c>
      <c r="J13" s="1017">
        <v>3539</v>
      </c>
      <c r="K13" s="1006">
        <v>124</v>
      </c>
      <c r="L13" s="1006"/>
      <c r="M13" s="1017">
        <v>68</v>
      </c>
      <c r="N13" s="1017">
        <v>806</v>
      </c>
      <c r="O13" s="1017">
        <v>0</v>
      </c>
      <c r="P13" s="1006">
        <v>587</v>
      </c>
      <c r="Q13" s="1006"/>
      <c r="R13" s="1017">
        <v>3340</v>
      </c>
      <c r="S13" s="1018">
        <v>-84</v>
      </c>
      <c r="T13" s="1018">
        <v>3256</v>
      </c>
      <c r="U13" s="1018"/>
      <c r="V13" s="1018"/>
    </row>
    <row r="14" spans="1:22" x14ac:dyDescent="0.25">
      <c r="A14" s="1019" t="s">
        <v>2524</v>
      </c>
      <c r="B14" s="1016">
        <v>2.5241999999999999E-3</v>
      </c>
      <c r="C14" s="1016">
        <v>2.5176999999999999E-3</v>
      </c>
      <c r="D14" s="684">
        <v>2193.16</v>
      </c>
      <c r="E14" s="807">
        <v>-47071</v>
      </c>
      <c r="F14" s="1006">
        <v>-43086</v>
      </c>
      <c r="G14" s="1006"/>
      <c r="H14" s="1017">
        <v>740</v>
      </c>
      <c r="I14" s="1017">
        <v>5318</v>
      </c>
      <c r="J14" s="1017">
        <v>7270</v>
      </c>
      <c r="K14" s="1006">
        <v>686</v>
      </c>
      <c r="L14" s="1006"/>
      <c r="M14" s="1017">
        <v>139</v>
      </c>
      <c r="N14" s="1017">
        <v>1656</v>
      </c>
      <c r="O14" s="1017">
        <v>0</v>
      </c>
      <c r="P14" s="1006">
        <v>103</v>
      </c>
      <c r="Q14" s="1006"/>
      <c r="R14" s="1017">
        <v>6861</v>
      </c>
      <c r="S14" s="1018">
        <v>12</v>
      </c>
      <c r="T14" s="1018">
        <v>6873</v>
      </c>
      <c r="U14" s="1018"/>
      <c r="V14" s="1018"/>
    </row>
    <row r="15" spans="1:22" x14ac:dyDescent="0.25">
      <c r="A15" s="1019" t="s">
        <v>2525</v>
      </c>
      <c r="B15" s="1016">
        <v>2.1895999999999999E-2</v>
      </c>
      <c r="C15" s="1016">
        <v>1.9386E-2</v>
      </c>
      <c r="D15" s="684">
        <v>19024.5</v>
      </c>
      <c r="E15" s="807">
        <v>-362441</v>
      </c>
      <c r="F15" s="1006">
        <v>-373743</v>
      </c>
      <c r="G15" s="1006"/>
      <c r="H15" s="1017">
        <v>6416</v>
      </c>
      <c r="I15" s="1017">
        <v>46135</v>
      </c>
      <c r="J15" s="1017">
        <v>63060</v>
      </c>
      <c r="K15" s="1006">
        <v>15822</v>
      </c>
      <c r="L15" s="1006"/>
      <c r="M15" s="1017">
        <v>1204</v>
      </c>
      <c r="N15" s="1017">
        <v>14364</v>
      </c>
      <c r="O15" s="1017">
        <v>0</v>
      </c>
      <c r="P15" s="1006">
        <v>39311</v>
      </c>
      <c r="Q15" s="1006"/>
      <c r="R15" s="1017">
        <v>59513</v>
      </c>
      <c r="S15" s="1018">
        <v>-9506</v>
      </c>
      <c r="T15" s="1018">
        <v>50007</v>
      </c>
      <c r="U15" s="1018"/>
      <c r="V15" s="1018"/>
    </row>
    <row r="16" spans="1:22" x14ac:dyDescent="0.25">
      <c r="A16" s="1019" t="s">
        <v>2526</v>
      </c>
      <c r="B16" s="1016">
        <v>3.51478E-2</v>
      </c>
      <c r="C16" s="1016">
        <v>3.46618E-2</v>
      </c>
      <c r="D16" s="684">
        <v>30538.41</v>
      </c>
      <c r="E16" s="807">
        <v>-648037</v>
      </c>
      <c r="F16" s="1006">
        <v>-599938</v>
      </c>
      <c r="G16" s="1006"/>
      <c r="H16" s="1017">
        <v>10298</v>
      </c>
      <c r="I16" s="1017">
        <v>74056</v>
      </c>
      <c r="J16" s="1017">
        <v>101226</v>
      </c>
      <c r="K16" s="1006">
        <v>0</v>
      </c>
      <c r="L16" s="1006"/>
      <c r="M16" s="1017">
        <v>1933</v>
      </c>
      <c r="N16" s="1017">
        <v>23057</v>
      </c>
      <c r="O16" s="1017">
        <v>0</v>
      </c>
      <c r="P16" s="1006">
        <v>12566</v>
      </c>
      <c r="Q16" s="1006"/>
      <c r="R16" s="1017">
        <v>95532</v>
      </c>
      <c r="S16" s="1018">
        <v>-27587</v>
      </c>
      <c r="T16" s="1018">
        <v>67945</v>
      </c>
      <c r="U16" s="1018"/>
      <c r="V16" s="1018"/>
    </row>
    <row r="17" spans="1:22" x14ac:dyDescent="0.25">
      <c r="A17" s="1019" t="s">
        <v>2527</v>
      </c>
      <c r="B17" s="1016">
        <v>1.1046800000000001E-2</v>
      </c>
      <c r="C17" s="1016">
        <v>1.0696499999999999E-2</v>
      </c>
      <c r="D17" s="684">
        <v>9598.07</v>
      </c>
      <c r="E17" s="807">
        <v>-199982</v>
      </c>
      <c r="F17" s="1006">
        <v>-188558</v>
      </c>
      <c r="G17" s="1006"/>
      <c r="H17" s="1017">
        <v>3237</v>
      </c>
      <c r="I17" s="1017">
        <v>23276</v>
      </c>
      <c r="J17" s="1017">
        <v>31815</v>
      </c>
      <c r="K17" s="1006">
        <v>0</v>
      </c>
      <c r="L17" s="1006"/>
      <c r="M17" s="1017">
        <v>608</v>
      </c>
      <c r="N17" s="1017">
        <v>7247</v>
      </c>
      <c r="O17" s="1017">
        <v>0</v>
      </c>
      <c r="P17" s="1006">
        <v>29340</v>
      </c>
      <c r="Q17" s="1006"/>
      <c r="R17" s="1017">
        <v>30025</v>
      </c>
      <c r="S17" s="1018">
        <v>-25231</v>
      </c>
      <c r="T17" s="1018">
        <v>4794</v>
      </c>
      <c r="U17" s="1018"/>
      <c r="V17" s="1018"/>
    </row>
    <row r="18" spans="1:22" x14ac:dyDescent="0.25">
      <c r="A18" s="1019" t="s">
        <v>2528</v>
      </c>
      <c r="B18" s="1016">
        <v>2.3873700000000001E-2</v>
      </c>
      <c r="C18" s="1016">
        <v>2.39884E-2</v>
      </c>
      <c r="D18" s="684">
        <v>20742.78</v>
      </c>
      <c r="E18" s="807">
        <v>-448487</v>
      </c>
      <c r="F18" s="1006">
        <v>-407500</v>
      </c>
      <c r="G18" s="1006"/>
      <c r="H18" s="1017">
        <v>6995</v>
      </c>
      <c r="I18" s="1017">
        <v>50302</v>
      </c>
      <c r="J18" s="1017">
        <v>68756</v>
      </c>
      <c r="K18" s="1006">
        <v>1796</v>
      </c>
      <c r="L18" s="1006"/>
      <c r="M18" s="1017">
        <v>1313</v>
      </c>
      <c r="N18" s="1017">
        <v>15661</v>
      </c>
      <c r="O18" s="1017">
        <v>0</v>
      </c>
      <c r="P18" s="1006">
        <v>14720</v>
      </c>
      <c r="Q18" s="1006"/>
      <c r="R18" s="1017">
        <v>64889</v>
      </c>
      <c r="S18" s="1018">
        <v>-17071</v>
      </c>
      <c r="T18" s="1018">
        <v>47818</v>
      </c>
      <c r="U18" s="1018"/>
      <c r="V18" s="1018"/>
    </row>
    <row r="19" spans="1:22" x14ac:dyDescent="0.25">
      <c r="A19" s="1019" t="s">
        <v>2529</v>
      </c>
      <c r="B19" s="1016">
        <v>6.7060000000000002E-3</v>
      </c>
      <c r="C19" s="1016">
        <v>7.5778E-3</v>
      </c>
      <c r="D19" s="684">
        <v>5826.51</v>
      </c>
      <c r="E19" s="807">
        <v>-141675</v>
      </c>
      <c r="F19" s="1006">
        <v>-114465</v>
      </c>
      <c r="G19" s="1006"/>
      <c r="H19" s="1017">
        <v>1965</v>
      </c>
      <c r="I19" s="1017">
        <v>14130</v>
      </c>
      <c r="J19" s="1017">
        <v>19313</v>
      </c>
      <c r="K19" s="1006">
        <v>14284</v>
      </c>
      <c r="L19" s="1006"/>
      <c r="M19" s="1017">
        <v>369</v>
      </c>
      <c r="N19" s="1017">
        <v>4399</v>
      </c>
      <c r="O19" s="1017">
        <v>0</v>
      </c>
      <c r="P19" s="1006">
        <v>3579</v>
      </c>
      <c r="Q19" s="1006"/>
      <c r="R19" s="1017">
        <v>18227</v>
      </c>
      <c r="S19" s="1018">
        <v>6251</v>
      </c>
      <c r="T19" s="1018">
        <v>24478</v>
      </c>
      <c r="U19" s="1018"/>
      <c r="V19" s="1018"/>
    </row>
    <row r="20" spans="1:22" x14ac:dyDescent="0.25">
      <c r="A20" s="1019" t="s">
        <v>2530</v>
      </c>
      <c r="B20" s="1016">
        <v>1.0656999999999999E-3</v>
      </c>
      <c r="C20" s="1016">
        <v>1.103E-3</v>
      </c>
      <c r="D20" s="684">
        <v>925.96</v>
      </c>
      <c r="E20" s="807">
        <v>-20622</v>
      </c>
      <c r="F20" s="1006">
        <v>-18190</v>
      </c>
      <c r="G20" s="1006"/>
      <c r="H20" s="1017">
        <v>312</v>
      </c>
      <c r="I20" s="1017">
        <v>2245</v>
      </c>
      <c r="J20" s="1017">
        <v>3069</v>
      </c>
      <c r="K20" s="1006">
        <v>667</v>
      </c>
      <c r="L20" s="1006"/>
      <c r="M20" s="1017">
        <v>59</v>
      </c>
      <c r="N20" s="1017">
        <v>699</v>
      </c>
      <c r="O20" s="1017">
        <v>0</v>
      </c>
      <c r="P20" s="1006">
        <v>1475</v>
      </c>
      <c r="Q20" s="1006"/>
      <c r="R20" s="1017">
        <v>2897</v>
      </c>
      <c r="S20" s="1018">
        <v>-208</v>
      </c>
      <c r="T20" s="1018">
        <v>2689</v>
      </c>
      <c r="U20" s="1018"/>
      <c r="V20" s="1018"/>
    </row>
    <row r="21" spans="1:22" x14ac:dyDescent="0.25">
      <c r="A21" s="1019" t="s">
        <v>2531</v>
      </c>
      <c r="B21" s="1016">
        <v>9.3938000000000008E-3</v>
      </c>
      <c r="C21" s="1016">
        <v>1.33673E-2</v>
      </c>
      <c r="D21" s="684">
        <v>8161.85</v>
      </c>
      <c r="E21" s="807">
        <v>-249915</v>
      </c>
      <c r="F21" s="1006">
        <v>-160343</v>
      </c>
      <c r="G21" s="1006"/>
      <c r="H21" s="1017">
        <v>2752</v>
      </c>
      <c r="I21" s="1017">
        <v>19793</v>
      </c>
      <c r="J21" s="1017">
        <v>27054</v>
      </c>
      <c r="K21" s="1006">
        <v>62351</v>
      </c>
      <c r="L21" s="1006"/>
      <c r="M21" s="1017">
        <v>517</v>
      </c>
      <c r="N21" s="1017">
        <v>6162</v>
      </c>
      <c r="O21" s="1017">
        <v>0</v>
      </c>
      <c r="P21" s="1006">
        <v>24001</v>
      </c>
      <c r="Q21" s="1006"/>
      <c r="R21" s="1017">
        <v>25532</v>
      </c>
      <c r="S21" s="1018">
        <v>14633</v>
      </c>
      <c r="T21" s="1018">
        <v>40165</v>
      </c>
      <c r="U21" s="1018"/>
      <c r="V21" s="1018"/>
    </row>
    <row r="22" spans="1:22" x14ac:dyDescent="0.25">
      <c r="A22" s="1019" t="s">
        <v>2532</v>
      </c>
      <c r="B22" s="1016">
        <v>1.6682999999999999E-3</v>
      </c>
      <c r="C22" s="1016">
        <v>1.7351999999999999E-3</v>
      </c>
      <c r="D22" s="684">
        <v>1449.49</v>
      </c>
      <c r="E22" s="807">
        <v>-32441</v>
      </c>
      <c r="F22" s="1006">
        <v>-28476</v>
      </c>
      <c r="G22" s="1006"/>
      <c r="H22" s="1017">
        <v>489</v>
      </c>
      <c r="I22" s="1017">
        <v>3515</v>
      </c>
      <c r="J22" s="1017">
        <v>4805</v>
      </c>
      <c r="K22" s="1006">
        <v>1062</v>
      </c>
      <c r="L22" s="1006"/>
      <c r="M22" s="1017">
        <v>92</v>
      </c>
      <c r="N22" s="1017">
        <v>1094</v>
      </c>
      <c r="O22" s="1017">
        <v>0</v>
      </c>
      <c r="P22" s="1006">
        <v>465</v>
      </c>
      <c r="Q22" s="1006"/>
      <c r="R22" s="1017">
        <v>4534</v>
      </c>
      <c r="S22" s="1018">
        <v>-8</v>
      </c>
      <c r="T22" s="1018">
        <v>4527</v>
      </c>
      <c r="U22" s="1018"/>
      <c r="V22" s="1018"/>
    </row>
    <row r="23" spans="1:22" x14ac:dyDescent="0.25">
      <c r="A23" s="1019" t="s">
        <v>2533</v>
      </c>
      <c r="B23" s="1016">
        <v>1.6446300000000001E-2</v>
      </c>
      <c r="C23" s="1016">
        <v>1.6867199999999999E-2</v>
      </c>
      <c r="D23" s="684">
        <v>14289.44</v>
      </c>
      <c r="E23" s="807">
        <v>-315349</v>
      </c>
      <c r="F23" s="1006">
        <v>-280722</v>
      </c>
      <c r="G23" s="1006"/>
      <c r="H23" s="1017">
        <v>4819</v>
      </c>
      <c r="I23" s="1017">
        <v>34652</v>
      </c>
      <c r="J23" s="1017">
        <v>47365</v>
      </c>
      <c r="K23" s="1006">
        <v>6590</v>
      </c>
      <c r="L23" s="1006"/>
      <c r="M23" s="1017">
        <v>905</v>
      </c>
      <c r="N23" s="1017">
        <v>10789</v>
      </c>
      <c r="O23" s="1017">
        <v>0</v>
      </c>
      <c r="P23" s="1006">
        <v>3417</v>
      </c>
      <c r="Q23" s="1006"/>
      <c r="R23" s="1017">
        <v>44701</v>
      </c>
      <c r="S23" s="1018">
        <v>-2176</v>
      </c>
      <c r="T23" s="1018">
        <v>42525</v>
      </c>
      <c r="U23" s="1018"/>
      <c r="V23" s="1018"/>
    </row>
    <row r="24" spans="1:22" x14ac:dyDescent="0.25">
      <c r="A24" s="1019" t="s">
        <v>2534</v>
      </c>
      <c r="B24" s="1016">
        <v>8.7611000000000008E-3</v>
      </c>
      <c r="C24" s="1016">
        <v>8.1905999999999993E-3</v>
      </c>
      <c r="D24" s="684">
        <v>7612.16</v>
      </c>
      <c r="E24" s="807">
        <v>-153131</v>
      </c>
      <c r="F24" s="1006">
        <v>-149543</v>
      </c>
      <c r="G24" s="1006"/>
      <c r="H24" s="1017">
        <v>2567</v>
      </c>
      <c r="I24" s="1017">
        <v>18460</v>
      </c>
      <c r="J24" s="1017">
        <v>25232</v>
      </c>
      <c r="K24" s="1006">
        <v>2077</v>
      </c>
      <c r="L24" s="1006"/>
      <c r="M24" s="1017">
        <v>482</v>
      </c>
      <c r="N24" s="1017">
        <v>5747</v>
      </c>
      <c r="O24" s="1017">
        <v>0</v>
      </c>
      <c r="P24" s="1006">
        <v>9111</v>
      </c>
      <c r="Q24" s="1006"/>
      <c r="R24" s="1017">
        <v>23813</v>
      </c>
      <c r="S24" s="1018">
        <v>-4210</v>
      </c>
      <c r="T24" s="1018">
        <v>19603</v>
      </c>
      <c r="U24" s="1018"/>
      <c r="V24" s="1018"/>
    </row>
    <row r="25" spans="1:22" x14ac:dyDescent="0.25">
      <c r="A25" s="1019" t="s">
        <v>2535</v>
      </c>
      <c r="B25" s="1016">
        <v>3.6286999999999999E-3</v>
      </c>
      <c r="C25" s="1016">
        <v>3.8235000000000001E-3</v>
      </c>
      <c r="D25" s="684">
        <v>3152.86</v>
      </c>
      <c r="E25" s="807">
        <v>-71484</v>
      </c>
      <c r="F25" s="1006">
        <v>-61938</v>
      </c>
      <c r="G25" s="1006"/>
      <c r="H25" s="1017">
        <v>1063</v>
      </c>
      <c r="I25" s="1017">
        <v>7646</v>
      </c>
      <c r="J25" s="1017">
        <v>10451</v>
      </c>
      <c r="K25" s="1006">
        <v>3050</v>
      </c>
      <c r="L25" s="1006"/>
      <c r="M25" s="1017">
        <v>200</v>
      </c>
      <c r="N25" s="1017">
        <v>2380</v>
      </c>
      <c r="O25" s="1017">
        <v>0</v>
      </c>
      <c r="P25" s="1006">
        <v>592</v>
      </c>
      <c r="Q25" s="1006"/>
      <c r="R25" s="1017">
        <v>9863</v>
      </c>
      <c r="S25" s="1018">
        <v>-255</v>
      </c>
      <c r="T25" s="1018">
        <v>9608</v>
      </c>
      <c r="U25" s="1018"/>
      <c r="V25" s="1018"/>
    </row>
    <row r="26" spans="1:22" x14ac:dyDescent="0.25">
      <c r="A26" s="1019" t="s">
        <v>2536</v>
      </c>
      <c r="B26" s="1016">
        <v>1.5244E-3</v>
      </c>
      <c r="C26" s="1016">
        <v>1.5716E-3</v>
      </c>
      <c r="D26" s="684">
        <v>1324.45</v>
      </c>
      <c r="E26" s="807">
        <v>-29383</v>
      </c>
      <c r="F26" s="1006">
        <v>-26020</v>
      </c>
      <c r="G26" s="1006"/>
      <c r="H26" s="1017">
        <v>447</v>
      </c>
      <c r="I26" s="1017">
        <v>3212</v>
      </c>
      <c r="J26" s="1017">
        <v>4390</v>
      </c>
      <c r="K26" s="1006">
        <v>1162</v>
      </c>
      <c r="L26" s="1006"/>
      <c r="M26" s="1017">
        <v>84</v>
      </c>
      <c r="N26" s="1017">
        <v>1000</v>
      </c>
      <c r="O26" s="1017">
        <v>0</v>
      </c>
      <c r="P26" s="1006">
        <v>0</v>
      </c>
      <c r="Q26" s="1006"/>
      <c r="R26" s="1017">
        <v>4143</v>
      </c>
      <c r="S26" s="1018">
        <v>806</v>
      </c>
      <c r="T26" s="1018">
        <v>4949</v>
      </c>
      <c r="U26" s="1018"/>
      <c r="V26" s="1018"/>
    </row>
    <row r="27" spans="1:22" x14ac:dyDescent="0.25">
      <c r="A27" s="1019" t="s">
        <v>2537</v>
      </c>
      <c r="B27" s="1016">
        <v>1.5047999999999999E-3</v>
      </c>
      <c r="C27" s="1016">
        <v>1.5135000000000001E-3</v>
      </c>
      <c r="D27" s="684">
        <v>1307.46</v>
      </c>
      <c r="E27" s="807">
        <v>-28296</v>
      </c>
      <c r="F27" s="1006">
        <v>-25685</v>
      </c>
      <c r="G27" s="1006"/>
      <c r="H27" s="1017">
        <v>441</v>
      </c>
      <c r="I27" s="1017">
        <v>3171</v>
      </c>
      <c r="J27" s="1017">
        <v>4334</v>
      </c>
      <c r="K27" s="1006">
        <v>1082</v>
      </c>
      <c r="L27" s="1006"/>
      <c r="M27" s="1017">
        <v>83</v>
      </c>
      <c r="N27" s="1017">
        <v>987</v>
      </c>
      <c r="O27" s="1017">
        <v>0</v>
      </c>
      <c r="P27" s="1006">
        <v>0</v>
      </c>
      <c r="Q27" s="1006"/>
      <c r="R27" s="1017">
        <v>4090</v>
      </c>
      <c r="S27" s="1018">
        <v>1607</v>
      </c>
      <c r="T27" s="1018">
        <v>5697</v>
      </c>
      <c r="U27" s="1018"/>
      <c r="V27" s="1018"/>
    </row>
    <row r="28" spans="1:22" x14ac:dyDescent="0.25">
      <c r="A28" s="1019" t="s">
        <v>2538</v>
      </c>
      <c r="B28" s="1016">
        <v>7.0412000000000001E-3</v>
      </c>
      <c r="C28" s="1016">
        <v>6.5862000000000004E-3</v>
      </c>
      <c r="D28" s="684">
        <v>6117.8</v>
      </c>
      <c r="E28" s="807">
        <v>-123136</v>
      </c>
      <c r="F28" s="1006">
        <v>-120186</v>
      </c>
      <c r="G28" s="1006"/>
      <c r="H28" s="1017">
        <v>2063</v>
      </c>
      <c r="I28" s="1017">
        <v>14836</v>
      </c>
      <c r="J28" s="1017">
        <v>20279</v>
      </c>
      <c r="K28" s="1006">
        <v>1148</v>
      </c>
      <c r="L28" s="1006"/>
      <c r="M28" s="1017">
        <v>387</v>
      </c>
      <c r="N28" s="1017">
        <v>4619</v>
      </c>
      <c r="O28" s="1017">
        <v>0</v>
      </c>
      <c r="P28" s="1006">
        <v>7562</v>
      </c>
      <c r="Q28" s="1006"/>
      <c r="R28" s="1017">
        <v>19138</v>
      </c>
      <c r="S28" s="1018">
        <v>-5309</v>
      </c>
      <c r="T28" s="1018">
        <v>13829</v>
      </c>
      <c r="U28" s="1018"/>
      <c r="V28" s="1018"/>
    </row>
    <row r="29" spans="1:22" x14ac:dyDescent="0.25">
      <c r="A29" s="1019" t="s">
        <v>2539</v>
      </c>
      <c r="B29" s="1016">
        <v>4.2263999999999999E-3</v>
      </c>
      <c r="C29" s="1016">
        <v>4.1635999999999999E-3</v>
      </c>
      <c r="D29" s="684">
        <v>3672.15</v>
      </c>
      <c r="E29" s="807">
        <v>-77843</v>
      </c>
      <c r="F29" s="1006">
        <v>-72140</v>
      </c>
      <c r="G29" s="1006"/>
      <c r="H29" s="1017">
        <v>1238</v>
      </c>
      <c r="I29" s="1017">
        <v>8905</v>
      </c>
      <c r="J29" s="1017">
        <v>12172</v>
      </c>
      <c r="K29" s="1006">
        <v>3548</v>
      </c>
      <c r="L29" s="1006"/>
      <c r="M29" s="1017">
        <v>232</v>
      </c>
      <c r="N29" s="1017">
        <v>2773</v>
      </c>
      <c r="O29" s="1017">
        <v>0</v>
      </c>
      <c r="P29" s="1006">
        <v>983</v>
      </c>
      <c r="Q29" s="1006"/>
      <c r="R29" s="1017">
        <v>11487</v>
      </c>
      <c r="S29" s="1018">
        <v>787</v>
      </c>
      <c r="T29" s="1018">
        <v>12274</v>
      </c>
      <c r="U29" s="1018"/>
      <c r="V29" s="1018"/>
    </row>
    <row r="30" spans="1:22" x14ac:dyDescent="0.25">
      <c r="A30" s="1019" t="s">
        <v>2540</v>
      </c>
      <c r="B30" s="1016">
        <v>1.1783800000000001E-2</v>
      </c>
      <c r="C30" s="1016">
        <v>1.21683E-2</v>
      </c>
      <c r="D30" s="684">
        <v>10238.43</v>
      </c>
      <c r="E30" s="807">
        <v>-227499</v>
      </c>
      <c r="F30" s="1006">
        <v>-201138</v>
      </c>
      <c r="G30" s="1006"/>
      <c r="H30" s="1017">
        <v>3453</v>
      </c>
      <c r="I30" s="1017">
        <v>24828</v>
      </c>
      <c r="J30" s="1017">
        <v>33937</v>
      </c>
      <c r="K30" s="1006">
        <v>6021</v>
      </c>
      <c r="L30" s="1006"/>
      <c r="M30" s="1017">
        <v>648</v>
      </c>
      <c r="N30" s="1017">
        <v>7730</v>
      </c>
      <c r="O30" s="1017">
        <v>0</v>
      </c>
      <c r="P30" s="1006">
        <v>10319</v>
      </c>
      <c r="Q30" s="1006"/>
      <c r="R30" s="1017">
        <v>32028</v>
      </c>
      <c r="S30" s="1018">
        <v>-4544</v>
      </c>
      <c r="T30" s="1018">
        <v>27485</v>
      </c>
      <c r="U30" s="1018"/>
      <c r="V30" s="1018"/>
    </row>
    <row r="31" spans="1:22" x14ac:dyDescent="0.25">
      <c r="A31" s="1019" t="s">
        <v>2541</v>
      </c>
      <c r="B31" s="1016">
        <v>3.2709700000000001E-2</v>
      </c>
      <c r="C31" s="1016">
        <v>3.3197299999999999E-2</v>
      </c>
      <c r="D31" s="684">
        <v>28420.07</v>
      </c>
      <c r="E31" s="807">
        <v>-620657</v>
      </c>
      <c r="F31" s="1006">
        <v>-558322</v>
      </c>
      <c r="G31" s="1006"/>
      <c r="H31" s="1017">
        <v>9584</v>
      </c>
      <c r="I31" s="1017">
        <v>68919</v>
      </c>
      <c r="J31" s="1017">
        <v>94204</v>
      </c>
      <c r="K31" s="1006">
        <v>21750</v>
      </c>
      <c r="L31" s="1006"/>
      <c r="M31" s="1017">
        <v>1799</v>
      </c>
      <c r="N31" s="1017">
        <v>21458</v>
      </c>
      <c r="O31" s="1017">
        <v>0</v>
      </c>
      <c r="P31" s="1006">
        <v>0</v>
      </c>
      <c r="Q31" s="1006"/>
      <c r="R31" s="1017">
        <v>88905</v>
      </c>
      <c r="S31" s="1018">
        <v>17502</v>
      </c>
      <c r="T31" s="1018">
        <v>106407</v>
      </c>
      <c r="U31" s="1018"/>
      <c r="V31" s="1018"/>
    </row>
    <row r="32" spans="1:22" x14ac:dyDescent="0.25">
      <c r="A32" s="1019" t="s">
        <v>2542</v>
      </c>
      <c r="B32" s="1016">
        <v>3.9345999999999999E-3</v>
      </c>
      <c r="C32" s="1016">
        <v>4.1034000000000001E-3</v>
      </c>
      <c r="D32" s="684">
        <v>3418.59</v>
      </c>
      <c r="E32" s="807">
        <v>-76717</v>
      </c>
      <c r="F32" s="1006">
        <v>-67160</v>
      </c>
      <c r="G32" s="1006"/>
      <c r="H32" s="1017">
        <v>1153</v>
      </c>
      <c r="I32" s="1017">
        <v>8290</v>
      </c>
      <c r="J32" s="1017">
        <v>11332</v>
      </c>
      <c r="K32" s="1006">
        <v>3941</v>
      </c>
      <c r="L32" s="1006"/>
      <c r="M32" s="1017">
        <v>216</v>
      </c>
      <c r="N32" s="1017">
        <v>2581</v>
      </c>
      <c r="O32" s="1017">
        <v>0</v>
      </c>
      <c r="P32" s="1006">
        <v>0</v>
      </c>
      <c r="Q32" s="1006"/>
      <c r="R32" s="1017">
        <v>10694</v>
      </c>
      <c r="S32" s="1018">
        <v>2925</v>
      </c>
      <c r="T32" s="1018">
        <v>13619</v>
      </c>
      <c r="U32" s="1018"/>
      <c r="V32" s="1018"/>
    </row>
    <row r="33" spans="1:22" x14ac:dyDescent="0.25">
      <c r="A33" s="1019" t="s">
        <v>2543</v>
      </c>
      <c r="B33" s="1016">
        <v>8.9502999999999996E-3</v>
      </c>
      <c r="C33" s="1016">
        <v>9.5162000000000007E-3</v>
      </c>
      <c r="D33" s="684">
        <v>7776.55</v>
      </c>
      <c r="E33" s="807">
        <v>-177915</v>
      </c>
      <c r="F33" s="1006">
        <v>-152773</v>
      </c>
      <c r="G33" s="1006"/>
      <c r="H33" s="1017">
        <v>2622</v>
      </c>
      <c r="I33" s="1017">
        <v>18858</v>
      </c>
      <c r="J33" s="1017">
        <v>25777</v>
      </c>
      <c r="K33" s="1006">
        <v>9256</v>
      </c>
      <c r="L33" s="1006"/>
      <c r="M33" s="1017">
        <v>492</v>
      </c>
      <c r="N33" s="1017">
        <v>5871</v>
      </c>
      <c r="O33" s="1017">
        <v>0</v>
      </c>
      <c r="P33" s="1006">
        <v>3901</v>
      </c>
      <c r="Q33" s="1006"/>
      <c r="R33" s="1017">
        <v>24327</v>
      </c>
      <c r="S33" s="1018">
        <v>3833</v>
      </c>
      <c r="T33" s="1018">
        <v>28160</v>
      </c>
      <c r="U33" s="1018"/>
      <c r="V33" s="1018"/>
    </row>
    <row r="34" spans="1:22" x14ac:dyDescent="0.25">
      <c r="A34" s="1019" t="s">
        <v>2544</v>
      </c>
      <c r="B34" s="1016">
        <v>1.55941E-2</v>
      </c>
      <c r="C34" s="1016">
        <v>1.08719E-2</v>
      </c>
      <c r="D34" s="684">
        <v>13549.01</v>
      </c>
      <c r="E34" s="807">
        <v>-203261</v>
      </c>
      <c r="F34" s="1006">
        <v>-266176</v>
      </c>
      <c r="G34" s="1006"/>
      <c r="H34" s="1017">
        <v>4569</v>
      </c>
      <c r="I34" s="1017">
        <v>32857</v>
      </c>
      <c r="J34" s="1017">
        <v>44911</v>
      </c>
      <c r="K34" s="1006">
        <v>20126</v>
      </c>
      <c r="L34" s="1006"/>
      <c r="M34" s="1017">
        <v>858</v>
      </c>
      <c r="N34" s="1017">
        <v>10230</v>
      </c>
      <c r="O34" s="1017">
        <v>0</v>
      </c>
      <c r="P34" s="1006">
        <v>73940</v>
      </c>
      <c r="Q34" s="1006"/>
      <c r="R34" s="1017">
        <v>42385</v>
      </c>
      <c r="S34" s="1018">
        <v>-16020</v>
      </c>
      <c r="T34" s="1018">
        <v>26365</v>
      </c>
      <c r="U34" s="1018"/>
      <c r="V34" s="1018"/>
    </row>
    <row r="35" spans="1:22" x14ac:dyDescent="0.25">
      <c r="A35" s="1019" t="s">
        <v>2545</v>
      </c>
      <c r="B35" s="1016">
        <v>4.2516000000000003E-3</v>
      </c>
      <c r="C35" s="1016">
        <v>4.0918999999999999E-3</v>
      </c>
      <c r="D35" s="684">
        <v>3694</v>
      </c>
      <c r="E35" s="807">
        <v>-76502</v>
      </c>
      <c r="F35" s="1006">
        <v>-72571</v>
      </c>
      <c r="G35" s="1006"/>
      <c r="H35" s="1017">
        <v>1246</v>
      </c>
      <c r="I35" s="1017">
        <v>8958</v>
      </c>
      <c r="J35" s="1017">
        <v>12245</v>
      </c>
      <c r="K35" s="1006">
        <v>1078</v>
      </c>
      <c r="L35" s="1006"/>
      <c r="M35" s="1017">
        <v>234</v>
      </c>
      <c r="N35" s="1017">
        <v>2789</v>
      </c>
      <c r="O35" s="1017">
        <v>0</v>
      </c>
      <c r="P35" s="1006">
        <v>2789</v>
      </c>
      <c r="Q35" s="1006"/>
      <c r="R35" s="1017">
        <v>11556</v>
      </c>
      <c r="S35" s="1018">
        <v>-2039</v>
      </c>
      <c r="T35" s="1018">
        <v>9517</v>
      </c>
      <c r="U35" s="1018"/>
      <c r="V35" s="1018"/>
    </row>
    <row r="36" spans="1:22" x14ac:dyDescent="0.25">
      <c r="A36" s="1019" t="s">
        <v>2546</v>
      </c>
      <c r="B36" s="1016">
        <v>3.9173999999999997E-3</v>
      </c>
      <c r="C36" s="1016">
        <v>4.2513000000000004E-3</v>
      </c>
      <c r="D36" s="684">
        <v>3403.7</v>
      </c>
      <c r="E36" s="807">
        <v>-79482</v>
      </c>
      <c r="F36" s="1006">
        <v>-66866</v>
      </c>
      <c r="G36" s="1006"/>
      <c r="H36" s="1017">
        <v>1148</v>
      </c>
      <c r="I36" s="1017">
        <v>8254</v>
      </c>
      <c r="J36" s="1017">
        <v>11282</v>
      </c>
      <c r="K36" s="1006">
        <v>5228</v>
      </c>
      <c r="L36" s="1006"/>
      <c r="M36" s="1017">
        <v>215</v>
      </c>
      <c r="N36" s="1017">
        <v>2570</v>
      </c>
      <c r="O36" s="1017">
        <v>0</v>
      </c>
      <c r="P36" s="1006">
        <v>925</v>
      </c>
      <c r="Q36" s="1006"/>
      <c r="R36" s="1017">
        <v>10647</v>
      </c>
      <c r="S36" s="1018">
        <v>1502</v>
      </c>
      <c r="T36" s="1018">
        <v>12149</v>
      </c>
      <c r="U36" s="1018"/>
      <c r="V36" s="1018"/>
    </row>
    <row r="37" spans="1:22" x14ac:dyDescent="0.25">
      <c r="A37" s="1019" t="s">
        <v>2547</v>
      </c>
      <c r="B37" s="1016">
        <v>3.13446E-2</v>
      </c>
      <c r="C37" s="1016">
        <v>3.1125E-2</v>
      </c>
      <c r="D37" s="684">
        <v>27233.96</v>
      </c>
      <c r="E37" s="807">
        <v>-581913</v>
      </c>
      <c r="F37" s="1006">
        <v>-535021</v>
      </c>
      <c r="G37" s="1006"/>
      <c r="H37" s="1017">
        <v>9184</v>
      </c>
      <c r="I37" s="1017">
        <v>66043</v>
      </c>
      <c r="J37" s="1017">
        <v>90272</v>
      </c>
      <c r="K37" s="1006">
        <v>0</v>
      </c>
      <c r="L37" s="1006"/>
      <c r="M37" s="1017">
        <v>1724</v>
      </c>
      <c r="N37" s="1017">
        <v>20562</v>
      </c>
      <c r="O37" s="1017">
        <v>0</v>
      </c>
      <c r="P37" s="1006">
        <v>14736</v>
      </c>
      <c r="Q37" s="1006"/>
      <c r="R37" s="1017">
        <v>85195</v>
      </c>
      <c r="S37" s="1018">
        <v>-18707</v>
      </c>
      <c r="T37" s="1018">
        <v>66488</v>
      </c>
      <c r="U37" s="1018"/>
      <c r="V37" s="1018"/>
    </row>
    <row r="38" spans="1:22" x14ac:dyDescent="0.25">
      <c r="A38" s="1019" t="s">
        <v>2548</v>
      </c>
      <c r="B38" s="1016">
        <v>3.1862000000000001E-3</v>
      </c>
      <c r="C38" s="1016">
        <v>3.4244000000000002E-3</v>
      </c>
      <c r="D38" s="684">
        <v>2768.35</v>
      </c>
      <c r="E38" s="807">
        <v>-64023</v>
      </c>
      <c r="F38" s="1006">
        <v>-54385</v>
      </c>
      <c r="G38" s="1006"/>
      <c r="H38" s="1017">
        <v>934</v>
      </c>
      <c r="I38" s="1017">
        <v>6713</v>
      </c>
      <c r="J38" s="1017">
        <v>9176</v>
      </c>
      <c r="K38" s="1006">
        <v>4993</v>
      </c>
      <c r="L38" s="1006"/>
      <c r="M38" s="1017">
        <v>175</v>
      </c>
      <c r="N38" s="1017">
        <v>2090</v>
      </c>
      <c r="O38" s="1017">
        <v>0</v>
      </c>
      <c r="P38" s="1006">
        <v>100</v>
      </c>
      <c r="Q38" s="1006"/>
      <c r="R38" s="1017">
        <v>8660</v>
      </c>
      <c r="S38" s="1018">
        <v>2101</v>
      </c>
      <c r="T38" s="1018">
        <v>10761</v>
      </c>
      <c r="U38" s="1018"/>
      <c r="V38" s="1018"/>
    </row>
    <row r="39" spans="1:22" x14ac:dyDescent="0.25">
      <c r="A39" s="1019" t="s">
        <v>2549</v>
      </c>
      <c r="B39" s="1016">
        <v>3.9621999999999997E-2</v>
      </c>
      <c r="C39" s="1016">
        <v>3.9605899999999999E-2</v>
      </c>
      <c r="D39" s="684">
        <v>34425.870000000003</v>
      </c>
      <c r="E39" s="807">
        <v>-740472</v>
      </c>
      <c r="F39" s="1006">
        <v>-676308</v>
      </c>
      <c r="G39" s="1006"/>
      <c r="H39" s="1017">
        <v>11609</v>
      </c>
      <c r="I39" s="1017">
        <v>83484</v>
      </c>
      <c r="J39" s="1017">
        <v>114111</v>
      </c>
      <c r="K39" s="1006">
        <v>0</v>
      </c>
      <c r="L39" s="1006"/>
      <c r="M39" s="1017">
        <v>2179</v>
      </c>
      <c r="N39" s="1017">
        <v>25992</v>
      </c>
      <c r="O39" s="1017">
        <v>0</v>
      </c>
      <c r="P39" s="1006">
        <v>4228</v>
      </c>
      <c r="Q39" s="1006"/>
      <c r="R39" s="1017">
        <v>107693</v>
      </c>
      <c r="S39" s="1018">
        <v>-7577</v>
      </c>
      <c r="T39" s="1018">
        <v>100116</v>
      </c>
      <c r="U39" s="1018"/>
      <c r="V39" s="1018"/>
    </row>
    <row r="40" spans="1:22" x14ac:dyDescent="0.25">
      <c r="A40" s="1019" t="s">
        <v>2550</v>
      </c>
      <c r="B40" s="1016">
        <v>6.2922000000000004E-3</v>
      </c>
      <c r="C40" s="1016">
        <v>5.6988999999999998E-3</v>
      </c>
      <c r="D40" s="684">
        <v>5466.99</v>
      </c>
      <c r="E40" s="807">
        <v>-106547</v>
      </c>
      <c r="F40" s="1006">
        <v>-107402</v>
      </c>
      <c r="G40" s="1006"/>
      <c r="H40" s="1017">
        <v>1844</v>
      </c>
      <c r="I40" s="1017">
        <v>13258</v>
      </c>
      <c r="J40" s="1017">
        <v>18122</v>
      </c>
      <c r="K40" s="1006">
        <v>0</v>
      </c>
      <c r="L40" s="1006"/>
      <c r="M40" s="1017">
        <v>346</v>
      </c>
      <c r="N40" s="1017">
        <v>4128</v>
      </c>
      <c r="O40" s="1017">
        <v>0</v>
      </c>
      <c r="P40" s="1006">
        <v>13572</v>
      </c>
      <c r="Q40" s="1006"/>
      <c r="R40" s="1017">
        <v>17102</v>
      </c>
      <c r="S40" s="1018">
        <v>-8319</v>
      </c>
      <c r="T40" s="1018">
        <v>8783</v>
      </c>
      <c r="U40" s="1018"/>
      <c r="V40" s="1018"/>
    </row>
    <row r="41" spans="1:22" x14ac:dyDescent="0.25">
      <c r="A41" s="1019" t="s">
        <v>2551</v>
      </c>
      <c r="B41" s="1016">
        <v>8.5229999999999993E-3</v>
      </c>
      <c r="C41" s="1016">
        <v>1.13299E-2</v>
      </c>
      <c r="D41" s="684">
        <v>7405.3</v>
      </c>
      <c r="E41" s="807">
        <v>-211824</v>
      </c>
      <c r="F41" s="1006">
        <v>-145479</v>
      </c>
      <c r="G41" s="1006"/>
      <c r="H41" s="1017">
        <v>2497</v>
      </c>
      <c r="I41" s="1017">
        <v>17958</v>
      </c>
      <c r="J41" s="1017">
        <v>24546</v>
      </c>
      <c r="K41" s="1006">
        <v>65478</v>
      </c>
      <c r="L41" s="1006"/>
      <c r="M41" s="1017">
        <v>469</v>
      </c>
      <c r="N41" s="1017">
        <v>5591</v>
      </c>
      <c r="O41" s="1017">
        <v>0</v>
      </c>
      <c r="P41" s="1006">
        <v>0</v>
      </c>
      <c r="Q41" s="1006"/>
      <c r="R41" s="1017">
        <v>23166</v>
      </c>
      <c r="S41" s="1018">
        <v>42235</v>
      </c>
      <c r="T41" s="1018">
        <v>65400</v>
      </c>
      <c r="U41" s="1018"/>
      <c r="V41" s="1018"/>
    </row>
    <row r="42" spans="1:22" x14ac:dyDescent="0.25">
      <c r="A42" s="1019" t="s">
        <v>2552</v>
      </c>
      <c r="B42" s="1016">
        <v>8.7089999999999997E-4</v>
      </c>
      <c r="C42" s="1016">
        <v>9.5730000000000001E-4</v>
      </c>
      <c r="D42" s="684">
        <v>756.67</v>
      </c>
      <c r="E42" s="807">
        <v>-17898</v>
      </c>
      <c r="F42" s="1006">
        <v>-14865</v>
      </c>
      <c r="G42" s="1006"/>
      <c r="H42" s="1017">
        <v>255</v>
      </c>
      <c r="I42" s="1017">
        <v>1835</v>
      </c>
      <c r="J42" s="1017">
        <v>2508</v>
      </c>
      <c r="K42" s="1006">
        <v>1431</v>
      </c>
      <c r="L42" s="1006"/>
      <c r="M42" s="1017">
        <v>48</v>
      </c>
      <c r="N42" s="1017">
        <v>571</v>
      </c>
      <c r="O42" s="1017">
        <v>0</v>
      </c>
      <c r="P42" s="1006">
        <v>141</v>
      </c>
      <c r="Q42" s="1006"/>
      <c r="R42" s="1017">
        <v>2367</v>
      </c>
      <c r="S42" s="1018">
        <v>902</v>
      </c>
      <c r="T42" s="1018">
        <v>3269</v>
      </c>
      <c r="U42" s="1018"/>
      <c r="V42" s="1018"/>
    </row>
    <row r="43" spans="1:22" x14ac:dyDescent="0.25">
      <c r="A43" s="1019" t="s">
        <v>2553</v>
      </c>
      <c r="B43" s="1016">
        <v>6.9390000000000001E-4</v>
      </c>
      <c r="C43" s="1016">
        <v>6.8349999999999997E-4</v>
      </c>
      <c r="D43" s="684">
        <v>602.87</v>
      </c>
      <c r="E43" s="807">
        <v>-12779</v>
      </c>
      <c r="F43" s="1006">
        <v>-11844</v>
      </c>
      <c r="G43" s="1006"/>
      <c r="H43" s="1017">
        <v>203</v>
      </c>
      <c r="I43" s="1017">
        <v>1462</v>
      </c>
      <c r="J43" s="1017">
        <v>1998</v>
      </c>
      <c r="K43" s="1006">
        <v>59</v>
      </c>
      <c r="L43" s="1006"/>
      <c r="M43" s="1017">
        <v>38</v>
      </c>
      <c r="N43" s="1017">
        <v>455</v>
      </c>
      <c r="O43" s="1017">
        <v>0</v>
      </c>
      <c r="P43" s="1006">
        <v>680</v>
      </c>
      <c r="Q43" s="1006"/>
      <c r="R43" s="1017">
        <v>1886</v>
      </c>
      <c r="S43" s="1018">
        <v>-168</v>
      </c>
      <c r="T43" s="1018">
        <v>1718</v>
      </c>
      <c r="U43" s="1018"/>
      <c r="V43" s="1018"/>
    </row>
    <row r="44" spans="1:22" x14ac:dyDescent="0.25">
      <c r="A44" s="1019" t="s">
        <v>2554</v>
      </c>
      <c r="B44" s="1016">
        <v>4.8060000000000004E-3</v>
      </c>
      <c r="C44" s="1016">
        <v>4.3911999999999996E-3</v>
      </c>
      <c r="D44" s="684">
        <v>4175.76</v>
      </c>
      <c r="E44" s="807">
        <v>-82098</v>
      </c>
      <c r="F44" s="1006">
        <v>-82034</v>
      </c>
      <c r="G44" s="1006"/>
      <c r="H44" s="1017">
        <v>1408</v>
      </c>
      <c r="I44" s="1017">
        <v>10126</v>
      </c>
      <c r="J44" s="1017">
        <v>13841</v>
      </c>
      <c r="K44" s="1006">
        <v>1904</v>
      </c>
      <c r="L44" s="1006"/>
      <c r="M44" s="1017">
        <v>264</v>
      </c>
      <c r="N44" s="1017">
        <v>3153</v>
      </c>
      <c r="O44" s="1017">
        <v>0</v>
      </c>
      <c r="P44" s="1006">
        <v>6513</v>
      </c>
      <c r="Q44" s="1006"/>
      <c r="R44" s="1017">
        <v>13063</v>
      </c>
      <c r="S44" s="1018">
        <v>-2352</v>
      </c>
      <c r="T44" s="1018">
        <v>10710</v>
      </c>
      <c r="U44" s="1018"/>
      <c r="V44" s="1018"/>
    </row>
    <row r="45" spans="1:22" x14ac:dyDescent="0.25">
      <c r="A45" s="1019" t="s">
        <v>2555</v>
      </c>
      <c r="B45" s="1016">
        <v>1.1391999999999999E-3</v>
      </c>
      <c r="C45" s="1016">
        <v>1.2329000000000001E-3</v>
      </c>
      <c r="D45" s="684">
        <v>989.77</v>
      </c>
      <c r="E45" s="807">
        <v>-23050</v>
      </c>
      <c r="F45" s="1006">
        <v>-19445</v>
      </c>
      <c r="G45" s="1006"/>
      <c r="H45" s="1017">
        <v>334</v>
      </c>
      <c r="I45" s="1017">
        <v>2400</v>
      </c>
      <c r="J45" s="1017">
        <v>3281</v>
      </c>
      <c r="K45" s="1006">
        <v>1543</v>
      </c>
      <c r="L45" s="1006"/>
      <c r="M45" s="1017">
        <v>63</v>
      </c>
      <c r="N45" s="1017">
        <v>747</v>
      </c>
      <c r="O45" s="1017">
        <v>0</v>
      </c>
      <c r="P45" s="1006">
        <v>898</v>
      </c>
      <c r="Q45" s="1006"/>
      <c r="R45" s="1017">
        <v>3096</v>
      </c>
      <c r="S45" s="1018">
        <v>166</v>
      </c>
      <c r="T45" s="1018">
        <v>3263</v>
      </c>
      <c r="U45" s="1018"/>
      <c r="V45" s="1018"/>
    </row>
    <row r="46" spans="1:22" x14ac:dyDescent="0.25">
      <c r="A46" s="1019" t="s">
        <v>2556</v>
      </c>
      <c r="B46" s="1016">
        <v>4.39079E-2</v>
      </c>
      <c r="C46" s="1016">
        <v>4.39733E-2</v>
      </c>
      <c r="D46" s="684">
        <v>38149.620000000003</v>
      </c>
      <c r="E46" s="807">
        <v>-822125</v>
      </c>
      <c r="F46" s="1006">
        <v>-749464</v>
      </c>
      <c r="G46" s="1006"/>
      <c r="H46" s="1017">
        <v>12865</v>
      </c>
      <c r="I46" s="1017">
        <v>92514</v>
      </c>
      <c r="J46" s="1017">
        <v>126455</v>
      </c>
      <c r="K46" s="1006">
        <v>1024</v>
      </c>
      <c r="L46" s="1006"/>
      <c r="M46" s="1017">
        <v>2415</v>
      </c>
      <c r="N46" s="1017">
        <v>28804</v>
      </c>
      <c r="O46" s="1017">
        <v>0</v>
      </c>
      <c r="P46" s="1006">
        <v>3942</v>
      </c>
      <c r="Q46" s="1006"/>
      <c r="R46" s="1017">
        <v>119342</v>
      </c>
      <c r="S46" s="1018">
        <v>-6233</v>
      </c>
      <c r="T46" s="1018">
        <v>113109</v>
      </c>
      <c r="U46" s="1018"/>
      <c r="V46" s="1018"/>
    </row>
    <row r="47" spans="1:22" x14ac:dyDescent="0.25">
      <c r="A47" s="1019" t="s">
        <v>2557</v>
      </c>
      <c r="B47" s="1016">
        <v>4.2783999999999999E-3</v>
      </c>
      <c r="C47" s="1016">
        <v>4.2215000000000004E-3</v>
      </c>
      <c r="D47" s="684">
        <v>3717.29</v>
      </c>
      <c r="E47" s="807">
        <v>-78925</v>
      </c>
      <c r="F47" s="1006">
        <v>-73028</v>
      </c>
      <c r="G47" s="1006"/>
      <c r="H47" s="1017">
        <v>1254</v>
      </c>
      <c r="I47" s="1017">
        <v>9015</v>
      </c>
      <c r="J47" s="1017">
        <v>12322</v>
      </c>
      <c r="K47" s="1006">
        <v>1664</v>
      </c>
      <c r="L47" s="1006"/>
      <c r="M47" s="1017">
        <v>235</v>
      </c>
      <c r="N47" s="1017">
        <v>2807</v>
      </c>
      <c r="O47" s="1017">
        <v>0</v>
      </c>
      <c r="P47" s="1006">
        <v>1041</v>
      </c>
      <c r="Q47" s="1006"/>
      <c r="R47" s="1017">
        <v>11629</v>
      </c>
      <c r="S47" s="1018">
        <v>-337</v>
      </c>
      <c r="T47" s="1018">
        <v>11292</v>
      </c>
      <c r="U47" s="1018"/>
      <c r="V47" s="1018"/>
    </row>
    <row r="48" spans="1:22" x14ac:dyDescent="0.25">
      <c r="A48" s="1019" t="s">
        <v>2558</v>
      </c>
      <c r="B48" s="1016">
        <v>1.24961E-2</v>
      </c>
      <c r="C48" s="1016">
        <v>1.2143599999999999E-2</v>
      </c>
      <c r="D48" s="684">
        <v>10857.29</v>
      </c>
      <c r="E48" s="807">
        <v>-227037</v>
      </c>
      <c r="F48" s="1006">
        <v>-213296</v>
      </c>
      <c r="G48" s="1006"/>
      <c r="H48" s="1017">
        <v>3661</v>
      </c>
      <c r="I48" s="1017">
        <v>26329</v>
      </c>
      <c r="J48" s="1017">
        <v>35989</v>
      </c>
      <c r="K48" s="1006">
        <v>3139</v>
      </c>
      <c r="L48" s="1006"/>
      <c r="M48" s="1017">
        <v>687</v>
      </c>
      <c r="N48" s="1017">
        <v>8197</v>
      </c>
      <c r="O48" s="1017">
        <v>0</v>
      </c>
      <c r="P48" s="1006">
        <v>5924</v>
      </c>
      <c r="Q48" s="1006"/>
      <c r="R48" s="1017">
        <v>33964</v>
      </c>
      <c r="S48" s="1018">
        <v>-1686</v>
      </c>
      <c r="T48" s="1018">
        <v>32278</v>
      </c>
      <c r="U48" s="1018"/>
      <c r="V48" s="1018"/>
    </row>
    <row r="49" spans="1:22" x14ac:dyDescent="0.25">
      <c r="A49" s="1019" t="s">
        <v>2559</v>
      </c>
      <c r="B49" s="1016">
        <v>7.6893999999999999E-3</v>
      </c>
      <c r="C49" s="1016">
        <v>7.4390999999999997E-3</v>
      </c>
      <c r="D49" s="684">
        <v>6680.95</v>
      </c>
      <c r="E49" s="807">
        <v>-139081</v>
      </c>
      <c r="F49" s="1006">
        <v>-131250</v>
      </c>
      <c r="G49" s="1006"/>
      <c r="H49" s="1017">
        <v>2253</v>
      </c>
      <c r="I49" s="1017">
        <v>16202</v>
      </c>
      <c r="J49" s="1017">
        <v>22145</v>
      </c>
      <c r="K49" s="1006">
        <v>1241</v>
      </c>
      <c r="L49" s="1006"/>
      <c r="M49" s="1017">
        <v>423</v>
      </c>
      <c r="N49" s="1017">
        <v>5044</v>
      </c>
      <c r="O49" s="1017">
        <v>0</v>
      </c>
      <c r="P49" s="1006">
        <v>4630</v>
      </c>
      <c r="Q49" s="1006"/>
      <c r="R49" s="1017">
        <v>20900</v>
      </c>
      <c r="S49" s="1018">
        <v>-4511</v>
      </c>
      <c r="T49" s="1018">
        <v>16389</v>
      </c>
      <c r="U49" s="1018"/>
      <c r="V49" s="1018"/>
    </row>
    <row r="50" spans="1:22" x14ac:dyDescent="0.25">
      <c r="A50" s="1019" t="s">
        <v>2560</v>
      </c>
      <c r="B50" s="1016">
        <v>1.42083E-2</v>
      </c>
      <c r="C50" s="1016">
        <v>1.4215500000000001E-2</v>
      </c>
      <c r="D50" s="684">
        <v>12344.96</v>
      </c>
      <c r="E50" s="807">
        <v>-265773</v>
      </c>
      <c r="F50" s="1006">
        <v>-242521</v>
      </c>
      <c r="G50" s="1006"/>
      <c r="H50" s="1017">
        <v>4163</v>
      </c>
      <c r="I50" s="1017">
        <v>29937</v>
      </c>
      <c r="J50" s="1017">
        <v>40920</v>
      </c>
      <c r="K50" s="1006">
        <v>113</v>
      </c>
      <c r="L50" s="1006"/>
      <c r="M50" s="1017">
        <v>781</v>
      </c>
      <c r="N50" s="1017">
        <v>9321</v>
      </c>
      <c r="O50" s="1017">
        <v>0</v>
      </c>
      <c r="P50" s="1006">
        <v>6195</v>
      </c>
      <c r="Q50" s="1006"/>
      <c r="R50" s="1017">
        <v>38618</v>
      </c>
      <c r="S50" s="1018">
        <v>-8142</v>
      </c>
      <c r="T50" s="1018">
        <v>30476</v>
      </c>
      <c r="U50" s="1018"/>
      <c r="V50" s="1018"/>
    </row>
    <row r="51" spans="1:22" x14ac:dyDescent="0.25">
      <c r="A51" s="1019" t="s">
        <v>2561</v>
      </c>
      <c r="B51" s="1016">
        <v>1.7851E-3</v>
      </c>
      <c r="C51" s="1016">
        <v>1.8568E-3</v>
      </c>
      <c r="D51" s="684">
        <v>1551.02</v>
      </c>
      <c r="E51" s="807">
        <v>-34715</v>
      </c>
      <c r="F51" s="1006">
        <v>-30470</v>
      </c>
      <c r="G51" s="1006"/>
      <c r="H51" s="1017">
        <v>523</v>
      </c>
      <c r="I51" s="1017">
        <v>3761</v>
      </c>
      <c r="J51" s="1017">
        <v>5141</v>
      </c>
      <c r="K51" s="1006">
        <v>1254</v>
      </c>
      <c r="L51" s="1006"/>
      <c r="M51" s="1017">
        <v>98</v>
      </c>
      <c r="N51" s="1017">
        <v>1171</v>
      </c>
      <c r="O51" s="1017">
        <v>0</v>
      </c>
      <c r="P51" s="1006">
        <v>0</v>
      </c>
      <c r="Q51" s="1006"/>
      <c r="R51" s="1017">
        <v>4852</v>
      </c>
      <c r="S51" s="1018">
        <v>909</v>
      </c>
      <c r="T51" s="1018">
        <v>5761</v>
      </c>
      <c r="U51" s="1018"/>
      <c r="V51" s="1018"/>
    </row>
    <row r="52" spans="1:22" x14ac:dyDescent="0.25">
      <c r="A52" s="1019" t="s">
        <v>2562</v>
      </c>
      <c r="B52" s="1016">
        <v>4.4527000000000004E-3</v>
      </c>
      <c r="C52" s="1016">
        <v>5.0083999999999997E-3</v>
      </c>
      <c r="D52" s="684">
        <v>3868.79</v>
      </c>
      <c r="E52" s="807">
        <v>-93637</v>
      </c>
      <c r="F52" s="1006">
        <v>-76003</v>
      </c>
      <c r="G52" s="1006"/>
      <c r="H52" s="1017">
        <v>1305</v>
      </c>
      <c r="I52" s="1017">
        <v>9382</v>
      </c>
      <c r="J52" s="1017">
        <v>12824</v>
      </c>
      <c r="K52" s="1006">
        <v>9101</v>
      </c>
      <c r="L52" s="1006"/>
      <c r="M52" s="1017">
        <v>245</v>
      </c>
      <c r="N52" s="1017">
        <v>2921</v>
      </c>
      <c r="O52" s="1017">
        <v>0</v>
      </c>
      <c r="P52" s="1006">
        <v>2484</v>
      </c>
      <c r="Q52" s="1006"/>
      <c r="R52" s="1017">
        <v>12102</v>
      </c>
      <c r="S52" s="1018">
        <v>4677</v>
      </c>
      <c r="T52" s="1018">
        <v>16779</v>
      </c>
      <c r="U52" s="1018"/>
      <c r="V52" s="1018"/>
    </row>
    <row r="53" spans="1:22" x14ac:dyDescent="0.25">
      <c r="A53" s="1019" t="s">
        <v>2563</v>
      </c>
      <c r="B53" s="1016">
        <v>4.8450000000000001E-4</v>
      </c>
      <c r="C53" s="1016">
        <v>4.6650000000000001E-4</v>
      </c>
      <c r="D53" s="684">
        <v>420.95</v>
      </c>
      <c r="E53" s="807">
        <v>-8722</v>
      </c>
      <c r="F53" s="1006">
        <v>-8270</v>
      </c>
      <c r="G53" s="1006"/>
      <c r="H53" s="1017">
        <v>142</v>
      </c>
      <c r="I53" s="1017">
        <v>1021</v>
      </c>
      <c r="J53" s="1017">
        <v>1395</v>
      </c>
      <c r="K53" s="1006">
        <v>0</v>
      </c>
      <c r="L53" s="1006"/>
      <c r="M53" s="1017">
        <v>27</v>
      </c>
      <c r="N53" s="1017">
        <v>318</v>
      </c>
      <c r="O53" s="1017">
        <v>0</v>
      </c>
      <c r="P53" s="1006">
        <v>396</v>
      </c>
      <c r="Q53" s="1006"/>
      <c r="R53" s="1017">
        <v>1317</v>
      </c>
      <c r="S53" s="1018">
        <v>-577</v>
      </c>
      <c r="T53" s="1018">
        <v>740</v>
      </c>
      <c r="U53" s="1018"/>
      <c r="V53" s="1018"/>
    </row>
    <row r="54" spans="1:22" x14ac:dyDescent="0.25">
      <c r="A54" s="1019" t="s">
        <v>2564</v>
      </c>
      <c r="B54" s="1016">
        <v>2.0341999999999999E-2</v>
      </c>
      <c r="C54" s="1016">
        <v>2.0577100000000001E-2</v>
      </c>
      <c r="D54" s="684">
        <v>17674.29</v>
      </c>
      <c r="E54" s="807">
        <v>-384709</v>
      </c>
      <c r="F54" s="1006">
        <v>-347218</v>
      </c>
      <c r="G54" s="1006"/>
      <c r="H54" s="1017">
        <v>5960</v>
      </c>
      <c r="I54" s="1017">
        <v>42861</v>
      </c>
      <c r="J54" s="1017">
        <v>58585</v>
      </c>
      <c r="K54" s="1006">
        <v>3681</v>
      </c>
      <c r="L54" s="1006"/>
      <c r="M54" s="1017">
        <v>1119</v>
      </c>
      <c r="N54" s="1017">
        <v>13344</v>
      </c>
      <c r="O54" s="1017">
        <v>0</v>
      </c>
      <c r="P54" s="1006">
        <v>11891</v>
      </c>
      <c r="Q54" s="1006"/>
      <c r="R54" s="1017">
        <v>55290</v>
      </c>
      <c r="S54" s="1018">
        <v>-11122</v>
      </c>
      <c r="T54" s="1018">
        <v>44168</v>
      </c>
      <c r="U54" s="1018"/>
      <c r="V54" s="1018"/>
    </row>
    <row r="55" spans="1:22" x14ac:dyDescent="0.25">
      <c r="A55" s="1019" t="s">
        <v>2565</v>
      </c>
      <c r="B55" s="1016">
        <v>6.7647999999999996E-3</v>
      </c>
      <c r="C55" s="1016">
        <v>6.6058000000000002E-3</v>
      </c>
      <c r="D55" s="684">
        <v>5877.62</v>
      </c>
      <c r="E55" s="807">
        <v>-123502</v>
      </c>
      <c r="F55" s="1006">
        <v>-115468</v>
      </c>
      <c r="G55" s="1006"/>
      <c r="H55" s="1017">
        <v>1982</v>
      </c>
      <c r="I55" s="1017">
        <v>14253</v>
      </c>
      <c r="J55" s="1017">
        <v>19483</v>
      </c>
      <c r="K55" s="1006">
        <v>0</v>
      </c>
      <c r="L55" s="1006"/>
      <c r="M55" s="1017">
        <v>372</v>
      </c>
      <c r="N55" s="1017">
        <v>4438</v>
      </c>
      <c r="O55" s="1017">
        <v>0</v>
      </c>
      <c r="P55" s="1006">
        <v>20707</v>
      </c>
      <c r="Q55" s="1006"/>
      <c r="R55" s="1017">
        <v>18387</v>
      </c>
      <c r="S55" s="1018">
        <v>-15524</v>
      </c>
      <c r="T55" s="1018">
        <v>2863</v>
      </c>
      <c r="U55" s="1018"/>
      <c r="V55" s="1018"/>
    </row>
    <row r="56" spans="1:22" x14ac:dyDescent="0.25">
      <c r="A56" s="1019" t="s">
        <v>2566</v>
      </c>
      <c r="B56" s="1016">
        <v>2.1563800000000001E-2</v>
      </c>
      <c r="C56" s="1016">
        <v>1.98465E-2</v>
      </c>
      <c r="D56" s="684">
        <v>18735.810000000001</v>
      </c>
      <c r="E56" s="807">
        <v>-371050</v>
      </c>
      <c r="F56" s="1006">
        <v>-368073</v>
      </c>
      <c r="G56" s="1006"/>
      <c r="H56" s="1017">
        <v>6318</v>
      </c>
      <c r="I56" s="1017">
        <v>45435</v>
      </c>
      <c r="J56" s="1017">
        <v>62104</v>
      </c>
      <c r="K56" s="1006">
        <v>411</v>
      </c>
      <c r="L56" s="1006"/>
      <c r="M56" s="1017">
        <v>1186</v>
      </c>
      <c r="N56" s="1017">
        <v>14146</v>
      </c>
      <c r="O56" s="1017">
        <v>0</v>
      </c>
      <c r="P56" s="1006">
        <v>35333</v>
      </c>
      <c r="Q56" s="1006"/>
      <c r="R56" s="1017">
        <v>58610</v>
      </c>
      <c r="S56" s="1018">
        <v>-18828</v>
      </c>
      <c r="T56" s="1018">
        <v>39782</v>
      </c>
      <c r="U56" s="1018"/>
      <c r="V56" s="1018"/>
    </row>
    <row r="57" spans="1:22" x14ac:dyDescent="0.25">
      <c r="A57" s="1019" t="s">
        <v>2567</v>
      </c>
      <c r="B57" s="1016">
        <v>8.2770000000000001E-4</v>
      </c>
      <c r="C57" s="1016">
        <v>8.3480000000000002E-4</v>
      </c>
      <c r="D57" s="684">
        <v>719.19</v>
      </c>
      <c r="E57" s="807">
        <v>-15607</v>
      </c>
      <c r="F57" s="1006">
        <v>-14128</v>
      </c>
      <c r="G57" s="1006"/>
      <c r="H57" s="1017">
        <v>243</v>
      </c>
      <c r="I57" s="1017">
        <v>1744</v>
      </c>
      <c r="J57" s="1017">
        <v>2384</v>
      </c>
      <c r="K57" s="1006">
        <v>2412</v>
      </c>
      <c r="L57" s="1006"/>
      <c r="M57" s="1017">
        <v>46</v>
      </c>
      <c r="N57" s="1017">
        <v>543</v>
      </c>
      <c r="O57" s="1017">
        <v>0</v>
      </c>
      <c r="P57" s="1006">
        <v>127</v>
      </c>
      <c r="Q57" s="1006"/>
      <c r="R57" s="1017">
        <v>2250</v>
      </c>
      <c r="S57" s="1018">
        <v>965</v>
      </c>
      <c r="T57" s="1018">
        <v>3215</v>
      </c>
      <c r="U57" s="1018"/>
      <c r="V57" s="1018"/>
    </row>
    <row r="58" spans="1:22" x14ac:dyDescent="0.25">
      <c r="A58" s="1019" t="s">
        <v>2568</v>
      </c>
      <c r="B58" s="1016">
        <v>5.6318999999999996E-3</v>
      </c>
      <c r="C58" s="1016">
        <v>5.7454000000000003E-3</v>
      </c>
      <c r="D58" s="684">
        <v>4893.33</v>
      </c>
      <c r="E58" s="807">
        <v>-107416</v>
      </c>
      <c r="F58" s="1006">
        <v>-96131</v>
      </c>
      <c r="G58" s="1006"/>
      <c r="H58" s="1017">
        <v>1650</v>
      </c>
      <c r="I58" s="1017">
        <v>11866</v>
      </c>
      <c r="J58" s="1017">
        <v>16220</v>
      </c>
      <c r="K58" s="1006">
        <v>1777</v>
      </c>
      <c r="L58" s="1006"/>
      <c r="M58" s="1017">
        <v>310</v>
      </c>
      <c r="N58" s="1017">
        <v>3695</v>
      </c>
      <c r="O58" s="1017">
        <v>0</v>
      </c>
      <c r="P58" s="1006">
        <v>1447</v>
      </c>
      <c r="Q58" s="1006"/>
      <c r="R58" s="1017">
        <v>15308</v>
      </c>
      <c r="S58" s="1018">
        <v>-655</v>
      </c>
      <c r="T58" s="1018">
        <v>14652</v>
      </c>
      <c r="U58" s="1018"/>
      <c r="V58" s="1018"/>
    </row>
    <row r="59" spans="1:22" x14ac:dyDescent="0.25">
      <c r="A59" s="1019" t="s">
        <v>2569</v>
      </c>
      <c r="B59" s="1016">
        <v>3.4169000000000001E-3</v>
      </c>
      <c r="C59" s="1016">
        <v>3.5750000000000001E-3</v>
      </c>
      <c r="D59" s="684">
        <v>2968.77</v>
      </c>
      <c r="E59" s="807">
        <v>-66838.2</v>
      </c>
      <c r="F59" s="1006">
        <v>-58323</v>
      </c>
      <c r="G59" s="1006"/>
      <c r="H59" s="1017">
        <v>1001</v>
      </c>
      <c r="I59" s="1017">
        <v>7199</v>
      </c>
      <c r="J59" s="1017">
        <v>9841</v>
      </c>
      <c r="K59" s="1006">
        <v>2882</v>
      </c>
      <c r="L59" s="1006"/>
      <c r="M59" s="1017">
        <v>188</v>
      </c>
      <c r="N59" s="1017">
        <v>2241</v>
      </c>
      <c r="O59" s="1017">
        <v>0</v>
      </c>
      <c r="P59" s="1006">
        <v>1251</v>
      </c>
      <c r="Q59" s="1006"/>
      <c r="R59" s="1017">
        <v>9287</v>
      </c>
      <c r="S59" s="1018">
        <v>1868</v>
      </c>
      <c r="T59" s="1018">
        <v>11156</v>
      </c>
      <c r="U59" s="1018"/>
      <c r="V59" s="1018"/>
    </row>
    <row r="60" spans="1:22" x14ac:dyDescent="0.25">
      <c r="A60" s="1019" t="s">
        <v>2570</v>
      </c>
      <c r="B60" s="1016">
        <v>9.2902000000000002E-3</v>
      </c>
      <c r="C60" s="1016">
        <v>8.9589999999999999E-3</v>
      </c>
      <c r="D60" s="684">
        <v>8071.84</v>
      </c>
      <c r="E60" s="807">
        <v>-167497</v>
      </c>
      <c r="F60" s="1006">
        <v>-158574</v>
      </c>
      <c r="G60" s="1006"/>
      <c r="H60" s="1017">
        <v>2722</v>
      </c>
      <c r="I60" s="1017">
        <v>19574</v>
      </c>
      <c r="J60" s="1017">
        <v>26756</v>
      </c>
      <c r="K60" s="1006">
        <v>0</v>
      </c>
      <c r="L60" s="1006"/>
      <c r="M60" s="1017">
        <v>511</v>
      </c>
      <c r="N60" s="1017">
        <v>6094</v>
      </c>
      <c r="O60" s="1017">
        <v>0</v>
      </c>
      <c r="P60" s="1006">
        <v>10948</v>
      </c>
      <c r="Q60" s="1006"/>
      <c r="R60" s="1017">
        <v>25251</v>
      </c>
      <c r="S60" s="1018">
        <v>-8950</v>
      </c>
      <c r="T60" s="1018">
        <v>16301</v>
      </c>
      <c r="U60" s="1018"/>
      <c r="V60" s="1018"/>
    </row>
    <row r="61" spans="1:22" x14ac:dyDescent="0.25">
      <c r="A61" s="1019" t="s">
        <v>2571</v>
      </c>
      <c r="B61" s="1016">
        <v>4.2596999999999999E-3</v>
      </c>
      <c r="C61" s="1016">
        <v>4.2973000000000004E-3</v>
      </c>
      <c r="D61" s="684">
        <v>3701.1</v>
      </c>
      <c r="E61" s="807">
        <v>-80342</v>
      </c>
      <c r="F61" s="1006">
        <v>-72709</v>
      </c>
      <c r="G61" s="1006"/>
      <c r="H61" s="1017">
        <v>1248</v>
      </c>
      <c r="I61" s="1017">
        <v>8975</v>
      </c>
      <c r="J61" s="1017">
        <v>12268</v>
      </c>
      <c r="K61" s="1006">
        <v>589</v>
      </c>
      <c r="L61" s="1006"/>
      <c r="M61" s="1017">
        <v>234</v>
      </c>
      <c r="N61" s="1017">
        <v>2794</v>
      </c>
      <c r="O61" s="1017">
        <v>0</v>
      </c>
      <c r="P61" s="1006">
        <v>1081</v>
      </c>
      <c r="Q61" s="1006"/>
      <c r="R61" s="1017">
        <v>11578</v>
      </c>
      <c r="S61" s="1018">
        <v>-2058</v>
      </c>
      <c r="T61" s="1018">
        <v>9520</v>
      </c>
      <c r="U61" s="1018"/>
      <c r="V61" s="1018"/>
    </row>
    <row r="62" spans="1:22" x14ac:dyDescent="0.25">
      <c r="A62" s="1019" t="s">
        <v>2572</v>
      </c>
      <c r="B62" s="1016">
        <v>5.3855999999999999E-3</v>
      </c>
      <c r="C62" s="1016">
        <v>5.1720000000000004E-3</v>
      </c>
      <c r="D62" s="684">
        <v>4679.28</v>
      </c>
      <c r="E62" s="807">
        <v>-96696</v>
      </c>
      <c r="F62" s="1006">
        <v>-91927</v>
      </c>
      <c r="G62" s="1006"/>
      <c r="H62" s="1017">
        <v>1578</v>
      </c>
      <c r="I62" s="1017">
        <v>11347</v>
      </c>
      <c r="J62" s="1017">
        <v>15511</v>
      </c>
      <c r="K62" s="1006">
        <v>0</v>
      </c>
      <c r="L62" s="1006"/>
      <c r="M62" s="1017">
        <v>296</v>
      </c>
      <c r="N62" s="1017">
        <v>3533</v>
      </c>
      <c r="O62" s="1017">
        <v>0</v>
      </c>
      <c r="P62" s="1006">
        <v>6357</v>
      </c>
      <c r="Q62" s="1006"/>
      <c r="R62" s="1017">
        <v>14638</v>
      </c>
      <c r="S62" s="1018">
        <v>-6022</v>
      </c>
      <c r="T62" s="1018">
        <v>8616</v>
      </c>
      <c r="U62" s="1018"/>
      <c r="V62" s="1018"/>
    </row>
    <row r="63" spans="1:22" x14ac:dyDescent="0.25">
      <c r="A63" s="1019" t="s">
        <v>2573</v>
      </c>
      <c r="B63" s="1016">
        <v>1.7650999999999999E-3</v>
      </c>
      <c r="C63" s="1016">
        <v>1.8517E-3</v>
      </c>
      <c r="D63" s="684">
        <v>1533.64</v>
      </c>
      <c r="E63" s="807">
        <v>-34619</v>
      </c>
      <c r="F63" s="1006">
        <v>-30128</v>
      </c>
      <c r="G63" s="1006"/>
      <c r="H63" s="1017">
        <v>517</v>
      </c>
      <c r="I63" s="1017">
        <v>3719</v>
      </c>
      <c r="J63" s="1017">
        <v>5083</v>
      </c>
      <c r="K63" s="1006">
        <v>1401</v>
      </c>
      <c r="L63" s="1006"/>
      <c r="M63" s="1017">
        <v>97</v>
      </c>
      <c r="N63" s="1017">
        <v>1158</v>
      </c>
      <c r="O63" s="1017">
        <v>0</v>
      </c>
      <c r="P63" s="1006">
        <v>58</v>
      </c>
      <c r="Q63" s="1006"/>
      <c r="R63" s="1017">
        <v>4798</v>
      </c>
      <c r="S63" s="1018">
        <v>617</v>
      </c>
      <c r="T63" s="1018">
        <v>5414</v>
      </c>
      <c r="U63" s="1018"/>
      <c r="V63" s="1018"/>
    </row>
    <row r="64" spans="1:22" x14ac:dyDescent="0.25">
      <c r="A64" s="1019" t="s">
        <v>2574</v>
      </c>
      <c r="B64" s="1016">
        <v>4.065E-3</v>
      </c>
      <c r="C64" s="1016">
        <v>4.0070000000000001E-3</v>
      </c>
      <c r="D64" s="684">
        <v>3531.87</v>
      </c>
      <c r="E64" s="807">
        <v>-74915</v>
      </c>
      <c r="F64" s="1006">
        <v>-69385</v>
      </c>
      <c r="G64" s="1006"/>
      <c r="H64" s="1017">
        <v>1191</v>
      </c>
      <c r="I64" s="1017">
        <v>8565</v>
      </c>
      <c r="J64" s="1017">
        <v>11707</v>
      </c>
      <c r="K64" s="1006">
        <v>66</v>
      </c>
      <c r="L64" s="1006"/>
      <c r="M64" s="1017">
        <v>224</v>
      </c>
      <c r="N64" s="1017">
        <v>2667</v>
      </c>
      <c r="O64" s="1017">
        <v>0</v>
      </c>
      <c r="P64" s="1006">
        <v>2950</v>
      </c>
      <c r="Q64" s="1006"/>
      <c r="R64" s="1017">
        <v>11049</v>
      </c>
      <c r="S64" s="1018">
        <v>-1749</v>
      </c>
      <c r="T64" s="1018">
        <v>9300</v>
      </c>
      <c r="U64" s="1018"/>
      <c r="V64" s="1018"/>
    </row>
    <row r="65" spans="1:22" x14ac:dyDescent="0.25">
      <c r="A65" s="1019" t="s">
        <v>2575</v>
      </c>
      <c r="B65" s="1016">
        <v>8.22431E-2</v>
      </c>
      <c r="C65" s="1016">
        <v>7.9832E-2</v>
      </c>
      <c r="D65" s="684">
        <v>71457.429999999993</v>
      </c>
      <c r="E65" s="807">
        <v>-1492539</v>
      </c>
      <c r="F65" s="1006">
        <v>-1403807</v>
      </c>
      <c r="G65" s="1006"/>
      <c r="H65" s="1017">
        <v>24097</v>
      </c>
      <c r="I65" s="1017">
        <v>173286</v>
      </c>
      <c r="J65" s="1017">
        <v>236860</v>
      </c>
      <c r="K65" s="1006">
        <v>83686</v>
      </c>
      <c r="L65" s="1006"/>
      <c r="M65" s="1017">
        <v>4523</v>
      </c>
      <c r="N65" s="1017">
        <v>53951</v>
      </c>
      <c r="O65" s="1017">
        <v>0</v>
      </c>
      <c r="P65" s="1006">
        <v>39429</v>
      </c>
      <c r="Q65" s="1006"/>
      <c r="R65" s="1017">
        <v>223537</v>
      </c>
      <c r="S65" s="1018">
        <v>44691</v>
      </c>
      <c r="T65" s="1018">
        <v>268228</v>
      </c>
      <c r="U65" s="1018"/>
      <c r="V65" s="1018"/>
    </row>
    <row r="66" spans="1:22" x14ac:dyDescent="0.25">
      <c r="A66" s="1019" t="s">
        <v>2576</v>
      </c>
      <c r="B66" s="1016">
        <v>1.4748999999999999E-3</v>
      </c>
      <c r="C66" s="1016">
        <v>1.5782999999999999E-3</v>
      </c>
      <c r="D66" s="684">
        <v>1281.47</v>
      </c>
      <c r="E66" s="807">
        <v>-29508</v>
      </c>
      <c r="F66" s="1006">
        <v>-25175</v>
      </c>
      <c r="G66" s="1006"/>
      <c r="H66" s="1017">
        <v>432</v>
      </c>
      <c r="I66" s="1017">
        <v>3108</v>
      </c>
      <c r="J66" s="1017">
        <v>4248</v>
      </c>
      <c r="K66" s="1006">
        <v>1718</v>
      </c>
      <c r="L66" s="1006"/>
      <c r="M66" s="1017">
        <v>81</v>
      </c>
      <c r="N66" s="1017">
        <v>968</v>
      </c>
      <c r="O66" s="1017">
        <v>0</v>
      </c>
      <c r="P66" s="1006">
        <v>23</v>
      </c>
      <c r="Q66" s="1006"/>
      <c r="R66" s="1017">
        <v>4009</v>
      </c>
      <c r="S66" s="1018">
        <v>1352</v>
      </c>
      <c r="T66" s="1018">
        <v>5361</v>
      </c>
      <c r="U66" s="1018"/>
      <c r="V66" s="1018"/>
    </row>
    <row r="67" spans="1:22" x14ac:dyDescent="0.25">
      <c r="A67" s="1019" t="s">
        <v>2577</v>
      </c>
      <c r="B67" s="1016">
        <v>2.4242999999999999E-3</v>
      </c>
      <c r="C67" s="1016">
        <v>2.4842000000000002E-3</v>
      </c>
      <c r="D67" s="684">
        <v>2106.34</v>
      </c>
      <c r="E67" s="807">
        <v>-46445</v>
      </c>
      <c r="F67" s="1006">
        <v>-41380</v>
      </c>
      <c r="G67" s="1006"/>
      <c r="H67" s="1017">
        <v>710</v>
      </c>
      <c r="I67" s="1017">
        <v>5108</v>
      </c>
      <c r="J67" s="1017">
        <v>6982</v>
      </c>
      <c r="K67" s="1006">
        <v>986</v>
      </c>
      <c r="L67" s="1006"/>
      <c r="M67" s="1017">
        <v>133</v>
      </c>
      <c r="N67" s="1017">
        <v>1590</v>
      </c>
      <c r="O67" s="1017">
        <v>0</v>
      </c>
      <c r="P67" s="1006">
        <v>58</v>
      </c>
      <c r="Q67" s="1006"/>
      <c r="R67" s="1017">
        <v>6589</v>
      </c>
      <c r="S67" s="1018">
        <v>37</v>
      </c>
      <c r="T67" s="1018">
        <v>6627</v>
      </c>
      <c r="U67" s="1018"/>
      <c r="V67" s="1018"/>
    </row>
    <row r="68" spans="1:22" x14ac:dyDescent="0.25">
      <c r="A68" s="1019" t="s">
        <v>2578</v>
      </c>
      <c r="B68" s="1016">
        <v>6.9439999999999997E-3</v>
      </c>
      <c r="C68" s="1016">
        <v>2.2974999999999999E-2</v>
      </c>
      <c r="D68" s="684">
        <f>6031.73825+1.56</f>
        <v>6033.3</v>
      </c>
      <c r="E68" s="807">
        <v>-429540.6</v>
      </c>
      <c r="F68" s="1006">
        <v>-118527</v>
      </c>
      <c r="G68" s="1006"/>
      <c r="H68" s="1017">
        <v>2035</v>
      </c>
      <c r="I68" s="1017">
        <v>14631</v>
      </c>
      <c r="J68" s="1017">
        <v>19999</v>
      </c>
      <c r="K68" s="1006">
        <v>251013</v>
      </c>
      <c r="L68" s="1006"/>
      <c r="M68" s="1017">
        <v>382</v>
      </c>
      <c r="N68" s="1017">
        <v>4555</v>
      </c>
      <c r="O68" s="1017">
        <v>0</v>
      </c>
      <c r="P68" s="1006">
        <v>98102</v>
      </c>
      <c r="Q68" s="1006"/>
      <c r="R68" s="1017">
        <v>18874</v>
      </c>
      <c r="S68" s="1018">
        <v>51643</v>
      </c>
      <c r="T68" s="1018">
        <v>70517</v>
      </c>
      <c r="U68" s="1018"/>
      <c r="V68" s="1018"/>
    </row>
    <row r="69" spans="1:22" x14ac:dyDescent="0.25">
      <c r="A69" s="1019" t="s">
        <v>2579</v>
      </c>
      <c r="B69" s="1016">
        <v>8.3329000000000007E-3</v>
      </c>
      <c r="C69" s="1016">
        <v>8.3230999999999999E-3</v>
      </c>
      <c r="D69" s="684">
        <v>7240.07</v>
      </c>
      <c r="E69" s="807">
        <v>-155609</v>
      </c>
      <c r="F69" s="1006">
        <v>-142234</v>
      </c>
      <c r="G69" s="1006"/>
      <c r="H69" s="1017">
        <v>2442</v>
      </c>
      <c r="I69" s="1017">
        <v>17557</v>
      </c>
      <c r="J69" s="1017">
        <v>23999</v>
      </c>
      <c r="K69" s="1006">
        <v>351</v>
      </c>
      <c r="L69" s="1006"/>
      <c r="M69" s="1017">
        <v>458</v>
      </c>
      <c r="N69" s="1017">
        <v>5466</v>
      </c>
      <c r="O69" s="1017">
        <v>0</v>
      </c>
      <c r="P69" s="1006">
        <v>153</v>
      </c>
      <c r="Q69" s="1006"/>
      <c r="R69" s="1017">
        <v>22649</v>
      </c>
      <c r="S69" s="1018">
        <v>764</v>
      </c>
      <c r="T69" s="1018">
        <v>23413</v>
      </c>
      <c r="U69" s="1018"/>
      <c r="V69" s="1018"/>
    </row>
    <row r="70" spans="1:22" x14ac:dyDescent="0.25">
      <c r="A70" s="1019" t="s">
        <v>2580</v>
      </c>
      <c r="B70" s="1016">
        <v>2.74573E-2</v>
      </c>
      <c r="C70" s="1016">
        <v>2.7473600000000001E-2</v>
      </c>
      <c r="D70" s="684">
        <v>23856.49</v>
      </c>
      <c r="E70" s="807">
        <v>-513646</v>
      </c>
      <c r="F70" s="1006">
        <v>-468669</v>
      </c>
      <c r="G70" s="1006"/>
      <c r="H70" s="1017">
        <v>8045</v>
      </c>
      <c r="I70" s="1017">
        <v>57853</v>
      </c>
      <c r="J70" s="1017">
        <v>79077</v>
      </c>
      <c r="K70" s="1006">
        <v>255</v>
      </c>
      <c r="L70" s="1006"/>
      <c r="M70" s="1017">
        <v>1510</v>
      </c>
      <c r="N70" s="1017">
        <v>18012</v>
      </c>
      <c r="O70" s="1017">
        <v>0</v>
      </c>
      <c r="P70" s="1006">
        <v>15894</v>
      </c>
      <c r="Q70" s="1006"/>
      <c r="R70" s="1017">
        <v>74629</v>
      </c>
      <c r="S70" s="1018">
        <v>-16499</v>
      </c>
      <c r="T70" s="1018">
        <v>58130</v>
      </c>
      <c r="U70" s="1018"/>
      <c r="V70" s="1018"/>
    </row>
    <row r="71" spans="1:22" x14ac:dyDescent="0.25">
      <c r="A71" s="1019" t="s">
        <v>2581</v>
      </c>
      <c r="B71" s="1016">
        <v>1.5912999999999999E-3</v>
      </c>
      <c r="C71" s="1016">
        <v>1.7821E-3</v>
      </c>
      <c r="D71" s="684">
        <v>1382.64</v>
      </c>
      <c r="E71" s="807">
        <v>-33318</v>
      </c>
      <c r="F71" s="1006">
        <v>-27162</v>
      </c>
      <c r="G71" s="1006"/>
      <c r="H71" s="1017">
        <v>466</v>
      </c>
      <c r="I71" s="1017">
        <v>3353</v>
      </c>
      <c r="J71" s="1017">
        <v>4583</v>
      </c>
      <c r="K71" s="1006">
        <v>2988</v>
      </c>
      <c r="L71" s="1006"/>
      <c r="M71" s="1017">
        <v>88</v>
      </c>
      <c r="N71" s="1017">
        <v>1044</v>
      </c>
      <c r="O71" s="1017">
        <v>0</v>
      </c>
      <c r="P71" s="1006">
        <v>825</v>
      </c>
      <c r="Q71" s="1006"/>
      <c r="R71" s="1017">
        <v>4325</v>
      </c>
      <c r="S71" s="1018">
        <v>504</v>
      </c>
      <c r="T71" s="1018">
        <v>4829</v>
      </c>
      <c r="U71" s="1018"/>
      <c r="V71" s="1018"/>
    </row>
    <row r="72" spans="1:22" x14ac:dyDescent="0.25">
      <c r="A72" s="1019" t="s">
        <v>2582</v>
      </c>
      <c r="B72" s="1016">
        <v>2.2098099999999999E-2</v>
      </c>
      <c r="C72" s="1016">
        <v>2.22189E-2</v>
      </c>
      <c r="D72" s="684">
        <v>19200.07</v>
      </c>
      <c r="E72" s="807">
        <v>-415405</v>
      </c>
      <c r="F72" s="1006">
        <v>-377192</v>
      </c>
      <c r="G72" s="1006"/>
      <c r="H72" s="1017">
        <v>6475</v>
      </c>
      <c r="I72" s="1017">
        <v>46561</v>
      </c>
      <c r="J72" s="1017">
        <v>63643</v>
      </c>
      <c r="K72" s="1006">
        <v>7907</v>
      </c>
      <c r="L72" s="1006"/>
      <c r="M72" s="1017">
        <v>1215</v>
      </c>
      <c r="N72" s="1017">
        <v>14496</v>
      </c>
      <c r="O72" s="1017">
        <v>0</v>
      </c>
      <c r="P72" s="1006">
        <v>74</v>
      </c>
      <c r="Q72" s="1006"/>
      <c r="R72" s="1017">
        <v>60063</v>
      </c>
      <c r="S72" s="1018">
        <v>7318</v>
      </c>
      <c r="T72" s="1018">
        <v>67381</v>
      </c>
      <c r="U72" s="1018"/>
      <c r="V72" s="1018"/>
    </row>
    <row r="73" spans="1:22" x14ac:dyDescent="0.25">
      <c r="A73" s="1019" t="s">
        <v>2583</v>
      </c>
      <c r="B73" s="1016">
        <v>1.12581E-2</v>
      </c>
      <c r="C73" s="1016">
        <v>1.15307E-2</v>
      </c>
      <c r="D73" s="684">
        <v>9781.64</v>
      </c>
      <c r="E73" s="807">
        <v>-215578</v>
      </c>
      <c r="F73" s="1006">
        <v>-192165</v>
      </c>
      <c r="G73" s="1006"/>
      <c r="H73" s="1017">
        <v>3299</v>
      </c>
      <c r="I73" s="1017">
        <v>23721</v>
      </c>
      <c r="J73" s="1017">
        <v>32423</v>
      </c>
      <c r="K73" s="1006">
        <v>4268</v>
      </c>
      <c r="L73" s="1006"/>
      <c r="M73" s="1017">
        <v>619</v>
      </c>
      <c r="N73" s="1017">
        <v>7385</v>
      </c>
      <c r="O73" s="1017">
        <v>0</v>
      </c>
      <c r="P73" s="1006">
        <v>6394</v>
      </c>
      <c r="Q73" s="1006"/>
      <c r="R73" s="1017">
        <v>30600</v>
      </c>
      <c r="S73" s="1018">
        <v>-4049</v>
      </c>
      <c r="T73" s="1018">
        <v>26550</v>
      </c>
      <c r="U73" s="1018"/>
      <c r="V73" s="1018"/>
    </row>
    <row r="74" spans="1:22" x14ac:dyDescent="0.25">
      <c r="A74" s="1019" t="s">
        <v>2584</v>
      </c>
      <c r="B74" s="1016">
        <v>1.4119E-3</v>
      </c>
      <c r="C74" s="1016">
        <v>1.5663999999999999E-3</v>
      </c>
      <c r="D74" s="684">
        <v>1226.7</v>
      </c>
      <c r="E74" s="807">
        <v>-29285</v>
      </c>
      <c r="F74" s="1006">
        <v>-24100</v>
      </c>
      <c r="G74" s="1006"/>
      <c r="H74" s="1017">
        <v>414</v>
      </c>
      <c r="I74" s="1017">
        <v>2975</v>
      </c>
      <c r="J74" s="1017">
        <v>4066</v>
      </c>
      <c r="K74" s="1006">
        <v>2539</v>
      </c>
      <c r="L74" s="1006"/>
      <c r="M74" s="1017">
        <v>78</v>
      </c>
      <c r="N74" s="1017">
        <v>926</v>
      </c>
      <c r="O74" s="1017">
        <v>0</v>
      </c>
      <c r="P74" s="1006">
        <v>1680</v>
      </c>
      <c r="Q74" s="1006"/>
      <c r="R74" s="1017">
        <v>3838</v>
      </c>
      <c r="S74" s="1018">
        <v>420</v>
      </c>
      <c r="T74" s="1018">
        <v>4257</v>
      </c>
      <c r="U74" s="1018"/>
      <c r="V74" s="1018"/>
    </row>
    <row r="75" spans="1:22" x14ac:dyDescent="0.25">
      <c r="A75" s="1019" t="s">
        <v>2585</v>
      </c>
      <c r="B75" s="1016">
        <v>4.0241000000000001E-3</v>
      </c>
      <c r="C75" s="1016">
        <v>4.2376999999999996E-3</v>
      </c>
      <c r="D75" s="684">
        <v>3496.39</v>
      </c>
      <c r="E75" s="807">
        <v>-79228</v>
      </c>
      <c r="F75" s="1006">
        <v>-68687</v>
      </c>
      <c r="G75" s="1006"/>
      <c r="H75" s="1017">
        <v>1179</v>
      </c>
      <c r="I75" s="1017">
        <v>8479</v>
      </c>
      <c r="J75" s="1017">
        <v>11589</v>
      </c>
      <c r="K75" s="1006">
        <v>3504</v>
      </c>
      <c r="L75" s="1006"/>
      <c r="M75" s="1017">
        <v>221</v>
      </c>
      <c r="N75" s="1017">
        <v>2640</v>
      </c>
      <c r="O75" s="1017">
        <v>0</v>
      </c>
      <c r="P75" s="1006">
        <v>1159</v>
      </c>
      <c r="Q75" s="1006"/>
      <c r="R75" s="1017">
        <v>10938</v>
      </c>
      <c r="S75" s="1018">
        <v>1603</v>
      </c>
      <c r="T75" s="1018">
        <v>12540</v>
      </c>
      <c r="U75" s="1018"/>
      <c r="V75" s="1018"/>
    </row>
    <row r="76" spans="1:22" x14ac:dyDescent="0.25">
      <c r="A76" s="1019" t="s">
        <v>2586</v>
      </c>
      <c r="B76" s="1016">
        <v>7.4469999999999996E-3</v>
      </c>
      <c r="C76" s="1016">
        <v>7.2559E-3</v>
      </c>
      <c r="D76" s="684">
        <v>6470.36</v>
      </c>
      <c r="E76" s="807">
        <v>-135656</v>
      </c>
      <c r="F76" s="1006">
        <v>-127113</v>
      </c>
      <c r="G76" s="1006"/>
      <c r="H76" s="1017">
        <v>2182</v>
      </c>
      <c r="I76" s="1017">
        <v>15691</v>
      </c>
      <c r="J76" s="1017">
        <v>21447</v>
      </c>
      <c r="K76" s="1006">
        <v>0</v>
      </c>
      <c r="L76" s="1006"/>
      <c r="M76" s="1017">
        <v>410</v>
      </c>
      <c r="N76" s="1017">
        <v>4885</v>
      </c>
      <c r="O76" s="1017">
        <v>0</v>
      </c>
      <c r="P76" s="1006">
        <v>5415</v>
      </c>
      <c r="Q76" s="1006"/>
      <c r="R76" s="1017">
        <v>20241</v>
      </c>
      <c r="S76" s="1018">
        <v>-5496</v>
      </c>
      <c r="T76" s="1018">
        <v>14745</v>
      </c>
      <c r="U76" s="1018"/>
      <c r="V76" s="1018"/>
    </row>
    <row r="77" spans="1:22" x14ac:dyDescent="0.25">
      <c r="A77" s="1019" t="s">
        <v>2587</v>
      </c>
      <c r="B77" s="1016">
        <v>1.2819000000000001E-3</v>
      </c>
      <c r="C77" s="1016">
        <v>1.4243000000000001E-3</v>
      </c>
      <c r="D77" s="684">
        <v>1113.81</v>
      </c>
      <c r="E77" s="807">
        <v>-26629</v>
      </c>
      <c r="F77" s="1006">
        <v>-21881</v>
      </c>
      <c r="G77" s="1006"/>
      <c r="H77" s="1017">
        <v>376</v>
      </c>
      <c r="I77" s="1017">
        <v>2701</v>
      </c>
      <c r="J77" s="1017">
        <v>3692</v>
      </c>
      <c r="K77" s="1006">
        <v>2291</v>
      </c>
      <c r="L77" s="1006"/>
      <c r="M77" s="1017">
        <v>71</v>
      </c>
      <c r="N77" s="1017">
        <v>841</v>
      </c>
      <c r="O77" s="1017">
        <v>0</v>
      </c>
      <c r="P77" s="1006">
        <v>802</v>
      </c>
      <c r="Q77" s="1006"/>
      <c r="R77" s="1017">
        <v>3484</v>
      </c>
      <c r="S77" s="1018">
        <v>869</v>
      </c>
      <c r="T77" s="1018">
        <v>4354</v>
      </c>
      <c r="U77" s="1018"/>
      <c r="V77" s="1018"/>
    </row>
    <row r="78" spans="1:22" x14ac:dyDescent="0.25">
      <c r="A78" s="1019" t="s">
        <v>2588</v>
      </c>
      <c r="B78" s="1016">
        <v>3.4467E-3</v>
      </c>
      <c r="C78" s="1016">
        <v>3.5128999999999998E-3</v>
      </c>
      <c r="D78" s="684">
        <v>2994.67</v>
      </c>
      <c r="E78" s="807">
        <v>-65677</v>
      </c>
      <c r="F78" s="1006">
        <v>-58832</v>
      </c>
      <c r="G78" s="1006"/>
      <c r="H78" s="1017">
        <v>1010</v>
      </c>
      <c r="I78" s="1017">
        <v>7262</v>
      </c>
      <c r="J78" s="1017">
        <v>9926</v>
      </c>
      <c r="K78" s="1006">
        <v>1615</v>
      </c>
      <c r="L78" s="1006"/>
      <c r="M78" s="1017">
        <v>190</v>
      </c>
      <c r="N78" s="1017">
        <v>2261</v>
      </c>
      <c r="O78" s="1017">
        <v>0</v>
      </c>
      <c r="P78" s="1006">
        <v>0</v>
      </c>
      <c r="Q78" s="1006"/>
      <c r="R78" s="1017">
        <v>9368</v>
      </c>
      <c r="S78" s="1018">
        <v>1805</v>
      </c>
      <c r="T78" s="1018">
        <v>11173</v>
      </c>
      <c r="U78" s="1018"/>
      <c r="V78" s="1018"/>
    </row>
    <row r="79" spans="1:22" x14ac:dyDescent="0.25">
      <c r="A79" s="1019" t="s">
        <v>2589</v>
      </c>
      <c r="B79" s="1016">
        <v>1.4525700000000001E-2</v>
      </c>
      <c r="C79" s="1016">
        <v>1.42188E-2</v>
      </c>
      <c r="D79" s="684">
        <v>12620.74</v>
      </c>
      <c r="E79" s="807">
        <v>-265835</v>
      </c>
      <c r="F79" s="1006">
        <v>-247939</v>
      </c>
      <c r="G79" s="1006"/>
      <c r="H79" s="1017">
        <v>4256</v>
      </c>
      <c r="I79" s="1017">
        <v>30606</v>
      </c>
      <c r="J79" s="1017">
        <v>41834</v>
      </c>
      <c r="K79" s="1006">
        <v>3878</v>
      </c>
      <c r="L79" s="1006"/>
      <c r="M79" s="1017">
        <v>799</v>
      </c>
      <c r="N79" s="1017">
        <v>9529</v>
      </c>
      <c r="O79" s="1017">
        <v>0</v>
      </c>
      <c r="P79" s="1006">
        <v>4805</v>
      </c>
      <c r="Q79" s="1006"/>
      <c r="R79" s="1017">
        <v>39481</v>
      </c>
      <c r="S79" s="1018">
        <v>884</v>
      </c>
      <c r="T79" s="1018">
        <v>40364</v>
      </c>
      <c r="U79" s="1018"/>
      <c r="V79" s="1018"/>
    </row>
    <row r="80" spans="1:22" x14ac:dyDescent="0.25">
      <c r="A80" s="1019" t="s">
        <v>2590</v>
      </c>
      <c r="B80" s="1016">
        <v>2.3395999999999998E-3</v>
      </c>
      <c r="C80" s="1016">
        <v>2.2653999999999999E-3</v>
      </c>
      <c r="D80" s="684">
        <v>2032.78</v>
      </c>
      <c r="E80" s="807">
        <v>-42354</v>
      </c>
      <c r="F80" s="1006">
        <v>-39935</v>
      </c>
      <c r="G80" s="1006"/>
      <c r="H80" s="1017">
        <v>686</v>
      </c>
      <c r="I80" s="1017">
        <v>4930</v>
      </c>
      <c r="J80" s="1017">
        <v>6738</v>
      </c>
      <c r="K80" s="1006">
        <v>1369</v>
      </c>
      <c r="L80" s="1006"/>
      <c r="M80" s="1017">
        <v>129</v>
      </c>
      <c r="N80" s="1017">
        <v>1535</v>
      </c>
      <c r="O80" s="1017">
        <v>0</v>
      </c>
      <c r="P80" s="1006">
        <v>1440</v>
      </c>
      <c r="Q80" s="1006"/>
      <c r="R80" s="1017">
        <v>6359</v>
      </c>
      <c r="S80" s="1018">
        <v>-1157</v>
      </c>
      <c r="T80" s="1018">
        <v>5202</v>
      </c>
      <c r="U80" s="1018"/>
      <c r="V80" s="1018"/>
    </row>
    <row r="81" spans="1:22" x14ac:dyDescent="0.25">
      <c r="A81" s="1019" t="s">
        <v>2591</v>
      </c>
      <c r="B81" s="1016">
        <v>1.20278E-2</v>
      </c>
      <c r="C81" s="1016">
        <v>1.1860799999999999E-2</v>
      </c>
      <c r="D81" s="684">
        <v>10450.469999999999</v>
      </c>
      <c r="E81" s="807">
        <v>-221750</v>
      </c>
      <c r="F81" s="1006">
        <v>-205303</v>
      </c>
      <c r="G81" s="1006"/>
      <c r="H81" s="1017">
        <v>3524</v>
      </c>
      <c r="I81" s="1017">
        <v>25343</v>
      </c>
      <c r="J81" s="1017">
        <v>34640</v>
      </c>
      <c r="K81" s="1006">
        <v>13221</v>
      </c>
      <c r="L81" s="1006"/>
      <c r="M81" s="1017">
        <v>662</v>
      </c>
      <c r="N81" s="1017">
        <v>7890</v>
      </c>
      <c r="O81" s="1017">
        <v>0</v>
      </c>
      <c r="P81" s="1006">
        <v>4644</v>
      </c>
      <c r="Q81" s="1006"/>
      <c r="R81" s="1017">
        <v>32692</v>
      </c>
      <c r="S81" s="1018">
        <v>-2435</v>
      </c>
      <c r="T81" s="1018">
        <v>30256</v>
      </c>
      <c r="U81" s="1018"/>
      <c r="V81" s="1018"/>
    </row>
    <row r="82" spans="1:22" x14ac:dyDescent="0.25">
      <c r="A82" s="1019" t="s">
        <v>2592</v>
      </c>
      <c r="B82" s="1016">
        <v>2.7853999999999999E-3</v>
      </c>
      <c r="C82" s="1016">
        <v>2.9551E-3</v>
      </c>
      <c r="D82" s="684">
        <v>2420.11</v>
      </c>
      <c r="E82" s="807">
        <v>-55249</v>
      </c>
      <c r="F82" s="1006">
        <v>-47544</v>
      </c>
      <c r="G82" s="1006"/>
      <c r="H82" s="1017">
        <v>816</v>
      </c>
      <c r="I82" s="1017">
        <v>5869</v>
      </c>
      <c r="J82" s="1017">
        <v>8022</v>
      </c>
      <c r="K82" s="1006">
        <v>2657</v>
      </c>
      <c r="L82" s="1006"/>
      <c r="M82" s="1017">
        <v>153</v>
      </c>
      <c r="N82" s="1017">
        <v>1827</v>
      </c>
      <c r="O82" s="1017">
        <v>0</v>
      </c>
      <c r="P82" s="1006">
        <v>744</v>
      </c>
      <c r="Q82" s="1006"/>
      <c r="R82" s="1017">
        <v>7571</v>
      </c>
      <c r="S82" s="1018">
        <v>-35</v>
      </c>
      <c r="T82" s="1018">
        <v>7536</v>
      </c>
      <c r="U82" s="1018"/>
      <c r="V82" s="1018"/>
    </row>
    <row r="83" spans="1:22" x14ac:dyDescent="0.25">
      <c r="A83" s="1019" t="s">
        <v>2593</v>
      </c>
      <c r="B83" s="1016">
        <v>7.8741000000000002E-3</v>
      </c>
      <c r="C83" s="1016">
        <v>8.4644000000000004E-3</v>
      </c>
      <c r="D83" s="684">
        <v>6841.42</v>
      </c>
      <c r="E83" s="807">
        <v>-158250</v>
      </c>
      <c r="F83" s="1006">
        <v>-134403</v>
      </c>
      <c r="G83" s="1006"/>
      <c r="H83" s="1017">
        <v>2307</v>
      </c>
      <c r="I83" s="1017">
        <v>16591</v>
      </c>
      <c r="J83" s="1017">
        <v>22677</v>
      </c>
      <c r="K83" s="1006">
        <v>9470</v>
      </c>
      <c r="L83" s="1006"/>
      <c r="M83" s="1017">
        <v>433</v>
      </c>
      <c r="N83" s="1017">
        <v>5165</v>
      </c>
      <c r="O83" s="1017">
        <v>0</v>
      </c>
      <c r="P83" s="1006">
        <v>6538</v>
      </c>
      <c r="Q83" s="1006"/>
      <c r="R83" s="1017">
        <v>21402</v>
      </c>
      <c r="S83" s="1018">
        <v>94</v>
      </c>
      <c r="T83" s="1018">
        <v>21496</v>
      </c>
      <c r="U83" s="1018"/>
      <c r="V83" s="1018"/>
    </row>
    <row r="84" spans="1:22" x14ac:dyDescent="0.25">
      <c r="A84" s="1019" t="s">
        <v>2594</v>
      </c>
      <c r="B84" s="1016">
        <v>8.0756999999999999E-3</v>
      </c>
      <c r="C84" s="1016">
        <v>7.9863E-3</v>
      </c>
      <c r="D84" s="684">
        <v>7016.61</v>
      </c>
      <c r="E84" s="807">
        <v>-149312</v>
      </c>
      <c r="F84" s="1006">
        <v>-137844</v>
      </c>
      <c r="G84" s="1006"/>
      <c r="H84" s="1017">
        <v>2366</v>
      </c>
      <c r="I84" s="1017">
        <v>17015</v>
      </c>
      <c r="J84" s="1017">
        <v>23258</v>
      </c>
      <c r="K84" s="1006">
        <v>1689</v>
      </c>
      <c r="L84" s="1006"/>
      <c r="M84" s="1017">
        <v>444</v>
      </c>
      <c r="N84" s="1017">
        <v>5298</v>
      </c>
      <c r="O84" s="1017">
        <v>0</v>
      </c>
      <c r="P84" s="1006">
        <v>1532</v>
      </c>
      <c r="Q84" s="1006"/>
      <c r="R84" s="1017">
        <v>21950</v>
      </c>
      <c r="S84" s="1018">
        <v>-689</v>
      </c>
      <c r="T84" s="1018">
        <v>21261</v>
      </c>
      <c r="U84" s="1018"/>
      <c r="V84" s="1018"/>
    </row>
    <row r="85" spans="1:22" x14ac:dyDescent="0.25">
      <c r="A85" s="1019" t="s">
        <v>2595</v>
      </c>
      <c r="B85" s="1016">
        <v>1.3247699999999999E-2</v>
      </c>
      <c r="C85" s="1016">
        <v>1.2933699999999999E-2</v>
      </c>
      <c r="D85" s="684">
        <v>11510.38</v>
      </c>
      <c r="E85" s="807">
        <v>-241808</v>
      </c>
      <c r="F85" s="1006">
        <v>-226125</v>
      </c>
      <c r="G85" s="1006"/>
      <c r="H85" s="1017">
        <v>3882</v>
      </c>
      <c r="I85" s="1017">
        <v>27913</v>
      </c>
      <c r="J85" s="1017">
        <v>38153</v>
      </c>
      <c r="K85" s="1006">
        <v>54</v>
      </c>
      <c r="L85" s="1006"/>
      <c r="M85" s="1017">
        <v>729</v>
      </c>
      <c r="N85" s="1017">
        <v>8690</v>
      </c>
      <c r="O85" s="1017">
        <v>0</v>
      </c>
      <c r="P85" s="1006">
        <v>8121</v>
      </c>
      <c r="Q85" s="1006"/>
      <c r="R85" s="1017">
        <v>36007</v>
      </c>
      <c r="S85" s="1018">
        <v>-5303</v>
      </c>
      <c r="T85" s="1018">
        <v>30704</v>
      </c>
      <c r="U85" s="1018"/>
      <c r="V85" s="1018"/>
    </row>
    <row r="86" spans="1:22" x14ac:dyDescent="0.25">
      <c r="A86" s="1019" t="s">
        <v>2596</v>
      </c>
      <c r="B86" s="1016">
        <v>6.8475000000000003E-3</v>
      </c>
      <c r="C86" s="1016">
        <v>6.5884000000000003E-3</v>
      </c>
      <c r="D86" s="684">
        <v>5949.47</v>
      </c>
      <c r="E86" s="807">
        <v>-123177</v>
      </c>
      <c r="F86" s="1006">
        <v>-116880</v>
      </c>
      <c r="G86" s="1006"/>
      <c r="H86" s="1017">
        <v>2006</v>
      </c>
      <c r="I86" s="1017">
        <v>14428</v>
      </c>
      <c r="J86" s="1017">
        <v>19721</v>
      </c>
      <c r="K86" s="1006">
        <v>0</v>
      </c>
      <c r="L86" s="1006"/>
      <c r="M86" s="1017">
        <v>377</v>
      </c>
      <c r="N86" s="1017">
        <v>4492</v>
      </c>
      <c r="O86" s="1017">
        <v>0</v>
      </c>
      <c r="P86" s="1006">
        <v>4677</v>
      </c>
      <c r="Q86" s="1006"/>
      <c r="R86" s="1017">
        <v>18612</v>
      </c>
      <c r="S86" s="1018">
        <v>-3978</v>
      </c>
      <c r="T86" s="1018">
        <v>14633</v>
      </c>
      <c r="U86" s="1018"/>
      <c r="V86" s="1018"/>
    </row>
    <row r="87" spans="1:22" x14ac:dyDescent="0.25">
      <c r="A87" s="1019" t="s">
        <v>2597</v>
      </c>
      <c r="B87" s="1016">
        <v>4.8418000000000003E-3</v>
      </c>
      <c r="C87" s="1016">
        <v>5.0077999999999998E-3</v>
      </c>
      <c r="D87" s="684">
        <v>4206.8599999999997</v>
      </c>
      <c r="E87" s="807">
        <v>-93626</v>
      </c>
      <c r="F87" s="1006">
        <v>-82645</v>
      </c>
      <c r="G87" s="1006"/>
      <c r="H87" s="1017">
        <v>1419</v>
      </c>
      <c r="I87" s="1017">
        <v>10202</v>
      </c>
      <c r="J87" s="1017">
        <v>13944</v>
      </c>
      <c r="K87" s="1006">
        <v>2638</v>
      </c>
      <c r="L87" s="1006"/>
      <c r="M87" s="1017">
        <v>266</v>
      </c>
      <c r="N87" s="1017">
        <v>3176</v>
      </c>
      <c r="O87" s="1017">
        <v>0</v>
      </c>
      <c r="P87" s="1006">
        <v>1476</v>
      </c>
      <c r="Q87" s="1006"/>
      <c r="R87" s="1017">
        <v>13160</v>
      </c>
      <c r="S87" s="1018">
        <v>8</v>
      </c>
      <c r="T87" s="1018">
        <v>13168</v>
      </c>
      <c r="U87" s="1018"/>
      <c r="V87" s="1018"/>
    </row>
    <row r="88" spans="1:22" x14ac:dyDescent="0.25">
      <c r="A88" s="1019" t="s">
        <v>2598</v>
      </c>
      <c r="B88" s="1016">
        <v>2.9344000000000002E-3</v>
      </c>
      <c r="C88" s="1016">
        <v>3.0856999999999998E-3</v>
      </c>
      <c r="D88" s="684">
        <v>2549.61</v>
      </c>
      <c r="E88" s="807">
        <v>-57690</v>
      </c>
      <c r="F88" s="1006">
        <v>-50087</v>
      </c>
      <c r="G88" s="1006"/>
      <c r="H88" s="1017">
        <v>860</v>
      </c>
      <c r="I88" s="1017">
        <v>6183</v>
      </c>
      <c r="J88" s="1017">
        <v>8451</v>
      </c>
      <c r="K88" s="1006">
        <v>2369</v>
      </c>
      <c r="L88" s="1006"/>
      <c r="M88" s="1017">
        <v>161</v>
      </c>
      <c r="N88" s="1017">
        <v>1925</v>
      </c>
      <c r="O88" s="1017">
        <v>0</v>
      </c>
      <c r="P88" s="1006">
        <v>2384</v>
      </c>
      <c r="Q88" s="1006"/>
      <c r="R88" s="1017">
        <v>7976</v>
      </c>
      <c r="S88" s="1018">
        <v>-856</v>
      </c>
      <c r="T88" s="1018">
        <v>7120</v>
      </c>
      <c r="U88" s="1018"/>
      <c r="V88" s="1018"/>
    </row>
    <row r="89" spans="1:22" x14ac:dyDescent="0.25">
      <c r="A89" s="1019" t="s">
        <v>2599</v>
      </c>
      <c r="B89" s="1016">
        <v>6.3501E-3</v>
      </c>
      <c r="C89" s="1016">
        <v>6.2223000000000001E-3</v>
      </c>
      <c r="D89" s="684">
        <v>5517.36</v>
      </c>
      <c r="E89" s="807">
        <v>-116332</v>
      </c>
      <c r="F89" s="1006">
        <v>-108390</v>
      </c>
      <c r="G89" s="1006"/>
      <c r="H89" s="1017">
        <v>1861</v>
      </c>
      <c r="I89" s="1017">
        <v>13380</v>
      </c>
      <c r="J89" s="1017">
        <v>18288</v>
      </c>
      <c r="K89" s="1006">
        <v>0</v>
      </c>
      <c r="L89" s="1006"/>
      <c r="M89" s="1017">
        <v>349</v>
      </c>
      <c r="N89" s="1017">
        <v>4166</v>
      </c>
      <c r="O89" s="1017">
        <v>0</v>
      </c>
      <c r="P89" s="1006">
        <v>6126</v>
      </c>
      <c r="Q89" s="1006"/>
      <c r="R89" s="1017">
        <v>17260</v>
      </c>
      <c r="S89" s="1018">
        <v>-6275</v>
      </c>
      <c r="T89" s="1018">
        <v>10984</v>
      </c>
      <c r="U89" s="1018"/>
      <c r="V89" s="1018"/>
    </row>
    <row r="90" spans="1:22" x14ac:dyDescent="0.25">
      <c r="A90" s="1019" t="s">
        <v>2600</v>
      </c>
      <c r="B90" s="1016">
        <v>3.8162000000000001E-3</v>
      </c>
      <c r="C90" s="1016">
        <v>3.6819000000000001E-3</v>
      </c>
      <c r="D90" s="684">
        <v>3315.69</v>
      </c>
      <c r="E90" s="807">
        <v>-68837</v>
      </c>
      <c r="F90" s="1006">
        <v>-65139</v>
      </c>
      <c r="G90" s="1006"/>
      <c r="H90" s="1017">
        <v>1118</v>
      </c>
      <c r="I90" s="1017">
        <v>8041</v>
      </c>
      <c r="J90" s="1017">
        <v>10991</v>
      </c>
      <c r="K90" s="1006">
        <v>1750</v>
      </c>
      <c r="L90" s="1006"/>
      <c r="M90" s="1017">
        <v>210</v>
      </c>
      <c r="N90" s="1017">
        <v>2503</v>
      </c>
      <c r="O90" s="1017">
        <v>0</v>
      </c>
      <c r="P90" s="1006">
        <v>2418</v>
      </c>
      <c r="Q90" s="1006"/>
      <c r="R90" s="1017">
        <v>10372</v>
      </c>
      <c r="S90" s="1018">
        <v>-1477</v>
      </c>
      <c r="T90" s="1018">
        <v>8895</v>
      </c>
      <c r="U90" s="1018"/>
      <c r="V90" s="1018"/>
    </row>
    <row r="91" spans="1:22" x14ac:dyDescent="0.25">
      <c r="A91" s="1019" t="s">
        <v>2601</v>
      </c>
      <c r="B91" s="1016">
        <v>6.3610999999999997E-3</v>
      </c>
      <c r="C91" s="1016">
        <v>7.1685999999999998E-3</v>
      </c>
      <c r="D91" s="684">
        <v>5526.92</v>
      </c>
      <c r="E91" s="807">
        <v>-134024</v>
      </c>
      <c r="F91" s="1006">
        <v>-108578</v>
      </c>
      <c r="G91" s="1006"/>
      <c r="H91" s="1017">
        <v>1864</v>
      </c>
      <c r="I91" s="1017">
        <v>13403</v>
      </c>
      <c r="J91" s="1017">
        <v>18320</v>
      </c>
      <c r="K91" s="1006">
        <v>12644</v>
      </c>
      <c r="L91" s="1006"/>
      <c r="M91" s="1017">
        <v>350</v>
      </c>
      <c r="N91" s="1017">
        <v>4173</v>
      </c>
      <c r="O91" s="1017">
        <v>0</v>
      </c>
      <c r="P91" s="1006">
        <v>969</v>
      </c>
      <c r="Q91" s="1006"/>
      <c r="R91" s="1017">
        <v>17289</v>
      </c>
      <c r="S91" s="1018">
        <v>5121</v>
      </c>
      <c r="T91" s="1018">
        <v>22410</v>
      </c>
      <c r="U91" s="1018"/>
      <c r="V91" s="1018"/>
    </row>
    <row r="92" spans="1:22" x14ac:dyDescent="0.25">
      <c r="A92" s="1019" t="s">
        <v>2602</v>
      </c>
      <c r="B92" s="1016">
        <v>3.0937999999999998E-3</v>
      </c>
      <c r="C92" s="1016">
        <v>3.0403000000000001E-3</v>
      </c>
      <c r="D92" s="684">
        <v>2688.06</v>
      </c>
      <c r="E92" s="807">
        <v>-56841</v>
      </c>
      <c r="F92" s="1006">
        <v>-52808</v>
      </c>
      <c r="G92" s="1006"/>
      <c r="H92" s="1017">
        <v>906</v>
      </c>
      <c r="I92" s="1017">
        <v>6519</v>
      </c>
      <c r="J92" s="1017">
        <v>8910</v>
      </c>
      <c r="K92" s="1006">
        <v>0</v>
      </c>
      <c r="L92" s="1006"/>
      <c r="M92" s="1017">
        <v>170</v>
      </c>
      <c r="N92" s="1017">
        <v>2030</v>
      </c>
      <c r="O92" s="1017">
        <v>0</v>
      </c>
      <c r="P92" s="1006">
        <v>2953</v>
      </c>
      <c r="Q92" s="1006"/>
      <c r="R92" s="1017">
        <v>8409</v>
      </c>
      <c r="S92" s="1018">
        <v>443</v>
      </c>
      <c r="T92" s="1018">
        <v>8852</v>
      </c>
      <c r="U92" s="1018"/>
      <c r="V92" s="1018"/>
    </row>
    <row r="93" spans="1:22" x14ac:dyDescent="0.25">
      <c r="A93" s="1019" t="s">
        <v>2603</v>
      </c>
      <c r="B93" s="1016">
        <v>4.2665999999999997E-3</v>
      </c>
      <c r="C93" s="1016">
        <v>4.2072000000000003E-3</v>
      </c>
      <c r="D93" s="684">
        <v>3707.05</v>
      </c>
      <c r="E93" s="807">
        <v>-78658</v>
      </c>
      <c r="F93" s="1006">
        <v>-72827</v>
      </c>
      <c r="G93" s="1006"/>
      <c r="H93" s="1017">
        <v>1250</v>
      </c>
      <c r="I93" s="1017">
        <v>8990</v>
      </c>
      <c r="J93" s="1017">
        <v>12288</v>
      </c>
      <c r="K93" s="1006">
        <v>0</v>
      </c>
      <c r="L93" s="1006"/>
      <c r="M93" s="1017">
        <v>235</v>
      </c>
      <c r="N93" s="1017">
        <v>2799</v>
      </c>
      <c r="O93" s="1017">
        <v>0</v>
      </c>
      <c r="P93" s="1006">
        <v>1685</v>
      </c>
      <c r="Q93" s="1006"/>
      <c r="R93" s="1017">
        <v>11597</v>
      </c>
      <c r="S93" s="1018">
        <v>-1481</v>
      </c>
      <c r="T93" s="1018">
        <v>10116</v>
      </c>
      <c r="U93" s="1018"/>
      <c r="V93" s="1018"/>
    </row>
    <row r="94" spans="1:22" x14ac:dyDescent="0.25">
      <c r="A94" s="1019" t="s">
        <v>2604</v>
      </c>
      <c r="B94" s="1016">
        <v>3.0699999999999998E-4</v>
      </c>
      <c r="C94" s="1016">
        <v>3.724E-4</v>
      </c>
      <c r="D94" s="684">
        <v>266.7</v>
      </c>
      <c r="E94" s="807">
        <v>-6962</v>
      </c>
      <c r="F94" s="1006">
        <v>-5240</v>
      </c>
      <c r="G94" s="1006"/>
      <c r="H94" s="1017">
        <v>90</v>
      </c>
      <c r="I94" s="1017">
        <v>647</v>
      </c>
      <c r="J94" s="1017">
        <v>884</v>
      </c>
      <c r="K94" s="1006">
        <v>1144</v>
      </c>
      <c r="L94" s="1006"/>
      <c r="M94" s="1017">
        <v>17</v>
      </c>
      <c r="N94" s="1017">
        <v>201</v>
      </c>
      <c r="O94" s="1017">
        <v>0</v>
      </c>
      <c r="P94" s="1006">
        <v>334</v>
      </c>
      <c r="Q94" s="1006"/>
      <c r="R94" s="1017">
        <v>834</v>
      </c>
      <c r="S94" s="1018">
        <v>788</v>
      </c>
      <c r="T94" s="1018">
        <v>1623</v>
      </c>
      <c r="U94" s="1018"/>
      <c r="V94" s="1018"/>
    </row>
    <row r="95" spans="1:22" x14ac:dyDescent="0.25">
      <c r="A95" s="1019" t="s">
        <v>2605</v>
      </c>
      <c r="B95" s="1016">
        <v>2.61335E-2</v>
      </c>
      <c r="C95" s="1016">
        <v>2.6073599999999999E-2</v>
      </c>
      <c r="D95" s="684">
        <v>22706.27</v>
      </c>
      <c r="E95" s="807">
        <v>-487472</v>
      </c>
      <c r="F95" s="1006">
        <v>-446073</v>
      </c>
      <c r="G95" s="1006"/>
      <c r="H95" s="1017">
        <v>7657</v>
      </c>
      <c r="I95" s="1017">
        <v>55063</v>
      </c>
      <c r="J95" s="1017">
        <v>75264</v>
      </c>
      <c r="K95" s="1006">
        <v>1022</v>
      </c>
      <c r="L95" s="1006"/>
      <c r="M95" s="1017">
        <v>1437</v>
      </c>
      <c r="N95" s="1017">
        <v>17144</v>
      </c>
      <c r="O95" s="1017">
        <v>0</v>
      </c>
      <c r="P95" s="1006">
        <v>2506</v>
      </c>
      <c r="Q95" s="1006"/>
      <c r="R95" s="1017">
        <v>71031</v>
      </c>
      <c r="S95" s="1018">
        <v>-6599</v>
      </c>
      <c r="T95" s="1018">
        <v>64432</v>
      </c>
      <c r="U95" s="1018"/>
      <c r="V95" s="1018"/>
    </row>
    <row r="96" spans="1:22" x14ac:dyDescent="0.25">
      <c r="A96" s="1019" t="s">
        <v>2606</v>
      </c>
      <c r="B96" s="1016">
        <v>3.5677999999999999E-3</v>
      </c>
      <c r="C96" s="1016">
        <v>3.6116999999999998E-3</v>
      </c>
      <c r="D96" s="684">
        <v>3099.86</v>
      </c>
      <c r="E96" s="807">
        <v>-67524</v>
      </c>
      <c r="F96" s="1006">
        <v>-60899</v>
      </c>
      <c r="G96" s="1006"/>
      <c r="H96" s="1017">
        <v>1045</v>
      </c>
      <c r="I96" s="1017">
        <v>7517</v>
      </c>
      <c r="J96" s="1017">
        <v>10275</v>
      </c>
      <c r="K96" s="1006">
        <v>1746</v>
      </c>
      <c r="L96" s="1006"/>
      <c r="M96" s="1017">
        <v>196</v>
      </c>
      <c r="N96" s="1017">
        <v>2340</v>
      </c>
      <c r="O96" s="1017">
        <v>0</v>
      </c>
      <c r="P96" s="1006">
        <v>0</v>
      </c>
      <c r="Q96" s="1006"/>
      <c r="R96" s="1017">
        <v>9697</v>
      </c>
      <c r="S96" s="1018">
        <v>1347</v>
      </c>
      <c r="T96" s="1018">
        <v>11045</v>
      </c>
      <c r="U96" s="1018"/>
      <c r="V96" s="1018"/>
    </row>
    <row r="97" spans="1:22" x14ac:dyDescent="0.25">
      <c r="A97" s="1019" t="s">
        <v>2607</v>
      </c>
      <c r="B97" s="1016">
        <v>0.1145418</v>
      </c>
      <c r="C97" s="1016">
        <v>9.9709900000000004E-2</v>
      </c>
      <c r="D97" s="684">
        <v>99520.66</v>
      </c>
      <c r="E97" s="807">
        <v>-1864176</v>
      </c>
      <c r="F97" s="1006">
        <v>-1955114</v>
      </c>
      <c r="G97" s="1006"/>
      <c r="H97" s="1017">
        <v>33561</v>
      </c>
      <c r="I97" s="1017">
        <v>241340</v>
      </c>
      <c r="J97" s="1017">
        <v>329880</v>
      </c>
      <c r="K97" s="1006">
        <v>114883</v>
      </c>
      <c r="L97" s="1006"/>
      <c r="M97" s="1017">
        <v>6300</v>
      </c>
      <c r="N97" s="1017">
        <v>75139</v>
      </c>
      <c r="O97" s="1017">
        <v>0</v>
      </c>
      <c r="P97" s="1006">
        <v>241231</v>
      </c>
      <c r="Q97" s="1006"/>
      <c r="R97" s="1017">
        <v>311325</v>
      </c>
      <c r="S97" s="1018">
        <v>-68284</v>
      </c>
      <c r="T97" s="1018">
        <v>243040</v>
      </c>
      <c r="U97" s="1018"/>
      <c r="V97" s="1018"/>
    </row>
    <row r="98" spans="1:22" x14ac:dyDescent="0.25">
      <c r="A98" s="1019" t="s">
        <v>2608</v>
      </c>
      <c r="B98" s="1016">
        <v>1.4982000000000001E-3</v>
      </c>
      <c r="C98" s="1016">
        <v>1.6083E-3</v>
      </c>
      <c r="D98" s="684">
        <v>1301.73</v>
      </c>
      <c r="E98" s="807">
        <v>-30069</v>
      </c>
      <c r="F98" s="1006">
        <v>-25573</v>
      </c>
      <c r="G98" s="1006"/>
      <c r="H98" s="1017">
        <v>439</v>
      </c>
      <c r="I98" s="1017">
        <v>3157</v>
      </c>
      <c r="J98" s="1017">
        <v>4315</v>
      </c>
      <c r="K98" s="1006">
        <v>1917</v>
      </c>
      <c r="L98" s="1006"/>
      <c r="M98" s="1017">
        <v>82</v>
      </c>
      <c r="N98" s="1017">
        <v>983</v>
      </c>
      <c r="O98" s="1017">
        <v>0</v>
      </c>
      <c r="P98" s="1006">
        <v>1959</v>
      </c>
      <c r="Q98" s="1006"/>
      <c r="R98" s="1017">
        <v>4072</v>
      </c>
      <c r="S98" s="1018">
        <v>459</v>
      </c>
      <c r="T98" s="1018">
        <v>4531</v>
      </c>
      <c r="U98" s="1018"/>
      <c r="V98" s="1018"/>
    </row>
    <row r="99" spans="1:22" x14ac:dyDescent="0.25">
      <c r="A99" s="1019" t="s">
        <v>2609</v>
      </c>
      <c r="B99" s="1016">
        <v>1.3189E-3</v>
      </c>
      <c r="C99" s="1016">
        <v>1.2009E-3</v>
      </c>
      <c r="D99" s="684">
        <v>1145.94</v>
      </c>
      <c r="E99" s="807">
        <v>-22452</v>
      </c>
      <c r="F99" s="1006">
        <v>-22512</v>
      </c>
      <c r="G99" s="1006"/>
      <c r="H99" s="1017">
        <v>386</v>
      </c>
      <c r="I99" s="1017">
        <v>2779</v>
      </c>
      <c r="J99" s="1017">
        <v>3798</v>
      </c>
      <c r="K99" s="1006">
        <v>309</v>
      </c>
      <c r="L99" s="1006"/>
      <c r="M99" s="1017">
        <v>73</v>
      </c>
      <c r="N99" s="1017">
        <v>865</v>
      </c>
      <c r="O99" s="1017">
        <v>0</v>
      </c>
      <c r="P99" s="1006">
        <v>2208</v>
      </c>
      <c r="Q99" s="1006"/>
      <c r="R99" s="1017">
        <v>3585</v>
      </c>
      <c r="S99" s="1018">
        <v>-2814</v>
      </c>
      <c r="T99" s="1018">
        <v>771</v>
      </c>
      <c r="U99" s="1018"/>
      <c r="V99" s="1018"/>
    </row>
    <row r="100" spans="1:22" x14ac:dyDescent="0.25">
      <c r="A100" s="1019" t="s">
        <v>2610</v>
      </c>
      <c r="B100" s="1016">
        <v>6.5062000000000002E-3</v>
      </c>
      <c r="C100" s="1016">
        <v>6.6734000000000003E-3</v>
      </c>
      <c r="D100" s="684">
        <v>5652.94</v>
      </c>
      <c r="E100" s="807">
        <v>-124766</v>
      </c>
      <c r="F100" s="1006">
        <v>-111054</v>
      </c>
      <c r="G100" s="1006"/>
      <c r="H100" s="1017">
        <v>1906</v>
      </c>
      <c r="I100" s="1017">
        <v>13709</v>
      </c>
      <c r="J100" s="1017">
        <v>18738</v>
      </c>
      <c r="K100" s="1006">
        <v>2618</v>
      </c>
      <c r="L100" s="1006"/>
      <c r="M100" s="1017">
        <v>358</v>
      </c>
      <c r="N100" s="1017">
        <v>4268</v>
      </c>
      <c r="O100" s="1017">
        <v>0</v>
      </c>
      <c r="P100" s="1006">
        <v>1207</v>
      </c>
      <c r="Q100" s="1006"/>
      <c r="R100" s="1017">
        <v>17684</v>
      </c>
      <c r="S100" s="1018">
        <v>-952</v>
      </c>
      <c r="T100" s="1018">
        <v>16732</v>
      </c>
      <c r="U100" s="1018"/>
      <c r="V100" s="1018"/>
    </row>
    <row r="101" spans="1:22" x14ac:dyDescent="0.25">
      <c r="A101" s="1019" t="s">
        <v>2611</v>
      </c>
      <c r="B101" s="1016">
        <v>9.7663000000000003E-3</v>
      </c>
      <c r="C101" s="1016">
        <v>9.8042000000000008E-3</v>
      </c>
      <c r="D101" s="684">
        <v>8485.51</v>
      </c>
      <c r="E101" s="807">
        <v>-183299</v>
      </c>
      <c r="F101" s="1006">
        <v>-166701</v>
      </c>
      <c r="G101" s="1006"/>
      <c r="H101" s="1017">
        <v>2862</v>
      </c>
      <c r="I101" s="1017">
        <v>20578</v>
      </c>
      <c r="J101" s="1017">
        <v>28127</v>
      </c>
      <c r="K101" s="1006">
        <v>679</v>
      </c>
      <c r="L101" s="1006"/>
      <c r="M101" s="1017">
        <v>537</v>
      </c>
      <c r="N101" s="1017">
        <v>6407</v>
      </c>
      <c r="O101" s="1017">
        <v>0</v>
      </c>
      <c r="P101" s="1006">
        <v>2384</v>
      </c>
      <c r="Q101" s="1006"/>
      <c r="R101" s="1017">
        <v>26545</v>
      </c>
      <c r="S101" s="1018">
        <v>-1507</v>
      </c>
      <c r="T101" s="1018">
        <v>25038</v>
      </c>
      <c r="U101" s="1018"/>
      <c r="V101" s="1018"/>
    </row>
    <row r="102" spans="1:22" x14ac:dyDescent="0.25">
      <c r="A102" s="1019" t="s">
        <v>2612</v>
      </c>
      <c r="B102" s="1016">
        <v>5.8377000000000004E-3</v>
      </c>
      <c r="C102" s="1016">
        <v>6.1932000000000003E-3</v>
      </c>
      <c r="D102" s="684">
        <v>5072.08</v>
      </c>
      <c r="E102" s="807">
        <v>-115788</v>
      </c>
      <c r="F102" s="1006">
        <v>-99644</v>
      </c>
      <c r="G102" s="1006"/>
      <c r="H102" s="1017">
        <v>1710</v>
      </c>
      <c r="I102" s="1017">
        <v>12300</v>
      </c>
      <c r="J102" s="1017">
        <v>16813</v>
      </c>
      <c r="K102" s="1006">
        <v>7141</v>
      </c>
      <c r="L102" s="1006"/>
      <c r="M102" s="1017">
        <v>321</v>
      </c>
      <c r="N102" s="1017">
        <v>3830</v>
      </c>
      <c r="O102" s="1017">
        <v>0</v>
      </c>
      <c r="P102" s="1006">
        <v>120</v>
      </c>
      <c r="Q102" s="1006"/>
      <c r="R102" s="1017">
        <v>15867</v>
      </c>
      <c r="S102" s="1018">
        <v>2730</v>
      </c>
      <c r="T102" s="1018">
        <v>18597</v>
      </c>
      <c r="U102" s="1018"/>
      <c r="V102" s="1018"/>
    </row>
    <row r="103" spans="1:22" x14ac:dyDescent="0.25">
      <c r="A103" s="1019" t="s">
        <v>2613</v>
      </c>
      <c r="B103" s="1016">
        <v>4.5783000000000004E-3</v>
      </c>
      <c r="C103" s="1016">
        <v>4.7648999999999999E-3</v>
      </c>
      <c r="D103" s="684">
        <v>3977.91</v>
      </c>
      <c r="E103" s="807">
        <v>-89085</v>
      </c>
      <c r="F103" s="1006">
        <v>-78147</v>
      </c>
      <c r="G103" s="1006"/>
      <c r="H103" s="1017">
        <v>1341</v>
      </c>
      <c r="I103" s="1017">
        <v>9646</v>
      </c>
      <c r="J103" s="1017">
        <v>13186</v>
      </c>
      <c r="K103" s="1006">
        <v>3163</v>
      </c>
      <c r="L103" s="1006"/>
      <c r="M103" s="1017">
        <v>252</v>
      </c>
      <c r="N103" s="1017">
        <v>3003</v>
      </c>
      <c r="O103" s="1017">
        <v>0</v>
      </c>
      <c r="P103" s="1006">
        <v>0</v>
      </c>
      <c r="Q103" s="1006"/>
      <c r="R103" s="1017">
        <v>12444</v>
      </c>
      <c r="S103" s="1018">
        <v>2214</v>
      </c>
      <c r="T103" s="1018">
        <v>14657</v>
      </c>
      <c r="U103" s="1018"/>
      <c r="V103" s="1018"/>
    </row>
    <row r="104" spans="1:22" x14ac:dyDescent="0.25">
      <c r="A104" s="1019" t="s">
        <v>2513</v>
      </c>
      <c r="B104" s="1016">
        <v>3.1147000000000002E-3</v>
      </c>
      <c r="C104" s="1016">
        <v>3.2017E-3</v>
      </c>
      <c r="D104" s="684">
        <v>2706.2</v>
      </c>
      <c r="E104" s="807">
        <v>-59859</v>
      </c>
      <c r="F104" s="1006">
        <v>-53165</v>
      </c>
      <c r="G104" s="1006"/>
      <c r="H104" s="1017">
        <v>913</v>
      </c>
      <c r="I104" s="1017">
        <v>6563</v>
      </c>
      <c r="J104" s="1017">
        <v>8970</v>
      </c>
      <c r="K104" s="1006">
        <v>1443</v>
      </c>
      <c r="L104" s="1006"/>
      <c r="M104" s="1017">
        <v>171</v>
      </c>
      <c r="N104" s="1017">
        <v>2043</v>
      </c>
      <c r="O104" s="1017">
        <v>0</v>
      </c>
      <c r="P104" s="1006">
        <v>1044</v>
      </c>
      <c r="Q104" s="1006"/>
      <c r="R104" s="1017">
        <v>8466</v>
      </c>
      <c r="S104" s="1018">
        <v>33</v>
      </c>
      <c r="T104" s="1018">
        <v>8499</v>
      </c>
      <c r="U104" s="1018"/>
      <c r="V104" s="1018"/>
    </row>
    <row r="105" spans="1:22" x14ac:dyDescent="0.25">
      <c r="A105" s="1019" t="s">
        <v>2614</v>
      </c>
      <c r="B105" s="1016">
        <v>1.7394999999999999E-3</v>
      </c>
      <c r="C105" s="1016">
        <v>1.7052E-3</v>
      </c>
      <c r="D105" s="684">
        <v>1511.39</v>
      </c>
      <c r="E105" s="807">
        <v>-31880</v>
      </c>
      <c r="F105" s="1006">
        <v>-29692</v>
      </c>
      <c r="G105" s="1006"/>
      <c r="H105" s="1017">
        <v>510</v>
      </c>
      <c r="I105" s="1017">
        <v>3665</v>
      </c>
      <c r="J105" s="1017">
        <v>5010</v>
      </c>
      <c r="K105" s="1006">
        <v>325</v>
      </c>
      <c r="L105" s="1006"/>
      <c r="M105" s="1017">
        <v>96</v>
      </c>
      <c r="N105" s="1017">
        <v>1141</v>
      </c>
      <c r="O105" s="1017">
        <v>0</v>
      </c>
      <c r="P105" s="1006">
        <v>537</v>
      </c>
      <c r="Q105" s="1006"/>
      <c r="R105" s="1017">
        <v>4728</v>
      </c>
      <c r="S105" s="1018">
        <v>267</v>
      </c>
      <c r="T105" s="1018">
        <v>4995</v>
      </c>
      <c r="U105" s="1018"/>
      <c r="V105" s="1018"/>
    </row>
    <row r="106" spans="1:22" x14ac:dyDescent="0.25">
      <c r="A106" s="1012" t="s">
        <v>2625</v>
      </c>
      <c r="B106" s="1016">
        <v>4.5522000000000002E-3</v>
      </c>
      <c r="C106" s="1016">
        <v>4.4989000000000001E-3</v>
      </c>
      <c r="D106" s="684">
        <v>3955.24</v>
      </c>
      <c r="E106" s="807">
        <v>-84111</v>
      </c>
      <c r="F106" s="1006">
        <v>-77702</v>
      </c>
      <c r="G106" s="1006"/>
      <c r="H106" s="1017">
        <v>1334</v>
      </c>
      <c r="I106" s="1017">
        <v>9591</v>
      </c>
      <c r="J106" s="1017">
        <v>13110</v>
      </c>
      <c r="K106" s="1006">
        <v>387</v>
      </c>
      <c r="L106" s="1006"/>
      <c r="M106" s="1017">
        <v>250</v>
      </c>
      <c r="N106" s="1017">
        <v>2986</v>
      </c>
      <c r="O106" s="1017">
        <v>0</v>
      </c>
      <c r="P106" s="1006">
        <v>3357</v>
      </c>
      <c r="Q106" s="1006"/>
      <c r="R106" s="1017">
        <v>12373</v>
      </c>
      <c r="S106" s="1018">
        <v>-221</v>
      </c>
      <c r="T106" s="1018">
        <v>12152</v>
      </c>
    </row>
    <row r="107" spans="1:22" s="1020" customFormat="1" x14ac:dyDescent="0.25">
      <c r="D107" s="1009">
        <f>SUM(D6:D105)</f>
        <v>868856</v>
      </c>
      <c r="E107" s="1009">
        <f t="shared" ref="E107:T107" si="0">SUM(E6:E105)</f>
        <v>-18696001</v>
      </c>
      <c r="F107" s="1009">
        <f t="shared" si="0"/>
        <v>-17069002</v>
      </c>
      <c r="G107" s="1009"/>
      <c r="H107" s="1009">
        <f t="shared" si="0"/>
        <v>293003</v>
      </c>
      <c r="I107" s="1009">
        <f t="shared" si="0"/>
        <v>2107003</v>
      </c>
      <c r="J107" s="1009">
        <f t="shared" si="0"/>
        <v>2879999</v>
      </c>
      <c r="K107" s="1009">
        <f t="shared" si="0"/>
        <v>880444</v>
      </c>
      <c r="L107" s="1009">
        <f t="shared" si="0"/>
        <v>0</v>
      </c>
      <c r="M107" s="1009">
        <f t="shared" si="0"/>
        <v>55001</v>
      </c>
      <c r="N107" s="1009">
        <f t="shared" si="0"/>
        <v>655997</v>
      </c>
      <c r="O107" s="1009">
        <f t="shared" si="0"/>
        <v>0</v>
      </c>
      <c r="P107" s="1009">
        <f t="shared" si="0"/>
        <v>880446</v>
      </c>
      <c r="Q107" s="1009">
        <f t="shared" si="0"/>
        <v>0</v>
      </c>
      <c r="R107" s="1009">
        <f t="shared" si="0"/>
        <v>2718007</v>
      </c>
      <c r="S107" s="1009">
        <f t="shared" si="0"/>
        <v>-6</v>
      </c>
      <c r="T107" s="1009">
        <f t="shared" si="0"/>
        <v>2717997</v>
      </c>
    </row>
  </sheetData>
  <sheetProtection algorithmName="SHA-512" hashValue="BBbnIFZ4P2sOPcKqgcDY2e8580p0IvSNuM9zjdy+0q/JD1uXDHKONcXb7rbBzJJByWrilPDWu6RiWnRmCXQNjA==" saltValue="pDfLTQtw8zwN8SRKRnsOsA==" spinCount="100000" sheet="1" objects="1" scenarios="1"/>
  <customSheetViews>
    <customSheetView guid="{C1197650-3ED8-49E4-8E4C-0D1D4B503FC0}" fitToPage="1" state="hidden">
      <pane xSplit="1" ySplit="5" topLeftCell="B6" activePane="bottomRight" state="frozen"/>
      <selection pane="bottomRight" activeCell="C5" sqref="C5"/>
      <pageMargins left="0.25" right="0.25" top="0.75" bottom="0.75" header="0.3" footer="0.3"/>
      <pageSetup paperSize="5" scale="57" fitToWidth="0" orientation="landscape" r:id="rId1"/>
    </customSheetView>
    <customSheetView guid="{D2B860EA-92EC-4999-9A59-C624E1F8C7FB}" fitToPage="1" state="hidden">
      <pane xSplit="1" ySplit="5" topLeftCell="B6" activePane="bottomRight" state="frozen"/>
      <selection pane="bottomRight" activeCell="C5" sqref="C5"/>
      <pageMargins left="0.25" right="0.25" top="0.75" bottom="0.75" header="0.3" footer="0.3"/>
      <pageSetup paperSize="5" scale="57" fitToWidth="0" orientation="landscape" r:id="rId2"/>
    </customSheetView>
  </customSheetViews>
  <pageMargins left="0.25" right="0.25" top="0.75" bottom="0.75" header="0.3" footer="0.3"/>
  <pageSetup paperSize="5" scale="57" fitToWidth="0" orientation="landscape"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36C6B-ED70-432B-86F6-0888F39C6344}">
  <dimension ref="A1:B105"/>
  <sheetViews>
    <sheetView workbookViewId="0"/>
  </sheetViews>
  <sheetFormatPr defaultRowHeight="12.75" x14ac:dyDescent="0.2"/>
  <cols>
    <col min="1" max="1" width="20.85546875" bestFit="1" customWidth="1"/>
    <col min="2" max="2" width="19.85546875" bestFit="1" customWidth="1"/>
  </cols>
  <sheetData>
    <row r="1" spans="1:2" ht="15.75" x14ac:dyDescent="0.25">
      <c r="A1" s="1178" t="s">
        <v>4081</v>
      </c>
      <c r="B1" s="1178" t="s">
        <v>4087</v>
      </c>
    </row>
    <row r="2" spans="1:2" x14ac:dyDescent="0.2">
      <c r="A2" s="654" t="s">
        <v>4086</v>
      </c>
      <c r="B2" s="48">
        <v>0</v>
      </c>
    </row>
    <row r="3" spans="1:2" x14ac:dyDescent="0.2">
      <c r="A3" s="1179" t="s">
        <v>2516</v>
      </c>
      <c r="B3" s="684">
        <v>13482.77</v>
      </c>
    </row>
    <row r="4" spans="1:2" x14ac:dyDescent="0.2">
      <c r="A4" s="1179" t="s">
        <v>2517</v>
      </c>
      <c r="B4" s="684">
        <v>2440.09</v>
      </c>
    </row>
    <row r="5" spans="1:2" x14ac:dyDescent="0.2">
      <c r="A5" s="1179" t="s">
        <v>2518</v>
      </c>
      <c r="B5" s="684">
        <v>1283.97</v>
      </c>
    </row>
    <row r="6" spans="1:2" x14ac:dyDescent="0.2">
      <c r="A6" s="1179" t="s">
        <v>2519</v>
      </c>
      <c r="B6" s="684">
        <v>1481.05</v>
      </c>
    </row>
    <row r="7" spans="1:2" x14ac:dyDescent="0.2">
      <c r="A7" s="1179" t="s">
        <v>2520</v>
      </c>
      <c r="B7" s="684">
        <v>2970.9</v>
      </c>
    </row>
    <row r="8" spans="1:2" x14ac:dyDescent="0.2">
      <c r="A8" s="1179" t="s">
        <v>2521</v>
      </c>
      <c r="B8" s="684">
        <v>3546.26</v>
      </c>
    </row>
    <row r="9" spans="1:2" x14ac:dyDescent="0.2">
      <c r="A9" s="1179" t="s">
        <v>2522</v>
      </c>
      <c r="B9" s="684">
        <v>3927.93</v>
      </c>
    </row>
    <row r="10" spans="1:2" x14ac:dyDescent="0.2">
      <c r="A10" s="1179" t="s">
        <v>2523</v>
      </c>
      <c r="B10" s="684">
        <v>1002.47</v>
      </c>
    </row>
    <row r="11" spans="1:2" x14ac:dyDescent="0.2">
      <c r="A11" s="1179" t="s">
        <v>2524</v>
      </c>
      <c r="B11" s="684">
        <v>2107.9299999999998</v>
      </c>
    </row>
    <row r="12" spans="1:2" x14ac:dyDescent="0.2">
      <c r="A12" s="1179" t="s">
        <v>2525</v>
      </c>
      <c r="B12" s="684">
        <v>21497.78</v>
      </c>
    </row>
    <row r="13" spans="1:2" x14ac:dyDescent="0.2">
      <c r="A13" s="1179" t="s">
        <v>2526</v>
      </c>
      <c r="B13" s="684">
        <v>27204.14</v>
      </c>
    </row>
    <row r="14" spans="1:2" x14ac:dyDescent="0.2">
      <c r="A14" s="1179" t="s">
        <v>2527</v>
      </c>
      <c r="B14" s="684">
        <v>11140.99</v>
      </c>
    </row>
    <row r="15" spans="1:2" x14ac:dyDescent="0.2">
      <c r="A15" s="1179" t="s">
        <v>2528</v>
      </c>
      <c r="B15" s="684">
        <v>19515.62</v>
      </c>
    </row>
    <row r="16" spans="1:2" x14ac:dyDescent="0.2">
      <c r="A16" s="1179" t="s">
        <v>2529</v>
      </c>
      <c r="B16" s="684">
        <v>5877.83</v>
      </c>
    </row>
    <row r="17" spans="1:2" x14ac:dyDescent="0.2">
      <c r="A17" s="1179" t="s">
        <v>2530</v>
      </c>
      <c r="B17" s="684">
        <v>959.57</v>
      </c>
    </row>
    <row r="18" spans="1:2" x14ac:dyDescent="0.2">
      <c r="A18" s="1179" t="s">
        <v>2531</v>
      </c>
      <c r="B18" s="684">
        <v>9125.1299999999992</v>
      </c>
    </row>
    <row r="19" spans="1:2" x14ac:dyDescent="0.2">
      <c r="A19" s="1179" t="s">
        <v>2532</v>
      </c>
      <c r="B19" s="684">
        <v>1030.57</v>
      </c>
    </row>
    <row r="20" spans="1:2" x14ac:dyDescent="0.2">
      <c r="A20" s="1179" t="s">
        <v>2533</v>
      </c>
      <c r="B20" s="684">
        <v>13849.27</v>
      </c>
    </row>
    <row r="21" spans="1:2" x14ac:dyDescent="0.2">
      <c r="A21" s="1179" t="s">
        <v>2534</v>
      </c>
      <c r="B21" s="684">
        <v>7514.2</v>
      </c>
    </row>
    <row r="22" spans="1:2" x14ac:dyDescent="0.2">
      <c r="A22" s="1179" t="s">
        <v>2535</v>
      </c>
      <c r="B22" s="684">
        <v>3424.27</v>
      </c>
    </row>
    <row r="23" spans="1:2" x14ac:dyDescent="0.2">
      <c r="A23" s="1179" t="s">
        <v>2536</v>
      </c>
      <c r="B23" s="684">
        <v>1360.68</v>
      </c>
    </row>
    <row r="24" spans="1:2" x14ac:dyDescent="0.2">
      <c r="A24" s="1179" t="s">
        <v>2537</v>
      </c>
      <c r="B24" s="684">
        <v>1421.99</v>
      </c>
    </row>
    <row r="25" spans="1:2" x14ac:dyDescent="0.2">
      <c r="A25" s="1179" t="s">
        <v>2538</v>
      </c>
      <c r="B25" s="684">
        <v>6897.47</v>
      </c>
    </row>
    <row r="26" spans="1:2" x14ac:dyDescent="0.2">
      <c r="A26" s="1179" t="s">
        <v>2539</v>
      </c>
      <c r="B26" s="684">
        <v>3820.19</v>
      </c>
    </row>
    <row r="27" spans="1:2" x14ac:dyDescent="0.2">
      <c r="A27" s="1179" t="s">
        <v>2540</v>
      </c>
      <c r="B27" s="684">
        <v>7458.13</v>
      </c>
    </row>
    <row r="28" spans="1:2" x14ac:dyDescent="0.2">
      <c r="A28" s="1179" t="s">
        <v>2541</v>
      </c>
      <c r="B28" s="684">
        <v>25296.91</v>
      </c>
    </row>
    <row r="29" spans="1:2" x14ac:dyDescent="0.2">
      <c r="A29" s="1179" t="s">
        <v>2542</v>
      </c>
      <c r="B29" s="684">
        <v>3443.35</v>
      </c>
    </row>
    <row r="30" spans="1:2" x14ac:dyDescent="0.2">
      <c r="A30" s="1179" t="s">
        <v>2543</v>
      </c>
      <c r="B30" s="684">
        <v>7282.07</v>
      </c>
    </row>
    <row r="31" spans="1:2" x14ac:dyDescent="0.2">
      <c r="A31" s="1179" t="s">
        <v>2544</v>
      </c>
      <c r="B31" s="684">
        <v>11323.28</v>
      </c>
    </row>
    <row r="32" spans="1:2" x14ac:dyDescent="0.2">
      <c r="A32" s="1179" t="s">
        <v>2545</v>
      </c>
      <c r="B32" s="684">
        <v>3239.01</v>
      </c>
    </row>
    <row r="33" spans="1:2" x14ac:dyDescent="0.2">
      <c r="A33" s="1179" t="s">
        <v>2546</v>
      </c>
      <c r="B33" s="684">
        <v>3264.65</v>
      </c>
    </row>
    <row r="34" spans="1:2" x14ac:dyDescent="0.2">
      <c r="A34" s="1179" t="s">
        <v>2547</v>
      </c>
      <c r="B34" s="684">
        <v>26373.03</v>
      </c>
    </row>
    <row r="35" spans="1:2" x14ac:dyDescent="0.2">
      <c r="A35" s="1179" t="s">
        <v>2548</v>
      </c>
      <c r="B35" s="684">
        <v>3114.66</v>
      </c>
    </row>
    <row r="36" spans="1:2" x14ac:dyDescent="0.2">
      <c r="A36" s="1179" t="s">
        <v>2549</v>
      </c>
      <c r="B36" s="684">
        <v>32349.71</v>
      </c>
    </row>
    <row r="37" spans="1:2" x14ac:dyDescent="0.2">
      <c r="A37" s="1179" t="s">
        <v>2550</v>
      </c>
      <c r="B37" s="684">
        <v>5341.43</v>
      </c>
    </row>
    <row r="38" spans="1:2" x14ac:dyDescent="0.2">
      <c r="A38" s="1179" t="s">
        <v>2551</v>
      </c>
      <c r="B38" s="684">
        <v>6719.34</v>
      </c>
    </row>
    <row r="39" spans="1:2" x14ac:dyDescent="0.2">
      <c r="A39" s="1179" t="s">
        <v>2552</v>
      </c>
      <c r="B39" s="684">
        <v>767.98</v>
      </c>
    </row>
    <row r="40" spans="1:2" x14ac:dyDescent="0.2">
      <c r="A40" s="1179" t="s">
        <v>2553</v>
      </c>
      <c r="B40" s="684">
        <v>652.1</v>
      </c>
    </row>
    <row r="41" spans="1:2" x14ac:dyDescent="0.2">
      <c r="A41" s="1179" t="s">
        <v>2554</v>
      </c>
      <c r="B41" s="684">
        <v>4037.92</v>
      </c>
    </row>
    <row r="42" spans="1:2" x14ac:dyDescent="0.2">
      <c r="A42" s="1179" t="s">
        <v>2555</v>
      </c>
      <c r="B42" s="684">
        <v>898.04</v>
      </c>
    </row>
    <row r="43" spans="1:2" x14ac:dyDescent="0.2">
      <c r="A43" s="1179" t="s">
        <v>2556</v>
      </c>
      <c r="B43" s="684">
        <v>36352.839999999997</v>
      </c>
    </row>
    <row r="44" spans="1:2" x14ac:dyDescent="0.2">
      <c r="A44" s="1179" t="s">
        <v>2557</v>
      </c>
      <c r="B44" s="684">
        <v>3556.1</v>
      </c>
    </row>
    <row r="45" spans="1:2" x14ac:dyDescent="0.2">
      <c r="A45" s="1179" t="s">
        <v>2558</v>
      </c>
      <c r="B45" s="684">
        <v>10268.950000000001</v>
      </c>
    </row>
    <row r="46" spans="1:2" x14ac:dyDescent="0.2">
      <c r="A46" s="1179" t="s">
        <v>4088</v>
      </c>
      <c r="B46" s="684">
        <v>6634.92</v>
      </c>
    </row>
    <row r="47" spans="1:2" x14ac:dyDescent="0.2">
      <c r="A47" s="1179" t="s">
        <v>2560</v>
      </c>
      <c r="B47" s="684">
        <v>11871.45</v>
      </c>
    </row>
    <row r="48" spans="1:2" x14ac:dyDescent="0.2">
      <c r="A48" s="1179" t="s">
        <v>2561</v>
      </c>
      <c r="B48" s="684">
        <v>1473.24</v>
      </c>
    </row>
    <row r="49" spans="1:2" x14ac:dyDescent="0.2">
      <c r="A49" s="1179" t="s">
        <v>2562</v>
      </c>
      <c r="B49" s="684">
        <v>4448.29</v>
      </c>
    </row>
    <row r="50" spans="1:2" x14ac:dyDescent="0.2">
      <c r="A50" s="1179" t="s">
        <v>2563</v>
      </c>
      <c r="B50" s="684">
        <v>383.91</v>
      </c>
    </row>
    <row r="51" spans="1:2" x14ac:dyDescent="0.2">
      <c r="A51" s="1179" t="s">
        <v>2564</v>
      </c>
      <c r="B51" s="684">
        <v>17375.939999999999</v>
      </c>
    </row>
    <row r="52" spans="1:2" x14ac:dyDescent="0.2">
      <c r="A52" s="1179" t="s">
        <v>2565</v>
      </c>
      <c r="B52" s="684">
        <v>5262.37</v>
      </c>
    </row>
    <row r="53" spans="1:2" x14ac:dyDescent="0.2">
      <c r="A53" s="1179" t="s">
        <v>2566</v>
      </c>
      <c r="B53" s="684">
        <v>18730.43</v>
      </c>
    </row>
    <row r="54" spans="1:2" x14ac:dyDescent="0.2">
      <c r="A54" s="1179" t="s">
        <v>2567</v>
      </c>
      <c r="B54" s="684">
        <v>696.45</v>
      </c>
    </row>
    <row r="55" spans="1:2" x14ac:dyDescent="0.2">
      <c r="A55" s="1179" t="s">
        <v>2568</v>
      </c>
      <c r="B55" s="684">
        <v>4792.67</v>
      </c>
    </row>
    <row r="56" spans="1:2" x14ac:dyDescent="0.2">
      <c r="A56" s="1179" t="s">
        <v>2569</v>
      </c>
      <c r="B56" s="684">
        <v>3014.72</v>
      </c>
    </row>
    <row r="57" spans="1:2" x14ac:dyDescent="0.2">
      <c r="A57" s="1179" t="s">
        <v>2570</v>
      </c>
      <c r="B57" s="684">
        <v>8164.29</v>
      </c>
    </row>
    <row r="58" spans="1:2" x14ac:dyDescent="0.2">
      <c r="A58" s="1179" t="s">
        <v>2571</v>
      </c>
      <c r="B58" s="684">
        <v>3727.24</v>
      </c>
    </row>
    <row r="59" spans="1:2" x14ac:dyDescent="0.2">
      <c r="A59" s="1179" t="s">
        <v>2572</v>
      </c>
      <c r="B59" s="684">
        <v>4718.92</v>
      </c>
    </row>
    <row r="60" spans="1:2" x14ac:dyDescent="0.2">
      <c r="A60" s="1179" t="s">
        <v>2573</v>
      </c>
      <c r="B60" s="684">
        <v>1443</v>
      </c>
    </row>
    <row r="61" spans="1:2" x14ac:dyDescent="0.2">
      <c r="A61" s="1179" t="s">
        <v>2574</v>
      </c>
      <c r="B61" s="684">
        <v>3135.85</v>
      </c>
    </row>
    <row r="62" spans="1:2" x14ac:dyDescent="0.2">
      <c r="A62" s="1179" t="s">
        <v>2575</v>
      </c>
      <c r="B62" s="684">
        <v>65847.100000000006</v>
      </c>
    </row>
    <row r="63" spans="1:2" x14ac:dyDescent="0.2">
      <c r="A63" s="1179" t="s">
        <v>2576</v>
      </c>
      <c r="B63" s="684">
        <v>1322.95</v>
      </c>
    </row>
    <row r="64" spans="1:2" x14ac:dyDescent="0.2">
      <c r="A64" s="1179" t="s">
        <v>2577</v>
      </c>
      <c r="B64" s="684">
        <v>2164.59</v>
      </c>
    </row>
    <row r="65" spans="1:2" x14ac:dyDescent="0.2">
      <c r="A65" s="1179" t="s">
        <v>2578</v>
      </c>
      <c r="B65" s="684">
        <v>11104.1</v>
      </c>
    </row>
    <row r="66" spans="1:2" x14ac:dyDescent="0.2">
      <c r="A66" s="1179" t="s">
        <v>2579</v>
      </c>
      <c r="B66" s="684">
        <v>7291.07</v>
      </c>
    </row>
    <row r="67" spans="1:2" x14ac:dyDescent="0.2">
      <c r="A67" s="1179" t="s">
        <v>2580</v>
      </c>
      <c r="B67" s="684">
        <v>22503.360000000001</v>
      </c>
    </row>
    <row r="68" spans="1:2" x14ac:dyDescent="0.2">
      <c r="A68" s="1179" t="s">
        <v>2581</v>
      </c>
      <c r="B68" s="684">
        <v>1216.6199999999999</v>
      </c>
    </row>
    <row r="69" spans="1:2" x14ac:dyDescent="0.2">
      <c r="A69" s="1179" t="s">
        <v>2582</v>
      </c>
      <c r="B69" s="684">
        <v>19320.12</v>
      </c>
    </row>
    <row r="70" spans="1:2" x14ac:dyDescent="0.2">
      <c r="A70" s="1179" t="s">
        <v>2583</v>
      </c>
      <c r="B70" s="684">
        <v>9645.44</v>
      </c>
    </row>
    <row r="71" spans="1:2" x14ac:dyDescent="0.2">
      <c r="A71" s="1179" t="s">
        <v>2584</v>
      </c>
      <c r="B71" s="684">
        <v>1155.71</v>
      </c>
    </row>
    <row r="72" spans="1:2" x14ac:dyDescent="0.2">
      <c r="A72" s="1179" t="s">
        <v>2585</v>
      </c>
      <c r="B72" s="684">
        <v>3442.84</v>
      </c>
    </row>
    <row r="73" spans="1:2" x14ac:dyDescent="0.2">
      <c r="A73" s="1179" t="s">
        <v>2586</v>
      </c>
      <c r="B73" s="684">
        <v>6168.37</v>
      </c>
    </row>
    <row r="74" spans="1:2" x14ac:dyDescent="0.2">
      <c r="A74" s="1179" t="s">
        <v>2587</v>
      </c>
      <c r="B74" s="684">
        <v>1175.92</v>
      </c>
    </row>
    <row r="75" spans="1:2" x14ac:dyDescent="0.2">
      <c r="A75" s="1179" t="s">
        <v>2588</v>
      </c>
      <c r="B75" s="684">
        <v>2992.83</v>
      </c>
    </row>
    <row r="76" spans="1:2" x14ac:dyDescent="0.2">
      <c r="A76" s="1179" t="s">
        <v>2589</v>
      </c>
      <c r="B76" s="684">
        <v>12322.12</v>
      </c>
    </row>
    <row r="77" spans="1:2" x14ac:dyDescent="0.2">
      <c r="A77" s="1179" t="s">
        <v>2590</v>
      </c>
      <c r="B77" s="684">
        <v>2330.6</v>
      </c>
    </row>
    <row r="78" spans="1:2" x14ac:dyDescent="0.2">
      <c r="A78" s="1179" t="s">
        <v>2591</v>
      </c>
      <c r="B78" s="684">
        <v>10063.74</v>
      </c>
    </row>
    <row r="79" spans="1:2" x14ac:dyDescent="0.2">
      <c r="A79" s="1179" t="s">
        <v>2592</v>
      </c>
      <c r="B79" s="684">
        <v>2613.4899999999998</v>
      </c>
    </row>
    <row r="80" spans="1:2" x14ac:dyDescent="0.2">
      <c r="A80" s="1179" t="s">
        <v>2593</v>
      </c>
      <c r="B80" s="684">
        <v>6873.21</v>
      </c>
    </row>
    <row r="81" spans="1:2" x14ac:dyDescent="0.2">
      <c r="A81" s="1179" t="s">
        <v>2594</v>
      </c>
      <c r="B81" s="684">
        <v>7220.83</v>
      </c>
    </row>
    <row r="82" spans="1:2" x14ac:dyDescent="0.2">
      <c r="A82" s="1179" t="s">
        <v>2595</v>
      </c>
      <c r="B82" s="684">
        <v>11688.82</v>
      </c>
    </row>
    <row r="83" spans="1:2" x14ac:dyDescent="0.2">
      <c r="A83" s="1179" t="s">
        <v>2596</v>
      </c>
      <c r="B83" s="684">
        <v>5790.35</v>
      </c>
    </row>
    <row r="84" spans="1:2" x14ac:dyDescent="0.2">
      <c r="A84" s="1179" t="s">
        <v>2597</v>
      </c>
      <c r="B84" s="684">
        <v>4050.22</v>
      </c>
    </row>
    <row r="85" spans="1:2" x14ac:dyDescent="0.2">
      <c r="A85" s="1179" t="s">
        <v>2598</v>
      </c>
      <c r="B85" s="684">
        <v>2384.23</v>
      </c>
    </row>
    <row r="86" spans="1:2" x14ac:dyDescent="0.2">
      <c r="A86" s="1179" t="s">
        <v>2599</v>
      </c>
      <c r="B86" s="684">
        <v>5349.25</v>
      </c>
    </row>
    <row r="87" spans="1:2" x14ac:dyDescent="0.2">
      <c r="A87" s="1179" t="s">
        <v>2600</v>
      </c>
      <c r="B87" s="684">
        <v>3105.55</v>
      </c>
    </row>
    <row r="88" spans="1:2" x14ac:dyDescent="0.2">
      <c r="A88" s="1179" t="s">
        <v>2601</v>
      </c>
      <c r="B88" s="684">
        <v>6536.11</v>
      </c>
    </row>
    <row r="89" spans="1:2" x14ac:dyDescent="0.2">
      <c r="A89" s="1179" t="s">
        <v>2602</v>
      </c>
      <c r="B89" s="684">
        <v>2646.49</v>
      </c>
    </row>
    <row r="90" spans="1:2" x14ac:dyDescent="0.2">
      <c r="A90" s="1179" t="s">
        <v>2603</v>
      </c>
      <c r="B90" s="684">
        <v>3135.45</v>
      </c>
    </row>
    <row r="91" spans="1:2" x14ac:dyDescent="0.2">
      <c r="A91" s="1179" t="s">
        <v>2604</v>
      </c>
      <c r="B91" s="684">
        <v>272.89999999999998</v>
      </c>
    </row>
    <row r="92" spans="1:2" x14ac:dyDescent="0.2">
      <c r="A92" s="1179" t="s">
        <v>2605</v>
      </c>
      <c r="B92" s="684">
        <v>21408.87</v>
      </c>
    </row>
    <row r="93" spans="1:2" x14ac:dyDescent="0.2">
      <c r="A93" s="1179" t="s">
        <v>2606</v>
      </c>
      <c r="B93" s="684">
        <v>3128.52</v>
      </c>
    </row>
    <row r="94" spans="1:2" x14ac:dyDescent="0.2">
      <c r="A94" s="1179" t="s">
        <v>2607</v>
      </c>
      <c r="B94" s="684">
        <v>106487.98</v>
      </c>
    </row>
    <row r="95" spans="1:2" x14ac:dyDescent="0.2">
      <c r="A95" s="1179" t="s">
        <v>2608</v>
      </c>
      <c r="B95" s="684">
        <v>1238.78</v>
      </c>
    </row>
    <row r="96" spans="1:2" x14ac:dyDescent="0.2">
      <c r="A96" s="1179" t="s">
        <v>2609</v>
      </c>
      <c r="B96" s="684">
        <v>732.16</v>
      </c>
    </row>
    <row r="97" spans="1:2" x14ac:dyDescent="0.2">
      <c r="A97" s="1179" t="s">
        <v>2610</v>
      </c>
      <c r="B97" s="684">
        <v>5272.71</v>
      </c>
    </row>
    <row r="98" spans="1:2" x14ac:dyDescent="0.2">
      <c r="A98" s="1179" t="s">
        <v>2611</v>
      </c>
      <c r="B98" s="684">
        <v>8160.79</v>
      </c>
    </row>
    <row r="99" spans="1:2" x14ac:dyDescent="0.2">
      <c r="A99" s="1179" t="s">
        <v>2612</v>
      </c>
      <c r="B99" s="684">
        <v>5104.95</v>
      </c>
    </row>
    <row r="100" spans="1:2" x14ac:dyDescent="0.2">
      <c r="A100" s="1179" t="s">
        <v>2613</v>
      </c>
      <c r="B100" s="684">
        <v>3806.67</v>
      </c>
    </row>
    <row r="101" spans="1:2" x14ac:dyDescent="0.2">
      <c r="A101" s="1179" t="s">
        <v>2513</v>
      </c>
      <c r="B101" s="684">
        <v>2568.0700000000002</v>
      </c>
    </row>
    <row r="102" spans="1:2" x14ac:dyDescent="0.2">
      <c r="A102" s="1179" t="s">
        <v>2614</v>
      </c>
      <c r="B102" s="684">
        <v>1638.24</v>
      </c>
    </row>
    <row r="103" spans="1:2" ht="15" x14ac:dyDescent="0.25">
      <c r="A103" s="1012" t="s">
        <v>2625</v>
      </c>
      <c r="B103" s="684">
        <v>3927.93</v>
      </c>
    </row>
    <row r="104" spans="1:2" ht="13.5" thickBot="1" x14ac:dyDescent="0.25">
      <c r="A104" s="1179" t="s">
        <v>702</v>
      </c>
      <c r="B104" s="1181">
        <f>SUM(B3:B102)</f>
        <v>855778.38</v>
      </c>
    </row>
    <row r="105" spans="1:2" ht="13.5" thickTop="1" x14ac:dyDescent="0.2">
      <c r="A105" s="1180"/>
      <c r="B105" s="1165"/>
    </row>
  </sheetData>
  <customSheetViews>
    <customSheetView guid="{C1197650-3ED8-49E4-8E4C-0D1D4B503FC0}" state="hidden" topLeftCell="A58">
      <selection activeCell="A103" sqref="A103"/>
      <pageMargins left="0.7" right="0.7" top="0.75" bottom="0.75" header="0.3" footer="0.3"/>
    </customSheetView>
    <customSheetView guid="{D2B860EA-92EC-4999-9A59-C624E1F8C7FB}" state="hidden" topLeftCell="A58">
      <selection activeCell="A103" sqref="A103"/>
      <pageMargins left="0.7" right="0.7" top="0.75" bottom="0.75" header="0.3" footer="0.3"/>
    </customSheetView>
  </customSheetView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2:I31"/>
  <sheetViews>
    <sheetView workbookViewId="0"/>
  </sheetViews>
  <sheetFormatPr defaultRowHeight="12.75" x14ac:dyDescent="0.2"/>
  <cols>
    <col min="1" max="1" width="4.5703125" customWidth="1"/>
    <col min="2" max="2" width="55.5703125" bestFit="1" customWidth="1"/>
    <col min="3" max="3" width="34.7109375" customWidth="1"/>
    <col min="4" max="4" width="29" customWidth="1"/>
  </cols>
  <sheetData>
    <row r="2" spans="1:3" ht="15.75" x14ac:dyDescent="0.25">
      <c r="A2" s="1566" t="s">
        <v>2041</v>
      </c>
      <c r="B2" s="1567"/>
      <c r="C2" s="1568"/>
    </row>
    <row r="5" spans="1:3" ht="84" customHeight="1" x14ac:dyDescent="0.2">
      <c r="A5" s="1580" t="s">
        <v>2042</v>
      </c>
      <c r="B5" s="1580"/>
      <c r="C5" s="1580"/>
    </row>
    <row r="11" spans="1:3" x14ac:dyDescent="0.2">
      <c r="A11" s="677" t="s">
        <v>540</v>
      </c>
      <c r="B11" s="1589" t="s">
        <v>2079</v>
      </c>
      <c r="C11" s="1590"/>
    </row>
    <row r="12" spans="1:3" x14ac:dyDescent="0.2">
      <c r="A12" s="671"/>
      <c r="B12" s="671"/>
      <c r="C12" s="671"/>
    </row>
    <row r="13" spans="1:3" ht="42" customHeight="1" x14ac:dyDescent="0.2">
      <c r="A13" s="671"/>
      <c r="B13" s="1591" t="s">
        <v>3975</v>
      </c>
      <c r="C13" s="1591"/>
    </row>
    <row r="14" spans="1:3" x14ac:dyDescent="0.2">
      <c r="A14" s="671"/>
      <c r="B14" s="671"/>
      <c r="C14" s="671"/>
    </row>
    <row r="15" spans="1:3" x14ac:dyDescent="0.2">
      <c r="A15" s="671"/>
      <c r="B15" s="671"/>
      <c r="C15" s="671"/>
    </row>
    <row r="16" spans="1:3" s="671" customFormat="1" x14ac:dyDescent="0.2"/>
    <row r="17" spans="1:9" s="671" customFormat="1" x14ac:dyDescent="0.2">
      <c r="B17" s="696" t="s">
        <v>2080</v>
      </c>
      <c r="C17" s="752">
        <v>0</v>
      </c>
    </row>
    <row r="18" spans="1:9" s="671" customFormat="1" x14ac:dyDescent="0.2"/>
    <row r="19" spans="1:9" s="671" customFormat="1" x14ac:dyDescent="0.2">
      <c r="B19" s="697" t="s">
        <v>2081</v>
      </c>
      <c r="C19" s="698">
        <v>250.08</v>
      </c>
    </row>
    <row r="20" spans="1:9" s="671" customFormat="1" x14ac:dyDescent="0.2"/>
    <row r="23" spans="1:9" x14ac:dyDescent="0.2">
      <c r="A23" s="685" t="s">
        <v>541</v>
      </c>
      <c r="B23" s="1413" t="s">
        <v>2044</v>
      </c>
      <c r="C23" s="1414"/>
      <c r="D23" s="1414"/>
      <c r="E23" s="1414"/>
      <c r="F23" s="1414"/>
      <c r="G23" s="1414"/>
      <c r="H23" s="1414"/>
      <c r="I23" s="1415"/>
    </row>
    <row r="24" spans="1:9" x14ac:dyDescent="0.2">
      <c r="A24" s="685"/>
      <c r="B24" s="686"/>
      <c r="C24" s="686"/>
      <c r="D24" s="686"/>
      <c r="E24" s="686"/>
      <c r="F24" s="686"/>
      <c r="G24" s="686"/>
      <c r="H24" s="686"/>
      <c r="I24" s="686"/>
    </row>
    <row r="25" spans="1:9" x14ac:dyDescent="0.2">
      <c r="A25" s="683"/>
      <c r="B25" s="44"/>
      <c r="C25" s="31"/>
      <c r="D25" s="31"/>
      <c r="E25" s="31"/>
      <c r="F25" s="31"/>
      <c r="G25" s="31"/>
      <c r="H25" s="31"/>
      <c r="I25" s="31"/>
    </row>
    <row r="26" spans="1:9" x14ac:dyDescent="0.2">
      <c r="A26" s="683"/>
      <c r="B26" s="34"/>
      <c r="C26" s="687" t="s">
        <v>2032</v>
      </c>
      <c r="D26" s="687" t="s">
        <v>2033</v>
      </c>
      <c r="G26" s="690"/>
      <c r="H26" s="690"/>
      <c r="I26" s="690"/>
    </row>
    <row r="27" spans="1:9" x14ac:dyDescent="0.2">
      <c r="A27" s="683"/>
      <c r="B27" s="648" t="s">
        <v>1149</v>
      </c>
      <c r="C27" s="285">
        <f>C17*C19</f>
        <v>0</v>
      </c>
      <c r="D27" s="285"/>
      <c r="G27" s="691"/>
      <c r="H27" s="691"/>
      <c r="I27" s="692"/>
    </row>
    <row r="28" spans="1:9" x14ac:dyDescent="0.2">
      <c r="A28" s="683"/>
      <c r="B28" s="648" t="s">
        <v>2043</v>
      </c>
      <c r="C28" s="285"/>
      <c r="D28" s="285">
        <f>C27</f>
        <v>0</v>
      </c>
      <c r="E28" s="688"/>
      <c r="G28" s="691"/>
      <c r="H28" s="691"/>
      <c r="I28" s="692"/>
    </row>
    <row r="29" spans="1:9" x14ac:dyDescent="0.2">
      <c r="A29" s="683"/>
      <c r="B29" s="34"/>
      <c r="C29" s="684"/>
      <c r="D29" s="684"/>
      <c r="G29" s="197"/>
      <c r="H29" s="197"/>
      <c r="I29" s="197"/>
    </row>
    <row r="30" spans="1:9" ht="13.5" thickBot="1" x14ac:dyDescent="0.25">
      <c r="A30" s="683"/>
      <c r="B30" s="34"/>
      <c r="C30" s="689">
        <f>SUM(C27:C29)</f>
        <v>0</v>
      </c>
      <c r="D30" s="689">
        <f>SUM(D27:D29)</f>
        <v>0</v>
      </c>
      <c r="G30" s="197"/>
      <c r="H30" s="197"/>
      <c r="I30" s="197"/>
    </row>
    <row r="31" spans="1:9" ht="13.5" thickTop="1" x14ac:dyDescent="0.2"/>
  </sheetData>
  <customSheetViews>
    <customSheetView guid="{C1197650-3ED8-49E4-8E4C-0D1D4B503FC0}">
      <selection activeCell="B23" sqref="B23:I23"/>
      <pageMargins left="0.7" right="0.7" top="0.75" bottom="0.75" header="0.3" footer="0.3"/>
    </customSheetView>
    <customSheetView guid="{D2B860EA-92EC-4999-9A59-C624E1F8C7FB}">
      <selection activeCell="B23" sqref="B23:I23"/>
      <pageMargins left="0.7" right="0.7" top="0.75" bottom="0.75" header="0.3" footer="0.3"/>
    </customSheetView>
  </customSheetViews>
  <mergeCells count="5">
    <mergeCell ref="A2:C2"/>
    <mergeCell ref="A5:C5"/>
    <mergeCell ref="B23:I23"/>
    <mergeCell ref="B11:C11"/>
    <mergeCell ref="B13:C13"/>
  </mergeCells>
  <dataValidations disablePrompts="1" count="1">
    <dataValidation type="whole" operator="greaterThanOrEqual" allowBlank="1" showInputMessage="1" showErrorMessage="1" sqref="C17" xr:uid="{00000000-0002-0000-1800-000000000000}">
      <formula1>0</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M106"/>
  <sheetViews>
    <sheetView topLeftCell="B1" workbookViewId="0">
      <selection sqref="A1:C1"/>
    </sheetView>
  </sheetViews>
  <sheetFormatPr defaultColWidth="9.140625" defaultRowHeight="12.75" x14ac:dyDescent="0.2"/>
  <cols>
    <col min="1" max="1" width="9.140625" style="697" customWidth="1"/>
    <col min="2" max="2" width="54.42578125" style="697" customWidth="1"/>
    <col min="3" max="3" width="17.28515625" style="697" customWidth="1"/>
    <col min="4" max="4" width="16.85546875" style="697" customWidth="1"/>
    <col min="5" max="5" width="17.5703125" style="697" customWidth="1"/>
    <col min="6" max="6" width="9.140625" style="697"/>
    <col min="7" max="7" width="16.7109375" style="697" customWidth="1"/>
    <col min="8" max="8" width="16.28515625" style="697" customWidth="1"/>
    <col min="9" max="9" width="9.140625" style="697"/>
    <col min="10" max="10" width="12.85546875" style="697" bestFit="1" customWidth="1"/>
    <col min="11" max="11" width="33.5703125" style="697" customWidth="1"/>
    <col min="12" max="12" width="18" style="697" customWidth="1"/>
    <col min="13" max="16384" width="9.140625" style="697"/>
  </cols>
  <sheetData>
    <row r="1" spans="1:11" ht="15.75" x14ac:dyDescent="0.25">
      <c r="A1" s="1566" t="s">
        <v>3590</v>
      </c>
      <c r="B1" s="1567"/>
      <c r="C1" s="1568"/>
    </row>
    <row r="4" spans="1:11" ht="84.75" customHeight="1" x14ac:dyDescent="0.2">
      <c r="A4" s="1580" t="s">
        <v>4068</v>
      </c>
      <c r="B4" s="1580"/>
      <c r="C4" s="1580"/>
    </row>
    <row r="5" spans="1:11" hidden="1" x14ac:dyDescent="0.2"/>
    <row r="6" spans="1:11" hidden="1" x14ac:dyDescent="0.2"/>
    <row r="7" spans="1:11" hidden="1" x14ac:dyDescent="0.2"/>
    <row r="8" spans="1:11" hidden="1" x14ac:dyDescent="0.2"/>
    <row r="9" spans="1:11" hidden="1" x14ac:dyDescent="0.2"/>
    <row r="10" spans="1:11" x14ac:dyDescent="0.2">
      <c r="A10" s="677" t="s">
        <v>540</v>
      </c>
      <c r="B10" s="678" t="s">
        <v>3591</v>
      </c>
      <c r="C10" s="708"/>
    </row>
    <row r="13" spans="1:11" ht="14.25" x14ac:dyDescent="0.2">
      <c r="B13" s="852" t="s">
        <v>3592</v>
      </c>
      <c r="C13" s="852"/>
      <c r="D13" s="1162">
        <v>218892</v>
      </c>
      <c r="E13" s="852"/>
      <c r="F13" s="852"/>
      <c r="G13" s="852"/>
      <c r="H13" s="852"/>
      <c r="I13" s="852"/>
      <c r="J13" s="852"/>
      <c r="K13" s="853"/>
    </row>
    <row r="14" spans="1:11" ht="14.25" x14ac:dyDescent="0.2">
      <c r="B14" s="852" t="s">
        <v>3593</v>
      </c>
      <c r="C14" s="852"/>
      <c r="D14" s="1162">
        <v>222672</v>
      </c>
      <c r="E14" s="852"/>
      <c r="F14" s="852" t="s">
        <v>3594</v>
      </c>
      <c r="G14" s="852"/>
      <c r="H14" s="852"/>
      <c r="I14" s="852"/>
      <c r="J14" s="852"/>
      <c r="K14" s="853"/>
    </row>
    <row r="15" spans="1:11" ht="14.25" x14ac:dyDescent="0.2">
      <c r="B15" s="852" t="s">
        <v>3970</v>
      </c>
      <c r="C15" s="852"/>
      <c r="D15" s="1162">
        <v>16272</v>
      </c>
      <c r="E15" s="852"/>
      <c r="F15" s="852"/>
      <c r="G15" s="852"/>
      <c r="H15" s="852"/>
      <c r="I15" s="852"/>
      <c r="J15" s="852"/>
      <c r="K15" s="853"/>
    </row>
    <row r="16" spans="1:11" ht="14.25" x14ac:dyDescent="0.2">
      <c r="B16" s="852" t="s">
        <v>1149</v>
      </c>
      <c r="C16" s="852"/>
      <c r="D16" s="1162">
        <v>16153</v>
      </c>
      <c r="E16" s="852"/>
      <c r="F16" s="852" t="s">
        <v>3595</v>
      </c>
      <c r="G16" s="852"/>
      <c r="H16" s="852"/>
      <c r="I16" s="852"/>
      <c r="J16" s="852"/>
      <c r="K16" s="853"/>
    </row>
    <row r="17" spans="1:11" ht="32.25" customHeight="1" x14ac:dyDescent="0.2">
      <c r="B17" s="1592" t="s">
        <v>4044</v>
      </c>
      <c r="C17" s="1592"/>
      <c r="D17" s="1162">
        <v>8148</v>
      </c>
      <c r="E17" s="852"/>
      <c r="F17" s="1592" t="s">
        <v>3596</v>
      </c>
      <c r="G17" s="1592"/>
      <c r="H17" s="1592"/>
      <c r="I17" s="1592"/>
      <c r="J17" s="1592"/>
      <c r="K17" s="1592"/>
    </row>
    <row r="18" spans="1:11" ht="14.25" x14ac:dyDescent="0.2">
      <c r="B18" s="1592" t="s">
        <v>4045</v>
      </c>
      <c r="C18" s="1592"/>
      <c r="D18" s="1162">
        <f>4181-4222-1</f>
        <v>-42</v>
      </c>
      <c r="E18" s="852"/>
      <c r="F18" s="1592" t="s">
        <v>3597</v>
      </c>
      <c r="G18" s="1592"/>
      <c r="H18" s="1592"/>
      <c r="I18" s="1592"/>
      <c r="J18" s="1592"/>
      <c r="K18" s="1592"/>
    </row>
    <row r="19" spans="1:11" ht="26.25" customHeight="1" x14ac:dyDescent="0.2">
      <c r="B19" s="1592" t="s">
        <v>4046</v>
      </c>
      <c r="C19" s="1592"/>
      <c r="D19" s="1162">
        <v>9708</v>
      </c>
      <c r="E19" s="852"/>
      <c r="F19" s="1592" t="s">
        <v>4042</v>
      </c>
      <c r="G19" s="1592"/>
      <c r="H19" s="1592"/>
      <c r="I19" s="1592"/>
      <c r="J19" s="1592"/>
      <c r="K19" s="1592"/>
    </row>
    <row r="20" spans="1:11" ht="14.25" x14ac:dyDescent="0.2">
      <c r="B20" s="1592" t="s">
        <v>4064</v>
      </c>
      <c r="C20" s="1592"/>
      <c r="D20" s="1162">
        <v>-5501</v>
      </c>
      <c r="E20" s="852"/>
      <c r="F20" s="1592" t="s">
        <v>4043</v>
      </c>
      <c r="G20" s="1592"/>
      <c r="H20" s="1592"/>
      <c r="I20" s="1592"/>
      <c r="J20" s="1592"/>
      <c r="K20" s="1592"/>
    </row>
    <row r="22" spans="1:11" x14ac:dyDescent="0.2">
      <c r="E22" s="1022"/>
    </row>
    <row r="23" spans="1:11" x14ac:dyDescent="0.2">
      <c r="A23" s="677" t="s">
        <v>541</v>
      </c>
      <c r="B23" s="678" t="s">
        <v>3598</v>
      </c>
    </row>
    <row r="25" spans="1:11" x14ac:dyDescent="0.2">
      <c r="D25" s="854"/>
    </row>
    <row r="26" spans="1:11" ht="24.75" customHeight="1" x14ac:dyDescent="0.2">
      <c r="B26" s="1492" t="s">
        <v>4198</v>
      </c>
      <c r="C26" s="1492"/>
      <c r="D26" s="1156">
        <v>17279</v>
      </c>
    </row>
    <row r="27" spans="1:11" x14ac:dyDescent="0.2">
      <c r="D27" s="854"/>
    </row>
    <row r="28" spans="1:11" ht="32.25" customHeight="1" x14ac:dyDescent="0.2">
      <c r="B28" s="1492" t="s">
        <v>4199</v>
      </c>
      <c r="C28" s="1492"/>
      <c r="D28" s="1156"/>
    </row>
    <row r="29" spans="1:11" x14ac:dyDescent="0.2">
      <c r="D29" s="854"/>
    </row>
    <row r="30" spans="1:11" ht="40.5" customHeight="1" x14ac:dyDescent="0.2">
      <c r="B30" s="1595" t="s">
        <v>4055</v>
      </c>
      <c r="C30" s="1596"/>
      <c r="D30" s="1156">
        <v>16272</v>
      </c>
    </row>
    <row r="31" spans="1:11" x14ac:dyDescent="0.2">
      <c r="D31" s="854"/>
    </row>
    <row r="32" spans="1:11" ht="45.75" customHeight="1" x14ac:dyDescent="0.2">
      <c r="B32" s="1492" t="s">
        <v>4039</v>
      </c>
      <c r="C32" s="1492"/>
      <c r="D32" s="1156"/>
      <c r="G32" s="1597" t="s">
        <v>4054</v>
      </c>
      <c r="H32" s="1598"/>
      <c r="I32" s="1599"/>
    </row>
    <row r="33" spans="2:13" x14ac:dyDescent="0.2">
      <c r="D33" s="854"/>
    </row>
    <row r="34" spans="2:13" ht="32.25" customHeight="1" x14ac:dyDescent="0.2">
      <c r="B34" s="1595" t="s">
        <v>4056</v>
      </c>
      <c r="C34" s="1596"/>
      <c r="D34" s="1156"/>
      <c r="E34" s="1600" t="str">
        <f>IF((D30+D34)&lt;&gt;D15,"Benefit payments entered in cells D30 &amp; D34 do not equal benefit payments entered from valuation report below. Please confirm amounts.","")</f>
        <v/>
      </c>
      <c r="F34" s="1600"/>
      <c r="G34" s="1600"/>
      <c r="H34" s="1600"/>
      <c r="I34" s="1600"/>
      <c r="K34" s="1022"/>
    </row>
    <row r="35" spans="2:13" x14ac:dyDescent="0.2">
      <c r="D35" s="854"/>
    </row>
    <row r="36" spans="2:13" ht="39.75" customHeight="1" x14ac:dyDescent="0.2">
      <c r="B36" s="1492" t="s">
        <v>4040</v>
      </c>
      <c r="C36" s="1492"/>
      <c r="D36" s="1156"/>
    </row>
    <row r="37" spans="2:13" x14ac:dyDescent="0.2">
      <c r="D37" s="854"/>
    </row>
    <row r="40" spans="2:13" ht="14.25" x14ac:dyDescent="0.2">
      <c r="B40" s="852" t="s">
        <v>4050</v>
      </c>
      <c r="C40" s="852"/>
      <c r="D40" s="852"/>
      <c r="E40" s="852"/>
      <c r="F40" s="852"/>
      <c r="G40" s="852"/>
      <c r="H40" s="852"/>
      <c r="I40" s="852"/>
      <c r="J40" s="852"/>
      <c r="K40" s="853">
        <f>D13</f>
        <v>218892</v>
      </c>
      <c r="L40" s="853"/>
    </row>
    <row r="41" spans="2:13" ht="14.25" x14ac:dyDescent="0.2">
      <c r="B41" s="852" t="s">
        <v>3599</v>
      </c>
      <c r="C41" s="852"/>
      <c r="D41" s="852"/>
      <c r="E41" s="852"/>
      <c r="F41" s="852"/>
      <c r="G41" s="852"/>
      <c r="H41" s="852"/>
      <c r="I41" s="852"/>
      <c r="J41" s="852"/>
      <c r="K41" s="853"/>
      <c r="L41" s="853">
        <f>D14</f>
        <v>222672</v>
      </c>
      <c r="M41" s="1022"/>
    </row>
    <row r="42" spans="2:13" ht="14.25" x14ac:dyDescent="0.2">
      <c r="B42" s="852" t="s">
        <v>1149</v>
      </c>
      <c r="C42" s="852"/>
      <c r="D42" s="852"/>
      <c r="E42" s="852"/>
      <c r="F42" s="852"/>
      <c r="G42" s="852"/>
      <c r="H42" s="852"/>
      <c r="I42" s="852"/>
      <c r="J42" s="852"/>
      <c r="K42" s="853">
        <f>D16</f>
        <v>16153</v>
      </c>
      <c r="L42" s="853"/>
    </row>
    <row r="43" spans="2:13" ht="14.25" x14ac:dyDescent="0.2">
      <c r="B43" s="852" t="s">
        <v>3600</v>
      </c>
      <c r="C43" s="852"/>
      <c r="D43" s="852"/>
      <c r="E43" s="852"/>
      <c r="F43" s="852"/>
      <c r="G43" s="852"/>
      <c r="H43" s="852"/>
      <c r="I43" s="852"/>
      <c r="J43" s="852"/>
      <c r="K43" s="853"/>
      <c r="L43" s="853">
        <f>IF(D19&gt;0,D19,0)</f>
        <v>9708</v>
      </c>
    </row>
    <row r="44" spans="2:13" ht="14.25" x14ac:dyDescent="0.2">
      <c r="B44" s="852" t="s">
        <v>3601</v>
      </c>
      <c r="C44" s="852"/>
      <c r="D44" s="852"/>
      <c r="E44" s="852"/>
      <c r="F44" s="852"/>
      <c r="G44" s="852"/>
      <c r="H44" s="852"/>
      <c r="I44" s="852"/>
      <c r="J44" s="852"/>
      <c r="K44" s="853">
        <f>IF(D17&gt;0,D17,0)</f>
        <v>8148</v>
      </c>
      <c r="L44" s="853"/>
    </row>
    <row r="45" spans="2:13" ht="14.25" x14ac:dyDescent="0.2">
      <c r="B45" s="852" t="s">
        <v>3602</v>
      </c>
      <c r="C45" s="852"/>
      <c r="D45" s="852"/>
      <c r="E45" s="852"/>
      <c r="F45" s="852"/>
      <c r="G45" s="852"/>
      <c r="H45" s="852"/>
      <c r="I45" s="852"/>
      <c r="J45" s="852"/>
      <c r="K45" s="853">
        <f>IF(D19&lt;0,-D19,0)</f>
        <v>0</v>
      </c>
      <c r="L45" s="853"/>
    </row>
    <row r="46" spans="2:13" ht="14.25" x14ac:dyDescent="0.2">
      <c r="B46" s="852" t="s">
        <v>3603</v>
      </c>
      <c r="C46" s="852"/>
      <c r="D46" s="852"/>
      <c r="E46" s="852"/>
      <c r="F46" s="852"/>
      <c r="G46" s="852"/>
      <c r="H46" s="852"/>
      <c r="I46" s="852"/>
      <c r="J46" s="852"/>
      <c r="K46" s="853"/>
      <c r="L46" s="853">
        <f>IF(D17&lt;0,-D17,0)</f>
        <v>0</v>
      </c>
    </row>
    <row r="47" spans="2:13" ht="14.25" x14ac:dyDescent="0.2">
      <c r="B47" s="852" t="s">
        <v>3604</v>
      </c>
      <c r="C47" s="852"/>
      <c r="D47" s="852"/>
      <c r="E47" s="852"/>
      <c r="F47" s="852"/>
      <c r="G47" s="852"/>
      <c r="H47" s="852"/>
      <c r="I47" s="852"/>
      <c r="J47" s="852"/>
      <c r="K47" s="853"/>
      <c r="L47" s="853">
        <f>IF(D20&gt;0,D20,0)</f>
        <v>0</v>
      </c>
    </row>
    <row r="48" spans="2:13" ht="14.25" x14ac:dyDescent="0.2">
      <c r="B48" s="852" t="s">
        <v>3605</v>
      </c>
      <c r="C48" s="852"/>
      <c r="D48" s="852"/>
      <c r="E48" s="852"/>
      <c r="F48" s="852"/>
      <c r="G48" s="852"/>
      <c r="H48" s="852"/>
      <c r="I48" s="852"/>
      <c r="J48" s="852"/>
      <c r="K48" s="853">
        <f>IF(D18&gt;0,D18,0)</f>
        <v>0</v>
      </c>
      <c r="L48" s="853"/>
    </row>
    <row r="49" spans="2:13" ht="14.25" x14ac:dyDescent="0.2">
      <c r="B49" s="852" t="s">
        <v>3606</v>
      </c>
      <c r="C49" s="852"/>
      <c r="D49" s="852"/>
      <c r="E49" s="852"/>
      <c r="F49" s="852"/>
      <c r="G49" s="852"/>
      <c r="H49" s="852"/>
      <c r="I49" s="852"/>
      <c r="J49" s="852"/>
      <c r="K49" s="853">
        <f>IF(D20&lt;0,-D20,0)</f>
        <v>5501</v>
      </c>
      <c r="L49" s="853"/>
    </row>
    <row r="50" spans="2:13" ht="14.25" x14ac:dyDescent="0.2">
      <c r="B50" s="852" t="s">
        <v>3607</v>
      </c>
      <c r="C50" s="852"/>
      <c r="D50" s="852"/>
      <c r="E50" s="852"/>
      <c r="F50" s="852"/>
      <c r="G50" s="852"/>
      <c r="H50" s="852"/>
      <c r="I50" s="852"/>
      <c r="J50" s="852"/>
      <c r="K50" s="853"/>
      <c r="L50" s="853">
        <f>IF(D18&lt;0,-D18,0)</f>
        <v>42</v>
      </c>
    </row>
    <row r="51" spans="2:13" ht="14.25" x14ac:dyDescent="0.2">
      <c r="B51" s="852" t="s">
        <v>4041</v>
      </c>
      <c r="C51" s="852"/>
      <c r="D51" s="852"/>
      <c r="E51" s="852"/>
      <c r="F51" s="852"/>
      <c r="G51" s="852"/>
      <c r="H51" s="852"/>
      <c r="I51" s="852"/>
      <c r="J51" s="852"/>
      <c r="K51" s="853"/>
      <c r="L51" s="853">
        <f>D30</f>
        <v>16272</v>
      </c>
    </row>
    <row r="52" spans="2:13" ht="14.25" x14ac:dyDescent="0.2">
      <c r="B52" s="852" t="s">
        <v>4047</v>
      </c>
      <c r="C52" s="852"/>
      <c r="D52" s="852"/>
      <c r="E52" s="852"/>
      <c r="F52" s="852"/>
      <c r="G52" s="852"/>
      <c r="H52" s="852"/>
      <c r="I52" s="852"/>
      <c r="J52" s="852"/>
      <c r="K52" s="853"/>
      <c r="L52" s="853">
        <f>D32</f>
        <v>0</v>
      </c>
    </row>
    <row r="53" spans="2:13" ht="14.25" x14ac:dyDescent="0.2">
      <c r="B53" s="852" t="s">
        <v>4048</v>
      </c>
      <c r="C53" s="852"/>
      <c r="D53" s="852"/>
      <c r="E53" s="852"/>
      <c r="F53" s="852"/>
      <c r="G53" s="852"/>
      <c r="H53" s="852"/>
      <c r="I53" s="852"/>
      <c r="J53" s="852"/>
      <c r="K53" s="853"/>
      <c r="L53" s="853">
        <f>D34</f>
        <v>0</v>
      </c>
    </row>
    <row r="54" spans="2:13" ht="14.25" x14ac:dyDescent="0.2">
      <c r="B54" s="852" t="s">
        <v>4049</v>
      </c>
      <c r="C54" s="852"/>
      <c r="D54" s="852"/>
      <c r="E54" s="852"/>
      <c r="F54" s="852"/>
      <c r="G54" s="852"/>
      <c r="H54" s="852"/>
      <c r="I54" s="852"/>
      <c r="J54" s="852"/>
      <c r="K54" s="853"/>
      <c r="L54" s="853">
        <f>D36</f>
        <v>0</v>
      </c>
    </row>
    <row r="55" spans="2:13" ht="14.25" x14ac:dyDescent="0.2">
      <c r="B55" s="852"/>
      <c r="C55" s="852" t="s">
        <v>3609</v>
      </c>
      <c r="D55" s="852"/>
      <c r="E55" s="852"/>
      <c r="F55" s="852"/>
      <c r="G55" s="852"/>
      <c r="H55" s="852"/>
      <c r="I55" s="852"/>
      <c r="J55" s="852"/>
      <c r="K55" s="855">
        <f>SUM(K40:K54)</f>
        <v>248694</v>
      </c>
      <c r="L55" s="855">
        <f>SUM(L40:L54)</f>
        <v>248694</v>
      </c>
      <c r="M55" s="1022">
        <f>K55-L55</f>
        <v>0</v>
      </c>
    </row>
    <row r="56" spans="2:13" ht="14.25" x14ac:dyDescent="0.2">
      <c r="B56" s="852"/>
      <c r="C56" s="852"/>
      <c r="D56" s="852"/>
      <c r="E56" s="852"/>
      <c r="F56" s="852"/>
      <c r="G56" s="852"/>
      <c r="H56" s="852"/>
      <c r="I56" s="852"/>
      <c r="J56" s="1024"/>
      <c r="K56" s="901"/>
      <c r="L56" s="901"/>
    </row>
    <row r="57" spans="2:13" ht="14.25" x14ac:dyDescent="0.2">
      <c r="B57" s="852" t="s">
        <v>3610</v>
      </c>
      <c r="C57" s="852"/>
      <c r="D57" s="852"/>
      <c r="E57" s="852"/>
      <c r="F57" s="852"/>
      <c r="G57" s="852"/>
      <c r="H57" s="852"/>
      <c r="I57" s="852"/>
      <c r="J57" s="1024"/>
      <c r="K57" s="856">
        <f>D26</f>
        <v>17279</v>
      </c>
      <c r="L57" s="856"/>
    </row>
    <row r="58" spans="2:13" ht="14.25" x14ac:dyDescent="0.2">
      <c r="B58" s="852" t="s">
        <v>1149</v>
      </c>
      <c r="C58" s="852"/>
      <c r="D58" s="852"/>
      <c r="E58" s="852"/>
      <c r="F58" s="852"/>
      <c r="G58" s="852"/>
      <c r="H58" s="852"/>
      <c r="I58" s="852"/>
      <c r="J58" s="1024"/>
      <c r="K58" s="856"/>
      <c r="L58" s="856">
        <f>K57</f>
        <v>17279</v>
      </c>
    </row>
    <row r="59" spans="2:13" ht="14.25" x14ac:dyDescent="0.2">
      <c r="B59" s="852"/>
      <c r="C59" s="852" t="s">
        <v>3611</v>
      </c>
      <c r="D59" s="852"/>
      <c r="E59" s="852"/>
      <c r="F59" s="852"/>
      <c r="G59" s="852"/>
      <c r="H59" s="852"/>
      <c r="I59" s="852"/>
      <c r="J59" s="1024"/>
      <c r="K59" s="856"/>
      <c r="L59" s="856"/>
    </row>
    <row r="60" spans="2:13" ht="14.25" x14ac:dyDescent="0.2">
      <c r="B60" s="852" t="s">
        <v>3612</v>
      </c>
      <c r="C60" s="852"/>
      <c r="D60" s="852"/>
      <c r="E60" s="852"/>
      <c r="F60" s="852"/>
      <c r="G60" s="852"/>
      <c r="H60" s="852"/>
      <c r="I60" s="852"/>
      <c r="J60" s="1024"/>
      <c r="K60" s="856">
        <f>D28</f>
        <v>0</v>
      </c>
      <c r="L60" s="856"/>
    </row>
    <row r="61" spans="2:13" ht="14.25" x14ac:dyDescent="0.2">
      <c r="B61" s="852" t="s">
        <v>1149</v>
      </c>
      <c r="C61" s="852"/>
      <c r="D61" s="852"/>
      <c r="E61" s="852"/>
      <c r="F61" s="852"/>
      <c r="G61" s="852"/>
      <c r="H61" s="852"/>
      <c r="I61" s="852"/>
      <c r="J61" s="852"/>
      <c r="K61" s="853"/>
      <c r="L61" s="853">
        <f>K60</f>
        <v>0</v>
      </c>
    </row>
    <row r="62" spans="2:13" ht="14.25" x14ac:dyDescent="0.2">
      <c r="B62" s="852"/>
      <c r="C62" s="852" t="s">
        <v>3613</v>
      </c>
      <c r="D62" s="852"/>
      <c r="E62" s="852"/>
      <c r="F62" s="852"/>
      <c r="G62" s="852"/>
      <c r="H62" s="852"/>
      <c r="I62" s="852"/>
      <c r="J62" s="852"/>
      <c r="K62" s="853"/>
      <c r="L62" s="853"/>
    </row>
    <row r="64" spans="2:13" x14ac:dyDescent="0.2">
      <c r="K64" s="1022"/>
    </row>
    <row r="66" spans="1:9" x14ac:dyDescent="0.2">
      <c r="A66" s="685" t="s">
        <v>804</v>
      </c>
      <c r="B66" s="1581" t="s">
        <v>3614</v>
      </c>
      <c r="C66" s="1582"/>
      <c r="D66" s="1582"/>
      <c r="E66" s="1582"/>
      <c r="F66" s="1582"/>
      <c r="G66" s="1582"/>
      <c r="H66" s="1582"/>
      <c r="I66" s="1583"/>
    </row>
    <row r="69" spans="1:9" x14ac:dyDescent="0.2">
      <c r="B69" s="792"/>
      <c r="C69" s="765" t="s">
        <v>2032</v>
      </c>
      <c r="D69" s="765" t="s">
        <v>2033</v>
      </c>
    </row>
    <row r="70" spans="1:9" x14ac:dyDescent="0.2">
      <c r="B70" s="1140" t="s">
        <v>4053</v>
      </c>
      <c r="C70" s="857">
        <f>G91</f>
        <v>218892</v>
      </c>
      <c r="D70" s="857">
        <f>H91</f>
        <v>0</v>
      </c>
    </row>
    <row r="71" spans="1:9" x14ac:dyDescent="0.2">
      <c r="B71" s="792" t="s">
        <v>4052</v>
      </c>
      <c r="C71" s="857">
        <f t="shared" ref="C71:D74" si="0">G92</f>
        <v>0</v>
      </c>
      <c r="D71" s="857">
        <f t="shared" si="0"/>
        <v>222672</v>
      </c>
      <c r="E71" s="1022"/>
    </row>
    <row r="72" spans="1:9" x14ac:dyDescent="0.2">
      <c r="B72" s="903" t="s">
        <v>2067</v>
      </c>
      <c r="C72" s="857">
        <f t="shared" si="0"/>
        <v>16153</v>
      </c>
      <c r="D72" s="857">
        <f t="shared" si="0"/>
        <v>0</v>
      </c>
      <c r="E72" s="900"/>
    </row>
    <row r="73" spans="1:9" ht="25.5" x14ac:dyDescent="0.2">
      <c r="B73" s="792" t="s">
        <v>3574</v>
      </c>
      <c r="C73" s="857">
        <f t="shared" si="0"/>
        <v>0</v>
      </c>
      <c r="D73" s="857">
        <f t="shared" si="0"/>
        <v>1560</v>
      </c>
    </row>
    <row r="74" spans="1:9" x14ac:dyDescent="0.2">
      <c r="B74" s="792" t="s">
        <v>3575</v>
      </c>
      <c r="C74" s="857">
        <f t="shared" si="0"/>
        <v>0</v>
      </c>
      <c r="D74" s="857">
        <f t="shared" si="0"/>
        <v>0</v>
      </c>
    </row>
    <row r="75" spans="1:9" ht="25.5" x14ac:dyDescent="0.2">
      <c r="B75" s="792" t="s">
        <v>3577</v>
      </c>
      <c r="C75" s="857">
        <f t="shared" ref="C75:D78" si="1">G96</f>
        <v>0</v>
      </c>
      <c r="D75" s="857">
        <f t="shared" si="1"/>
        <v>0</v>
      </c>
    </row>
    <row r="76" spans="1:9" x14ac:dyDescent="0.2">
      <c r="B76" s="792" t="s">
        <v>3579</v>
      </c>
      <c r="C76" s="857">
        <f t="shared" si="1"/>
        <v>5459</v>
      </c>
      <c r="D76" s="857">
        <f t="shared" si="1"/>
        <v>0</v>
      </c>
    </row>
    <row r="77" spans="1:9" ht="25.5" x14ac:dyDescent="0.2">
      <c r="B77" s="1140" t="s">
        <v>4060</v>
      </c>
      <c r="C77" s="857">
        <f t="shared" si="1"/>
        <v>0</v>
      </c>
      <c r="D77" s="857">
        <f t="shared" si="1"/>
        <v>16272</v>
      </c>
    </row>
    <row r="78" spans="1:9" ht="25.5" x14ac:dyDescent="0.2">
      <c r="B78" s="792" t="s">
        <v>3615</v>
      </c>
      <c r="C78" s="857">
        <f t="shared" si="1"/>
        <v>17279</v>
      </c>
      <c r="D78" s="857">
        <f t="shared" si="1"/>
        <v>0</v>
      </c>
    </row>
    <row r="79" spans="1:9" x14ac:dyDescent="0.2">
      <c r="B79" s="1150" t="s">
        <v>3998</v>
      </c>
      <c r="C79" s="857"/>
      <c r="D79" s="857">
        <f>H100</f>
        <v>17279</v>
      </c>
    </row>
    <row r="80" spans="1:9" x14ac:dyDescent="0.2">
      <c r="B80" s="1150" t="s">
        <v>4070</v>
      </c>
      <c r="C80" s="857"/>
      <c r="D80" s="857">
        <f>H101</f>
        <v>0</v>
      </c>
    </row>
    <row r="81" spans="2:10" x14ac:dyDescent="0.2">
      <c r="B81" s="792"/>
      <c r="C81" s="858"/>
      <c r="D81" s="858"/>
    </row>
    <row r="82" spans="2:10" ht="13.5" thickBot="1" x14ac:dyDescent="0.25">
      <c r="B82" s="792"/>
      <c r="C82" s="859">
        <f>SUM(C70:C81)</f>
        <v>257783</v>
      </c>
      <c r="D82" s="859">
        <f>SUM(D70:D81)</f>
        <v>257783</v>
      </c>
      <c r="E82" s="1022"/>
      <c r="F82" s="1022"/>
      <c r="G82" s="1022"/>
    </row>
    <row r="83" spans="2:10" ht="13.5" thickTop="1" x14ac:dyDescent="0.2"/>
    <row r="85" spans="2:10" x14ac:dyDescent="0.2">
      <c r="B85" s="1587" t="s">
        <v>3616</v>
      </c>
      <c r="C85" s="1587"/>
      <c r="D85" s="1587"/>
      <c r="E85" s="1587"/>
      <c r="F85" s="1587"/>
      <c r="G85" s="1587"/>
      <c r="H85" s="1587"/>
    </row>
    <row r="86" spans="2:10" x14ac:dyDescent="0.2">
      <c r="B86" s="1587"/>
      <c r="C86" s="1587"/>
      <c r="D86" s="1587"/>
      <c r="E86" s="1587"/>
      <c r="F86" s="1587"/>
      <c r="G86" s="1587"/>
      <c r="H86" s="1587"/>
    </row>
    <row r="87" spans="2:10" ht="18" x14ac:dyDescent="0.25">
      <c r="B87" s="711"/>
      <c r="C87" s="711"/>
      <c r="D87" s="711"/>
      <c r="E87" s="711"/>
      <c r="F87" s="711"/>
      <c r="G87" s="711"/>
      <c r="H87" s="710"/>
    </row>
    <row r="88" spans="2:10" ht="18" x14ac:dyDescent="0.2">
      <c r="B88" s="711"/>
      <c r="C88" s="712"/>
      <c r="D88" s="714"/>
      <c r="E88" s="860"/>
      <c r="F88" s="711"/>
      <c r="G88" s="1593" t="s">
        <v>905</v>
      </c>
      <c r="H88" s="1594"/>
    </row>
    <row r="89" spans="2:10" x14ac:dyDescent="0.2">
      <c r="B89" s="849"/>
      <c r="C89" s="766"/>
      <c r="D89" s="767"/>
      <c r="E89" s="861"/>
      <c r="F89" s="862"/>
      <c r="G89" s="863"/>
      <c r="H89" s="864"/>
    </row>
    <row r="90" spans="2:10" x14ac:dyDescent="0.2">
      <c r="B90" s="849"/>
      <c r="C90" s="713" t="s">
        <v>510</v>
      </c>
      <c r="D90" s="154" t="s">
        <v>511</v>
      </c>
      <c r="E90" s="865" t="s">
        <v>2073</v>
      </c>
      <c r="F90" s="862"/>
      <c r="G90" s="866" t="s">
        <v>510</v>
      </c>
      <c r="H90" s="867" t="s">
        <v>511</v>
      </c>
    </row>
    <row r="91" spans="2:10" x14ac:dyDescent="0.2">
      <c r="B91" s="792" t="s">
        <v>4053</v>
      </c>
      <c r="C91" s="831">
        <f>K40</f>
        <v>218892</v>
      </c>
      <c r="D91" s="768"/>
      <c r="E91" s="1145">
        <f>C91-D91</f>
        <v>218892</v>
      </c>
      <c r="G91" s="869">
        <f t="shared" ref="G91:G99" si="2">IF(E91&lt;0,0,E91)</f>
        <v>218892</v>
      </c>
      <c r="H91" s="769">
        <f t="shared" ref="H91:H99" si="3">IF(E91&gt;0,0,E91*-1)</f>
        <v>0</v>
      </c>
      <c r="J91" s="858"/>
    </row>
    <row r="92" spans="2:10" x14ac:dyDescent="0.2">
      <c r="B92" s="792" t="s">
        <v>4052</v>
      </c>
      <c r="C92" s="770">
        <f>IF(L41-K40&lt;0,L41,0)</f>
        <v>0</v>
      </c>
      <c r="D92" s="769">
        <f>IF(L41-K40&gt;0,L41,0)</f>
        <v>222672</v>
      </c>
      <c r="E92" s="1145">
        <f>C92-D92</f>
        <v>-222672</v>
      </c>
      <c r="G92" s="869">
        <f>IF(E92&lt;0,0,E92)</f>
        <v>0</v>
      </c>
      <c r="H92" s="769">
        <f>IF(E92&gt;0,0,E92*-1)</f>
        <v>222672</v>
      </c>
      <c r="J92" s="858"/>
    </row>
    <row r="93" spans="2:10" x14ac:dyDescent="0.2">
      <c r="B93" s="903" t="s">
        <v>2067</v>
      </c>
      <c r="C93" s="770">
        <f>K42+K58+K61</f>
        <v>16153</v>
      </c>
      <c r="D93" s="769"/>
      <c r="E93" s="1145">
        <f t="shared" ref="E93:E101" si="4">C93-D93</f>
        <v>16153</v>
      </c>
      <c r="G93" s="869">
        <f>IF(E93&lt;0,0,E93+E102)</f>
        <v>16153</v>
      </c>
      <c r="H93" s="769">
        <f>IF(E93&gt;0,0,-E93+E102)</f>
        <v>0</v>
      </c>
    </row>
    <row r="94" spans="2:10" ht="25.5" x14ac:dyDescent="0.2">
      <c r="B94" s="792" t="s">
        <v>3574</v>
      </c>
      <c r="C94" s="770">
        <f>K43+K44</f>
        <v>8148</v>
      </c>
      <c r="D94" s="769">
        <f>L43+L44</f>
        <v>9708</v>
      </c>
      <c r="E94" s="1145">
        <f t="shared" si="4"/>
        <v>-1560</v>
      </c>
      <c r="G94" s="869">
        <f>IF(E94&lt;0,0,E94)</f>
        <v>0</v>
      </c>
      <c r="H94" s="769">
        <f t="shared" si="3"/>
        <v>1560</v>
      </c>
      <c r="J94" s="858"/>
    </row>
    <row r="95" spans="2:10" x14ac:dyDescent="0.2">
      <c r="B95" s="792" t="s">
        <v>3575</v>
      </c>
      <c r="C95" s="770">
        <f>K47+K48</f>
        <v>0</v>
      </c>
      <c r="D95" s="769">
        <f>L47+L48</f>
        <v>0</v>
      </c>
      <c r="E95" s="1145">
        <f t="shared" si="4"/>
        <v>0</v>
      </c>
      <c r="G95" s="869">
        <f t="shared" si="2"/>
        <v>0</v>
      </c>
      <c r="H95" s="769">
        <f t="shared" si="3"/>
        <v>0</v>
      </c>
      <c r="J95" s="1023"/>
    </row>
    <row r="96" spans="2:10" ht="25.5" x14ac:dyDescent="0.2">
      <c r="B96" s="792" t="s">
        <v>3577</v>
      </c>
      <c r="C96" s="770">
        <f>K45+K46</f>
        <v>0</v>
      </c>
      <c r="D96" s="769"/>
      <c r="E96" s="1145">
        <f t="shared" si="4"/>
        <v>0</v>
      </c>
      <c r="G96" s="869">
        <f t="shared" si="2"/>
        <v>0</v>
      </c>
      <c r="H96" s="769">
        <f t="shared" si="3"/>
        <v>0</v>
      </c>
      <c r="J96" s="1022"/>
    </row>
    <row r="97" spans="2:10" x14ac:dyDescent="0.2">
      <c r="B97" s="792" t="s">
        <v>3579</v>
      </c>
      <c r="C97" s="770">
        <f>K49+K50</f>
        <v>5501</v>
      </c>
      <c r="D97" s="769">
        <f>L49+L50</f>
        <v>42</v>
      </c>
      <c r="E97" s="1145">
        <f>C97-D97</f>
        <v>5459</v>
      </c>
      <c r="G97" s="869">
        <f>IF(E97&lt;0,0,E97)</f>
        <v>5459</v>
      </c>
      <c r="H97" s="769">
        <f>IF(E97&gt;0,0,E97*-1)</f>
        <v>0</v>
      </c>
    </row>
    <row r="98" spans="2:10" ht="25.5" x14ac:dyDescent="0.2">
      <c r="B98" s="1143" t="s">
        <v>4060</v>
      </c>
      <c r="C98" s="770">
        <f>K51</f>
        <v>0</v>
      </c>
      <c r="D98" s="851">
        <f>L51+L52</f>
        <v>16272</v>
      </c>
      <c r="E98" s="1145">
        <f>C98-D98</f>
        <v>-16272</v>
      </c>
      <c r="G98" s="869">
        <f>IF(E98&lt;0,0,E98)</f>
        <v>0</v>
      </c>
      <c r="H98" s="769">
        <f>IF(E98&gt;0,0,E98*-1)</f>
        <v>16272</v>
      </c>
    </row>
    <row r="99" spans="2:10" ht="25.5" x14ac:dyDescent="0.2">
      <c r="B99" s="792" t="s">
        <v>3615</v>
      </c>
      <c r="C99" s="770">
        <f>K57+K60</f>
        <v>17279</v>
      </c>
      <c r="D99" s="769">
        <f>L57+L60</f>
        <v>0</v>
      </c>
      <c r="E99" s="1145">
        <f t="shared" si="4"/>
        <v>17279</v>
      </c>
      <c r="G99" s="869">
        <f t="shared" si="2"/>
        <v>17279</v>
      </c>
      <c r="H99" s="769">
        <f t="shared" si="3"/>
        <v>0</v>
      </c>
    </row>
    <row r="100" spans="2:10" x14ac:dyDescent="0.2">
      <c r="B100" s="1150" t="s">
        <v>3998</v>
      </c>
      <c r="C100" s="770"/>
      <c r="D100" s="769">
        <f>L53+L58</f>
        <v>17279</v>
      </c>
      <c r="E100" s="1145">
        <f t="shared" si="4"/>
        <v>-17279</v>
      </c>
      <c r="G100" s="869">
        <f t="shared" ref="G100:G101" si="5">IF(E100&lt;0,0,E100)</f>
        <v>0</v>
      </c>
      <c r="H100" s="769">
        <f t="shared" ref="H100:H101" si="6">IF(E100&gt;0,0,E100*-1)</f>
        <v>17279</v>
      </c>
    </row>
    <row r="101" spans="2:10" x14ac:dyDescent="0.2">
      <c r="B101" s="792" t="s">
        <v>4069</v>
      </c>
      <c r="C101" s="1146"/>
      <c r="D101" s="1147">
        <f>L54+L61</f>
        <v>0</v>
      </c>
      <c r="E101" s="1145">
        <f t="shared" si="4"/>
        <v>0</v>
      </c>
      <c r="F101" s="862"/>
      <c r="G101" s="869">
        <f t="shared" si="5"/>
        <v>0</v>
      </c>
      <c r="H101" s="769">
        <f t="shared" si="6"/>
        <v>0</v>
      </c>
    </row>
    <row r="102" spans="2:10" x14ac:dyDescent="0.2">
      <c r="C102" s="870">
        <f>SUM(C90:C101)</f>
        <v>265973</v>
      </c>
      <c r="D102" s="871">
        <f>SUM(D90:D101)</f>
        <v>265973</v>
      </c>
      <c r="E102" s="872">
        <f>SUM(E90:E101)</f>
        <v>0</v>
      </c>
      <c r="F102" s="862"/>
      <c r="G102" s="870">
        <f>SUM(G90:G101)</f>
        <v>257783</v>
      </c>
      <c r="H102" s="871">
        <f>SUM(H90:H101)</f>
        <v>257783</v>
      </c>
      <c r="J102" s="1022">
        <f>G102-H102</f>
        <v>0</v>
      </c>
    </row>
    <row r="104" spans="2:10" x14ac:dyDescent="0.2">
      <c r="G104" s="1022"/>
    </row>
    <row r="105" spans="2:10" x14ac:dyDescent="0.2">
      <c r="C105" s="1022"/>
    </row>
    <row r="106" spans="2:10" x14ac:dyDescent="0.2">
      <c r="C106" s="1022"/>
    </row>
  </sheetData>
  <customSheetViews>
    <customSheetView guid="{C1197650-3ED8-49E4-8E4C-0D1D4B503FC0}" scale="90" fitToPage="1" hiddenRows="1">
      <selection activeCell="A40" sqref="A40:XFD62"/>
      <pageMargins left="0.25" right="0.25" top="0.25" bottom="0.25" header="0" footer="0"/>
      <pageSetup scale="36" orientation="landscape" r:id="rId1"/>
    </customSheetView>
    <customSheetView guid="{D2B860EA-92EC-4999-9A59-C624E1F8C7FB}" scale="90" fitToPage="1" hiddenRows="1">
      <selection activeCell="A40" sqref="A40:XFD62"/>
      <pageMargins left="0.25" right="0.25" top="0.25" bottom="0.25" header="0" footer="0"/>
      <pageSetup scale="36" orientation="landscape" r:id="rId2"/>
    </customSheetView>
  </customSheetViews>
  <mergeCells count="21">
    <mergeCell ref="B28:C28"/>
    <mergeCell ref="B66:I66"/>
    <mergeCell ref="B85:H86"/>
    <mergeCell ref="G88:H88"/>
    <mergeCell ref="B19:C19"/>
    <mergeCell ref="F19:K19"/>
    <mergeCell ref="B20:C20"/>
    <mergeCell ref="F20:K20"/>
    <mergeCell ref="B26:C26"/>
    <mergeCell ref="B30:C30"/>
    <mergeCell ref="B34:C34"/>
    <mergeCell ref="B32:C32"/>
    <mergeCell ref="B36:C36"/>
    <mergeCell ref="G32:I32"/>
    <mergeCell ref="E34:I34"/>
    <mergeCell ref="A1:C1"/>
    <mergeCell ref="A4:C4"/>
    <mergeCell ref="B17:C17"/>
    <mergeCell ref="F17:K17"/>
    <mergeCell ref="B18:C18"/>
    <mergeCell ref="F18:K18"/>
  </mergeCells>
  <pageMargins left="0.25" right="0.25" top="0.25" bottom="0.25" header="0" footer="0"/>
  <pageSetup scale="36" orientation="landscape" r:id="rId3"/>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50"/>
  <sheetViews>
    <sheetView workbookViewId="0"/>
  </sheetViews>
  <sheetFormatPr defaultRowHeight="12.75" x14ac:dyDescent="0.2"/>
  <cols>
    <col min="1" max="1" width="4.42578125" customWidth="1"/>
    <col min="2" max="2" width="3.42578125" customWidth="1"/>
    <col min="3" max="3" width="3.7109375" customWidth="1"/>
    <col min="6" max="6" width="11.28515625" customWidth="1"/>
    <col min="7" max="7" width="2.85546875" customWidth="1"/>
    <col min="8" max="8" width="13.5703125" customWidth="1"/>
    <col min="9" max="9" width="1.5703125" customWidth="1"/>
    <col min="10" max="10" width="15.28515625" customWidth="1"/>
    <col min="11" max="11" width="1.140625" customWidth="1"/>
    <col min="12" max="12" width="15.28515625" customWidth="1"/>
    <col min="13" max="13" width="1.28515625" customWidth="1"/>
    <col min="14" max="14" width="15.28515625" customWidth="1"/>
    <col min="15" max="15" width="13.42578125" customWidth="1"/>
    <col min="16" max="16" width="1.140625" customWidth="1"/>
  </cols>
  <sheetData>
    <row r="1" spans="1:16" x14ac:dyDescent="0.2">
      <c r="A1" s="2"/>
    </row>
    <row r="2" spans="1:16" ht="33.75" customHeight="1" x14ac:dyDescent="0.25">
      <c r="A2" s="1408" t="s">
        <v>95</v>
      </c>
      <c r="B2" s="1409"/>
      <c r="C2" s="1409"/>
      <c r="D2" s="1409"/>
      <c r="E2" s="1409"/>
      <c r="F2" s="1409"/>
      <c r="G2" s="1409"/>
      <c r="H2" s="1409"/>
      <c r="I2" s="1409"/>
      <c r="J2" s="1409"/>
      <c r="K2" s="1409"/>
      <c r="L2" s="1409"/>
      <c r="M2" s="1409"/>
      <c r="N2" s="1409"/>
      <c r="O2" s="1410"/>
    </row>
    <row r="4" spans="1:16" ht="65.25" customHeight="1" x14ac:dyDescent="0.2">
      <c r="B4" s="1411" t="s">
        <v>1097</v>
      </c>
      <c r="C4" s="1412"/>
      <c r="D4" s="1412"/>
      <c r="E4" s="1412"/>
      <c r="F4" s="1412"/>
      <c r="G4" s="1412"/>
      <c r="H4" s="1412"/>
      <c r="I4" s="1412"/>
      <c r="J4" s="1412"/>
      <c r="K4" s="1412"/>
      <c r="L4" s="1412"/>
      <c r="M4" s="1412"/>
      <c r="N4" s="1412"/>
      <c r="O4" s="1412"/>
      <c r="P4" s="1412"/>
    </row>
    <row r="5" spans="1:16" ht="7.5" customHeight="1" x14ac:dyDescent="0.2">
      <c r="B5" s="34"/>
      <c r="C5" s="35"/>
      <c r="D5" s="35"/>
      <c r="E5" s="35"/>
      <c r="F5" s="35"/>
      <c r="G5" s="35"/>
      <c r="H5" s="35"/>
      <c r="I5" s="35"/>
      <c r="J5" s="35"/>
      <c r="K5" s="35"/>
      <c r="L5" s="35"/>
      <c r="M5" s="35"/>
      <c r="N5" s="35"/>
      <c r="O5" s="35"/>
      <c r="P5" s="35"/>
    </row>
    <row r="6" spans="1:16" ht="12" customHeight="1" x14ac:dyDescent="0.2">
      <c r="B6" s="41" t="s">
        <v>514</v>
      </c>
      <c r="C6" s="1412" t="s">
        <v>150</v>
      </c>
      <c r="D6" s="1412"/>
      <c r="E6" s="1412"/>
      <c r="F6" s="1412"/>
      <c r="G6" s="1412"/>
      <c r="H6" s="1412"/>
      <c r="I6" s="1412"/>
      <c r="J6" s="1412"/>
      <c r="K6" s="1412"/>
      <c r="L6" s="1412"/>
      <c r="M6" s="1412"/>
      <c r="N6" s="1412"/>
      <c r="O6" s="1412"/>
      <c r="P6" s="35"/>
    </row>
    <row r="7" spans="1:16" ht="4.5" customHeight="1" x14ac:dyDescent="0.2">
      <c r="B7" s="41"/>
      <c r="C7" s="34"/>
      <c r="D7" s="34"/>
      <c r="E7" s="34"/>
      <c r="F7" s="34"/>
      <c r="G7" s="34"/>
      <c r="H7" s="34"/>
      <c r="I7" s="34"/>
      <c r="J7" s="34"/>
      <c r="K7" s="34"/>
      <c r="L7" s="34"/>
      <c r="M7" s="34"/>
      <c r="N7" s="34"/>
      <c r="O7" s="34"/>
      <c r="P7" s="35"/>
    </row>
    <row r="8" spans="1:16" ht="19.899999999999999" customHeight="1" x14ac:dyDescent="0.2">
      <c r="B8" s="41" t="s">
        <v>515</v>
      </c>
      <c r="C8" s="1324" t="s">
        <v>4159</v>
      </c>
      <c r="D8" s="1324"/>
      <c r="E8" s="1324"/>
      <c r="F8" s="1324"/>
      <c r="G8" s="1324"/>
      <c r="H8" s="1324"/>
      <c r="I8" s="1324"/>
      <c r="J8" s="1324"/>
      <c r="K8" s="1324"/>
      <c r="L8" s="1324"/>
      <c r="M8" s="1324"/>
      <c r="N8" s="1324"/>
      <c r="O8" s="1324"/>
      <c r="P8" s="35"/>
    </row>
    <row r="9" spans="1:16" ht="19.899999999999999" customHeight="1" x14ac:dyDescent="0.2">
      <c r="B9" s="41"/>
      <c r="C9" s="1324"/>
      <c r="D9" s="1324"/>
      <c r="E9" s="1324"/>
      <c r="F9" s="1324"/>
      <c r="G9" s="1324"/>
      <c r="H9" s="1324"/>
      <c r="I9" s="1324"/>
      <c r="J9" s="1324"/>
      <c r="K9" s="1324"/>
      <c r="L9" s="1324"/>
      <c r="M9" s="1324"/>
      <c r="N9" s="1324"/>
      <c r="O9" s="1324"/>
      <c r="P9" s="35"/>
    </row>
    <row r="10" spans="1:16" ht="4.5" customHeight="1" x14ac:dyDescent="0.2">
      <c r="B10" s="41"/>
      <c r="C10" s="35"/>
      <c r="D10" s="35"/>
      <c r="E10" s="35"/>
      <c r="F10" s="35"/>
      <c r="G10" s="35"/>
      <c r="H10" s="35"/>
      <c r="I10" s="35"/>
      <c r="J10" s="35"/>
      <c r="K10" s="35"/>
      <c r="L10" s="35"/>
      <c r="M10" s="35"/>
      <c r="N10" s="35"/>
      <c r="O10" s="35"/>
      <c r="P10" s="35"/>
    </row>
    <row r="11" spans="1:16" ht="12.75" customHeight="1" x14ac:dyDescent="0.2">
      <c r="B11" s="41" t="s">
        <v>516</v>
      </c>
      <c r="C11" s="1324" t="s">
        <v>453</v>
      </c>
      <c r="D11" s="1324"/>
      <c r="E11" s="1324"/>
      <c r="F11" s="1324"/>
      <c r="G11" s="1324"/>
      <c r="H11" s="1324"/>
      <c r="I11" s="1324"/>
      <c r="J11" s="1324"/>
      <c r="K11" s="1324"/>
      <c r="L11" s="1324"/>
      <c r="M11" s="1324"/>
      <c r="N11" s="1324"/>
      <c r="O11" s="1324"/>
      <c r="P11" s="35"/>
    </row>
    <row r="12" spans="1:16" ht="39.6" customHeight="1" x14ac:dyDescent="0.2">
      <c r="B12" s="41"/>
      <c r="C12" s="1324"/>
      <c r="D12" s="1324"/>
      <c r="E12" s="1324"/>
      <c r="F12" s="1324"/>
      <c r="G12" s="1324"/>
      <c r="H12" s="1324"/>
      <c r="I12" s="1324"/>
      <c r="J12" s="1324"/>
      <c r="K12" s="1324"/>
      <c r="L12" s="1324"/>
      <c r="M12" s="1324"/>
      <c r="N12" s="1324"/>
      <c r="O12" s="1324"/>
      <c r="P12" s="35"/>
    </row>
    <row r="13" spans="1:16" ht="4.5" customHeight="1" x14ac:dyDescent="0.2">
      <c r="B13" s="41"/>
      <c r="C13" s="34"/>
      <c r="D13" s="35"/>
      <c r="E13" s="35"/>
      <c r="F13" s="35"/>
      <c r="G13" s="35"/>
      <c r="H13" s="35"/>
      <c r="I13" s="35"/>
      <c r="J13" s="35"/>
      <c r="K13" s="35"/>
      <c r="L13" s="35"/>
      <c r="M13" s="35"/>
      <c r="N13" s="35"/>
      <c r="O13" s="35"/>
      <c r="P13" s="35"/>
    </row>
    <row r="14" spans="1:16" ht="12.75" customHeight="1" x14ac:dyDescent="0.2">
      <c r="B14" s="41" t="s">
        <v>542</v>
      </c>
      <c r="C14" s="1324" t="s">
        <v>253</v>
      </c>
      <c r="D14" s="1324"/>
      <c r="E14" s="1324"/>
      <c r="F14" s="1324"/>
      <c r="G14" s="1324"/>
      <c r="H14" s="1324"/>
      <c r="I14" s="1324"/>
      <c r="J14" s="1324"/>
      <c r="K14" s="1324"/>
      <c r="L14" s="1324"/>
      <c r="M14" s="1324"/>
      <c r="N14" s="1324"/>
      <c r="O14" s="1324"/>
      <c r="P14" s="35"/>
    </row>
    <row r="15" spans="1:16" ht="39.6" customHeight="1" x14ac:dyDescent="0.2">
      <c r="B15" s="41"/>
      <c r="C15" s="1324"/>
      <c r="D15" s="1324"/>
      <c r="E15" s="1324"/>
      <c r="F15" s="1324"/>
      <c r="G15" s="1324"/>
      <c r="H15" s="1324"/>
      <c r="I15" s="1324"/>
      <c r="J15" s="1324"/>
      <c r="K15" s="1324"/>
      <c r="L15" s="1324"/>
      <c r="M15" s="1324"/>
      <c r="N15" s="1324"/>
      <c r="O15" s="1324"/>
      <c r="P15" s="35"/>
    </row>
    <row r="16" spans="1:16" ht="5.25" customHeight="1" x14ac:dyDescent="0.2">
      <c r="B16" s="41"/>
      <c r="C16" s="34"/>
      <c r="D16" s="35"/>
      <c r="E16" s="35"/>
      <c r="F16" s="35"/>
      <c r="G16" s="35"/>
      <c r="H16" s="35"/>
      <c r="I16" s="35"/>
      <c r="J16" s="35"/>
      <c r="K16" s="35"/>
      <c r="L16" s="35"/>
      <c r="M16" s="35"/>
      <c r="N16" s="35"/>
      <c r="O16" s="35"/>
      <c r="P16" s="35"/>
    </row>
    <row r="17" spans="1:16" ht="12.75" customHeight="1" x14ac:dyDescent="0.2">
      <c r="B17" s="41" t="s">
        <v>543</v>
      </c>
      <c r="C17" s="1324" t="s">
        <v>1009</v>
      </c>
      <c r="D17" s="1324"/>
      <c r="E17" s="1324"/>
      <c r="F17" s="1324"/>
      <c r="G17" s="1324"/>
      <c r="H17" s="1324"/>
      <c r="I17" s="1324"/>
      <c r="J17" s="1324"/>
      <c r="K17" s="1324"/>
      <c r="L17" s="1324"/>
      <c r="M17" s="1324"/>
      <c r="N17" s="1324"/>
      <c r="O17" s="1324"/>
      <c r="P17" s="35"/>
    </row>
    <row r="18" spans="1:16" ht="12.75" customHeight="1" x14ac:dyDescent="0.2">
      <c r="B18" s="41"/>
      <c r="C18" s="1324"/>
      <c r="D18" s="1324"/>
      <c r="E18" s="1324"/>
      <c r="F18" s="1324"/>
      <c r="G18" s="1324"/>
      <c r="H18" s="1324"/>
      <c r="I18" s="1324"/>
      <c r="J18" s="1324"/>
      <c r="K18" s="1324"/>
      <c r="L18" s="1324"/>
      <c r="M18" s="1324"/>
      <c r="N18" s="1324"/>
      <c r="O18" s="1324"/>
      <c r="P18" s="35"/>
    </row>
    <row r="19" spans="1:16" ht="4.5" customHeight="1" x14ac:dyDescent="0.2">
      <c r="B19" s="40"/>
      <c r="C19" s="35"/>
      <c r="D19" s="35"/>
      <c r="E19" s="35"/>
      <c r="F19" s="35"/>
      <c r="G19" s="35"/>
      <c r="H19" s="35"/>
      <c r="I19" s="35"/>
      <c r="J19" s="35"/>
      <c r="K19" s="35"/>
      <c r="L19" s="35"/>
      <c r="M19" s="35"/>
      <c r="N19" s="35"/>
      <c r="O19" s="35"/>
      <c r="P19" s="35"/>
    </row>
    <row r="20" spans="1:16" ht="12.75" customHeight="1" x14ac:dyDescent="0.2">
      <c r="B20" s="41" t="s">
        <v>858</v>
      </c>
      <c r="C20" s="1324" t="s">
        <v>831</v>
      </c>
      <c r="D20" s="1324"/>
      <c r="E20" s="1324"/>
      <c r="F20" s="1324"/>
      <c r="G20" s="1324"/>
      <c r="H20" s="1324"/>
      <c r="I20" s="1324"/>
      <c r="J20" s="1324"/>
      <c r="K20" s="1324"/>
      <c r="L20" s="1324"/>
      <c r="M20" s="1324"/>
      <c r="N20" s="1324"/>
      <c r="O20" s="1324"/>
      <c r="P20" s="35"/>
    </row>
    <row r="21" spans="1:16" ht="12.75" customHeight="1" x14ac:dyDescent="0.2">
      <c r="B21" s="41"/>
      <c r="C21" s="1324"/>
      <c r="D21" s="1324"/>
      <c r="E21" s="1324"/>
      <c r="F21" s="1324"/>
      <c r="G21" s="1324"/>
      <c r="H21" s="1324"/>
      <c r="I21" s="1324"/>
      <c r="J21" s="1324"/>
      <c r="K21" s="1324"/>
      <c r="L21" s="1324"/>
      <c r="M21" s="1324"/>
      <c r="N21" s="1324"/>
      <c r="O21" s="1324"/>
      <c r="P21" s="35"/>
    </row>
    <row r="22" spans="1:16" ht="12" customHeight="1" x14ac:dyDescent="0.2">
      <c r="B22" s="34"/>
      <c r="C22" s="35"/>
      <c r="D22" s="35"/>
      <c r="E22" s="35"/>
      <c r="F22" s="35"/>
      <c r="G22" s="35"/>
      <c r="H22" s="35"/>
      <c r="I22" s="35"/>
      <c r="J22" s="35"/>
      <c r="K22" s="35"/>
      <c r="L22" s="35"/>
      <c r="M22" s="35"/>
      <c r="N22" s="35"/>
      <c r="O22" s="35"/>
      <c r="P22" s="35"/>
    </row>
    <row r="23" spans="1:16" ht="45.75" customHeight="1" x14ac:dyDescent="0.2">
      <c r="A23" s="4" t="s">
        <v>540</v>
      </c>
      <c r="B23" s="1413" t="s">
        <v>917</v>
      </c>
      <c r="C23" s="1414"/>
      <c r="D23" s="1414"/>
      <c r="E23" s="1414"/>
      <c r="F23" s="1414"/>
      <c r="G23" s="1414"/>
      <c r="H23" s="1414"/>
      <c r="I23" s="1414"/>
      <c r="J23" s="1414"/>
      <c r="K23" s="1414"/>
      <c r="L23" s="1414"/>
      <c r="M23" s="1414"/>
      <c r="N23" s="1414"/>
      <c r="O23" s="1415"/>
      <c r="P23" s="35"/>
    </row>
    <row r="25" spans="1:16" x14ac:dyDescent="0.2">
      <c r="C25" s="1407" t="s">
        <v>1019</v>
      </c>
      <c r="D25" s="1407"/>
      <c r="E25" s="1407"/>
      <c r="F25" s="1407"/>
      <c r="H25" s="3" t="s">
        <v>507</v>
      </c>
    </row>
    <row r="26" spans="1:16" ht="4.5" customHeight="1" x14ac:dyDescent="0.2"/>
    <row r="27" spans="1:16" ht="12.75" customHeight="1" x14ac:dyDescent="0.2">
      <c r="C27" t="s">
        <v>720</v>
      </c>
      <c r="H27" s="343">
        <v>0</v>
      </c>
    </row>
    <row r="28" spans="1:16" ht="12.75" customHeight="1" x14ac:dyDescent="0.2">
      <c r="C28" t="s">
        <v>90</v>
      </c>
      <c r="H28" s="343">
        <v>0</v>
      </c>
    </row>
    <row r="29" spans="1:16" x14ac:dyDescent="0.2">
      <c r="C29" t="s">
        <v>508</v>
      </c>
      <c r="H29" s="344">
        <f>57136+566064+666829+32832+7119183+5383804+1444783+48250+1192+36000+24338</f>
        <v>15380411</v>
      </c>
      <c r="J29" s="1299"/>
      <c r="K29" s="1299"/>
      <c r="L29" s="1299"/>
      <c r="M29" s="1299"/>
      <c r="N29" s="1300"/>
      <c r="O29" s="1299"/>
    </row>
    <row r="30" spans="1:16" x14ac:dyDescent="0.2">
      <c r="C30" t="s">
        <v>908</v>
      </c>
      <c r="H30" s="343">
        <f>445049+12600</f>
        <v>457649</v>
      </c>
      <c r="J30" s="1299"/>
      <c r="K30" s="1299"/>
      <c r="L30" s="1299"/>
      <c r="M30" s="1299"/>
      <c r="N30" s="422"/>
      <c r="O30" s="1299"/>
    </row>
    <row r="31" spans="1:16" x14ac:dyDescent="0.2">
      <c r="C31" t="s">
        <v>717</v>
      </c>
      <c r="H31" s="343">
        <f>1165426+481900</f>
        <v>1647326</v>
      </c>
      <c r="J31" s="1299"/>
      <c r="K31" s="1299"/>
      <c r="L31" s="1299"/>
      <c r="M31" s="1299"/>
      <c r="N31" s="422"/>
      <c r="O31" s="1299"/>
    </row>
    <row r="32" spans="1:16" s="1302" customFormat="1" x14ac:dyDescent="0.2">
      <c r="C32" s="697" t="s">
        <v>4204</v>
      </c>
      <c r="H32" s="1303">
        <v>540000</v>
      </c>
      <c r="J32" s="1304"/>
      <c r="K32" s="1304"/>
      <c r="L32" s="1304"/>
      <c r="M32" s="1304"/>
      <c r="N32" s="422"/>
      <c r="O32" s="1304"/>
    </row>
    <row r="33" spans="1:15" x14ac:dyDescent="0.2">
      <c r="C33" t="s">
        <v>909</v>
      </c>
      <c r="H33" s="343">
        <v>16799</v>
      </c>
      <c r="J33" s="1299"/>
      <c r="K33" s="1299"/>
      <c r="L33" s="1299"/>
      <c r="M33" s="1299"/>
      <c r="N33" s="422"/>
      <c r="O33" s="1299"/>
    </row>
    <row r="34" spans="1:15" ht="12.75" customHeight="1" x14ac:dyDescent="0.2">
      <c r="C34" t="s">
        <v>910</v>
      </c>
      <c r="H34" s="343">
        <v>74190</v>
      </c>
      <c r="J34" s="1421"/>
      <c r="K34" s="1421"/>
      <c r="L34" s="1421"/>
      <c r="M34" s="1421"/>
      <c r="N34" s="1421"/>
      <c r="O34" s="1421"/>
    </row>
    <row r="35" spans="1:15" x14ac:dyDescent="0.2">
      <c r="C35" s="353" t="s">
        <v>723</v>
      </c>
      <c r="H35" s="343">
        <v>0</v>
      </c>
      <c r="J35" s="1299"/>
      <c r="K35" s="1299"/>
      <c r="L35" s="1299"/>
      <c r="M35" s="1299"/>
      <c r="N35" s="422"/>
      <c r="O35" s="1299"/>
    </row>
    <row r="36" spans="1:15" x14ac:dyDescent="0.2">
      <c r="C36" s="353" t="s">
        <v>724</v>
      </c>
      <c r="H36" s="343">
        <v>0</v>
      </c>
    </row>
    <row r="37" spans="1:15" x14ac:dyDescent="0.2">
      <c r="C37" s="1328" t="s">
        <v>951</v>
      </c>
      <c r="D37" s="1328"/>
      <c r="E37" s="1328"/>
      <c r="F37" s="1328"/>
      <c r="H37" s="343">
        <v>0</v>
      </c>
    </row>
    <row r="38" spans="1:15" x14ac:dyDescent="0.2">
      <c r="C38" s="1328" t="s">
        <v>952</v>
      </c>
      <c r="D38" s="1328"/>
      <c r="E38" s="1328"/>
      <c r="F38" s="1328"/>
      <c r="H38" s="343">
        <v>0</v>
      </c>
    </row>
    <row r="39" spans="1:15" ht="12.75" customHeight="1" x14ac:dyDescent="0.2">
      <c r="H39" s="36"/>
    </row>
    <row r="40" spans="1:15" ht="13.5" thickBot="1" x14ac:dyDescent="0.25">
      <c r="D40" t="s">
        <v>512</v>
      </c>
      <c r="H40" s="81">
        <f>SUM(H27:H39)</f>
        <v>18116375</v>
      </c>
    </row>
    <row r="41" spans="1:15" ht="13.5" thickTop="1" x14ac:dyDescent="0.2">
      <c r="H41" s="55"/>
    </row>
    <row r="42" spans="1:15" ht="36.75" customHeight="1" x14ac:dyDescent="0.2">
      <c r="A42" s="4" t="s">
        <v>541</v>
      </c>
      <c r="B42" s="1419" t="s">
        <v>642</v>
      </c>
      <c r="C42" s="1417"/>
      <c r="D42" s="1417"/>
      <c r="E42" s="1417"/>
      <c r="F42" s="1417"/>
      <c r="G42" s="1417"/>
      <c r="H42" s="1417"/>
      <c r="I42" s="1417"/>
      <c r="J42" s="1417"/>
      <c r="K42" s="1417"/>
      <c r="L42" s="1417"/>
      <c r="M42" s="1417"/>
      <c r="N42" s="1417"/>
      <c r="O42" s="1418"/>
    </row>
    <row r="43" spans="1:15" x14ac:dyDescent="0.2">
      <c r="H43" s="55"/>
    </row>
    <row r="44" spans="1:15" x14ac:dyDescent="0.2">
      <c r="H44" s="59" t="s">
        <v>507</v>
      </c>
    </row>
    <row r="45" spans="1:15" ht="4.5" customHeight="1" x14ac:dyDescent="0.2">
      <c r="H45" s="55"/>
    </row>
    <row r="46" spans="1:15" x14ac:dyDescent="0.2">
      <c r="C46" t="s">
        <v>189</v>
      </c>
      <c r="H46" s="82"/>
    </row>
    <row r="47" spans="1:15" x14ac:dyDescent="0.2">
      <c r="D47" t="s">
        <v>506</v>
      </c>
      <c r="H47" s="343">
        <f>12812+12600+481900</f>
        <v>507312</v>
      </c>
      <c r="N47" s="422"/>
    </row>
    <row r="48" spans="1:15" x14ac:dyDescent="0.2">
      <c r="D48" t="s">
        <v>304</v>
      </c>
      <c r="H48" s="341"/>
      <c r="N48" s="338"/>
    </row>
    <row r="49" spans="3:14" x14ac:dyDescent="0.2">
      <c r="D49" t="s">
        <v>305</v>
      </c>
      <c r="H49" s="341"/>
      <c r="N49" s="338"/>
    </row>
    <row r="50" spans="3:14" ht="4.5" customHeight="1" x14ac:dyDescent="0.2">
      <c r="H50" s="336"/>
      <c r="N50" s="338"/>
    </row>
    <row r="51" spans="3:14" x14ac:dyDescent="0.2">
      <c r="C51" t="s">
        <v>1020</v>
      </c>
      <c r="H51" s="345"/>
      <c r="N51" s="345"/>
    </row>
    <row r="52" spans="3:14" x14ac:dyDescent="0.2">
      <c r="D52" t="s">
        <v>506</v>
      </c>
      <c r="H52" s="341">
        <f>12145+31650+121986+1444783</f>
        <v>1610564</v>
      </c>
      <c r="N52" s="338"/>
    </row>
    <row r="53" spans="3:14" x14ac:dyDescent="0.2">
      <c r="D53" t="s">
        <v>304</v>
      </c>
      <c r="H53" s="343">
        <f>1192+36000+24338+48250+57136</f>
        <v>166916</v>
      </c>
      <c r="N53" s="422"/>
    </row>
    <row r="54" spans="3:14" x14ac:dyDescent="0.2">
      <c r="D54" t="s">
        <v>305</v>
      </c>
      <c r="H54" s="341">
        <v>0</v>
      </c>
      <c r="N54" s="1299"/>
    </row>
    <row r="55" spans="3:14" ht="4.5" customHeight="1" x14ac:dyDescent="0.2">
      <c r="H55" s="336"/>
      <c r="N55" s="1299"/>
    </row>
    <row r="56" spans="3:14" x14ac:dyDescent="0.2">
      <c r="C56" t="s">
        <v>992</v>
      </c>
      <c r="H56" s="345"/>
      <c r="N56" s="1299"/>
    </row>
    <row r="57" spans="3:14" x14ac:dyDescent="0.2">
      <c r="D57" t="s">
        <v>506</v>
      </c>
      <c r="H57" s="341"/>
      <c r="N57" s="1299"/>
    </row>
    <row r="58" spans="3:14" x14ac:dyDescent="0.2">
      <c r="D58" t="s">
        <v>304</v>
      </c>
      <c r="H58" s="341"/>
      <c r="N58" s="1299"/>
    </row>
    <row r="59" spans="3:14" x14ac:dyDescent="0.2">
      <c r="D59" t="s">
        <v>305</v>
      </c>
      <c r="H59" s="341">
        <v>0</v>
      </c>
      <c r="N59" s="1299"/>
    </row>
    <row r="60" spans="3:14" ht="4.5" customHeight="1" x14ac:dyDescent="0.2">
      <c r="H60" s="336"/>
      <c r="N60" s="1299"/>
    </row>
    <row r="61" spans="3:14" x14ac:dyDescent="0.2">
      <c r="C61" t="s">
        <v>818</v>
      </c>
      <c r="H61" s="345"/>
      <c r="N61" s="1299"/>
    </row>
    <row r="62" spans="3:14" x14ac:dyDescent="0.2">
      <c r="D62" t="s">
        <v>506</v>
      </c>
      <c r="H62" s="341">
        <f>13948+46111+372845+793987</f>
        <v>1226891</v>
      </c>
      <c r="N62" s="1299"/>
    </row>
    <row r="63" spans="3:14" x14ac:dyDescent="0.2">
      <c r="D63" t="s">
        <v>304</v>
      </c>
      <c r="H63" s="341">
        <v>0</v>
      </c>
      <c r="N63" s="1299"/>
    </row>
    <row r="64" spans="3:14" x14ac:dyDescent="0.2">
      <c r="D64" t="s">
        <v>305</v>
      </c>
      <c r="H64" s="341">
        <v>4190</v>
      </c>
      <c r="J64" s="5"/>
      <c r="N64" s="1299"/>
    </row>
    <row r="65" spans="3:14" ht="5.25" customHeight="1" x14ac:dyDescent="0.2">
      <c r="H65" s="336"/>
      <c r="N65" s="1299"/>
    </row>
    <row r="66" spans="3:14" x14ac:dyDescent="0.2">
      <c r="C66" t="s">
        <v>183</v>
      </c>
      <c r="H66" s="345"/>
      <c r="J66" s="5"/>
      <c r="N66" s="1299"/>
    </row>
    <row r="67" spans="3:14" x14ac:dyDescent="0.2">
      <c r="D67" t="s">
        <v>506</v>
      </c>
      <c r="H67" s="341">
        <v>0</v>
      </c>
      <c r="N67" s="1299"/>
    </row>
    <row r="68" spans="3:14" x14ac:dyDescent="0.2">
      <c r="D68" t="s">
        <v>304</v>
      </c>
      <c r="H68" s="341">
        <v>0</v>
      </c>
      <c r="N68" s="1299"/>
    </row>
    <row r="69" spans="3:14" x14ac:dyDescent="0.2">
      <c r="D69" t="s">
        <v>305</v>
      </c>
      <c r="H69" s="341">
        <v>0</v>
      </c>
      <c r="N69" s="1299"/>
    </row>
    <row r="70" spans="3:14" ht="3" customHeight="1" x14ac:dyDescent="0.2">
      <c r="H70" s="336"/>
      <c r="N70" s="1299"/>
    </row>
    <row r="71" spans="3:14" x14ac:dyDescent="0.2">
      <c r="C71" s="697" t="s">
        <v>4203</v>
      </c>
      <c r="H71" s="345"/>
      <c r="N71" s="1299"/>
    </row>
    <row r="72" spans="3:14" x14ac:dyDescent="0.2">
      <c r="D72" t="s">
        <v>506</v>
      </c>
      <c r="H72" s="341">
        <v>540000</v>
      </c>
      <c r="N72" s="338"/>
    </row>
    <row r="73" spans="3:14" x14ac:dyDescent="0.2">
      <c r="D73" t="s">
        <v>304</v>
      </c>
      <c r="H73" s="341">
        <f>566064+7119183+5383804</f>
        <v>13069051</v>
      </c>
      <c r="N73" s="338"/>
    </row>
    <row r="74" spans="3:14" x14ac:dyDescent="0.2">
      <c r="D74" t="s">
        <v>305</v>
      </c>
      <c r="H74" s="341"/>
      <c r="N74" s="338"/>
    </row>
    <row r="75" spans="3:14" ht="4.5" customHeight="1" x14ac:dyDescent="0.2">
      <c r="H75" s="336"/>
      <c r="N75" s="338"/>
    </row>
    <row r="76" spans="3:14" x14ac:dyDescent="0.2">
      <c r="C76" t="s">
        <v>306</v>
      </c>
      <c r="H76" s="345"/>
      <c r="N76" s="345"/>
    </row>
    <row r="77" spans="3:14" x14ac:dyDescent="0.2">
      <c r="D77" t="s">
        <v>506</v>
      </c>
      <c r="H77" s="341">
        <v>204991</v>
      </c>
      <c r="N77" s="338"/>
    </row>
    <row r="78" spans="3:14" x14ac:dyDescent="0.2">
      <c r="D78" t="s">
        <v>304</v>
      </c>
      <c r="H78" s="341"/>
      <c r="N78" s="338"/>
    </row>
    <row r="79" spans="3:14" x14ac:dyDescent="0.2">
      <c r="D79" t="s">
        <v>305</v>
      </c>
      <c r="H79" s="341">
        <f>32832+70000</f>
        <v>102832</v>
      </c>
      <c r="N79" s="338"/>
    </row>
    <row r="80" spans="3:14" ht="4.5" customHeight="1" x14ac:dyDescent="0.2">
      <c r="H80" s="336"/>
      <c r="N80" s="338"/>
    </row>
    <row r="81" spans="2:14" ht="12.75" customHeight="1" x14ac:dyDescent="0.2">
      <c r="C81" t="s">
        <v>172</v>
      </c>
      <c r="H81" s="336"/>
      <c r="N81" s="338"/>
    </row>
    <row r="82" spans="2:14" ht="12.75" customHeight="1" x14ac:dyDescent="0.2">
      <c r="D82" t="s">
        <v>506</v>
      </c>
      <c r="H82" s="341"/>
      <c r="N82" s="338"/>
    </row>
    <row r="83" spans="2:14" ht="12.75" customHeight="1" x14ac:dyDescent="0.2">
      <c r="D83" t="s">
        <v>304</v>
      </c>
      <c r="H83" s="341"/>
      <c r="N83" s="338"/>
    </row>
    <row r="84" spans="2:14" ht="12.75" customHeight="1" x14ac:dyDescent="0.2">
      <c r="D84" t="s">
        <v>305</v>
      </c>
      <c r="H84" s="341">
        <f>666829+16799</f>
        <v>683628</v>
      </c>
      <c r="N84" s="1299"/>
    </row>
    <row r="85" spans="2:14" ht="4.5" customHeight="1" x14ac:dyDescent="0.2">
      <c r="H85" s="336"/>
      <c r="N85" s="1299"/>
    </row>
    <row r="86" spans="2:14" ht="12.75" customHeight="1" x14ac:dyDescent="0.2">
      <c r="C86" s="353" t="s">
        <v>729</v>
      </c>
      <c r="H86" s="336"/>
      <c r="N86" s="1299"/>
    </row>
    <row r="87" spans="2:14" ht="12.75" customHeight="1" x14ac:dyDescent="0.2">
      <c r="D87" t="s">
        <v>506</v>
      </c>
      <c r="H87" s="341">
        <v>0</v>
      </c>
      <c r="N87" s="1299"/>
    </row>
    <row r="88" spans="2:14" ht="12.75" customHeight="1" x14ac:dyDescent="0.2">
      <c r="D88" t="s">
        <v>304</v>
      </c>
      <c r="H88" s="341">
        <v>0</v>
      </c>
      <c r="N88" s="1299"/>
    </row>
    <row r="89" spans="2:14" ht="12.75" customHeight="1" x14ac:dyDescent="0.2">
      <c r="D89" t="s">
        <v>305</v>
      </c>
      <c r="H89" s="341">
        <v>0</v>
      </c>
    </row>
    <row r="90" spans="2:14" ht="4.5" customHeight="1" x14ac:dyDescent="0.2">
      <c r="H90" s="336"/>
    </row>
    <row r="91" spans="2:14" ht="12.75" customHeight="1" x14ac:dyDescent="0.2">
      <c r="B91" s="2"/>
      <c r="C91" s="1328" t="s">
        <v>949</v>
      </c>
      <c r="D91" s="1328"/>
      <c r="E91" s="1328"/>
      <c r="F91" s="1328"/>
      <c r="H91" s="341">
        <v>0</v>
      </c>
    </row>
    <row r="92" spans="2:14" ht="12.75" customHeight="1" x14ac:dyDescent="0.2">
      <c r="B92" s="2"/>
      <c r="C92" s="1328" t="s">
        <v>950</v>
      </c>
      <c r="D92" s="1328"/>
      <c r="E92" s="1328"/>
      <c r="F92" s="1328"/>
      <c r="H92" s="341">
        <v>0</v>
      </c>
      <c r="J92" s="1420" t="str">
        <f>IF(H40=H94," ","Recheck numbers in Sections A or B. Entry out of balance.")</f>
        <v xml:space="preserve"> </v>
      </c>
    </row>
    <row r="93" spans="2:14" ht="12.75" customHeight="1" x14ac:dyDescent="0.2">
      <c r="H93" s="47"/>
      <c r="J93" s="1420"/>
    </row>
    <row r="94" spans="2:14" ht="22.5" customHeight="1" thickBot="1" x14ac:dyDescent="0.25">
      <c r="D94" t="s">
        <v>308</v>
      </c>
      <c r="H94" s="81">
        <f>SUM(H46:H93)</f>
        <v>18116375</v>
      </c>
      <c r="J94" s="1420"/>
    </row>
    <row r="95" spans="2:14" ht="12.75" customHeight="1" thickTop="1" x14ac:dyDescent="0.2"/>
    <row r="97" spans="1:15" ht="26.25" customHeight="1" x14ac:dyDescent="0.2">
      <c r="A97" s="4" t="s">
        <v>804</v>
      </c>
      <c r="B97" s="1416" t="s">
        <v>91</v>
      </c>
      <c r="C97" s="1417"/>
      <c r="D97" s="1417"/>
      <c r="E97" s="1417"/>
      <c r="F97" s="1417"/>
      <c r="G97" s="1417"/>
      <c r="H97" s="1417"/>
      <c r="I97" s="1417"/>
      <c r="J97" s="1417"/>
      <c r="K97" s="1417"/>
      <c r="L97" s="1417"/>
      <c r="M97" s="1417"/>
      <c r="N97" s="1417"/>
      <c r="O97" s="1418"/>
    </row>
    <row r="98" spans="1:15" ht="12.75" customHeight="1" x14ac:dyDescent="0.2">
      <c r="A98" s="4"/>
      <c r="B98" s="44"/>
      <c r="C98" s="44"/>
      <c r="D98" s="44"/>
      <c r="E98" s="44"/>
      <c r="F98" s="44"/>
      <c r="G98" s="44"/>
      <c r="H98" s="44"/>
      <c r="I98" s="44"/>
      <c r="J98" s="44"/>
      <c r="K98" s="44"/>
      <c r="L98" s="44"/>
      <c r="M98" s="44"/>
      <c r="N98" s="44"/>
      <c r="O98" s="44"/>
    </row>
    <row r="99" spans="1:15" x14ac:dyDescent="0.2">
      <c r="K99" s="38"/>
      <c r="L99" s="49" t="s">
        <v>510</v>
      </c>
      <c r="N99" s="49" t="s">
        <v>511</v>
      </c>
    </row>
    <row r="100" spans="1:15" ht="6" customHeight="1" x14ac:dyDescent="0.2">
      <c r="K100" s="38"/>
      <c r="L100" s="38"/>
      <c r="N100" s="38"/>
    </row>
    <row r="101" spans="1:15" ht="12.75" customHeight="1" x14ac:dyDescent="0.2">
      <c r="B101" t="s">
        <v>720</v>
      </c>
      <c r="K101" s="38"/>
      <c r="L101" s="282">
        <f>H27</f>
        <v>0</v>
      </c>
      <c r="N101" s="117"/>
    </row>
    <row r="102" spans="1:15" ht="12.75" customHeight="1" x14ac:dyDescent="0.2">
      <c r="B102" t="s">
        <v>90</v>
      </c>
      <c r="K102" s="38"/>
      <c r="L102" s="118">
        <f>H28</f>
        <v>0</v>
      </c>
      <c r="N102" s="117"/>
    </row>
    <row r="103" spans="1:15" x14ac:dyDescent="0.2">
      <c r="B103" t="s">
        <v>508</v>
      </c>
      <c r="I103" s="13"/>
      <c r="K103" s="94"/>
      <c r="L103" s="83">
        <f>H29</f>
        <v>15380411</v>
      </c>
      <c r="N103" s="83"/>
    </row>
    <row r="104" spans="1:15" x14ac:dyDescent="0.2">
      <c r="B104" t="s">
        <v>908</v>
      </c>
      <c r="K104" s="94"/>
      <c r="L104" s="83">
        <f>H30</f>
        <v>457649</v>
      </c>
      <c r="N104" s="83"/>
    </row>
    <row r="105" spans="1:15" x14ac:dyDescent="0.2">
      <c r="B105" t="s">
        <v>509</v>
      </c>
      <c r="K105" s="94"/>
      <c r="L105" s="83">
        <f>H31</f>
        <v>1647326</v>
      </c>
      <c r="N105" s="83"/>
    </row>
    <row r="106" spans="1:15" s="1302" customFormat="1" x14ac:dyDescent="0.2">
      <c r="B106" s="697" t="s">
        <v>4204</v>
      </c>
      <c r="K106" s="94"/>
      <c r="L106" s="1305">
        <f>+H32</f>
        <v>540000</v>
      </c>
      <c r="N106" s="1305"/>
    </row>
    <row r="107" spans="1:15" x14ac:dyDescent="0.2">
      <c r="B107" t="s">
        <v>918</v>
      </c>
      <c r="K107" s="94"/>
      <c r="L107" s="83">
        <f t="shared" ref="L107:L112" si="0">H33</f>
        <v>16799</v>
      </c>
      <c r="N107" s="83"/>
    </row>
    <row r="108" spans="1:15" x14ac:dyDescent="0.2">
      <c r="B108" t="s">
        <v>910</v>
      </c>
      <c r="K108" s="94"/>
      <c r="L108" s="83">
        <f t="shared" si="0"/>
        <v>74190</v>
      </c>
      <c r="N108" s="83"/>
    </row>
    <row r="109" spans="1:15" x14ac:dyDescent="0.2">
      <c r="B109" s="353" t="s">
        <v>723</v>
      </c>
      <c r="K109" s="94"/>
      <c r="L109" s="83">
        <f t="shared" si="0"/>
        <v>0</v>
      </c>
      <c r="N109" s="83"/>
    </row>
    <row r="110" spans="1:15" x14ac:dyDescent="0.2">
      <c r="B110" s="353" t="s">
        <v>724</v>
      </c>
      <c r="K110" s="94"/>
      <c r="L110" s="83">
        <f t="shared" si="0"/>
        <v>0</v>
      </c>
      <c r="N110" s="83"/>
    </row>
    <row r="111" spans="1:15" x14ac:dyDescent="0.2">
      <c r="B111" t="s">
        <v>727</v>
      </c>
      <c r="K111" s="94"/>
      <c r="L111" s="83">
        <f t="shared" si="0"/>
        <v>0</v>
      </c>
      <c r="N111" s="83"/>
    </row>
    <row r="112" spans="1:15" x14ac:dyDescent="0.2">
      <c r="B112" t="s">
        <v>728</v>
      </c>
      <c r="K112" s="94"/>
      <c r="L112" s="83">
        <f t="shared" si="0"/>
        <v>0</v>
      </c>
      <c r="N112" s="83"/>
    </row>
    <row r="113" spans="3:14" x14ac:dyDescent="0.2">
      <c r="C113" t="s">
        <v>309</v>
      </c>
      <c r="K113" s="13"/>
      <c r="L113" s="83"/>
      <c r="N113" s="83">
        <f>H47</f>
        <v>507312</v>
      </c>
    </row>
    <row r="114" spans="3:14" x14ac:dyDescent="0.2">
      <c r="C114" t="s">
        <v>310</v>
      </c>
      <c r="K114" s="13"/>
      <c r="L114" s="83"/>
      <c r="N114" s="83">
        <f>H48</f>
        <v>0</v>
      </c>
    </row>
    <row r="115" spans="3:14" ht="12.75" customHeight="1" x14ac:dyDescent="0.2">
      <c r="C115" t="s">
        <v>931</v>
      </c>
      <c r="K115" s="13"/>
      <c r="L115" s="83"/>
      <c r="N115" s="83">
        <f>H49</f>
        <v>0</v>
      </c>
    </row>
    <row r="116" spans="3:14" x14ac:dyDescent="0.2">
      <c r="C116" t="s">
        <v>932</v>
      </c>
      <c r="K116" s="13"/>
      <c r="L116" s="83"/>
      <c r="N116" s="83">
        <f>H52</f>
        <v>1610564</v>
      </c>
    </row>
    <row r="117" spans="3:14" ht="14.25" x14ac:dyDescent="0.2">
      <c r="C117" t="s">
        <v>933</v>
      </c>
      <c r="K117" s="13"/>
      <c r="L117" s="83"/>
      <c r="M117" s="54"/>
      <c r="N117" s="83">
        <f>H53</f>
        <v>166916</v>
      </c>
    </row>
    <row r="118" spans="3:14" ht="12.75" customHeight="1" x14ac:dyDescent="0.2">
      <c r="C118" t="s">
        <v>97</v>
      </c>
      <c r="K118" s="13"/>
      <c r="L118" s="83"/>
      <c r="N118" s="83">
        <f>H54</f>
        <v>0</v>
      </c>
    </row>
    <row r="119" spans="3:14" x14ac:dyDescent="0.2">
      <c r="C119" t="s">
        <v>98</v>
      </c>
      <c r="K119" s="13"/>
      <c r="L119" s="83"/>
      <c r="N119" s="83">
        <f>H57</f>
        <v>0</v>
      </c>
    </row>
    <row r="120" spans="3:14" x14ac:dyDescent="0.2">
      <c r="C120" t="s">
        <v>99</v>
      </c>
      <c r="K120" s="13"/>
      <c r="L120" s="83"/>
      <c r="N120" s="83">
        <f>H58</f>
        <v>0</v>
      </c>
    </row>
    <row r="121" spans="3:14" x14ac:dyDescent="0.2">
      <c r="C121" t="s">
        <v>100</v>
      </c>
      <c r="K121" s="13"/>
      <c r="L121" s="83"/>
      <c r="N121" s="83">
        <f>H59</f>
        <v>0</v>
      </c>
    </row>
    <row r="122" spans="3:14" x14ac:dyDescent="0.2">
      <c r="C122" t="s">
        <v>443</v>
      </c>
      <c r="K122" s="13"/>
      <c r="L122" s="83"/>
      <c r="N122" s="83">
        <f>H62</f>
        <v>1226891</v>
      </c>
    </row>
    <row r="123" spans="3:14" x14ac:dyDescent="0.2">
      <c r="C123" t="s">
        <v>445</v>
      </c>
      <c r="K123" s="13"/>
      <c r="L123" s="83"/>
      <c r="N123" s="83">
        <f>H63</f>
        <v>0</v>
      </c>
    </row>
    <row r="124" spans="3:14" x14ac:dyDescent="0.2">
      <c r="C124" t="s">
        <v>446</v>
      </c>
      <c r="K124" s="13"/>
      <c r="L124" s="83"/>
      <c r="N124" s="83">
        <f>H64</f>
        <v>4190</v>
      </c>
    </row>
    <row r="125" spans="3:14" x14ac:dyDescent="0.2">
      <c r="C125" t="s">
        <v>101</v>
      </c>
      <c r="K125" s="13"/>
      <c r="L125" s="83"/>
      <c r="N125" s="83">
        <f>H67</f>
        <v>0</v>
      </c>
    </row>
    <row r="126" spans="3:14" x14ac:dyDescent="0.2">
      <c r="C126" t="s">
        <v>102</v>
      </c>
      <c r="K126" s="13"/>
      <c r="L126" s="83"/>
      <c r="N126" s="83">
        <f>H68</f>
        <v>0</v>
      </c>
    </row>
    <row r="127" spans="3:14" x14ac:dyDescent="0.2">
      <c r="C127" t="s">
        <v>442</v>
      </c>
      <c r="K127" s="13"/>
      <c r="L127" s="83"/>
      <c r="N127" s="83">
        <f>H69</f>
        <v>0</v>
      </c>
    </row>
    <row r="128" spans="3:14" x14ac:dyDescent="0.2">
      <c r="C128" s="697" t="s">
        <v>4205</v>
      </c>
      <c r="K128" s="13"/>
      <c r="L128" s="83"/>
      <c r="N128" s="83">
        <f>H72</f>
        <v>540000</v>
      </c>
    </row>
    <row r="129" spans="3:14" x14ac:dyDescent="0.2">
      <c r="C129" s="697" t="s">
        <v>4206</v>
      </c>
      <c r="K129" s="13"/>
      <c r="L129" s="83"/>
      <c r="N129" s="83">
        <f>H73</f>
        <v>13069051</v>
      </c>
    </row>
    <row r="130" spans="3:14" x14ac:dyDescent="0.2">
      <c r="C130" s="697" t="s">
        <v>4207</v>
      </c>
      <c r="K130" s="13"/>
      <c r="L130" s="83"/>
      <c r="N130" s="83">
        <f>H74</f>
        <v>0</v>
      </c>
    </row>
    <row r="131" spans="3:14" x14ac:dyDescent="0.2">
      <c r="C131" t="s">
        <v>447</v>
      </c>
      <c r="K131" s="13"/>
      <c r="L131" s="83"/>
      <c r="N131" s="83">
        <f>H77</f>
        <v>204991</v>
      </c>
    </row>
    <row r="132" spans="3:14" x14ac:dyDescent="0.2">
      <c r="C132" t="s">
        <v>448</v>
      </c>
      <c r="K132" s="13"/>
      <c r="L132" s="83"/>
      <c r="N132" s="83">
        <f>H78</f>
        <v>0</v>
      </c>
    </row>
    <row r="133" spans="3:14" x14ac:dyDescent="0.2">
      <c r="C133" t="s">
        <v>449</v>
      </c>
      <c r="K133" s="13"/>
      <c r="L133" s="83"/>
      <c r="N133" s="83">
        <f>H79</f>
        <v>102832</v>
      </c>
    </row>
    <row r="134" spans="3:14" x14ac:dyDescent="0.2">
      <c r="C134" s="376" t="s">
        <v>546</v>
      </c>
      <c r="K134" s="13"/>
      <c r="L134" s="83"/>
      <c r="N134" s="83">
        <f>H82</f>
        <v>0</v>
      </c>
    </row>
    <row r="135" spans="3:14" x14ac:dyDescent="0.2">
      <c r="C135" s="376" t="s">
        <v>547</v>
      </c>
      <c r="K135" s="13"/>
      <c r="L135" s="83"/>
      <c r="N135" s="83">
        <f>H83</f>
        <v>0</v>
      </c>
    </row>
    <row r="136" spans="3:14" x14ac:dyDescent="0.2">
      <c r="C136" s="376" t="s">
        <v>548</v>
      </c>
      <c r="K136" s="13"/>
      <c r="L136" s="83"/>
      <c r="N136" s="83">
        <f>H84</f>
        <v>683628</v>
      </c>
    </row>
    <row r="137" spans="3:14" x14ac:dyDescent="0.2">
      <c r="C137" s="353" t="s">
        <v>567</v>
      </c>
      <c r="K137" s="13"/>
      <c r="L137" s="83"/>
      <c r="N137" s="83">
        <f>H87</f>
        <v>0</v>
      </c>
    </row>
    <row r="138" spans="3:14" x14ac:dyDescent="0.2">
      <c r="C138" s="353" t="s">
        <v>568</v>
      </c>
      <c r="K138" s="13"/>
      <c r="L138" s="83"/>
      <c r="N138" s="83">
        <f>H88</f>
        <v>0</v>
      </c>
    </row>
    <row r="139" spans="3:14" x14ac:dyDescent="0.2">
      <c r="C139" s="353" t="s">
        <v>569</v>
      </c>
      <c r="K139" s="13"/>
      <c r="L139" s="83"/>
      <c r="N139" s="83">
        <f>H89</f>
        <v>0</v>
      </c>
    </row>
    <row r="140" spans="3:14" x14ac:dyDescent="0.2">
      <c r="C140" t="s">
        <v>166</v>
      </c>
      <c r="K140" s="13"/>
      <c r="L140" s="83"/>
      <c r="N140" s="83">
        <f>H91</f>
        <v>0</v>
      </c>
    </row>
    <row r="141" spans="3:14" x14ac:dyDescent="0.2">
      <c r="C141" t="s">
        <v>832</v>
      </c>
      <c r="K141" s="13"/>
      <c r="L141" s="83"/>
      <c r="N141" s="83">
        <f>H92</f>
        <v>0</v>
      </c>
    </row>
    <row r="142" spans="3:14" x14ac:dyDescent="0.2">
      <c r="K142" s="13"/>
      <c r="L142" s="79"/>
      <c r="N142" s="79"/>
    </row>
    <row r="143" spans="3:14" ht="13.5" thickBot="1" x14ac:dyDescent="0.25">
      <c r="K143" s="10">
        <f>SUM(K103:K142)</f>
        <v>0</v>
      </c>
      <c r="L143" s="80">
        <f>SUM(L101:L142)</f>
        <v>18116375</v>
      </c>
      <c r="N143" s="80">
        <f>SUM(N101:N142)</f>
        <v>18116375</v>
      </c>
    </row>
    <row r="144" spans="3:14" ht="13.5" thickTop="1" x14ac:dyDescent="0.2"/>
    <row r="147" spans="2:15" ht="24" customHeight="1" x14ac:dyDescent="0.2">
      <c r="B147" s="19"/>
      <c r="C147" s="1324" t="s">
        <v>570</v>
      </c>
      <c r="D147" s="1324"/>
      <c r="E147" s="1324"/>
      <c r="F147" s="1324"/>
      <c r="G147" s="1324"/>
      <c r="H147" s="1324"/>
      <c r="I147" s="1324"/>
      <c r="J147" s="1324"/>
      <c r="K147" s="1324"/>
      <c r="L147" s="1324"/>
      <c r="M147" s="1324"/>
      <c r="N147" s="1324"/>
      <c r="O147" s="1324"/>
    </row>
    <row r="149" spans="2:15" x14ac:dyDescent="0.2">
      <c r="C149" t="s">
        <v>165</v>
      </c>
    </row>
    <row r="150" spans="2:15" x14ac:dyDescent="0.2">
      <c r="C150" t="s">
        <v>94</v>
      </c>
    </row>
  </sheetData>
  <customSheetViews>
    <customSheetView guid="{C1197650-3ED8-49E4-8E4C-0D1D4B503FC0}">
      <selection activeCell="H77" sqref="H77"/>
      <rowBreaks count="1" manualBreakCount="1">
        <brk id="74" max="15" man="1"/>
      </rowBreaks>
      <pageMargins left="0.5" right="0.45" top="0.66" bottom="0.76" header="0.5" footer="0.5"/>
      <printOptions horizontalCentered="1"/>
      <pageSetup scale="66" orientation="portrait" r:id="rId1"/>
      <headerFooter alignWithMargins="0">
        <oddHeader>&amp;R&amp;"Arial,Bold"&amp;12Entry A</oddHeader>
        <oddFooter>&amp;L&amp;8&amp;D - County model&amp;R&amp;P</oddFooter>
      </headerFooter>
    </customSheetView>
    <customSheetView guid="{D2B860EA-92EC-4999-9A59-C624E1F8C7FB}">
      <selection activeCell="H77" sqref="H77"/>
      <rowBreaks count="1" manualBreakCount="1">
        <brk id="74" max="15" man="1"/>
      </rowBreaks>
      <pageMargins left="0.5" right="0.45" top="0.66" bottom="0.76" header="0.5" footer="0.5"/>
      <printOptions horizontalCentered="1"/>
      <pageSetup scale="66" orientation="portrait" r:id="rId2"/>
      <headerFooter alignWithMargins="0">
        <oddHeader>&amp;R&amp;"Arial,Bold"&amp;12Entry A</oddHeader>
        <oddFooter>&amp;L&amp;8&amp;D - County model&amp;R&amp;P</oddFooter>
      </headerFooter>
    </customSheetView>
  </customSheetViews>
  <mergeCells count="19">
    <mergeCell ref="C147:O147"/>
    <mergeCell ref="B97:O97"/>
    <mergeCell ref="B42:O42"/>
    <mergeCell ref="J92:J94"/>
    <mergeCell ref="J34:O34"/>
    <mergeCell ref="C37:F37"/>
    <mergeCell ref="C38:F38"/>
    <mergeCell ref="C91:F91"/>
    <mergeCell ref="C92:F92"/>
    <mergeCell ref="C25:F25"/>
    <mergeCell ref="A2:O2"/>
    <mergeCell ref="B4:P4"/>
    <mergeCell ref="C6:O6"/>
    <mergeCell ref="C8:O9"/>
    <mergeCell ref="C11:O12"/>
    <mergeCell ref="C14:O15"/>
    <mergeCell ref="C17:O18"/>
    <mergeCell ref="B23:O23"/>
    <mergeCell ref="C20:O21"/>
  </mergeCells>
  <phoneticPr fontId="14" type="noConversion"/>
  <printOptions horizontalCentered="1"/>
  <pageMargins left="0.5" right="0.45" top="0.66" bottom="0.76" header="0.5" footer="0.5"/>
  <pageSetup scale="66" orientation="portrait" r:id="rId3"/>
  <headerFooter alignWithMargins="0">
    <oddHeader>&amp;R&amp;"Arial,Bold"&amp;12Entry A</oddHeader>
    <oddFooter>&amp;L&amp;8&amp;D - County model&amp;R&amp;P</oddFooter>
  </headerFooter>
  <rowBreaks count="1" manualBreakCount="1">
    <brk id="75" max="15" man="1"/>
  </rowBreaks>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3:U30"/>
  <sheetViews>
    <sheetView workbookViewId="0"/>
  </sheetViews>
  <sheetFormatPr defaultRowHeight="12.75" x14ac:dyDescent="0.2"/>
  <cols>
    <col min="3" max="3" width="12" bestFit="1" customWidth="1"/>
    <col min="9" max="9" width="17.7109375" bestFit="1" customWidth="1"/>
    <col min="10" max="10" width="15" bestFit="1" customWidth="1"/>
    <col min="11" max="11" width="15.85546875" bestFit="1" customWidth="1"/>
    <col min="13" max="14" width="15" bestFit="1" customWidth="1"/>
    <col min="15" max="15" width="12.28515625" bestFit="1" customWidth="1"/>
    <col min="16" max="16" width="2.7109375" style="948" customWidth="1"/>
    <col min="17" max="17" width="15" bestFit="1" customWidth="1"/>
    <col min="18" max="19" width="16.140625" customWidth="1"/>
    <col min="20" max="20" width="11.42578125" bestFit="1" customWidth="1"/>
    <col min="21" max="21" width="9.28515625" bestFit="1" customWidth="1"/>
  </cols>
  <sheetData>
    <row r="3" spans="1:21" x14ac:dyDescent="0.2">
      <c r="A3" s="133" t="s">
        <v>3552</v>
      </c>
      <c r="I3" s="36">
        <f>(34204505533-1050012433)*0.0000457</f>
        <v>1515160</v>
      </c>
      <c r="J3" s="36"/>
      <c r="M3" s="36">
        <v>43503399006</v>
      </c>
      <c r="N3" s="36"/>
      <c r="O3" s="576"/>
      <c r="P3" s="576"/>
      <c r="Q3" s="36">
        <f>34204505533-1050012433</f>
        <v>33154493100</v>
      </c>
      <c r="R3" s="36"/>
      <c r="S3" s="576"/>
      <c r="T3" s="576"/>
      <c r="U3" s="576"/>
    </row>
    <row r="4" spans="1:21" x14ac:dyDescent="0.2">
      <c r="A4" s="133" t="s">
        <v>3553</v>
      </c>
      <c r="I4" s="36"/>
      <c r="J4" s="36">
        <f>(44577535234-1074136233)*0.0000457</f>
        <v>1988105</v>
      </c>
      <c r="K4" s="949">
        <f>J4/32786624464</f>
        <v>6.0637699999999997E-5</v>
      </c>
      <c r="M4" s="36"/>
      <c r="N4" s="36">
        <v>32786624459</v>
      </c>
      <c r="O4" s="576"/>
      <c r="P4" s="576"/>
      <c r="Q4" s="36"/>
      <c r="R4" s="36">
        <v>43503399001</v>
      </c>
      <c r="S4" s="576"/>
      <c r="T4" s="576"/>
      <c r="U4" s="576"/>
    </row>
    <row r="5" spans="1:21" x14ac:dyDescent="0.2">
      <c r="A5" s="133" t="s">
        <v>3554</v>
      </c>
      <c r="I5" s="36">
        <f>(3973971849+8)*0.0000457-1</f>
        <v>181610</v>
      </c>
      <c r="J5" s="36"/>
      <c r="M5" s="36">
        <v>1625508164</v>
      </c>
      <c r="N5" s="36"/>
      <c r="O5" s="576"/>
      <c r="P5" s="576"/>
      <c r="Q5" s="36">
        <v>3973971849</v>
      </c>
      <c r="R5" s="36"/>
      <c r="S5" s="576"/>
      <c r="T5" s="576"/>
      <c r="U5" s="576"/>
    </row>
    <row r="6" spans="1:21" x14ac:dyDescent="0.2">
      <c r="A6" s="133" t="s">
        <v>3555</v>
      </c>
      <c r="I6" s="36"/>
      <c r="J6" s="36">
        <v>0</v>
      </c>
      <c r="M6" s="36"/>
      <c r="N6" s="36"/>
      <c r="O6" s="576"/>
      <c r="P6" s="576"/>
      <c r="Q6" s="36"/>
      <c r="R6" s="36"/>
      <c r="S6" s="576"/>
      <c r="T6" s="576"/>
      <c r="U6" s="576"/>
    </row>
    <row r="7" spans="1:21" x14ac:dyDescent="0.2">
      <c r="A7" s="133" t="s">
        <v>3556</v>
      </c>
      <c r="I7" s="36"/>
      <c r="J7" s="36">
        <v>0</v>
      </c>
      <c r="M7" s="36"/>
      <c r="N7" s="36"/>
      <c r="O7" s="576"/>
      <c r="P7" s="576"/>
      <c r="Q7" s="36"/>
      <c r="R7" s="36"/>
      <c r="S7" s="576"/>
      <c r="T7" s="576"/>
      <c r="U7" s="576"/>
    </row>
    <row r="8" spans="1:21" x14ac:dyDescent="0.2">
      <c r="A8" s="133" t="s">
        <v>3557</v>
      </c>
      <c r="I8" s="36"/>
      <c r="J8" s="36">
        <v>0</v>
      </c>
      <c r="M8" s="36"/>
      <c r="N8" s="36"/>
      <c r="O8" s="576"/>
      <c r="P8" s="576"/>
      <c r="Q8" s="36"/>
      <c r="R8" s="36"/>
      <c r="S8" s="576"/>
      <c r="T8" s="576"/>
      <c r="U8" s="576"/>
    </row>
    <row r="9" spans="1:21" x14ac:dyDescent="0.2">
      <c r="A9" s="133" t="s">
        <v>3559</v>
      </c>
      <c r="I9" s="36">
        <v>0</v>
      </c>
      <c r="J9" s="36"/>
      <c r="M9" s="36"/>
      <c r="N9" s="36"/>
      <c r="O9" s="576"/>
      <c r="P9" s="576"/>
      <c r="Q9" s="36"/>
      <c r="R9" s="36"/>
      <c r="S9" s="576"/>
      <c r="T9" s="576"/>
      <c r="U9" s="576"/>
    </row>
    <row r="10" spans="1:21" x14ac:dyDescent="0.2">
      <c r="A10" s="133" t="s">
        <v>3560</v>
      </c>
      <c r="I10" s="36">
        <v>0</v>
      </c>
      <c r="J10" s="36"/>
      <c r="M10" s="36"/>
      <c r="N10" s="36"/>
      <c r="O10" s="576"/>
      <c r="P10" s="576"/>
      <c r="Q10" s="36"/>
      <c r="R10" s="36"/>
      <c r="S10" s="576"/>
      <c r="T10" s="576"/>
      <c r="U10" s="576"/>
    </row>
    <row r="11" spans="1:21" x14ac:dyDescent="0.2">
      <c r="A11" s="906" t="s">
        <v>3561</v>
      </c>
      <c r="I11" s="36">
        <v>0</v>
      </c>
      <c r="J11" s="36"/>
      <c r="M11" s="36"/>
      <c r="N11" s="36"/>
      <c r="O11" s="576"/>
      <c r="P11" s="576"/>
      <c r="Q11" s="36"/>
      <c r="R11" s="36"/>
      <c r="S11" s="576"/>
      <c r="T11" s="576"/>
      <c r="U11" s="576"/>
    </row>
    <row r="12" spans="1:21" x14ac:dyDescent="0.2">
      <c r="A12" s="133" t="s">
        <v>3563</v>
      </c>
      <c r="I12" s="36">
        <v>0</v>
      </c>
      <c r="J12" s="36"/>
      <c r="M12" s="36"/>
      <c r="N12" s="36"/>
      <c r="O12" s="576"/>
      <c r="P12" s="576"/>
      <c r="Q12" s="36"/>
      <c r="R12" s="36"/>
      <c r="S12" s="576"/>
      <c r="T12" s="576"/>
      <c r="U12" s="576"/>
    </row>
    <row r="13" spans="1:21" x14ac:dyDescent="0.2">
      <c r="A13" s="133" t="s">
        <v>3564</v>
      </c>
      <c r="I13" s="36">
        <v>0</v>
      </c>
      <c r="J13" s="36"/>
      <c r="M13" s="36"/>
      <c r="N13" s="36"/>
      <c r="O13" s="576"/>
      <c r="P13" s="576"/>
      <c r="Q13" s="36">
        <v>55068042</v>
      </c>
      <c r="R13" s="36"/>
      <c r="S13" s="576"/>
      <c r="T13" s="576"/>
      <c r="U13" s="576"/>
    </row>
    <row r="14" spans="1:21" x14ac:dyDescent="0.2">
      <c r="A14" s="133" t="s">
        <v>3565</v>
      </c>
      <c r="I14" s="36">
        <f>7300373661*0.0000457</f>
        <v>333627</v>
      </c>
      <c r="J14" s="36"/>
      <c r="M14" s="36"/>
      <c r="N14" s="36"/>
      <c r="O14" s="576"/>
      <c r="P14" s="576"/>
      <c r="Q14" s="36">
        <v>7300373661</v>
      </c>
      <c r="R14" s="36"/>
      <c r="S14" s="576"/>
      <c r="T14" s="576"/>
      <c r="U14" s="576"/>
    </row>
    <row r="15" spans="1:21" x14ac:dyDescent="0.2">
      <c r="A15" s="133" t="s">
        <v>3567</v>
      </c>
      <c r="I15" s="36"/>
      <c r="J15" s="36">
        <f>99895159*0.0000457</f>
        <v>4565</v>
      </c>
      <c r="M15" s="36"/>
      <c r="N15" s="36">
        <v>2350861287</v>
      </c>
      <c r="O15" s="576"/>
      <c r="P15" s="576"/>
      <c r="Q15" s="36"/>
      <c r="R15" s="36">
        <v>99895159</v>
      </c>
      <c r="S15" s="576"/>
      <c r="T15" s="576"/>
      <c r="U15" s="576"/>
    </row>
    <row r="16" spans="1:21" x14ac:dyDescent="0.2">
      <c r="A16" s="133" t="s">
        <v>3568</v>
      </c>
      <c r="I16" s="36">
        <f>55068042*0.0000457</f>
        <v>2517</v>
      </c>
      <c r="J16" s="36">
        <v>0</v>
      </c>
      <c r="M16" s="36"/>
      <c r="N16" s="36">
        <v>12184938</v>
      </c>
      <c r="O16" s="576"/>
      <c r="P16" s="576"/>
      <c r="Q16" s="36"/>
      <c r="R16" s="36">
        <v>0</v>
      </c>
      <c r="S16" s="576"/>
      <c r="T16" s="576"/>
      <c r="U16" s="576"/>
    </row>
    <row r="17" spans="1:21" x14ac:dyDescent="0.2">
      <c r="A17" s="906" t="s">
        <v>3569</v>
      </c>
      <c r="I17" s="36"/>
      <c r="J17" s="36">
        <v>0</v>
      </c>
      <c r="M17" s="36"/>
      <c r="N17" s="36">
        <v>9029286691</v>
      </c>
      <c r="O17" s="576"/>
      <c r="P17" s="576"/>
      <c r="Q17" s="36"/>
      <c r="R17" s="36">
        <v>0</v>
      </c>
      <c r="S17" s="576"/>
      <c r="T17" s="576"/>
      <c r="U17" s="576"/>
    </row>
    <row r="18" spans="1:21" x14ac:dyDescent="0.2">
      <c r="A18" s="133" t="s">
        <v>3571</v>
      </c>
      <c r="I18" s="36"/>
      <c r="J18" s="36">
        <f>880612500*0.0000457</f>
        <v>40244</v>
      </c>
      <c r="M18" s="36"/>
      <c r="N18" s="36">
        <v>950812690</v>
      </c>
      <c r="O18" s="576"/>
      <c r="P18" s="576"/>
      <c r="Q18" s="36"/>
      <c r="R18" s="36">
        <v>880612500</v>
      </c>
      <c r="S18" s="576"/>
      <c r="T18" s="576"/>
      <c r="U18" s="576"/>
    </row>
    <row r="19" spans="1:21" x14ac:dyDescent="0.2">
      <c r="A19" s="133" t="s">
        <v>3572</v>
      </c>
      <c r="I19" s="36">
        <v>0</v>
      </c>
      <c r="J19" s="36"/>
      <c r="M19" s="36"/>
      <c r="N19" s="36"/>
      <c r="O19" s="576"/>
      <c r="P19" s="576"/>
      <c r="Q19" s="36"/>
      <c r="R19" s="36"/>
      <c r="S19" s="576"/>
      <c r="T19" s="576"/>
      <c r="U19" s="576"/>
    </row>
    <row r="20" spans="1:21" x14ac:dyDescent="0.2">
      <c r="A20" s="133" t="s">
        <v>3573</v>
      </c>
      <c r="I20" s="36">
        <v>0</v>
      </c>
      <c r="J20" s="36">
        <v>0</v>
      </c>
      <c r="M20" s="36"/>
      <c r="N20" s="36"/>
      <c r="O20" s="576"/>
      <c r="P20" s="576"/>
      <c r="Q20" s="36"/>
      <c r="R20" s="36"/>
      <c r="S20" s="576"/>
      <c r="T20" s="576"/>
      <c r="U20" s="576"/>
    </row>
    <row r="21" spans="1:21" x14ac:dyDescent="0.2">
      <c r="I21" s="5">
        <f>SUM(I3:I20)</f>
        <v>2032914</v>
      </c>
      <c r="J21" s="5">
        <f>SUM(J3:J20)</f>
        <v>2032914</v>
      </c>
      <c r="M21" s="5">
        <f>SUM(M3:M20)</f>
        <v>45128907170</v>
      </c>
      <c r="N21" s="5">
        <f>SUM(N3:N20)</f>
        <v>45129770065</v>
      </c>
      <c r="O21" s="576">
        <f>M21-N21</f>
        <v>-862895</v>
      </c>
      <c r="P21" s="576"/>
      <c r="Q21" s="5">
        <f>SUM(Q3:Q20)</f>
        <v>44483906652</v>
      </c>
      <c r="R21" s="5">
        <f>SUM(R3:R20)</f>
        <v>44483906660</v>
      </c>
      <c r="S21" s="576">
        <f>Q21-R21</f>
        <v>-8</v>
      </c>
      <c r="T21" s="576"/>
      <c r="U21" s="576"/>
    </row>
    <row r="22" spans="1:21" x14ac:dyDescent="0.2">
      <c r="M22" s="948"/>
      <c r="N22" s="948"/>
      <c r="O22" s="576"/>
      <c r="P22" s="576"/>
      <c r="Q22" s="576"/>
      <c r="R22" s="576"/>
      <c r="S22" s="576"/>
      <c r="T22" s="576"/>
      <c r="U22" s="576"/>
    </row>
    <row r="23" spans="1:21" x14ac:dyDescent="0.2">
      <c r="I23" s="5">
        <f>I21-J21</f>
        <v>0</v>
      </c>
    </row>
    <row r="30" spans="1:21" x14ac:dyDescent="0.2">
      <c r="C30">
        <f>44577535234-1074136233</f>
        <v>43503399001</v>
      </c>
    </row>
  </sheetData>
  <customSheetViews>
    <customSheetView guid="{C1197650-3ED8-49E4-8E4C-0D1D4B503FC0}" state="hidden">
      <selection activeCell="I3" sqref="I3"/>
      <pageMargins left="0.7" right="0.7" top="0.75" bottom="0.75" header="0.3" footer="0.3"/>
      <pageSetup scale="75" orientation="landscape" r:id="rId1"/>
    </customSheetView>
    <customSheetView guid="{D2B860EA-92EC-4999-9A59-C624E1F8C7FB}" state="hidden">
      <selection activeCell="I3" sqref="I3"/>
      <pageMargins left="0.7" right="0.7" top="0.75" bottom="0.75" header="0.3" footer="0.3"/>
      <pageSetup scale="75" orientation="landscape" r:id="rId2"/>
    </customSheetView>
  </customSheetViews>
  <conditionalFormatting sqref="A18:A20 A4:A10">
    <cfRule type="expression" dxfId="21" priority="6">
      <formula>#REF!=2</formula>
    </cfRule>
  </conditionalFormatting>
  <conditionalFormatting sqref="A11">
    <cfRule type="expression" dxfId="20" priority="5">
      <formula>#REF!=2</formula>
    </cfRule>
  </conditionalFormatting>
  <conditionalFormatting sqref="A12:A16">
    <cfRule type="expression" dxfId="19" priority="4">
      <formula>#REF!=2</formula>
    </cfRule>
  </conditionalFormatting>
  <conditionalFormatting sqref="A17">
    <cfRule type="expression" dxfId="18" priority="2">
      <formula>#REF!=2</formula>
    </cfRule>
  </conditionalFormatting>
  <pageMargins left="0.7" right="0.7" top="0.75" bottom="0.75" header="0.3" footer="0.3"/>
  <pageSetup scale="75" orientation="landscape"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Q191"/>
  <sheetViews>
    <sheetView zoomScale="80" zoomScaleNormal="80" workbookViewId="0">
      <selection sqref="A1:C1"/>
    </sheetView>
  </sheetViews>
  <sheetFormatPr defaultColWidth="9.140625" defaultRowHeight="12.75" x14ac:dyDescent="0.2"/>
  <cols>
    <col min="1" max="1" width="9.140625" style="908" customWidth="1"/>
    <col min="2" max="2" width="66" style="908" customWidth="1"/>
    <col min="3" max="3" width="27.85546875" style="908" customWidth="1"/>
    <col min="4" max="4" width="16.85546875" style="908" customWidth="1"/>
    <col min="5" max="5" width="17.5703125" style="908" customWidth="1"/>
    <col min="6" max="6" width="9.140625" style="908"/>
    <col min="7" max="8" width="15" style="908" bestFit="1" customWidth="1"/>
    <col min="9" max="9" width="11" style="908" customWidth="1"/>
    <col min="10" max="10" width="9.140625" style="908" customWidth="1"/>
    <col min="11" max="11" width="15" style="908" bestFit="1" customWidth="1"/>
    <col min="12" max="12" width="16" style="908" bestFit="1" customWidth="1"/>
    <col min="13" max="13" width="9.140625" style="908" customWidth="1"/>
    <col min="14" max="14" width="16.5703125" style="908" customWidth="1"/>
    <col min="15" max="16" width="11.28515625" style="908" bestFit="1" customWidth="1"/>
    <col min="17" max="17" width="10.85546875" style="908" customWidth="1"/>
    <col min="18" max="16384" width="9.140625" style="908"/>
  </cols>
  <sheetData>
    <row r="1" spans="1:12" ht="15.75" x14ac:dyDescent="0.25">
      <c r="A1" s="1607" t="s">
        <v>3619</v>
      </c>
      <c r="B1" s="1608"/>
      <c r="C1" s="1609"/>
      <c r="D1" s="907"/>
      <c r="E1" s="907"/>
      <c r="F1" s="907"/>
      <c r="G1" s="907"/>
      <c r="H1" s="907"/>
      <c r="I1" s="907"/>
      <c r="J1" s="907"/>
      <c r="K1" s="907"/>
    </row>
    <row r="2" spans="1:12" x14ac:dyDescent="0.2">
      <c r="A2" s="907"/>
      <c r="B2" s="907"/>
      <c r="C2" s="907"/>
      <c r="D2" s="907"/>
      <c r="E2" s="907"/>
      <c r="F2" s="907"/>
      <c r="G2" s="907"/>
      <c r="H2" s="907"/>
      <c r="I2" s="907"/>
      <c r="J2" s="907"/>
      <c r="K2" s="907"/>
    </row>
    <row r="3" spans="1:12" x14ac:dyDescent="0.2">
      <c r="A3" s="907"/>
      <c r="B3" s="907"/>
      <c r="C3" s="907"/>
      <c r="D3" s="907"/>
      <c r="E3" s="907"/>
      <c r="F3" s="907"/>
      <c r="G3" s="907"/>
      <c r="H3" s="907"/>
      <c r="I3" s="907"/>
      <c r="J3" s="907"/>
      <c r="K3" s="907"/>
    </row>
    <row r="4" spans="1:12" ht="81" customHeight="1" x14ac:dyDescent="0.2">
      <c r="A4" s="1610" t="s">
        <v>4067</v>
      </c>
      <c r="B4" s="1611"/>
      <c r="C4" s="1611"/>
      <c r="D4" s="927"/>
      <c r="E4" s="907"/>
      <c r="F4" s="907"/>
      <c r="G4" s="907"/>
      <c r="H4" s="907"/>
      <c r="I4" s="907"/>
      <c r="J4" s="907"/>
      <c r="K4" s="907"/>
    </row>
    <row r="5" spans="1:12" ht="12.75" customHeight="1" x14ac:dyDescent="0.2">
      <c r="A5" s="907"/>
      <c r="B5" s="907"/>
      <c r="C5" s="907"/>
      <c r="D5" s="907"/>
      <c r="E5" s="907"/>
      <c r="F5" s="907"/>
      <c r="G5" s="907"/>
      <c r="H5" s="907"/>
      <c r="I5" s="907"/>
      <c r="J5" s="907"/>
      <c r="K5" s="907"/>
    </row>
    <row r="6" spans="1:12" ht="12.75" customHeight="1" x14ac:dyDescent="0.2">
      <c r="A6" s="907"/>
      <c r="B6" s="907"/>
      <c r="C6" s="907"/>
      <c r="D6" s="907"/>
      <c r="E6" s="907"/>
      <c r="F6" s="907"/>
      <c r="G6" s="907"/>
      <c r="H6" s="907"/>
      <c r="I6" s="907"/>
      <c r="J6" s="907"/>
      <c r="K6" s="907"/>
    </row>
    <row r="7" spans="1:12" ht="12.75" customHeight="1" x14ac:dyDescent="0.2">
      <c r="A7" s="909" t="s">
        <v>540</v>
      </c>
      <c r="B7" s="1612" t="s">
        <v>3649</v>
      </c>
      <c r="C7" s="1613"/>
      <c r="D7" s="1613"/>
      <c r="E7" s="1613"/>
      <c r="F7" s="1613"/>
      <c r="G7" s="1613"/>
      <c r="H7" s="1613"/>
      <c r="I7" s="1613"/>
      <c r="J7" s="1613"/>
      <c r="K7" s="1613"/>
      <c r="L7" s="1613"/>
    </row>
    <row r="8" spans="1:12" ht="12.75" customHeight="1" x14ac:dyDescent="0.2">
      <c r="A8" s="907"/>
      <c r="B8" s="907"/>
      <c r="C8" s="907"/>
      <c r="D8" s="907"/>
      <c r="E8" s="907"/>
      <c r="F8" s="907"/>
      <c r="G8" s="673"/>
      <c r="H8" s="673"/>
      <c r="I8" s="910"/>
      <c r="J8" s="673"/>
      <c r="K8" s="907"/>
      <c r="L8" s="673"/>
    </row>
    <row r="9" spans="1:12" ht="12.75" customHeight="1" x14ac:dyDescent="0.2">
      <c r="A9" s="907"/>
      <c r="B9" s="907" t="s">
        <v>3648</v>
      </c>
      <c r="C9" s="907"/>
      <c r="D9" s="673"/>
      <c r="E9" s="907"/>
      <c r="F9" s="673"/>
      <c r="H9" s="673"/>
      <c r="I9" s="673"/>
      <c r="J9" s="907"/>
    </row>
    <row r="10" spans="1:12" ht="12.75" customHeight="1" x14ac:dyDescent="0.2">
      <c r="A10" s="907"/>
      <c r="B10" s="907"/>
      <c r="C10" s="907"/>
      <c r="D10" s="729"/>
      <c r="E10" s="907"/>
      <c r="F10" s="673"/>
      <c r="H10" s="673"/>
      <c r="I10" s="1003"/>
      <c r="J10" s="1004"/>
    </row>
    <row r="11" spans="1:12" ht="12.75" customHeight="1" x14ac:dyDescent="0.2">
      <c r="A11" s="907"/>
      <c r="B11" s="911" t="s">
        <v>2036</v>
      </c>
      <c r="C11" s="907"/>
      <c r="D11" s="750">
        <v>0.95</v>
      </c>
      <c r="E11" s="907"/>
      <c r="F11" s="911"/>
      <c r="H11" s="673"/>
      <c r="I11" s="1004"/>
      <c r="J11" s="1004"/>
    </row>
    <row r="12" spans="1:12" ht="12.75" customHeight="1" x14ac:dyDescent="0.2">
      <c r="A12" s="907"/>
      <c r="B12" s="911" t="s">
        <v>4071</v>
      </c>
      <c r="C12" s="907"/>
      <c r="D12" s="750">
        <v>0.05</v>
      </c>
      <c r="E12" s="907" t="s">
        <v>3650</v>
      </c>
      <c r="F12" s="911"/>
      <c r="H12" s="673"/>
      <c r="I12" s="673"/>
      <c r="J12" s="907"/>
    </row>
    <row r="13" spans="1:12" ht="12.75" customHeight="1" x14ac:dyDescent="0.2">
      <c r="A13" s="907"/>
      <c r="B13" s="912" t="s">
        <v>2054</v>
      </c>
      <c r="C13" s="907"/>
      <c r="D13" s="706">
        <f>SUM(D11:D12)</f>
        <v>1</v>
      </c>
      <c r="E13" s="911" t="str">
        <f>IF(D13=1,"=100%","DOES NOT EQUAL 100%!!!")</f>
        <v>=100%</v>
      </c>
      <c r="H13" s="673"/>
      <c r="I13" s="673"/>
      <c r="J13" s="907"/>
    </row>
    <row r="14" spans="1:12" ht="12.75" customHeight="1" x14ac:dyDescent="0.2">
      <c r="A14" s="907"/>
      <c r="B14" s="913"/>
      <c r="C14" s="907"/>
      <c r="D14" s="914"/>
      <c r="E14" s="914"/>
      <c r="H14" s="673"/>
      <c r="I14" s="673"/>
      <c r="J14" s="907"/>
    </row>
    <row r="15" spans="1:12" ht="12.75" customHeight="1" x14ac:dyDescent="0.2">
      <c r="A15" s="907"/>
      <c r="B15" s="915" t="s">
        <v>3624</v>
      </c>
      <c r="C15" s="907"/>
      <c r="D15" s="914"/>
      <c r="E15" s="914"/>
      <c r="H15" s="673"/>
      <c r="I15" s="673"/>
      <c r="J15" s="907"/>
    </row>
    <row r="16" spans="1:12" ht="12.75" customHeight="1" x14ac:dyDescent="0.2">
      <c r="A16" s="907"/>
      <c r="B16" s="913" t="s">
        <v>2055</v>
      </c>
      <c r="C16" s="907"/>
      <c r="D16" s="750">
        <v>0.95</v>
      </c>
      <c r="E16" s="914"/>
      <c r="H16" s="673"/>
      <c r="I16" s="673"/>
      <c r="J16" s="907"/>
    </row>
    <row r="17" spans="1:11" ht="12.75" customHeight="1" x14ac:dyDescent="0.2">
      <c r="A17" s="907"/>
      <c r="B17" s="913" t="s">
        <v>2056</v>
      </c>
      <c r="C17" s="907"/>
      <c r="D17" s="750">
        <v>0</v>
      </c>
      <c r="E17" s="914"/>
      <c r="H17" s="673"/>
      <c r="I17" s="673"/>
      <c r="J17" s="907"/>
    </row>
    <row r="18" spans="1:11" ht="12.75" customHeight="1" x14ac:dyDescent="0.2">
      <c r="A18" s="907"/>
      <c r="B18" s="913" t="s">
        <v>2057</v>
      </c>
      <c r="C18" s="907"/>
      <c r="D18" s="750">
        <v>0</v>
      </c>
      <c r="E18" s="914"/>
      <c r="H18" s="673"/>
      <c r="I18" s="673"/>
      <c r="J18" s="907"/>
    </row>
    <row r="19" spans="1:11" ht="12.75" customHeight="1" x14ac:dyDescent="0.2">
      <c r="A19" s="907"/>
      <c r="B19" s="913" t="s">
        <v>2058</v>
      </c>
      <c r="C19" s="907"/>
      <c r="D19" s="750">
        <v>0</v>
      </c>
      <c r="E19" s="914"/>
      <c r="H19" s="673"/>
      <c r="I19" s="673"/>
      <c r="J19" s="907"/>
    </row>
    <row r="20" spans="1:11" ht="12.75" customHeight="1" x14ac:dyDescent="0.2">
      <c r="A20" s="907"/>
      <c r="B20" s="913" t="s">
        <v>2059</v>
      </c>
      <c r="C20" s="907"/>
      <c r="D20" s="750">
        <v>0</v>
      </c>
      <c r="E20" s="914"/>
      <c r="H20" s="673"/>
      <c r="I20" s="673"/>
      <c r="J20" s="907"/>
    </row>
    <row r="21" spans="1:11" ht="12.75" customHeight="1" x14ac:dyDescent="0.2">
      <c r="A21" s="907"/>
      <c r="B21" s="913" t="s">
        <v>2060</v>
      </c>
      <c r="C21" s="907"/>
      <c r="D21" s="750">
        <v>0</v>
      </c>
      <c r="E21" s="914"/>
      <c r="H21" s="673"/>
      <c r="I21" s="673"/>
      <c r="J21" s="907"/>
    </row>
    <row r="22" spans="1:11" ht="12.75" customHeight="1" x14ac:dyDescent="0.2">
      <c r="A22" s="907"/>
      <c r="B22" s="913" t="s">
        <v>2061</v>
      </c>
      <c r="C22" s="907"/>
      <c r="D22" s="750">
        <v>0</v>
      </c>
      <c r="E22" s="914"/>
      <c r="H22" s="673"/>
      <c r="I22" s="673"/>
      <c r="J22" s="907"/>
    </row>
    <row r="23" spans="1:11" ht="12.75" customHeight="1" x14ac:dyDescent="0.2">
      <c r="A23" s="907"/>
      <c r="B23" s="913" t="s">
        <v>2062</v>
      </c>
      <c r="C23" s="907"/>
      <c r="D23" s="750">
        <v>0</v>
      </c>
      <c r="E23" s="914"/>
      <c r="H23" s="955"/>
      <c r="I23" s="673"/>
      <c r="J23" s="907"/>
    </row>
    <row r="24" spans="1:11" ht="12.75" customHeight="1" x14ac:dyDescent="0.2">
      <c r="A24" s="907"/>
      <c r="B24" s="913" t="s">
        <v>2063</v>
      </c>
      <c r="C24" s="907"/>
      <c r="D24" s="750">
        <v>0</v>
      </c>
      <c r="E24" s="914"/>
      <c r="H24" s="955"/>
      <c r="I24" s="673"/>
      <c r="J24" s="907"/>
    </row>
    <row r="25" spans="1:11" ht="12.75" customHeight="1" x14ac:dyDescent="0.2">
      <c r="A25" s="907"/>
      <c r="B25" s="912" t="s">
        <v>3634</v>
      </c>
      <c r="C25" s="907"/>
      <c r="D25" s="706">
        <f>SUM(D16:D24)</f>
        <v>0.95</v>
      </c>
      <c r="E25" s="911" t="str">
        <f>IF(D25=D11,"Equals Governmental Activities","DOES NOT EQUAL Governmental Activities!!!")</f>
        <v>Equals Governmental Activities</v>
      </c>
      <c r="H25" s="673"/>
      <c r="I25" s="673"/>
      <c r="J25" s="907"/>
    </row>
    <row r="26" spans="1:11" ht="12.75" customHeight="1" x14ac:dyDescent="0.2">
      <c r="A26" s="907"/>
      <c r="B26" s="907"/>
      <c r="C26" s="907"/>
      <c r="D26" s="673"/>
      <c r="E26" s="907"/>
      <c r="F26" s="673"/>
      <c r="H26" s="673"/>
      <c r="I26" s="673"/>
      <c r="J26" s="907"/>
    </row>
    <row r="27" spans="1:11" x14ac:dyDescent="0.2">
      <c r="A27" s="907"/>
      <c r="B27" s="907"/>
      <c r="C27" s="907"/>
      <c r="D27" s="907"/>
      <c r="E27" s="907"/>
      <c r="F27" s="907"/>
      <c r="G27" s="907"/>
      <c r="H27" s="907"/>
      <c r="I27" s="907"/>
      <c r="J27" s="907"/>
      <c r="K27" s="907"/>
    </row>
    <row r="28" spans="1:11" ht="25.5" customHeight="1" x14ac:dyDescent="0.2">
      <c r="A28" s="909" t="s">
        <v>541</v>
      </c>
      <c r="B28" s="1614" t="s">
        <v>4059</v>
      </c>
      <c r="C28" s="1615"/>
      <c r="D28" s="1615"/>
      <c r="E28" s="1615"/>
      <c r="F28" s="907"/>
      <c r="G28" s="907"/>
      <c r="H28" s="907"/>
      <c r="I28" s="907"/>
      <c r="J28" s="907"/>
      <c r="K28" s="907"/>
    </row>
    <row r="29" spans="1:11" x14ac:dyDescent="0.2">
      <c r="A29" s="907"/>
      <c r="B29" s="907"/>
      <c r="C29" s="907"/>
      <c r="D29" s="907"/>
      <c r="E29" s="907"/>
      <c r="F29" s="907"/>
      <c r="G29" s="907"/>
      <c r="H29" s="907"/>
      <c r="I29" s="907"/>
      <c r="J29" s="907"/>
      <c r="K29" s="907"/>
    </row>
    <row r="30" spans="1:11" x14ac:dyDescent="0.2">
      <c r="A30" s="907"/>
      <c r="B30" s="907"/>
      <c r="C30" s="907"/>
      <c r="D30" s="907"/>
      <c r="E30" s="907"/>
      <c r="F30" s="907"/>
      <c r="G30" s="907"/>
      <c r="H30" s="907"/>
      <c r="I30" s="907"/>
      <c r="J30" s="907"/>
      <c r="K30" s="907"/>
    </row>
    <row r="31" spans="1:11" s="1234" customFormat="1" ht="16.5" customHeight="1" x14ac:dyDescent="0.2">
      <c r="A31" s="1228"/>
      <c r="B31" s="1229" t="s">
        <v>4057</v>
      </c>
      <c r="C31" s="1229"/>
      <c r="D31" s="1230">
        <v>1987185</v>
      </c>
      <c r="E31" s="1231"/>
      <c r="F31" s="1232"/>
      <c r="G31" s="1232"/>
      <c r="H31" s="1232"/>
      <c r="I31" s="1232"/>
      <c r="J31" s="1232"/>
      <c r="K31" s="1233"/>
    </row>
    <row r="32" spans="1:11" s="1234" customFormat="1" ht="17.45" customHeight="1" x14ac:dyDescent="0.2">
      <c r="A32" s="1228"/>
      <c r="B32" s="1229" t="s">
        <v>4058</v>
      </c>
      <c r="C32" s="1229"/>
      <c r="D32" s="1230">
        <v>1474358</v>
      </c>
      <c r="E32" s="1231"/>
      <c r="F32" s="1232"/>
      <c r="G32" s="1232"/>
      <c r="H32" s="1232"/>
      <c r="I32" s="1232"/>
      <c r="J32" s="1232"/>
      <c r="K32" s="1233"/>
    </row>
    <row r="33" spans="1:17" s="1234" customFormat="1" ht="17.45" customHeight="1" x14ac:dyDescent="0.2">
      <c r="A33" s="1228"/>
      <c r="B33" s="1229" t="s">
        <v>3963</v>
      </c>
      <c r="C33" s="1229"/>
      <c r="D33" s="1230">
        <v>35651</v>
      </c>
      <c r="E33" s="1231"/>
      <c r="F33" s="1232"/>
      <c r="G33" s="1232"/>
      <c r="H33" s="1232"/>
      <c r="I33" s="1232"/>
      <c r="J33" s="1232"/>
      <c r="K33" s="1233"/>
      <c r="M33" s="1235"/>
    </row>
    <row r="34" spans="1:17" s="1234" customFormat="1" ht="17.45" customHeight="1" x14ac:dyDescent="0.2">
      <c r="A34" s="1228"/>
      <c r="B34" s="1236" t="s">
        <v>3658</v>
      </c>
      <c r="C34" s="1229"/>
      <c r="D34" s="1230">
        <v>66767</v>
      </c>
      <c r="E34" s="918"/>
      <c r="F34" s="1232"/>
      <c r="G34" s="1232"/>
      <c r="H34" s="1232"/>
      <c r="I34" s="1232"/>
      <c r="J34" s="1232"/>
      <c r="K34" s="1233"/>
      <c r="M34" s="1235"/>
    </row>
    <row r="35" spans="1:17" s="1234" customFormat="1" ht="17.45" customHeight="1" x14ac:dyDescent="0.2">
      <c r="A35" s="1228"/>
      <c r="B35" s="1236" t="s">
        <v>4062</v>
      </c>
      <c r="C35" s="1229"/>
      <c r="D35" s="1230">
        <v>0</v>
      </c>
      <c r="E35" s="918"/>
      <c r="F35" s="1232"/>
      <c r="G35" s="1232"/>
      <c r="H35" s="1232"/>
      <c r="I35" s="1232"/>
      <c r="J35" s="1232"/>
      <c r="K35" s="1233"/>
      <c r="M35" s="1235"/>
    </row>
    <row r="36" spans="1:17" s="1234" customFormat="1" ht="17.45" customHeight="1" x14ac:dyDescent="0.2">
      <c r="A36" s="1228"/>
      <c r="B36" s="1601" t="s">
        <v>3964</v>
      </c>
      <c r="C36" s="1601"/>
      <c r="D36" s="1230">
        <f>-105714-31650</f>
        <v>-137364</v>
      </c>
      <c r="E36" s="918"/>
      <c r="F36" s="1606"/>
      <c r="G36" s="1606"/>
      <c r="H36" s="1606"/>
      <c r="I36" s="1606"/>
      <c r="J36" s="1606"/>
      <c r="K36" s="1606"/>
      <c r="M36" s="1235"/>
    </row>
    <row r="37" spans="1:17" s="1234" customFormat="1" ht="17.45" customHeight="1" x14ac:dyDescent="0.2">
      <c r="A37" s="1228"/>
      <c r="B37" s="1601" t="s">
        <v>3965</v>
      </c>
      <c r="C37" s="1601"/>
      <c r="D37" s="1230">
        <v>-406032</v>
      </c>
      <c r="E37" s="918"/>
      <c r="F37" s="1606"/>
      <c r="G37" s="1606"/>
      <c r="H37" s="1606"/>
      <c r="I37" s="1606"/>
      <c r="J37" s="1606"/>
      <c r="K37" s="1606"/>
      <c r="M37" s="1235"/>
    </row>
    <row r="38" spans="1:17" s="1234" customFormat="1" ht="17.45" customHeight="1" x14ac:dyDescent="0.2">
      <c r="A38" s="1228"/>
      <c r="B38" s="1601" t="s">
        <v>3966</v>
      </c>
      <c r="C38" s="1601"/>
      <c r="D38" s="1230">
        <v>-548</v>
      </c>
      <c r="E38" s="918"/>
      <c r="F38" s="1237"/>
      <c r="G38" s="1237"/>
      <c r="H38" s="1237"/>
      <c r="I38" s="1237"/>
      <c r="J38" s="1237"/>
      <c r="K38" s="1237"/>
      <c r="M38" s="1235"/>
    </row>
    <row r="39" spans="1:17" s="1234" customFormat="1" ht="17.45" customHeight="1" x14ac:dyDescent="0.2">
      <c r="A39" s="1228"/>
      <c r="B39" s="1601" t="s">
        <v>3655</v>
      </c>
      <c r="C39" s="1601"/>
      <c r="D39" s="1230"/>
      <c r="E39" s="1232"/>
      <c r="F39" s="1601" t="s">
        <v>3620</v>
      </c>
      <c r="G39" s="1601"/>
      <c r="H39" s="1601"/>
      <c r="I39" s="1601"/>
      <c r="J39" s="1601"/>
      <c r="K39" s="1601"/>
      <c r="M39" s="1235"/>
    </row>
    <row r="40" spans="1:17" s="1234" customFormat="1" ht="17.45" customHeight="1" x14ac:dyDescent="0.2">
      <c r="A40" s="1228"/>
      <c r="B40" s="1601" t="s">
        <v>3656</v>
      </c>
      <c r="C40" s="1601"/>
      <c r="D40" s="1230"/>
      <c r="E40" s="1232"/>
      <c r="F40" s="1601" t="s">
        <v>3620</v>
      </c>
      <c r="G40" s="1601"/>
      <c r="H40" s="1601"/>
      <c r="I40" s="1601"/>
      <c r="J40" s="1601"/>
      <c r="K40" s="1601"/>
      <c r="M40" s="919"/>
    </row>
    <row r="41" spans="1:17" s="1234" customFormat="1" ht="17.45" customHeight="1" x14ac:dyDescent="0.2">
      <c r="A41" s="1228"/>
      <c r="B41" s="1601" t="s">
        <v>3657</v>
      </c>
      <c r="C41" s="1601"/>
      <c r="D41" s="1230"/>
      <c r="E41" s="1228"/>
      <c r="F41" s="1601" t="s">
        <v>3620</v>
      </c>
      <c r="G41" s="1601"/>
      <c r="H41" s="1601"/>
      <c r="I41" s="1601"/>
      <c r="J41" s="1601"/>
      <c r="K41" s="1601"/>
      <c r="M41" s="919"/>
    </row>
    <row r="42" spans="1:17" x14ac:dyDescent="0.2">
      <c r="A42" s="907"/>
      <c r="B42" s="907"/>
      <c r="C42" s="907"/>
      <c r="D42" s="907"/>
      <c r="E42" s="907"/>
      <c r="F42" s="907"/>
      <c r="G42" s="907"/>
      <c r="H42" s="907"/>
      <c r="I42" s="907"/>
      <c r="J42" s="907"/>
      <c r="K42" s="907"/>
      <c r="M42" s="914"/>
    </row>
    <row r="43" spans="1:17" ht="38.25" x14ac:dyDescent="0.2">
      <c r="A43" s="909" t="s">
        <v>804</v>
      </c>
      <c r="B43" s="920" t="s">
        <v>3967</v>
      </c>
      <c r="C43" s="907"/>
      <c r="D43" s="907"/>
      <c r="E43" s="907"/>
      <c r="F43" s="907"/>
      <c r="G43" s="907"/>
      <c r="H43" s="907"/>
      <c r="I43" s="907"/>
      <c r="J43" s="927"/>
      <c r="K43" s="927"/>
      <c r="L43" s="926"/>
      <c r="M43" s="921"/>
      <c r="N43" s="926"/>
      <c r="O43" s="950"/>
      <c r="P43" s="926"/>
      <c r="Q43" s="926"/>
    </row>
    <row r="44" spans="1:17" x14ac:dyDescent="0.2">
      <c r="A44" s="907"/>
      <c r="B44" s="907"/>
      <c r="C44" s="907"/>
      <c r="D44" s="907"/>
      <c r="E44" s="927"/>
      <c r="F44" s="907"/>
      <c r="G44" s="907"/>
      <c r="H44" s="907"/>
      <c r="I44" s="907"/>
      <c r="J44" s="927"/>
      <c r="K44" s="927"/>
      <c r="L44" s="926"/>
      <c r="M44" s="921"/>
      <c r="N44" s="926"/>
      <c r="O44" s="950"/>
      <c r="P44" s="926"/>
      <c r="Q44" s="926"/>
    </row>
    <row r="45" spans="1:17" x14ac:dyDescent="0.2">
      <c r="A45" s="907"/>
      <c r="B45" s="907"/>
      <c r="C45" s="907"/>
      <c r="D45" s="854"/>
      <c r="E45" s="927"/>
      <c r="F45" s="907"/>
      <c r="G45" s="907"/>
      <c r="H45" s="907"/>
      <c r="I45" s="907"/>
      <c r="J45" s="927"/>
      <c r="K45" s="927"/>
      <c r="L45" s="926"/>
      <c r="M45" s="914"/>
      <c r="N45" s="926"/>
      <c r="O45" s="950"/>
      <c r="P45" s="926"/>
      <c r="Q45" s="926"/>
    </row>
    <row r="46" spans="1:17" ht="27" customHeight="1" x14ac:dyDescent="0.2">
      <c r="A46" s="907"/>
      <c r="B46" s="1602" t="s">
        <v>4096</v>
      </c>
      <c r="C46" s="1603"/>
      <c r="D46" s="1156">
        <v>43000</v>
      </c>
      <c r="E46" s="927"/>
      <c r="F46" s="907"/>
      <c r="G46" s="907"/>
      <c r="H46" s="907"/>
      <c r="I46" s="907"/>
      <c r="J46" s="927"/>
      <c r="K46" s="951"/>
      <c r="L46" s="926"/>
      <c r="M46" s="951"/>
      <c r="N46" s="926"/>
      <c r="O46" s="951"/>
      <c r="P46" s="926"/>
      <c r="Q46" s="926"/>
    </row>
    <row r="47" spans="1:17" x14ac:dyDescent="0.2">
      <c r="A47" s="907"/>
      <c r="B47" s="907"/>
      <c r="C47" s="907"/>
      <c r="D47" s="854"/>
      <c r="E47" s="927"/>
      <c r="F47" s="907"/>
      <c r="G47" s="907"/>
      <c r="H47" s="907"/>
      <c r="I47" s="907"/>
      <c r="J47" s="927"/>
      <c r="K47" s="927"/>
      <c r="L47" s="926"/>
      <c r="M47" s="914"/>
      <c r="N47" s="926"/>
      <c r="O47" s="950"/>
      <c r="P47" s="926"/>
      <c r="Q47" s="926"/>
    </row>
    <row r="48" spans="1:17" ht="29.25" customHeight="1" x14ac:dyDescent="0.2">
      <c r="A48" s="907"/>
      <c r="B48" s="1602" t="s">
        <v>4095</v>
      </c>
      <c r="C48" s="1602"/>
      <c r="D48" s="1156">
        <v>0</v>
      </c>
      <c r="E48" s="927"/>
      <c r="F48" s="907"/>
      <c r="G48" s="907"/>
      <c r="H48" s="907"/>
      <c r="I48" s="907"/>
      <c r="J48" s="927"/>
      <c r="K48" s="927"/>
      <c r="L48" s="926"/>
      <c r="M48" s="919"/>
      <c r="N48" s="926"/>
      <c r="O48" s="950"/>
      <c r="P48" s="926"/>
      <c r="Q48" s="926"/>
    </row>
    <row r="49" spans="1:17" x14ac:dyDescent="0.2">
      <c r="A49" s="907"/>
      <c r="B49" s="907"/>
      <c r="C49" s="907"/>
      <c r="D49" s="907"/>
      <c r="E49" s="927"/>
      <c r="F49" s="907"/>
      <c r="G49" s="907"/>
      <c r="H49" s="907"/>
      <c r="I49" s="907"/>
      <c r="J49" s="927"/>
      <c r="K49" s="927"/>
      <c r="L49" s="926"/>
      <c r="M49" s="919"/>
      <c r="N49" s="926"/>
      <c r="O49" s="950"/>
      <c r="P49" s="950"/>
      <c r="Q49" s="926"/>
    </row>
    <row r="50" spans="1:17" ht="12.75" hidden="1" customHeight="1" x14ac:dyDescent="0.2">
      <c r="A50" s="907"/>
      <c r="B50" s="907"/>
      <c r="C50" s="907"/>
      <c r="D50" s="907"/>
      <c r="E50" s="927"/>
      <c r="F50" s="907"/>
      <c r="G50" s="907"/>
      <c r="H50" s="907"/>
      <c r="I50" s="907"/>
      <c r="J50" s="927"/>
      <c r="K50" s="927"/>
      <c r="L50" s="926"/>
      <c r="M50" s="914"/>
      <c r="N50" s="950"/>
      <c r="O50" s="94"/>
      <c r="P50" s="94"/>
      <c r="Q50" s="950"/>
    </row>
    <row r="51" spans="1:17" ht="14.25" hidden="1" customHeight="1" x14ac:dyDescent="0.2">
      <c r="A51" s="907"/>
      <c r="B51" s="916" t="s">
        <v>3652</v>
      </c>
      <c r="C51" s="916"/>
      <c r="D51" s="916"/>
      <c r="E51" s="956"/>
      <c r="F51" s="916"/>
      <c r="G51" s="916"/>
      <c r="H51" s="916"/>
      <c r="I51" s="916"/>
      <c r="J51" s="956"/>
      <c r="K51" s="926"/>
      <c r="L51" s="950"/>
      <c r="M51" s="921"/>
      <c r="N51" s="950"/>
      <c r="O51" s="94"/>
      <c r="P51" s="94"/>
      <c r="Q51" s="950"/>
    </row>
    <row r="52" spans="1:17" ht="14.25" hidden="1" customHeight="1" x14ac:dyDescent="0.2">
      <c r="A52" s="907"/>
      <c r="B52" s="916" t="s">
        <v>3622</v>
      </c>
      <c r="C52" s="916"/>
      <c r="D52" s="916"/>
      <c r="E52" s="916"/>
      <c r="F52" s="916"/>
      <c r="G52" s="916"/>
      <c r="H52" s="916"/>
      <c r="I52" s="916"/>
      <c r="J52" s="956"/>
      <c r="K52" s="926"/>
      <c r="L52" s="996"/>
      <c r="M52" s="921"/>
      <c r="N52" s="950"/>
      <c r="O52" s="94"/>
      <c r="P52" s="94"/>
      <c r="Q52" s="950"/>
    </row>
    <row r="53" spans="1:17" ht="14.25" hidden="1" customHeight="1" x14ac:dyDescent="0.2">
      <c r="A53" s="907"/>
      <c r="B53" s="916" t="s">
        <v>3621</v>
      </c>
      <c r="C53" s="916"/>
      <c r="D53" s="916"/>
      <c r="E53" s="916"/>
      <c r="F53" s="916"/>
      <c r="G53" s="916"/>
      <c r="H53" s="916"/>
      <c r="I53" s="916"/>
      <c r="J53" s="956"/>
      <c r="K53" s="926"/>
      <c r="L53" s="950"/>
      <c r="M53" s="914"/>
      <c r="N53" s="950"/>
      <c r="O53" s="94"/>
      <c r="P53" s="94"/>
      <c r="Q53" s="950"/>
    </row>
    <row r="54" spans="1:17" ht="14.25" hidden="1" customHeight="1" x14ac:dyDescent="0.2">
      <c r="A54" s="907"/>
      <c r="B54" s="916" t="s">
        <v>3600</v>
      </c>
      <c r="C54" s="916"/>
      <c r="D54" s="916"/>
      <c r="E54" s="916"/>
      <c r="F54" s="916"/>
      <c r="G54" s="916"/>
      <c r="H54" s="916"/>
      <c r="I54" s="916"/>
      <c r="J54" s="956"/>
      <c r="K54" s="926"/>
      <c r="L54" s="997"/>
      <c r="M54" s="914"/>
      <c r="N54" s="950"/>
      <c r="O54" s="94"/>
      <c r="P54" s="94"/>
      <c r="Q54" s="950"/>
    </row>
    <row r="55" spans="1:17" ht="14.25" hidden="1" customHeight="1" x14ac:dyDescent="0.2">
      <c r="A55" s="907"/>
      <c r="B55" s="916" t="s">
        <v>3601</v>
      </c>
      <c r="C55" s="916"/>
      <c r="D55" s="916"/>
      <c r="E55" s="916"/>
      <c r="F55" s="916"/>
      <c r="G55" s="916"/>
      <c r="H55" s="916"/>
      <c r="I55" s="916"/>
      <c r="J55" s="998"/>
      <c r="K55" s="926"/>
      <c r="L55" s="926"/>
      <c r="M55" s="914"/>
      <c r="N55" s="950"/>
      <c r="O55" s="94"/>
      <c r="P55" s="94"/>
      <c r="Q55" s="950"/>
    </row>
    <row r="56" spans="1:17" ht="14.25" hidden="1" customHeight="1" x14ac:dyDescent="0.2">
      <c r="A56" s="907"/>
      <c r="B56" s="916" t="s">
        <v>3602</v>
      </c>
      <c r="C56" s="916"/>
      <c r="D56" s="916"/>
      <c r="E56" s="916"/>
      <c r="F56" s="916"/>
      <c r="G56" s="916"/>
      <c r="H56" s="916"/>
      <c r="I56" s="916"/>
      <c r="J56" s="956"/>
      <c r="K56" s="926"/>
      <c r="L56" s="950"/>
      <c r="M56" s="950"/>
      <c r="N56" s="950"/>
      <c r="O56" s="94"/>
      <c r="P56" s="94"/>
      <c r="Q56" s="950"/>
    </row>
    <row r="57" spans="1:17" ht="14.25" hidden="1" customHeight="1" x14ac:dyDescent="0.2">
      <c r="A57" s="907"/>
      <c r="B57" s="916" t="s">
        <v>3603</v>
      </c>
      <c r="C57" s="916"/>
      <c r="D57" s="916"/>
      <c r="E57" s="916"/>
      <c r="F57" s="916"/>
      <c r="G57" s="916"/>
      <c r="H57" s="916"/>
      <c r="I57" s="916"/>
      <c r="J57" s="956"/>
      <c r="K57" s="926"/>
      <c r="L57" s="94"/>
      <c r="M57" s="950"/>
      <c r="N57" s="950"/>
      <c r="O57" s="94"/>
      <c r="P57" s="94"/>
      <c r="Q57" s="950"/>
    </row>
    <row r="58" spans="1:17" ht="14.25" hidden="1" customHeight="1" x14ac:dyDescent="0.2">
      <c r="A58" s="907"/>
      <c r="B58" s="916" t="s">
        <v>3604</v>
      </c>
      <c r="C58" s="916"/>
      <c r="D58" s="916"/>
      <c r="E58" s="916"/>
      <c r="F58" s="916"/>
      <c r="G58" s="916"/>
      <c r="H58" s="916"/>
      <c r="I58" s="916"/>
      <c r="J58" s="956"/>
      <c r="K58" s="926"/>
      <c r="L58" s="950"/>
      <c r="M58" s="950"/>
      <c r="N58" s="950"/>
      <c r="O58" s="94"/>
      <c r="P58" s="94"/>
      <c r="Q58" s="950"/>
    </row>
    <row r="59" spans="1:17" ht="14.25" hidden="1" customHeight="1" x14ac:dyDescent="0.2">
      <c r="A59" s="907"/>
      <c r="B59" s="916" t="s">
        <v>3605</v>
      </c>
      <c r="C59" s="916"/>
      <c r="D59" s="916"/>
      <c r="E59" s="916"/>
      <c r="F59" s="916"/>
      <c r="G59" s="916"/>
      <c r="H59" s="916"/>
      <c r="I59" s="916"/>
      <c r="J59" s="956"/>
      <c r="K59" s="926"/>
      <c r="L59" s="996"/>
      <c r="M59" s="950"/>
      <c r="N59" s="950"/>
      <c r="O59" s="94"/>
      <c r="P59" s="94"/>
      <c r="Q59" s="950"/>
    </row>
    <row r="60" spans="1:17" ht="14.25" hidden="1" customHeight="1" x14ac:dyDescent="0.2">
      <c r="A60" s="907"/>
      <c r="B60" s="916" t="s">
        <v>3606</v>
      </c>
      <c r="C60" s="916"/>
      <c r="D60" s="916"/>
      <c r="E60" s="916"/>
      <c r="F60" s="916"/>
      <c r="G60" s="916"/>
      <c r="H60" s="916"/>
      <c r="I60" s="916"/>
      <c r="J60" s="956"/>
      <c r="K60" s="926"/>
      <c r="L60" s="996"/>
      <c r="M60" s="950"/>
      <c r="N60" s="950"/>
      <c r="O60" s="94"/>
      <c r="P60" s="94"/>
      <c r="Q60" s="950"/>
    </row>
    <row r="61" spans="1:17" ht="14.25" hidden="1" customHeight="1" x14ac:dyDescent="0.2">
      <c r="A61" s="907"/>
      <c r="B61" s="916" t="s">
        <v>3607</v>
      </c>
      <c r="C61" s="916"/>
      <c r="D61" s="916"/>
      <c r="E61" s="916"/>
      <c r="F61" s="916"/>
      <c r="G61" s="916"/>
      <c r="H61" s="916"/>
      <c r="I61" s="916"/>
      <c r="J61" s="956"/>
      <c r="K61" s="926"/>
      <c r="L61" s="93"/>
      <c r="M61" s="950"/>
      <c r="N61" s="950"/>
      <c r="O61" s="94"/>
      <c r="P61" s="94"/>
      <c r="Q61" s="950"/>
    </row>
    <row r="62" spans="1:17" ht="14.25" hidden="1" customHeight="1" x14ac:dyDescent="0.2">
      <c r="A62" s="907"/>
      <c r="B62" s="916" t="s">
        <v>3636</v>
      </c>
      <c r="C62" s="916"/>
      <c r="D62" s="916"/>
      <c r="E62" s="916"/>
      <c r="F62" s="916"/>
      <c r="G62" s="916"/>
      <c r="H62" s="916"/>
      <c r="I62" s="916"/>
      <c r="J62" s="956"/>
      <c r="K62" s="926"/>
      <c r="L62" s="996"/>
      <c r="M62" s="950"/>
      <c r="N62" s="950"/>
      <c r="O62" s="94"/>
      <c r="P62" s="94"/>
      <c r="Q62" s="950"/>
    </row>
    <row r="63" spans="1:17" ht="14.25" hidden="1" customHeight="1" x14ac:dyDescent="0.2">
      <c r="A63" s="907"/>
      <c r="B63" s="916" t="s">
        <v>3638</v>
      </c>
      <c r="C63" s="916"/>
      <c r="D63" s="916"/>
      <c r="E63" s="916"/>
      <c r="F63" s="916"/>
      <c r="G63" s="916"/>
      <c r="H63" s="916"/>
      <c r="I63" s="916"/>
      <c r="J63" s="956"/>
      <c r="K63" s="926"/>
      <c r="L63" s="996"/>
      <c r="M63" s="950"/>
      <c r="N63" s="950"/>
      <c r="O63" s="94"/>
      <c r="P63" s="94"/>
      <c r="Q63" s="950"/>
    </row>
    <row r="64" spans="1:17" ht="14.25" hidden="1" customHeight="1" x14ac:dyDescent="0.2">
      <c r="A64" s="907"/>
      <c r="B64" s="916" t="s">
        <v>3635</v>
      </c>
      <c r="C64" s="916"/>
      <c r="D64" s="916"/>
      <c r="E64" s="916"/>
      <c r="F64" s="916"/>
      <c r="G64" s="916"/>
      <c r="H64" s="916"/>
      <c r="I64" s="916"/>
      <c r="J64" s="956"/>
      <c r="K64" s="926"/>
      <c r="L64" s="950"/>
      <c r="M64" s="950"/>
      <c r="N64" s="950"/>
      <c r="O64" s="94"/>
      <c r="P64" s="94"/>
      <c r="Q64" s="950"/>
    </row>
    <row r="65" spans="1:17" ht="14.25" hidden="1" customHeight="1" x14ac:dyDescent="0.2">
      <c r="A65" s="907"/>
      <c r="B65" s="916" t="s">
        <v>3637</v>
      </c>
      <c r="C65" s="916"/>
      <c r="D65" s="916"/>
      <c r="E65" s="916"/>
      <c r="F65" s="916"/>
      <c r="G65" s="916"/>
      <c r="H65" s="916"/>
      <c r="I65" s="916"/>
      <c r="J65" s="956"/>
      <c r="K65" s="926"/>
      <c r="L65" s="950"/>
      <c r="M65" s="950"/>
      <c r="N65" s="950"/>
      <c r="O65" s="94"/>
      <c r="P65" s="94"/>
      <c r="Q65" s="950"/>
    </row>
    <row r="66" spans="1:17" ht="14.25" hidden="1" customHeight="1" x14ac:dyDescent="0.2">
      <c r="A66" s="907"/>
      <c r="C66" s="916"/>
      <c r="D66" s="916"/>
      <c r="E66" s="916"/>
      <c r="F66" s="916"/>
      <c r="G66" s="916"/>
      <c r="H66" s="916"/>
      <c r="I66" s="916"/>
      <c r="J66" s="956"/>
      <c r="K66" s="926"/>
      <c r="L66" s="950"/>
      <c r="M66" s="950"/>
      <c r="N66" s="950"/>
      <c r="O66" s="94"/>
      <c r="P66" s="94"/>
      <c r="Q66" s="950"/>
    </row>
    <row r="67" spans="1:17" ht="14.25" hidden="1" customHeight="1" x14ac:dyDescent="0.2">
      <c r="A67" s="907"/>
      <c r="C67" s="916"/>
      <c r="D67" s="916"/>
      <c r="E67" s="916"/>
      <c r="F67" s="916"/>
      <c r="G67" s="916"/>
      <c r="H67" s="916"/>
      <c r="I67" s="916"/>
      <c r="J67" s="956"/>
      <c r="K67" s="926"/>
      <c r="L67" s="926"/>
      <c r="M67" s="950"/>
      <c r="N67" s="950"/>
      <c r="O67" s="94"/>
      <c r="P67" s="94"/>
      <c r="Q67" s="950"/>
    </row>
    <row r="68" spans="1:17" ht="14.25" hidden="1" customHeight="1" x14ac:dyDescent="0.2">
      <c r="A68" s="907"/>
      <c r="B68" s="916" t="s">
        <v>3608</v>
      </c>
      <c r="C68" s="916"/>
      <c r="D68" s="916"/>
      <c r="E68" s="916"/>
      <c r="F68" s="916"/>
      <c r="G68" s="916"/>
      <c r="H68" s="916"/>
      <c r="I68" s="953"/>
      <c r="J68" s="956"/>
      <c r="K68" s="926"/>
      <c r="L68" s="999"/>
      <c r="M68" s="950"/>
      <c r="N68" s="950"/>
      <c r="O68" s="94"/>
      <c r="P68" s="94"/>
      <c r="Q68" s="950"/>
    </row>
    <row r="69" spans="1:17" ht="14.25" hidden="1" customHeight="1" x14ac:dyDescent="0.2">
      <c r="A69" s="907"/>
      <c r="B69" s="916"/>
      <c r="C69" s="916" t="s">
        <v>3609</v>
      </c>
      <c r="D69" s="916"/>
      <c r="E69" s="916"/>
      <c r="F69" s="916"/>
      <c r="G69" s="916"/>
      <c r="H69" s="916"/>
      <c r="I69" s="916"/>
      <c r="J69" s="956"/>
      <c r="K69" s="1000"/>
      <c r="L69" s="94"/>
      <c r="M69" s="950"/>
      <c r="N69" s="950"/>
      <c r="O69" s="94"/>
      <c r="P69" s="94"/>
      <c r="Q69" s="950"/>
    </row>
    <row r="70" spans="1:17" ht="14.25" hidden="1" customHeight="1" x14ac:dyDescent="0.2">
      <c r="A70" s="907"/>
      <c r="B70" s="916"/>
      <c r="C70" s="916"/>
      <c r="D70" s="916"/>
      <c r="E70" s="916"/>
      <c r="F70" s="916"/>
      <c r="G70" s="916"/>
      <c r="H70" s="916"/>
      <c r="I70" s="916"/>
      <c r="J70" s="956"/>
      <c r="K70" s="1001"/>
      <c r="L70" s="997"/>
      <c r="M70" s="950"/>
      <c r="N70" s="950"/>
      <c r="O70" s="94"/>
      <c r="P70" s="94"/>
      <c r="Q70" s="950"/>
    </row>
    <row r="71" spans="1:17" ht="14.25" hidden="1" customHeight="1" x14ac:dyDescent="0.2">
      <c r="A71" s="907"/>
      <c r="B71" s="916"/>
      <c r="C71" s="916"/>
      <c r="D71" s="916"/>
      <c r="E71" s="916"/>
      <c r="F71" s="916"/>
      <c r="G71" s="916"/>
      <c r="H71" s="916"/>
      <c r="I71" s="916"/>
      <c r="J71" s="956"/>
      <c r="K71" s="1001"/>
      <c r="L71" s="950"/>
      <c r="M71" s="950"/>
      <c r="N71" s="950"/>
      <c r="O71" s="94"/>
      <c r="P71" s="94"/>
      <c r="Q71" s="950"/>
    </row>
    <row r="72" spans="1:17" ht="14.25" hidden="1" customHeight="1" x14ac:dyDescent="0.2">
      <c r="A72" s="907"/>
      <c r="B72" s="916"/>
      <c r="C72" s="916"/>
      <c r="D72" s="916"/>
      <c r="E72" s="916"/>
      <c r="F72" s="916"/>
      <c r="G72" s="916"/>
      <c r="H72" s="916"/>
      <c r="I72" s="916"/>
      <c r="J72" s="956"/>
      <c r="K72" s="1001"/>
      <c r="L72" s="950"/>
      <c r="M72" s="950"/>
      <c r="N72" s="927"/>
      <c r="O72" s="94"/>
      <c r="P72" s="94"/>
      <c r="Q72" s="950"/>
    </row>
    <row r="73" spans="1:17" ht="28.5" hidden="1" customHeight="1" x14ac:dyDescent="0.2">
      <c r="A73" s="907"/>
      <c r="B73" s="925" t="s">
        <v>3610</v>
      </c>
      <c r="C73" s="916"/>
      <c r="D73" s="916"/>
      <c r="E73" s="916"/>
      <c r="F73" s="916"/>
      <c r="G73" s="916"/>
      <c r="H73" s="916"/>
      <c r="I73" s="916"/>
      <c r="J73" s="956"/>
      <c r="K73" s="926"/>
      <c r="L73" s="950"/>
      <c r="M73" s="950"/>
      <c r="N73" s="950"/>
      <c r="O73" s="94"/>
      <c r="P73" s="94"/>
      <c r="Q73" s="950"/>
    </row>
    <row r="74" spans="1:17" ht="14.25" hidden="1" customHeight="1" x14ac:dyDescent="0.2">
      <c r="A74" s="907"/>
      <c r="B74" s="946" t="s">
        <v>3625</v>
      </c>
      <c r="C74" s="916"/>
      <c r="D74" s="916"/>
      <c r="E74" s="916"/>
      <c r="F74" s="916"/>
      <c r="G74" s="916"/>
      <c r="H74" s="916"/>
      <c r="I74" s="916"/>
      <c r="J74" s="956"/>
      <c r="K74" s="926"/>
      <c r="L74" s="996"/>
      <c r="M74" s="950"/>
      <c r="N74" s="950"/>
      <c r="O74" s="94"/>
      <c r="P74" s="94"/>
      <c r="Q74" s="950"/>
    </row>
    <row r="75" spans="1:17" ht="14.25" hidden="1" customHeight="1" x14ac:dyDescent="0.2">
      <c r="A75" s="907"/>
      <c r="B75" s="947" t="s">
        <v>3626</v>
      </c>
      <c r="C75" s="916"/>
      <c r="D75" s="916"/>
      <c r="E75" s="916"/>
      <c r="F75" s="916"/>
      <c r="G75" s="916"/>
      <c r="H75" s="916"/>
      <c r="I75" s="916"/>
      <c r="J75" s="956"/>
      <c r="K75" s="926"/>
      <c r="L75" s="996"/>
      <c r="M75" s="950"/>
      <c r="N75" s="950"/>
      <c r="O75" s="94"/>
      <c r="P75" s="94"/>
      <c r="Q75" s="950"/>
    </row>
    <row r="76" spans="1:17" ht="14.25" hidden="1" customHeight="1" x14ac:dyDescent="0.2">
      <c r="A76" s="907"/>
      <c r="B76" s="947" t="s">
        <v>3627</v>
      </c>
      <c r="C76" s="916"/>
      <c r="D76" s="916"/>
      <c r="E76" s="916"/>
      <c r="F76" s="916"/>
      <c r="G76" s="916"/>
      <c r="H76" s="916"/>
      <c r="I76" s="916"/>
      <c r="J76" s="956"/>
      <c r="K76" s="926"/>
      <c r="L76" s="996"/>
      <c r="M76" s="950"/>
      <c r="N76" s="950"/>
      <c r="O76" s="94"/>
      <c r="P76" s="94"/>
      <c r="Q76" s="950"/>
    </row>
    <row r="77" spans="1:17" ht="14.25" hidden="1" customHeight="1" x14ac:dyDescent="0.2">
      <c r="A77" s="907"/>
      <c r="B77" s="947" t="s">
        <v>3628</v>
      </c>
      <c r="C77" s="916"/>
      <c r="D77" s="916"/>
      <c r="E77" s="916"/>
      <c r="F77" s="916"/>
      <c r="G77" s="916"/>
      <c r="H77" s="916"/>
      <c r="I77" s="916"/>
      <c r="J77" s="956"/>
      <c r="K77" s="926"/>
      <c r="L77" s="996"/>
      <c r="M77" s="950"/>
      <c r="N77" s="950"/>
      <c r="O77" s="94"/>
      <c r="P77" s="94"/>
      <c r="Q77" s="950"/>
    </row>
    <row r="78" spans="1:17" ht="14.25" hidden="1" customHeight="1" x14ac:dyDescent="0.2">
      <c r="A78" s="907"/>
      <c r="B78" s="947" t="s">
        <v>3629</v>
      </c>
      <c r="C78" s="916"/>
      <c r="D78" s="916"/>
      <c r="E78" s="916"/>
      <c r="F78" s="916"/>
      <c r="G78" s="916"/>
      <c r="H78" s="916"/>
      <c r="I78" s="916"/>
      <c r="J78" s="956"/>
      <c r="K78" s="926"/>
      <c r="L78" s="996"/>
      <c r="M78" s="950"/>
      <c r="N78" s="950"/>
      <c r="O78" s="94"/>
      <c r="P78" s="94"/>
      <c r="Q78" s="950"/>
    </row>
    <row r="79" spans="1:17" ht="14.25" hidden="1" customHeight="1" x14ac:dyDescent="0.2">
      <c r="A79" s="907"/>
      <c r="B79" s="947" t="s">
        <v>3630</v>
      </c>
      <c r="C79" s="916"/>
      <c r="D79" s="916"/>
      <c r="E79" s="916"/>
      <c r="F79" s="916"/>
      <c r="G79" s="916"/>
      <c r="H79" s="916"/>
      <c r="I79" s="916"/>
      <c r="J79" s="956"/>
      <c r="K79" s="926"/>
      <c r="L79" s="996"/>
      <c r="M79" s="950"/>
      <c r="N79" s="950"/>
      <c r="O79" s="94"/>
      <c r="P79" s="94"/>
      <c r="Q79" s="950"/>
    </row>
    <row r="80" spans="1:17" ht="14.25" hidden="1" customHeight="1" x14ac:dyDescent="0.2">
      <c r="A80" s="907"/>
      <c r="B80" s="947" t="s">
        <v>3631</v>
      </c>
      <c r="C80" s="916"/>
      <c r="D80" s="916"/>
      <c r="E80" s="916"/>
      <c r="F80" s="916"/>
      <c r="G80" s="916"/>
      <c r="H80" s="916"/>
      <c r="I80" s="916"/>
      <c r="J80" s="956"/>
      <c r="K80" s="926"/>
      <c r="L80" s="996"/>
      <c r="M80" s="950"/>
      <c r="N80" s="950"/>
      <c r="O80" s="94"/>
      <c r="P80" s="94"/>
      <c r="Q80" s="950"/>
    </row>
    <row r="81" spans="1:17" ht="14.25" hidden="1" customHeight="1" x14ac:dyDescent="0.2">
      <c r="A81" s="907"/>
      <c r="B81" s="947" t="s">
        <v>3632</v>
      </c>
      <c r="C81" s="916"/>
      <c r="D81" s="916"/>
      <c r="E81" s="916"/>
      <c r="F81" s="916"/>
      <c r="G81" s="916"/>
      <c r="H81" s="916"/>
      <c r="I81" s="916"/>
      <c r="J81" s="956"/>
      <c r="K81" s="926"/>
      <c r="L81" s="996"/>
      <c r="M81" s="950"/>
      <c r="N81" s="950"/>
      <c r="O81" s="94"/>
      <c r="P81" s="94"/>
      <c r="Q81" s="950"/>
    </row>
    <row r="82" spans="1:17" ht="14.25" hidden="1" customHeight="1" x14ac:dyDescent="0.2">
      <c r="A82" s="907"/>
      <c r="B82" s="947" t="s">
        <v>3633</v>
      </c>
      <c r="C82" s="916"/>
      <c r="D82" s="916"/>
      <c r="E82" s="916"/>
      <c r="F82" s="916"/>
      <c r="G82" s="916"/>
      <c r="H82" s="916"/>
      <c r="I82" s="916"/>
      <c r="J82" s="956"/>
      <c r="K82" s="926"/>
      <c r="L82" s="996"/>
      <c r="M82" s="950"/>
      <c r="N82" s="950"/>
      <c r="O82" s="94"/>
      <c r="P82" s="94"/>
      <c r="Q82" s="950"/>
    </row>
    <row r="83" spans="1:17" ht="14.25" hidden="1" customHeight="1" x14ac:dyDescent="0.2">
      <c r="A83" s="907"/>
      <c r="B83" s="907"/>
      <c r="C83" s="916"/>
      <c r="D83" s="916"/>
      <c r="E83" s="916"/>
      <c r="F83" s="916"/>
      <c r="G83" s="916"/>
      <c r="H83" s="916"/>
      <c r="I83" s="916"/>
      <c r="J83" s="956"/>
      <c r="K83" s="926"/>
      <c r="L83" s="926"/>
      <c r="M83" s="950"/>
      <c r="N83" s="950"/>
      <c r="O83" s="94"/>
      <c r="P83" s="94"/>
      <c r="Q83" s="950"/>
    </row>
    <row r="84" spans="1:17" ht="14.25" hidden="1" customHeight="1" x14ac:dyDescent="0.2">
      <c r="A84" s="907"/>
      <c r="B84" s="916"/>
      <c r="C84" s="916" t="s">
        <v>3611</v>
      </c>
      <c r="D84" s="916"/>
      <c r="E84" s="916"/>
      <c r="F84" s="916"/>
      <c r="G84" s="916"/>
      <c r="H84" s="916"/>
      <c r="I84" s="916"/>
      <c r="J84" s="956"/>
      <c r="K84" s="926"/>
      <c r="L84" s="950"/>
      <c r="M84" s="950"/>
      <c r="N84" s="950"/>
      <c r="O84" s="94"/>
      <c r="P84" s="94"/>
      <c r="Q84" s="950"/>
    </row>
    <row r="85" spans="1:17" ht="28.5" hidden="1" customHeight="1" x14ac:dyDescent="0.2">
      <c r="A85" s="907"/>
      <c r="B85" s="918" t="s">
        <v>3623</v>
      </c>
      <c r="C85" s="916"/>
      <c r="D85" s="916"/>
      <c r="E85" s="916"/>
      <c r="F85" s="916"/>
      <c r="G85" s="916"/>
      <c r="H85" s="916"/>
      <c r="I85" s="916"/>
      <c r="J85" s="956"/>
      <c r="K85" s="926"/>
      <c r="L85" s="950"/>
      <c r="M85" s="950"/>
      <c r="N85" s="950"/>
      <c r="O85" s="926"/>
      <c r="P85" s="950"/>
      <c r="Q85" s="950"/>
    </row>
    <row r="86" spans="1:17" ht="14.25" hidden="1" customHeight="1" x14ac:dyDescent="0.2">
      <c r="A86" s="907"/>
      <c r="B86" s="946" t="s">
        <v>3639</v>
      </c>
      <c r="C86" s="916"/>
      <c r="D86" s="916"/>
      <c r="E86" s="916"/>
      <c r="F86" s="916"/>
      <c r="G86" s="916"/>
      <c r="H86" s="916"/>
      <c r="I86" s="916"/>
      <c r="J86" s="956"/>
      <c r="K86" s="926"/>
      <c r="L86" s="996"/>
      <c r="M86" s="950"/>
      <c r="N86" s="950"/>
      <c r="O86" s="950"/>
      <c r="P86" s="926"/>
      <c r="Q86" s="950"/>
    </row>
    <row r="87" spans="1:17" ht="14.25" hidden="1" customHeight="1" x14ac:dyDescent="0.2">
      <c r="A87" s="907"/>
      <c r="B87" s="946" t="s">
        <v>3640</v>
      </c>
      <c r="C87" s="916"/>
      <c r="D87" s="916"/>
      <c r="E87" s="916"/>
      <c r="F87" s="916"/>
      <c r="G87" s="916"/>
      <c r="H87" s="916"/>
      <c r="I87" s="916"/>
      <c r="J87" s="956"/>
      <c r="K87" s="926"/>
      <c r="L87" s="996"/>
      <c r="M87" s="950"/>
      <c r="N87" s="950"/>
      <c r="O87" s="950"/>
      <c r="P87" s="950"/>
      <c r="Q87" s="950"/>
    </row>
    <row r="88" spans="1:17" ht="14.25" hidden="1" customHeight="1" x14ac:dyDescent="0.2">
      <c r="A88" s="907"/>
      <c r="B88" s="946" t="s">
        <v>3641</v>
      </c>
      <c r="C88" s="916"/>
      <c r="D88" s="916"/>
      <c r="E88" s="916"/>
      <c r="F88" s="916"/>
      <c r="G88" s="916"/>
      <c r="H88" s="916"/>
      <c r="I88" s="916"/>
      <c r="J88" s="956"/>
      <c r="K88" s="926"/>
      <c r="L88" s="996"/>
      <c r="M88" s="950"/>
      <c r="N88" s="950"/>
      <c r="O88" s="950"/>
      <c r="P88" s="950"/>
      <c r="Q88" s="950"/>
    </row>
    <row r="89" spans="1:17" ht="14.25" hidden="1" customHeight="1" x14ac:dyDescent="0.2">
      <c r="A89" s="907"/>
      <c r="B89" s="946" t="s">
        <v>3642</v>
      </c>
      <c r="C89" s="916"/>
      <c r="D89" s="916"/>
      <c r="E89" s="916"/>
      <c r="F89" s="916"/>
      <c r="G89" s="916"/>
      <c r="H89" s="916"/>
      <c r="I89" s="916"/>
      <c r="J89" s="956"/>
      <c r="K89" s="926"/>
      <c r="L89" s="996"/>
      <c r="M89" s="950"/>
      <c r="N89" s="950"/>
      <c r="O89" s="950"/>
      <c r="P89" s="950"/>
      <c r="Q89" s="950"/>
    </row>
    <row r="90" spans="1:17" ht="14.25" hidden="1" customHeight="1" x14ac:dyDescent="0.2">
      <c r="A90" s="907"/>
      <c r="B90" s="946" t="s">
        <v>3643</v>
      </c>
      <c r="C90" s="916"/>
      <c r="D90" s="916"/>
      <c r="E90" s="916"/>
      <c r="F90" s="916"/>
      <c r="G90" s="916"/>
      <c r="H90" s="916"/>
      <c r="I90" s="916"/>
      <c r="J90" s="956"/>
      <c r="K90" s="926"/>
      <c r="L90" s="996"/>
      <c r="M90" s="950"/>
      <c r="N90" s="950"/>
      <c r="O90" s="950"/>
      <c r="P90" s="950"/>
      <c r="Q90" s="950"/>
    </row>
    <row r="91" spans="1:17" ht="14.25" hidden="1" customHeight="1" x14ac:dyDescent="0.2">
      <c r="A91" s="907"/>
      <c r="B91" s="946" t="s">
        <v>3644</v>
      </c>
      <c r="C91" s="916"/>
      <c r="D91" s="916"/>
      <c r="E91" s="916"/>
      <c r="F91" s="916"/>
      <c r="G91" s="916"/>
      <c r="H91" s="916"/>
      <c r="I91" s="916"/>
      <c r="J91" s="956"/>
      <c r="K91" s="926"/>
      <c r="L91" s="996"/>
      <c r="M91" s="950"/>
      <c r="N91" s="950"/>
      <c r="O91" s="950"/>
      <c r="P91" s="950"/>
      <c r="Q91" s="950"/>
    </row>
    <row r="92" spans="1:17" ht="14.25" hidden="1" customHeight="1" x14ac:dyDescent="0.2">
      <c r="A92" s="907"/>
      <c r="B92" s="946" t="s">
        <v>3645</v>
      </c>
      <c r="C92" s="916"/>
      <c r="D92" s="916"/>
      <c r="E92" s="916"/>
      <c r="F92" s="916"/>
      <c r="G92" s="916"/>
      <c r="H92" s="916"/>
      <c r="I92" s="916"/>
      <c r="J92" s="956"/>
      <c r="K92" s="926"/>
      <c r="L92" s="996"/>
      <c r="M92" s="950"/>
      <c r="N92" s="950"/>
      <c r="O92" s="950"/>
      <c r="P92" s="950"/>
      <c r="Q92" s="950"/>
    </row>
    <row r="93" spans="1:17" ht="14.25" hidden="1" customHeight="1" x14ac:dyDescent="0.2">
      <c r="A93" s="907"/>
      <c r="B93" s="946" t="s">
        <v>3646</v>
      </c>
      <c r="C93" s="916"/>
      <c r="D93" s="916"/>
      <c r="E93" s="916"/>
      <c r="F93" s="916"/>
      <c r="G93" s="916"/>
      <c r="H93" s="916"/>
      <c r="I93" s="916"/>
      <c r="J93" s="956"/>
      <c r="K93" s="926"/>
      <c r="L93" s="996"/>
      <c r="M93" s="950"/>
      <c r="N93" s="950"/>
      <c r="O93" s="950"/>
      <c r="P93" s="950"/>
      <c r="Q93" s="950"/>
    </row>
    <row r="94" spans="1:17" ht="14.25" hidden="1" customHeight="1" x14ac:dyDescent="0.2">
      <c r="A94" s="907"/>
      <c r="B94" s="946" t="s">
        <v>3647</v>
      </c>
      <c r="C94" s="916"/>
      <c r="D94" s="916"/>
      <c r="E94" s="916"/>
      <c r="F94" s="916"/>
      <c r="G94" s="916"/>
      <c r="H94" s="916"/>
      <c r="I94" s="916"/>
      <c r="J94" s="956"/>
      <c r="K94" s="926"/>
      <c r="L94" s="996"/>
      <c r="M94" s="950"/>
      <c r="N94" s="950"/>
      <c r="O94" s="950"/>
      <c r="P94" s="950"/>
      <c r="Q94" s="950"/>
    </row>
    <row r="95" spans="1:17" ht="14.25" hidden="1" customHeight="1" x14ac:dyDescent="0.2">
      <c r="A95" s="907"/>
      <c r="B95" s="916"/>
      <c r="C95" s="916" t="s">
        <v>3613</v>
      </c>
      <c r="D95" s="916"/>
      <c r="E95" s="916"/>
      <c r="F95" s="916"/>
      <c r="G95" s="916"/>
      <c r="H95" s="916"/>
      <c r="I95" s="916"/>
      <c r="J95" s="956"/>
      <c r="K95" s="926"/>
      <c r="L95" s="926"/>
      <c r="M95" s="950"/>
      <c r="N95" s="950"/>
      <c r="O95" s="950"/>
      <c r="P95" s="950"/>
      <c r="Q95" s="950"/>
    </row>
    <row r="96" spans="1:17" ht="12.75" hidden="1" customHeight="1" x14ac:dyDescent="0.2">
      <c r="A96" s="907"/>
      <c r="B96" s="907"/>
      <c r="C96" s="907"/>
      <c r="D96" s="907"/>
      <c r="E96" s="907"/>
      <c r="F96" s="907"/>
      <c r="G96" s="907"/>
      <c r="H96" s="907"/>
      <c r="I96" s="907"/>
      <c r="J96" s="927"/>
      <c r="K96" s="927"/>
      <c r="L96" s="950"/>
      <c r="M96" s="950"/>
      <c r="N96" s="950"/>
      <c r="O96" s="950"/>
      <c r="P96" s="950"/>
      <c r="Q96" s="950"/>
    </row>
    <row r="97" spans="1:17" x14ac:dyDescent="0.2">
      <c r="A97" s="907"/>
      <c r="B97" s="907"/>
      <c r="C97" s="907"/>
      <c r="D97" s="907"/>
      <c r="E97" s="907"/>
      <c r="F97" s="907"/>
      <c r="G97" s="907"/>
      <c r="H97" s="907"/>
      <c r="I97" s="907"/>
      <c r="J97" s="927"/>
      <c r="K97" s="927"/>
      <c r="L97" s="950"/>
      <c r="M97" s="950"/>
      <c r="N97" s="950"/>
      <c r="O97" s="950"/>
      <c r="P97" s="950"/>
      <c r="Q97" s="950"/>
    </row>
    <row r="98" spans="1:17" x14ac:dyDescent="0.2">
      <c r="A98" s="907"/>
      <c r="B98" s="907"/>
      <c r="C98" s="907"/>
      <c r="D98" s="907"/>
      <c r="E98" s="907"/>
      <c r="F98" s="907"/>
      <c r="G98" s="907"/>
      <c r="H98" s="907"/>
      <c r="I98" s="907"/>
      <c r="J98" s="927"/>
      <c r="K98" s="927"/>
      <c r="L98" s="950"/>
      <c r="M98" s="950"/>
      <c r="N98" s="950"/>
      <c r="O98" s="950"/>
      <c r="P98" s="950"/>
      <c r="Q98" s="950"/>
    </row>
    <row r="99" spans="1:17" x14ac:dyDescent="0.2">
      <c r="A99" s="928" t="s">
        <v>810</v>
      </c>
      <c r="B99" s="1144" t="s">
        <v>4072</v>
      </c>
      <c r="C99" s="957"/>
      <c r="D99" s="957"/>
      <c r="E99" s="957"/>
      <c r="F99" s="957"/>
      <c r="G99" s="957"/>
      <c r="H99" s="957"/>
      <c r="I99" s="929"/>
      <c r="J99" s="927"/>
      <c r="K99" s="927"/>
      <c r="L99" s="950"/>
      <c r="M99" s="950"/>
      <c r="N99" s="950"/>
      <c r="O99" s="950"/>
      <c r="P99" s="950"/>
      <c r="Q99" s="950"/>
    </row>
    <row r="100" spans="1:17" x14ac:dyDescent="0.2">
      <c r="A100" s="907"/>
      <c r="B100" s="907"/>
      <c r="C100" s="907"/>
      <c r="D100" s="907"/>
      <c r="E100" s="907"/>
      <c r="F100" s="907"/>
      <c r="G100" s="907"/>
      <c r="H100" s="907"/>
      <c r="I100" s="907"/>
      <c r="J100" s="927"/>
      <c r="K100" s="927"/>
      <c r="L100" s="950"/>
      <c r="M100" s="950"/>
      <c r="N100" s="950"/>
      <c r="O100" s="950"/>
      <c r="P100" s="950"/>
      <c r="Q100" s="950"/>
    </row>
    <row r="101" spans="1:17" x14ac:dyDescent="0.2">
      <c r="A101" s="907"/>
      <c r="B101" s="907"/>
      <c r="C101" s="907"/>
      <c r="D101" s="907"/>
      <c r="E101" s="907"/>
      <c r="F101" s="907"/>
      <c r="G101" s="907"/>
      <c r="H101" s="907"/>
      <c r="I101" s="907"/>
      <c r="J101" s="927"/>
      <c r="K101" s="927"/>
      <c r="L101" s="950"/>
      <c r="M101" s="950"/>
      <c r="N101" s="950"/>
      <c r="O101" s="950"/>
      <c r="P101" s="950"/>
      <c r="Q101" s="950"/>
    </row>
    <row r="102" spans="1:17" x14ac:dyDescent="0.2">
      <c r="A102" s="907"/>
      <c r="B102" s="930"/>
      <c r="C102" s="765" t="s">
        <v>2032</v>
      </c>
      <c r="D102" s="765" t="s">
        <v>2033</v>
      </c>
      <c r="E102" s="907"/>
      <c r="F102" s="907"/>
      <c r="G102" s="907"/>
      <c r="H102" s="907"/>
      <c r="I102" s="907"/>
      <c r="J102" s="927"/>
      <c r="K102" s="927"/>
      <c r="L102" s="950"/>
      <c r="M102" s="950"/>
      <c r="N102" s="950"/>
      <c r="O102" s="950"/>
      <c r="P102" s="950"/>
      <c r="Q102" s="950"/>
    </row>
    <row r="103" spans="1:17" x14ac:dyDescent="0.2">
      <c r="A103" s="907"/>
      <c r="B103" s="952" t="s">
        <v>1095</v>
      </c>
      <c r="C103" s="857">
        <f t="shared" ref="C103:D103" si="0">G149</f>
        <v>1853958</v>
      </c>
      <c r="D103" s="857">
        <f t="shared" si="0"/>
        <v>0</v>
      </c>
      <c r="E103" s="907"/>
      <c r="F103" s="907"/>
      <c r="G103" s="907"/>
      <c r="H103" s="907"/>
      <c r="I103" s="907"/>
      <c r="J103" s="927"/>
      <c r="K103" s="927"/>
      <c r="L103" s="950"/>
      <c r="M103" s="950"/>
      <c r="N103" s="950"/>
      <c r="O103" s="950"/>
      <c r="P103" s="950"/>
      <c r="Q103" s="950"/>
    </row>
    <row r="104" spans="1:17" x14ac:dyDescent="0.2">
      <c r="A104" s="907"/>
      <c r="B104" s="930" t="s">
        <v>4061</v>
      </c>
      <c r="C104" s="857">
        <f t="shared" ref="C104" si="1">G150</f>
        <v>0</v>
      </c>
      <c r="D104" s="857">
        <f>H150</f>
        <v>1400640</v>
      </c>
      <c r="E104" s="907"/>
      <c r="F104" s="907"/>
      <c r="G104" s="907"/>
      <c r="H104" s="907"/>
      <c r="I104" s="907"/>
      <c r="J104" s="927"/>
      <c r="K104" s="927"/>
      <c r="L104" s="950"/>
      <c r="M104" s="950"/>
      <c r="N104" s="950"/>
      <c r="O104" s="950"/>
      <c r="P104" s="950"/>
      <c r="Q104" s="950"/>
    </row>
    <row r="105" spans="1:17" x14ac:dyDescent="0.2">
      <c r="A105" s="907"/>
      <c r="B105" s="930" t="s">
        <v>4014</v>
      </c>
      <c r="C105" s="857">
        <f>G151</f>
        <v>63429</v>
      </c>
      <c r="D105" s="857">
        <f>H151</f>
        <v>0</v>
      </c>
      <c r="E105" s="1130"/>
      <c r="F105" s="907"/>
      <c r="G105" s="907"/>
      <c r="H105" s="907"/>
      <c r="I105" s="907"/>
      <c r="J105" s="927"/>
      <c r="K105" s="927"/>
      <c r="L105" s="950"/>
      <c r="M105" s="950"/>
      <c r="N105" s="950"/>
      <c r="O105" s="950"/>
      <c r="P105" s="950"/>
      <c r="Q105" s="950"/>
    </row>
    <row r="106" spans="1:17" x14ac:dyDescent="0.2">
      <c r="A106" s="907"/>
      <c r="B106" s="930" t="s">
        <v>3956</v>
      </c>
      <c r="C106" s="857">
        <f t="shared" ref="C106:D113" si="2">G152</f>
        <v>0</v>
      </c>
      <c r="D106" s="857">
        <f t="shared" si="2"/>
        <v>0</v>
      </c>
      <c r="E106" s="907"/>
      <c r="F106" s="907"/>
      <c r="G106" s="907"/>
      <c r="H106" s="907"/>
      <c r="I106" s="907"/>
      <c r="J106" s="927"/>
      <c r="K106" s="927"/>
      <c r="L106" s="950"/>
      <c r="M106" s="950"/>
      <c r="N106" s="950"/>
      <c r="O106" s="950"/>
      <c r="P106" s="950"/>
      <c r="Q106" s="950"/>
    </row>
    <row r="107" spans="1:17" x14ac:dyDescent="0.2">
      <c r="A107" s="907"/>
      <c r="B107" s="930" t="s">
        <v>3957</v>
      </c>
      <c r="C107" s="857">
        <f t="shared" si="2"/>
        <v>0</v>
      </c>
      <c r="D107" s="857">
        <f t="shared" si="2"/>
        <v>0</v>
      </c>
      <c r="E107" s="907"/>
      <c r="F107" s="907"/>
      <c r="G107" s="907"/>
      <c r="H107" s="907"/>
      <c r="I107" s="907"/>
      <c r="J107" s="927"/>
      <c r="K107" s="927"/>
      <c r="L107" s="950"/>
      <c r="M107" s="950"/>
      <c r="N107" s="950"/>
      <c r="O107" s="950"/>
      <c r="P107" s="950"/>
      <c r="Q107" s="950"/>
    </row>
    <row r="108" spans="1:17" x14ac:dyDescent="0.2">
      <c r="A108" s="907"/>
      <c r="B108" s="930" t="s">
        <v>3958</v>
      </c>
      <c r="C108" s="857">
        <f t="shared" si="2"/>
        <v>0</v>
      </c>
      <c r="D108" s="857">
        <f t="shared" si="2"/>
        <v>0</v>
      </c>
      <c r="E108" s="907"/>
      <c r="F108" s="907"/>
      <c r="G108" s="907"/>
      <c r="H108" s="907"/>
      <c r="I108" s="907"/>
      <c r="J108" s="927"/>
      <c r="K108" s="927"/>
      <c r="L108" s="950"/>
      <c r="M108" s="950"/>
      <c r="N108" s="950"/>
      <c r="O108" s="950"/>
      <c r="P108" s="950"/>
      <c r="Q108" s="950"/>
    </row>
    <row r="109" spans="1:17" x14ac:dyDescent="0.2">
      <c r="A109" s="907"/>
      <c r="B109" s="930" t="s">
        <v>3959</v>
      </c>
      <c r="C109" s="857">
        <f t="shared" si="2"/>
        <v>0</v>
      </c>
      <c r="D109" s="857">
        <f t="shared" si="2"/>
        <v>0</v>
      </c>
      <c r="E109" s="907"/>
      <c r="F109" s="907"/>
      <c r="G109" s="907"/>
      <c r="H109" s="907"/>
      <c r="I109" s="907"/>
      <c r="J109" s="927"/>
      <c r="K109" s="927"/>
      <c r="L109" s="950"/>
      <c r="M109" s="950"/>
      <c r="N109" s="950"/>
      <c r="O109" s="950"/>
      <c r="P109" s="950"/>
      <c r="Q109" s="950"/>
    </row>
    <row r="110" spans="1:17" x14ac:dyDescent="0.2">
      <c r="A110" s="907"/>
      <c r="B110" s="930" t="s">
        <v>4012</v>
      </c>
      <c r="C110" s="857">
        <f t="shared" si="2"/>
        <v>0</v>
      </c>
      <c r="D110" s="857">
        <f t="shared" si="2"/>
        <v>0</v>
      </c>
      <c r="E110" s="907"/>
      <c r="F110" s="907"/>
      <c r="G110" s="907"/>
      <c r="H110" s="907"/>
      <c r="I110" s="907"/>
      <c r="J110" s="927"/>
      <c r="K110" s="927"/>
      <c r="L110" s="950"/>
      <c r="M110" s="950"/>
      <c r="N110" s="950"/>
      <c r="O110" s="950"/>
      <c r="P110" s="950"/>
      <c r="Q110" s="950"/>
    </row>
    <row r="111" spans="1:17" x14ac:dyDescent="0.2">
      <c r="A111" s="907"/>
      <c r="B111" s="930" t="s">
        <v>3960</v>
      </c>
      <c r="C111" s="857">
        <f t="shared" si="2"/>
        <v>0</v>
      </c>
      <c r="D111" s="857">
        <f t="shared" si="2"/>
        <v>0</v>
      </c>
      <c r="E111" s="1130"/>
      <c r="F111" s="907"/>
      <c r="G111" s="907"/>
      <c r="H111" s="907"/>
      <c r="I111" s="907"/>
      <c r="J111" s="927"/>
      <c r="K111" s="927"/>
      <c r="L111" s="950"/>
      <c r="M111" s="950"/>
      <c r="N111" s="950"/>
      <c r="O111" s="950"/>
      <c r="P111" s="950"/>
      <c r="Q111" s="950"/>
    </row>
    <row r="112" spans="1:17" x14ac:dyDescent="0.2">
      <c r="A112" s="907"/>
      <c r="B112" s="930" t="s">
        <v>3961</v>
      </c>
      <c r="C112" s="857">
        <f t="shared" si="2"/>
        <v>0</v>
      </c>
      <c r="D112" s="857">
        <f t="shared" si="2"/>
        <v>0</v>
      </c>
      <c r="E112" s="1130"/>
      <c r="F112" s="907"/>
      <c r="G112" s="907"/>
      <c r="H112" s="907"/>
      <c r="I112" s="907"/>
      <c r="J112" s="927"/>
      <c r="K112" s="927"/>
      <c r="L112" s="950"/>
      <c r="M112" s="950"/>
      <c r="N112" s="950"/>
      <c r="O112" s="950"/>
      <c r="P112" s="950"/>
      <c r="Q112" s="950"/>
    </row>
    <row r="113" spans="1:17" x14ac:dyDescent="0.2">
      <c r="A113" s="907"/>
      <c r="B113" s="930" t="s">
        <v>3962</v>
      </c>
      <c r="C113" s="857">
        <f t="shared" si="2"/>
        <v>0</v>
      </c>
      <c r="D113" s="857">
        <f t="shared" si="2"/>
        <v>0</v>
      </c>
      <c r="E113" s="1130"/>
      <c r="F113" s="907"/>
      <c r="G113" s="907"/>
      <c r="H113" s="907"/>
      <c r="I113" s="907"/>
      <c r="J113" s="927"/>
      <c r="K113" s="927"/>
      <c r="L113" s="950"/>
      <c r="M113" s="950"/>
      <c r="N113" s="950"/>
      <c r="O113" s="950"/>
      <c r="P113" s="950"/>
      <c r="Q113" s="950"/>
    </row>
    <row r="114" spans="1:17" x14ac:dyDescent="0.2">
      <c r="A114" s="907"/>
      <c r="B114" s="927" t="s">
        <v>4030</v>
      </c>
      <c r="C114" s="857">
        <f>G160</f>
        <v>0</v>
      </c>
      <c r="D114" s="857">
        <f>H160</f>
        <v>40850</v>
      </c>
      <c r="E114" s="927"/>
      <c r="F114" s="907"/>
      <c r="G114" s="907"/>
      <c r="H114" s="907"/>
      <c r="I114" s="907"/>
      <c r="J114" s="927"/>
      <c r="K114" s="927"/>
      <c r="L114" s="950"/>
      <c r="M114" s="950"/>
      <c r="N114" s="950"/>
      <c r="O114" s="950"/>
      <c r="P114" s="950"/>
      <c r="Q114" s="950"/>
    </row>
    <row r="115" spans="1:17" x14ac:dyDescent="0.2">
      <c r="A115" s="907"/>
      <c r="B115" s="907" t="s">
        <v>4031</v>
      </c>
      <c r="C115" s="857">
        <f t="shared" ref="C115:D130" si="3">G161</f>
        <v>0</v>
      </c>
      <c r="D115" s="857">
        <f>H161</f>
        <v>0</v>
      </c>
      <c r="E115" s="927"/>
      <c r="F115" s="907"/>
      <c r="G115" s="907"/>
      <c r="H115" s="907"/>
      <c r="I115" s="907"/>
      <c r="J115" s="927"/>
      <c r="K115" s="927"/>
      <c r="L115" s="950"/>
      <c r="M115" s="950"/>
      <c r="N115" s="950"/>
      <c r="O115" s="950"/>
      <c r="P115" s="950"/>
      <c r="Q115" s="950"/>
    </row>
    <row r="116" spans="1:17" x14ac:dyDescent="0.2">
      <c r="A116" s="907"/>
      <c r="B116" s="907" t="s">
        <v>4032</v>
      </c>
      <c r="C116" s="857">
        <f t="shared" si="3"/>
        <v>0</v>
      </c>
      <c r="D116" s="857">
        <f t="shared" si="3"/>
        <v>0</v>
      </c>
      <c r="E116" s="1139"/>
      <c r="F116" s="907"/>
      <c r="G116" s="907"/>
      <c r="H116" s="907"/>
      <c r="I116" s="907"/>
      <c r="J116" s="927"/>
      <c r="K116" s="927"/>
      <c r="L116" s="950"/>
      <c r="M116" s="950"/>
      <c r="N116" s="950"/>
      <c r="O116" s="950"/>
      <c r="P116" s="950"/>
      <c r="Q116" s="950"/>
    </row>
    <row r="117" spans="1:17" x14ac:dyDescent="0.2">
      <c r="A117" s="907"/>
      <c r="B117" s="907" t="s">
        <v>4033</v>
      </c>
      <c r="C117" s="857">
        <f t="shared" si="3"/>
        <v>0</v>
      </c>
      <c r="D117" s="857">
        <f t="shared" si="3"/>
        <v>0</v>
      </c>
      <c r="E117" s="1139"/>
      <c r="F117" s="907"/>
      <c r="G117" s="907"/>
      <c r="H117" s="907"/>
      <c r="I117" s="907"/>
      <c r="J117" s="927"/>
      <c r="K117" s="927"/>
      <c r="L117" s="950"/>
      <c r="M117" s="950"/>
      <c r="N117" s="950"/>
      <c r="O117" s="950"/>
      <c r="P117" s="950"/>
      <c r="Q117" s="950"/>
    </row>
    <row r="118" spans="1:17" x14ac:dyDescent="0.2">
      <c r="A118" s="907"/>
      <c r="B118" s="907" t="s">
        <v>4034</v>
      </c>
      <c r="C118" s="857">
        <f t="shared" si="3"/>
        <v>0</v>
      </c>
      <c r="D118" s="857">
        <f t="shared" si="3"/>
        <v>0</v>
      </c>
      <c r="E118" s="927"/>
      <c r="F118" s="907"/>
      <c r="G118" s="907"/>
      <c r="H118" s="907"/>
      <c r="I118" s="907"/>
      <c r="J118" s="927"/>
      <c r="K118" s="927"/>
      <c r="L118" s="950"/>
      <c r="M118" s="950"/>
      <c r="N118" s="950"/>
      <c r="O118" s="950"/>
      <c r="P118" s="950"/>
      <c r="Q118" s="950"/>
    </row>
    <row r="119" spans="1:17" x14ac:dyDescent="0.2">
      <c r="A119" s="907"/>
      <c r="B119" s="907" t="s">
        <v>4035</v>
      </c>
      <c r="C119" s="857">
        <f t="shared" si="3"/>
        <v>0</v>
      </c>
      <c r="D119" s="857">
        <f t="shared" si="3"/>
        <v>0</v>
      </c>
      <c r="E119" s="927"/>
      <c r="F119" s="907"/>
      <c r="G119" s="907"/>
      <c r="H119" s="907"/>
      <c r="I119" s="907"/>
      <c r="J119" s="927"/>
      <c r="K119" s="927"/>
      <c r="L119" s="950"/>
      <c r="M119" s="950"/>
      <c r="N119" s="950"/>
      <c r="O119" s="950"/>
      <c r="P119" s="950"/>
      <c r="Q119" s="950"/>
    </row>
    <row r="120" spans="1:17" x14ac:dyDescent="0.2">
      <c r="A120" s="907"/>
      <c r="B120" s="907" t="s">
        <v>4036</v>
      </c>
      <c r="C120" s="857">
        <f t="shared" si="3"/>
        <v>0</v>
      </c>
      <c r="D120" s="857">
        <f t="shared" si="3"/>
        <v>0</v>
      </c>
      <c r="E120" s="927"/>
      <c r="F120" s="907"/>
      <c r="G120" s="907"/>
      <c r="H120" s="907"/>
      <c r="I120" s="907"/>
      <c r="J120" s="927"/>
      <c r="K120" s="927"/>
      <c r="L120" s="950"/>
      <c r="M120" s="950"/>
      <c r="N120" s="950"/>
      <c r="O120" s="950"/>
      <c r="P120" s="950"/>
      <c r="Q120" s="950"/>
    </row>
    <row r="121" spans="1:17" x14ac:dyDescent="0.2">
      <c r="A121" s="907"/>
      <c r="B121" s="907" t="s">
        <v>4037</v>
      </c>
      <c r="C121" s="857">
        <f t="shared" si="3"/>
        <v>0</v>
      </c>
      <c r="D121" s="857">
        <f t="shared" si="3"/>
        <v>0</v>
      </c>
      <c r="E121" s="927"/>
      <c r="F121" s="907"/>
      <c r="G121" s="907"/>
      <c r="H121" s="907"/>
      <c r="I121" s="907"/>
      <c r="J121" s="927"/>
      <c r="K121" s="927"/>
      <c r="L121" s="950"/>
      <c r="M121" s="950"/>
      <c r="N121" s="950"/>
      <c r="O121" s="950"/>
      <c r="P121" s="950"/>
      <c r="Q121" s="950"/>
    </row>
    <row r="122" spans="1:17" x14ac:dyDescent="0.2">
      <c r="A122" s="907"/>
      <c r="B122" s="907" t="s">
        <v>4038</v>
      </c>
      <c r="C122" s="857">
        <f t="shared" si="3"/>
        <v>0</v>
      </c>
      <c r="D122" s="857">
        <f t="shared" si="3"/>
        <v>0</v>
      </c>
      <c r="E122" s="927"/>
      <c r="F122" s="907"/>
      <c r="G122" s="907"/>
      <c r="H122" s="907"/>
      <c r="I122" s="907"/>
      <c r="J122" s="927"/>
      <c r="K122" s="927"/>
      <c r="L122" s="950"/>
      <c r="M122" s="950"/>
      <c r="N122" s="950"/>
      <c r="O122" s="950"/>
      <c r="P122" s="950"/>
      <c r="Q122" s="950"/>
    </row>
    <row r="123" spans="1:17" x14ac:dyDescent="0.2">
      <c r="A123" s="907"/>
      <c r="B123" s="927" t="s">
        <v>3639</v>
      </c>
      <c r="C123" s="857">
        <f t="shared" si="3"/>
        <v>0</v>
      </c>
      <c r="D123" s="857">
        <f t="shared" si="3"/>
        <v>0</v>
      </c>
      <c r="E123" s="927"/>
      <c r="F123" s="907"/>
      <c r="G123" s="907"/>
      <c r="H123" s="907"/>
      <c r="I123" s="907"/>
      <c r="J123" s="927"/>
      <c r="K123" s="927"/>
      <c r="L123" s="950"/>
      <c r="M123" s="950"/>
      <c r="N123" s="950"/>
      <c r="O123" s="950"/>
      <c r="P123" s="950"/>
      <c r="Q123" s="950"/>
    </row>
    <row r="124" spans="1:17" x14ac:dyDescent="0.2">
      <c r="A124" s="907"/>
      <c r="B124" s="927" t="s">
        <v>3640</v>
      </c>
      <c r="C124" s="857">
        <f t="shared" si="3"/>
        <v>0</v>
      </c>
      <c r="D124" s="857">
        <f t="shared" si="3"/>
        <v>0</v>
      </c>
      <c r="E124" s="927"/>
      <c r="F124" s="907"/>
      <c r="G124" s="907"/>
      <c r="H124" s="907"/>
      <c r="I124" s="907"/>
      <c r="J124" s="927"/>
      <c r="K124" s="927"/>
      <c r="L124" s="950"/>
      <c r="M124" s="950"/>
      <c r="N124" s="950"/>
      <c r="O124" s="950"/>
      <c r="P124" s="950"/>
      <c r="Q124" s="950"/>
    </row>
    <row r="125" spans="1:17" x14ac:dyDescent="0.2">
      <c r="A125" s="907"/>
      <c r="B125" s="927" t="s">
        <v>3641</v>
      </c>
      <c r="C125" s="857">
        <f t="shared" si="3"/>
        <v>0</v>
      </c>
      <c r="D125" s="857">
        <f t="shared" si="3"/>
        <v>0</v>
      </c>
      <c r="E125" s="927"/>
      <c r="F125" s="907"/>
      <c r="G125" s="907"/>
      <c r="H125" s="907"/>
      <c r="I125" s="907"/>
      <c r="J125" s="927"/>
      <c r="K125" s="927"/>
      <c r="L125" s="950"/>
      <c r="M125" s="950"/>
      <c r="N125" s="950"/>
      <c r="O125" s="950"/>
      <c r="P125" s="950"/>
      <c r="Q125" s="950"/>
    </row>
    <row r="126" spans="1:17" x14ac:dyDescent="0.2">
      <c r="A126" s="907"/>
      <c r="B126" s="927" t="s">
        <v>3642</v>
      </c>
      <c r="C126" s="857">
        <f t="shared" si="3"/>
        <v>0</v>
      </c>
      <c r="D126" s="857">
        <f t="shared" si="3"/>
        <v>0</v>
      </c>
      <c r="E126" s="927"/>
      <c r="F126" s="907"/>
      <c r="G126" s="907"/>
      <c r="H126" s="907"/>
      <c r="I126" s="907"/>
      <c r="J126" s="927"/>
      <c r="K126" s="927"/>
      <c r="L126" s="950"/>
      <c r="M126" s="950"/>
      <c r="N126" s="950"/>
      <c r="O126" s="950"/>
      <c r="P126" s="950"/>
      <c r="Q126" s="950"/>
    </row>
    <row r="127" spans="1:17" x14ac:dyDescent="0.2">
      <c r="A127" s="907"/>
      <c r="B127" s="927" t="s">
        <v>3643</v>
      </c>
      <c r="C127" s="857">
        <f t="shared" si="3"/>
        <v>0</v>
      </c>
      <c r="D127" s="857">
        <f t="shared" si="3"/>
        <v>0</v>
      </c>
      <c r="E127" s="927"/>
      <c r="F127" s="907"/>
      <c r="G127" s="907"/>
      <c r="H127" s="907"/>
      <c r="I127" s="907"/>
      <c r="J127" s="927"/>
      <c r="K127" s="927"/>
      <c r="L127" s="950"/>
      <c r="M127" s="950"/>
      <c r="N127" s="950"/>
      <c r="O127" s="950"/>
      <c r="P127" s="950"/>
      <c r="Q127" s="950"/>
    </row>
    <row r="128" spans="1:17" x14ac:dyDescent="0.2">
      <c r="A128" s="907"/>
      <c r="B128" s="927" t="s">
        <v>3644</v>
      </c>
      <c r="C128" s="857">
        <f t="shared" si="3"/>
        <v>0</v>
      </c>
      <c r="D128" s="857">
        <f t="shared" si="3"/>
        <v>0</v>
      </c>
      <c r="E128" s="927"/>
      <c r="F128" s="907"/>
      <c r="G128" s="907"/>
      <c r="H128" s="907"/>
      <c r="I128" s="907"/>
      <c r="J128" s="927"/>
      <c r="K128" s="927"/>
      <c r="L128" s="950"/>
      <c r="M128" s="950"/>
      <c r="N128" s="950"/>
      <c r="O128" s="950"/>
      <c r="P128" s="950"/>
      <c r="Q128" s="950"/>
    </row>
    <row r="129" spans="1:17" x14ac:dyDescent="0.2">
      <c r="A129" s="907"/>
      <c r="B129" s="927" t="s">
        <v>4013</v>
      </c>
      <c r="C129" s="857">
        <f t="shared" si="3"/>
        <v>0</v>
      </c>
      <c r="D129" s="857">
        <f t="shared" si="3"/>
        <v>0</v>
      </c>
      <c r="E129" s="927"/>
      <c r="F129" s="907"/>
      <c r="G129" s="907"/>
      <c r="H129" s="907"/>
      <c r="I129" s="907"/>
      <c r="J129" s="927"/>
      <c r="K129" s="927"/>
      <c r="L129" s="950"/>
      <c r="M129" s="950"/>
      <c r="N129" s="950"/>
      <c r="O129" s="950"/>
      <c r="P129" s="950"/>
      <c r="Q129" s="950"/>
    </row>
    <row r="130" spans="1:17" x14ac:dyDescent="0.2">
      <c r="A130" s="907"/>
      <c r="B130" s="927" t="s">
        <v>3976</v>
      </c>
      <c r="C130" s="857">
        <f t="shared" si="3"/>
        <v>0</v>
      </c>
      <c r="D130" s="857">
        <f t="shared" si="3"/>
        <v>0</v>
      </c>
      <c r="E130" s="927"/>
      <c r="F130" s="907"/>
      <c r="G130" s="907"/>
      <c r="H130" s="907"/>
      <c r="I130" s="907"/>
      <c r="J130" s="927"/>
      <c r="K130" s="927"/>
      <c r="L130" s="950"/>
      <c r="M130" s="950"/>
      <c r="N130" s="950"/>
      <c r="O130" s="950"/>
      <c r="P130" s="950"/>
      <c r="Q130" s="950"/>
    </row>
    <row r="131" spans="1:17" x14ac:dyDescent="0.2">
      <c r="A131" s="907"/>
      <c r="B131" s="927" t="s">
        <v>3647</v>
      </c>
      <c r="C131" s="857">
        <f t="shared" ref="C131:D139" si="4">G177</f>
        <v>0</v>
      </c>
      <c r="D131" s="857">
        <f t="shared" si="4"/>
        <v>0</v>
      </c>
      <c r="E131" s="927"/>
      <c r="F131" s="907"/>
      <c r="G131" s="907"/>
      <c r="H131" s="907"/>
      <c r="I131" s="907"/>
      <c r="J131" s="927"/>
      <c r="K131" s="927"/>
      <c r="L131" s="950"/>
      <c r="M131" s="950"/>
      <c r="N131" s="950"/>
      <c r="O131" s="950"/>
      <c r="P131" s="950"/>
      <c r="Q131" s="950"/>
    </row>
    <row r="132" spans="1:17" x14ac:dyDescent="0.2">
      <c r="A132" s="907"/>
      <c r="B132" s="930" t="s">
        <v>3574</v>
      </c>
      <c r="C132" s="857">
        <f t="shared" si="4"/>
        <v>0</v>
      </c>
      <c r="D132" s="857">
        <f t="shared" si="4"/>
        <v>0</v>
      </c>
      <c r="E132" s="907"/>
      <c r="F132" s="907"/>
      <c r="G132" s="907"/>
      <c r="H132" s="907"/>
      <c r="I132" s="907"/>
      <c r="J132" s="927"/>
      <c r="K132" s="927"/>
      <c r="L132" s="950"/>
      <c r="M132" s="950"/>
      <c r="N132" s="950"/>
      <c r="O132" s="950"/>
      <c r="P132" s="950"/>
      <c r="Q132" s="950"/>
    </row>
    <row r="133" spans="1:17" x14ac:dyDescent="0.2">
      <c r="A133" s="907"/>
      <c r="B133" s="930" t="s">
        <v>3575</v>
      </c>
      <c r="C133" s="857">
        <f t="shared" si="4"/>
        <v>0</v>
      </c>
      <c r="D133" s="857">
        <f t="shared" si="4"/>
        <v>0</v>
      </c>
      <c r="E133" s="907"/>
      <c r="F133" s="907"/>
      <c r="G133" s="907"/>
      <c r="H133" s="907"/>
      <c r="I133" s="907"/>
      <c r="J133" s="927"/>
      <c r="K133" s="927"/>
      <c r="L133" s="950"/>
      <c r="M133" s="950"/>
      <c r="N133" s="950"/>
      <c r="O133" s="950"/>
      <c r="P133" s="950"/>
      <c r="Q133" s="950"/>
    </row>
    <row r="134" spans="1:17" ht="25.5" x14ac:dyDescent="0.2">
      <c r="A134" s="907"/>
      <c r="B134" s="930" t="s">
        <v>3653</v>
      </c>
      <c r="C134" s="857">
        <f t="shared" si="4"/>
        <v>0</v>
      </c>
      <c r="D134" s="857">
        <f t="shared" si="4"/>
        <v>0</v>
      </c>
      <c r="E134" s="907"/>
      <c r="F134" s="907"/>
      <c r="G134" s="907"/>
      <c r="H134" s="907"/>
      <c r="I134" s="907"/>
      <c r="J134" s="927"/>
      <c r="K134" s="927"/>
      <c r="L134" s="950"/>
      <c r="M134" s="950"/>
      <c r="N134" s="950"/>
      <c r="O134" s="950"/>
      <c r="P134" s="950"/>
      <c r="Q134" s="950"/>
    </row>
    <row r="135" spans="1:17" x14ac:dyDescent="0.2">
      <c r="A135" s="907"/>
      <c r="B135" s="930" t="s">
        <v>3577</v>
      </c>
      <c r="C135" s="857">
        <f t="shared" si="4"/>
        <v>0</v>
      </c>
      <c r="D135" s="857">
        <f t="shared" si="4"/>
        <v>130496</v>
      </c>
      <c r="E135" s="907"/>
      <c r="F135" s="907"/>
      <c r="G135" s="907"/>
      <c r="H135" s="907"/>
      <c r="I135" s="907"/>
      <c r="J135" s="927"/>
      <c r="K135" s="927"/>
      <c r="L135" s="950"/>
      <c r="M135" s="950"/>
      <c r="N135" s="950"/>
      <c r="O135" s="950"/>
      <c r="P135" s="950"/>
      <c r="Q135" s="950"/>
    </row>
    <row r="136" spans="1:17" x14ac:dyDescent="0.2">
      <c r="A136" s="907"/>
      <c r="B136" s="930" t="s">
        <v>3579</v>
      </c>
      <c r="C136" s="857">
        <f t="shared" si="4"/>
        <v>0</v>
      </c>
      <c r="D136" s="857">
        <f t="shared" si="4"/>
        <v>385730</v>
      </c>
      <c r="E136" s="907"/>
      <c r="F136" s="907"/>
      <c r="G136" s="907"/>
      <c r="H136" s="907"/>
      <c r="I136" s="907"/>
      <c r="J136" s="927"/>
      <c r="K136" s="927"/>
      <c r="L136" s="950"/>
      <c r="M136" s="950"/>
      <c r="N136" s="950"/>
      <c r="O136" s="950"/>
      <c r="P136" s="950"/>
      <c r="Q136" s="950"/>
    </row>
    <row r="137" spans="1:17" ht="25.5" x14ac:dyDescent="0.2">
      <c r="A137" s="907"/>
      <c r="B137" s="930" t="s">
        <v>3654</v>
      </c>
      <c r="C137" s="857">
        <f>G183</f>
        <v>0</v>
      </c>
      <c r="D137" s="857">
        <f t="shared" si="4"/>
        <v>521</v>
      </c>
      <c r="E137" s="907"/>
      <c r="F137" s="907"/>
      <c r="G137" s="907"/>
      <c r="H137" s="907"/>
      <c r="I137" s="907"/>
      <c r="J137" s="927"/>
      <c r="K137" s="927"/>
      <c r="L137" s="950"/>
      <c r="M137" s="950"/>
      <c r="N137" s="950"/>
      <c r="O137" s="950"/>
      <c r="P137" s="950"/>
      <c r="Q137" s="950"/>
    </row>
    <row r="138" spans="1:17" ht="25.5" x14ac:dyDescent="0.2">
      <c r="A138" s="907"/>
      <c r="B138" s="930" t="s">
        <v>4063</v>
      </c>
      <c r="C138" s="857">
        <f>G184</f>
        <v>40850</v>
      </c>
      <c r="D138" s="857">
        <f t="shared" si="4"/>
        <v>0</v>
      </c>
      <c r="E138" s="907"/>
      <c r="F138" s="907"/>
      <c r="G138" s="907"/>
      <c r="H138" s="907"/>
      <c r="I138" s="907"/>
      <c r="J138" s="927"/>
      <c r="K138" s="927"/>
      <c r="L138" s="950"/>
      <c r="M138" s="950"/>
      <c r="N138" s="950"/>
      <c r="O138" s="950"/>
      <c r="P138" s="950"/>
      <c r="Q138" s="950"/>
    </row>
    <row r="139" spans="1:17" ht="25.5" x14ac:dyDescent="0.2">
      <c r="A139" s="907"/>
      <c r="B139" s="930" t="s">
        <v>3659</v>
      </c>
      <c r="C139" s="857">
        <f>G185</f>
        <v>0</v>
      </c>
      <c r="D139" s="857">
        <f t="shared" si="4"/>
        <v>0</v>
      </c>
      <c r="E139" s="907"/>
      <c r="F139" s="907"/>
      <c r="G139" s="907"/>
      <c r="H139" s="907"/>
      <c r="I139" s="907"/>
      <c r="J139" s="927"/>
      <c r="K139" s="927"/>
      <c r="L139" s="950"/>
      <c r="M139" s="950"/>
      <c r="N139" s="950"/>
      <c r="O139" s="950"/>
      <c r="P139" s="950"/>
      <c r="Q139" s="950"/>
    </row>
    <row r="140" spans="1:17" x14ac:dyDescent="0.2">
      <c r="A140" s="907"/>
      <c r="B140" s="930"/>
      <c r="C140" s="858"/>
      <c r="D140" s="858"/>
      <c r="E140" s="907"/>
      <c r="F140" s="907"/>
      <c r="G140" s="907"/>
      <c r="H140" s="907"/>
      <c r="I140" s="907"/>
      <c r="J140" s="927"/>
      <c r="K140" s="927"/>
      <c r="L140" s="950"/>
      <c r="M140" s="950"/>
      <c r="N140" s="950"/>
      <c r="O140" s="950"/>
      <c r="P140" s="950"/>
      <c r="Q140" s="950"/>
    </row>
    <row r="141" spans="1:17" ht="13.5" thickBot="1" x14ac:dyDescent="0.25">
      <c r="A141" s="907"/>
      <c r="B141" s="930"/>
      <c r="C141" s="859">
        <f>SUM(C103:C140)</f>
        <v>1958237</v>
      </c>
      <c r="D141" s="859">
        <f>SUM(D103:D140)</f>
        <v>1958237</v>
      </c>
      <c r="E141" s="907"/>
      <c r="F141" s="907"/>
      <c r="G141" s="907"/>
      <c r="H141" s="907"/>
      <c r="I141" s="907"/>
      <c r="J141" s="927"/>
      <c r="K141" s="927"/>
      <c r="L141" s="950"/>
      <c r="M141" s="950"/>
      <c r="N141" s="950"/>
      <c r="O141" s="950"/>
      <c r="P141" s="950"/>
      <c r="Q141" s="950"/>
    </row>
    <row r="142" spans="1:17" ht="13.5" thickTop="1" x14ac:dyDescent="0.2">
      <c r="A142" s="907"/>
      <c r="B142" s="907"/>
      <c r="C142" s="907"/>
      <c r="D142" s="907"/>
      <c r="E142" s="907"/>
      <c r="F142" s="907"/>
      <c r="G142" s="907"/>
      <c r="H142" s="907"/>
      <c r="I142" s="907"/>
      <c r="J142" s="927"/>
      <c r="K142" s="927"/>
      <c r="L142" s="950"/>
      <c r="M142" s="950"/>
      <c r="N142" s="950"/>
      <c r="O142" s="950"/>
      <c r="P142" s="950"/>
      <c r="Q142" s="950"/>
    </row>
    <row r="143" spans="1:17" x14ac:dyDescent="0.2">
      <c r="A143" s="907"/>
      <c r="B143" s="907"/>
      <c r="C143" s="907"/>
      <c r="D143" s="907"/>
      <c r="E143" s="907"/>
      <c r="F143" s="907"/>
      <c r="G143" s="907"/>
      <c r="H143" s="907"/>
      <c r="I143" s="907"/>
      <c r="J143" s="927"/>
      <c r="K143" s="927"/>
      <c r="L143" s="950"/>
      <c r="M143" s="950"/>
      <c r="N143" s="950"/>
      <c r="O143" s="950"/>
      <c r="P143" s="950"/>
      <c r="Q143" s="950"/>
    </row>
    <row r="144" spans="1:17" ht="23.25" customHeight="1" x14ac:dyDescent="0.2">
      <c r="A144" s="907"/>
      <c r="B144" s="931" t="s">
        <v>3616</v>
      </c>
      <c r="C144" s="931"/>
      <c r="D144" s="931"/>
      <c r="E144" s="931"/>
      <c r="F144" s="931"/>
      <c r="G144" s="931"/>
      <c r="H144" s="931"/>
      <c r="I144" s="907"/>
      <c r="J144" s="927"/>
      <c r="K144" s="927"/>
      <c r="L144" s="950"/>
      <c r="M144" s="950"/>
      <c r="N144" s="950"/>
      <c r="O144" s="950"/>
      <c r="P144" s="950"/>
      <c r="Q144" s="950"/>
    </row>
    <row r="145" spans="1:17" s="950" customFormat="1" ht="12.75" customHeight="1" x14ac:dyDescent="0.2">
      <c r="A145" s="927"/>
      <c r="B145" s="932"/>
      <c r="C145" s="932"/>
      <c r="D145" s="932"/>
      <c r="E145" s="932"/>
      <c r="F145" s="932"/>
      <c r="G145" s="932"/>
      <c r="H145" s="932"/>
      <c r="I145" s="927"/>
      <c r="J145" s="927"/>
      <c r="K145" s="1139"/>
    </row>
    <row r="146" spans="1:17" ht="18" x14ac:dyDescent="0.2">
      <c r="A146" s="907"/>
      <c r="C146" s="933"/>
      <c r="D146" s="934"/>
      <c r="E146" s="935"/>
      <c r="F146" s="932"/>
      <c r="G146" s="1604" t="s">
        <v>905</v>
      </c>
      <c r="H146" s="1605"/>
      <c r="I146" s="907"/>
      <c r="J146" s="927"/>
      <c r="K146" s="927"/>
      <c r="L146" s="950"/>
      <c r="M146" s="950"/>
      <c r="N146" s="950"/>
      <c r="O146" s="950"/>
      <c r="P146" s="950"/>
      <c r="Q146" s="950"/>
    </row>
    <row r="147" spans="1:17" x14ac:dyDescent="0.2">
      <c r="A147" s="907"/>
      <c r="B147" s="936"/>
      <c r="C147" s="766"/>
      <c r="D147" s="904"/>
      <c r="E147" s="937"/>
      <c r="F147" s="938"/>
      <c r="G147" s="939"/>
      <c r="H147" s="940"/>
      <c r="I147" s="907"/>
      <c r="J147" s="927"/>
      <c r="K147" s="927"/>
      <c r="L147" s="950"/>
      <c r="M147" s="950"/>
      <c r="N147" s="950"/>
      <c r="O147" s="950"/>
      <c r="P147" s="950"/>
      <c r="Q147" s="950"/>
    </row>
    <row r="148" spans="1:17" x14ac:dyDescent="0.2">
      <c r="A148" s="907"/>
      <c r="B148" s="936"/>
      <c r="C148" s="713" t="s">
        <v>510</v>
      </c>
      <c r="D148" s="905" t="s">
        <v>511</v>
      </c>
      <c r="E148" s="941" t="s">
        <v>2073</v>
      </c>
      <c r="F148" s="938"/>
      <c r="G148" s="942" t="s">
        <v>510</v>
      </c>
      <c r="H148" s="943" t="s">
        <v>511</v>
      </c>
      <c r="I148" s="907"/>
      <c r="J148" s="927"/>
      <c r="K148" s="927"/>
      <c r="L148" s="950"/>
      <c r="M148" s="950"/>
      <c r="N148" s="950"/>
      <c r="O148" s="950"/>
      <c r="P148" s="950"/>
      <c r="Q148" s="950"/>
    </row>
    <row r="149" spans="1:17" x14ac:dyDescent="0.2">
      <c r="A149" s="907"/>
      <c r="B149" s="952" t="s">
        <v>1095</v>
      </c>
      <c r="C149" s="770">
        <f>IF(D31-D33-D35&gt;0,(D31-D33-D35)*D11,0)+1</f>
        <v>1853958</v>
      </c>
      <c r="D149" s="851">
        <f>IF(D31-D33-D35&lt;0,-(D31-D33-D35)*D11,0)</f>
        <v>0</v>
      </c>
      <c r="E149" s="868">
        <f t="shared" ref="E149" si="5">C149-D149</f>
        <v>1853958</v>
      </c>
      <c r="F149" s="907"/>
      <c r="G149" s="869">
        <f t="shared" ref="G149" si="6">IF(E149&lt;0,0,E149)</f>
        <v>1853958</v>
      </c>
      <c r="H149" s="769">
        <f t="shared" ref="H149" si="7">IF(E149&gt;0,0,E149*-1)</f>
        <v>0</v>
      </c>
      <c r="I149" s="907"/>
      <c r="J149" s="927"/>
      <c r="K149" s="927"/>
      <c r="L149" s="950"/>
      <c r="M149" s="950"/>
      <c r="N149" s="950"/>
      <c r="O149" s="950"/>
      <c r="P149" s="950"/>
      <c r="Q149" s="950"/>
    </row>
    <row r="150" spans="1:17" x14ac:dyDescent="0.2">
      <c r="A150" s="907"/>
      <c r="B150" s="930" t="s">
        <v>4061</v>
      </c>
      <c r="C150" s="770">
        <f>IF(D32&lt;0,D32*D11,0)</f>
        <v>0</v>
      </c>
      <c r="D150" s="851">
        <f>IF(D32&gt;0,D32*D11,0)</f>
        <v>1400640</v>
      </c>
      <c r="E150" s="868">
        <f t="shared" ref="E150:E185" si="8">C150-D150</f>
        <v>-1400640</v>
      </c>
      <c r="F150" s="907"/>
      <c r="G150" s="869">
        <f t="shared" ref="G150:G177" si="9">IF(E150&lt;0,0,E150)</f>
        <v>0</v>
      </c>
      <c r="H150" s="769">
        <f>IF(E150&gt;0,0,E150*-1)</f>
        <v>1400640</v>
      </c>
      <c r="I150" s="907"/>
      <c r="J150" s="1002"/>
      <c r="K150" s="927"/>
      <c r="L150" s="950"/>
      <c r="M150" s="950"/>
      <c r="N150" s="950"/>
      <c r="O150" s="950"/>
      <c r="P150" s="950"/>
      <c r="Q150" s="950"/>
    </row>
    <row r="151" spans="1:17" x14ac:dyDescent="0.2">
      <c r="A151" s="907"/>
      <c r="B151" s="930" t="s">
        <v>4014</v>
      </c>
      <c r="C151" s="770">
        <f t="shared" ref="C151:C159" si="10">IF($D$34&gt;0,$D$34*D16,0)</f>
        <v>63429</v>
      </c>
      <c r="D151" s="851">
        <f t="shared" ref="D151:D159" si="11">IF($D$34&lt;0,-$D$34*D16,0)</f>
        <v>0</v>
      </c>
      <c r="E151" s="868">
        <f t="shared" si="8"/>
        <v>63429</v>
      </c>
      <c r="F151" s="907"/>
      <c r="G151" s="869">
        <f t="shared" si="9"/>
        <v>63429</v>
      </c>
      <c r="H151" s="769">
        <f>IF(E151&gt;0,0,E151*-1)</f>
        <v>0</v>
      </c>
      <c r="I151" s="994"/>
      <c r="J151" s="927"/>
      <c r="K151" s="927"/>
      <c r="L151" s="950"/>
      <c r="M151" s="950"/>
      <c r="N151" s="950"/>
      <c r="O151" s="950"/>
      <c r="P151" s="950"/>
      <c r="Q151" s="950"/>
    </row>
    <row r="152" spans="1:17" x14ac:dyDescent="0.2">
      <c r="A152" s="907"/>
      <c r="B152" s="930" t="s">
        <v>3956</v>
      </c>
      <c r="C152" s="770">
        <f t="shared" si="10"/>
        <v>0</v>
      </c>
      <c r="D152" s="851">
        <f t="shared" si="11"/>
        <v>0</v>
      </c>
      <c r="E152" s="868">
        <f t="shared" si="8"/>
        <v>0</v>
      </c>
      <c r="F152" s="907"/>
      <c r="G152" s="869">
        <f t="shared" si="9"/>
        <v>0</v>
      </c>
      <c r="H152" s="769">
        <f t="shared" ref="H152:H159" si="12">IF(E152&gt;0,0,E152*-1)</f>
        <v>0</v>
      </c>
      <c r="I152" s="907"/>
      <c r="J152" s="927"/>
      <c r="K152" s="927"/>
      <c r="L152" s="950"/>
      <c r="M152" s="950"/>
      <c r="N152" s="950"/>
      <c r="O152" s="950"/>
      <c r="P152" s="950"/>
      <c r="Q152" s="950"/>
    </row>
    <row r="153" spans="1:17" x14ac:dyDescent="0.2">
      <c r="A153" s="907"/>
      <c r="B153" s="930" t="s">
        <v>3957</v>
      </c>
      <c r="C153" s="770">
        <f t="shared" si="10"/>
        <v>0</v>
      </c>
      <c r="D153" s="851">
        <f t="shared" si="11"/>
        <v>0</v>
      </c>
      <c r="E153" s="868">
        <f t="shared" si="8"/>
        <v>0</v>
      </c>
      <c r="F153" s="907"/>
      <c r="G153" s="869">
        <f t="shared" si="9"/>
        <v>0</v>
      </c>
      <c r="H153" s="769">
        <f t="shared" si="12"/>
        <v>0</v>
      </c>
      <c r="I153" s="907"/>
      <c r="J153" s="927"/>
      <c r="K153" s="927"/>
      <c r="L153" s="950"/>
      <c r="M153" s="950"/>
      <c r="N153" s="950"/>
      <c r="O153" s="950"/>
      <c r="P153" s="950"/>
      <c r="Q153" s="950"/>
    </row>
    <row r="154" spans="1:17" x14ac:dyDescent="0.2">
      <c r="A154" s="907"/>
      <c r="B154" s="930" t="s">
        <v>3958</v>
      </c>
      <c r="C154" s="770">
        <f t="shared" si="10"/>
        <v>0</v>
      </c>
      <c r="D154" s="851">
        <f t="shared" si="11"/>
        <v>0</v>
      </c>
      <c r="E154" s="868">
        <f t="shared" si="8"/>
        <v>0</v>
      </c>
      <c r="F154" s="907"/>
      <c r="G154" s="869">
        <f t="shared" si="9"/>
        <v>0</v>
      </c>
      <c r="H154" s="769">
        <f t="shared" si="12"/>
        <v>0</v>
      </c>
      <c r="I154" s="907"/>
      <c r="J154" s="927"/>
      <c r="K154" s="927"/>
      <c r="L154" s="950"/>
      <c r="M154" s="950"/>
      <c r="N154" s="950"/>
      <c r="O154" s="950"/>
      <c r="P154" s="950"/>
      <c r="Q154" s="950"/>
    </row>
    <row r="155" spans="1:17" x14ac:dyDescent="0.2">
      <c r="A155" s="907"/>
      <c r="B155" s="930" t="s">
        <v>3959</v>
      </c>
      <c r="C155" s="770">
        <f t="shared" si="10"/>
        <v>0</v>
      </c>
      <c r="D155" s="851">
        <f t="shared" si="11"/>
        <v>0</v>
      </c>
      <c r="E155" s="868">
        <f t="shared" si="8"/>
        <v>0</v>
      </c>
      <c r="F155" s="907"/>
      <c r="G155" s="869">
        <f t="shared" si="9"/>
        <v>0</v>
      </c>
      <c r="H155" s="769">
        <f t="shared" si="12"/>
        <v>0</v>
      </c>
      <c r="I155" s="907"/>
      <c r="J155" s="927"/>
      <c r="K155" s="927"/>
      <c r="L155" s="950"/>
      <c r="M155" s="950"/>
      <c r="N155" s="950"/>
      <c r="O155" s="950"/>
      <c r="P155" s="950"/>
      <c r="Q155" s="950"/>
    </row>
    <row r="156" spans="1:17" x14ac:dyDescent="0.2">
      <c r="A156" s="907"/>
      <c r="B156" s="930" t="s">
        <v>4012</v>
      </c>
      <c r="C156" s="770">
        <f t="shared" si="10"/>
        <v>0</v>
      </c>
      <c r="D156" s="851">
        <f t="shared" si="11"/>
        <v>0</v>
      </c>
      <c r="E156" s="868">
        <f t="shared" si="8"/>
        <v>0</v>
      </c>
      <c r="F156" s="907"/>
      <c r="G156" s="869">
        <f t="shared" si="9"/>
        <v>0</v>
      </c>
      <c r="H156" s="769">
        <f t="shared" si="12"/>
        <v>0</v>
      </c>
      <c r="I156" s="907"/>
      <c r="J156" s="927"/>
      <c r="K156" s="927"/>
      <c r="L156" s="950"/>
      <c r="M156" s="950"/>
      <c r="N156" s="950"/>
      <c r="O156" s="950"/>
      <c r="P156" s="950"/>
      <c r="Q156" s="950"/>
    </row>
    <row r="157" spans="1:17" x14ac:dyDescent="0.2">
      <c r="A157" s="907"/>
      <c r="B157" s="930" t="s">
        <v>3960</v>
      </c>
      <c r="C157" s="770">
        <f t="shared" si="10"/>
        <v>0</v>
      </c>
      <c r="D157" s="851">
        <f t="shared" si="11"/>
        <v>0</v>
      </c>
      <c r="E157" s="868">
        <f t="shared" si="8"/>
        <v>0</v>
      </c>
      <c r="F157" s="907"/>
      <c r="G157" s="869">
        <f t="shared" si="9"/>
        <v>0</v>
      </c>
      <c r="H157" s="769">
        <f t="shared" si="12"/>
        <v>0</v>
      </c>
      <c r="I157" s="907"/>
      <c r="J157" s="927"/>
      <c r="K157" s="927"/>
      <c r="L157" s="950"/>
      <c r="M157" s="950"/>
      <c r="N157" s="950"/>
      <c r="O157" s="950"/>
      <c r="P157" s="950"/>
      <c r="Q157" s="950"/>
    </row>
    <row r="158" spans="1:17" x14ac:dyDescent="0.2">
      <c r="A158" s="907"/>
      <c r="B158" s="930" t="s">
        <v>3961</v>
      </c>
      <c r="C158" s="770">
        <f t="shared" si="10"/>
        <v>0</v>
      </c>
      <c r="D158" s="851">
        <f t="shared" si="11"/>
        <v>0</v>
      </c>
      <c r="E158" s="868">
        <f t="shared" si="8"/>
        <v>0</v>
      </c>
      <c r="F158" s="907"/>
      <c r="G158" s="869">
        <f t="shared" si="9"/>
        <v>0</v>
      </c>
      <c r="H158" s="769">
        <f t="shared" si="12"/>
        <v>0</v>
      </c>
      <c r="I158" s="907"/>
      <c r="J158" s="927"/>
      <c r="K158" s="927"/>
      <c r="L158" s="950"/>
      <c r="M158" s="950"/>
      <c r="N158" s="950"/>
      <c r="O158" s="950"/>
      <c r="P158" s="950"/>
      <c r="Q158" s="950"/>
    </row>
    <row r="159" spans="1:17" x14ac:dyDescent="0.2">
      <c r="A159" s="907"/>
      <c r="B159" s="930" t="s">
        <v>3962</v>
      </c>
      <c r="C159" s="770">
        <f t="shared" si="10"/>
        <v>0</v>
      </c>
      <c r="D159" s="851">
        <f t="shared" si="11"/>
        <v>0</v>
      </c>
      <c r="E159" s="868">
        <f t="shared" si="8"/>
        <v>0</v>
      </c>
      <c r="F159" s="907"/>
      <c r="G159" s="869">
        <f t="shared" si="9"/>
        <v>0</v>
      </c>
      <c r="H159" s="769">
        <f t="shared" si="12"/>
        <v>0</v>
      </c>
      <c r="I159" s="907"/>
      <c r="J159" s="927"/>
      <c r="K159" s="927"/>
      <c r="L159" s="950"/>
      <c r="M159" s="950"/>
      <c r="N159" s="950"/>
      <c r="O159" s="950"/>
      <c r="P159" s="950"/>
      <c r="Q159" s="950"/>
    </row>
    <row r="160" spans="1:17" x14ac:dyDescent="0.2">
      <c r="A160" s="907"/>
      <c r="B160" s="927" t="s">
        <v>4030</v>
      </c>
      <c r="C160" s="770">
        <f t="shared" ref="C160:C168" si="13">IF($D$46&lt;0,-$D$46*D16,0)</f>
        <v>0</v>
      </c>
      <c r="D160" s="851">
        <f t="shared" ref="D160:D168" si="14">IF($D$46&gt;0,$D$46*$D16,0)</f>
        <v>40850</v>
      </c>
      <c r="E160" s="868">
        <f t="shared" si="8"/>
        <v>-40850</v>
      </c>
      <c r="F160" s="907"/>
      <c r="G160" s="869">
        <f t="shared" si="9"/>
        <v>0</v>
      </c>
      <c r="H160" s="851">
        <f>IF(E160&gt;0,0,-E160)</f>
        <v>40850</v>
      </c>
      <c r="I160" s="907"/>
      <c r="J160" s="927"/>
      <c r="K160" s="927"/>
      <c r="L160" s="950"/>
      <c r="M160" s="950"/>
      <c r="N160" s="950"/>
      <c r="O160" s="950"/>
      <c r="P160" s="950"/>
      <c r="Q160" s="950"/>
    </row>
    <row r="161" spans="1:17" x14ac:dyDescent="0.2">
      <c r="A161" s="907"/>
      <c r="B161" s="907" t="s">
        <v>4031</v>
      </c>
      <c r="C161" s="770">
        <f t="shared" si="13"/>
        <v>0</v>
      </c>
      <c r="D161" s="851">
        <f t="shared" si="14"/>
        <v>0</v>
      </c>
      <c r="E161" s="868">
        <f t="shared" si="8"/>
        <v>0</v>
      </c>
      <c r="F161" s="907"/>
      <c r="G161" s="869">
        <f t="shared" si="9"/>
        <v>0</v>
      </c>
      <c r="H161" s="851">
        <f t="shared" ref="H161:H185" si="15">IF(E161&gt;0,0,-E161)</f>
        <v>0</v>
      </c>
      <c r="I161" s="907"/>
      <c r="J161" s="927"/>
      <c r="K161" s="927"/>
      <c r="L161" s="950"/>
      <c r="M161" s="950"/>
      <c r="N161" s="950"/>
      <c r="O161" s="950"/>
      <c r="P161" s="950"/>
      <c r="Q161" s="950"/>
    </row>
    <row r="162" spans="1:17" x14ac:dyDescent="0.2">
      <c r="A162" s="907"/>
      <c r="B162" s="907" t="s">
        <v>4032</v>
      </c>
      <c r="C162" s="770">
        <f t="shared" si="13"/>
        <v>0</v>
      </c>
      <c r="D162" s="851">
        <f t="shared" si="14"/>
        <v>0</v>
      </c>
      <c r="E162" s="868">
        <f t="shared" si="8"/>
        <v>0</v>
      </c>
      <c r="F162" s="907"/>
      <c r="G162" s="869">
        <f t="shared" si="9"/>
        <v>0</v>
      </c>
      <c r="H162" s="851">
        <f t="shared" si="15"/>
        <v>0</v>
      </c>
      <c r="I162" s="907"/>
      <c r="J162" s="927"/>
      <c r="K162" s="927"/>
      <c r="L162" s="950"/>
      <c r="M162" s="950"/>
      <c r="N162" s="950"/>
      <c r="O162" s="950"/>
      <c r="P162" s="950"/>
      <c r="Q162" s="950"/>
    </row>
    <row r="163" spans="1:17" x14ac:dyDescent="0.2">
      <c r="A163" s="907"/>
      <c r="B163" s="907" t="s">
        <v>4033</v>
      </c>
      <c r="C163" s="770">
        <f t="shared" si="13"/>
        <v>0</v>
      </c>
      <c r="D163" s="851">
        <f t="shared" si="14"/>
        <v>0</v>
      </c>
      <c r="E163" s="868">
        <f t="shared" si="8"/>
        <v>0</v>
      </c>
      <c r="F163" s="907"/>
      <c r="G163" s="869">
        <f t="shared" si="9"/>
        <v>0</v>
      </c>
      <c r="H163" s="851">
        <f t="shared" si="15"/>
        <v>0</v>
      </c>
      <c r="I163" s="907"/>
      <c r="J163" s="927"/>
      <c r="K163" s="927"/>
      <c r="L163" s="950"/>
      <c r="M163" s="950"/>
      <c r="N163" s="950"/>
      <c r="O163" s="950"/>
      <c r="P163" s="950"/>
      <c r="Q163" s="950"/>
    </row>
    <row r="164" spans="1:17" x14ac:dyDescent="0.2">
      <c r="A164" s="907"/>
      <c r="B164" s="907" t="s">
        <v>4034</v>
      </c>
      <c r="C164" s="770">
        <f t="shared" si="13"/>
        <v>0</v>
      </c>
      <c r="D164" s="851">
        <f t="shared" si="14"/>
        <v>0</v>
      </c>
      <c r="E164" s="868">
        <f t="shared" si="8"/>
        <v>0</v>
      </c>
      <c r="F164" s="907"/>
      <c r="G164" s="869">
        <f t="shared" si="9"/>
        <v>0</v>
      </c>
      <c r="H164" s="851">
        <f t="shared" si="15"/>
        <v>0</v>
      </c>
      <c r="I164" s="907"/>
      <c r="J164" s="927"/>
      <c r="K164" s="927"/>
      <c r="L164" s="950"/>
      <c r="M164" s="950"/>
      <c r="N164" s="950"/>
      <c r="O164" s="950"/>
      <c r="P164" s="950"/>
      <c r="Q164" s="950"/>
    </row>
    <row r="165" spans="1:17" x14ac:dyDescent="0.2">
      <c r="A165" s="907"/>
      <c r="B165" s="907" t="s">
        <v>4035</v>
      </c>
      <c r="C165" s="770">
        <f t="shared" si="13"/>
        <v>0</v>
      </c>
      <c r="D165" s="851">
        <f t="shared" si="14"/>
        <v>0</v>
      </c>
      <c r="E165" s="868">
        <f t="shared" si="8"/>
        <v>0</v>
      </c>
      <c r="F165" s="907"/>
      <c r="G165" s="869">
        <f t="shared" si="9"/>
        <v>0</v>
      </c>
      <c r="H165" s="851">
        <f t="shared" si="15"/>
        <v>0</v>
      </c>
      <c r="I165" s="907"/>
      <c r="J165" s="927"/>
      <c r="K165" s="927"/>
      <c r="L165" s="950"/>
      <c r="M165" s="950"/>
      <c r="N165" s="950"/>
      <c r="O165" s="950"/>
      <c r="P165" s="950"/>
      <c r="Q165" s="950"/>
    </row>
    <row r="166" spans="1:17" x14ac:dyDescent="0.2">
      <c r="A166" s="907"/>
      <c r="B166" s="907" t="s">
        <v>4036</v>
      </c>
      <c r="C166" s="770">
        <f t="shared" si="13"/>
        <v>0</v>
      </c>
      <c r="D166" s="851">
        <f t="shared" si="14"/>
        <v>0</v>
      </c>
      <c r="E166" s="868">
        <f t="shared" si="8"/>
        <v>0</v>
      </c>
      <c r="F166" s="907"/>
      <c r="G166" s="869">
        <f t="shared" si="9"/>
        <v>0</v>
      </c>
      <c r="H166" s="851">
        <f t="shared" si="15"/>
        <v>0</v>
      </c>
      <c r="I166" s="907"/>
      <c r="J166" s="927"/>
      <c r="K166" s="927"/>
      <c r="L166" s="950"/>
      <c r="M166" s="950"/>
      <c r="N166" s="950"/>
      <c r="O166" s="950"/>
      <c r="P166" s="950"/>
      <c r="Q166" s="950"/>
    </row>
    <row r="167" spans="1:17" x14ac:dyDescent="0.2">
      <c r="A167" s="907"/>
      <c r="B167" s="907" t="s">
        <v>4037</v>
      </c>
      <c r="C167" s="770">
        <f t="shared" si="13"/>
        <v>0</v>
      </c>
      <c r="D167" s="851">
        <f t="shared" si="14"/>
        <v>0</v>
      </c>
      <c r="E167" s="868">
        <f t="shared" si="8"/>
        <v>0</v>
      </c>
      <c r="F167" s="907"/>
      <c r="G167" s="869">
        <f t="shared" si="9"/>
        <v>0</v>
      </c>
      <c r="H167" s="851">
        <f t="shared" si="15"/>
        <v>0</v>
      </c>
      <c r="I167" s="907"/>
      <c r="J167" s="927"/>
      <c r="K167" s="927"/>
      <c r="L167" s="950"/>
      <c r="M167" s="950"/>
      <c r="N167" s="950"/>
      <c r="O167" s="950"/>
      <c r="P167" s="950"/>
      <c r="Q167" s="950"/>
    </row>
    <row r="168" spans="1:17" x14ac:dyDescent="0.2">
      <c r="A168" s="907"/>
      <c r="B168" s="907" t="s">
        <v>4038</v>
      </c>
      <c r="C168" s="770">
        <f t="shared" si="13"/>
        <v>0</v>
      </c>
      <c r="D168" s="851">
        <f t="shared" si="14"/>
        <v>0</v>
      </c>
      <c r="E168" s="868">
        <f t="shared" si="8"/>
        <v>0</v>
      </c>
      <c r="F168" s="907"/>
      <c r="G168" s="869">
        <f t="shared" si="9"/>
        <v>0</v>
      </c>
      <c r="H168" s="851">
        <f t="shared" si="15"/>
        <v>0</v>
      </c>
      <c r="I168" s="907"/>
      <c r="J168" s="927"/>
      <c r="K168" s="927"/>
      <c r="L168" s="950"/>
      <c r="M168" s="950"/>
      <c r="N168" s="950"/>
      <c r="O168" s="950"/>
      <c r="P168" s="950"/>
      <c r="Q168" s="950"/>
    </row>
    <row r="169" spans="1:17" x14ac:dyDescent="0.2">
      <c r="A169" s="907"/>
      <c r="B169" s="927" t="s">
        <v>3639</v>
      </c>
      <c r="C169" s="770">
        <f>IF($D$48&lt;0,-$D$48,0)</f>
        <v>0</v>
      </c>
      <c r="D169" s="851">
        <f t="shared" ref="D169:D177" si="16">IF($D$48&gt;0,$D$48*$D16,0)</f>
        <v>0</v>
      </c>
      <c r="E169" s="868">
        <f t="shared" si="8"/>
        <v>0</v>
      </c>
      <c r="F169" s="907"/>
      <c r="G169" s="869">
        <f t="shared" si="9"/>
        <v>0</v>
      </c>
      <c r="H169" s="851">
        <f t="shared" si="15"/>
        <v>0</v>
      </c>
      <c r="I169" s="907"/>
      <c r="J169" s="927"/>
      <c r="K169" s="927"/>
      <c r="L169" s="950"/>
      <c r="M169" s="950"/>
      <c r="N169" s="950"/>
      <c r="O169" s="950"/>
      <c r="P169" s="950"/>
      <c r="Q169" s="950"/>
    </row>
    <row r="170" spans="1:17" x14ac:dyDescent="0.2">
      <c r="A170" s="907"/>
      <c r="B170" s="927" t="s">
        <v>3640</v>
      </c>
      <c r="C170" s="770">
        <f t="shared" ref="C170:C177" si="17">IF($D$48&lt;0,-$D$48,0)</f>
        <v>0</v>
      </c>
      <c r="D170" s="851">
        <f t="shared" si="16"/>
        <v>0</v>
      </c>
      <c r="E170" s="868">
        <f t="shared" si="8"/>
        <v>0</v>
      </c>
      <c r="F170" s="907"/>
      <c r="G170" s="869">
        <f t="shared" si="9"/>
        <v>0</v>
      </c>
      <c r="H170" s="851">
        <f t="shared" si="15"/>
        <v>0</v>
      </c>
      <c r="I170" s="907"/>
      <c r="J170" s="927"/>
      <c r="K170" s="927"/>
      <c r="L170" s="950"/>
      <c r="M170" s="950"/>
      <c r="N170" s="950"/>
      <c r="O170" s="950"/>
      <c r="P170" s="950"/>
      <c r="Q170" s="950"/>
    </row>
    <row r="171" spans="1:17" x14ac:dyDescent="0.2">
      <c r="A171" s="907"/>
      <c r="B171" s="927" t="s">
        <v>3641</v>
      </c>
      <c r="C171" s="770">
        <f t="shared" si="17"/>
        <v>0</v>
      </c>
      <c r="D171" s="851">
        <f t="shared" si="16"/>
        <v>0</v>
      </c>
      <c r="E171" s="868">
        <f t="shared" si="8"/>
        <v>0</v>
      </c>
      <c r="F171" s="907"/>
      <c r="G171" s="869">
        <f t="shared" si="9"/>
        <v>0</v>
      </c>
      <c r="H171" s="851">
        <f t="shared" si="15"/>
        <v>0</v>
      </c>
      <c r="I171" s="907"/>
      <c r="J171" s="927"/>
      <c r="K171" s="927"/>
      <c r="L171" s="950"/>
      <c r="M171" s="950"/>
      <c r="N171" s="950"/>
      <c r="O171" s="950"/>
      <c r="P171" s="950"/>
      <c r="Q171" s="950"/>
    </row>
    <row r="172" spans="1:17" x14ac:dyDescent="0.2">
      <c r="A172" s="907"/>
      <c r="B172" s="927" t="s">
        <v>3642</v>
      </c>
      <c r="C172" s="770">
        <f t="shared" si="17"/>
        <v>0</v>
      </c>
      <c r="D172" s="851">
        <f t="shared" si="16"/>
        <v>0</v>
      </c>
      <c r="E172" s="868">
        <f t="shared" si="8"/>
        <v>0</v>
      </c>
      <c r="F172" s="907"/>
      <c r="G172" s="869">
        <f t="shared" si="9"/>
        <v>0</v>
      </c>
      <c r="H172" s="851">
        <f t="shared" si="15"/>
        <v>0</v>
      </c>
      <c r="I172" s="907"/>
      <c r="J172" s="927"/>
      <c r="K172" s="927"/>
      <c r="L172" s="950"/>
      <c r="M172" s="950"/>
      <c r="N172" s="950"/>
      <c r="O172" s="950"/>
      <c r="P172" s="950"/>
      <c r="Q172" s="950"/>
    </row>
    <row r="173" spans="1:17" x14ac:dyDescent="0.2">
      <c r="A173" s="907"/>
      <c r="B173" s="927" t="s">
        <v>3643</v>
      </c>
      <c r="C173" s="770">
        <f t="shared" si="17"/>
        <v>0</v>
      </c>
      <c r="D173" s="851">
        <f t="shared" si="16"/>
        <v>0</v>
      </c>
      <c r="E173" s="868">
        <f t="shared" si="8"/>
        <v>0</v>
      </c>
      <c r="F173" s="907"/>
      <c r="G173" s="869">
        <f t="shared" si="9"/>
        <v>0</v>
      </c>
      <c r="H173" s="851">
        <f t="shared" si="15"/>
        <v>0</v>
      </c>
      <c r="I173" s="907"/>
      <c r="J173" s="927"/>
      <c r="K173" s="927"/>
      <c r="L173" s="950"/>
      <c r="M173" s="950"/>
      <c r="N173" s="950"/>
      <c r="O173" s="950"/>
      <c r="P173" s="950"/>
      <c r="Q173" s="950"/>
    </row>
    <row r="174" spans="1:17" x14ac:dyDescent="0.2">
      <c r="A174" s="907"/>
      <c r="B174" s="927" t="s">
        <v>3644</v>
      </c>
      <c r="C174" s="770">
        <f t="shared" si="17"/>
        <v>0</v>
      </c>
      <c r="D174" s="851">
        <f t="shared" si="16"/>
        <v>0</v>
      </c>
      <c r="E174" s="868">
        <f t="shared" si="8"/>
        <v>0</v>
      </c>
      <c r="F174" s="907"/>
      <c r="G174" s="869">
        <f t="shared" si="9"/>
        <v>0</v>
      </c>
      <c r="H174" s="851">
        <f t="shared" si="15"/>
        <v>0</v>
      </c>
      <c r="I174" s="907"/>
      <c r="J174" s="927"/>
      <c r="K174" s="927"/>
      <c r="L174" s="950"/>
      <c r="M174" s="950"/>
      <c r="N174" s="950"/>
      <c r="O174" s="950"/>
      <c r="P174" s="950"/>
      <c r="Q174" s="950"/>
    </row>
    <row r="175" spans="1:17" x14ac:dyDescent="0.2">
      <c r="A175" s="907"/>
      <c r="B175" s="927" t="s">
        <v>4013</v>
      </c>
      <c r="C175" s="770">
        <f t="shared" si="17"/>
        <v>0</v>
      </c>
      <c r="D175" s="851">
        <f t="shared" si="16"/>
        <v>0</v>
      </c>
      <c r="E175" s="868">
        <f t="shared" si="8"/>
        <v>0</v>
      </c>
      <c r="F175" s="907"/>
      <c r="G175" s="869">
        <f t="shared" si="9"/>
        <v>0</v>
      </c>
      <c r="H175" s="851">
        <f t="shared" si="15"/>
        <v>0</v>
      </c>
      <c r="I175" s="907"/>
      <c r="J175" s="927"/>
      <c r="K175" s="927"/>
      <c r="L175" s="950"/>
      <c r="M175" s="950"/>
      <c r="N175" s="950"/>
      <c r="O175" s="950"/>
      <c r="P175" s="950"/>
      <c r="Q175" s="950"/>
    </row>
    <row r="176" spans="1:17" x14ac:dyDescent="0.2">
      <c r="A176" s="907"/>
      <c r="B176" s="927" t="s">
        <v>3976</v>
      </c>
      <c r="C176" s="770">
        <f t="shared" si="17"/>
        <v>0</v>
      </c>
      <c r="D176" s="851">
        <f t="shared" si="16"/>
        <v>0</v>
      </c>
      <c r="E176" s="868">
        <f t="shared" si="8"/>
        <v>0</v>
      </c>
      <c r="F176" s="907"/>
      <c r="G176" s="869">
        <f t="shared" si="9"/>
        <v>0</v>
      </c>
      <c r="H176" s="851">
        <f t="shared" si="15"/>
        <v>0</v>
      </c>
      <c r="I176" s="927"/>
      <c r="J176" s="907"/>
      <c r="K176" s="907"/>
    </row>
    <row r="177" spans="1:11" x14ac:dyDescent="0.2">
      <c r="A177" s="907"/>
      <c r="B177" s="927" t="s">
        <v>3647</v>
      </c>
      <c r="C177" s="770">
        <f t="shared" si="17"/>
        <v>0</v>
      </c>
      <c r="D177" s="851">
        <f t="shared" si="16"/>
        <v>0</v>
      </c>
      <c r="E177" s="868">
        <f t="shared" si="8"/>
        <v>0</v>
      </c>
      <c r="F177" s="907"/>
      <c r="G177" s="869">
        <f t="shared" si="9"/>
        <v>0</v>
      </c>
      <c r="H177" s="851">
        <f t="shared" si="15"/>
        <v>0</v>
      </c>
      <c r="I177" s="927"/>
      <c r="J177" s="907"/>
      <c r="K177" s="907"/>
    </row>
    <row r="178" spans="1:11" x14ac:dyDescent="0.2">
      <c r="A178" s="907"/>
      <c r="B178" s="930" t="s">
        <v>3574</v>
      </c>
      <c r="C178" s="770">
        <f>IF(D36&gt;0,D36*D25,0)</f>
        <v>0</v>
      </c>
      <c r="D178" s="851">
        <v>0</v>
      </c>
      <c r="E178" s="868">
        <f t="shared" si="8"/>
        <v>0</v>
      </c>
      <c r="F178" s="907"/>
      <c r="G178" s="869">
        <f t="shared" ref="G178:G185" si="18">IF(E178&lt;0,0,E178)</f>
        <v>0</v>
      </c>
      <c r="H178" s="851">
        <f t="shared" si="15"/>
        <v>0</v>
      </c>
      <c r="I178" s="995"/>
      <c r="J178" s="907"/>
      <c r="K178" s="907"/>
    </row>
    <row r="179" spans="1:11" x14ac:dyDescent="0.2">
      <c r="A179" s="907"/>
      <c r="B179" s="930" t="s">
        <v>3575</v>
      </c>
      <c r="C179" s="770">
        <f>IF(D37&gt;0,D37*D25,0)</f>
        <v>0</v>
      </c>
      <c r="D179" s="851">
        <v>0</v>
      </c>
      <c r="E179" s="868">
        <f t="shared" si="8"/>
        <v>0</v>
      </c>
      <c r="F179" s="907"/>
      <c r="G179" s="869">
        <f t="shared" si="18"/>
        <v>0</v>
      </c>
      <c r="H179" s="851">
        <f t="shared" si="15"/>
        <v>0</v>
      </c>
      <c r="I179" s="995"/>
      <c r="J179" s="907"/>
      <c r="K179" s="907"/>
    </row>
    <row r="180" spans="1:11" ht="25.5" x14ac:dyDescent="0.2">
      <c r="A180" s="907"/>
      <c r="B180" s="930" t="s">
        <v>3653</v>
      </c>
      <c r="C180" s="770">
        <f>IF(D38&gt;0,D38,0)</f>
        <v>0</v>
      </c>
      <c r="D180" s="851">
        <v>0</v>
      </c>
      <c r="E180" s="868">
        <f t="shared" si="8"/>
        <v>0</v>
      </c>
      <c r="F180" s="907"/>
      <c r="G180" s="869">
        <f t="shared" si="18"/>
        <v>0</v>
      </c>
      <c r="H180" s="851">
        <f t="shared" si="15"/>
        <v>0</v>
      </c>
      <c r="I180" s="907"/>
      <c r="J180" s="907"/>
      <c r="K180" s="907"/>
    </row>
    <row r="181" spans="1:11" x14ac:dyDescent="0.2">
      <c r="A181" s="907"/>
      <c r="B181" s="930" t="s">
        <v>3577</v>
      </c>
      <c r="C181" s="770">
        <v>0</v>
      </c>
      <c r="D181" s="851">
        <f>IF(D36&lt;0,-D36,0)*D25</f>
        <v>130496</v>
      </c>
      <c r="E181" s="868">
        <f t="shared" si="8"/>
        <v>-130496</v>
      </c>
      <c r="F181" s="907"/>
      <c r="G181" s="869">
        <f t="shared" si="18"/>
        <v>0</v>
      </c>
      <c r="H181" s="851">
        <f t="shared" si="15"/>
        <v>130496</v>
      </c>
      <c r="I181" s="907"/>
      <c r="J181" s="907"/>
      <c r="K181" s="907"/>
    </row>
    <row r="182" spans="1:11" x14ac:dyDescent="0.2">
      <c r="A182" s="907"/>
      <c r="B182" s="930" t="s">
        <v>3579</v>
      </c>
      <c r="C182" s="770">
        <v>0</v>
      </c>
      <c r="D182" s="851">
        <f>IF(D37&lt;0,-D37,0)*D25</f>
        <v>385730</v>
      </c>
      <c r="E182" s="868">
        <f t="shared" si="8"/>
        <v>-385730</v>
      </c>
      <c r="F182" s="907"/>
      <c r="G182" s="869">
        <f t="shared" si="18"/>
        <v>0</v>
      </c>
      <c r="H182" s="851">
        <f t="shared" si="15"/>
        <v>385730</v>
      </c>
      <c r="I182" s="907"/>
      <c r="J182" s="907"/>
      <c r="K182" s="907"/>
    </row>
    <row r="183" spans="1:11" ht="25.5" x14ac:dyDescent="0.2">
      <c r="A183" s="907"/>
      <c r="B183" s="930" t="s">
        <v>3654</v>
      </c>
      <c r="C183" s="770">
        <v>0</v>
      </c>
      <c r="D183" s="851">
        <f>IF(D38&lt;0,-D38,)*D25</f>
        <v>521</v>
      </c>
      <c r="E183" s="868">
        <f t="shared" si="8"/>
        <v>-521</v>
      </c>
      <c r="F183" s="907"/>
      <c r="G183" s="869">
        <f t="shared" si="18"/>
        <v>0</v>
      </c>
      <c r="H183" s="851">
        <f t="shared" si="15"/>
        <v>521</v>
      </c>
      <c r="I183" s="907"/>
      <c r="J183" s="907"/>
      <c r="K183" s="907"/>
    </row>
    <row r="184" spans="1:11" ht="25.5" x14ac:dyDescent="0.2">
      <c r="A184" s="907"/>
      <c r="B184" s="930" t="s">
        <v>4063</v>
      </c>
      <c r="C184" s="770">
        <f>IF(D46&gt;0,D46*D25,0)</f>
        <v>40850</v>
      </c>
      <c r="D184" s="851">
        <f>IF(D46&lt;0,D46*D25,0)</f>
        <v>0</v>
      </c>
      <c r="E184" s="868">
        <f t="shared" si="8"/>
        <v>40850</v>
      </c>
      <c r="F184" s="907"/>
      <c r="G184" s="869">
        <f t="shared" si="18"/>
        <v>40850</v>
      </c>
      <c r="H184" s="851">
        <f t="shared" si="15"/>
        <v>0</v>
      </c>
      <c r="I184" s="907"/>
      <c r="J184" s="907"/>
      <c r="K184" s="907"/>
    </row>
    <row r="185" spans="1:11" ht="25.5" x14ac:dyDescent="0.2">
      <c r="A185" s="907"/>
      <c r="B185" s="930" t="s">
        <v>3659</v>
      </c>
      <c r="C185" s="770">
        <f>IF(D48&gt;0,D48*D25,0)</f>
        <v>0</v>
      </c>
      <c r="D185" s="851">
        <f>IF(D48&lt;0,D48*D25,0)</f>
        <v>0</v>
      </c>
      <c r="E185" s="868">
        <f t="shared" si="8"/>
        <v>0</v>
      </c>
      <c r="F185" s="907"/>
      <c r="G185" s="869">
        <f t="shared" si="18"/>
        <v>0</v>
      </c>
      <c r="H185" s="851">
        <f t="shared" si="15"/>
        <v>0</v>
      </c>
      <c r="I185" s="907"/>
      <c r="J185" s="907"/>
      <c r="K185" s="907"/>
    </row>
    <row r="186" spans="1:11" x14ac:dyDescent="0.2">
      <c r="A186" s="907"/>
      <c r="B186" s="907"/>
      <c r="C186" s="944">
        <f>SUM(C149:C185)</f>
        <v>1958237</v>
      </c>
      <c r="D186" s="945">
        <f>SUM(D149:D185)</f>
        <v>1958237</v>
      </c>
      <c r="E186" s="872">
        <f>SUM(E148:E185)</f>
        <v>0</v>
      </c>
      <c r="F186" s="938"/>
      <c r="G186" s="944">
        <f>SUM(G148:G185)</f>
        <v>1958237</v>
      </c>
      <c r="H186" s="945">
        <f>SUM(H148:H185)</f>
        <v>1958237</v>
      </c>
      <c r="I186" s="907"/>
      <c r="J186" s="907"/>
      <c r="K186" s="907"/>
    </row>
    <row r="187" spans="1:11" x14ac:dyDescent="0.2">
      <c r="A187" s="907"/>
      <c r="B187" s="907"/>
      <c r="C187" s="907"/>
      <c r="D187" s="907"/>
      <c r="E187" s="907"/>
      <c r="F187" s="907"/>
      <c r="G187" s="907"/>
      <c r="H187" s="907"/>
      <c r="I187" s="907"/>
      <c r="J187" s="907"/>
      <c r="K187" s="907"/>
    </row>
    <row r="188" spans="1:11" x14ac:dyDescent="0.2">
      <c r="B188" s="922"/>
      <c r="C188" s="923"/>
      <c r="D188" s="922"/>
    </row>
    <row r="189" spans="1:11" x14ac:dyDescent="0.2">
      <c r="B189" s="923"/>
      <c r="C189" s="923"/>
      <c r="G189" s="922"/>
    </row>
    <row r="191" spans="1:11" x14ac:dyDescent="0.2">
      <c r="C191" s="923"/>
      <c r="D191" s="923"/>
    </row>
  </sheetData>
  <sheetProtection algorithmName="SHA-512" hashValue="ghXQYKJlYd36TrtPoGbAh6a95lcJENllranlYjpW10EJFDTWyK61LrTmCiBZV/ZbrRiHX1GZZ4ke6ty/NR72vA==" saltValue="6qLACRUpuUexNQ2pAcOeoQ==" spinCount="100000" sheet="1" objects="1" scenarios="1"/>
  <customSheetViews>
    <customSheetView guid="{C1197650-3ED8-49E4-8E4C-0D1D4B503FC0}" scale="90" fitToPage="1" hiddenRows="1">
      <selection activeCell="I109" sqref="I109"/>
      <pageMargins left="0.25" right="0.25" top="0.75" bottom="0.75" header="0.3" footer="0.3"/>
      <pageSetup scale="25" orientation="landscape" r:id="rId1"/>
    </customSheetView>
    <customSheetView guid="{D2B860EA-92EC-4999-9A59-C624E1F8C7FB}" scale="90" fitToPage="1" hiddenRows="1">
      <selection activeCell="I109" sqref="I109"/>
      <pageMargins left="0.25" right="0.25" top="0.75" bottom="0.75" header="0.3" footer="0.3"/>
      <pageSetup scale="25" orientation="landscape" r:id="rId2"/>
    </customSheetView>
  </customSheetViews>
  <mergeCells count="18">
    <mergeCell ref="A1:C1"/>
    <mergeCell ref="A4:C4"/>
    <mergeCell ref="B7:L7"/>
    <mergeCell ref="B28:E28"/>
    <mergeCell ref="B36:C36"/>
    <mergeCell ref="F36:K36"/>
    <mergeCell ref="B41:C41"/>
    <mergeCell ref="B46:C46"/>
    <mergeCell ref="B48:C48"/>
    <mergeCell ref="G146:H146"/>
    <mergeCell ref="B37:C37"/>
    <mergeCell ref="F37:K37"/>
    <mergeCell ref="B38:C38"/>
    <mergeCell ref="B39:C39"/>
    <mergeCell ref="F39:K39"/>
    <mergeCell ref="B40:C40"/>
    <mergeCell ref="F40:K40"/>
    <mergeCell ref="F41:K41"/>
  </mergeCells>
  <conditionalFormatting sqref="M53:M55 M34:M42">
    <cfRule type="expression" dxfId="17" priority="6">
      <formula>#REF!=2</formula>
    </cfRule>
  </conditionalFormatting>
  <conditionalFormatting sqref="M43">
    <cfRule type="expression" dxfId="16" priority="5">
      <formula>#REF!=2</formula>
    </cfRule>
  </conditionalFormatting>
  <conditionalFormatting sqref="M44">
    <cfRule type="expression" dxfId="15" priority="4">
      <formula>#REF!=2</formula>
    </cfRule>
  </conditionalFormatting>
  <conditionalFormatting sqref="M45 M47:M50">
    <cfRule type="expression" dxfId="14" priority="3">
      <formula>#REF!=2</formula>
    </cfRule>
  </conditionalFormatting>
  <conditionalFormatting sqref="M51">
    <cfRule type="expression" dxfId="13" priority="2">
      <formula>#REF!=2</formula>
    </cfRule>
  </conditionalFormatting>
  <conditionalFormatting sqref="M52">
    <cfRule type="expression" dxfId="12" priority="1">
      <formula>#REF!=2</formula>
    </cfRule>
  </conditionalFormatting>
  <pageMargins left="0.25" right="0.25" top="0.75" bottom="0.75" header="0.3" footer="0.3"/>
  <pageSetup scale="25" orientation="landscape"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Q191"/>
  <sheetViews>
    <sheetView workbookViewId="0">
      <selection sqref="A1:C1"/>
    </sheetView>
  </sheetViews>
  <sheetFormatPr defaultColWidth="9.140625" defaultRowHeight="12.75" x14ac:dyDescent="0.2"/>
  <cols>
    <col min="1" max="1" width="9.140625" style="908" customWidth="1"/>
    <col min="2" max="2" width="54.42578125" style="908" customWidth="1"/>
    <col min="3" max="3" width="27.85546875" style="908" customWidth="1"/>
    <col min="4" max="4" width="16.85546875" style="908" customWidth="1"/>
    <col min="5" max="5" width="17.5703125" style="908" customWidth="1"/>
    <col min="6" max="6" width="9.140625" style="908"/>
    <col min="7" max="8" width="15" style="908" bestFit="1" customWidth="1"/>
    <col min="9" max="9" width="11" style="908" customWidth="1"/>
    <col min="10" max="10" width="9.140625" style="908" customWidth="1"/>
    <col min="11" max="11" width="15" style="908" bestFit="1" customWidth="1"/>
    <col min="12" max="12" width="16" style="908" bestFit="1" customWidth="1"/>
    <col min="13" max="13" width="9.140625" style="908" customWidth="1"/>
    <col min="14" max="14" width="16.5703125" style="908" customWidth="1"/>
    <col min="15" max="16" width="11.28515625" style="908" bestFit="1" customWidth="1"/>
    <col min="17" max="17" width="10.85546875" style="908" customWidth="1"/>
    <col min="18" max="16384" width="9.140625" style="908"/>
  </cols>
  <sheetData>
    <row r="1" spans="1:12" ht="15.75" x14ac:dyDescent="0.25">
      <c r="A1" s="1607" t="s">
        <v>3619</v>
      </c>
      <c r="B1" s="1608"/>
      <c r="C1" s="1609"/>
      <c r="D1" s="907"/>
      <c r="E1" s="907"/>
      <c r="F1" s="907"/>
      <c r="G1" s="907"/>
      <c r="H1" s="907"/>
      <c r="I1" s="907"/>
      <c r="J1" s="907"/>
      <c r="K1" s="907"/>
    </row>
    <row r="2" spans="1:12" x14ac:dyDescent="0.2">
      <c r="A2" s="907"/>
      <c r="B2" s="907"/>
      <c r="C2" s="907"/>
      <c r="D2" s="907"/>
      <c r="E2" s="907"/>
      <c r="F2" s="907"/>
      <c r="G2" s="907"/>
      <c r="H2" s="907"/>
      <c r="I2" s="907"/>
      <c r="J2" s="907"/>
      <c r="K2" s="907"/>
    </row>
    <row r="3" spans="1:12" x14ac:dyDescent="0.2">
      <c r="A3" s="907"/>
      <c r="B3" s="907"/>
      <c r="C3" s="907"/>
      <c r="D3" s="907"/>
      <c r="E3" s="907"/>
      <c r="F3" s="907"/>
      <c r="G3" s="907"/>
      <c r="H3" s="907"/>
      <c r="I3" s="907"/>
      <c r="J3" s="907"/>
      <c r="K3" s="907"/>
    </row>
    <row r="4" spans="1:12" ht="81" customHeight="1" x14ac:dyDescent="0.2">
      <c r="A4" s="1610" t="s">
        <v>4066</v>
      </c>
      <c r="B4" s="1611"/>
      <c r="C4" s="1611"/>
      <c r="D4" s="927"/>
      <c r="E4" s="907"/>
      <c r="F4" s="907"/>
      <c r="G4" s="907"/>
      <c r="H4" s="907"/>
      <c r="I4" s="907"/>
      <c r="J4" s="907"/>
      <c r="K4" s="907"/>
    </row>
    <row r="5" spans="1:12" ht="12.75" customHeight="1" x14ac:dyDescent="0.2">
      <c r="A5" s="907"/>
      <c r="B5" s="907"/>
      <c r="C5" s="907"/>
      <c r="D5" s="907"/>
      <c r="E5" s="907"/>
      <c r="F5" s="907"/>
      <c r="G5" s="907"/>
      <c r="H5" s="907"/>
      <c r="I5" s="907"/>
      <c r="J5" s="907"/>
      <c r="K5" s="907"/>
    </row>
    <row r="6" spans="1:12" ht="12.75" customHeight="1" x14ac:dyDescent="0.2">
      <c r="A6" s="907"/>
      <c r="B6" s="907"/>
      <c r="C6" s="907"/>
      <c r="D6" s="907"/>
      <c r="E6" s="907"/>
      <c r="F6" s="907"/>
      <c r="G6" s="907"/>
      <c r="H6" s="907"/>
      <c r="I6" s="907"/>
      <c r="J6" s="907"/>
      <c r="K6" s="907"/>
    </row>
    <row r="7" spans="1:12" ht="12.75" customHeight="1" x14ac:dyDescent="0.2">
      <c r="A7" s="909" t="s">
        <v>540</v>
      </c>
      <c r="B7" s="1612" t="s">
        <v>3649</v>
      </c>
      <c r="C7" s="1613"/>
      <c r="D7" s="1613"/>
      <c r="E7" s="1613"/>
      <c r="F7" s="1613"/>
      <c r="G7" s="1613"/>
      <c r="H7" s="1613"/>
      <c r="I7" s="1613"/>
      <c r="J7" s="1613"/>
      <c r="K7" s="1613"/>
      <c r="L7" s="1613"/>
    </row>
    <row r="8" spans="1:12" ht="12.75" customHeight="1" x14ac:dyDescent="0.2">
      <c r="A8" s="907"/>
      <c r="B8" s="907"/>
      <c r="C8" s="907"/>
      <c r="D8" s="907"/>
      <c r="E8" s="907"/>
      <c r="F8" s="907"/>
      <c r="G8" s="673"/>
      <c r="H8" s="673"/>
      <c r="I8" s="910"/>
      <c r="J8" s="673"/>
      <c r="K8" s="907"/>
      <c r="L8" s="673"/>
    </row>
    <row r="9" spans="1:12" ht="12.75" customHeight="1" x14ac:dyDescent="0.2">
      <c r="A9" s="907"/>
      <c r="B9" s="907" t="s">
        <v>3648</v>
      </c>
      <c r="C9" s="907"/>
      <c r="D9" s="673"/>
      <c r="E9" s="907"/>
      <c r="F9" s="673"/>
      <c r="H9" s="673"/>
      <c r="I9" s="673"/>
      <c r="J9" s="907"/>
    </row>
    <row r="10" spans="1:12" ht="12.75" customHeight="1" x14ac:dyDescent="0.2">
      <c r="A10" s="907"/>
      <c r="B10" s="907"/>
      <c r="C10" s="907"/>
      <c r="D10" s="729"/>
      <c r="E10" s="907"/>
      <c r="F10" s="673"/>
      <c r="H10" s="673"/>
      <c r="I10" s="1003"/>
      <c r="J10" s="1004"/>
    </row>
    <row r="11" spans="1:12" ht="12.75" customHeight="1" x14ac:dyDescent="0.2">
      <c r="A11" s="907"/>
      <c r="B11" s="911" t="s">
        <v>2036</v>
      </c>
      <c r="C11" s="907"/>
      <c r="D11" s="750">
        <v>0</v>
      </c>
      <c r="E11" s="907"/>
      <c r="F11" s="911"/>
      <c r="H11" s="673"/>
      <c r="I11" s="1004"/>
      <c r="J11" s="1004"/>
    </row>
    <row r="12" spans="1:12" ht="12.75" customHeight="1" x14ac:dyDescent="0.2">
      <c r="A12" s="907"/>
      <c r="B12" s="911" t="s">
        <v>4071</v>
      </c>
      <c r="C12" s="907"/>
      <c r="D12" s="750">
        <v>0</v>
      </c>
      <c r="E12" s="907" t="s">
        <v>3650</v>
      </c>
      <c r="F12" s="911"/>
      <c r="H12" s="673"/>
      <c r="I12" s="673"/>
      <c r="J12" s="907"/>
    </row>
    <row r="13" spans="1:12" ht="12.75" customHeight="1" x14ac:dyDescent="0.2">
      <c r="A13" s="907"/>
      <c r="B13" s="912" t="s">
        <v>2054</v>
      </c>
      <c r="C13" s="907"/>
      <c r="D13" s="706">
        <f>SUM(D11:D12)</f>
        <v>0</v>
      </c>
      <c r="E13" s="911" t="str">
        <f>IF(D13=1,"=100%","DOES NOT EQUAL 100%!!!")</f>
        <v>DOES NOT EQUAL 100%!!!</v>
      </c>
      <c r="H13" s="673"/>
      <c r="I13" s="673"/>
      <c r="J13" s="907"/>
    </row>
    <row r="14" spans="1:12" ht="12.75" customHeight="1" x14ac:dyDescent="0.2">
      <c r="A14" s="907"/>
      <c r="B14" s="913"/>
      <c r="C14" s="907"/>
      <c r="D14" s="914"/>
      <c r="E14" s="914"/>
      <c r="H14" s="673"/>
      <c r="I14" s="673"/>
      <c r="J14" s="907"/>
    </row>
    <row r="15" spans="1:12" ht="12.75" customHeight="1" x14ac:dyDescent="0.2">
      <c r="A15" s="907"/>
      <c r="B15" s="915" t="s">
        <v>3624</v>
      </c>
      <c r="C15" s="907"/>
      <c r="D15" s="914"/>
      <c r="E15" s="914"/>
      <c r="H15" s="673"/>
      <c r="I15" s="673"/>
      <c r="J15" s="907"/>
    </row>
    <row r="16" spans="1:12" ht="12.75" customHeight="1" x14ac:dyDescent="0.2">
      <c r="A16" s="907"/>
      <c r="B16" s="913" t="s">
        <v>2055</v>
      </c>
      <c r="C16" s="907"/>
      <c r="D16" s="750">
        <v>0</v>
      </c>
      <c r="E16" s="914"/>
      <c r="H16" s="673"/>
      <c r="I16" s="673"/>
      <c r="J16" s="907"/>
    </row>
    <row r="17" spans="1:11" ht="12.75" customHeight="1" x14ac:dyDescent="0.2">
      <c r="A17" s="907"/>
      <c r="B17" s="913" t="s">
        <v>2056</v>
      </c>
      <c r="C17" s="907"/>
      <c r="D17" s="750">
        <v>0</v>
      </c>
      <c r="E17" s="914"/>
      <c r="H17" s="673"/>
      <c r="I17" s="673"/>
      <c r="J17" s="907"/>
    </row>
    <row r="18" spans="1:11" ht="12.75" customHeight="1" x14ac:dyDescent="0.2">
      <c r="A18" s="907"/>
      <c r="B18" s="913" t="s">
        <v>2057</v>
      </c>
      <c r="C18" s="907"/>
      <c r="D18" s="750">
        <v>0</v>
      </c>
      <c r="E18" s="914"/>
      <c r="H18" s="673"/>
      <c r="I18" s="673"/>
      <c r="J18" s="907"/>
    </row>
    <row r="19" spans="1:11" ht="12.75" customHeight="1" x14ac:dyDescent="0.2">
      <c r="A19" s="907"/>
      <c r="B19" s="913" t="s">
        <v>2058</v>
      </c>
      <c r="C19" s="907"/>
      <c r="D19" s="750">
        <v>0</v>
      </c>
      <c r="E19" s="914"/>
      <c r="H19" s="673"/>
      <c r="I19" s="673"/>
      <c r="J19" s="907"/>
    </row>
    <row r="20" spans="1:11" ht="12.75" customHeight="1" x14ac:dyDescent="0.2">
      <c r="A20" s="907"/>
      <c r="B20" s="913" t="s">
        <v>2059</v>
      </c>
      <c r="C20" s="907"/>
      <c r="D20" s="750">
        <v>0</v>
      </c>
      <c r="E20" s="914"/>
      <c r="H20" s="673"/>
      <c r="I20" s="673"/>
      <c r="J20" s="907"/>
    </row>
    <row r="21" spans="1:11" ht="12.75" customHeight="1" x14ac:dyDescent="0.2">
      <c r="A21" s="907"/>
      <c r="B21" s="913" t="s">
        <v>2060</v>
      </c>
      <c r="C21" s="907"/>
      <c r="D21" s="750">
        <v>0</v>
      </c>
      <c r="E21" s="914"/>
      <c r="H21" s="673"/>
      <c r="I21" s="673"/>
      <c r="J21" s="907"/>
    </row>
    <row r="22" spans="1:11" ht="12.75" customHeight="1" x14ac:dyDescent="0.2">
      <c r="A22" s="907"/>
      <c r="B22" s="913" t="s">
        <v>2061</v>
      </c>
      <c r="C22" s="907"/>
      <c r="D22" s="750">
        <v>0</v>
      </c>
      <c r="E22" s="914"/>
      <c r="H22" s="673"/>
      <c r="I22" s="673"/>
      <c r="J22" s="907"/>
    </row>
    <row r="23" spans="1:11" ht="12.75" customHeight="1" x14ac:dyDescent="0.2">
      <c r="A23" s="907"/>
      <c r="B23" s="913" t="s">
        <v>2062</v>
      </c>
      <c r="C23" s="907"/>
      <c r="D23" s="750">
        <v>0</v>
      </c>
      <c r="E23" s="914"/>
      <c r="H23" s="955"/>
      <c r="I23" s="673"/>
      <c r="J23" s="907"/>
    </row>
    <row r="24" spans="1:11" ht="12.75" customHeight="1" x14ac:dyDescent="0.2">
      <c r="A24" s="907"/>
      <c r="B24" s="913" t="s">
        <v>2063</v>
      </c>
      <c r="C24" s="907"/>
      <c r="D24" s="750">
        <v>0</v>
      </c>
      <c r="E24" s="914"/>
      <c r="H24" s="955"/>
      <c r="I24" s="673"/>
      <c r="J24" s="907"/>
    </row>
    <row r="25" spans="1:11" ht="12.75" customHeight="1" x14ac:dyDescent="0.2">
      <c r="A25" s="907"/>
      <c r="B25" s="912" t="s">
        <v>3634</v>
      </c>
      <c r="C25" s="907"/>
      <c r="D25" s="706">
        <f>SUM(D16:D24)</f>
        <v>0</v>
      </c>
      <c r="E25" s="911" t="str">
        <f>IF(D25=D11,"Equals Governmental Activities","DOES NOT EQUAL Governmental Activities!!!")</f>
        <v>Equals Governmental Activities</v>
      </c>
      <c r="H25" s="673"/>
      <c r="I25" s="673"/>
      <c r="J25" s="907"/>
    </row>
    <row r="26" spans="1:11" ht="12.75" customHeight="1" x14ac:dyDescent="0.2">
      <c r="A26" s="907"/>
      <c r="B26" s="907"/>
      <c r="C26" s="907"/>
      <c r="D26" s="673"/>
      <c r="E26" s="907"/>
      <c r="F26" s="673"/>
      <c r="H26" s="673"/>
      <c r="I26" s="673"/>
      <c r="J26" s="907"/>
    </row>
    <row r="27" spans="1:11" x14ac:dyDescent="0.2">
      <c r="A27" s="907"/>
      <c r="B27" s="907"/>
      <c r="C27" s="907"/>
      <c r="D27" s="907"/>
      <c r="E27" s="907"/>
      <c r="F27" s="907"/>
      <c r="G27" s="907"/>
      <c r="H27" s="907"/>
      <c r="I27" s="907"/>
      <c r="J27" s="907"/>
      <c r="K27" s="907"/>
    </row>
    <row r="28" spans="1:11" ht="25.5" customHeight="1" x14ac:dyDescent="0.2">
      <c r="A28" s="909" t="s">
        <v>541</v>
      </c>
      <c r="B28" s="1614" t="s">
        <v>4059</v>
      </c>
      <c r="C28" s="1615"/>
      <c r="D28" s="1615"/>
      <c r="E28" s="1615"/>
      <c r="F28" s="907"/>
      <c r="G28" s="907"/>
      <c r="H28" s="907"/>
      <c r="I28" s="907"/>
      <c r="J28" s="907"/>
      <c r="K28" s="907"/>
    </row>
    <row r="29" spans="1:11" x14ac:dyDescent="0.2">
      <c r="A29" s="907"/>
      <c r="B29" s="907"/>
      <c r="C29" s="907"/>
      <c r="D29" s="907"/>
      <c r="E29" s="907"/>
      <c r="F29" s="907"/>
      <c r="G29" s="907"/>
      <c r="H29" s="907"/>
      <c r="I29" s="907"/>
      <c r="J29" s="907"/>
      <c r="K29" s="907"/>
    </row>
    <row r="30" spans="1:11" x14ac:dyDescent="0.2">
      <c r="A30" s="907"/>
      <c r="B30" s="907"/>
      <c r="C30" s="907"/>
      <c r="D30" s="907"/>
      <c r="E30" s="907"/>
      <c r="F30" s="907"/>
      <c r="G30" s="907"/>
      <c r="H30" s="907"/>
      <c r="I30" s="907"/>
      <c r="J30" s="907"/>
      <c r="K30" s="907"/>
    </row>
    <row r="31" spans="1:11" ht="14.25" x14ac:dyDescent="0.2">
      <c r="A31" s="907"/>
      <c r="B31" s="952" t="s">
        <v>4057</v>
      </c>
      <c r="C31" s="952"/>
      <c r="D31" s="1155">
        <v>0</v>
      </c>
      <c r="E31" s="924"/>
      <c r="F31" s="916"/>
      <c r="G31" s="916"/>
      <c r="H31" s="916"/>
      <c r="I31" s="916"/>
      <c r="J31" s="916"/>
      <c r="K31" s="917"/>
    </row>
    <row r="32" spans="1:11" ht="14.25" x14ac:dyDescent="0.2">
      <c r="A32" s="907"/>
      <c r="B32" s="952" t="s">
        <v>4058</v>
      </c>
      <c r="C32" s="952"/>
      <c r="D32" s="1155"/>
      <c r="E32" s="916"/>
      <c r="F32" s="916"/>
      <c r="G32" s="916"/>
      <c r="H32" s="916"/>
      <c r="I32" s="916"/>
      <c r="J32" s="916"/>
      <c r="K32" s="917"/>
    </row>
    <row r="33" spans="1:17" ht="14.25" x14ac:dyDescent="0.2">
      <c r="A33" s="907"/>
      <c r="B33" s="952" t="s">
        <v>3963</v>
      </c>
      <c r="C33" s="952"/>
      <c r="D33" s="1155">
        <v>0</v>
      </c>
      <c r="E33" s="916"/>
      <c r="F33" s="916"/>
      <c r="G33" s="916"/>
      <c r="H33" s="916"/>
      <c r="I33" s="916"/>
      <c r="J33" s="916"/>
      <c r="K33" s="917"/>
      <c r="M33" s="914"/>
    </row>
    <row r="34" spans="1:17" ht="14.25" x14ac:dyDescent="0.2">
      <c r="A34" s="907"/>
      <c r="B34" s="954" t="s">
        <v>3658</v>
      </c>
      <c r="C34" s="952"/>
      <c r="D34" s="1155">
        <v>0</v>
      </c>
      <c r="E34" s="918"/>
      <c r="F34" s="916"/>
      <c r="G34" s="916"/>
      <c r="H34" s="916"/>
      <c r="I34" s="916"/>
      <c r="J34" s="916"/>
      <c r="K34" s="917"/>
      <c r="M34" s="914"/>
    </row>
    <row r="35" spans="1:17" ht="14.25" x14ac:dyDescent="0.2">
      <c r="A35" s="907"/>
      <c r="B35" s="954" t="s">
        <v>4062</v>
      </c>
      <c r="C35" s="952"/>
      <c r="D35" s="1155">
        <v>0</v>
      </c>
      <c r="E35" s="918"/>
      <c r="F35" s="916"/>
      <c r="G35" s="916"/>
      <c r="H35" s="916"/>
      <c r="I35" s="916"/>
      <c r="J35" s="916"/>
      <c r="K35" s="917"/>
      <c r="M35" s="914"/>
    </row>
    <row r="36" spans="1:17" ht="27" customHeight="1" x14ac:dyDescent="0.2">
      <c r="A36" s="907"/>
      <c r="B36" s="1616" t="s">
        <v>3964</v>
      </c>
      <c r="C36" s="1616"/>
      <c r="D36" s="1155"/>
      <c r="E36" s="918"/>
      <c r="F36" s="1617"/>
      <c r="G36" s="1617"/>
      <c r="H36" s="1617"/>
      <c r="I36" s="1617"/>
      <c r="J36" s="1617"/>
      <c r="K36" s="1617"/>
      <c r="M36" s="914"/>
    </row>
    <row r="37" spans="1:17" ht="19.5" customHeight="1" x14ac:dyDescent="0.2">
      <c r="A37" s="907"/>
      <c r="B37" s="1616" t="s">
        <v>3965</v>
      </c>
      <c r="C37" s="1616"/>
      <c r="D37" s="1155"/>
      <c r="E37" s="918"/>
      <c r="F37" s="1617"/>
      <c r="G37" s="1617"/>
      <c r="H37" s="1617"/>
      <c r="I37" s="1617"/>
      <c r="J37" s="1617"/>
      <c r="K37" s="1617"/>
      <c r="M37" s="914"/>
    </row>
    <row r="38" spans="1:17" ht="21.75" customHeight="1" x14ac:dyDescent="0.2">
      <c r="A38" s="907"/>
      <c r="B38" s="1616" t="s">
        <v>3966</v>
      </c>
      <c r="C38" s="1616"/>
      <c r="D38" s="1155"/>
      <c r="E38" s="918"/>
      <c r="F38" s="1103"/>
      <c r="G38" s="1103"/>
      <c r="H38" s="1103"/>
      <c r="I38" s="1103"/>
      <c r="J38" s="1103"/>
      <c r="K38" s="1103"/>
      <c r="M38" s="914"/>
    </row>
    <row r="39" spans="1:17" ht="17.25" customHeight="1" x14ac:dyDescent="0.2">
      <c r="A39" s="907"/>
      <c r="B39" s="1616" t="s">
        <v>3655</v>
      </c>
      <c r="C39" s="1616"/>
      <c r="D39" s="1155"/>
      <c r="E39" s="916"/>
      <c r="F39" s="1616" t="s">
        <v>3620</v>
      </c>
      <c r="G39" s="1616"/>
      <c r="H39" s="1616"/>
      <c r="I39" s="1616"/>
      <c r="J39" s="1616"/>
      <c r="K39" s="1616"/>
      <c r="M39" s="914"/>
    </row>
    <row r="40" spans="1:17" ht="14.25" customHeight="1" x14ac:dyDescent="0.2">
      <c r="A40" s="907"/>
      <c r="B40" s="1616" t="s">
        <v>3656</v>
      </c>
      <c r="C40" s="1616"/>
      <c r="D40" s="1155"/>
      <c r="E40" s="916"/>
      <c r="F40" s="1616" t="s">
        <v>3620</v>
      </c>
      <c r="G40" s="1616"/>
      <c r="H40" s="1616"/>
      <c r="I40" s="1616"/>
      <c r="J40" s="1616"/>
      <c r="K40" s="1616"/>
      <c r="M40" s="919"/>
    </row>
    <row r="41" spans="1:17" ht="12.75" customHeight="1" x14ac:dyDescent="0.2">
      <c r="A41" s="907"/>
      <c r="B41" s="1616" t="s">
        <v>3657</v>
      </c>
      <c r="C41" s="1616"/>
      <c r="D41" s="1155"/>
      <c r="E41" s="907"/>
      <c r="F41" s="907"/>
      <c r="G41" s="907"/>
      <c r="H41" s="907"/>
      <c r="I41" s="907"/>
      <c r="J41" s="907"/>
      <c r="K41" s="907"/>
      <c r="M41" s="919"/>
    </row>
    <row r="42" spans="1:17" x14ac:dyDescent="0.2">
      <c r="A42" s="907"/>
      <c r="B42" s="907"/>
      <c r="C42" s="907"/>
      <c r="D42" s="907"/>
      <c r="E42" s="907"/>
      <c r="F42" s="907"/>
      <c r="G42" s="907"/>
      <c r="H42" s="907"/>
      <c r="I42" s="907"/>
      <c r="J42" s="907"/>
      <c r="K42" s="907"/>
      <c r="M42" s="914"/>
    </row>
    <row r="43" spans="1:17" ht="51" x14ac:dyDescent="0.2">
      <c r="A43" s="909" t="s">
        <v>541</v>
      </c>
      <c r="B43" s="920" t="s">
        <v>3967</v>
      </c>
      <c r="C43" s="907"/>
      <c r="D43" s="907"/>
      <c r="E43" s="907"/>
      <c r="F43" s="907"/>
      <c r="G43" s="907"/>
      <c r="H43" s="907"/>
      <c r="I43" s="907"/>
      <c r="J43" s="927"/>
      <c r="K43" s="927"/>
      <c r="L43" s="926"/>
      <c r="M43" s="921"/>
      <c r="N43" s="926"/>
      <c r="O43" s="950"/>
      <c r="P43" s="926"/>
      <c r="Q43" s="926"/>
    </row>
    <row r="44" spans="1:17" x14ac:dyDescent="0.2">
      <c r="A44" s="907"/>
      <c r="B44" s="907"/>
      <c r="C44" s="907"/>
      <c r="D44" s="907"/>
      <c r="E44" s="927"/>
      <c r="F44" s="907"/>
      <c r="G44" s="907"/>
      <c r="H44" s="907"/>
      <c r="I44" s="907"/>
      <c r="J44" s="927"/>
      <c r="K44" s="927"/>
      <c r="L44" s="926"/>
      <c r="M44" s="921"/>
      <c r="N44" s="926"/>
      <c r="O44" s="950"/>
      <c r="P44" s="926"/>
      <c r="Q44" s="926"/>
    </row>
    <row r="45" spans="1:17" x14ac:dyDescent="0.2">
      <c r="A45" s="907"/>
      <c r="B45" s="907"/>
      <c r="C45" s="907"/>
      <c r="D45" s="854"/>
      <c r="E45" s="927"/>
      <c r="F45" s="907"/>
      <c r="G45" s="907"/>
      <c r="H45" s="907"/>
      <c r="I45" s="907"/>
      <c r="J45" s="927"/>
      <c r="K45" s="927"/>
      <c r="L45" s="926"/>
      <c r="M45" s="914"/>
      <c r="N45" s="926"/>
      <c r="O45" s="950"/>
      <c r="P45" s="926"/>
      <c r="Q45" s="926"/>
    </row>
    <row r="46" spans="1:17" ht="27" customHeight="1" x14ac:dyDescent="0.2">
      <c r="A46" s="907"/>
      <c r="B46" s="1602" t="s">
        <v>4065</v>
      </c>
      <c r="C46" s="1603"/>
      <c r="D46" s="1156"/>
      <c r="E46" s="927"/>
      <c r="F46" s="907"/>
      <c r="G46" s="907"/>
      <c r="H46" s="907"/>
      <c r="I46" s="907"/>
      <c r="J46" s="927"/>
      <c r="K46" s="951"/>
      <c r="L46" s="926"/>
      <c r="M46" s="951"/>
      <c r="N46" s="926"/>
      <c r="O46" s="951"/>
      <c r="P46" s="926"/>
      <c r="Q46" s="926"/>
    </row>
    <row r="47" spans="1:17" x14ac:dyDescent="0.2">
      <c r="A47" s="907"/>
      <c r="B47" s="907"/>
      <c r="C47" s="907"/>
      <c r="D47" s="854"/>
      <c r="E47" s="927"/>
      <c r="F47" s="907"/>
      <c r="G47" s="907"/>
      <c r="H47" s="907"/>
      <c r="I47" s="907"/>
      <c r="J47" s="927"/>
      <c r="K47" s="927"/>
      <c r="L47" s="926"/>
      <c r="M47" s="914"/>
      <c r="N47" s="926"/>
      <c r="O47" s="950"/>
      <c r="P47" s="926"/>
      <c r="Q47" s="926"/>
    </row>
    <row r="48" spans="1:17" ht="29.25" customHeight="1" x14ac:dyDescent="0.2">
      <c r="A48" s="907"/>
      <c r="B48" s="1602" t="s">
        <v>3651</v>
      </c>
      <c r="C48" s="1602"/>
      <c r="D48" s="1156"/>
      <c r="E48" s="927"/>
      <c r="F48" s="907"/>
      <c r="G48" s="907"/>
      <c r="H48" s="907"/>
      <c r="I48" s="907"/>
      <c r="J48" s="927"/>
      <c r="K48" s="927"/>
      <c r="L48" s="926"/>
      <c r="M48" s="919"/>
      <c r="N48" s="926"/>
      <c r="O48" s="950"/>
      <c r="P48" s="926"/>
      <c r="Q48" s="926"/>
    </row>
    <row r="49" spans="1:17" x14ac:dyDescent="0.2">
      <c r="A49" s="907"/>
      <c r="B49" s="907"/>
      <c r="C49" s="907"/>
      <c r="D49" s="907"/>
      <c r="E49" s="927"/>
      <c r="F49" s="907"/>
      <c r="G49" s="907"/>
      <c r="H49" s="907"/>
      <c r="I49" s="907"/>
      <c r="J49" s="927"/>
      <c r="K49" s="927"/>
      <c r="L49" s="926"/>
      <c r="M49" s="919"/>
      <c r="N49" s="926"/>
      <c r="O49" s="950"/>
      <c r="P49" s="950"/>
      <c r="Q49" s="926"/>
    </row>
    <row r="50" spans="1:17" ht="12.75" hidden="1" customHeight="1" x14ac:dyDescent="0.2">
      <c r="A50" s="907"/>
      <c r="B50" s="907"/>
      <c r="C50" s="907"/>
      <c r="D50" s="907"/>
      <c r="E50" s="927"/>
      <c r="F50" s="907"/>
      <c r="G50" s="907"/>
      <c r="H50" s="907"/>
      <c r="I50" s="907"/>
      <c r="J50" s="927"/>
      <c r="K50" s="927"/>
      <c r="L50" s="926"/>
      <c r="M50" s="914"/>
      <c r="N50" s="950"/>
      <c r="O50" s="94"/>
      <c r="P50" s="94"/>
      <c r="Q50" s="950"/>
    </row>
    <row r="51" spans="1:17" ht="14.25" hidden="1" customHeight="1" x14ac:dyDescent="0.2">
      <c r="A51" s="907"/>
      <c r="B51" s="916" t="s">
        <v>3652</v>
      </c>
      <c r="C51" s="916"/>
      <c r="D51" s="916"/>
      <c r="E51" s="956"/>
      <c r="F51" s="916"/>
      <c r="G51" s="916"/>
      <c r="H51" s="916"/>
      <c r="I51" s="916"/>
      <c r="J51" s="956"/>
      <c r="K51" s="926"/>
      <c r="L51" s="950"/>
      <c r="M51" s="921"/>
      <c r="N51" s="950"/>
      <c r="O51" s="94"/>
      <c r="P51" s="94"/>
      <c r="Q51" s="950"/>
    </row>
    <row r="52" spans="1:17" ht="14.25" hidden="1" customHeight="1" x14ac:dyDescent="0.2">
      <c r="A52" s="907"/>
      <c r="B52" s="916" t="s">
        <v>3622</v>
      </c>
      <c r="C52" s="916"/>
      <c r="D52" s="916"/>
      <c r="E52" s="916"/>
      <c r="F52" s="916"/>
      <c r="G52" s="916"/>
      <c r="H52" s="916"/>
      <c r="I52" s="916"/>
      <c r="J52" s="956"/>
      <c r="K52" s="926"/>
      <c r="L52" s="996"/>
      <c r="M52" s="921"/>
      <c r="N52" s="950"/>
      <c r="O52" s="94"/>
      <c r="P52" s="94"/>
      <c r="Q52" s="950"/>
    </row>
    <row r="53" spans="1:17" ht="14.25" hidden="1" customHeight="1" x14ac:dyDescent="0.2">
      <c r="A53" s="907"/>
      <c r="B53" s="916" t="s">
        <v>3621</v>
      </c>
      <c r="C53" s="916"/>
      <c r="D53" s="916"/>
      <c r="E53" s="916"/>
      <c r="F53" s="916"/>
      <c r="G53" s="916"/>
      <c r="H53" s="916"/>
      <c r="I53" s="916"/>
      <c r="J53" s="956"/>
      <c r="K53" s="926"/>
      <c r="L53" s="950"/>
      <c r="M53" s="914"/>
      <c r="N53" s="950"/>
      <c r="O53" s="94"/>
      <c r="P53" s="94"/>
      <c r="Q53" s="950"/>
    </row>
    <row r="54" spans="1:17" ht="14.25" hidden="1" customHeight="1" x14ac:dyDescent="0.2">
      <c r="A54" s="907"/>
      <c r="B54" s="916" t="s">
        <v>3600</v>
      </c>
      <c r="C54" s="916"/>
      <c r="D54" s="916"/>
      <c r="E54" s="916"/>
      <c r="F54" s="916"/>
      <c r="G54" s="916"/>
      <c r="H54" s="916"/>
      <c r="I54" s="916"/>
      <c r="J54" s="956"/>
      <c r="K54" s="926"/>
      <c r="L54" s="997"/>
      <c r="M54" s="914"/>
      <c r="N54" s="950"/>
      <c r="O54" s="94"/>
      <c r="P54" s="94"/>
      <c r="Q54" s="950"/>
    </row>
    <row r="55" spans="1:17" ht="14.25" hidden="1" customHeight="1" x14ac:dyDescent="0.2">
      <c r="A55" s="907"/>
      <c r="B55" s="916" t="s">
        <v>3601</v>
      </c>
      <c r="C55" s="916"/>
      <c r="D55" s="916"/>
      <c r="E55" s="916"/>
      <c r="F55" s="916"/>
      <c r="G55" s="916"/>
      <c r="H55" s="916"/>
      <c r="I55" s="916"/>
      <c r="J55" s="998"/>
      <c r="K55" s="926"/>
      <c r="L55" s="926"/>
      <c r="M55" s="914"/>
      <c r="N55" s="950"/>
      <c r="O55" s="94"/>
      <c r="P55" s="94"/>
      <c r="Q55" s="950"/>
    </row>
    <row r="56" spans="1:17" ht="14.25" hidden="1" customHeight="1" x14ac:dyDescent="0.2">
      <c r="A56" s="907"/>
      <c r="B56" s="916" t="s">
        <v>3602</v>
      </c>
      <c r="C56" s="916"/>
      <c r="D56" s="916"/>
      <c r="E56" s="916"/>
      <c r="F56" s="916"/>
      <c r="G56" s="916"/>
      <c r="H56" s="916"/>
      <c r="I56" s="916"/>
      <c r="J56" s="956"/>
      <c r="K56" s="926"/>
      <c r="L56" s="950"/>
      <c r="M56" s="950"/>
      <c r="N56" s="950"/>
      <c r="O56" s="94"/>
      <c r="P56" s="94"/>
      <c r="Q56" s="950"/>
    </row>
    <row r="57" spans="1:17" ht="14.25" hidden="1" customHeight="1" x14ac:dyDescent="0.2">
      <c r="A57" s="907"/>
      <c r="B57" s="916" t="s">
        <v>3603</v>
      </c>
      <c r="C57" s="916"/>
      <c r="D57" s="916"/>
      <c r="E57" s="916"/>
      <c r="F57" s="916"/>
      <c r="G57" s="916"/>
      <c r="H57" s="916"/>
      <c r="I57" s="916"/>
      <c r="J57" s="956"/>
      <c r="K57" s="926"/>
      <c r="L57" s="94"/>
      <c r="M57" s="950"/>
      <c r="N57" s="950"/>
      <c r="O57" s="94"/>
      <c r="P57" s="94"/>
      <c r="Q57" s="950"/>
    </row>
    <row r="58" spans="1:17" ht="14.25" hidden="1" customHeight="1" x14ac:dyDescent="0.2">
      <c r="A58" s="907"/>
      <c r="B58" s="916" t="s">
        <v>3604</v>
      </c>
      <c r="C58" s="916"/>
      <c r="D58" s="916"/>
      <c r="E58" s="916"/>
      <c r="F58" s="916"/>
      <c r="G58" s="916"/>
      <c r="H58" s="916"/>
      <c r="I58" s="916"/>
      <c r="J58" s="956"/>
      <c r="K58" s="926"/>
      <c r="L58" s="950"/>
      <c r="M58" s="950"/>
      <c r="N58" s="950"/>
      <c r="O58" s="94"/>
      <c r="P58" s="94"/>
      <c r="Q58" s="950"/>
    </row>
    <row r="59" spans="1:17" ht="14.25" hidden="1" customHeight="1" x14ac:dyDescent="0.2">
      <c r="A59" s="907"/>
      <c r="B59" s="916" t="s">
        <v>3605</v>
      </c>
      <c r="C59" s="916"/>
      <c r="D59" s="916"/>
      <c r="E59" s="916"/>
      <c r="F59" s="916"/>
      <c r="G59" s="916"/>
      <c r="H59" s="916"/>
      <c r="I59" s="916"/>
      <c r="J59" s="956"/>
      <c r="K59" s="926"/>
      <c r="L59" s="996"/>
      <c r="M59" s="950"/>
      <c r="N59" s="950"/>
      <c r="O59" s="94"/>
      <c r="P59" s="94"/>
      <c r="Q59" s="950"/>
    </row>
    <row r="60" spans="1:17" ht="14.25" hidden="1" customHeight="1" x14ac:dyDescent="0.2">
      <c r="A60" s="907"/>
      <c r="B60" s="916" t="s">
        <v>3606</v>
      </c>
      <c r="C60" s="916"/>
      <c r="D60" s="916"/>
      <c r="E60" s="916"/>
      <c r="F60" s="916"/>
      <c r="G60" s="916"/>
      <c r="H60" s="916"/>
      <c r="I60" s="916"/>
      <c r="J60" s="956"/>
      <c r="K60" s="926"/>
      <c r="L60" s="996"/>
      <c r="M60" s="950"/>
      <c r="N60" s="950"/>
      <c r="O60" s="94"/>
      <c r="P60" s="94"/>
      <c r="Q60" s="950"/>
    </row>
    <row r="61" spans="1:17" ht="14.25" hidden="1" customHeight="1" x14ac:dyDescent="0.2">
      <c r="A61" s="907"/>
      <c r="B61" s="916" t="s">
        <v>3607</v>
      </c>
      <c r="C61" s="916"/>
      <c r="D61" s="916"/>
      <c r="E61" s="916"/>
      <c r="F61" s="916"/>
      <c r="G61" s="916"/>
      <c r="H61" s="916"/>
      <c r="I61" s="916"/>
      <c r="J61" s="956"/>
      <c r="K61" s="926"/>
      <c r="L61" s="93"/>
      <c r="M61" s="950"/>
      <c r="N61" s="950"/>
      <c r="O61" s="94"/>
      <c r="P61" s="94"/>
      <c r="Q61" s="950"/>
    </row>
    <row r="62" spans="1:17" ht="14.25" hidden="1" customHeight="1" x14ac:dyDescent="0.2">
      <c r="A62" s="907"/>
      <c r="B62" s="916" t="s">
        <v>3636</v>
      </c>
      <c r="C62" s="916"/>
      <c r="D62" s="916"/>
      <c r="E62" s="916"/>
      <c r="F62" s="916"/>
      <c r="G62" s="916"/>
      <c r="H62" s="916"/>
      <c r="I62" s="916"/>
      <c r="J62" s="956"/>
      <c r="K62" s="926"/>
      <c r="L62" s="996"/>
      <c r="M62" s="950"/>
      <c r="N62" s="950"/>
      <c r="O62" s="94"/>
      <c r="P62" s="94"/>
      <c r="Q62" s="950"/>
    </row>
    <row r="63" spans="1:17" ht="14.25" hidden="1" customHeight="1" x14ac:dyDescent="0.2">
      <c r="A63" s="907"/>
      <c r="B63" s="916" t="s">
        <v>3638</v>
      </c>
      <c r="C63" s="916"/>
      <c r="D63" s="916"/>
      <c r="E63" s="916"/>
      <c r="F63" s="916"/>
      <c r="G63" s="916"/>
      <c r="H63" s="916"/>
      <c r="I63" s="916"/>
      <c r="J63" s="956"/>
      <c r="K63" s="926"/>
      <c r="L63" s="996"/>
      <c r="M63" s="950"/>
      <c r="N63" s="950"/>
      <c r="O63" s="94"/>
      <c r="P63" s="94"/>
      <c r="Q63" s="950"/>
    </row>
    <row r="64" spans="1:17" ht="14.25" hidden="1" customHeight="1" x14ac:dyDescent="0.2">
      <c r="A64" s="907"/>
      <c r="B64" s="916" t="s">
        <v>3635</v>
      </c>
      <c r="C64" s="916"/>
      <c r="D64" s="916"/>
      <c r="E64" s="916"/>
      <c r="F64" s="916"/>
      <c r="G64" s="916"/>
      <c r="H64" s="916"/>
      <c r="I64" s="916"/>
      <c r="J64" s="956"/>
      <c r="K64" s="926"/>
      <c r="L64" s="950"/>
      <c r="M64" s="950"/>
      <c r="N64" s="950"/>
      <c r="O64" s="94"/>
      <c r="P64" s="94"/>
      <c r="Q64" s="950"/>
    </row>
    <row r="65" spans="1:17" ht="14.25" hidden="1" customHeight="1" x14ac:dyDescent="0.2">
      <c r="A65" s="907"/>
      <c r="B65" s="916" t="s">
        <v>3637</v>
      </c>
      <c r="C65" s="916"/>
      <c r="D65" s="916"/>
      <c r="E65" s="916"/>
      <c r="F65" s="916"/>
      <c r="G65" s="916"/>
      <c r="H65" s="916"/>
      <c r="I65" s="916"/>
      <c r="J65" s="956"/>
      <c r="K65" s="926"/>
      <c r="L65" s="950"/>
      <c r="M65" s="950"/>
      <c r="N65" s="950"/>
      <c r="O65" s="94"/>
      <c r="P65" s="94"/>
      <c r="Q65" s="950"/>
    </row>
    <row r="66" spans="1:17" ht="14.25" hidden="1" customHeight="1" x14ac:dyDescent="0.2">
      <c r="A66" s="907"/>
      <c r="C66" s="916"/>
      <c r="D66" s="916"/>
      <c r="E66" s="916"/>
      <c r="F66" s="916"/>
      <c r="G66" s="916"/>
      <c r="H66" s="916"/>
      <c r="I66" s="916"/>
      <c r="J66" s="956"/>
      <c r="K66" s="926"/>
      <c r="L66" s="950"/>
      <c r="M66" s="950"/>
      <c r="N66" s="950"/>
      <c r="O66" s="94"/>
      <c r="P66" s="94"/>
      <c r="Q66" s="950"/>
    </row>
    <row r="67" spans="1:17" ht="14.25" hidden="1" customHeight="1" x14ac:dyDescent="0.2">
      <c r="A67" s="907"/>
      <c r="C67" s="916"/>
      <c r="D67" s="916"/>
      <c r="E67" s="916"/>
      <c r="F67" s="916"/>
      <c r="G67" s="916"/>
      <c r="H67" s="916"/>
      <c r="I67" s="916"/>
      <c r="J67" s="956"/>
      <c r="K67" s="926"/>
      <c r="L67" s="926"/>
      <c r="M67" s="950"/>
      <c r="N67" s="950"/>
      <c r="O67" s="94"/>
      <c r="P67" s="94"/>
      <c r="Q67" s="950"/>
    </row>
    <row r="68" spans="1:17" ht="14.25" hidden="1" customHeight="1" x14ac:dyDescent="0.2">
      <c r="A68" s="907"/>
      <c r="B68" s="916" t="s">
        <v>3608</v>
      </c>
      <c r="C68" s="916"/>
      <c r="D68" s="916"/>
      <c r="E68" s="916"/>
      <c r="F68" s="916"/>
      <c r="G68" s="916"/>
      <c r="H68" s="916"/>
      <c r="I68" s="953"/>
      <c r="J68" s="956"/>
      <c r="K68" s="926"/>
      <c r="L68" s="999"/>
      <c r="M68" s="950"/>
      <c r="N68" s="950"/>
      <c r="O68" s="94"/>
      <c r="P68" s="94"/>
      <c r="Q68" s="950"/>
    </row>
    <row r="69" spans="1:17" ht="14.25" hidden="1" customHeight="1" x14ac:dyDescent="0.2">
      <c r="A69" s="907"/>
      <c r="B69" s="916"/>
      <c r="C69" s="916" t="s">
        <v>3609</v>
      </c>
      <c r="D69" s="916"/>
      <c r="E69" s="916"/>
      <c r="F69" s="916"/>
      <c r="G69" s="916"/>
      <c r="H69" s="916"/>
      <c r="I69" s="916"/>
      <c r="J69" s="956"/>
      <c r="K69" s="1000"/>
      <c r="L69" s="94"/>
      <c r="M69" s="950"/>
      <c r="N69" s="950"/>
      <c r="O69" s="94"/>
      <c r="P69" s="94"/>
      <c r="Q69" s="950"/>
    </row>
    <row r="70" spans="1:17" ht="14.25" hidden="1" customHeight="1" x14ac:dyDescent="0.2">
      <c r="A70" s="907"/>
      <c r="B70" s="916"/>
      <c r="C70" s="916"/>
      <c r="D70" s="916"/>
      <c r="E70" s="916"/>
      <c r="F70" s="916"/>
      <c r="G70" s="916"/>
      <c r="H70" s="916"/>
      <c r="I70" s="916"/>
      <c r="J70" s="956"/>
      <c r="K70" s="1001"/>
      <c r="L70" s="997"/>
      <c r="M70" s="950"/>
      <c r="N70" s="950"/>
      <c r="O70" s="94"/>
      <c r="P70" s="94"/>
      <c r="Q70" s="950"/>
    </row>
    <row r="71" spans="1:17" ht="14.25" hidden="1" customHeight="1" x14ac:dyDescent="0.2">
      <c r="A71" s="907"/>
      <c r="B71" s="916"/>
      <c r="C71" s="916"/>
      <c r="D71" s="916"/>
      <c r="E71" s="916"/>
      <c r="F71" s="916"/>
      <c r="G71" s="916"/>
      <c r="H71" s="916"/>
      <c r="I71" s="916"/>
      <c r="J71" s="956"/>
      <c r="K71" s="1001"/>
      <c r="L71" s="950"/>
      <c r="M71" s="950"/>
      <c r="N71" s="950"/>
      <c r="O71" s="94"/>
      <c r="P71" s="94"/>
      <c r="Q71" s="950"/>
    </row>
    <row r="72" spans="1:17" ht="14.25" hidden="1" customHeight="1" x14ac:dyDescent="0.2">
      <c r="A72" s="907"/>
      <c r="B72" s="916"/>
      <c r="C72" s="916"/>
      <c r="D72" s="916"/>
      <c r="E72" s="916"/>
      <c r="F72" s="916"/>
      <c r="G72" s="916"/>
      <c r="H72" s="916"/>
      <c r="I72" s="916"/>
      <c r="J72" s="956"/>
      <c r="K72" s="1001"/>
      <c r="L72" s="950"/>
      <c r="M72" s="950"/>
      <c r="N72" s="927"/>
      <c r="O72" s="94"/>
      <c r="P72" s="94"/>
      <c r="Q72" s="950"/>
    </row>
    <row r="73" spans="1:17" ht="28.5" hidden="1" customHeight="1" x14ac:dyDescent="0.2">
      <c r="A73" s="907"/>
      <c r="B73" s="925" t="s">
        <v>3610</v>
      </c>
      <c r="C73" s="916"/>
      <c r="D73" s="916"/>
      <c r="E73" s="916"/>
      <c r="F73" s="916"/>
      <c r="G73" s="916"/>
      <c r="H73" s="916"/>
      <c r="I73" s="916"/>
      <c r="J73" s="956"/>
      <c r="K73" s="926"/>
      <c r="L73" s="950"/>
      <c r="M73" s="950"/>
      <c r="N73" s="950"/>
      <c r="O73" s="94"/>
      <c r="P73" s="94"/>
      <c r="Q73" s="950"/>
    </row>
    <row r="74" spans="1:17" ht="14.25" hidden="1" customHeight="1" x14ac:dyDescent="0.2">
      <c r="A74" s="907"/>
      <c r="B74" s="946" t="s">
        <v>3625</v>
      </c>
      <c r="C74" s="916"/>
      <c r="D74" s="916"/>
      <c r="E74" s="916"/>
      <c r="F74" s="916"/>
      <c r="G74" s="916"/>
      <c r="H74" s="916"/>
      <c r="I74" s="916"/>
      <c r="J74" s="956"/>
      <c r="K74" s="926"/>
      <c r="L74" s="996"/>
      <c r="M74" s="950"/>
      <c r="N74" s="950"/>
      <c r="O74" s="94"/>
      <c r="P74" s="94"/>
      <c r="Q74" s="950"/>
    </row>
    <row r="75" spans="1:17" ht="14.25" hidden="1" customHeight="1" x14ac:dyDescent="0.2">
      <c r="A75" s="907"/>
      <c r="B75" s="947" t="s">
        <v>3626</v>
      </c>
      <c r="C75" s="916"/>
      <c r="D75" s="916"/>
      <c r="E75" s="916"/>
      <c r="F75" s="916"/>
      <c r="G75" s="916"/>
      <c r="H75" s="916"/>
      <c r="I75" s="916"/>
      <c r="J75" s="956"/>
      <c r="K75" s="926"/>
      <c r="L75" s="996"/>
      <c r="M75" s="950"/>
      <c r="N75" s="950"/>
      <c r="O75" s="94"/>
      <c r="P75" s="94"/>
      <c r="Q75" s="950"/>
    </row>
    <row r="76" spans="1:17" ht="14.25" hidden="1" customHeight="1" x14ac:dyDescent="0.2">
      <c r="A76" s="907"/>
      <c r="B76" s="947" t="s">
        <v>3627</v>
      </c>
      <c r="C76" s="916"/>
      <c r="D76" s="916"/>
      <c r="E76" s="916"/>
      <c r="F76" s="916"/>
      <c r="G76" s="916"/>
      <c r="H76" s="916"/>
      <c r="I76" s="916"/>
      <c r="J76" s="956"/>
      <c r="K76" s="926"/>
      <c r="L76" s="996"/>
      <c r="M76" s="950"/>
      <c r="N76" s="950"/>
      <c r="O76" s="94"/>
      <c r="P76" s="94"/>
      <c r="Q76" s="950"/>
    </row>
    <row r="77" spans="1:17" ht="14.25" hidden="1" customHeight="1" x14ac:dyDescent="0.2">
      <c r="A77" s="907"/>
      <c r="B77" s="947" t="s">
        <v>3628</v>
      </c>
      <c r="C77" s="916"/>
      <c r="D77" s="916"/>
      <c r="E77" s="916"/>
      <c r="F77" s="916"/>
      <c r="G77" s="916"/>
      <c r="H77" s="916"/>
      <c r="I77" s="916"/>
      <c r="J77" s="956"/>
      <c r="K77" s="926"/>
      <c r="L77" s="996"/>
      <c r="M77" s="950"/>
      <c r="N77" s="950"/>
      <c r="O77" s="94"/>
      <c r="P77" s="94"/>
      <c r="Q77" s="950"/>
    </row>
    <row r="78" spans="1:17" ht="14.25" hidden="1" customHeight="1" x14ac:dyDescent="0.2">
      <c r="A78" s="907"/>
      <c r="B78" s="947" t="s">
        <v>3629</v>
      </c>
      <c r="C78" s="916"/>
      <c r="D78" s="916"/>
      <c r="E78" s="916"/>
      <c r="F78" s="916"/>
      <c r="G78" s="916"/>
      <c r="H78" s="916"/>
      <c r="I78" s="916"/>
      <c r="J78" s="956"/>
      <c r="K78" s="926"/>
      <c r="L78" s="996"/>
      <c r="M78" s="950"/>
      <c r="N78" s="950"/>
      <c r="O78" s="94"/>
      <c r="P78" s="94"/>
      <c r="Q78" s="950"/>
    </row>
    <row r="79" spans="1:17" ht="14.25" hidden="1" customHeight="1" x14ac:dyDescent="0.2">
      <c r="A79" s="907"/>
      <c r="B79" s="947" t="s">
        <v>3630</v>
      </c>
      <c r="C79" s="916"/>
      <c r="D79" s="916"/>
      <c r="E79" s="916"/>
      <c r="F79" s="916"/>
      <c r="G79" s="916"/>
      <c r="H79" s="916"/>
      <c r="I79" s="916"/>
      <c r="J79" s="956"/>
      <c r="K79" s="926"/>
      <c r="L79" s="996"/>
      <c r="M79" s="950"/>
      <c r="N79" s="950"/>
      <c r="O79" s="94"/>
      <c r="P79" s="94"/>
      <c r="Q79" s="950"/>
    </row>
    <row r="80" spans="1:17" ht="14.25" hidden="1" customHeight="1" x14ac:dyDescent="0.2">
      <c r="A80" s="907"/>
      <c r="B80" s="947" t="s">
        <v>3631</v>
      </c>
      <c r="C80" s="916"/>
      <c r="D80" s="916"/>
      <c r="E80" s="916"/>
      <c r="F80" s="916"/>
      <c r="G80" s="916"/>
      <c r="H80" s="916"/>
      <c r="I80" s="916"/>
      <c r="J80" s="956"/>
      <c r="K80" s="926"/>
      <c r="L80" s="996"/>
      <c r="M80" s="950"/>
      <c r="N80" s="950"/>
      <c r="O80" s="94"/>
      <c r="P80" s="94"/>
      <c r="Q80" s="950"/>
    </row>
    <row r="81" spans="1:17" ht="14.25" hidden="1" customHeight="1" x14ac:dyDescent="0.2">
      <c r="A81" s="907"/>
      <c r="B81" s="947" t="s">
        <v>3632</v>
      </c>
      <c r="C81" s="916"/>
      <c r="D81" s="916"/>
      <c r="E81" s="916"/>
      <c r="F81" s="916"/>
      <c r="G81" s="916"/>
      <c r="H81" s="916"/>
      <c r="I81" s="916"/>
      <c r="J81" s="956"/>
      <c r="K81" s="926"/>
      <c r="L81" s="996"/>
      <c r="M81" s="950"/>
      <c r="N81" s="950"/>
      <c r="O81" s="94"/>
      <c r="P81" s="94"/>
      <c r="Q81" s="950"/>
    </row>
    <row r="82" spans="1:17" ht="14.25" hidden="1" customHeight="1" x14ac:dyDescent="0.2">
      <c r="A82" s="907"/>
      <c r="B82" s="947" t="s">
        <v>3633</v>
      </c>
      <c r="C82" s="916"/>
      <c r="D82" s="916"/>
      <c r="E82" s="916"/>
      <c r="F82" s="916"/>
      <c r="G82" s="916"/>
      <c r="H82" s="916"/>
      <c r="I82" s="916"/>
      <c r="J82" s="956"/>
      <c r="K82" s="926"/>
      <c r="L82" s="996"/>
      <c r="M82" s="950"/>
      <c r="N82" s="950"/>
      <c r="O82" s="94"/>
      <c r="P82" s="94"/>
      <c r="Q82" s="950"/>
    </row>
    <row r="83" spans="1:17" ht="14.25" hidden="1" customHeight="1" x14ac:dyDescent="0.2">
      <c r="A83" s="907"/>
      <c r="B83" s="907"/>
      <c r="C83" s="916"/>
      <c r="D83" s="916"/>
      <c r="E83" s="916"/>
      <c r="F83" s="916"/>
      <c r="G83" s="916"/>
      <c r="H83" s="916"/>
      <c r="I83" s="916"/>
      <c r="J83" s="956"/>
      <c r="K83" s="926"/>
      <c r="L83" s="926"/>
      <c r="M83" s="950"/>
      <c r="N83" s="950"/>
      <c r="O83" s="94"/>
      <c r="P83" s="94"/>
      <c r="Q83" s="950"/>
    </row>
    <row r="84" spans="1:17" ht="14.25" hidden="1" customHeight="1" x14ac:dyDescent="0.2">
      <c r="A84" s="907"/>
      <c r="B84" s="916"/>
      <c r="C84" s="916" t="s">
        <v>3611</v>
      </c>
      <c r="D84" s="916"/>
      <c r="E84" s="916"/>
      <c r="F84" s="916"/>
      <c r="G84" s="916"/>
      <c r="H84" s="916"/>
      <c r="I84" s="916"/>
      <c r="J84" s="956"/>
      <c r="K84" s="926"/>
      <c r="L84" s="950"/>
      <c r="M84" s="950"/>
      <c r="N84" s="950"/>
      <c r="O84" s="94"/>
      <c r="P84" s="94"/>
      <c r="Q84" s="950"/>
    </row>
    <row r="85" spans="1:17" ht="28.5" hidden="1" customHeight="1" x14ac:dyDescent="0.2">
      <c r="A85" s="907"/>
      <c r="B85" s="918" t="s">
        <v>3623</v>
      </c>
      <c r="C85" s="916"/>
      <c r="D85" s="916"/>
      <c r="E85" s="916"/>
      <c r="F85" s="916"/>
      <c r="G85" s="916"/>
      <c r="H85" s="916"/>
      <c r="I85" s="916"/>
      <c r="J85" s="956"/>
      <c r="K85" s="926"/>
      <c r="L85" s="950"/>
      <c r="M85" s="950"/>
      <c r="N85" s="950"/>
      <c r="O85" s="926"/>
      <c r="P85" s="950"/>
      <c r="Q85" s="950"/>
    </row>
    <row r="86" spans="1:17" ht="14.25" hidden="1" customHeight="1" x14ac:dyDescent="0.2">
      <c r="A86" s="907"/>
      <c r="B86" s="946" t="s">
        <v>3639</v>
      </c>
      <c r="C86" s="916"/>
      <c r="D86" s="916"/>
      <c r="E86" s="916"/>
      <c r="F86" s="916"/>
      <c r="G86" s="916"/>
      <c r="H86" s="916"/>
      <c r="I86" s="916"/>
      <c r="J86" s="956"/>
      <c r="K86" s="926"/>
      <c r="L86" s="996"/>
      <c r="M86" s="950"/>
      <c r="N86" s="950"/>
      <c r="O86" s="950"/>
      <c r="P86" s="926"/>
      <c r="Q86" s="950"/>
    </row>
    <row r="87" spans="1:17" ht="14.25" hidden="1" customHeight="1" x14ac:dyDescent="0.2">
      <c r="A87" s="907"/>
      <c r="B87" s="946" t="s">
        <v>3640</v>
      </c>
      <c r="C87" s="916"/>
      <c r="D87" s="916"/>
      <c r="E87" s="916"/>
      <c r="F87" s="916"/>
      <c r="G87" s="916"/>
      <c r="H87" s="916"/>
      <c r="I87" s="916"/>
      <c r="J87" s="956"/>
      <c r="K87" s="926"/>
      <c r="L87" s="996"/>
      <c r="M87" s="950"/>
      <c r="N87" s="950"/>
      <c r="O87" s="950"/>
      <c r="P87" s="950"/>
      <c r="Q87" s="950"/>
    </row>
    <row r="88" spans="1:17" ht="14.25" hidden="1" customHeight="1" x14ac:dyDescent="0.2">
      <c r="A88" s="907"/>
      <c r="B88" s="946" t="s">
        <v>3641</v>
      </c>
      <c r="C88" s="916"/>
      <c r="D88" s="916"/>
      <c r="E88" s="916"/>
      <c r="F88" s="916"/>
      <c r="G88" s="916"/>
      <c r="H88" s="916"/>
      <c r="I88" s="916"/>
      <c r="J88" s="956"/>
      <c r="K88" s="926"/>
      <c r="L88" s="996"/>
      <c r="M88" s="950"/>
      <c r="N88" s="950"/>
      <c r="O88" s="950"/>
      <c r="P88" s="950"/>
      <c r="Q88" s="950"/>
    </row>
    <row r="89" spans="1:17" ht="14.25" hidden="1" customHeight="1" x14ac:dyDescent="0.2">
      <c r="A89" s="907"/>
      <c r="B89" s="946" t="s">
        <v>3642</v>
      </c>
      <c r="C89" s="916"/>
      <c r="D89" s="916"/>
      <c r="E89" s="916"/>
      <c r="F89" s="916"/>
      <c r="G89" s="916"/>
      <c r="H89" s="916"/>
      <c r="I89" s="916"/>
      <c r="J89" s="956"/>
      <c r="K89" s="926"/>
      <c r="L89" s="996"/>
      <c r="M89" s="950"/>
      <c r="N89" s="950"/>
      <c r="O89" s="950"/>
      <c r="P89" s="950"/>
      <c r="Q89" s="950"/>
    </row>
    <row r="90" spans="1:17" ht="14.25" hidden="1" customHeight="1" x14ac:dyDescent="0.2">
      <c r="A90" s="907"/>
      <c r="B90" s="946" t="s">
        <v>3643</v>
      </c>
      <c r="C90" s="916"/>
      <c r="D90" s="916"/>
      <c r="E90" s="916"/>
      <c r="F90" s="916"/>
      <c r="G90" s="916"/>
      <c r="H90" s="916"/>
      <c r="I90" s="916"/>
      <c r="J90" s="956"/>
      <c r="K90" s="926"/>
      <c r="L90" s="996"/>
      <c r="M90" s="950"/>
      <c r="N90" s="950"/>
      <c r="O90" s="950"/>
      <c r="P90" s="950"/>
      <c r="Q90" s="950"/>
    </row>
    <row r="91" spans="1:17" ht="14.25" hidden="1" customHeight="1" x14ac:dyDescent="0.2">
      <c r="A91" s="907"/>
      <c r="B91" s="946" t="s">
        <v>3644</v>
      </c>
      <c r="C91" s="916"/>
      <c r="D91" s="916"/>
      <c r="E91" s="916"/>
      <c r="F91" s="916"/>
      <c r="G91" s="916"/>
      <c r="H91" s="916"/>
      <c r="I91" s="916"/>
      <c r="J91" s="956"/>
      <c r="K91" s="926"/>
      <c r="L91" s="996"/>
      <c r="M91" s="950"/>
      <c r="N91" s="950"/>
      <c r="O91" s="950"/>
      <c r="P91" s="950"/>
      <c r="Q91" s="950"/>
    </row>
    <row r="92" spans="1:17" ht="14.25" hidden="1" customHeight="1" x14ac:dyDescent="0.2">
      <c r="A92" s="907"/>
      <c r="B92" s="946" t="s">
        <v>3645</v>
      </c>
      <c r="C92" s="916"/>
      <c r="D92" s="916"/>
      <c r="E92" s="916"/>
      <c r="F92" s="916"/>
      <c r="G92" s="916"/>
      <c r="H92" s="916"/>
      <c r="I92" s="916"/>
      <c r="J92" s="956"/>
      <c r="K92" s="926"/>
      <c r="L92" s="996"/>
      <c r="M92" s="950"/>
      <c r="N92" s="950"/>
      <c r="O92" s="950"/>
      <c r="P92" s="950"/>
      <c r="Q92" s="950"/>
    </row>
    <row r="93" spans="1:17" ht="14.25" hidden="1" customHeight="1" x14ac:dyDescent="0.2">
      <c r="A93" s="907"/>
      <c r="B93" s="946" t="s">
        <v>3646</v>
      </c>
      <c r="C93" s="916"/>
      <c r="D93" s="916"/>
      <c r="E93" s="916"/>
      <c r="F93" s="916"/>
      <c r="G93" s="916"/>
      <c r="H93" s="916"/>
      <c r="I93" s="916"/>
      <c r="J93" s="956"/>
      <c r="K93" s="926"/>
      <c r="L93" s="996"/>
      <c r="M93" s="950"/>
      <c r="N93" s="950"/>
      <c r="O93" s="950"/>
      <c r="P93" s="950"/>
      <c r="Q93" s="950"/>
    </row>
    <row r="94" spans="1:17" ht="14.25" hidden="1" customHeight="1" x14ac:dyDescent="0.2">
      <c r="A94" s="907"/>
      <c r="B94" s="946" t="s">
        <v>3647</v>
      </c>
      <c r="C94" s="916"/>
      <c r="D94" s="916"/>
      <c r="E94" s="916"/>
      <c r="F94" s="916"/>
      <c r="G94" s="916"/>
      <c r="H94" s="916"/>
      <c r="I94" s="916"/>
      <c r="J94" s="956"/>
      <c r="K94" s="926"/>
      <c r="L94" s="996"/>
      <c r="M94" s="950"/>
      <c r="N94" s="950"/>
      <c r="O94" s="950"/>
      <c r="P94" s="950"/>
      <c r="Q94" s="950"/>
    </row>
    <row r="95" spans="1:17" ht="14.25" hidden="1" customHeight="1" x14ac:dyDescent="0.2">
      <c r="A95" s="907"/>
      <c r="B95" s="916"/>
      <c r="C95" s="916" t="s">
        <v>3613</v>
      </c>
      <c r="D95" s="916"/>
      <c r="E95" s="916"/>
      <c r="F95" s="916"/>
      <c r="G95" s="916"/>
      <c r="H95" s="916"/>
      <c r="I95" s="916"/>
      <c r="J95" s="956"/>
      <c r="K95" s="926"/>
      <c r="L95" s="926"/>
      <c r="M95" s="950"/>
      <c r="N95" s="950"/>
      <c r="O95" s="950"/>
      <c r="P95" s="950"/>
      <c r="Q95" s="950"/>
    </row>
    <row r="96" spans="1:17" ht="12.75" hidden="1" customHeight="1" x14ac:dyDescent="0.2">
      <c r="A96" s="907"/>
      <c r="B96" s="907"/>
      <c r="C96" s="907"/>
      <c r="D96" s="907"/>
      <c r="E96" s="907"/>
      <c r="F96" s="907"/>
      <c r="G96" s="907"/>
      <c r="H96" s="907"/>
      <c r="I96" s="907"/>
      <c r="J96" s="927"/>
      <c r="K96" s="927"/>
      <c r="L96" s="950"/>
      <c r="M96" s="950"/>
      <c r="N96" s="950"/>
      <c r="O96" s="950"/>
      <c r="P96" s="950"/>
      <c r="Q96" s="950"/>
    </row>
    <row r="97" spans="1:17" x14ac:dyDescent="0.2">
      <c r="A97" s="907"/>
      <c r="B97" s="907"/>
      <c r="C97" s="907"/>
      <c r="D97" s="907"/>
      <c r="E97" s="907"/>
      <c r="F97" s="907"/>
      <c r="G97" s="907"/>
      <c r="H97" s="907"/>
      <c r="I97" s="907"/>
      <c r="J97" s="927"/>
      <c r="K97" s="927"/>
      <c r="L97" s="950"/>
      <c r="M97" s="950"/>
      <c r="N97" s="950"/>
      <c r="O97" s="950"/>
      <c r="P97" s="950"/>
      <c r="Q97" s="950"/>
    </row>
    <row r="98" spans="1:17" x14ac:dyDescent="0.2">
      <c r="A98" s="907"/>
      <c r="B98" s="907"/>
      <c r="C98" s="907"/>
      <c r="D98" s="907"/>
      <c r="E98" s="907"/>
      <c r="F98" s="907"/>
      <c r="G98" s="907"/>
      <c r="H98" s="907"/>
      <c r="I98" s="907"/>
      <c r="J98" s="927"/>
      <c r="K98" s="927"/>
      <c r="L98" s="950"/>
      <c r="M98" s="950"/>
      <c r="N98" s="950"/>
      <c r="O98" s="950"/>
      <c r="P98" s="950"/>
      <c r="Q98" s="950"/>
    </row>
    <row r="99" spans="1:17" x14ac:dyDescent="0.2">
      <c r="A99" s="928" t="s">
        <v>804</v>
      </c>
      <c r="B99" s="1144" t="s">
        <v>4072</v>
      </c>
      <c r="C99" s="1102"/>
      <c r="D99" s="1102"/>
      <c r="E99" s="1102"/>
      <c r="F99" s="1102"/>
      <c r="G99" s="1102"/>
      <c r="H99" s="1102"/>
      <c r="I99" s="929"/>
      <c r="J99" s="927"/>
      <c r="K99" s="927"/>
      <c r="L99" s="950"/>
      <c r="M99" s="950"/>
      <c r="N99" s="950"/>
      <c r="O99" s="950"/>
      <c r="P99" s="950"/>
      <c r="Q99" s="950"/>
    </row>
    <row r="100" spans="1:17" x14ac:dyDescent="0.2">
      <c r="A100" s="907"/>
      <c r="B100" s="907"/>
      <c r="C100" s="907"/>
      <c r="D100" s="907"/>
      <c r="E100" s="907"/>
      <c r="F100" s="907"/>
      <c r="G100" s="907"/>
      <c r="H100" s="907"/>
      <c r="I100" s="907"/>
      <c r="J100" s="927"/>
      <c r="K100" s="927"/>
      <c r="L100" s="950"/>
      <c r="M100" s="950"/>
      <c r="N100" s="950"/>
      <c r="O100" s="950"/>
      <c r="P100" s="950"/>
      <c r="Q100" s="950"/>
    </row>
    <row r="101" spans="1:17" x14ac:dyDescent="0.2">
      <c r="A101" s="907"/>
      <c r="B101" s="907"/>
      <c r="C101" s="907"/>
      <c r="D101" s="907"/>
      <c r="E101" s="907"/>
      <c r="F101" s="907"/>
      <c r="G101" s="907"/>
      <c r="H101" s="907"/>
      <c r="I101" s="907"/>
      <c r="J101" s="927"/>
      <c r="K101" s="927"/>
      <c r="L101" s="950"/>
      <c r="M101" s="950"/>
      <c r="N101" s="950"/>
      <c r="O101" s="950"/>
      <c r="P101" s="950"/>
      <c r="Q101" s="950"/>
    </row>
    <row r="102" spans="1:17" x14ac:dyDescent="0.2">
      <c r="A102" s="907"/>
      <c r="B102" s="930"/>
      <c r="C102" s="765" t="s">
        <v>2032</v>
      </c>
      <c r="D102" s="765" t="s">
        <v>2033</v>
      </c>
      <c r="E102" s="907"/>
      <c r="F102" s="907"/>
      <c r="G102" s="907"/>
      <c r="H102" s="907"/>
      <c r="I102" s="907"/>
      <c r="J102" s="927"/>
      <c r="K102" s="927"/>
      <c r="L102" s="950"/>
      <c r="M102" s="950"/>
      <c r="N102" s="950"/>
      <c r="O102" s="950"/>
      <c r="P102" s="950"/>
      <c r="Q102" s="950"/>
    </row>
    <row r="103" spans="1:17" x14ac:dyDescent="0.2">
      <c r="A103" s="907"/>
      <c r="B103" s="952" t="s">
        <v>1095</v>
      </c>
      <c r="C103" s="857">
        <f>G149</f>
        <v>0</v>
      </c>
      <c r="D103" s="857">
        <f>H149</f>
        <v>0</v>
      </c>
      <c r="E103" s="907"/>
      <c r="F103" s="907"/>
      <c r="G103" s="907"/>
      <c r="H103" s="907"/>
      <c r="I103" s="907"/>
      <c r="J103" s="927"/>
      <c r="K103" s="927"/>
      <c r="L103" s="950"/>
      <c r="M103" s="950"/>
      <c r="N103" s="950"/>
      <c r="O103" s="950"/>
      <c r="P103" s="950"/>
      <c r="Q103" s="950"/>
    </row>
    <row r="104" spans="1:17" x14ac:dyDescent="0.2">
      <c r="A104" s="907"/>
      <c r="B104" s="930" t="s">
        <v>4061</v>
      </c>
      <c r="C104" s="857">
        <f>G150</f>
        <v>0</v>
      </c>
      <c r="D104" s="857">
        <f>H150</f>
        <v>0</v>
      </c>
      <c r="E104" s="907"/>
      <c r="F104" s="907"/>
      <c r="G104" s="907"/>
      <c r="H104" s="907"/>
      <c r="I104" s="907"/>
      <c r="J104" s="927"/>
      <c r="K104" s="927"/>
      <c r="L104" s="950"/>
      <c r="M104" s="950"/>
      <c r="N104" s="950"/>
      <c r="O104" s="950"/>
      <c r="P104" s="950"/>
      <c r="Q104" s="950"/>
    </row>
    <row r="105" spans="1:17" x14ac:dyDescent="0.2">
      <c r="A105" s="907"/>
      <c r="B105" s="930" t="s">
        <v>4014</v>
      </c>
      <c r="C105" s="857">
        <f t="shared" ref="C105:C114" si="0">G151</f>
        <v>0</v>
      </c>
      <c r="D105" s="857">
        <f t="shared" ref="D105:D114" si="1">H151</f>
        <v>0</v>
      </c>
      <c r="E105" s="907"/>
      <c r="F105" s="907"/>
      <c r="G105" s="907"/>
      <c r="H105" s="907"/>
      <c r="I105" s="907"/>
      <c r="J105" s="927"/>
      <c r="K105" s="927"/>
      <c r="L105" s="950"/>
      <c r="M105" s="950"/>
      <c r="N105" s="950"/>
      <c r="O105" s="950"/>
      <c r="P105" s="950"/>
      <c r="Q105" s="950"/>
    </row>
    <row r="106" spans="1:17" x14ac:dyDescent="0.2">
      <c r="A106" s="907"/>
      <c r="B106" s="930" t="s">
        <v>3956</v>
      </c>
      <c r="C106" s="857">
        <f t="shared" si="0"/>
        <v>0</v>
      </c>
      <c r="D106" s="857">
        <f t="shared" si="1"/>
        <v>0</v>
      </c>
      <c r="E106" s="907"/>
      <c r="F106" s="907"/>
      <c r="G106" s="907"/>
      <c r="H106" s="907"/>
      <c r="I106" s="907"/>
      <c r="J106" s="927"/>
      <c r="K106" s="927"/>
      <c r="L106" s="950"/>
      <c r="M106" s="950"/>
      <c r="N106" s="950"/>
      <c r="O106" s="950"/>
      <c r="P106" s="950"/>
      <c r="Q106" s="950"/>
    </row>
    <row r="107" spans="1:17" x14ac:dyDescent="0.2">
      <c r="A107" s="907"/>
      <c r="B107" s="930" t="s">
        <v>3957</v>
      </c>
      <c r="C107" s="857">
        <f t="shared" si="0"/>
        <v>0</v>
      </c>
      <c r="D107" s="857">
        <f t="shared" si="1"/>
        <v>0</v>
      </c>
      <c r="E107" s="907"/>
      <c r="F107" s="907"/>
      <c r="G107" s="907"/>
      <c r="H107" s="907"/>
      <c r="I107" s="907"/>
      <c r="J107" s="927"/>
      <c r="K107" s="927"/>
      <c r="L107" s="950"/>
      <c r="M107" s="950"/>
      <c r="N107" s="950"/>
      <c r="O107" s="950"/>
      <c r="P107" s="950"/>
      <c r="Q107" s="950"/>
    </row>
    <row r="108" spans="1:17" x14ac:dyDescent="0.2">
      <c r="A108" s="907"/>
      <c r="B108" s="930" t="s">
        <v>3958</v>
      </c>
      <c r="C108" s="857">
        <f t="shared" si="0"/>
        <v>0</v>
      </c>
      <c r="D108" s="857">
        <f t="shared" si="1"/>
        <v>0</v>
      </c>
      <c r="E108" s="907"/>
      <c r="F108" s="907"/>
      <c r="G108" s="907"/>
      <c r="H108" s="907"/>
      <c r="I108" s="907"/>
      <c r="J108" s="927"/>
      <c r="K108" s="927"/>
      <c r="L108" s="950"/>
      <c r="M108" s="950"/>
      <c r="N108" s="950"/>
      <c r="O108" s="950"/>
      <c r="P108" s="950"/>
      <c r="Q108" s="950"/>
    </row>
    <row r="109" spans="1:17" x14ac:dyDescent="0.2">
      <c r="A109" s="907"/>
      <c r="B109" s="930" t="s">
        <v>3959</v>
      </c>
      <c r="C109" s="857">
        <f t="shared" si="0"/>
        <v>0</v>
      </c>
      <c r="D109" s="857">
        <f t="shared" si="1"/>
        <v>0</v>
      </c>
      <c r="E109" s="907"/>
      <c r="F109" s="907"/>
      <c r="G109" s="907"/>
      <c r="H109" s="907"/>
      <c r="I109" s="907"/>
      <c r="J109" s="927"/>
      <c r="K109" s="927"/>
      <c r="L109" s="950"/>
      <c r="M109" s="950"/>
      <c r="N109" s="950"/>
      <c r="O109" s="950"/>
      <c r="P109" s="950"/>
      <c r="Q109" s="950"/>
    </row>
    <row r="110" spans="1:17" x14ac:dyDescent="0.2">
      <c r="A110" s="907"/>
      <c r="B110" s="930" t="s">
        <v>4012</v>
      </c>
      <c r="C110" s="857">
        <f t="shared" si="0"/>
        <v>0</v>
      </c>
      <c r="D110" s="857">
        <f t="shared" si="1"/>
        <v>0</v>
      </c>
      <c r="E110" s="907"/>
      <c r="F110" s="907"/>
      <c r="G110" s="907"/>
      <c r="H110" s="907"/>
      <c r="I110" s="907"/>
      <c r="J110" s="927"/>
      <c r="K110" s="927"/>
      <c r="L110" s="950"/>
      <c r="M110" s="950"/>
      <c r="N110" s="950"/>
      <c r="O110" s="950"/>
      <c r="P110" s="950"/>
      <c r="Q110" s="950"/>
    </row>
    <row r="111" spans="1:17" x14ac:dyDescent="0.2">
      <c r="A111" s="907"/>
      <c r="B111" s="930" t="s">
        <v>3960</v>
      </c>
      <c r="C111" s="857">
        <f t="shared" si="0"/>
        <v>0</v>
      </c>
      <c r="D111" s="857">
        <f t="shared" si="1"/>
        <v>0</v>
      </c>
      <c r="E111" s="907"/>
      <c r="F111" s="907"/>
      <c r="G111" s="907"/>
      <c r="H111" s="907"/>
      <c r="I111" s="907"/>
      <c r="J111" s="927"/>
      <c r="K111" s="927"/>
      <c r="L111" s="950"/>
      <c r="M111" s="950"/>
      <c r="N111" s="950"/>
      <c r="O111" s="950"/>
      <c r="P111" s="950"/>
      <c r="Q111" s="950"/>
    </row>
    <row r="112" spans="1:17" x14ac:dyDescent="0.2">
      <c r="A112" s="907"/>
      <c r="B112" s="930" t="s">
        <v>3961</v>
      </c>
      <c r="C112" s="857">
        <f t="shared" si="0"/>
        <v>0</v>
      </c>
      <c r="D112" s="857">
        <f t="shared" si="1"/>
        <v>0</v>
      </c>
      <c r="E112" s="907"/>
      <c r="F112" s="907"/>
      <c r="G112" s="907"/>
      <c r="H112" s="907"/>
      <c r="I112" s="907"/>
      <c r="J112" s="927"/>
      <c r="K112" s="927"/>
      <c r="L112" s="950"/>
      <c r="M112" s="950"/>
      <c r="N112" s="950"/>
      <c r="O112" s="950"/>
      <c r="P112" s="950"/>
      <c r="Q112" s="950"/>
    </row>
    <row r="113" spans="1:17" x14ac:dyDescent="0.2">
      <c r="A113" s="907"/>
      <c r="B113" s="930" t="s">
        <v>3962</v>
      </c>
      <c r="C113" s="857">
        <f t="shared" si="0"/>
        <v>0</v>
      </c>
      <c r="D113" s="857">
        <f t="shared" si="1"/>
        <v>0</v>
      </c>
      <c r="E113" s="907"/>
      <c r="F113" s="907"/>
      <c r="G113" s="907"/>
      <c r="H113" s="907"/>
      <c r="I113" s="907"/>
      <c r="J113" s="927"/>
      <c r="K113" s="927"/>
      <c r="L113" s="950"/>
      <c r="M113" s="950"/>
      <c r="N113" s="950"/>
      <c r="O113" s="950"/>
      <c r="P113" s="950"/>
      <c r="Q113" s="950"/>
    </row>
    <row r="114" spans="1:17" x14ac:dyDescent="0.2">
      <c r="A114" s="907"/>
      <c r="B114" s="927" t="s">
        <v>4030</v>
      </c>
      <c r="C114" s="857">
        <f t="shared" si="0"/>
        <v>0</v>
      </c>
      <c r="D114" s="857">
        <f t="shared" si="1"/>
        <v>0</v>
      </c>
      <c r="E114" s="927"/>
      <c r="F114" s="907"/>
      <c r="G114" s="907"/>
      <c r="H114" s="907"/>
      <c r="I114" s="907"/>
      <c r="J114" s="927"/>
      <c r="K114" s="927"/>
      <c r="L114" s="950"/>
      <c r="M114" s="950"/>
      <c r="N114" s="950"/>
      <c r="O114" s="950"/>
      <c r="P114" s="950"/>
      <c r="Q114" s="950"/>
    </row>
    <row r="115" spans="1:17" x14ac:dyDescent="0.2">
      <c r="A115" s="907"/>
      <c r="B115" s="907" t="s">
        <v>4031</v>
      </c>
      <c r="C115" s="857">
        <f t="shared" ref="C115:D130" si="2">G161</f>
        <v>0</v>
      </c>
      <c r="D115" s="857">
        <f>H161</f>
        <v>0</v>
      </c>
      <c r="E115" s="927"/>
      <c r="F115" s="907"/>
      <c r="G115" s="907"/>
      <c r="H115" s="907"/>
      <c r="I115" s="907"/>
      <c r="J115" s="927"/>
      <c r="K115" s="927"/>
      <c r="L115" s="950"/>
      <c r="M115" s="950"/>
      <c r="N115" s="950"/>
      <c r="O115" s="950"/>
      <c r="P115" s="950"/>
      <c r="Q115" s="950"/>
    </row>
    <row r="116" spans="1:17" x14ac:dyDescent="0.2">
      <c r="A116" s="907"/>
      <c r="B116" s="907" t="s">
        <v>4032</v>
      </c>
      <c r="C116" s="857">
        <f t="shared" si="2"/>
        <v>0</v>
      </c>
      <c r="D116" s="857">
        <f t="shared" si="2"/>
        <v>0</v>
      </c>
      <c r="E116" s="927"/>
      <c r="F116" s="907"/>
      <c r="G116" s="907"/>
      <c r="H116" s="907"/>
      <c r="I116" s="907"/>
      <c r="J116" s="927"/>
      <c r="K116" s="927"/>
      <c r="L116" s="950"/>
      <c r="M116" s="950"/>
      <c r="N116" s="950"/>
      <c r="O116" s="950"/>
      <c r="P116" s="950"/>
      <c r="Q116" s="950"/>
    </row>
    <row r="117" spans="1:17" x14ac:dyDescent="0.2">
      <c r="A117" s="907"/>
      <c r="B117" s="907" t="s">
        <v>4033</v>
      </c>
      <c r="C117" s="857">
        <f t="shared" si="2"/>
        <v>0</v>
      </c>
      <c r="D117" s="857">
        <f t="shared" si="2"/>
        <v>0</v>
      </c>
      <c r="E117" s="927"/>
      <c r="F117" s="907"/>
      <c r="G117" s="907"/>
      <c r="H117" s="907"/>
      <c r="I117" s="907"/>
      <c r="J117" s="927"/>
      <c r="K117" s="927"/>
      <c r="L117" s="950"/>
      <c r="M117" s="950"/>
      <c r="N117" s="950"/>
      <c r="O117" s="950"/>
      <c r="P117" s="950"/>
      <c r="Q117" s="950"/>
    </row>
    <row r="118" spans="1:17" x14ac:dyDescent="0.2">
      <c r="A118" s="907"/>
      <c r="B118" s="907" t="s">
        <v>4034</v>
      </c>
      <c r="C118" s="857">
        <f t="shared" si="2"/>
        <v>0</v>
      </c>
      <c r="D118" s="857">
        <f t="shared" si="2"/>
        <v>0</v>
      </c>
      <c r="E118" s="927"/>
      <c r="F118" s="907"/>
      <c r="G118" s="907"/>
      <c r="H118" s="907"/>
      <c r="I118" s="907"/>
      <c r="J118" s="927"/>
      <c r="K118" s="927"/>
      <c r="L118" s="950"/>
      <c r="M118" s="950"/>
      <c r="N118" s="950"/>
      <c r="O118" s="950"/>
      <c r="P118" s="950"/>
      <c r="Q118" s="950"/>
    </row>
    <row r="119" spans="1:17" x14ac:dyDescent="0.2">
      <c r="A119" s="907"/>
      <c r="B119" s="907" t="s">
        <v>4035</v>
      </c>
      <c r="C119" s="857">
        <f t="shared" si="2"/>
        <v>0</v>
      </c>
      <c r="D119" s="857">
        <f t="shared" si="2"/>
        <v>0</v>
      </c>
      <c r="E119" s="927"/>
      <c r="F119" s="907"/>
      <c r="G119" s="907"/>
      <c r="H119" s="907"/>
      <c r="I119" s="907"/>
      <c r="J119" s="927"/>
      <c r="K119" s="927"/>
      <c r="L119" s="950"/>
      <c r="M119" s="950"/>
      <c r="N119" s="950"/>
      <c r="O119" s="950"/>
      <c r="P119" s="950"/>
      <c r="Q119" s="950"/>
    </row>
    <row r="120" spans="1:17" x14ac:dyDescent="0.2">
      <c r="A120" s="907"/>
      <c r="B120" s="907" t="s">
        <v>4036</v>
      </c>
      <c r="C120" s="857">
        <f t="shared" si="2"/>
        <v>0</v>
      </c>
      <c r="D120" s="857">
        <f t="shared" si="2"/>
        <v>0</v>
      </c>
      <c r="E120" s="927"/>
      <c r="F120" s="907"/>
      <c r="G120" s="907"/>
      <c r="H120" s="907"/>
      <c r="I120" s="907"/>
      <c r="J120" s="927"/>
      <c r="K120" s="927"/>
      <c r="L120" s="950"/>
      <c r="M120" s="950"/>
      <c r="N120" s="950"/>
      <c r="O120" s="950"/>
      <c r="P120" s="950"/>
      <c r="Q120" s="950"/>
    </row>
    <row r="121" spans="1:17" x14ac:dyDescent="0.2">
      <c r="A121" s="907"/>
      <c r="B121" s="907" t="s">
        <v>4037</v>
      </c>
      <c r="C121" s="857">
        <f t="shared" si="2"/>
        <v>0</v>
      </c>
      <c r="D121" s="857">
        <f t="shared" si="2"/>
        <v>0</v>
      </c>
      <c r="E121" s="927"/>
      <c r="F121" s="907"/>
      <c r="G121" s="907"/>
      <c r="H121" s="907"/>
      <c r="I121" s="907"/>
      <c r="J121" s="927"/>
      <c r="K121" s="927"/>
      <c r="L121" s="950"/>
      <c r="M121" s="950"/>
      <c r="N121" s="950"/>
      <c r="O121" s="950"/>
      <c r="P121" s="950"/>
      <c r="Q121" s="950"/>
    </row>
    <row r="122" spans="1:17" x14ac:dyDescent="0.2">
      <c r="A122" s="907"/>
      <c r="B122" s="907" t="s">
        <v>4038</v>
      </c>
      <c r="C122" s="857">
        <f t="shared" si="2"/>
        <v>0</v>
      </c>
      <c r="D122" s="857">
        <f t="shared" si="2"/>
        <v>0</v>
      </c>
      <c r="E122" s="927"/>
      <c r="F122" s="907"/>
      <c r="G122" s="907"/>
      <c r="H122" s="907"/>
      <c r="I122" s="907"/>
      <c r="J122" s="927"/>
      <c r="K122" s="927"/>
      <c r="L122" s="950"/>
      <c r="M122" s="950"/>
      <c r="N122" s="950"/>
      <c r="O122" s="950"/>
      <c r="P122" s="950"/>
      <c r="Q122" s="950"/>
    </row>
    <row r="123" spans="1:17" x14ac:dyDescent="0.2">
      <c r="A123" s="907"/>
      <c r="B123" s="927" t="s">
        <v>3639</v>
      </c>
      <c r="C123" s="857">
        <f t="shared" si="2"/>
        <v>0</v>
      </c>
      <c r="D123" s="857">
        <f t="shared" si="2"/>
        <v>0</v>
      </c>
      <c r="E123" s="927"/>
      <c r="F123" s="907"/>
      <c r="G123" s="907"/>
      <c r="H123" s="907"/>
      <c r="I123" s="907"/>
      <c r="J123" s="927"/>
      <c r="K123" s="927"/>
      <c r="L123" s="950"/>
      <c r="M123" s="950"/>
      <c r="N123" s="950"/>
      <c r="O123" s="950"/>
      <c r="P123" s="950"/>
      <c r="Q123" s="950"/>
    </row>
    <row r="124" spans="1:17" x14ac:dyDescent="0.2">
      <c r="A124" s="907"/>
      <c r="B124" s="927" t="s">
        <v>3640</v>
      </c>
      <c r="C124" s="857">
        <f t="shared" si="2"/>
        <v>0</v>
      </c>
      <c r="D124" s="857">
        <f t="shared" si="2"/>
        <v>0</v>
      </c>
      <c r="E124" s="927"/>
      <c r="F124" s="907"/>
      <c r="G124" s="907"/>
      <c r="H124" s="907"/>
      <c r="I124" s="907"/>
      <c r="J124" s="927"/>
      <c r="K124" s="927"/>
      <c r="L124" s="950"/>
      <c r="M124" s="950"/>
      <c r="N124" s="950"/>
      <c r="O124" s="950"/>
      <c r="P124" s="950"/>
      <c r="Q124" s="950"/>
    </row>
    <row r="125" spans="1:17" x14ac:dyDescent="0.2">
      <c r="A125" s="907"/>
      <c r="B125" s="927" t="s">
        <v>3641</v>
      </c>
      <c r="C125" s="857">
        <f t="shared" si="2"/>
        <v>0</v>
      </c>
      <c r="D125" s="857">
        <f t="shared" si="2"/>
        <v>0</v>
      </c>
      <c r="E125" s="927"/>
      <c r="F125" s="907"/>
      <c r="G125" s="907"/>
      <c r="H125" s="907"/>
      <c r="I125" s="907"/>
      <c r="J125" s="927"/>
      <c r="K125" s="927"/>
      <c r="L125" s="950"/>
      <c r="M125" s="950"/>
      <c r="N125" s="950"/>
      <c r="O125" s="950"/>
      <c r="P125" s="950"/>
      <c r="Q125" s="950"/>
    </row>
    <row r="126" spans="1:17" x14ac:dyDescent="0.2">
      <c r="A126" s="907"/>
      <c r="B126" s="927" t="s">
        <v>3642</v>
      </c>
      <c r="C126" s="857">
        <f t="shared" si="2"/>
        <v>0</v>
      </c>
      <c r="D126" s="857">
        <f t="shared" si="2"/>
        <v>0</v>
      </c>
      <c r="E126" s="927"/>
      <c r="F126" s="907"/>
      <c r="G126" s="907"/>
      <c r="H126" s="907"/>
      <c r="I126" s="907"/>
      <c r="J126" s="927"/>
      <c r="K126" s="927"/>
      <c r="L126" s="950"/>
      <c r="M126" s="950"/>
      <c r="N126" s="950"/>
      <c r="O126" s="950"/>
      <c r="P126" s="950"/>
      <c r="Q126" s="950"/>
    </row>
    <row r="127" spans="1:17" x14ac:dyDescent="0.2">
      <c r="A127" s="907"/>
      <c r="B127" s="927" t="s">
        <v>3643</v>
      </c>
      <c r="C127" s="857">
        <f t="shared" si="2"/>
        <v>0</v>
      </c>
      <c r="D127" s="857">
        <f t="shared" si="2"/>
        <v>0</v>
      </c>
      <c r="E127" s="927"/>
      <c r="F127" s="907"/>
      <c r="G127" s="907"/>
      <c r="H127" s="907"/>
      <c r="I127" s="907"/>
      <c r="J127" s="927"/>
      <c r="K127" s="927"/>
      <c r="L127" s="950"/>
      <c r="M127" s="950"/>
      <c r="N127" s="950"/>
      <c r="O127" s="950"/>
      <c r="P127" s="950"/>
      <c r="Q127" s="950"/>
    </row>
    <row r="128" spans="1:17" x14ac:dyDescent="0.2">
      <c r="A128" s="907"/>
      <c r="B128" s="927" t="s">
        <v>3644</v>
      </c>
      <c r="C128" s="857">
        <f t="shared" si="2"/>
        <v>0</v>
      </c>
      <c r="D128" s="857">
        <f t="shared" si="2"/>
        <v>0</v>
      </c>
      <c r="E128" s="927"/>
      <c r="F128" s="907"/>
      <c r="G128" s="907"/>
      <c r="H128" s="907"/>
      <c r="I128" s="907"/>
      <c r="J128" s="927"/>
      <c r="K128" s="927"/>
      <c r="L128" s="950"/>
      <c r="M128" s="950"/>
      <c r="N128" s="950"/>
      <c r="O128" s="950"/>
      <c r="P128" s="950"/>
      <c r="Q128" s="950"/>
    </row>
    <row r="129" spans="1:17" x14ac:dyDescent="0.2">
      <c r="A129" s="907"/>
      <c r="B129" s="927" t="s">
        <v>4013</v>
      </c>
      <c r="C129" s="857">
        <f t="shared" si="2"/>
        <v>0</v>
      </c>
      <c r="D129" s="857">
        <f t="shared" si="2"/>
        <v>0</v>
      </c>
      <c r="E129" s="927"/>
      <c r="F129" s="907"/>
      <c r="G129" s="907"/>
      <c r="H129" s="907"/>
      <c r="I129" s="907"/>
      <c r="J129" s="927"/>
      <c r="K129" s="927"/>
      <c r="L129" s="950"/>
      <c r="M129" s="950"/>
      <c r="N129" s="950"/>
      <c r="O129" s="950"/>
      <c r="P129" s="950"/>
      <c r="Q129" s="950"/>
    </row>
    <row r="130" spans="1:17" x14ac:dyDescent="0.2">
      <c r="A130" s="907"/>
      <c r="B130" s="927" t="s">
        <v>3976</v>
      </c>
      <c r="C130" s="857">
        <f t="shared" si="2"/>
        <v>0</v>
      </c>
      <c r="D130" s="857">
        <f t="shared" si="2"/>
        <v>0</v>
      </c>
      <c r="E130" s="927"/>
      <c r="F130" s="907"/>
      <c r="G130" s="907"/>
      <c r="H130" s="907"/>
      <c r="I130" s="907"/>
      <c r="J130" s="927"/>
      <c r="K130" s="927"/>
      <c r="L130" s="950"/>
      <c r="M130" s="950"/>
      <c r="N130" s="950"/>
      <c r="O130" s="950"/>
      <c r="P130" s="950"/>
      <c r="Q130" s="950"/>
    </row>
    <row r="131" spans="1:17" x14ac:dyDescent="0.2">
      <c r="A131" s="907"/>
      <c r="B131" s="927" t="s">
        <v>3647</v>
      </c>
      <c r="C131" s="857">
        <f t="shared" ref="C131:D139" si="3">G177</f>
        <v>0</v>
      </c>
      <c r="D131" s="857">
        <f t="shared" si="3"/>
        <v>0</v>
      </c>
      <c r="E131" s="927"/>
      <c r="F131" s="907"/>
      <c r="G131" s="907"/>
      <c r="H131" s="907"/>
      <c r="I131" s="907"/>
      <c r="J131" s="927"/>
      <c r="K131" s="927"/>
      <c r="L131" s="950"/>
      <c r="M131" s="950"/>
      <c r="N131" s="950"/>
      <c r="O131" s="950"/>
      <c r="P131" s="950"/>
      <c r="Q131" s="950"/>
    </row>
    <row r="132" spans="1:17" ht="25.5" x14ac:dyDescent="0.2">
      <c r="A132" s="907"/>
      <c r="B132" s="930" t="s">
        <v>3574</v>
      </c>
      <c r="C132" s="857">
        <f t="shared" si="3"/>
        <v>0</v>
      </c>
      <c r="D132" s="857">
        <f t="shared" si="3"/>
        <v>0</v>
      </c>
      <c r="E132" s="907"/>
      <c r="F132" s="907"/>
      <c r="G132" s="907"/>
      <c r="H132" s="907"/>
      <c r="I132" s="907"/>
      <c r="J132" s="927"/>
      <c r="K132" s="927"/>
      <c r="L132" s="950"/>
      <c r="M132" s="950"/>
      <c r="N132" s="950"/>
      <c r="O132" s="950"/>
      <c r="P132" s="950"/>
      <c r="Q132" s="950"/>
    </row>
    <row r="133" spans="1:17" x14ac:dyDescent="0.2">
      <c r="A133" s="907"/>
      <c r="B133" s="930" t="s">
        <v>3575</v>
      </c>
      <c r="C133" s="857">
        <f t="shared" si="3"/>
        <v>0</v>
      </c>
      <c r="D133" s="857">
        <f t="shared" si="3"/>
        <v>0</v>
      </c>
      <c r="E133" s="907"/>
      <c r="F133" s="907"/>
      <c r="G133" s="907"/>
      <c r="H133" s="907"/>
      <c r="I133" s="907"/>
      <c r="J133" s="927"/>
      <c r="K133" s="927"/>
      <c r="L133" s="950"/>
      <c r="M133" s="950"/>
      <c r="N133" s="950"/>
      <c r="O133" s="950"/>
      <c r="P133" s="950"/>
      <c r="Q133" s="950"/>
    </row>
    <row r="134" spans="1:17" ht="25.5" x14ac:dyDescent="0.2">
      <c r="A134" s="907"/>
      <c r="B134" s="930" t="s">
        <v>3653</v>
      </c>
      <c r="C134" s="857">
        <f t="shared" si="3"/>
        <v>0</v>
      </c>
      <c r="D134" s="857">
        <f t="shared" si="3"/>
        <v>0</v>
      </c>
      <c r="E134" s="907"/>
      <c r="F134" s="907"/>
      <c r="G134" s="907"/>
      <c r="H134" s="907"/>
      <c r="I134" s="907"/>
      <c r="J134" s="927"/>
      <c r="K134" s="927"/>
      <c r="L134" s="950"/>
      <c r="M134" s="950"/>
      <c r="N134" s="950"/>
      <c r="O134" s="950"/>
      <c r="P134" s="950"/>
      <c r="Q134" s="950"/>
    </row>
    <row r="135" spans="1:17" ht="25.5" x14ac:dyDescent="0.2">
      <c r="A135" s="907"/>
      <c r="B135" s="930" t="s">
        <v>3577</v>
      </c>
      <c r="C135" s="857">
        <f t="shared" si="3"/>
        <v>0</v>
      </c>
      <c r="D135" s="857">
        <f t="shared" si="3"/>
        <v>0</v>
      </c>
      <c r="E135" s="907"/>
      <c r="F135" s="907"/>
      <c r="G135" s="907"/>
      <c r="H135" s="907"/>
      <c r="I135" s="907"/>
      <c r="J135" s="927"/>
      <c r="K135" s="927"/>
      <c r="L135" s="950"/>
      <c r="M135" s="950"/>
      <c r="N135" s="950"/>
      <c r="O135" s="950"/>
      <c r="P135" s="950"/>
      <c r="Q135" s="950"/>
    </row>
    <row r="136" spans="1:17" x14ac:dyDescent="0.2">
      <c r="A136" s="907"/>
      <c r="B136" s="930" t="s">
        <v>3579</v>
      </c>
      <c r="C136" s="857">
        <f t="shared" si="3"/>
        <v>0</v>
      </c>
      <c r="D136" s="857">
        <f t="shared" si="3"/>
        <v>0</v>
      </c>
      <c r="E136" s="907"/>
      <c r="F136" s="907"/>
      <c r="G136" s="907"/>
      <c r="H136" s="907"/>
      <c r="I136" s="907"/>
      <c r="J136" s="927"/>
      <c r="K136" s="927"/>
      <c r="L136" s="950"/>
      <c r="M136" s="950"/>
      <c r="N136" s="950"/>
      <c r="O136" s="950"/>
      <c r="P136" s="950"/>
      <c r="Q136" s="950"/>
    </row>
    <row r="137" spans="1:17" ht="25.5" x14ac:dyDescent="0.2">
      <c r="A137" s="907"/>
      <c r="B137" s="930" t="s">
        <v>3654</v>
      </c>
      <c r="C137" s="857">
        <f>G183</f>
        <v>0</v>
      </c>
      <c r="D137" s="857">
        <f t="shared" si="3"/>
        <v>0</v>
      </c>
      <c r="E137" s="907"/>
      <c r="F137" s="907"/>
      <c r="G137" s="907"/>
      <c r="H137" s="907"/>
      <c r="I137" s="907"/>
      <c r="J137" s="927"/>
      <c r="K137" s="927"/>
      <c r="L137" s="950"/>
      <c r="M137" s="950"/>
      <c r="N137" s="950"/>
      <c r="O137" s="950"/>
      <c r="P137" s="950"/>
      <c r="Q137" s="950"/>
    </row>
    <row r="138" spans="1:17" ht="25.5" x14ac:dyDescent="0.2">
      <c r="A138" s="907"/>
      <c r="B138" s="930" t="s">
        <v>4063</v>
      </c>
      <c r="C138" s="857">
        <f>G184</f>
        <v>0</v>
      </c>
      <c r="D138" s="857">
        <f t="shared" si="3"/>
        <v>0</v>
      </c>
      <c r="E138" s="907"/>
      <c r="F138" s="907"/>
      <c r="G138" s="907"/>
      <c r="H138" s="907"/>
      <c r="I138" s="907"/>
      <c r="J138" s="927"/>
      <c r="K138" s="927"/>
      <c r="L138" s="950"/>
      <c r="M138" s="950"/>
      <c r="N138" s="950"/>
      <c r="O138" s="950"/>
      <c r="P138" s="950"/>
      <c r="Q138" s="950"/>
    </row>
    <row r="139" spans="1:17" ht="25.5" x14ac:dyDescent="0.2">
      <c r="A139" s="907"/>
      <c r="B139" s="930" t="s">
        <v>3659</v>
      </c>
      <c r="C139" s="857">
        <f>G185</f>
        <v>0</v>
      </c>
      <c r="D139" s="857">
        <f t="shared" si="3"/>
        <v>0</v>
      </c>
      <c r="E139" s="907"/>
      <c r="F139" s="907"/>
      <c r="G139" s="907"/>
      <c r="H139" s="907"/>
      <c r="I139" s="907"/>
      <c r="J139" s="927"/>
      <c r="K139" s="927"/>
      <c r="L139" s="950"/>
      <c r="M139" s="950"/>
      <c r="N139" s="950"/>
      <c r="O139" s="950"/>
      <c r="P139" s="950"/>
      <c r="Q139" s="950"/>
    </row>
    <row r="140" spans="1:17" x14ac:dyDescent="0.2">
      <c r="A140" s="907"/>
      <c r="B140" s="930"/>
      <c r="C140" s="858"/>
      <c r="D140" s="858"/>
      <c r="E140" s="907"/>
      <c r="F140" s="907"/>
      <c r="G140" s="907"/>
      <c r="H140" s="907"/>
      <c r="I140" s="907"/>
      <c r="J140" s="927"/>
      <c r="K140" s="927"/>
      <c r="L140" s="950"/>
      <c r="M140" s="950"/>
      <c r="N140" s="950"/>
      <c r="O140" s="950"/>
      <c r="P140" s="950"/>
      <c r="Q140" s="950"/>
    </row>
    <row r="141" spans="1:17" ht="13.5" thickBot="1" x14ac:dyDescent="0.25">
      <c r="A141" s="907"/>
      <c r="B141" s="930"/>
      <c r="C141" s="859">
        <f>SUM(C103:C140)</f>
        <v>0</v>
      </c>
      <c r="D141" s="859">
        <f>SUM(D103:D140)</f>
        <v>0</v>
      </c>
      <c r="E141" s="907"/>
      <c r="F141" s="907"/>
      <c r="G141" s="907"/>
      <c r="H141" s="907"/>
      <c r="I141" s="907"/>
      <c r="J141" s="927"/>
      <c r="K141" s="927"/>
      <c r="L141" s="950"/>
      <c r="M141" s="950"/>
      <c r="N141" s="950"/>
      <c r="O141" s="950"/>
      <c r="P141" s="950"/>
      <c r="Q141" s="950"/>
    </row>
    <row r="142" spans="1:17" ht="13.5" thickTop="1" x14ac:dyDescent="0.2">
      <c r="A142" s="907"/>
      <c r="B142" s="907"/>
      <c r="C142" s="907"/>
      <c r="D142" s="907"/>
      <c r="E142" s="907"/>
      <c r="F142" s="907"/>
      <c r="G142" s="907"/>
      <c r="H142" s="907"/>
      <c r="I142" s="907"/>
      <c r="J142" s="927"/>
      <c r="K142" s="927"/>
      <c r="L142" s="950"/>
      <c r="M142" s="950"/>
      <c r="N142" s="950"/>
      <c r="O142" s="950"/>
      <c r="P142" s="950"/>
      <c r="Q142" s="950"/>
    </row>
    <row r="143" spans="1:17" x14ac:dyDescent="0.2">
      <c r="A143" s="907"/>
      <c r="B143" s="907"/>
      <c r="C143" s="907"/>
      <c r="D143" s="907"/>
      <c r="E143" s="907"/>
      <c r="F143" s="907"/>
      <c r="G143" s="907"/>
      <c r="H143" s="907"/>
      <c r="I143" s="907"/>
      <c r="J143" s="927"/>
      <c r="K143" s="927"/>
      <c r="L143" s="950"/>
      <c r="M143" s="950"/>
      <c r="N143" s="950"/>
      <c r="O143" s="950"/>
      <c r="P143" s="950"/>
      <c r="Q143" s="950"/>
    </row>
    <row r="144" spans="1:17" ht="23.25" customHeight="1" x14ac:dyDescent="0.2">
      <c r="A144" s="907"/>
      <c r="B144" s="931" t="s">
        <v>3616</v>
      </c>
      <c r="C144" s="931"/>
      <c r="D144" s="931"/>
      <c r="E144" s="931"/>
      <c r="F144" s="931"/>
      <c r="G144" s="931"/>
      <c r="H144" s="931"/>
      <c r="I144" s="907"/>
      <c r="J144" s="927"/>
      <c r="K144" s="927"/>
      <c r="L144" s="950"/>
      <c r="M144" s="950"/>
      <c r="N144" s="950"/>
      <c r="O144" s="950"/>
      <c r="P144" s="950"/>
      <c r="Q144" s="950"/>
    </row>
    <row r="145" spans="1:17" s="950" customFormat="1" ht="12.75" customHeight="1" x14ac:dyDescent="0.2">
      <c r="A145" s="927"/>
      <c r="B145" s="932"/>
      <c r="C145" s="932"/>
      <c r="D145" s="932"/>
      <c r="E145" s="932"/>
      <c r="F145" s="932"/>
      <c r="G145" s="932"/>
      <c r="H145" s="932"/>
      <c r="I145" s="927"/>
      <c r="J145" s="927"/>
      <c r="K145" s="927"/>
    </row>
    <row r="146" spans="1:17" ht="18" x14ac:dyDescent="0.2">
      <c r="A146" s="907"/>
      <c r="C146" s="933"/>
      <c r="D146" s="934"/>
      <c r="E146" s="935"/>
      <c r="F146" s="932"/>
      <c r="G146" s="1604" t="s">
        <v>905</v>
      </c>
      <c r="H146" s="1605"/>
      <c r="I146" s="907"/>
      <c r="J146" s="927"/>
      <c r="K146" s="927"/>
      <c r="L146" s="950"/>
      <c r="M146" s="950"/>
      <c r="N146" s="950"/>
      <c r="O146" s="950"/>
      <c r="P146" s="950"/>
      <c r="Q146" s="950"/>
    </row>
    <row r="147" spans="1:17" x14ac:dyDescent="0.2">
      <c r="A147" s="907"/>
      <c r="B147" s="936"/>
      <c r="C147" s="766"/>
      <c r="D147" s="904"/>
      <c r="E147" s="937"/>
      <c r="F147" s="938"/>
      <c r="G147" s="939"/>
      <c r="H147" s="940"/>
      <c r="I147" s="907"/>
      <c r="J147" s="927"/>
      <c r="K147" s="927"/>
      <c r="L147" s="950"/>
      <c r="M147" s="950"/>
      <c r="N147" s="950"/>
      <c r="O147" s="950"/>
      <c r="P147" s="950"/>
      <c r="Q147" s="950"/>
    </row>
    <row r="148" spans="1:17" x14ac:dyDescent="0.2">
      <c r="A148" s="907"/>
      <c r="B148" s="936"/>
      <c r="C148" s="713" t="s">
        <v>510</v>
      </c>
      <c r="D148" s="905" t="s">
        <v>511</v>
      </c>
      <c r="E148" s="941" t="s">
        <v>2073</v>
      </c>
      <c r="F148" s="938"/>
      <c r="G148" s="942" t="s">
        <v>510</v>
      </c>
      <c r="H148" s="943" t="s">
        <v>511</v>
      </c>
      <c r="I148" s="907"/>
      <c r="J148" s="927"/>
      <c r="K148" s="927"/>
      <c r="L148" s="950"/>
      <c r="M148" s="950"/>
      <c r="N148" s="950"/>
      <c r="O148" s="950"/>
      <c r="P148" s="950"/>
      <c r="Q148" s="950"/>
    </row>
    <row r="149" spans="1:17" x14ac:dyDescent="0.2">
      <c r="A149" s="907"/>
      <c r="B149" s="952" t="s">
        <v>1095</v>
      </c>
      <c r="C149" s="770">
        <f>IF(D31-D33-D35&gt;0,(D31-D33-D35)*D11,0)</f>
        <v>0</v>
      </c>
      <c r="D149" s="851">
        <f>IF(D31-D33-D35&lt;0,-(D31-D33-D35)*D11,0)</f>
        <v>0</v>
      </c>
      <c r="E149" s="868">
        <f t="shared" ref="E149:E185" si="4">C149-D149</f>
        <v>0</v>
      </c>
      <c r="F149" s="907"/>
      <c r="G149" s="869">
        <f t="shared" ref="G149:G150" si="5">IF(E149&lt;0,0,E149)</f>
        <v>0</v>
      </c>
      <c r="H149" s="769">
        <f t="shared" ref="H149:H150" si="6">IF(E149&gt;0,0,E149*-1)</f>
        <v>0</v>
      </c>
      <c r="I149" s="907"/>
      <c r="J149" s="1002"/>
      <c r="K149" s="927"/>
      <c r="L149" s="950"/>
      <c r="M149" s="950"/>
      <c r="N149" s="950"/>
      <c r="O149" s="950"/>
      <c r="P149" s="950"/>
      <c r="Q149" s="950"/>
    </row>
    <row r="150" spans="1:17" x14ac:dyDescent="0.2">
      <c r="A150" s="907"/>
      <c r="B150" s="930" t="s">
        <v>4061</v>
      </c>
      <c r="C150" s="770">
        <f>IF(D32&lt;0,D32*D11,0)</f>
        <v>0</v>
      </c>
      <c r="D150" s="851">
        <f>IF(D32&gt;0,D32*D11,0)</f>
        <v>0</v>
      </c>
      <c r="E150" s="868">
        <f t="shared" si="4"/>
        <v>0</v>
      </c>
      <c r="F150" s="907"/>
      <c r="G150" s="869">
        <f t="shared" si="5"/>
        <v>0</v>
      </c>
      <c r="H150" s="769">
        <f t="shared" si="6"/>
        <v>0</v>
      </c>
      <c r="I150" s="907"/>
      <c r="J150" s="1002"/>
      <c r="K150" s="927"/>
      <c r="L150" s="950"/>
      <c r="M150" s="950"/>
      <c r="N150" s="950"/>
      <c r="O150" s="950"/>
      <c r="P150" s="950"/>
      <c r="Q150" s="950"/>
    </row>
    <row r="151" spans="1:17" x14ac:dyDescent="0.2">
      <c r="A151" s="907"/>
      <c r="B151" s="930" t="s">
        <v>4014</v>
      </c>
      <c r="C151" s="770">
        <f t="shared" ref="C151:C159" si="7">IF($D$34&gt;0,$D$34*D16,0)</f>
        <v>0</v>
      </c>
      <c r="D151" s="851">
        <f t="shared" ref="D151:D159" si="8">IF($D$34&lt;0,-$D$34*D16,0)</f>
        <v>0</v>
      </c>
      <c r="E151" s="868">
        <f t="shared" si="4"/>
        <v>0</v>
      </c>
      <c r="F151" s="907"/>
      <c r="G151" s="869">
        <f t="shared" ref="G151:G177" si="9">IF(E151&lt;0,0,E151)</f>
        <v>0</v>
      </c>
      <c r="H151" s="769">
        <f>IF(E151&gt;0,0,E151*-1)</f>
        <v>0</v>
      </c>
      <c r="I151" s="994"/>
      <c r="J151" s="927"/>
      <c r="K151" s="927"/>
      <c r="L151" s="950"/>
      <c r="M151" s="950"/>
      <c r="N151" s="950"/>
      <c r="O151" s="950"/>
      <c r="P151" s="950"/>
      <c r="Q151" s="950"/>
    </row>
    <row r="152" spans="1:17" x14ac:dyDescent="0.2">
      <c r="A152" s="907"/>
      <c r="B152" s="930" t="s">
        <v>3956</v>
      </c>
      <c r="C152" s="770">
        <f t="shared" si="7"/>
        <v>0</v>
      </c>
      <c r="D152" s="851">
        <f t="shared" si="8"/>
        <v>0</v>
      </c>
      <c r="E152" s="868">
        <f t="shared" si="4"/>
        <v>0</v>
      </c>
      <c r="F152" s="907"/>
      <c r="G152" s="869">
        <f t="shared" si="9"/>
        <v>0</v>
      </c>
      <c r="H152" s="769">
        <f t="shared" ref="H152:H159" si="10">IF(E152&gt;0,0,E152*-1)</f>
        <v>0</v>
      </c>
      <c r="I152" s="907"/>
      <c r="J152" s="927"/>
      <c r="K152" s="927"/>
      <c r="L152" s="950"/>
      <c r="M152" s="950"/>
      <c r="N152" s="950"/>
      <c r="O152" s="950"/>
      <c r="P152" s="950"/>
      <c r="Q152" s="950"/>
    </row>
    <row r="153" spans="1:17" x14ac:dyDescent="0.2">
      <c r="A153" s="907"/>
      <c r="B153" s="930" t="s">
        <v>3957</v>
      </c>
      <c r="C153" s="770">
        <f t="shared" si="7"/>
        <v>0</v>
      </c>
      <c r="D153" s="851">
        <f t="shared" si="8"/>
        <v>0</v>
      </c>
      <c r="E153" s="868">
        <f t="shared" si="4"/>
        <v>0</v>
      </c>
      <c r="F153" s="907"/>
      <c r="G153" s="869">
        <f t="shared" si="9"/>
        <v>0</v>
      </c>
      <c r="H153" s="769">
        <f t="shared" si="10"/>
        <v>0</v>
      </c>
      <c r="I153" s="907"/>
      <c r="J153" s="927"/>
      <c r="K153" s="927"/>
      <c r="L153" s="950"/>
      <c r="M153" s="950"/>
      <c r="N153" s="950"/>
      <c r="O153" s="950"/>
      <c r="P153" s="950"/>
      <c r="Q153" s="950"/>
    </row>
    <row r="154" spans="1:17" x14ac:dyDescent="0.2">
      <c r="A154" s="907"/>
      <c r="B154" s="930" t="s">
        <v>3958</v>
      </c>
      <c r="C154" s="770">
        <f t="shared" si="7"/>
        <v>0</v>
      </c>
      <c r="D154" s="851">
        <f t="shared" si="8"/>
        <v>0</v>
      </c>
      <c r="E154" s="868">
        <f t="shared" si="4"/>
        <v>0</v>
      </c>
      <c r="F154" s="907"/>
      <c r="G154" s="869">
        <f t="shared" si="9"/>
        <v>0</v>
      </c>
      <c r="H154" s="769">
        <f t="shared" si="10"/>
        <v>0</v>
      </c>
      <c r="I154" s="907"/>
      <c r="J154" s="927"/>
      <c r="K154" s="927"/>
      <c r="L154" s="950"/>
      <c r="M154" s="950"/>
      <c r="N154" s="950"/>
      <c r="O154" s="950"/>
      <c r="P154" s="950"/>
      <c r="Q154" s="950"/>
    </row>
    <row r="155" spans="1:17" x14ac:dyDescent="0.2">
      <c r="A155" s="907"/>
      <c r="B155" s="930" t="s">
        <v>3959</v>
      </c>
      <c r="C155" s="770">
        <f t="shared" si="7"/>
        <v>0</v>
      </c>
      <c r="D155" s="851">
        <f t="shared" si="8"/>
        <v>0</v>
      </c>
      <c r="E155" s="868">
        <f t="shared" si="4"/>
        <v>0</v>
      </c>
      <c r="F155" s="907"/>
      <c r="G155" s="869">
        <f t="shared" si="9"/>
        <v>0</v>
      </c>
      <c r="H155" s="769">
        <f t="shared" si="10"/>
        <v>0</v>
      </c>
      <c r="I155" s="907"/>
      <c r="J155" s="927"/>
      <c r="K155" s="927"/>
      <c r="L155" s="950"/>
      <c r="M155" s="950"/>
      <c r="N155" s="950"/>
      <c r="O155" s="950"/>
      <c r="P155" s="950"/>
      <c r="Q155" s="950"/>
    </row>
    <row r="156" spans="1:17" x14ac:dyDescent="0.2">
      <c r="A156" s="907"/>
      <c r="B156" s="930" t="s">
        <v>4012</v>
      </c>
      <c r="C156" s="770">
        <f t="shared" si="7"/>
        <v>0</v>
      </c>
      <c r="D156" s="851">
        <f t="shared" si="8"/>
        <v>0</v>
      </c>
      <c r="E156" s="868">
        <f t="shared" si="4"/>
        <v>0</v>
      </c>
      <c r="F156" s="907"/>
      <c r="G156" s="869">
        <f t="shared" si="9"/>
        <v>0</v>
      </c>
      <c r="H156" s="769">
        <f t="shared" si="10"/>
        <v>0</v>
      </c>
      <c r="I156" s="907"/>
      <c r="J156" s="927"/>
      <c r="K156" s="927"/>
      <c r="L156" s="950"/>
      <c r="M156" s="950"/>
      <c r="N156" s="950"/>
      <c r="O156" s="950"/>
      <c r="P156" s="950"/>
      <c r="Q156" s="950"/>
    </row>
    <row r="157" spans="1:17" x14ac:dyDescent="0.2">
      <c r="A157" s="907"/>
      <c r="B157" s="930" t="s">
        <v>3960</v>
      </c>
      <c r="C157" s="770">
        <f t="shared" si="7"/>
        <v>0</v>
      </c>
      <c r="D157" s="851">
        <f t="shared" si="8"/>
        <v>0</v>
      </c>
      <c r="E157" s="868">
        <f t="shared" si="4"/>
        <v>0</v>
      </c>
      <c r="F157" s="907"/>
      <c r="G157" s="869">
        <f t="shared" si="9"/>
        <v>0</v>
      </c>
      <c r="H157" s="769">
        <f t="shared" si="10"/>
        <v>0</v>
      </c>
      <c r="I157" s="907"/>
      <c r="J157" s="927"/>
      <c r="K157" s="927"/>
      <c r="L157" s="950"/>
      <c r="M157" s="950"/>
      <c r="N157" s="950"/>
      <c r="O157" s="950"/>
      <c r="P157" s="950"/>
      <c r="Q157" s="950"/>
    </row>
    <row r="158" spans="1:17" x14ac:dyDescent="0.2">
      <c r="A158" s="907"/>
      <c r="B158" s="930" t="s">
        <v>3961</v>
      </c>
      <c r="C158" s="770">
        <f t="shared" si="7"/>
        <v>0</v>
      </c>
      <c r="D158" s="851">
        <f t="shared" si="8"/>
        <v>0</v>
      </c>
      <c r="E158" s="868">
        <f t="shared" si="4"/>
        <v>0</v>
      </c>
      <c r="F158" s="907"/>
      <c r="G158" s="869">
        <f t="shared" si="9"/>
        <v>0</v>
      </c>
      <c r="H158" s="769">
        <f t="shared" si="10"/>
        <v>0</v>
      </c>
      <c r="I158" s="907"/>
      <c r="J158" s="927"/>
      <c r="K158" s="927"/>
      <c r="L158" s="950"/>
      <c r="M158" s="950"/>
      <c r="N158" s="950"/>
      <c r="O158" s="950"/>
      <c r="P158" s="950"/>
      <c r="Q158" s="950"/>
    </row>
    <row r="159" spans="1:17" x14ac:dyDescent="0.2">
      <c r="A159" s="907"/>
      <c r="B159" s="930" t="s">
        <v>3962</v>
      </c>
      <c r="C159" s="770">
        <f t="shared" si="7"/>
        <v>0</v>
      </c>
      <c r="D159" s="851">
        <f t="shared" si="8"/>
        <v>0</v>
      </c>
      <c r="E159" s="868">
        <f t="shared" si="4"/>
        <v>0</v>
      </c>
      <c r="F159" s="907"/>
      <c r="G159" s="869">
        <f t="shared" si="9"/>
        <v>0</v>
      </c>
      <c r="H159" s="769">
        <f t="shared" si="10"/>
        <v>0</v>
      </c>
      <c r="I159" s="907"/>
      <c r="J159" s="927"/>
      <c r="K159" s="927"/>
      <c r="L159" s="950"/>
      <c r="M159" s="950"/>
      <c r="N159" s="950"/>
      <c r="O159" s="950"/>
      <c r="P159" s="950"/>
      <c r="Q159" s="950"/>
    </row>
    <row r="160" spans="1:17" x14ac:dyDescent="0.2">
      <c r="A160" s="907"/>
      <c r="B160" s="927" t="s">
        <v>4030</v>
      </c>
      <c r="C160" s="770">
        <f t="shared" ref="C160:C168" si="11">IF($D$46&lt;0,-$D$46*D16,0)</f>
        <v>0</v>
      </c>
      <c r="D160" s="851">
        <f t="shared" ref="D160:D168" si="12">IF($D$46&gt;0,$D$46*$D16,0)</f>
        <v>0</v>
      </c>
      <c r="E160" s="868">
        <f t="shared" si="4"/>
        <v>0</v>
      </c>
      <c r="F160" s="907"/>
      <c r="G160" s="869">
        <f t="shared" si="9"/>
        <v>0</v>
      </c>
      <c r="H160" s="851">
        <f>IF(E160&gt;0,0,-E160)</f>
        <v>0</v>
      </c>
      <c r="I160" s="907"/>
      <c r="J160" s="927"/>
      <c r="K160" s="927"/>
      <c r="L160" s="950"/>
      <c r="M160" s="950"/>
      <c r="N160" s="950"/>
      <c r="O160" s="950"/>
      <c r="P160" s="950"/>
      <c r="Q160" s="950"/>
    </row>
    <row r="161" spans="1:17" x14ac:dyDescent="0.2">
      <c r="A161" s="907"/>
      <c r="B161" s="907" t="s">
        <v>4031</v>
      </c>
      <c r="C161" s="770">
        <f t="shared" si="11"/>
        <v>0</v>
      </c>
      <c r="D161" s="851">
        <f t="shared" si="12"/>
        <v>0</v>
      </c>
      <c r="E161" s="868">
        <f t="shared" si="4"/>
        <v>0</v>
      </c>
      <c r="F161" s="907"/>
      <c r="G161" s="869">
        <f t="shared" si="9"/>
        <v>0</v>
      </c>
      <c r="H161" s="851">
        <f t="shared" ref="H161:H185" si="13">IF(E161&gt;0,0,-E161)</f>
        <v>0</v>
      </c>
      <c r="I161" s="907"/>
      <c r="J161" s="927"/>
      <c r="K161" s="927"/>
      <c r="L161" s="950"/>
      <c r="M161" s="950"/>
      <c r="N161" s="950"/>
      <c r="O161" s="950"/>
      <c r="P161" s="950"/>
      <c r="Q161" s="950"/>
    </row>
    <row r="162" spans="1:17" x14ac:dyDescent="0.2">
      <c r="A162" s="907"/>
      <c r="B162" s="907" t="s">
        <v>4032</v>
      </c>
      <c r="C162" s="770">
        <f t="shared" si="11"/>
        <v>0</v>
      </c>
      <c r="D162" s="851">
        <f t="shared" si="12"/>
        <v>0</v>
      </c>
      <c r="E162" s="868">
        <f t="shared" si="4"/>
        <v>0</v>
      </c>
      <c r="F162" s="907"/>
      <c r="G162" s="869">
        <f t="shared" si="9"/>
        <v>0</v>
      </c>
      <c r="H162" s="851">
        <f t="shared" si="13"/>
        <v>0</v>
      </c>
      <c r="I162" s="907"/>
      <c r="J162" s="927"/>
      <c r="K162" s="927"/>
      <c r="L162" s="950"/>
      <c r="M162" s="950"/>
      <c r="N162" s="950"/>
      <c r="O162" s="950"/>
      <c r="P162" s="950"/>
      <c r="Q162" s="950"/>
    </row>
    <row r="163" spans="1:17" x14ac:dyDescent="0.2">
      <c r="A163" s="907"/>
      <c r="B163" s="907" t="s">
        <v>4033</v>
      </c>
      <c r="C163" s="770">
        <f t="shared" si="11"/>
        <v>0</v>
      </c>
      <c r="D163" s="851">
        <f t="shared" si="12"/>
        <v>0</v>
      </c>
      <c r="E163" s="868">
        <f t="shared" si="4"/>
        <v>0</v>
      </c>
      <c r="F163" s="907"/>
      <c r="G163" s="869">
        <f t="shared" si="9"/>
        <v>0</v>
      </c>
      <c r="H163" s="851">
        <f t="shared" si="13"/>
        <v>0</v>
      </c>
      <c r="I163" s="907"/>
      <c r="J163" s="927"/>
      <c r="K163" s="927"/>
      <c r="L163" s="950"/>
      <c r="M163" s="950"/>
      <c r="N163" s="950"/>
      <c r="O163" s="950"/>
      <c r="P163" s="950"/>
      <c r="Q163" s="950"/>
    </row>
    <row r="164" spans="1:17" x14ac:dyDescent="0.2">
      <c r="A164" s="907"/>
      <c r="B164" s="907" t="s">
        <v>4034</v>
      </c>
      <c r="C164" s="770">
        <f t="shared" si="11"/>
        <v>0</v>
      </c>
      <c r="D164" s="851">
        <f t="shared" si="12"/>
        <v>0</v>
      </c>
      <c r="E164" s="868">
        <f t="shared" si="4"/>
        <v>0</v>
      </c>
      <c r="F164" s="907"/>
      <c r="G164" s="869">
        <f t="shared" si="9"/>
        <v>0</v>
      </c>
      <c r="H164" s="851">
        <f t="shared" si="13"/>
        <v>0</v>
      </c>
      <c r="I164" s="907"/>
      <c r="J164" s="927"/>
      <c r="K164" s="927"/>
      <c r="L164" s="950"/>
      <c r="M164" s="950"/>
      <c r="N164" s="950"/>
      <c r="O164" s="950"/>
      <c r="P164" s="950"/>
      <c r="Q164" s="950"/>
    </row>
    <row r="165" spans="1:17" x14ac:dyDescent="0.2">
      <c r="A165" s="907"/>
      <c r="B165" s="907" t="s">
        <v>4035</v>
      </c>
      <c r="C165" s="770">
        <f t="shared" si="11"/>
        <v>0</v>
      </c>
      <c r="D165" s="851">
        <f t="shared" si="12"/>
        <v>0</v>
      </c>
      <c r="E165" s="868">
        <f t="shared" si="4"/>
        <v>0</v>
      </c>
      <c r="F165" s="907"/>
      <c r="G165" s="869">
        <f t="shared" si="9"/>
        <v>0</v>
      </c>
      <c r="H165" s="851">
        <f t="shared" si="13"/>
        <v>0</v>
      </c>
      <c r="I165" s="907"/>
      <c r="J165" s="927"/>
      <c r="K165" s="927"/>
      <c r="L165" s="950"/>
      <c r="M165" s="950"/>
      <c r="N165" s="950"/>
      <c r="O165" s="950"/>
      <c r="P165" s="950"/>
      <c r="Q165" s="950"/>
    </row>
    <row r="166" spans="1:17" x14ac:dyDescent="0.2">
      <c r="A166" s="907"/>
      <c r="B166" s="907" t="s">
        <v>4036</v>
      </c>
      <c r="C166" s="770">
        <f t="shared" si="11"/>
        <v>0</v>
      </c>
      <c r="D166" s="851">
        <f t="shared" si="12"/>
        <v>0</v>
      </c>
      <c r="E166" s="868">
        <f t="shared" si="4"/>
        <v>0</v>
      </c>
      <c r="F166" s="907"/>
      <c r="G166" s="869">
        <f t="shared" si="9"/>
        <v>0</v>
      </c>
      <c r="H166" s="851">
        <f t="shared" si="13"/>
        <v>0</v>
      </c>
      <c r="I166" s="907"/>
      <c r="J166" s="927"/>
      <c r="K166" s="927"/>
      <c r="L166" s="950"/>
      <c r="M166" s="950"/>
      <c r="N166" s="950"/>
      <c r="O166" s="950"/>
      <c r="P166" s="950"/>
      <c r="Q166" s="950"/>
    </row>
    <row r="167" spans="1:17" x14ac:dyDescent="0.2">
      <c r="A167" s="907"/>
      <c r="B167" s="907" t="s">
        <v>4037</v>
      </c>
      <c r="C167" s="770">
        <f t="shared" si="11"/>
        <v>0</v>
      </c>
      <c r="D167" s="851">
        <f t="shared" si="12"/>
        <v>0</v>
      </c>
      <c r="E167" s="868">
        <f t="shared" si="4"/>
        <v>0</v>
      </c>
      <c r="F167" s="907"/>
      <c r="G167" s="869">
        <f t="shared" si="9"/>
        <v>0</v>
      </c>
      <c r="H167" s="851">
        <f t="shared" si="13"/>
        <v>0</v>
      </c>
      <c r="I167" s="907"/>
      <c r="J167" s="927"/>
      <c r="K167" s="927"/>
      <c r="L167" s="950"/>
      <c r="M167" s="950"/>
      <c r="N167" s="950"/>
      <c r="O167" s="950"/>
      <c r="P167" s="950"/>
      <c r="Q167" s="950"/>
    </row>
    <row r="168" spans="1:17" x14ac:dyDescent="0.2">
      <c r="A168" s="907"/>
      <c r="B168" s="907" t="s">
        <v>4038</v>
      </c>
      <c r="C168" s="770">
        <f t="shared" si="11"/>
        <v>0</v>
      </c>
      <c r="D168" s="851">
        <f t="shared" si="12"/>
        <v>0</v>
      </c>
      <c r="E168" s="868">
        <f t="shared" si="4"/>
        <v>0</v>
      </c>
      <c r="F168" s="907"/>
      <c r="G168" s="869">
        <f t="shared" si="9"/>
        <v>0</v>
      </c>
      <c r="H168" s="851">
        <f t="shared" si="13"/>
        <v>0</v>
      </c>
      <c r="I168" s="907"/>
      <c r="J168" s="927"/>
      <c r="K168" s="927"/>
      <c r="L168" s="950"/>
      <c r="M168" s="950"/>
      <c r="N168" s="950"/>
      <c r="O168" s="950"/>
      <c r="P168" s="950"/>
      <c r="Q168" s="950"/>
    </row>
    <row r="169" spans="1:17" x14ac:dyDescent="0.2">
      <c r="A169" s="907"/>
      <c r="B169" s="927" t="s">
        <v>3639</v>
      </c>
      <c r="C169" s="770">
        <f>IF($D$48&lt;0,-$D$48,0)</f>
        <v>0</v>
      </c>
      <c r="D169" s="851">
        <f t="shared" ref="D169:D177" si="14">IF($D$48&gt;0,$D$48*$D16,0)</f>
        <v>0</v>
      </c>
      <c r="E169" s="868">
        <f t="shared" si="4"/>
        <v>0</v>
      </c>
      <c r="F169" s="907"/>
      <c r="G169" s="869">
        <f t="shared" si="9"/>
        <v>0</v>
      </c>
      <c r="H169" s="851">
        <f t="shared" si="13"/>
        <v>0</v>
      </c>
      <c r="I169" s="907"/>
      <c r="J169" s="927"/>
      <c r="K169" s="927"/>
      <c r="L169" s="950"/>
      <c r="M169" s="950"/>
      <c r="N169" s="950"/>
      <c r="O169" s="950"/>
      <c r="P169" s="950"/>
      <c r="Q169" s="950"/>
    </row>
    <row r="170" spans="1:17" x14ac:dyDescent="0.2">
      <c r="A170" s="907"/>
      <c r="B170" s="927" t="s">
        <v>3640</v>
      </c>
      <c r="C170" s="770">
        <f t="shared" ref="C170:C177" si="15">IF($D$48&lt;0,-$D$48,0)</f>
        <v>0</v>
      </c>
      <c r="D170" s="851">
        <f t="shared" si="14"/>
        <v>0</v>
      </c>
      <c r="E170" s="868">
        <f t="shared" si="4"/>
        <v>0</v>
      </c>
      <c r="F170" s="907"/>
      <c r="G170" s="869">
        <f t="shared" si="9"/>
        <v>0</v>
      </c>
      <c r="H170" s="851">
        <f t="shared" si="13"/>
        <v>0</v>
      </c>
      <c r="I170" s="907"/>
      <c r="J170" s="927"/>
      <c r="K170" s="927"/>
      <c r="L170" s="950"/>
      <c r="M170" s="950"/>
      <c r="N170" s="950"/>
      <c r="O170" s="950"/>
      <c r="P170" s="950"/>
      <c r="Q170" s="950"/>
    </row>
    <row r="171" spans="1:17" x14ac:dyDescent="0.2">
      <c r="A171" s="907"/>
      <c r="B171" s="927" t="s">
        <v>3641</v>
      </c>
      <c r="C171" s="770">
        <f t="shared" si="15"/>
        <v>0</v>
      </c>
      <c r="D171" s="851">
        <f t="shared" si="14"/>
        <v>0</v>
      </c>
      <c r="E171" s="868">
        <f t="shared" si="4"/>
        <v>0</v>
      </c>
      <c r="F171" s="907"/>
      <c r="G171" s="869">
        <f t="shared" si="9"/>
        <v>0</v>
      </c>
      <c r="H171" s="851">
        <f t="shared" si="13"/>
        <v>0</v>
      </c>
      <c r="I171" s="907"/>
      <c r="J171" s="927"/>
      <c r="K171" s="927"/>
      <c r="L171" s="950"/>
      <c r="M171" s="950"/>
      <c r="N171" s="950"/>
      <c r="O171" s="950"/>
      <c r="P171" s="950"/>
      <c r="Q171" s="950"/>
    </row>
    <row r="172" spans="1:17" x14ac:dyDescent="0.2">
      <c r="A172" s="907"/>
      <c r="B172" s="927" t="s">
        <v>3642</v>
      </c>
      <c r="C172" s="770">
        <f t="shared" si="15"/>
        <v>0</v>
      </c>
      <c r="D172" s="851">
        <f t="shared" si="14"/>
        <v>0</v>
      </c>
      <c r="E172" s="868">
        <f t="shared" si="4"/>
        <v>0</v>
      </c>
      <c r="F172" s="907"/>
      <c r="G172" s="869">
        <f t="shared" si="9"/>
        <v>0</v>
      </c>
      <c r="H172" s="851">
        <f t="shared" si="13"/>
        <v>0</v>
      </c>
      <c r="I172" s="907"/>
      <c r="J172" s="927"/>
      <c r="K172" s="927"/>
      <c r="L172" s="950"/>
      <c r="M172" s="950"/>
      <c r="N172" s="950"/>
      <c r="O172" s="950"/>
      <c r="P172" s="950"/>
      <c r="Q172" s="950"/>
    </row>
    <row r="173" spans="1:17" x14ac:dyDescent="0.2">
      <c r="A173" s="907"/>
      <c r="B173" s="927" t="s">
        <v>3643</v>
      </c>
      <c r="C173" s="770">
        <f t="shared" si="15"/>
        <v>0</v>
      </c>
      <c r="D173" s="851">
        <f t="shared" si="14"/>
        <v>0</v>
      </c>
      <c r="E173" s="868">
        <f t="shared" si="4"/>
        <v>0</v>
      </c>
      <c r="F173" s="907"/>
      <c r="G173" s="869">
        <f t="shared" si="9"/>
        <v>0</v>
      </c>
      <c r="H173" s="851">
        <f t="shared" si="13"/>
        <v>0</v>
      </c>
      <c r="I173" s="907"/>
      <c r="J173" s="927"/>
      <c r="K173" s="927"/>
      <c r="L173" s="950"/>
      <c r="M173" s="950"/>
      <c r="N173" s="950"/>
      <c r="O173" s="950"/>
      <c r="P173" s="950"/>
      <c r="Q173" s="950"/>
    </row>
    <row r="174" spans="1:17" x14ac:dyDescent="0.2">
      <c r="A174" s="907"/>
      <c r="B174" s="927" t="s">
        <v>3644</v>
      </c>
      <c r="C174" s="770">
        <f t="shared" si="15"/>
        <v>0</v>
      </c>
      <c r="D174" s="851">
        <f t="shared" si="14"/>
        <v>0</v>
      </c>
      <c r="E174" s="868">
        <f t="shared" si="4"/>
        <v>0</v>
      </c>
      <c r="F174" s="907"/>
      <c r="G174" s="869">
        <f t="shared" si="9"/>
        <v>0</v>
      </c>
      <c r="H174" s="851">
        <f t="shared" si="13"/>
        <v>0</v>
      </c>
      <c r="I174" s="907"/>
      <c r="J174" s="927"/>
      <c r="K174" s="927"/>
      <c r="L174" s="950"/>
      <c r="M174" s="950"/>
      <c r="N174" s="950"/>
      <c r="O174" s="950"/>
      <c r="P174" s="950"/>
      <c r="Q174" s="950"/>
    </row>
    <row r="175" spans="1:17" x14ac:dyDescent="0.2">
      <c r="A175" s="907"/>
      <c r="B175" s="927" t="s">
        <v>4013</v>
      </c>
      <c r="C175" s="770">
        <f t="shared" si="15"/>
        <v>0</v>
      </c>
      <c r="D175" s="851">
        <f t="shared" si="14"/>
        <v>0</v>
      </c>
      <c r="E175" s="868">
        <f t="shared" si="4"/>
        <v>0</v>
      </c>
      <c r="F175" s="907"/>
      <c r="G175" s="869">
        <f t="shared" si="9"/>
        <v>0</v>
      </c>
      <c r="H175" s="851">
        <f t="shared" si="13"/>
        <v>0</v>
      </c>
      <c r="I175" s="907"/>
      <c r="J175" s="927"/>
      <c r="K175" s="927"/>
      <c r="L175" s="950"/>
      <c r="M175" s="950"/>
      <c r="N175" s="950"/>
      <c r="O175" s="950"/>
      <c r="P175" s="950"/>
      <c r="Q175" s="950"/>
    </row>
    <row r="176" spans="1:17" x14ac:dyDescent="0.2">
      <c r="A176" s="907"/>
      <c r="B176" s="927" t="s">
        <v>3976</v>
      </c>
      <c r="C176" s="770">
        <f t="shared" si="15"/>
        <v>0</v>
      </c>
      <c r="D176" s="851">
        <f t="shared" si="14"/>
        <v>0</v>
      </c>
      <c r="E176" s="868">
        <f t="shared" si="4"/>
        <v>0</v>
      </c>
      <c r="F176" s="907"/>
      <c r="G176" s="869">
        <f t="shared" si="9"/>
        <v>0</v>
      </c>
      <c r="H176" s="851">
        <f t="shared" si="13"/>
        <v>0</v>
      </c>
      <c r="I176" s="927"/>
      <c r="J176" s="907"/>
      <c r="K176" s="907"/>
    </row>
    <row r="177" spans="1:11" x14ac:dyDescent="0.2">
      <c r="A177" s="907"/>
      <c r="B177" s="927" t="s">
        <v>3647</v>
      </c>
      <c r="C177" s="770">
        <f t="shared" si="15"/>
        <v>0</v>
      </c>
      <c r="D177" s="851">
        <f t="shared" si="14"/>
        <v>0</v>
      </c>
      <c r="E177" s="868">
        <f t="shared" si="4"/>
        <v>0</v>
      </c>
      <c r="F177" s="907"/>
      <c r="G177" s="869">
        <f t="shared" si="9"/>
        <v>0</v>
      </c>
      <c r="H177" s="851">
        <f t="shared" si="13"/>
        <v>0</v>
      </c>
      <c r="I177" s="927"/>
      <c r="J177" s="907"/>
      <c r="K177" s="907"/>
    </row>
    <row r="178" spans="1:11" ht="25.5" x14ac:dyDescent="0.2">
      <c r="A178" s="907"/>
      <c r="B178" s="930" t="s">
        <v>3574</v>
      </c>
      <c r="C178" s="770">
        <f>IF(D36&gt;0,D36*D25,0)</f>
        <v>0</v>
      </c>
      <c r="D178" s="851">
        <v>0</v>
      </c>
      <c r="E178" s="868">
        <f t="shared" si="4"/>
        <v>0</v>
      </c>
      <c r="F178" s="907"/>
      <c r="G178" s="869">
        <f t="shared" ref="G178:G185" si="16">IF(E178&lt;0,0,E178)</f>
        <v>0</v>
      </c>
      <c r="H178" s="851">
        <f t="shared" si="13"/>
        <v>0</v>
      </c>
      <c r="I178" s="995"/>
      <c r="J178" s="907"/>
      <c r="K178" s="907"/>
    </row>
    <row r="179" spans="1:11" x14ac:dyDescent="0.2">
      <c r="A179" s="907"/>
      <c r="B179" s="930" t="s">
        <v>3575</v>
      </c>
      <c r="C179" s="770">
        <f>IF(D37&gt;0,D37*D25,0)</f>
        <v>0</v>
      </c>
      <c r="D179" s="851">
        <v>0</v>
      </c>
      <c r="E179" s="868">
        <f t="shared" si="4"/>
        <v>0</v>
      </c>
      <c r="F179" s="907"/>
      <c r="G179" s="869">
        <f t="shared" si="16"/>
        <v>0</v>
      </c>
      <c r="H179" s="851">
        <f t="shared" si="13"/>
        <v>0</v>
      </c>
      <c r="I179" s="995"/>
      <c r="J179" s="907"/>
      <c r="K179" s="907"/>
    </row>
    <row r="180" spans="1:11" ht="25.5" x14ac:dyDescent="0.2">
      <c r="A180" s="907"/>
      <c r="B180" s="930" t="s">
        <v>3653</v>
      </c>
      <c r="C180" s="770">
        <f>IF(D38&gt;0,D38,0)</f>
        <v>0</v>
      </c>
      <c r="D180" s="851">
        <v>0</v>
      </c>
      <c r="E180" s="868">
        <f t="shared" si="4"/>
        <v>0</v>
      </c>
      <c r="F180" s="907"/>
      <c r="G180" s="869">
        <f t="shared" si="16"/>
        <v>0</v>
      </c>
      <c r="H180" s="851">
        <f t="shared" si="13"/>
        <v>0</v>
      </c>
      <c r="I180" s="907"/>
      <c r="J180" s="907"/>
      <c r="K180" s="907"/>
    </row>
    <row r="181" spans="1:11" ht="25.5" x14ac:dyDescent="0.2">
      <c r="A181" s="907"/>
      <c r="B181" s="930" t="s">
        <v>3577</v>
      </c>
      <c r="C181" s="770">
        <v>0</v>
      </c>
      <c r="D181" s="851">
        <f>IF(D36&lt;0,-D36,0)*D25</f>
        <v>0</v>
      </c>
      <c r="E181" s="868">
        <f t="shared" si="4"/>
        <v>0</v>
      </c>
      <c r="F181" s="907"/>
      <c r="G181" s="869">
        <f t="shared" si="16"/>
        <v>0</v>
      </c>
      <c r="H181" s="851">
        <f t="shared" si="13"/>
        <v>0</v>
      </c>
      <c r="I181" s="907"/>
      <c r="J181" s="907"/>
      <c r="K181" s="907"/>
    </row>
    <row r="182" spans="1:11" x14ac:dyDescent="0.2">
      <c r="A182" s="907"/>
      <c r="B182" s="930" t="s">
        <v>3579</v>
      </c>
      <c r="C182" s="770">
        <v>0</v>
      </c>
      <c r="D182" s="851">
        <f>IF(D37&lt;0,-D37,0)*D25</f>
        <v>0</v>
      </c>
      <c r="E182" s="868">
        <f t="shared" si="4"/>
        <v>0</v>
      </c>
      <c r="F182" s="907"/>
      <c r="G182" s="869">
        <f t="shared" si="16"/>
        <v>0</v>
      </c>
      <c r="H182" s="851">
        <f t="shared" si="13"/>
        <v>0</v>
      </c>
      <c r="I182" s="907"/>
      <c r="J182" s="907"/>
      <c r="K182" s="907"/>
    </row>
    <row r="183" spans="1:11" ht="25.5" x14ac:dyDescent="0.2">
      <c r="A183" s="907"/>
      <c r="B183" s="930" t="s">
        <v>3654</v>
      </c>
      <c r="C183" s="770">
        <v>0</v>
      </c>
      <c r="D183" s="851">
        <f>IF(D38&lt;0,-D38,)*D25</f>
        <v>0</v>
      </c>
      <c r="E183" s="868">
        <f t="shared" si="4"/>
        <v>0</v>
      </c>
      <c r="F183" s="907"/>
      <c r="G183" s="869">
        <f t="shared" si="16"/>
        <v>0</v>
      </c>
      <c r="H183" s="851">
        <f t="shared" si="13"/>
        <v>0</v>
      </c>
      <c r="I183" s="907"/>
      <c r="J183" s="907"/>
      <c r="K183" s="907"/>
    </row>
    <row r="184" spans="1:11" ht="25.5" x14ac:dyDescent="0.2">
      <c r="A184" s="907"/>
      <c r="B184" s="930" t="s">
        <v>4063</v>
      </c>
      <c r="C184" s="770">
        <f>IF(D46&gt;0,D46*D25,0)</f>
        <v>0</v>
      </c>
      <c r="D184" s="851">
        <f>IF(D46&lt;0,D46*D25,0)</f>
        <v>0</v>
      </c>
      <c r="E184" s="868">
        <f t="shared" si="4"/>
        <v>0</v>
      </c>
      <c r="F184" s="907"/>
      <c r="G184" s="869">
        <f t="shared" si="16"/>
        <v>0</v>
      </c>
      <c r="H184" s="851">
        <f t="shared" si="13"/>
        <v>0</v>
      </c>
      <c r="I184" s="907"/>
      <c r="J184" s="907"/>
      <c r="K184" s="907"/>
    </row>
    <row r="185" spans="1:11" ht="25.5" x14ac:dyDescent="0.2">
      <c r="A185" s="907"/>
      <c r="B185" s="930" t="s">
        <v>3659</v>
      </c>
      <c r="C185" s="770">
        <f>IF(D48&gt;0,D48*D25,0)</f>
        <v>0</v>
      </c>
      <c r="D185" s="851">
        <f>IF(D48&lt;0,D48*D25,0)</f>
        <v>0</v>
      </c>
      <c r="E185" s="868">
        <f t="shared" si="4"/>
        <v>0</v>
      </c>
      <c r="F185" s="907"/>
      <c r="G185" s="869">
        <f t="shared" si="16"/>
        <v>0</v>
      </c>
      <c r="H185" s="851">
        <f t="shared" si="13"/>
        <v>0</v>
      </c>
      <c r="I185" s="907"/>
      <c r="J185" s="907"/>
      <c r="K185" s="907"/>
    </row>
    <row r="186" spans="1:11" x14ac:dyDescent="0.2">
      <c r="A186" s="907"/>
      <c r="B186" s="907"/>
      <c r="C186" s="944">
        <f>SUM(C149:C185)</f>
        <v>0</v>
      </c>
      <c r="D186" s="945">
        <f>SUM(D149:D185)</f>
        <v>0</v>
      </c>
      <c r="E186" s="872">
        <f>SUM(E148:E185)</f>
        <v>0</v>
      </c>
      <c r="F186" s="938"/>
      <c r="G186" s="944">
        <f>SUM(G148:G185)</f>
        <v>0</v>
      </c>
      <c r="H186" s="945">
        <f>SUM(H148:H185)</f>
        <v>0</v>
      </c>
      <c r="I186" s="907"/>
      <c r="J186" s="907"/>
      <c r="K186" s="907"/>
    </row>
    <row r="187" spans="1:11" x14ac:dyDescent="0.2">
      <c r="A187" s="907"/>
      <c r="B187" s="907"/>
      <c r="C187" s="907"/>
      <c r="D187" s="907"/>
      <c r="E187" s="907"/>
      <c r="F187" s="907"/>
      <c r="G187" s="907"/>
      <c r="H187" s="907"/>
      <c r="I187" s="907"/>
      <c r="J187" s="907"/>
      <c r="K187" s="907"/>
    </row>
    <row r="188" spans="1:11" x14ac:dyDescent="0.2">
      <c r="B188" s="922"/>
      <c r="C188" s="923">
        <f>C186-D186</f>
        <v>0</v>
      </c>
      <c r="D188" s="922"/>
    </row>
    <row r="189" spans="1:11" x14ac:dyDescent="0.2">
      <c r="B189" s="923"/>
      <c r="G189" s="922"/>
    </row>
    <row r="191" spans="1:11" x14ac:dyDescent="0.2">
      <c r="C191" s="923"/>
      <c r="D191" s="923"/>
    </row>
  </sheetData>
  <sheetProtection algorithmName="SHA-512" hashValue="XMJMAWs6AntIjCo2PG6JJkQ0guJaENpvbI8Ao+CvrwT1vxOHSOOS8THBGcDqicxcqoOUX9g2f8GJ69wDW7g+xQ==" saltValue="Gqyv81nrnivQkFUFXVxUQQ==" spinCount="100000" sheet="1" objects="1" scenarios="1"/>
  <customSheetViews>
    <customSheetView guid="{C1197650-3ED8-49E4-8E4C-0D1D4B503FC0}" hiddenRows="1" topLeftCell="A13">
      <selection activeCell="N44" sqref="N44"/>
      <pageMargins left="0.7" right="0.7" top="0.75" bottom="0.75" header="0.3" footer="0.3"/>
      <pageSetup orientation="portrait" r:id="rId1"/>
    </customSheetView>
    <customSheetView guid="{D2B860EA-92EC-4999-9A59-C624E1F8C7FB}" hiddenRows="1" topLeftCell="A13">
      <selection activeCell="N44" sqref="N44"/>
      <pageMargins left="0.7" right="0.7" top="0.75" bottom="0.75" header="0.3" footer="0.3"/>
      <pageSetup orientation="portrait" r:id="rId2"/>
    </customSheetView>
  </customSheetViews>
  <mergeCells count="17">
    <mergeCell ref="A1:C1"/>
    <mergeCell ref="A4:C4"/>
    <mergeCell ref="B7:L7"/>
    <mergeCell ref="B28:E28"/>
    <mergeCell ref="B36:C36"/>
    <mergeCell ref="F36:K36"/>
    <mergeCell ref="B41:C41"/>
    <mergeCell ref="B46:C46"/>
    <mergeCell ref="B48:C48"/>
    <mergeCell ref="G146:H146"/>
    <mergeCell ref="B37:C37"/>
    <mergeCell ref="F37:K37"/>
    <mergeCell ref="B38:C38"/>
    <mergeCell ref="B39:C39"/>
    <mergeCell ref="F39:K39"/>
    <mergeCell ref="B40:C40"/>
    <mergeCell ref="F40:K40"/>
  </mergeCells>
  <conditionalFormatting sqref="M34:M42 M53:M55">
    <cfRule type="expression" dxfId="11" priority="6">
      <formula>#REF!=2</formula>
    </cfRule>
  </conditionalFormatting>
  <conditionalFormatting sqref="M43">
    <cfRule type="expression" dxfId="10" priority="5">
      <formula>#REF!=2</formula>
    </cfRule>
  </conditionalFormatting>
  <conditionalFormatting sqref="M44">
    <cfRule type="expression" dxfId="9" priority="4">
      <formula>#REF!=2</formula>
    </cfRule>
  </conditionalFormatting>
  <conditionalFormatting sqref="M45 M47:M50">
    <cfRule type="expression" dxfId="8" priority="3">
      <formula>#REF!=2</formula>
    </cfRule>
  </conditionalFormatting>
  <conditionalFormatting sqref="M51">
    <cfRule type="expression" dxfId="7" priority="2">
      <formula>#REF!=2</formula>
    </cfRule>
  </conditionalFormatting>
  <conditionalFormatting sqref="M52">
    <cfRule type="expression" dxfId="6" priority="1">
      <formula>#REF!=2</formula>
    </cfRule>
  </conditionalFormatting>
  <pageMargins left="0.7" right="0.7" top="0.75" bottom="0.75" header="0.3" footer="0.3"/>
  <pageSetup orientation="portrait"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191"/>
  <sheetViews>
    <sheetView topLeftCell="B1" workbookViewId="0">
      <selection sqref="A1:C1"/>
    </sheetView>
  </sheetViews>
  <sheetFormatPr defaultColWidth="9.140625" defaultRowHeight="12.75" x14ac:dyDescent="0.2"/>
  <cols>
    <col min="1" max="1" width="9.140625" style="908" customWidth="1"/>
    <col min="2" max="2" width="54.42578125" style="908" customWidth="1"/>
    <col min="3" max="3" width="27.85546875" style="908" customWidth="1"/>
    <col min="4" max="4" width="16.85546875" style="908" customWidth="1"/>
    <col min="5" max="5" width="17.5703125" style="908" customWidth="1"/>
    <col min="6" max="6" width="9.140625" style="908"/>
    <col min="7" max="8" width="15" style="908" bestFit="1" customWidth="1"/>
    <col min="9" max="9" width="11" style="908" customWidth="1"/>
    <col min="10" max="10" width="9.140625" style="908" customWidth="1"/>
    <col min="11" max="11" width="15" style="908" bestFit="1" customWidth="1"/>
    <col min="12" max="12" width="16" style="908" bestFit="1" customWidth="1"/>
    <col min="13" max="13" width="9.140625" style="908" customWidth="1"/>
    <col min="14" max="14" width="16.5703125" style="908" customWidth="1"/>
    <col min="15" max="16" width="11.28515625" style="908" bestFit="1" customWidth="1"/>
    <col min="17" max="17" width="10.85546875" style="908" customWidth="1"/>
    <col min="18" max="16384" width="9.140625" style="908"/>
  </cols>
  <sheetData>
    <row r="1" spans="1:12" ht="15.75" x14ac:dyDescent="0.25">
      <c r="A1" s="1607" t="s">
        <v>3619</v>
      </c>
      <c r="B1" s="1608"/>
      <c r="C1" s="1609"/>
      <c r="D1" s="907"/>
      <c r="E1" s="907"/>
      <c r="F1" s="907"/>
      <c r="G1" s="907"/>
      <c r="H1" s="907"/>
      <c r="I1" s="907"/>
      <c r="J1" s="907"/>
      <c r="K1" s="907"/>
    </row>
    <row r="2" spans="1:12" x14ac:dyDescent="0.2">
      <c r="A2" s="907"/>
      <c r="B2" s="907"/>
      <c r="C2" s="907"/>
      <c r="D2" s="907"/>
      <c r="E2" s="907"/>
      <c r="F2" s="907"/>
      <c r="G2" s="907"/>
      <c r="H2" s="907"/>
      <c r="I2" s="907"/>
      <c r="J2" s="907"/>
      <c r="K2" s="907"/>
    </row>
    <row r="3" spans="1:12" x14ac:dyDescent="0.2">
      <c r="A3" s="907"/>
      <c r="B3" s="907"/>
      <c r="C3" s="907"/>
      <c r="D3" s="907"/>
      <c r="E3" s="907"/>
      <c r="F3" s="907"/>
      <c r="G3" s="907"/>
      <c r="H3" s="907"/>
      <c r="I3" s="907"/>
      <c r="J3" s="907"/>
      <c r="K3" s="907"/>
    </row>
    <row r="4" spans="1:12" ht="81" customHeight="1" x14ac:dyDescent="0.2">
      <c r="A4" s="1610" t="s">
        <v>4066</v>
      </c>
      <c r="B4" s="1611"/>
      <c r="C4" s="1611"/>
      <c r="D4" s="927"/>
      <c r="E4" s="907"/>
      <c r="F4" s="907"/>
      <c r="G4" s="907"/>
      <c r="H4" s="907"/>
      <c r="I4" s="907"/>
      <c r="J4" s="907"/>
      <c r="K4" s="907"/>
    </row>
    <row r="5" spans="1:12" ht="12.75" customHeight="1" x14ac:dyDescent="0.2">
      <c r="A5" s="907"/>
      <c r="B5" s="907"/>
      <c r="C5" s="907"/>
      <c r="D5" s="907"/>
      <c r="E5" s="907"/>
      <c r="F5" s="907"/>
      <c r="G5" s="907"/>
      <c r="H5" s="907"/>
      <c r="I5" s="907"/>
      <c r="J5" s="907"/>
      <c r="K5" s="907"/>
    </row>
    <row r="6" spans="1:12" ht="12.75" customHeight="1" x14ac:dyDescent="0.2">
      <c r="A6" s="907"/>
      <c r="B6" s="907"/>
      <c r="C6" s="907"/>
      <c r="D6" s="907"/>
      <c r="E6" s="907"/>
      <c r="F6" s="907"/>
      <c r="G6" s="907"/>
      <c r="H6" s="907"/>
      <c r="I6" s="907"/>
      <c r="J6" s="907"/>
      <c r="K6" s="907"/>
    </row>
    <row r="7" spans="1:12" ht="12.75" customHeight="1" x14ac:dyDescent="0.2">
      <c r="A7" s="909" t="s">
        <v>540</v>
      </c>
      <c r="B7" s="1612" t="s">
        <v>3649</v>
      </c>
      <c r="C7" s="1613"/>
      <c r="D7" s="1613"/>
      <c r="E7" s="1613"/>
      <c r="F7" s="1613"/>
      <c r="G7" s="1613"/>
      <c r="H7" s="1613"/>
      <c r="I7" s="1613"/>
      <c r="J7" s="1613"/>
      <c r="K7" s="1613"/>
      <c r="L7" s="1613"/>
    </row>
    <row r="8" spans="1:12" ht="12.75" customHeight="1" x14ac:dyDescent="0.2">
      <c r="A8" s="907"/>
      <c r="B8" s="907"/>
      <c r="C8" s="907"/>
      <c r="D8" s="907"/>
      <c r="E8" s="907"/>
      <c r="F8" s="907"/>
      <c r="G8" s="673"/>
      <c r="H8" s="673"/>
      <c r="I8" s="910"/>
      <c r="J8" s="673"/>
      <c r="K8" s="907"/>
      <c r="L8" s="673"/>
    </row>
    <row r="9" spans="1:12" ht="12.75" customHeight="1" x14ac:dyDescent="0.2">
      <c r="A9" s="907"/>
      <c r="B9" s="907" t="s">
        <v>3648</v>
      </c>
      <c r="C9" s="907"/>
      <c r="D9" s="673"/>
      <c r="E9" s="907"/>
      <c r="F9" s="673"/>
      <c r="H9" s="673"/>
      <c r="I9" s="673"/>
      <c r="J9" s="907"/>
    </row>
    <row r="10" spans="1:12" ht="12.75" customHeight="1" x14ac:dyDescent="0.2">
      <c r="A10" s="907"/>
      <c r="B10" s="907"/>
      <c r="C10" s="907"/>
      <c r="D10" s="729"/>
      <c r="E10" s="907"/>
      <c r="F10" s="673"/>
      <c r="H10" s="673"/>
      <c r="I10" s="1003"/>
      <c r="J10" s="1004"/>
    </row>
    <row r="11" spans="1:12" ht="12.75" customHeight="1" x14ac:dyDescent="0.2">
      <c r="A11" s="907"/>
      <c r="B11" s="911" t="s">
        <v>2036</v>
      </c>
      <c r="C11" s="907"/>
      <c r="D11" s="750">
        <v>0</v>
      </c>
      <c r="E11" s="907"/>
      <c r="F11" s="911"/>
      <c r="H11" s="673"/>
      <c r="I11" s="1004"/>
      <c r="J11" s="1004"/>
    </row>
    <row r="12" spans="1:12" ht="12.75" customHeight="1" x14ac:dyDescent="0.2">
      <c r="A12" s="907"/>
      <c r="B12" s="911" t="s">
        <v>4071</v>
      </c>
      <c r="C12" s="907"/>
      <c r="D12" s="750">
        <v>0</v>
      </c>
      <c r="E12" s="907" t="s">
        <v>3650</v>
      </c>
      <c r="F12" s="911"/>
      <c r="H12" s="673"/>
      <c r="I12" s="673"/>
      <c r="J12" s="907"/>
    </row>
    <row r="13" spans="1:12" ht="12.75" customHeight="1" x14ac:dyDescent="0.2">
      <c r="A13" s="907"/>
      <c r="B13" s="912" t="s">
        <v>2054</v>
      </c>
      <c r="C13" s="907"/>
      <c r="D13" s="706">
        <f>SUM(D11:D12)</f>
        <v>0</v>
      </c>
      <c r="E13" s="911" t="str">
        <f>IF(D13=1,"=100%","DOES NOT EQUAL 100%!!!")</f>
        <v>DOES NOT EQUAL 100%!!!</v>
      </c>
      <c r="H13" s="673"/>
      <c r="I13" s="673"/>
      <c r="J13" s="907"/>
    </row>
    <row r="14" spans="1:12" ht="12.75" customHeight="1" x14ac:dyDescent="0.2">
      <c r="A14" s="907"/>
      <c r="B14" s="913"/>
      <c r="C14" s="907"/>
      <c r="D14" s="914"/>
      <c r="E14" s="914"/>
      <c r="H14" s="673"/>
      <c r="I14" s="673"/>
      <c r="J14" s="907"/>
    </row>
    <row r="15" spans="1:12" ht="12.75" customHeight="1" x14ac:dyDescent="0.2">
      <c r="A15" s="907"/>
      <c r="B15" s="915" t="s">
        <v>3624</v>
      </c>
      <c r="C15" s="907"/>
      <c r="D15" s="914"/>
      <c r="E15" s="914"/>
      <c r="H15" s="673"/>
      <c r="I15" s="673"/>
      <c r="J15" s="907"/>
    </row>
    <row r="16" spans="1:12" ht="12.75" customHeight="1" x14ac:dyDescent="0.2">
      <c r="A16" s="907"/>
      <c r="B16" s="913" t="s">
        <v>2055</v>
      </c>
      <c r="C16" s="907"/>
      <c r="D16" s="750">
        <v>0</v>
      </c>
      <c r="E16" s="914"/>
      <c r="H16" s="673"/>
      <c r="I16" s="673"/>
      <c r="J16" s="907"/>
    </row>
    <row r="17" spans="1:11" ht="12.75" customHeight="1" x14ac:dyDescent="0.2">
      <c r="A17" s="907"/>
      <c r="B17" s="913" t="s">
        <v>2056</v>
      </c>
      <c r="C17" s="907"/>
      <c r="D17" s="750">
        <v>0</v>
      </c>
      <c r="E17" s="914"/>
      <c r="H17" s="673"/>
      <c r="I17" s="673"/>
      <c r="J17" s="907"/>
    </row>
    <row r="18" spans="1:11" ht="12.75" customHeight="1" x14ac:dyDescent="0.2">
      <c r="A18" s="907"/>
      <c r="B18" s="913" t="s">
        <v>2057</v>
      </c>
      <c r="C18" s="907"/>
      <c r="D18" s="750">
        <v>0</v>
      </c>
      <c r="E18" s="914"/>
      <c r="H18" s="673"/>
      <c r="I18" s="673"/>
      <c r="J18" s="907"/>
    </row>
    <row r="19" spans="1:11" ht="12.75" customHeight="1" x14ac:dyDescent="0.2">
      <c r="A19" s="907"/>
      <c r="B19" s="913" t="s">
        <v>2058</v>
      </c>
      <c r="C19" s="907"/>
      <c r="D19" s="750">
        <v>0</v>
      </c>
      <c r="E19" s="914"/>
      <c r="H19" s="673"/>
      <c r="I19" s="673"/>
      <c r="J19" s="907"/>
    </row>
    <row r="20" spans="1:11" ht="12.75" customHeight="1" x14ac:dyDescent="0.2">
      <c r="A20" s="907"/>
      <c r="B20" s="913" t="s">
        <v>2059</v>
      </c>
      <c r="C20" s="907"/>
      <c r="D20" s="750">
        <v>0</v>
      </c>
      <c r="E20" s="914"/>
      <c r="H20" s="673"/>
      <c r="I20" s="673"/>
      <c r="J20" s="907"/>
    </row>
    <row r="21" spans="1:11" ht="12.75" customHeight="1" x14ac:dyDescent="0.2">
      <c r="A21" s="907"/>
      <c r="B21" s="913" t="s">
        <v>2060</v>
      </c>
      <c r="C21" s="907"/>
      <c r="D21" s="750">
        <v>0</v>
      </c>
      <c r="E21" s="914"/>
      <c r="H21" s="673"/>
      <c r="I21" s="673"/>
      <c r="J21" s="907"/>
    </row>
    <row r="22" spans="1:11" ht="12.75" customHeight="1" x14ac:dyDescent="0.2">
      <c r="A22" s="907"/>
      <c r="B22" s="913" t="s">
        <v>2061</v>
      </c>
      <c r="C22" s="907"/>
      <c r="D22" s="750">
        <v>0</v>
      </c>
      <c r="E22" s="914"/>
      <c r="H22" s="673"/>
      <c r="I22" s="673"/>
      <c r="J22" s="907"/>
    </row>
    <row r="23" spans="1:11" ht="12.75" customHeight="1" x14ac:dyDescent="0.2">
      <c r="A23" s="907"/>
      <c r="B23" s="913" t="s">
        <v>2062</v>
      </c>
      <c r="C23" s="907"/>
      <c r="D23" s="750">
        <v>0</v>
      </c>
      <c r="E23" s="914"/>
      <c r="H23" s="955"/>
      <c r="I23" s="673"/>
      <c r="J23" s="907"/>
    </row>
    <row r="24" spans="1:11" ht="12.75" customHeight="1" x14ac:dyDescent="0.2">
      <c r="A24" s="907"/>
      <c r="B24" s="913" t="s">
        <v>2063</v>
      </c>
      <c r="C24" s="907"/>
      <c r="D24" s="750">
        <v>0</v>
      </c>
      <c r="E24" s="914"/>
      <c r="H24" s="955"/>
      <c r="I24" s="673"/>
      <c r="J24" s="907"/>
    </row>
    <row r="25" spans="1:11" ht="12.75" customHeight="1" x14ac:dyDescent="0.2">
      <c r="A25" s="907"/>
      <c r="B25" s="912" t="s">
        <v>3634</v>
      </c>
      <c r="C25" s="907"/>
      <c r="D25" s="706">
        <f>SUM(D16:D24)</f>
        <v>0</v>
      </c>
      <c r="E25" s="911" t="str">
        <f>IF(D25=D11,"Equals Governmental Activities","DOES NOT EQUAL Governmental Activities!!!")</f>
        <v>Equals Governmental Activities</v>
      </c>
      <c r="H25" s="673"/>
      <c r="I25" s="673"/>
      <c r="J25" s="907"/>
    </row>
    <row r="26" spans="1:11" ht="12.75" customHeight="1" x14ac:dyDescent="0.2">
      <c r="A26" s="907"/>
      <c r="B26" s="907"/>
      <c r="C26" s="907"/>
      <c r="D26" s="673"/>
      <c r="E26" s="907"/>
      <c r="F26" s="673"/>
      <c r="H26" s="673"/>
      <c r="I26" s="673"/>
      <c r="J26" s="907"/>
    </row>
    <row r="27" spans="1:11" x14ac:dyDescent="0.2">
      <c r="A27" s="907"/>
      <c r="B27" s="907"/>
      <c r="C27" s="907"/>
      <c r="D27" s="907"/>
      <c r="E27" s="907"/>
      <c r="F27" s="907"/>
      <c r="G27" s="907"/>
      <c r="H27" s="907"/>
      <c r="I27" s="907"/>
      <c r="J27" s="907"/>
      <c r="K27" s="907"/>
    </row>
    <row r="28" spans="1:11" ht="25.5" customHeight="1" x14ac:dyDescent="0.2">
      <c r="A28" s="909" t="s">
        <v>541</v>
      </c>
      <c r="B28" s="1614" t="s">
        <v>4059</v>
      </c>
      <c r="C28" s="1615"/>
      <c r="D28" s="1615"/>
      <c r="E28" s="1615"/>
      <c r="F28" s="907"/>
      <c r="G28" s="907"/>
      <c r="H28" s="907"/>
      <c r="I28" s="907"/>
      <c r="J28" s="907"/>
      <c r="K28" s="907"/>
    </row>
    <row r="29" spans="1:11" x14ac:dyDescent="0.2">
      <c r="A29" s="907"/>
      <c r="B29" s="907"/>
      <c r="C29" s="907"/>
      <c r="D29" s="907"/>
      <c r="E29" s="907"/>
      <c r="F29" s="907"/>
      <c r="G29" s="907"/>
      <c r="H29" s="907"/>
      <c r="I29" s="907"/>
      <c r="J29" s="907"/>
      <c r="K29" s="907"/>
    </row>
    <row r="30" spans="1:11" x14ac:dyDescent="0.2">
      <c r="A30" s="907"/>
      <c r="B30" s="907"/>
      <c r="C30" s="907"/>
      <c r="D30" s="907"/>
      <c r="E30" s="907"/>
      <c r="F30" s="907"/>
      <c r="G30" s="907"/>
      <c r="H30" s="907"/>
      <c r="I30" s="907"/>
      <c r="J30" s="907"/>
      <c r="K30" s="907"/>
    </row>
    <row r="31" spans="1:11" ht="14.25" x14ac:dyDescent="0.2">
      <c r="A31" s="907"/>
      <c r="B31" s="952" t="s">
        <v>4057</v>
      </c>
      <c r="C31" s="952"/>
      <c r="D31" s="1155"/>
      <c r="E31" s="924"/>
      <c r="F31" s="916"/>
      <c r="G31" s="916"/>
      <c r="H31" s="916"/>
      <c r="I31" s="916"/>
      <c r="J31" s="916"/>
      <c r="K31" s="917"/>
    </row>
    <row r="32" spans="1:11" ht="14.25" x14ac:dyDescent="0.2">
      <c r="A32" s="907"/>
      <c r="B32" s="952" t="s">
        <v>4058</v>
      </c>
      <c r="C32" s="952"/>
      <c r="D32" s="1155"/>
      <c r="E32" s="916"/>
      <c r="F32" s="916"/>
      <c r="G32" s="916"/>
      <c r="H32" s="916"/>
      <c r="I32" s="916"/>
      <c r="J32" s="916"/>
      <c r="K32" s="917"/>
    </row>
    <row r="33" spans="1:17" ht="14.25" x14ac:dyDescent="0.2">
      <c r="A33" s="907"/>
      <c r="B33" s="952" t="s">
        <v>3963</v>
      </c>
      <c r="C33" s="952"/>
      <c r="D33" s="1155"/>
      <c r="E33" s="916"/>
      <c r="F33" s="916"/>
      <c r="G33" s="916"/>
      <c r="H33" s="916"/>
      <c r="I33" s="916"/>
      <c r="J33" s="916"/>
      <c r="K33" s="917"/>
      <c r="M33" s="914"/>
    </row>
    <row r="34" spans="1:17" ht="14.25" x14ac:dyDescent="0.2">
      <c r="A34" s="907"/>
      <c r="B34" s="954" t="s">
        <v>3658</v>
      </c>
      <c r="C34" s="952"/>
      <c r="D34" s="1155"/>
      <c r="E34" s="918"/>
      <c r="F34" s="916"/>
      <c r="G34" s="916"/>
      <c r="H34" s="916"/>
      <c r="I34" s="916"/>
      <c r="J34" s="916"/>
      <c r="K34" s="917"/>
      <c r="M34" s="914"/>
    </row>
    <row r="35" spans="1:17" ht="14.25" x14ac:dyDescent="0.2">
      <c r="A35" s="907"/>
      <c r="B35" s="954" t="s">
        <v>4062</v>
      </c>
      <c r="C35" s="952"/>
      <c r="D35" s="1155"/>
      <c r="E35" s="918"/>
      <c r="F35" s="916"/>
      <c r="G35" s="916"/>
      <c r="H35" s="916"/>
      <c r="I35" s="916"/>
      <c r="J35" s="916"/>
      <c r="K35" s="917"/>
      <c r="M35" s="914"/>
    </row>
    <row r="36" spans="1:17" ht="27" customHeight="1" x14ac:dyDescent="0.2">
      <c r="A36" s="907"/>
      <c r="B36" s="1616" t="s">
        <v>3964</v>
      </c>
      <c r="C36" s="1616"/>
      <c r="D36" s="1155"/>
      <c r="E36" s="918"/>
      <c r="F36" s="1617"/>
      <c r="G36" s="1617"/>
      <c r="H36" s="1617"/>
      <c r="I36" s="1617"/>
      <c r="J36" s="1617"/>
      <c r="K36" s="1617"/>
      <c r="M36" s="914"/>
    </row>
    <row r="37" spans="1:17" ht="19.5" customHeight="1" x14ac:dyDescent="0.2">
      <c r="A37" s="907"/>
      <c r="B37" s="1616" t="s">
        <v>3965</v>
      </c>
      <c r="C37" s="1616"/>
      <c r="D37" s="1155"/>
      <c r="E37" s="918"/>
      <c r="F37" s="1617"/>
      <c r="G37" s="1617"/>
      <c r="H37" s="1617"/>
      <c r="I37" s="1617"/>
      <c r="J37" s="1617"/>
      <c r="K37" s="1617"/>
      <c r="M37" s="914"/>
    </row>
    <row r="38" spans="1:17" ht="21.75" customHeight="1" x14ac:dyDescent="0.2">
      <c r="A38" s="907"/>
      <c r="B38" s="1616" t="s">
        <v>3966</v>
      </c>
      <c r="C38" s="1616"/>
      <c r="D38" s="1155"/>
      <c r="E38" s="918"/>
      <c r="F38" s="1103"/>
      <c r="G38" s="1103"/>
      <c r="H38" s="1103"/>
      <c r="I38" s="1103"/>
      <c r="J38" s="1103"/>
      <c r="K38" s="1103"/>
      <c r="M38" s="914"/>
    </row>
    <row r="39" spans="1:17" ht="17.25" customHeight="1" x14ac:dyDescent="0.2">
      <c r="A39" s="907"/>
      <c r="B39" s="1616" t="s">
        <v>3655</v>
      </c>
      <c r="C39" s="1616"/>
      <c r="D39" s="1155"/>
      <c r="E39" s="916"/>
      <c r="F39" s="1616" t="s">
        <v>3620</v>
      </c>
      <c r="G39" s="1616"/>
      <c r="H39" s="1616"/>
      <c r="I39" s="1616"/>
      <c r="J39" s="1616"/>
      <c r="K39" s="1616"/>
      <c r="M39" s="914"/>
    </row>
    <row r="40" spans="1:17" ht="14.25" x14ac:dyDescent="0.2">
      <c r="A40" s="907"/>
      <c r="B40" s="1616" t="s">
        <v>3656</v>
      </c>
      <c r="C40" s="1616"/>
      <c r="D40" s="1155"/>
      <c r="E40" s="916"/>
      <c r="F40" s="1616" t="s">
        <v>3620</v>
      </c>
      <c r="G40" s="1616"/>
      <c r="H40" s="1616"/>
      <c r="I40" s="1616"/>
      <c r="J40" s="1616"/>
      <c r="K40" s="1616"/>
      <c r="M40" s="919"/>
    </row>
    <row r="41" spans="1:17" x14ac:dyDescent="0.2">
      <c r="A41" s="907"/>
      <c r="B41" s="1616" t="s">
        <v>3657</v>
      </c>
      <c r="C41" s="1616"/>
      <c r="D41" s="1155"/>
      <c r="E41" s="907"/>
      <c r="F41" s="907"/>
      <c r="G41" s="907"/>
      <c r="H41" s="907"/>
      <c r="I41" s="907"/>
      <c r="J41" s="907"/>
      <c r="K41" s="907"/>
      <c r="M41" s="919"/>
    </row>
    <row r="42" spans="1:17" x14ac:dyDescent="0.2">
      <c r="A42" s="907"/>
      <c r="B42" s="907"/>
      <c r="C42" s="907"/>
      <c r="D42" s="907"/>
      <c r="E42" s="907"/>
      <c r="F42" s="907"/>
      <c r="G42" s="907"/>
      <c r="H42" s="907"/>
      <c r="I42" s="907"/>
      <c r="J42" s="907"/>
      <c r="K42" s="907"/>
      <c r="M42" s="914"/>
    </row>
    <row r="43" spans="1:17" ht="51" x14ac:dyDescent="0.2">
      <c r="A43" s="909" t="s">
        <v>541</v>
      </c>
      <c r="B43" s="920" t="s">
        <v>3967</v>
      </c>
      <c r="C43" s="907"/>
      <c r="D43" s="907"/>
      <c r="E43" s="907"/>
      <c r="F43" s="907"/>
      <c r="G43" s="907"/>
      <c r="H43" s="907"/>
      <c r="I43" s="907"/>
      <c r="J43" s="927"/>
      <c r="K43" s="927"/>
      <c r="L43" s="926"/>
      <c r="M43" s="921"/>
      <c r="N43" s="926"/>
      <c r="O43" s="950"/>
      <c r="P43" s="926"/>
      <c r="Q43" s="926"/>
    </row>
    <row r="44" spans="1:17" x14ac:dyDescent="0.2">
      <c r="A44" s="907"/>
      <c r="B44" s="907"/>
      <c r="C44" s="907"/>
      <c r="D44" s="907"/>
      <c r="E44" s="927"/>
      <c r="F44" s="907"/>
      <c r="G44" s="907"/>
      <c r="H44" s="907"/>
      <c r="I44" s="907"/>
      <c r="J44" s="927"/>
      <c r="K44" s="927"/>
      <c r="L44" s="926"/>
      <c r="M44" s="921"/>
      <c r="N44" s="926"/>
      <c r="O44" s="950"/>
      <c r="P44" s="926"/>
      <c r="Q44" s="926"/>
    </row>
    <row r="45" spans="1:17" x14ac:dyDescent="0.2">
      <c r="A45" s="907"/>
      <c r="B45" s="907"/>
      <c r="C45" s="907"/>
      <c r="D45" s="854"/>
      <c r="E45" s="927"/>
      <c r="F45" s="907"/>
      <c r="G45" s="907"/>
      <c r="H45" s="907"/>
      <c r="I45" s="907"/>
      <c r="J45" s="927"/>
      <c r="K45" s="927"/>
      <c r="L45" s="926"/>
      <c r="M45" s="914"/>
      <c r="N45" s="926"/>
      <c r="O45" s="950"/>
      <c r="P45" s="926"/>
      <c r="Q45" s="926"/>
    </row>
    <row r="46" spans="1:17" ht="27" customHeight="1" x14ac:dyDescent="0.2">
      <c r="A46" s="907"/>
      <c r="B46" s="1602" t="s">
        <v>4065</v>
      </c>
      <c r="C46" s="1603"/>
      <c r="D46" s="1156"/>
      <c r="E46" s="927"/>
      <c r="F46" s="907"/>
      <c r="G46" s="907"/>
      <c r="H46" s="907"/>
      <c r="I46" s="907"/>
      <c r="J46" s="927"/>
      <c r="K46" s="951"/>
      <c r="L46" s="926"/>
      <c r="M46" s="951"/>
      <c r="N46" s="926"/>
      <c r="O46" s="951"/>
      <c r="P46" s="926"/>
      <c r="Q46" s="926"/>
    </row>
    <row r="47" spans="1:17" x14ac:dyDescent="0.2">
      <c r="A47" s="907"/>
      <c r="B47" s="907"/>
      <c r="C47" s="907"/>
      <c r="D47" s="854"/>
      <c r="E47" s="927"/>
      <c r="F47" s="907"/>
      <c r="G47" s="907"/>
      <c r="H47" s="907"/>
      <c r="I47" s="907"/>
      <c r="J47" s="927"/>
      <c r="K47" s="927"/>
      <c r="L47" s="926"/>
      <c r="M47" s="914"/>
      <c r="N47" s="926"/>
      <c r="O47" s="950"/>
      <c r="P47" s="926"/>
      <c r="Q47" s="926"/>
    </row>
    <row r="48" spans="1:17" ht="29.25" customHeight="1" x14ac:dyDescent="0.2">
      <c r="A48" s="907"/>
      <c r="B48" s="1602" t="s">
        <v>3651</v>
      </c>
      <c r="C48" s="1602"/>
      <c r="D48" s="1156"/>
      <c r="E48" s="927"/>
      <c r="F48" s="907"/>
      <c r="G48" s="907"/>
      <c r="H48" s="907"/>
      <c r="I48" s="907"/>
      <c r="J48" s="927"/>
      <c r="K48" s="927"/>
      <c r="L48" s="926"/>
      <c r="M48" s="919"/>
      <c r="N48" s="926"/>
      <c r="O48" s="950"/>
      <c r="P48" s="926"/>
      <c r="Q48" s="926"/>
    </row>
    <row r="49" spans="1:17" x14ac:dyDescent="0.2">
      <c r="A49" s="907"/>
      <c r="B49" s="907"/>
      <c r="C49" s="907"/>
      <c r="D49" s="907"/>
      <c r="E49" s="927"/>
      <c r="F49" s="907"/>
      <c r="G49" s="907"/>
      <c r="H49" s="907"/>
      <c r="I49" s="907"/>
      <c r="J49" s="927"/>
      <c r="K49" s="927"/>
      <c r="L49" s="926"/>
      <c r="M49" s="919"/>
      <c r="N49" s="926"/>
      <c r="O49" s="950"/>
      <c r="P49" s="950"/>
      <c r="Q49" s="926"/>
    </row>
    <row r="50" spans="1:17" ht="12.75" hidden="1" customHeight="1" x14ac:dyDescent="0.2">
      <c r="A50" s="907"/>
      <c r="B50" s="907"/>
      <c r="C50" s="907"/>
      <c r="D50" s="907"/>
      <c r="E50" s="927"/>
      <c r="F50" s="907"/>
      <c r="G50" s="907"/>
      <c r="H50" s="907"/>
      <c r="I50" s="907"/>
      <c r="J50" s="927"/>
      <c r="K50" s="927"/>
      <c r="L50" s="926"/>
      <c r="M50" s="914"/>
      <c r="N50" s="950"/>
      <c r="O50" s="94"/>
      <c r="P50" s="94"/>
      <c r="Q50" s="950"/>
    </row>
    <row r="51" spans="1:17" ht="14.25" hidden="1" customHeight="1" x14ac:dyDescent="0.2">
      <c r="A51" s="907"/>
      <c r="B51" s="916" t="s">
        <v>3652</v>
      </c>
      <c r="C51" s="916"/>
      <c r="D51" s="916"/>
      <c r="E51" s="956"/>
      <c r="F51" s="916"/>
      <c r="G51" s="916"/>
      <c r="H51" s="916"/>
      <c r="I51" s="916"/>
      <c r="J51" s="956"/>
      <c r="K51" s="926"/>
      <c r="L51" s="950"/>
      <c r="M51" s="921"/>
      <c r="N51" s="950"/>
      <c r="O51" s="94"/>
      <c r="P51" s="94"/>
      <c r="Q51" s="950"/>
    </row>
    <row r="52" spans="1:17" ht="14.25" hidden="1" customHeight="1" x14ac:dyDescent="0.2">
      <c r="A52" s="907"/>
      <c r="B52" s="916" t="s">
        <v>3622</v>
      </c>
      <c r="C52" s="916"/>
      <c r="D52" s="916"/>
      <c r="E52" s="916"/>
      <c r="F52" s="916"/>
      <c r="G52" s="916"/>
      <c r="H52" s="916"/>
      <c r="I52" s="916"/>
      <c r="J52" s="956"/>
      <c r="K52" s="926"/>
      <c r="L52" s="996"/>
      <c r="M52" s="921"/>
      <c r="N52" s="950"/>
      <c r="O52" s="94"/>
      <c r="P52" s="94"/>
      <c r="Q52" s="950"/>
    </row>
    <row r="53" spans="1:17" ht="14.25" hidden="1" customHeight="1" x14ac:dyDescent="0.2">
      <c r="A53" s="907"/>
      <c r="B53" s="916" t="s">
        <v>3621</v>
      </c>
      <c r="C53" s="916"/>
      <c r="D53" s="916"/>
      <c r="E53" s="916"/>
      <c r="F53" s="916"/>
      <c r="G53" s="916"/>
      <c r="H53" s="916"/>
      <c r="I53" s="916"/>
      <c r="J53" s="956"/>
      <c r="K53" s="926"/>
      <c r="L53" s="950"/>
      <c r="M53" s="914"/>
      <c r="N53" s="950"/>
      <c r="O53" s="94"/>
      <c r="P53" s="94"/>
      <c r="Q53" s="950"/>
    </row>
    <row r="54" spans="1:17" ht="14.25" hidden="1" customHeight="1" x14ac:dyDescent="0.2">
      <c r="A54" s="907"/>
      <c r="B54" s="916" t="s">
        <v>3600</v>
      </c>
      <c r="C54" s="916"/>
      <c r="D54" s="916"/>
      <c r="E54" s="916"/>
      <c r="F54" s="916"/>
      <c r="G54" s="916"/>
      <c r="H54" s="916"/>
      <c r="I54" s="916"/>
      <c r="J54" s="956"/>
      <c r="K54" s="926"/>
      <c r="L54" s="997"/>
      <c r="M54" s="914"/>
      <c r="N54" s="950"/>
      <c r="O54" s="94"/>
      <c r="P54" s="94"/>
      <c r="Q54" s="950"/>
    </row>
    <row r="55" spans="1:17" ht="14.25" hidden="1" customHeight="1" x14ac:dyDescent="0.2">
      <c r="A55" s="907"/>
      <c r="B55" s="916" t="s">
        <v>3601</v>
      </c>
      <c r="C55" s="916"/>
      <c r="D55" s="916"/>
      <c r="E55" s="916"/>
      <c r="F55" s="916"/>
      <c r="G55" s="916"/>
      <c r="H55" s="916"/>
      <c r="I55" s="916"/>
      <c r="J55" s="998"/>
      <c r="K55" s="926"/>
      <c r="L55" s="926"/>
      <c r="M55" s="914"/>
      <c r="N55" s="950"/>
      <c r="O55" s="94"/>
      <c r="P55" s="94"/>
      <c r="Q55" s="950"/>
    </row>
    <row r="56" spans="1:17" ht="14.25" hidden="1" customHeight="1" x14ac:dyDescent="0.2">
      <c r="A56" s="907"/>
      <c r="B56" s="916" t="s">
        <v>3602</v>
      </c>
      <c r="C56" s="916"/>
      <c r="D56" s="916"/>
      <c r="E56" s="916"/>
      <c r="F56" s="916"/>
      <c r="G56" s="916"/>
      <c r="H56" s="916"/>
      <c r="I56" s="916"/>
      <c r="J56" s="956"/>
      <c r="K56" s="926"/>
      <c r="L56" s="950"/>
      <c r="M56" s="950"/>
      <c r="N56" s="950"/>
      <c r="O56" s="94"/>
      <c r="P56" s="94"/>
      <c r="Q56" s="950"/>
    </row>
    <row r="57" spans="1:17" ht="14.25" hidden="1" customHeight="1" x14ac:dyDescent="0.2">
      <c r="A57" s="907"/>
      <c r="B57" s="916" t="s">
        <v>3603</v>
      </c>
      <c r="C57" s="916"/>
      <c r="D57" s="916"/>
      <c r="E57" s="916"/>
      <c r="F57" s="916"/>
      <c r="G57" s="916"/>
      <c r="H57" s="916"/>
      <c r="I57" s="916"/>
      <c r="J57" s="956"/>
      <c r="K57" s="926"/>
      <c r="L57" s="94"/>
      <c r="M57" s="950"/>
      <c r="N57" s="950"/>
      <c r="O57" s="94"/>
      <c r="P57" s="94"/>
      <c r="Q57" s="950"/>
    </row>
    <row r="58" spans="1:17" ht="14.25" hidden="1" customHeight="1" x14ac:dyDescent="0.2">
      <c r="A58" s="907"/>
      <c r="B58" s="916" t="s">
        <v>3604</v>
      </c>
      <c r="C58" s="916"/>
      <c r="D58" s="916"/>
      <c r="E58" s="916"/>
      <c r="F58" s="916"/>
      <c r="G58" s="916"/>
      <c r="H58" s="916"/>
      <c r="I58" s="916"/>
      <c r="J58" s="956"/>
      <c r="K58" s="926"/>
      <c r="L58" s="950"/>
      <c r="M58" s="950"/>
      <c r="N58" s="950"/>
      <c r="O58" s="94"/>
      <c r="P58" s="94"/>
      <c r="Q58" s="950"/>
    </row>
    <row r="59" spans="1:17" ht="14.25" hidden="1" customHeight="1" x14ac:dyDescent="0.2">
      <c r="A59" s="907"/>
      <c r="B59" s="916" t="s">
        <v>3605</v>
      </c>
      <c r="C59" s="916"/>
      <c r="D59" s="916"/>
      <c r="E59" s="916"/>
      <c r="F59" s="916"/>
      <c r="G59" s="916"/>
      <c r="H59" s="916"/>
      <c r="I59" s="916"/>
      <c r="J59" s="956"/>
      <c r="K59" s="926"/>
      <c r="L59" s="996"/>
      <c r="M59" s="950"/>
      <c r="N59" s="950"/>
      <c r="O59" s="94"/>
      <c r="P59" s="94"/>
      <c r="Q59" s="950"/>
    </row>
    <row r="60" spans="1:17" ht="14.25" hidden="1" customHeight="1" x14ac:dyDescent="0.2">
      <c r="A60" s="907"/>
      <c r="B60" s="916" t="s">
        <v>3606</v>
      </c>
      <c r="C60" s="916"/>
      <c r="D60" s="916"/>
      <c r="E60" s="916"/>
      <c r="F60" s="916"/>
      <c r="G60" s="916"/>
      <c r="H60" s="916"/>
      <c r="I60" s="916"/>
      <c r="J60" s="956"/>
      <c r="K60" s="926"/>
      <c r="L60" s="996"/>
      <c r="M60" s="950"/>
      <c r="N60" s="950"/>
      <c r="O60" s="94"/>
      <c r="P60" s="94"/>
      <c r="Q60" s="950"/>
    </row>
    <row r="61" spans="1:17" ht="14.25" hidden="1" customHeight="1" x14ac:dyDescent="0.2">
      <c r="A61" s="907"/>
      <c r="B61" s="916" t="s">
        <v>3607</v>
      </c>
      <c r="C61" s="916"/>
      <c r="D61" s="916"/>
      <c r="E61" s="916"/>
      <c r="F61" s="916"/>
      <c r="G61" s="916"/>
      <c r="H61" s="916"/>
      <c r="I61" s="916"/>
      <c r="J61" s="956"/>
      <c r="K61" s="926"/>
      <c r="L61" s="93"/>
      <c r="M61" s="950"/>
      <c r="N61" s="950"/>
      <c r="O61" s="94"/>
      <c r="P61" s="94"/>
      <c r="Q61" s="950"/>
    </row>
    <row r="62" spans="1:17" ht="14.25" hidden="1" customHeight="1" x14ac:dyDescent="0.2">
      <c r="A62" s="907"/>
      <c r="B62" s="916" t="s">
        <v>3636</v>
      </c>
      <c r="C62" s="916"/>
      <c r="D62" s="916"/>
      <c r="E62" s="916"/>
      <c r="F62" s="916"/>
      <c r="G62" s="916"/>
      <c r="H62" s="916"/>
      <c r="I62" s="916"/>
      <c r="J62" s="956"/>
      <c r="K62" s="926"/>
      <c r="L62" s="996"/>
      <c r="M62" s="950"/>
      <c r="N62" s="950"/>
      <c r="O62" s="94"/>
      <c r="P62" s="94"/>
      <c r="Q62" s="950"/>
    </row>
    <row r="63" spans="1:17" ht="14.25" hidden="1" customHeight="1" x14ac:dyDescent="0.2">
      <c r="A63" s="907"/>
      <c r="B63" s="916" t="s">
        <v>3638</v>
      </c>
      <c r="C63" s="916"/>
      <c r="D63" s="916"/>
      <c r="E63" s="916"/>
      <c r="F63" s="916"/>
      <c r="G63" s="916"/>
      <c r="H63" s="916"/>
      <c r="I63" s="916"/>
      <c r="J63" s="956"/>
      <c r="K63" s="926"/>
      <c r="L63" s="996"/>
      <c r="M63" s="950"/>
      <c r="N63" s="950"/>
      <c r="O63" s="94"/>
      <c r="P63" s="94"/>
      <c r="Q63" s="950"/>
    </row>
    <row r="64" spans="1:17" ht="14.25" hidden="1" customHeight="1" x14ac:dyDescent="0.2">
      <c r="A64" s="907"/>
      <c r="B64" s="916" t="s">
        <v>3635</v>
      </c>
      <c r="C64" s="916"/>
      <c r="D64" s="916"/>
      <c r="E64" s="916"/>
      <c r="F64" s="916"/>
      <c r="G64" s="916"/>
      <c r="H64" s="916"/>
      <c r="I64" s="916"/>
      <c r="J64" s="956"/>
      <c r="K64" s="926"/>
      <c r="L64" s="950"/>
      <c r="M64" s="950"/>
      <c r="N64" s="950"/>
      <c r="O64" s="94"/>
      <c r="P64" s="94"/>
      <c r="Q64" s="950"/>
    </row>
    <row r="65" spans="1:17" ht="14.25" hidden="1" customHeight="1" x14ac:dyDescent="0.2">
      <c r="A65" s="907"/>
      <c r="B65" s="916" t="s">
        <v>3637</v>
      </c>
      <c r="C65" s="916"/>
      <c r="D65" s="916"/>
      <c r="E65" s="916"/>
      <c r="F65" s="916"/>
      <c r="G65" s="916"/>
      <c r="H65" s="916"/>
      <c r="I65" s="916"/>
      <c r="J65" s="956"/>
      <c r="K65" s="926"/>
      <c r="L65" s="950"/>
      <c r="M65" s="950"/>
      <c r="N65" s="950"/>
      <c r="O65" s="94"/>
      <c r="P65" s="94"/>
      <c r="Q65" s="950"/>
    </row>
    <row r="66" spans="1:17" ht="14.25" hidden="1" customHeight="1" x14ac:dyDescent="0.2">
      <c r="A66" s="907"/>
      <c r="C66" s="916"/>
      <c r="D66" s="916"/>
      <c r="E66" s="916"/>
      <c r="F66" s="916"/>
      <c r="G66" s="916"/>
      <c r="H66" s="916"/>
      <c r="I66" s="916"/>
      <c r="J66" s="956"/>
      <c r="K66" s="926"/>
      <c r="L66" s="950"/>
      <c r="M66" s="950"/>
      <c r="N66" s="950"/>
      <c r="O66" s="94"/>
      <c r="P66" s="94"/>
      <c r="Q66" s="950"/>
    </row>
    <row r="67" spans="1:17" ht="14.25" hidden="1" customHeight="1" x14ac:dyDescent="0.2">
      <c r="A67" s="907"/>
      <c r="C67" s="916"/>
      <c r="D67" s="916"/>
      <c r="E67" s="916"/>
      <c r="F67" s="916"/>
      <c r="G67" s="916"/>
      <c r="H67" s="916"/>
      <c r="I67" s="916"/>
      <c r="J67" s="956"/>
      <c r="K67" s="926"/>
      <c r="L67" s="926"/>
      <c r="M67" s="950"/>
      <c r="N67" s="950"/>
      <c r="O67" s="94"/>
      <c r="P67" s="94"/>
      <c r="Q67" s="950"/>
    </row>
    <row r="68" spans="1:17" ht="14.25" hidden="1" customHeight="1" x14ac:dyDescent="0.2">
      <c r="A68" s="907"/>
      <c r="B68" s="916" t="s">
        <v>3608</v>
      </c>
      <c r="C68" s="916"/>
      <c r="D68" s="916"/>
      <c r="E68" s="916"/>
      <c r="F68" s="916"/>
      <c r="G68" s="916"/>
      <c r="H68" s="916"/>
      <c r="I68" s="953"/>
      <c r="J68" s="956"/>
      <c r="K68" s="926"/>
      <c r="L68" s="999"/>
      <c r="M68" s="950"/>
      <c r="N68" s="950"/>
      <c r="O68" s="94"/>
      <c r="P68" s="94"/>
      <c r="Q68" s="950"/>
    </row>
    <row r="69" spans="1:17" ht="14.25" hidden="1" customHeight="1" x14ac:dyDescent="0.2">
      <c r="A69" s="907"/>
      <c r="B69" s="916"/>
      <c r="C69" s="916" t="s">
        <v>3609</v>
      </c>
      <c r="D69" s="916"/>
      <c r="E69" s="916"/>
      <c r="F69" s="916"/>
      <c r="G69" s="916"/>
      <c r="H69" s="916"/>
      <c r="I69" s="916"/>
      <c r="J69" s="956"/>
      <c r="K69" s="1000"/>
      <c r="L69" s="94"/>
      <c r="M69" s="950"/>
      <c r="N69" s="950"/>
      <c r="O69" s="94"/>
      <c r="P69" s="94"/>
      <c r="Q69" s="950"/>
    </row>
    <row r="70" spans="1:17" ht="14.25" hidden="1" customHeight="1" x14ac:dyDescent="0.2">
      <c r="A70" s="907"/>
      <c r="B70" s="916"/>
      <c r="C70" s="916"/>
      <c r="D70" s="916"/>
      <c r="E70" s="916"/>
      <c r="F70" s="916"/>
      <c r="G70" s="916"/>
      <c r="H70" s="916"/>
      <c r="I70" s="916"/>
      <c r="J70" s="956"/>
      <c r="K70" s="1001"/>
      <c r="L70" s="997"/>
      <c r="M70" s="950"/>
      <c r="N70" s="950"/>
      <c r="O70" s="94"/>
      <c r="P70" s="94"/>
      <c r="Q70" s="950"/>
    </row>
    <row r="71" spans="1:17" ht="14.25" hidden="1" customHeight="1" x14ac:dyDescent="0.2">
      <c r="A71" s="907"/>
      <c r="B71" s="916"/>
      <c r="C71" s="916"/>
      <c r="D71" s="916"/>
      <c r="E71" s="916"/>
      <c r="F71" s="916"/>
      <c r="G71" s="916"/>
      <c r="H71" s="916"/>
      <c r="I71" s="916"/>
      <c r="J71" s="956"/>
      <c r="K71" s="1001"/>
      <c r="L71" s="950"/>
      <c r="M71" s="950"/>
      <c r="N71" s="950"/>
      <c r="O71" s="94"/>
      <c r="P71" s="94"/>
      <c r="Q71" s="950"/>
    </row>
    <row r="72" spans="1:17" ht="14.25" hidden="1" customHeight="1" x14ac:dyDescent="0.2">
      <c r="A72" s="907"/>
      <c r="B72" s="916"/>
      <c r="C72" s="916"/>
      <c r="D72" s="916"/>
      <c r="E72" s="916"/>
      <c r="F72" s="916"/>
      <c r="G72" s="916"/>
      <c r="H72" s="916"/>
      <c r="I72" s="916"/>
      <c r="J72" s="956"/>
      <c r="K72" s="1001"/>
      <c r="L72" s="950"/>
      <c r="M72" s="950"/>
      <c r="N72" s="927"/>
      <c r="O72" s="94"/>
      <c r="P72" s="94"/>
      <c r="Q72" s="950"/>
    </row>
    <row r="73" spans="1:17" ht="28.5" hidden="1" customHeight="1" x14ac:dyDescent="0.2">
      <c r="A73" s="907"/>
      <c r="B73" s="925" t="s">
        <v>3610</v>
      </c>
      <c r="C73" s="916"/>
      <c r="D73" s="916"/>
      <c r="E73" s="916"/>
      <c r="F73" s="916"/>
      <c r="G73" s="916"/>
      <c r="H73" s="916"/>
      <c r="I73" s="916"/>
      <c r="J73" s="956"/>
      <c r="K73" s="926"/>
      <c r="L73" s="950"/>
      <c r="M73" s="950"/>
      <c r="N73" s="950"/>
      <c r="O73" s="94"/>
      <c r="P73" s="94"/>
      <c r="Q73" s="950"/>
    </row>
    <row r="74" spans="1:17" ht="14.25" hidden="1" customHeight="1" x14ac:dyDescent="0.2">
      <c r="A74" s="907"/>
      <c r="B74" s="946" t="s">
        <v>3625</v>
      </c>
      <c r="C74" s="916"/>
      <c r="D74" s="916"/>
      <c r="E74" s="916"/>
      <c r="F74" s="916"/>
      <c r="G74" s="916"/>
      <c r="H74" s="916"/>
      <c r="I74" s="916"/>
      <c r="J74" s="956"/>
      <c r="K74" s="926"/>
      <c r="L74" s="996"/>
      <c r="M74" s="950"/>
      <c r="N74" s="950"/>
      <c r="O74" s="94"/>
      <c r="P74" s="94"/>
      <c r="Q74" s="950"/>
    </row>
    <row r="75" spans="1:17" ht="14.25" hidden="1" customHeight="1" x14ac:dyDescent="0.2">
      <c r="A75" s="907"/>
      <c r="B75" s="947" t="s">
        <v>3626</v>
      </c>
      <c r="C75" s="916"/>
      <c r="D75" s="916"/>
      <c r="E75" s="916"/>
      <c r="F75" s="916"/>
      <c r="G75" s="916"/>
      <c r="H75" s="916"/>
      <c r="I75" s="916"/>
      <c r="J75" s="956"/>
      <c r="K75" s="926"/>
      <c r="L75" s="996"/>
      <c r="M75" s="950"/>
      <c r="N75" s="950"/>
      <c r="O75" s="94"/>
      <c r="P75" s="94"/>
      <c r="Q75" s="950"/>
    </row>
    <row r="76" spans="1:17" ht="14.25" hidden="1" customHeight="1" x14ac:dyDescent="0.2">
      <c r="A76" s="907"/>
      <c r="B76" s="947" t="s">
        <v>3627</v>
      </c>
      <c r="C76" s="916"/>
      <c r="D76" s="916"/>
      <c r="E76" s="916"/>
      <c r="F76" s="916"/>
      <c r="G76" s="916"/>
      <c r="H76" s="916"/>
      <c r="I76" s="916"/>
      <c r="J76" s="956"/>
      <c r="K76" s="926"/>
      <c r="L76" s="996"/>
      <c r="M76" s="950"/>
      <c r="N76" s="950"/>
      <c r="O76" s="94"/>
      <c r="P76" s="94"/>
      <c r="Q76" s="950"/>
    </row>
    <row r="77" spans="1:17" ht="14.25" hidden="1" customHeight="1" x14ac:dyDescent="0.2">
      <c r="A77" s="907"/>
      <c r="B77" s="947" t="s">
        <v>3628</v>
      </c>
      <c r="C77" s="916"/>
      <c r="D77" s="916"/>
      <c r="E77" s="916"/>
      <c r="F77" s="916"/>
      <c r="G77" s="916"/>
      <c r="H77" s="916"/>
      <c r="I77" s="916"/>
      <c r="J77" s="956"/>
      <c r="K77" s="926"/>
      <c r="L77" s="996"/>
      <c r="M77" s="950"/>
      <c r="N77" s="950"/>
      <c r="O77" s="94"/>
      <c r="P77" s="94"/>
      <c r="Q77" s="950"/>
    </row>
    <row r="78" spans="1:17" ht="14.25" hidden="1" customHeight="1" x14ac:dyDescent="0.2">
      <c r="A78" s="907"/>
      <c r="B78" s="947" t="s">
        <v>3629</v>
      </c>
      <c r="C78" s="916"/>
      <c r="D78" s="916"/>
      <c r="E78" s="916"/>
      <c r="F78" s="916"/>
      <c r="G78" s="916"/>
      <c r="H78" s="916"/>
      <c r="I78" s="916"/>
      <c r="J78" s="956"/>
      <c r="K78" s="926"/>
      <c r="L78" s="996"/>
      <c r="M78" s="950"/>
      <c r="N78" s="950"/>
      <c r="O78" s="94"/>
      <c r="P78" s="94"/>
      <c r="Q78" s="950"/>
    </row>
    <row r="79" spans="1:17" ht="14.25" hidden="1" customHeight="1" x14ac:dyDescent="0.2">
      <c r="A79" s="907"/>
      <c r="B79" s="947" t="s">
        <v>3630</v>
      </c>
      <c r="C79" s="916"/>
      <c r="D79" s="916"/>
      <c r="E79" s="916"/>
      <c r="F79" s="916"/>
      <c r="G79" s="916"/>
      <c r="H79" s="916"/>
      <c r="I79" s="916"/>
      <c r="J79" s="956"/>
      <c r="K79" s="926"/>
      <c r="L79" s="996"/>
      <c r="M79" s="950"/>
      <c r="N79" s="950"/>
      <c r="O79" s="94"/>
      <c r="P79" s="94"/>
      <c r="Q79" s="950"/>
    </row>
    <row r="80" spans="1:17" ht="14.25" hidden="1" customHeight="1" x14ac:dyDescent="0.2">
      <c r="A80" s="907"/>
      <c r="B80" s="947" t="s">
        <v>3631</v>
      </c>
      <c r="C80" s="916"/>
      <c r="D80" s="916"/>
      <c r="E80" s="916"/>
      <c r="F80" s="916"/>
      <c r="G80" s="916"/>
      <c r="H80" s="916"/>
      <c r="I80" s="916"/>
      <c r="J80" s="956"/>
      <c r="K80" s="926"/>
      <c r="L80" s="996"/>
      <c r="M80" s="950"/>
      <c r="N80" s="950"/>
      <c r="O80" s="94"/>
      <c r="P80" s="94"/>
      <c r="Q80" s="950"/>
    </row>
    <row r="81" spans="1:17" ht="14.25" hidden="1" customHeight="1" x14ac:dyDescent="0.2">
      <c r="A81" s="907"/>
      <c r="B81" s="947" t="s">
        <v>3632</v>
      </c>
      <c r="C81" s="916"/>
      <c r="D81" s="916"/>
      <c r="E81" s="916"/>
      <c r="F81" s="916"/>
      <c r="G81" s="916"/>
      <c r="H81" s="916"/>
      <c r="I81" s="916"/>
      <c r="J81" s="956"/>
      <c r="K81" s="926"/>
      <c r="L81" s="996"/>
      <c r="M81" s="950"/>
      <c r="N81" s="950"/>
      <c r="O81" s="94"/>
      <c r="P81" s="94"/>
      <c r="Q81" s="950"/>
    </row>
    <row r="82" spans="1:17" ht="14.25" hidden="1" customHeight="1" x14ac:dyDescent="0.2">
      <c r="A82" s="907"/>
      <c r="B82" s="947" t="s">
        <v>3633</v>
      </c>
      <c r="C82" s="916"/>
      <c r="D82" s="916"/>
      <c r="E82" s="916"/>
      <c r="F82" s="916"/>
      <c r="G82" s="916"/>
      <c r="H82" s="916"/>
      <c r="I82" s="916"/>
      <c r="J82" s="956"/>
      <c r="K82" s="926"/>
      <c r="L82" s="996"/>
      <c r="M82" s="950"/>
      <c r="N82" s="950"/>
      <c r="O82" s="94"/>
      <c r="P82" s="94"/>
      <c r="Q82" s="950"/>
    </row>
    <row r="83" spans="1:17" ht="14.25" hidden="1" customHeight="1" x14ac:dyDescent="0.2">
      <c r="A83" s="907"/>
      <c r="B83" s="907"/>
      <c r="C83" s="916"/>
      <c r="D83" s="916"/>
      <c r="E83" s="916"/>
      <c r="F83" s="916"/>
      <c r="G83" s="916"/>
      <c r="H83" s="916"/>
      <c r="I83" s="916"/>
      <c r="J83" s="956"/>
      <c r="K83" s="926"/>
      <c r="L83" s="926"/>
      <c r="M83" s="950"/>
      <c r="N83" s="950"/>
      <c r="O83" s="94"/>
      <c r="P83" s="94"/>
      <c r="Q83" s="950"/>
    </row>
    <row r="84" spans="1:17" ht="14.25" hidden="1" customHeight="1" x14ac:dyDescent="0.2">
      <c r="A84" s="907"/>
      <c r="B84" s="916"/>
      <c r="C84" s="916" t="s">
        <v>3611</v>
      </c>
      <c r="D84" s="916"/>
      <c r="E84" s="916"/>
      <c r="F84" s="916"/>
      <c r="G84" s="916"/>
      <c r="H84" s="916"/>
      <c r="I84" s="916"/>
      <c r="J84" s="956"/>
      <c r="K84" s="926"/>
      <c r="L84" s="950"/>
      <c r="M84" s="950"/>
      <c r="N84" s="950"/>
      <c r="O84" s="94"/>
      <c r="P84" s="94"/>
      <c r="Q84" s="950"/>
    </row>
    <row r="85" spans="1:17" ht="28.5" hidden="1" customHeight="1" x14ac:dyDescent="0.2">
      <c r="A85" s="907"/>
      <c r="B85" s="918" t="s">
        <v>3623</v>
      </c>
      <c r="C85" s="916"/>
      <c r="D85" s="916"/>
      <c r="E85" s="916"/>
      <c r="F85" s="916"/>
      <c r="G85" s="916"/>
      <c r="H85" s="916"/>
      <c r="I85" s="916"/>
      <c r="J85" s="956"/>
      <c r="K85" s="926"/>
      <c r="L85" s="950"/>
      <c r="M85" s="950"/>
      <c r="N85" s="950"/>
      <c r="O85" s="926"/>
      <c r="P85" s="950"/>
      <c r="Q85" s="950"/>
    </row>
    <row r="86" spans="1:17" ht="14.25" hidden="1" customHeight="1" x14ac:dyDescent="0.2">
      <c r="A86" s="907"/>
      <c r="B86" s="946" t="s">
        <v>3639</v>
      </c>
      <c r="C86" s="916"/>
      <c r="D86" s="916"/>
      <c r="E86" s="916"/>
      <c r="F86" s="916"/>
      <c r="G86" s="916"/>
      <c r="H86" s="916"/>
      <c r="I86" s="916"/>
      <c r="J86" s="956"/>
      <c r="K86" s="926"/>
      <c r="L86" s="996"/>
      <c r="M86" s="950"/>
      <c r="N86" s="950"/>
      <c r="O86" s="950"/>
      <c r="P86" s="926"/>
      <c r="Q86" s="950"/>
    </row>
    <row r="87" spans="1:17" ht="14.25" hidden="1" customHeight="1" x14ac:dyDescent="0.2">
      <c r="A87" s="907"/>
      <c r="B87" s="946" t="s">
        <v>3640</v>
      </c>
      <c r="C87" s="916"/>
      <c r="D87" s="916"/>
      <c r="E87" s="916"/>
      <c r="F87" s="916"/>
      <c r="G87" s="916"/>
      <c r="H87" s="916"/>
      <c r="I87" s="916"/>
      <c r="J87" s="956"/>
      <c r="K87" s="926"/>
      <c r="L87" s="996"/>
      <c r="M87" s="950"/>
      <c r="N87" s="950"/>
      <c r="O87" s="950"/>
      <c r="P87" s="950"/>
      <c r="Q87" s="950"/>
    </row>
    <row r="88" spans="1:17" ht="14.25" hidden="1" customHeight="1" x14ac:dyDescent="0.2">
      <c r="A88" s="907"/>
      <c r="B88" s="946" t="s">
        <v>3641</v>
      </c>
      <c r="C88" s="916"/>
      <c r="D88" s="916"/>
      <c r="E88" s="916"/>
      <c r="F88" s="916"/>
      <c r="G88" s="916"/>
      <c r="H88" s="916"/>
      <c r="I88" s="916"/>
      <c r="J88" s="956"/>
      <c r="K88" s="926"/>
      <c r="L88" s="996"/>
      <c r="M88" s="950"/>
      <c r="N88" s="950"/>
      <c r="O88" s="950"/>
      <c r="P88" s="950"/>
      <c r="Q88" s="950"/>
    </row>
    <row r="89" spans="1:17" ht="14.25" hidden="1" customHeight="1" x14ac:dyDescent="0.2">
      <c r="A89" s="907"/>
      <c r="B89" s="946" t="s">
        <v>3642</v>
      </c>
      <c r="C89" s="916"/>
      <c r="D89" s="916"/>
      <c r="E89" s="916"/>
      <c r="F89" s="916"/>
      <c r="G89" s="916"/>
      <c r="H89" s="916"/>
      <c r="I89" s="916"/>
      <c r="J89" s="956"/>
      <c r="K89" s="926"/>
      <c r="L89" s="996"/>
      <c r="M89" s="950"/>
      <c r="N89" s="950"/>
      <c r="O89" s="950"/>
      <c r="P89" s="950"/>
      <c r="Q89" s="950"/>
    </row>
    <row r="90" spans="1:17" ht="14.25" hidden="1" customHeight="1" x14ac:dyDescent="0.2">
      <c r="A90" s="907"/>
      <c r="B90" s="946" t="s">
        <v>3643</v>
      </c>
      <c r="C90" s="916"/>
      <c r="D90" s="916"/>
      <c r="E90" s="916"/>
      <c r="F90" s="916"/>
      <c r="G90" s="916"/>
      <c r="H90" s="916"/>
      <c r="I90" s="916"/>
      <c r="J90" s="956"/>
      <c r="K90" s="926"/>
      <c r="L90" s="996"/>
      <c r="M90" s="950"/>
      <c r="N90" s="950"/>
      <c r="O90" s="950"/>
      <c r="P90" s="950"/>
      <c r="Q90" s="950"/>
    </row>
    <row r="91" spans="1:17" ht="14.25" hidden="1" customHeight="1" x14ac:dyDescent="0.2">
      <c r="A91" s="907"/>
      <c r="B91" s="946" t="s">
        <v>3644</v>
      </c>
      <c r="C91" s="916"/>
      <c r="D91" s="916"/>
      <c r="E91" s="916"/>
      <c r="F91" s="916"/>
      <c r="G91" s="916"/>
      <c r="H91" s="916"/>
      <c r="I91" s="916"/>
      <c r="J91" s="956"/>
      <c r="K91" s="926"/>
      <c r="L91" s="996"/>
      <c r="M91" s="950"/>
      <c r="N91" s="950"/>
      <c r="O91" s="950"/>
      <c r="P91" s="950"/>
      <c r="Q91" s="950"/>
    </row>
    <row r="92" spans="1:17" ht="14.25" hidden="1" customHeight="1" x14ac:dyDescent="0.2">
      <c r="A92" s="907"/>
      <c r="B92" s="946" t="s">
        <v>3645</v>
      </c>
      <c r="C92" s="916"/>
      <c r="D92" s="916"/>
      <c r="E92" s="916"/>
      <c r="F92" s="916"/>
      <c r="G92" s="916"/>
      <c r="H92" s="916"/>
      <c r="I92" s="916"/>
      <c r="J92" s="956"/>
      <c r="K92" s="926"/>
      <c r="L92" s="996"/>
      <c r="M92" s="950"/>
      <c r="N92" s="950"/>
      <c r="O92" s="950"/>
      <c r="P92" s="950"/>
      <c r="Q92" s="950"/>
    </row>
    <row r="93" spans="1:17" ht="14.25" hidden="1" customHeight="1" x14ac:dyDescent="0.2">
      <c r="A93" s="907"/>
      <c r="B93" s="946" t="s">
        <v>3646</v>
      </c>
      <c r="C93" s="916"/>
      <c r="D93" s="916"/>
      <c r="E93" s="916"/>
      <c r="F93" s="916"/>
      <c r="G93" s="916"/>
      <c r="H93" s="916"/>
      <c r="I93" s="916"/>
      <c r="J93" s="956"/>
      <c r="K93" s="926"/>
      <c r="L93" s="996"/>
      <c r="M93" s="950"/>
      <c r="N93" s="950"/>
      <c r="O93" s="950"/>
      <c r="P93" s="950"/>
      <c r="Q93" s="950"/>
    </row>
    <row r="94" spans="1:17" ht="14.25" hidden="1" customHeight="1" x14ac:dyDescent="0.2">
      <c r="A94" s="907"/>
      <c r="B94" s="946" t="s">
        <v>3647</v>
      </c>
      <c r="C94" s="916"/>
      <c r="D94" s="916"/>
      <c r="E94" s="916"/>
      <c r="F94" s="916"/>
      <c r="G94" s="916"/>
      <c r="H94" s="916"/>
      <c r="I94" s="916"/>
      <c r="J94" s="956"/>
      <c r="K94" s="926"/>
      <c r="L94" s="996"/>
      <c r="M94" s="950"/>
      <c r="N94" s="950"/>
      <c r="O94" s="950"/>
      <c r="P94" s="950"/>
      <c r="Q94" s="950"/>
    </row>
    <row r="95" spans="1:17" ht="14.25" hidden="1" customHeight="1" x14ac:dyDescent="0.2">
      <c r="A95" s="907"/>
      <c r="B95" s="916"/>
      <c r="C95" s="916" t="s">
        <v>3613</v>
      </c>
      <c r="D95" s="916"/>
      <c r="E95" s="916"/>
      <c r="F95" s="916"/>
      <c r="G95" s="916"/>
      <c r="H95" s="916"/>
      <c r="I95" s="916"/>
      <c r="J95" s="956"/>
      <c r="K95" s="926"/>
      <c r="L95" s="926"/>
      <c r="M95" s="950"/>
      <c r="N95" s="950"/>
      <c r="O95" s="950"/>
      <c r="P95" s="950"/>
      <c r="Q95" s="950"/>
    </row>
    <row r="96" spans="1:17" ht="12.75" hidden="1" customHeight="1" x14ac:dyDescent="0.2">
      <c r="A96" s="907"/>
      <c r="B96" s="907"/>
      <c r="C96" s="907"/>
      <c r="D96" s="907"/>
      <c r="E96" s="907"/>
      <c r="F96" s="907"/>
      <c r="G96" s="907"/>
      <c r="H96" s="907"/>
      <c r="I96" s="907"/>
      <c r="J96" s="927"/>
      <c r="K96" s="927"/>
      <c r="L96" s="950"/>
      <c r="M96" s="950"/>
      <c r="N96" s="950"/>
      <c r="O96" s="950"/>
      <c r="P96" s="950"/>
      <c r="Q96" s="950"/>
    </row>
    <row r="97" spans="1:17" x14ac:dyDescent="0.2">
      <c r="A97" s="907"/>
      <c r="B97" s="907"/>
      <c r="C97" s="907"/>
      <c r="D97" s="907"/>
      <c r="E97" s="907"/>
      <c r="F97" s="907"/>
      <c r="G97" s="907"/>
      <c r="H97" s="907"/>
      <c r="I97" s="907"/>
      <c r="J97" s="927"/>
      <c r="K97" s="927"/>
      <c r="L97" s="950"/>
      <c r="M97" s="950"/>
      <c r="N97" s="950"/>
      <c r="O97" s="950"/>
      <c r="P97" s="950"/>
      <c r="Q97" s="950"/>
    </row>
    <row r="98" spans="1:17" x14ac:dyDescent="0.2">
      <c r="A98" s="907"/>
      <c r="B98" s="907"/>
      <c r="C98" s="907"/>
      <c r="D98" s="907"/>
      <c r="E98" s="907"/>
      <c r="F98" s="907"/>
      <c r="G98" s="907"/>
      <c r="H98" s="907"/>
      <c r="I98" s="907"/>
      <c r="J98" s="927"/>
      <c r="K98" s="927"/>
      <c r="L98" s="950"/>
      <c r="M98" s="950"/>
      <c r="N98" s="950"/>
      <c r="O98" s="950"/>
      <c r="P98" s="950"/>
      <c r="Q98" s="950"/>
    </row>
    <row r="99" spans="1:17" x14ac:dyDescent="0.2">
      <c r="A99" s="928" t="s">
        <v>804</v>
      </c>
      <c r="B99" s="1144" t="s">
        <v>4072</v>
      </c>
      <c r="C99" s="1102"/>
      <c r="D99" s="1102"/>
      <c r="E99" s="1102"/>
      <c r="F99" s="1102"/>
      <c r="G99" s="1102"/>
      <c r="H99" s="1102"/>
      <c r="I99" s="929"/>
      <c r="J99" s="927"/>
      <c r="K99" s="927"/>
      <c r="L99" s="950"/>
      <c r="M99" s="950"/>
      <c r="N99" s="950"/>
      <c r="O99" s="950"/>
      <c r="P99" s="950"/>
      <c r="Q99" s="950"/>
    </row>
    <row r="100" spans="1:17" x14ac:dyDescent="0.2">
      <c r="A100" s="907"/>
      <c r="B100" s="907"/>
      <c r="C100" s="907"/>
      <c r="D100" s="907"/>
      <c r="E100" s="907"/>
      <c r="F100" s="907"/>
      <c r="G100" s="907"/>
      <c r="H100" s="907"/>
      <c r="I100" s="907"/>
      <c r="J100" s="927"/>
      <c r="K100" s="927"/>
      <c r="L100" s="950"/>
      <c r="M100" s="950"/>
      <c r="N100" s="950"/>
      <c r="O100" s="950"/>
      <c r="P100" s="950"/>
      <c r="Q100" s="950"/>
    </row>
    <row r="101" spans="1:17" x14ac:dyDescent="0.2">
      <c r="A101" s="907"/>
      <c r="B101" s="907"/>
      <c r="C101" s="907"/>
      <c r="D101" s="907"/>
      <c r="E101" s="907"/>
      <c r="F101" s="907"/>
      <c r="G101" s="907"/>
      <c r="H101" s="907"/>
      <c r="I101" s="907"/>
      <c r="J101" s="927"/>
      <c r="K101" s="927"/>
      <c r="L101" s="950"/>
      <c r="M101" s="950"/>
      <c r="N101" s="950"/>
      <c r="O101" s="950"/>
      <c r="P101" s="950"/>
      <c r="Q101" s="950"/>
    </row>
    <row r="102" spans="1:17" x14ac:dyDescent="0.2">
      <c r="A102" s="907"/>
      <c r="B102" s="930"/>
      <c r="C102" s="765" t="s">
        <v>2032</v>
      </c>
      <c r="D102" s="765" t="s">
        <v>2033</v>
      </c>
      <c r="E102" s="907"/>
      <c r="F102" s="907"/>
      <c r="G102" s="907"/>
      <c r="H102" s="907"/>
      <c r="I102" s="907"/>
      <c r="J102" s="927"/>
      <c r="K102" s="927"/>
      <c r="L102" s="950"/>
      <c r="M102" s="950"/>
      <c r="N102" s="950"/>
      <c r="O102" s="950"/>
      <c r="P102" s="950"/>
      <c r="Q102" s="950"/>
    </row>
    <row r="103" spans="1:17" x14ac:dyDescent="0.2">
      <c r="A103" s="907"/>
      <c r="B103" s="952" t="s">
        <v>1095</v>
      </c>
      <c r="C103" s="857">
        <f>G149</f>
        <v>0</v>
      </c>
      <c r="D103" s="857">
        <f>H149</f>
        <v>0</v>
      </c>
      <c r="E103" s="907"/>
      <c r="F103" s="907"/>
      <c r="G103" s="907"/>
      <c r="H103" s="907"/>
      <c r="I103" s="907"/>
      <c r="J103" s="927"/>
      <c r="K103" s="927"/>
      <c r="L103" s="950"/>
      <c r="M103" s="950"/>
      <c r="N103" s="950"/>
      <c r="O103" s="950"/>
      <c r="P103" s="950"/>
      <c r="Q103" s="950"/>
    </row>
    <row r="104" spans="1:17" x14ac:dyDescent="0.2">
      <c r="A104" s="907"/>
      <c r="B104" s="930" t="s">
        <v>4061</v>
      </c>
      <c r="C104" s="857">
        <f>G150</f>
        <v>0</v>
      </c>
      <c r="D104" s="857">
        <f>H150</f>
        <v>0</v>
      </c>
      <c r="E104" s="907"/>
      <c r="F104" s="907"/>
      <c r="G104" s="907"/>
      <c r="H104" s="907"/>
      <c r="I104" s="907"/>
      <c r="J104" s="927"/>
      <c r="K104" s="927"/>
      <c r="L104" s="950"/>
      <c r="M104" s="950"/>
      <c r="N104" s="950"/>
      <c r="O104" s="950"/>
      <c r="P104" s="950"/>
      <c r="Q104" s="950"/>
    </row>
    <row r="105" spans="1:17" x14ac:dyDescent="0.2">
      <c r="A105" s="907"/>
      <c r="B105" s="930" t="s">
        <v>4014</v>
      </c>
      <c r="C105" s="857">
        <f t="shared" ref="C105:D113" si="0">G151</f>
        <v>0</v>
      </c>
      <c r="D105" s="857">
        <f t="shared" si="0"/>
        <v>0</v>
      </c>
      <c r="E105" s="907"/>
      <c r="F105" s="907"/>
      <c r="G105" s="907"/>
      <c r="H105" s="907"/>
      <c r="I105" s="907"/>
      <c r="J105" s="927"/>
      <c r="K105" s="927"/>
      <c r="L105" s="950"/>
      <c r="M105" s="950"/>
      <c r="N105" s="950"/>
      <c r="O105" s="950"/>
      <c r="P105" s="950"/>
      <c r="Q105" s="950"/>
    </row>
    <row r="106" spans="1:17" x14ac:dyDescent="0.2">
      <c r="A106" s="907"/>
      <c r="B106" s="930" t="s">
        <v>3956</v>
      </c>
      <c r="C106" s="857">
        <f t="shared" si="0"/>
        <v>0</v>
      </c>
      <c r="D106" s="857">
        <f t="shared" si="0"/>
        <v>0</v>
      </c>
      <c r="E106" s="907"/>
      <c r="F106" s="907"/>
      <c r="G106" s="907"/>
      <c r="H106" s="907"/>
      <c r="I106" s="907"/>
      <c r="J106" s="927"/>
      <c r="K106" s="927"/>
      <c r="L106" s="950"/>
      <c r="M106" s="950"/>
      <c r="N106" s="950"/>
      <c r="O106" s="950"/>
      <c r="P106" s="950"/>
      <c r="Q106" s="950"/>
    </row>
    <row r="107" spans="1:17" x14ac:dyDescent="0.2">
      <c r="A107" s="907"/>
      <c r="B107" s="930" t="s">
        <v>3957</v>
      </c>
      <c r="C107" s="857">
        <f t="shared" si="0"/>
        <v>0</v>
      </c>
      <c r="D107" s="857">
        <f t="shared" si="0"/>
        <v>0</v>
      </c>
      <c r="E107" s="907"/>
      <c r="F107" s="907"/>
      <c r="G107" s="907"/>
      <c r="H107" s="907"/>
      <c r="I107" s="907"/>
      <c r="J107" s="927"/>
      <c r="K107" s="927"/>
      <c r="L107" s="950"/>
      <c r="M107" s="950"/>
      <c r="N107" s="950"/>
      <c r="O107" s="950"/>
      <c r="P107" s="950"/>
      <c r="Q107" s="950"/>
    </row>
    <row r="108" spans="1:17" x14ac:dyDescent="0.2">
      <c r="A108" s="907"/>
      <c r="B108" s="930" t="s">
        <v>3958</v>
      </c>
      <c r="C108" s="857">
        <f t="shared" si="0"/>
        <v>0</v>
      </c>
      <c r="D108" s="857">
        <f t="shared" si="0"/>
        <v>0</v>
      </c>
      <c r="E108" s="907"/>
      <c r="F108" s="907"/>
      <c r="G108" s="907"/>
      <c r="H108" s="907"/>
      <c r="I108" s="907"/>
      <c r="J108" s="927"/>
      <c r="K108" s="927"/>
      <c r="L108" s="950"/>
      <c r="M108" s="950"/>
      <c r="N108" s="950"/>
      <c r="O108" s="950"/>
      <c r="P108" s="950"/>
      <c r="Q108" s="950"/>
    </row>
    <row r="109" spans="1:17" x14ac:dyDescent="0.2">
      <c r="A109" s="907"/>
      <c r="B109" s="930" t="s">
        <v>3959</v>
      </c>
      <c r="C109" s="857">
        <f t="shared" si="0"/>
        <v>0</v>
      </c>
      <c r="D109" s="857">
        <f t="shared" si="0"/>
        <v>0</v>
      </c>
      <c r="E109" s="907"/>
      <c r="F109" s="907"/>
      <c r="G109" s="907"/>
      <c r="H109" s="907"/>
      <c r="I109" s="907"/>
      <c r="J109" s="927"/>
      <c r="K109" s="927"/>
      <c r="L109" s="950"/>
      <c r="M109" s="950"/>
      <c r="N109" s="950"/>
      <c r="O109" s="950"/>
      <c r="P109" s="950"/>
      <c r="Q109" s="950"/>
    </row>
    <row r="110" spans="1:17" x14ac:dyDescent="0.2">
      <c r="A110" s="907"/>
      <c r="B110" s="930" t="s">
        <v>4012</v>
      </c>
      <c r="C110" s="857">
        <f t="shared" si="0"/>
        <v>0</v>
      </c>
      <c r="D110" s="857">
        <f t="shared" si="0"/>
        <v>0</v>
      </c>
      <c r="E110" s="907"/>
      <c r="F110" s="907"/>
      <c r="G110" s="907"/>
      <c r="H110" s="907"/>
      <c r="I110" s="907"/>
      <c r="J110" s="927"/>
      <c r="K110" s="927"/>
      <c r="L110" s="950"/>
      <c r="M110" s="950"/>
      <c r="N110" s="950"/>
      <c r="O110" s="950"/>
      <c r="P110" s="950"/>
      <c r="Q110" s="950"/>
    </row>
    <row r="111" spans="1:17" x14ac:dyDescent="0.2">
      <c r="A111" s="907"/>
      <c r="B111" s="930" t="s">
        <v>3960</v>
      </c>
      <c r="C111" s="857">
        <f t="shared" si="0"/>
        <v>0</v>
      </c>
      <c r="D111" s="857">
        <f t="shared" si="0"/>
        <v>0</v>
      </c>
      <c r="E111" s="907"/>
      <c r="F111" s="907"/>
      <c r="G111" s="907"/>
      <c r="H111" s="907"/>
      <c r="I111" s="907"/>
      <c r="J111" s="927"/>
      <c r="K111" s="927"/>
      <c r="L111" s="950"/>
      <c r="M111" s="950"/>
      <c r="N111" s="950"/>
      <c r="O111" s="950"/>
      <c r="P111" s="950"/>
      <c r="Q111" s="950"/>
    </row>
    <row r="112" spans="1:17" x14ac:dyDescent="0.2">
      <c r="A112" s="907"/>
      <c r="B112" s="930" t="s">
        <v>3961</v>
      </c>
      <c r="C112" s="857">
        <f t="shared" si="0"/>
        <v>0</v>
      </c>
      <c r="D112" s="857">
        <f t="shared" si="0"/>
        <v>0</v>
      </c>
      <c r="E112" s="907"/>
      <c r="F112" s="907"/>
      <c r="G112" s="907"/>
      <c r="H112" s="907"/>
      <c r="I112" s="907"/>
      <c r="J112" s="927"/>
      <c r="K112" s="927"/>
      <c r="L112" s="950"/>
      <c r="M112" s="950"/>
      <c r="N112" s="950"/>
      <c r="O112" s="950"/>
      <c r="P112" s="950"/>
      <c r="Q112" s="950"/>
    </row>
    <row r="113" spans="1:17" x14ac:dyDescent="0.2">
      <c r="A113" s="907"/>
      <c r="B113" s="930" t="s">
        <v>3962</v>
      </c>
      <c r="C113" s="857">
        <f t="shared" si="0"/>
        <v>0</v>
      </c>
      <c r="D113" s="857">
        <f t="shared" si="0"/>
        <v>0</v>
      </c>
      <c r="E113" s="907"/>
      <c r="F113" s="907"/>
      <c r="G113" s="907"/>
      <c r="H113" s="907"/>
      <c r="I113" s="907"/>
      <c r="J113" s="927"/>
      <c r="K113" s="927"/>
      <c r="L113" s="950"/>
      <c r="M113" s="950"/>
      <c r="N113" s="950"/>
      <c r="O113" s="950"/>
      <c r="P113" s="950"/>
      <c r="Q113" s="950"/>
    </row>
    <row r="114" spans="1:17" x14ac:dyDescent="0.2">
      <c r="A114" s="907"/>
      <c r="B114" s="927" t="s">
        <v>4030</v>
      </c>
      <c r="C114" s="857">
        <f>G160</f>
        <v>0</v>
      </c>
      <c r="D114" s="857">
        <f>H160</f>
        <v>0</v>
      </c>
      <c r="E114" s="927"/>
      <c r="F114" s="907"/>
      <c r="G114" s="907"/>
      <c r="H114" s="907"/>
      <c r="I114" s="907"/>
      <c r="J114" s="927"/>
      <c r="K114" s="927"/>
      <c r="L114" s="950"/>
      <c r="M114" s="950"/>
      <c r="N114" s="950"/>
      <c r="O114" s="950"/>
      <c r="P114" s="950"/>
      <c r="Q114" s="950"/>
    </row>
    <row r="115" spans="1:17" x14ac:dyDescent="0.2">
      <c r="A115" s="907"/>
      <c r="B115" s="907" t="s">
        <v>4031</v>
      </c>
      <c r="C115" s="857">
        <f t="shared" ref="C115:D130" si="1">G161</f>
        <v>0</v>
      </c>
      <c r="D115" s="857">
        <f>H161</f>
        <v>0</v>
      </c>
      <c r="E115" s="927"/>
      <c r="F115" s="907"/>
      <c r="G115" s="907"/>
      <c r="H115" s="907"/>
      <c r="I115" s="907"/>
      <c r="J115" s="927"/>
      <c r="K115" s="927"/>
      <c r="L115" s="950"/>
      <c r="M115" s="950"/>
      <c r="N115" s="950"/>
      <c r="O115" s="950"/>
      <c r="P115" s="950"/>
      <c r="Q115" s="950"/>
    </row>
    <row r="116" spans="1:17" x14ac:dyDescent="0.2">
      <c r="A116" s="907"/>
      <c r="B116" s="907" t="s">
        <v>4032</v>
      </c>
      <c r="C116" s="857">
        <f t="shared" si="1"/>
        <v>0</v>
      </c>
      <c r="D116" s="857">
        <f t="shared" si="1"/>
        <v>0</v>
      </c>
      <c r="E116" s="927"/>
      <c r="F116" s="907"/>
      <c r="G116" s="907"/>
      <c r="H116" s="907"/>
      <c r="I116" s="907"/>
      <c r="J116" s="927"/>
      <c r="K116" s="927"/>
      <c r="L116" s="950"/>
      <c r="M116" s="950"/>
      <c r="N116" s="950"/>
      <c r="O116" s="950"/>
      <c r="P116" s="950"/>
      <c r="Q116" s="950"/>
    </row>
    <row r="117" spans="1:17" x14ac:dyDescent="0.2">
      <c r="A117" s="907"/>
      <c r="B117" s="907" t="s">
        <v>4033</v>
      </c>
      <c r="C117" s="857">
        <f t="shared" si="1"/>
        <v>0</v>
      </c>
      <c r="D117" s="857">
        <f t="shared" si="1"/>
        <v>0</v>
      </c>
      <c r="E117" s="927"/>
      <c r="F117" s="907"/>
      <c r="G117" s="907"/>
      <c r="H117" s="907"/>
      <c r="I117" s="907"/>
      <c r="J117" s="927"/>
      <c r="K117" s="927"/>
      <c r="L117" s="950"/>
      <c r="M117" s="950"/>
      <c r="N117" s="950"/>
      <c r="O117" s="950"/>
      <c r="P117" s="950"/>
      <c r="Q117" s="950"/>
    </row>
    <row r="118" spans="1:17" x14ac:dyDescent="0.2">
      <c r="A118" s="907"/>
      <c r="B118" s="907" t="s">
        <v>4034</v>
      </c>
      <c r="C118" s="857">
        <f t="shared" si="1"/>
        <v>0</v>
      </c>
      <c r="D118" s="857">
        <f t="shared" si="1"/>
        <v>0</v>
      </c>
      <c r="E118" s="927"/>
      <c r="F118" s="907"/>
      <c r="G118" s="907"/>
      <c r="H118" s="907"/>
      <c r="I118" s="907"/>
      <c r="J118" s="927"/>
      <c r="K118" s="927"/>
      <c r="L118" s="950"/>
      <c r="M118" s="950"/>
      <c r="N118" s="950"/>
      <c r="O118" s="950"/>
      <c r="P118" s="950"/>
      <c r="Q118" s="950"/>
    </row>
    <row r="119" spans="1:17" x14ac:dyDescent="0.2">
      <c r="A119" s="907"/>
      <c r="B119" s="907" t="s">
        <v>4035</v>
      </c>
      <c r="C119" s="857">
        <f t="shared" si="1"/>
        <v>0</v>
      </c>
      <c r="D119" s="857">
        <f t="shared" si="1"/>
        <v>0</v>
      </c>
      <c r="E119" s="927"/>
      <c r="F119" s="907"/>
      <c r="G119" s="907"/>
      <c r="H119" s="907"/>
      <c r="I119" s="907"/>
      <c r="J119" s="927"/>
      <c r="K119" s="927"/>
      <c r="L119" s="950"/>
      <c r="M119" s="950"/>
      <c r="N119" s="950"/>
      <c r="O119" s="950"/>
      <c r="P119" s="950"/>
      <c r="Q119" s="950"/>
    </row>
    <row r="120" spans="1:17" x14ac:dyDescent="0.2">
      <c r="A120" s="907"/>
      <c r="B120" s="907" t="s">
        <v>4036</v>
      </c>
      <c r="C120" s="857">
        <f t="shared" si="1"/>
        <v>0</v>
      </c>
      <c r="D120" s="857">
        <f t="shared" si="1"/>
        <v>0</v>
      </c>
      <c r="E120" s="927"/>
      <c r="F120" s="907"/>
      <c r="G120" s="907"/>
      <c r="H120" s="907"/>
      <c r="I120" s="907"/>
      <c r="J120" s="927"/>
      <c r="K120" s="927"/>
      <c r="L120" s="950"/>
      <c r="M120" s="950"/>
      <c r="N120" s="950"/>
      <c r="O120" s="950"/>
      <c r="P120" s="950"/>
      <c r="Q120" s="950"/>
    </row>
    <row r="121" spans="1:17" x14ac:dyDescent="0.2">
      <c r="A121" s="907"/>
      <c r="B121" s="907" t="s">
        <v>4037</v>
      </c>
      <c r="C121" s="857">
        <f t="shared" si="1"/>
        <v>0</v>
      </c>
      <c r="D121" s="857">
        <f t="shared" si="1"/>
        <v>0</v>
      </c>
      <c r="E121" s="927"/>
      <c r="F121" s="907"/>
      <c r="G121" s="907"/>
      <c r="H121" s="907"/>
      <c r="I121" s="907"/>
      <c r="J121" s="927"/>
      <c r="K121" s="927"/>
      <c r="L121" s="950"/>
      <c r="M121" s="950"/>
      <c r="N121" s="950"/>
      <c r="O121" s="950"/>
      <c r="P121" s="950"/>
      <c r="Q121" s="950"/>
    </row>
    <row r="122" spans="1:17" x14ac:dyDescent="0.2">
      <c r="A122" s="907"/>
      <c r="B122" s="907" t="s">
        <v>4038</v>
      </c>
      <c r="C122" s="857">
        <f t="shared" si="1"/>
        <v>0</v>
      </c>
      <c r="D122" s="857">
        <f t="shared" si="1"/>
        <v>0</v>
      </c>
      <c r="E122" s="927"/>
      <c r="F122" s="907"/>
      <c r="G122" s="907"/>
      <c r="H122" s="907"/>
      <c r="I122" s="907"/>
      <c r="J122" s="927"/>
      <c r="K122" s="927"/>
      <c r="L122" s="950"/>
      <c r="M122" s="950"/>
      <c r="N122" s="950"/>
      <c r="O122" s="950"/>
      <c r="P122" s="950"/>
      <c r="Q122" s="950"/>
    </row>
    <row r="123" spans="1:17" x14ac:dyDescent="0.2">
      <c r="A123" s="907"/>
      <c r="B123" s="927" t="s">
        <v>3639</v>
      </c>
      <c r="C123" s="857">
        <f t="shared" si="1"/>
        <v>0</v>
      </c>
      <c r="D123" s="857">
        <f t="shared" si="1"/>
        <v>0</v>
      </c>
      <c r="E123" s="927"/>
      <c r="F123" s="907"/>
      <c r="G123" s="907"/>
      <c r="H123" s="907"/>
      <c r="I123" s="907"/>
      <c r="J123" s="927"/>
      <c r="K123" s="927"/>
      <c r="L123" s="950"/>
      <c r="M123" s="950"/>
      <c r="N123" s="950"/>
      <c r="O123" s="950"/>
      <c r="P123" s="950"/>
      <c r="Q123" s="950"/>
    </row>
    <row r="124" spans="1:17" x14ac:dyDescent="0.2">
      <c r="A124" s="907"/>
      <c r="B124" s="927" t="s">
        <v>3640</v>
      </c>
      <c r="C124" s="857">
        <f t="shared" si="1"/>
        <v>0</v>
      </c>
      <c r="D124" s="857">
        <f t="shared" si="1"/>
        <v>0</v>
      </c>
      <c r="E124" s="927"/>
      <c r="F124" s="907"/>
      <c r="G124" s="907"/>
      <c r="H124" s="907"/>
      <c r="I124" s="907"/>
      <c r="J124" s="927"/>
      <c r="K124" s="927"/>
      <c r="L124" s="950"/>
      <c r="M124" s="950"/>
      <c r="N124" s="950"/>
      <c r="O124" s="950"/>
      <c r="P124" s="950"/>
      <c r="Q124" s="950"/>
    </row>
    <row r="125" spans="1:17" x14ac:dyDescent="0.2">
      <c r="A125" s="907"/>
      <c r="B125" s="927" t="s">
        <v>3641</v>
      </c>
      <c r="C125" s="857">
        <f t="shared" si="1"/>
        <v>0</v>
      </c>
      <c r="D125" s="857">
        <f t="shared" si="1"/>
        <v>0</v>
      </c>
      <c r="E125" s="927"/>
      <c r="F125" s="907"/>
      <c r="G125" s="907"/>
      <c r="H125" s="907"/>
      <c r="I125" s="907"/>
      <c r="J125" s="927"/>
      <c r="K125" s="927"/>
      <c r="L125" s="950"/>
      <c r="M125" s="950"/>
      <c r="N125" s="950"/>
      <c r="O125" s="950"/>
      <c r="P125" s="950"/>
      <c r="Q125" s="950"/>
    </row>
    <row r="126" spans="1:17" x14ac:dyDescent="0.2">
      <c r="A126" s="907"/>
      <c r="B126" s="927" t="s">
        <v>3642</v>
      </c>
      <c r="C126" s="857">
        <f t="shared" si="1"/>
        <v>0</v>
      </c>
      <c r="D126" s="857">
        <f t="shared" si="1"/>
        <v>0</v>
      </c>
      <c r="E126" s="927"/>
      <c r="F126" s="907"/>
      <c r="G126" s="907"/>
      <c r="H126" s="907"/>
      <c r="I126" s="907"/>
      <c r="J126" s="927"/>
      <c r="K126" s="927"/>
      <c r="L126" s="950"/>
      <c r="M126" s="950"/>
      <c r="N126" s="950"/>
      <c r="O126" s="950"/>
      <c r="P126" s="950"/>
      <c r="Q126" s="950"/>
    </row>
    <row r="127" spans="1:17" x14ac:dyDescent="0.2">
      <c r="A127" s="907"/>
      <c r="B127" s="927" t="s">
        <v>3643</v>
      </c>
      <c r="C127" s="857">
        <f t="shared" si="1"/>
        <v>0</v>
      </c>
      <c r="D127" s="857">
        <f t="shared" si="1"/>
        <v>0</v>
      </c>
      <c r="E127" s="927"/>
      <c r="F127" s="907"/>
      <c r="G127" s="907"/>
      <c r="H127" s="907"/>
      <c r="I127" s="907"/>
      <c r="J127" s="927"/>
      <c r="K127" s="927"/>
      <c r="L127" s="950"/>
      <c r="M127" s="950"/>
      <c r="N127" s="950"/>
      <c r="O127" s="950"/>
      <c r="P127" s="950"/>
      <c r="Q127" s="950"/>
    </row>
    <row r="128" spans="1:17" x14ac:dyDescent="0.2">
      <c r="A128" s="907"/>
      <c r="B128" s="927" t="s">
        <v>3644</v>
      </c>
      <c r="C128" s="857">
        <f t="shared" si="1"/>
        <v>0</v>
      </c>
      <c r="D128" s="857">
        <f t="shared" si="1"/>
        <v>0</v>
      </c>
      <c r="E128" s="927"/>
      <c r="F128" s="907"/>
      <c r="G128" s="907"/>
      <c r="H128" s="907"/>
      <c r="I128" s="907"/>
      <c r="J128" s="927"/>
      <c r="K128" s="927"/>
      <c r="L128" s="950"/>
      <c r="M128" s="950"/>
      <c r="N128" s="950"/>
      <c r="O128" s="950"/>
      <c r="P128" s="950"/>
      <c r="Q128" s="950"/>
    </row>
    <row r="129" spans="1:17" x14ac:dyDescent="0.2">
      <c r="A129" s="907"/>
      <c r="B129" s="927" t="s">
        <v>4013</v>
      </c>
      <c r="C129" s="857">
        <f t="shared" si="1"/>
        <v>0</v>
      </c>
      <c r="D129" s="857">
        <f t="shared" si="1"/>
        <v>0</v>
      </c>
      <c r="E129" s="927"/>
      <c r="F129" s="907"/>
      <c r="G129" s="907"/>
      <c r="H129" s="907"/>
      <c r="I129" s="907"/>
      <c r="J129" s="927"/>
      <c r="K129" s="927"/>
      <c r="L129" s="950"/>
      <c r="M129" s="950"/>
      <c r="N129" s="950"/>
      <c r="O129" s="950"/>
      <c r="P129" s="950"/>
      <c r="Q129" s="950"/>
    </row>
    <row r="130" spans="1:17" x14ac:dyDescent="0.2">
      <c r="A130" s="907"/>
      <c r="B130" s="927" t="s">
        <v>3976</v>
      </c>
      <c r="C130" s="857">
        <f t="shared" si="1"/>
        <v>0</v>
      </c>
      <c r="D130" s="857">
        <f t="shared" si="1"/>
        <v>0</v>
      </c>
      <c r="E130" s="927"/>
      <c r="F130" s="907"/>
      <c r="G130" s="907"/>
      <c r="H130" s="907"/>
      <c r="I130" s="907"/>
      <c r="J130" s="927"/>
      <c r="K130" s="927"/>
      <c r="L130" s="950"/>
      <c r="M130" s="950"/>
      <c r="N130" s="950"/>
      <c r="O130" s="950"/>
      <c r="P130" s="950"/>
      <c r="Q130" s="950"/>
    </row>
    <row r="131" spans="1:17" x14ac:dyDescent="0.2">
      <c r="A131" s="907"/>
      <c r="B131" s="927" t="s">
        <v>3647</v>
      </c>
      <c r="C131" s="857">
        <f t="shared" ref="C131:D139" si="2">G177</f>
        <v>0</v>
      </c>
      <c r="D131" s="857">
        <f t="shared" si="2"/>
        <v>0</v>
      </c>
      <c r="E131" s="927"/>
      <c r="F131" s="907"/>
      <c r="G131" s="907"/>
      <c r="H131" s="907"/>
      <c r="I131" s="907"/>
      <c r="J131" s="927"/>
      <c r="K131" s="927"/>
      <c r="L131" s="950"/>
      <c r="M131" s="950"/>
      <c r="N131" s="950"/>
      <c r="O131" s="950"/>
      <c r="P131" s="950"/>
      <c r="Q131" s="950"/>
    </row>
    <row r="132" spans="1:17" ht="25.5" x14ac:dyDescent="0.2">
      <c r="A132" s="907"/>
      <c r="B132" s="930" t="s">
        <v>3574</v>
      </c>
      <c r="C132" s="857">
        <f t="shared" si="2"/>
        <v>0</v>
      </c>
      <c r="D132" s="857">
        <f t="shared" si="2"/>
        <v>0</v>
      </c>
      <c r="E132" s="907"/>
      <c r="F132" s="907"/>
      <c r="G132" s="907"/>
      <c r="H132" s="907"/>
      <c r="I132" s="907"/>
      <c r="J132" s="927"/>
      <c r="K132" s="927"/>
      <c r="L132" s="950"/>
      <c r="M132" s="950"/>
      <c r="N132" s="950"/>
      <c r="O132" s="950"/>
      <c r="P132" s="950"/>
      <c r="Q132" s="950"/>
    </row>
    <row r="133" spans="1:17" x14ac:dyDescent="0.2">
      <c r="A133" s="907"/>
      <c r="B133" s="930" t="s">
        <v>3575</v>
      </c>
      <c r="C133" s="857">
        <f t="shared" si="2"/>
        <v>0</v>
      </c>
      <c r="D133" s="857">
        <f t="shared" si="2"/>
        <v>0</v>
      </c>
      <c r="E133" s="907"/>
      <c r="F133" s="907"/>
      <c r="G133" s="907"/>
      <c r="H133" s="907"/>
      <c r="I133" s="907"/>
      <c r="J133" s="927"/>
      <c r="K133" s="927"/>
      <c r="L133" s="950"/>
      <c r="M133" s="950"/>
      <c r="N133" s="950"/>
      <c r="O133" s="950"/>
      <c r="P133" s="950"/>
      <c r="Q133" s="950"/>
    </row>
    <row r="134" spans="1:17" ht="25.5" x14ac:dyDescent="0.2">
      <c r="A134" s="907"/>
      <c r="B134" s="930" t="s">
        <v>3653</v>
      </c>
      <c r="C134" s="857">
        <f t="shared" si="2"/>
        <v>0</v>
      </c>
      <c r="D134" s="857">
        <f t="shared" si="2"/>
        <v>0</v>
      </c>
      <c r="E134" s="907"/>
      <c r="F134" s="907"/>
      <c r="G134" s="907"/>
      <c r="H134" s="907"/>
      <c r="I134" s="907"/>
      <c r="J134" s="927"/>
      <c r="K134" s="927"/>
      <c r="L134" s="950"/>
      <c r="M134" s="950"/>
      <c r="N134" s="950"/>
      <c r="O134" s="950"/>
      <c r="P134" s="950"/>
      <c r="Q134" s="950"/>
    </row>
    <row r="135" spans="1:17" ht="25.5" x14ac:dyDescent="0.2">
      <c r="A135" s="907"/>
      <c r="B135" s="930" t="s">
        <v>3577</v>
      </c>
      <c r="C135" s="857">
        <f t="shared" si="2"/>
        <v>0</v>
      </c>
      <c r="D135" s="857">
        <f t="shared" si="2"/>
        <v>0</v>
      </c>
      <c r="E135" s="907"/>
      <c r="F135" s="907"/>
      <c r="G135" s="907"/>
      <c r="H135" s="907"/>
      <c r="I135" s="907"/>
      <c r="J135" s="927"/>
      <c r="K135" s="927"/>
      <c r="L135" s="950"/>
      <c r="M135" s="950"/>
      <c r="N135" s="950"/>
      <c r="O135" s="950"/>
      <c r="P135" s="950"/>
      <c r="Q135" s="950"/>
    </row>
    <row r="136" spans="1:17" x14ac:dyDescent="0.2">
      <c r="A136" s="907"/>
      <c r="B136" s="930" t="s">
        <v>3579</v>
      </c>
      <c r="C136" s="857">
        <f t="shared" si="2"/>
        <v>0</v>
      </c>
      <c r="D136" s="857">
        <f t="shared" si="2"/>
        <v>0</v>
      </c>
      <c r="E136" s="907"/>
      <c r="F136" s="907"/>
      <c r="G136" s="907"/>
      <c r="H136" s="907"/>
      <c r="I136" s="907"/>
      <c r="J136" s="927"/>
      <c r="K136" s="927"/>
      <c r="L136" s="950"/>
      <c r="M136" s="950"/>
      <c r="N136" s="950"/>
      <c r="O136" s="950"/>
      <c r="P136" s="950"/>
      <c r="Q136" s="950"/>
    </row>
    <row r="137" spans="1:17" ht="25.5" x14ac:dyDescent="0.2">
      <c r="A137" s="907"/>
      <c r="B137" s="930" t="s">
        <v>3654</v>
      </c>
      <c r="C137" s="857">
        <f>G183</f>
        <v>0</v>
      </c>
      <c r="D137" s="857">
        <f t="shared" si="2"/>
        <v>0</v>
      </c>
      <c r="E137" s="907"/>
      <c r="F137" s="907"/>
      <c r="G137" s="907"/>
      <c r="H137" s="907"/>
      <c r="I137" s="907"/>
      <c r="J137" s="927"/>
      <c r="K137" s="927"/>
      <c r="L137" s="950"/>
      <c r="M137" s="950"/>
      <c r="N137" s="950"/>
      <c r="O137" s="950"/>
      <c r="P137" s="950"/>
      <c r="Q137" s="950"/>
    </row>
    <row r="138" spans="1:17" ht="25.5" x14ac:dyDescent="0.2">
      <c r="A138" s="907"/>
      <c r="B138" s="930" t="s">
        <v>4063</v>
      </c>
      <c r="C138" s="857">
        <f>G184</f>
        <v>0</v>
      </c>
      <c r="D138" s="857">
        <f t="shared" si="2"/>
        <v>0</v>
      </c>
      <c r="E138" s="907"/>
      <c r="F138" s="907"/>
      <c r="G138" s="907"/>
      <c r="H138" s="907"/>
      <c r="I138" s="907"/>
      <c r="J138" s="927"/>
      <c r="K138" s="927"/>
      <c r="L138" s="950"/>
      <c r="M138" s="950"/>
      <c r="N138" s="950"/>
      <c r="O138" s="950"/>
      <c r="P138" s="950"/>
      <c r="Q138" s="950"/>
    </row>
    <row r="139" spans="1:17" ht="25.5" x14ac:dyDescent="0.2">
      <c r="A139" s="907"/>
      <c r="B139" s="930" t="s">
        <v>3659</v>
      </c>
      <c r="C139" s="857">
        <f>G185</f>
        <v>0</v>
      </c>
      <c r="D139" s="857">
        <f t="shared" si="2"/>
        <v>0</v>
      </c>
      <c r="E139" s="907"/>
      <c r="F139" s="907"/>
      <c r="G139" s="907"/>
      <c r="H139" s="907"/>
      <c r="I139" s="907"/>
      <c r="J139" s="927"/>
      <c r="K139" s="927"/>
      <c r="L139" s="950"/>
      <c r="M139" s="950"/>
      <c r="N139" s="950"/>
      <c r="O139" s="950"/>
      <c r="P139" s="950"/>
      <c r="Q139" s="950"/>
    </row>
    <row r="140" spans="1:17" x14ac:dyDescent="0.2">
      <c r="A140" s="907"/>
      <c r="B140" s="930"/>
      <c r="C140" s="858"/>
      <c r="D140" s="858"/>
      <c r="E140" s="907"/>
      <c r="F140" s="907"/>
      <c r="G140" s="907"/>
      <c r="H140" s="907"/>
      <c r="I140" s="907"/>
      <c r="J140" s="927"/>
      <c r="K140" s="927"/>
      <c r="L140" s="950"/>
      <c r="M140" s="950"/>
      <c r="N140" s="950"/>
      <c r="O140" s="950"/>
      <c r="P140" s="950"/>
      <c r="Q140" s="950"/>
    </row>
    <row r="141" spans="1:17" ht="13.5" thickBot="1" x14ac:dyDescent="0.25">
      <c r="A141" s="907"/>
      <c r="B141" s="930"/>
      <c r="C141" s="859">
        <f>SUM(C103:C140)</f>
        <v>0</v>
      </c>
      <c r="D141" s="859">
        <f>SUM(D103:D140)</f>
        <v>0</v>
      </c>
      <c r="E141" s="907"/>
      <c r="F141" s="907"/>
      <c r="G141" s="907"/>
      <c r="H141" s="907"/>
      <c r="I141" s="907"/>
      <c r="J141" s="927"/>
      <c r="K141" s="927"/>
      <c r="L141" s="950"/>
      <c r="M141" s="950"/>
      <c r="N141" s="950"/>
      <c r="O141" s="950"/>
      <c r="P141" s="950"/>
      <c r="Q141" s="950"/>
    </row>
    <row r="142" spans="1:17" ht="13.5" thickTop="1" x14ac:dyDescent="0.2">
      <c r="A142" s="907"/>
      <c r="B142" s="907"/>
      <c r="C142" s="907"/>
      <c r="D142" s="907"/>
      <c r="E142" s="907"/>
      <c r="F142" s="907"/>
      <c r="G142" s="907"/>
      <c r="H142" s="907"/>
      <c r="I142" s="907"/>
      <c r="J142" s="927"/>
      <c r="K142" s="927"/>
      <c r="L142" s="950"/>
      <c r="M142" s="950"/>
      <c r="N142" s="950"/>
      <c r="O142" s="950"/>
      <c r="P142" s="950"/>
      <c r="Q142" s="950"/>
    </row>
    <row r="143" spans="1:17" x14ac:dyDescent="0.2">
      <c r="A143" s="907"/>
      <c r="B143" s="907"/>
      <c r="C143" s="907"/>
      <c r="D143" s="907"/>
      <c r="E143" s="907"/>
      <c r="F143" s="907"/>
      <c r="G143" s="907"/>
      <c r="H143" s="907"/>
      <c r="I143" s="907"/>
      <c r="J143" s="927"/>
      <c r="K143" s="927"/>
      <c r="L143" s="950"/>
      <c r="M143" s="950"/>
      <c r="N143" s="950"/>
      <c r="O143" s="950"/>
      <c r="P143" s="950"/>
      <c r="Q143" s="950"/>
    </row>
    <row r="144" spans="1:17" ht="23.25" customHeight="1" x14ac:dyDescent="0.2">
      <c r="A144" s="907"/>
      <c r="B144" s="931" t="s">
        <v>3616</v>
      </c>
      <c r="C144" s="931"/>
      <c r="D144" s="931"/>
      <c r="E144" s="931"/>
      <c r="F144" s="931"/>
      <c r="G144" s="931"/>
      <c r="H144" s="931"/>
      <c r="I144" s="907"/>
      <c r="J144" s="927"/>
      <c r="K144" s="927"/>
      <c r="L144" s="950"/>
      <c r="M144" s="950"/>
      <c r="N144" s="950"/>
      <c r="O144" s="950"/>
      <c r="P144" s="950"/>
      <c r="Q144" s="950"/>
    </row>
    <row r="145" spans="1:17" s="950" customFormat="1" ht="12.75" customHeight="1" x14ac:dyDescent="0.2">
      <c r="A145" s="927"/>
      <c r="B145" s="932"/>
      <c r="C145" s="932"/>
      <c r="D145" s="932"/>
      <c r="E145" s="932"/>
      <c r="F145" s="932"/>
      <c r="G145" s="932"/>
      <c r="H145" s="932"/>
      <c r="I145" s="927"/>
      <c r="J145" s="927"/>
      <c r="K145" s="927"/>
    </row>
    <row r="146" spans="1:17" ht="18" x14ac:dyDescent="0.2">
      <c r="A146" s="907"/>
      <c r="C146" s="933"/>
      <c r="D146" s="934"/>
      <c r="E146" s="935"/>
      <c r="F146" s="932"/>
      <c r="G146" s="1604" t="s">
        <v>905</v>
      </c>
      <c r="H146" s="1605"/>
      <c r="I146" s="907"/>
      <c r="J146" s="927"/>
      <c r="K146" s="927"/>
      <c r="L146" s="950"/>
      <c r="M146" s="950"/>
      <c r="N146" s="950"/>
      <c r="O146" s="950"/>
      <c r="P146" s="950"/>
      <c r="Q146" s="950"/>
    </row>
    <row r="147" spans="1:17" x14ac:dyDescent="0.2">
      <c r="A147" s="907"/>
      <c r="B147" s="936"/>
      <c r="C147" s="766"/>
      <c r="D147" s="904"/>
      <c r="E147" s="937"/>
      <c r="F147" s="938"/>
      <c r="G147" s="939"/>
      <c r="H147" s="940"/>
      <c r="I147" s="907"/>
      <c r="J147" s="927"/>
      <c r="K147" s="927"/>
      <c r="L147" s="950"/>
      <c r="M147" s="950"/>
      <c r="N147" s="950"/>
      <c r="O147" s="950"/>
      <c r="P147" s="950"/>
      <c r="Q147" s="950"/>
    </row>
    <row r="148" spans="1:17" x14ac:dyDescent="0.2">
      <c r="A148" s="907"/>
      <c r="B148" s="936"/>
      <c r="C148" s="713" t="s">
        <v>510</v>
      </c>
      <c r="D148" s="905" t="s">
        <v>511</v>
      </c>
      <c r="E148" s="941" t="s">
        <v>2073</v>
      </c>
      <c r="F148" s="938"/>
      <c r="G148" s="942" t="s">
        <v>510</v>
      </c>
      <c r="H148" s="943" t="s">
        <v>511</v>
      </c>
      <c r="I148" s="907"/>
      <c r="J148" s="927"/>
      <c r="K148" s="927"/>
      <c r="L148" s="950"/>
      <c r="M148" s="950"/>
      <c r="N148" s="950"/>
      <c r="O148" s="950"/>
      <c r="P148" s="950"/>
      <c r="Q148" s="950"/>
    </row>
    <row r="149" spans="1:17" x14ac:dyDescent="0.2">
      <c r="A149" s="907"/>
      <c r="B149" s="952" t="s">
        <v>1095</v>
      </c>
      <c r="C149" s="770">
        <f>IF(D31-D33-D35&gt;0,(D31-D33-D35)*D11,0)</f>
        <v>0</v>
      </c>
      <c r="D149" s="851">
        <f>IF(D31-D33-D35&lt;0,-(D31-D33-D35)*D11,0)</f>
        <v>0</v>
      </c>
      <c r="E149" s="868">
        <f t="shared" ref="E149:E185" si="3">C149-D149</f>
        <v>0</v>
      </c>
      <c r="F149" s="907"/>
      <c r="G149" s="869">
        <f t="shared" ref="G149:G177" si="4">IF(E149&lt;0,0,E149)</f>
        <v>0</v>
      </c>
      <c r="H149" s="769">
        <f>IF(E149&gt;0,0,E149*-1)</f>
        <v>0</v>
      </c>
      <c r="I149" s="907"/>
      <c r="J149" s="1002"/>
      <c r="K149" s="927"/>
      <c r="L149" s="950"/>
      <c r="M149" s="950"/>
      <c r="N149" s="950"/>
      <c r="O149" s="950"/>
      <c r="P149" s="950"/>
      <c r="Q149" s="950"/>
    </row>
    <row r="150" spans="1:17" x14ac:dyDescent="0.2">
      <c r="A150" s="907"/>
      <c r="B150" s="930" t="s">
        <v>4061</v>
      </c>
      <c r="C150" s="770">
        <f>IF(D32&lt;0,D32*D11,0)</f>
        <v>0</v>
      </c>
      <c r="D150" s="851">
        <f>IF(D32&gt;0,D32*D11,0)</f>
        <v>0</v>
      </c>
      <c r="E150" s="868">
        <f t="shared" si="3"/>
        <v>0</v>
      </c>
      <c r="F150" s="907"/>
      <c r="G150" s="869">
        <f t="shared" ref="G150" si="5">IF(E150&lt;0,0,E150)</f>
        <v>0</v>
      </c>
      <c r="H150" s="769">
        <f>IF(E150&gt;0,0,E150*-1)</f>
        <v>0</v>
      </c>
      <c r="I150" s="907"/>
      <c r="J150" s="1002"/>
      <c r="K150" s="927"/>
      <c r="L150" s="950"/>
      <c r="M150" s="950"/>
      <c r="N150" s="950"/>
      <c r="O150" s="950"/>
      <c r="P150" s="950"/>
      <c r="Q150" s="950"/>
    </row>
    <row r="151" spans="1:17" x14ac:dyDescent="0.2">
      <c r="A151" s="907"/>
      <c r="B151" s="930" t="s">
        <v>4014</v>
      </c>
      <c r="C151" s="770">
        <f t="shared" ref="C151:C159" si="6">IF($D$34&gt;0,$D$34*D16,0)</f>
        <v>0</v>
      </c>
      <c r="D151" s="851">
        <f t="shared" ref="D151:D159" si="7">IF($D$34&lt;0,-$D$34*D16,0)</f>
        <v>0</v>
      </c>
      <c r="E151" s="868">
        <f t="shared" si="3"/>
        <v>0</v>
      </c>
      <c r="F151" s="907"/>
      <c r="G151" s="869">
        <f t="shared" si="4"/>
        <v>0</v>
      </c>
      <c r="H151" s="769">
        <f>IF(E151&gt;0,0,E151*-1)</f>
        <v>0</v>
      </c>
      <c r="I151" s="994"/>
      <c r="J151" s="927"/>
      <c r="K151" s="927"/>
      <c r="L151" s="950"/>
      <c r="M151" s="950"/>
      <c r="N151" s="950"/>
      <c r="O151" s="950"/>
      <c r="P151" s="950"/>
      <c r="Q151" s="950"/>
    </row>
    <row r="152" spans="1:17" x14ac:dyDescent="0.2">
      <c r="A152" s="907"/>
      <c r="B152" s="930" t="s">
        <v>3956</v>
      </c>
      <c r="C152" s="770">
        <f t="shared" si="6"/>
        <v>0</v>
      </c>
      <c r="D152" s="851">
        <f t="shared" si="7"/>
        <v>0</v>
      </c>
      <c r="E152" s="868">
        <f t="shared" si="3"/>
        <v>0</v>
      </c>
      <c r="F152" s="907"/>
      <c r="G152" s="869">
        <f t="shared" si="4"/>
        <v>0</v>
      </c>
      <c r="H152" s="769">
        <f t="shared" ref="H152:H159" si="8">IF(E152&gt;0,0,E152*-1)</f>
        <v>0</v>
      </c>
      <c r="I152" s="907"/>
      <c r="J152" s="927"/>
      <c r="K152" s="927"/>
      <c r="L152" s="950"/>
      <c r="M152" s="950"/>
      <c r="N152" s="950"/>
      <c r="O152" s="950"/>
      <c r="P152" s="950"/>
      <c r="Q152" s="950"/>
    </row>
    <row r="153" spans="1:17" x14ac:dyDescent="0.2">
      <c r="A153" s="907"/>
      <c r="B153" s="930" t="s">
        <v>3957</v>
      </c>
      <c r="C153" s="770">
        <f t="shared" si="6"/>
        <v>0</v>
      </c>
      <c r="D153" s="851">
        <f t="shared" si="7"/>
        <v>0</v>
      </c>
      <c r="E153" s="868">
        <f t="shared" si="3"/>
        <v>0</v>
      </c>
      <c r="F153" s="907"/>
      <c r="G153" s="869">
        <f t="shared" si="4"/>
        <v>0</v>
      </c>
      <c r="H153" s="769">
        <f t="shared" si="8"/>
        <v>0</v>
      </c>
      <c r="I153" s="907"/>
      <c r="J153" s="927"/>
      <c r="K153" s="927"/>
      <c r="L153" s="950"/>
      <c r="M153" s="950"/>
      <c r="N153" s="950"/>
      <c r="O153" s="950"/>
      <c r="P153" s="950"/>
      <c r="Q153" s="950"/>
    </row>
    <row r="154" spans="1:17" x14ac:dyDescent="0.2">
      <c r="A154" s="907"/>
      <c r="B154" s="930" t="s">
        <v>3958</v>
      </c>
      <c r="C154" s="770">
        <f t="shared" si="6"/>
        <v>0</v>
      </c>
      <c r="D154" s="851">
        <f t="shared" si="7"/>
        <v>0</v>
      </c>
      <c r="E154" s="868">
        <f t="shared" si="3"/>
        <v>0</v>
      </c>
      <c r="F154" s="907"/>
      <c r="G154" s="869">
        <f t="shared" si="4"/>
        <v>0</v>
      </c>
      <c r="H154" s="769">
        <f t="shared" si="8"/>
        <v>0</v>
      </c>
      <c r="I154" s="907"/>
      <c r="J154" s="927"/>
      <c r="K154" s="927"/>
      <c r="L154" s="950"/>
      <c r="M154" s="950"/>
      <c r="N154" s="950"/>
      <c r="O154" s="950"/>
      <c r="P154" s="950"/>
      <c r="Q154" s="950"/>
    </row>
    <row r="155" spans="1:17" x14ac:dyDescent="0.2">
      <c r="A155" s="907"/>
      <c r="B155" s="930" t="s">
        <v>3959</v>
      </c>
      <c r="C155" s="770">
        <f t="shared" si="6"/>
        <v>0</v>
      </c>
      <c r="D155" s="851">
        <f t="shared" si="7"/>
        <v>0</v>
      </c>
      <c r="E155" s="868">
        <f t="shared" si="3"/>
        <v>0</v>
      </c>
      <c r="F155" s="907"/>
      <c r="G155" s="869">
        <f t="shared" si="4"/>
        <v>0</v>
      </c>
      <c r="H155" s="769">
        <f t="shared" si="8"/>
        <v>0</v>
      </c>
      <c r="I155" s="907"/>
      <c r="J155" s="927"/>
      <c r="K155" s="927"/>
      <c r="L155" s="950"/>
      <c r="M155" s="950"/>
      <c r="N155" s="950"/>
      <c r="O155" s="950"/>
      <c r="P155" s="950"/>
      <c r="Q155" s="950"/>
    </row>
    <row r="156" spans="1:17" x14ac:dyDescent="0.2">
      <c r="A156" s="907"/>
      <c r="B156" s="930" t="s">
        <v>4012</v>
      </c>
      <c r="C156" s="770">
        <f t="shared" si="6"/>
        <v>0</v>
      </c>
      <c r="D156" s="851">
        <f t="shared" si="7"/>
        <v>0</v>
      </c>
      <c r="E156" s="868">
        <f t="shared" si="3"/>
        <v>0</v>
      </c>
      <c r="F156" s="907"/>
      <c r="G156" s="869">
        <f t="shared" si="4"/>
        <v>0</v>
      </c>
      <c r="H156" s="769">
        <f t="shared" si="8"/>
        <v>0</v>
      </c>
      <c r="I156" s="907"/>
      <c r="J156" s="927"/>
      <c r="K156" s="927"/>
      <c r="L156" s="950"/>
      <c r="M156" s="950"/>
      <c r="N156" s="950"/>
      <c r="O156" s="950"/>
      <c r="P156" s="950"/>
      <c r="Q156" s="950"/>
    </row>
    <row r="157" spans="1:17" x14ac:dyDescent="0.2">
      <c r="A157" s="907"/>
      <c r="B157" s="930" t="s">
        <v>3960</v>
      </c>
      <c r="C157" s="770">
        <f t="shared" si="6"/>
        <v>0</v>
      </c>
      <c r="D157" s="851">
        <f t="shared" si="7"/>
        <v>0</v>
      </c>
      <c r="E157" s="868">
        <f t="shared" si="3"/>
        <v>0</v>
      </c>
      <c r="F157" s="907"/>
      <c r="G157" s="869">
        <f t="shared" si="4"/>
        <v>0</v>
      </c>
      <c r="H157" s="769">
        <f t="shared" si="8"/>
        <v>0</v>
      </c>
      <c r="I157" s="907"/>
      <c r="J157" s="927"/>
      <c r="K157" s="927"/>
      <c r="L157" s="950"/>
      <c r="M157" s="950"/>
      <c r="N157" s="950"/>
      <c r="O157" s="950"/>
      <c r="P157" s="950"/>
      <c r="Q157" s="950"/>
    </row>
    <row r="158" spans="1:17" x14ac:dyDescent="0.2">
      <c r="A158" s="907"/>
      <c r="B158" s="930" t="s">
        <v>3961</v>
      </c>
      <c r="C158" s="770">
        <f t="shared" si="6"/>
        <v>0</v>
      </c>
      <c r="D158" s="851">
        <f t="shared" si="7"/>
        <v>0</v>
      </c>
      <c r="E158" s="868">
        <f t="shared" si="3"/>
        <v>0</v>
      </c>
      <c r="F158" s="907"/>
      <c r="G158" s="869">
        <f t="shared" si="4"/>
        <v>0</v>
      </c>
      <c r="H158" s="769">
        <f t="shared" si="8"/>
        <v>0</v>
      </c>
      <c r="I158" s="907"/>
      <c r="J158" s="927"/>
      <c r="K158" s="927"/>
      <c r="L158" s="950"/>
      <c r="M158" s="950"/>
      <c r="N158" s="950"/>
      <c r="O158" s="950"/>
      <c r="P158" s="950"/>
      <c r="Q158" s="950"/>
    </row>
    <row r="159" spans="1:17" x14ac:dyDescent="0.2">
      <c r="A159" s="907"/>
      <c r="B159" s="930" t="s">
        <v>3962</v>
      </c>
      <c r="C159" s="770">
        <f t="shared" si="6"/>
        <v>0</v>
      </c>
      <c r="D159" s="851">
        <f t="shared" si="7"/>
        <v>0</v>
      </c>
      <c r="E159" s="868">
        <f t="shared" si="3"/>
        <v>0</v>
      </c>
      <c r="F159" s="907"/>
      <c r="G159" s="869">
        <f t="shared" si="4"/>
        <v>0</v>
      </c>
      <c r="H159" s="769">
        <f t="shared" si="8"/>
        <v>0</v>
      </c>
      <c r="I159" s="907"/>
      <c r="J159" s="927"/>
      <c r="K159" s="927"/>
      <c r="L159" s="950"/>
      <c r="M159" s="950"/>
      <c r="N159" s="950"/>
      <c r="O159" s="950"/>
      <c r="P159" s="950"/>
      <c r="Q159" s="950"/>
    </row>
    <row r="160" spans="1:17" x14ac:dyDescent="0.2">
      <c r="A160" s="907"/>
      <c r="B160" s="927" t="s">
        <v>4030</v>
      </c>
      <c r="C160" s="770">
        <f t="shared" ref="C160:C168" si="9">IF($D$46&lt;0,-$D$46*D16,0)</f>
        <v>0</v>
      </c>
      <c r="D160" s="851">
        <f t="shared" ref="D160:D168" si="10">IF($D$46&gt;0,$D$46*$D16,0)</f>
        <v>0</v>
      </c>
      <c r="E160" s="868">
        <f t="shared" si="3"/>
        <v>0</v>
      </c>
      <c r="F160" s="907"/>
      <c r="G160" s="869">
        <f t="shared" si="4"/>
        <v>0</v>
      </c>
      <c r="H160" s="851">
        <f>IF(E160&gt;0,0,-E160)</f>
        <v>0</v>
      </c>
      <c r="I160" s="907"/>
      <c r="J160" s="927"/>
      <c r="K160" s="927"/>
      <c r="L160" s="950"/>
      <c r="M160" s="950"/>
      <c r="N160" s="950"/>
      <c r="O160" s="950"/>
      <c r="P160" s="950"/>
      <c r="Q160" s="950"/>
    </row>
    <row r="161" spans="1:17" x14ac:dyDescent="0.2">
      <c r="A161" s="907"/>
      <c r="B161" s="907" t="s">
        <v>4031</v>
      </c>
      <c r="C161" s="770">
        <f t="shared" si="9"/>
        <v>0</v>
      </c>
      <c r="D161" s="851">
        <f t="shared" si="10"/>
        <v>0</v>
      </c>
      <c r="E161" s="868">
        <f t="shared" si="3"/>
        <v>0</v>
      </c>
      <c r="F161" s="907"/>
      <c r="G161" s="869">
        <f t="shared" si="4"/>
        <v>0</v>
      </c>
      <c r="H161" s="851">
        <f t="shared" ref="H161:H185" si="11">IF(E161&gt;0,0,-E161)</f>
        <v>0</v>
      </c>
      <c r="I161" s="907"/>
      <c r="J161" s="927"/>
      <c r="K161" s="927"/>
      <c r="L161" s="950"/>
      <c r="M161" s="950"/>
      <c r="N161" s="950"/>
      <c r="O161" s="950"/>
      <c r="P161" s="950"/>
      <c r="Q161" s="950"/>
    </row>
    <row r="162" spans="1:17" x14ac:dyDescent="0.2">
      <c r="A162" s="907"/>
      <c r="B162" s="907" t="s">
        <v>4032</v>
      </c>
      <c r="C162" s="770">
        <f t="shared" si="9"/>
        <v>0</v>
      </c>
      <c r="D162" s="851">
        <f t="shared" si="10"/>
        <v>0</v>
      </c>
      <c r="E162" s="868">
        <f t="shared" si="3"/>
        <v>0</v>
      </c>
      <c r="F162" s="907"/>
      <c r="G162" s="869">
        <f t="shared" si="4"/>
        <v>0</v>
      </c>
      <c r="H162" s="851">
        <f t="shared" si="11"/>
        <v>0</v>
      </c>
      <c r="I162" s="907"/>
      <c r="J162" s="927"/>
      <c r="K162" s="927"/>
      <c r="L162" s="950"/>
      <c r="M162" s="950"/>
      <c r="N162" s="950"/>
      <c r="O162" s="950"/>
      <c r="P162" s="950"/>
      <c r="Q162" s="950"/>
    </row>
    <row r="163" spans="1:17" x14ac:dyDescent="0.2">
      <c r="A163" s="907"/>
      <c r="B163" s="907" t="s">
        <v>4033</v>
      </c>
      <c r="C163" s="770">
        <f t="shared" si="9"/>
        <v>0</v>
      </c>
      <c r="D163" s="851">
        <f t="shared" si="10"/>
        <v>0</v>
      </c>
      <c r="E163" s="868">
        <f t="shared" si="3"/>
        <v>0</v>
      </c>
      <c r="F163" s="907"/>
      <c r="G163" s="869">
        <f t="shared" si="4"/>
        <v>0</v>
      </c>
      <c r="H163" s="851">
        <f t="shared" si="11"/>
        <v>0</v>
      </c>
      <c r="I163" s="907"/>
      <c r="J163" s="927"/>
      <c r="K163" s="927"/>
      <c r="L163" s="950"/>
      <c r="M163" s="950"/>
      <c r="N163" s="950"/>
      <c r="O163" s="950"/>
      <c r="P163" s="950"/>
      <c r="Q163" s="950"/>
    </row>
    <row r="164" spans="1:17" x14ac:dyDescent="0.2">
      <c r="A164" s="907"/>
      <c r="B164" s="907" t="s">
        <v>4034</v>
      </c>
      <c r="C164" s="770">
        <f t="shared" si="9"/>
        <v>0</v>
      </c>
      <c r="D164" s="851">
        <f t="shared" si="10"/>
        <v>0</v>
      </c>
      <c r="E164" s="868">
        <f t="shared" si="3"/>
        <v>0</v>
      </c>
      <c r="F164" s="907"/>
      <c r="G164" s="869">
        <f t="shared" si="4"/>
        <v>0</v>
      </c>
      <c r="H164" s="851">
        <f t="shared" si="11"/>
        <v>0</v>
      </c>
      <c r="I164" s="907"/>
      <c r="J164" s="927"/>
      <c r="K164" s="927"/>
      <c r="L164" s="950"/>
      <c r="M164" s="950"/>
      <c r="N164" s="950"/>
      <c r="O164" s="950"/>
      <c r="P164" s="950"/>
      <c r="Q164" s="950"/>
    </row>
    <row r="165" spans="1:17" x14ac:dyDescent="0.2">
      <c r="A165" s="907"/>
      <c r="B165" s="907" t="s">
        <v>4035</v>
      </c>
      <c r="C165" s="770">
        <f t="shared" si="9"/>
        <v>0</v>
      </c>
      <c r="D165" s="851">
        <f t="shared" si="10"/>
        <v>0</v>
      </c>
      <c r="E165" s="868">
        <f t="shared" si="3"/>
        <v>0</v>
      </c>
      <c r="F165" s="907"/>
      <c r="G165" s="869">
        <f t="shared" si="4"/>
        <v>0</v>
      </c>
      <c r="H165" s="851">
        <f t="shared" si="11"/>
        <v>0</v>
      </c>
      <c r="I165" s="907"/>
      <c r="J165" s="927"/>
      <c r="K165" s="927"/>
      <c r="L165" s="950"/>
      <c r="M165" s="950"/>
      <c r="N165" s="950"/>
      <c r="O165" s="950"/>
      <c r="P165" s="950"/>
      <c r="Q165" s="950"/>
    </row>
    <row r="166" spans="1:17" x14ac:dyDescent="0.2">
      <c r="A166" s="907"/>
      <c r="B166" s="907" t="s">
        <v>4036</v>
      </c>
      <c r="C166" s="770">
        <f t="shared" si="9"/>
        <v>0</v>
      </c>
      <c r="D166" s="851">
        <f t="shared" si="10"/>
        <v>0</v>
      </c>
      <c r="E166" s="868">
        <f t="shared" si="3"/>
        <v>0</v>
      </c>
      <c r="F166" s="907"/>
      <c r="G166" s="869">
        <f t="shared" si="4"/>
        <v>0</v>
      </c>
      <c r="H166" s="851">
        <f t="shared" si="11"/>
        <v>0</v>
      </c>
      <c r="I166" s="907"/>
      <c r="J166" s="927"/>
      <c r="K166" s="927"/>
      <c r="L166" s="950"/>
      <c r="M166" s="950"/>
      <c r="N166" s="950"/>
      <c r="O166" s="950"/>
      <c r="P166" s="950"/>
      <c r="Q166" s="950"/>
    </row>
    <row r="167" spans="1:17" x14ac:dyDescent="0.2">
      <c r="A167" s="907"/>
      <c r="B167" s="907" t="s">
        <v>4037</v>
      </c>
      <c r="C167" s="770">
        <f t="shared" si="9"/>
        <v>0</v>
      </c>
      <c r="D167" s="851">
        <f t="shared" si="10"/>
        <v>0</v>
      </c>
      <c r="E167" s="868">
        <f t="shared" si="3"/>
        <v>0</v>
      </c>
      <c r="F167" s="907"/>
      <c r="G167" s="869">
        <f t="shared" si="4"/>
        <v>0</v>
      </c>
      <c r="H167" s="851">
        <f t="shared" si="11"/>
        <v>0</v>
      </c>
      <c r="I167" s="907"/>
      <c r="J167" s="927"/>
      <c r="K167" s="927"/>
      <c r="L167" s="950"/>
      <c r="M167" s="950"/>
      <c r="N167" s="950"/>
      <c r="O167" s="950"/>
      <c r="P167" s="950"/>
      <c r="Q167" s="950"/>
    </row>
    <row r="168" spans="1:17" x14ac:dyDescent="0.2">
      <c r="A168" s="907"/>
      <c r="B168" s="907" t="s">
        <v>4038</v>
      </c>
      <c r="C168" s="770">
        <f t="shared" si="9"/>
        <v>0</v>
      </c>
      <c r="D168" s="851">
        <f t="shared" si="10"/>
        <v>0</v>
      </c>
      <c r="E168" s="868">
        <f t="shared" si="3"/>
        <v>0</v>
      </c>
      <c r="F168" s="907"/>
      <c r="G168" s="869">
        <f t="shared" si="4"/>
        <v>0</v>
      </c>
      <c r="H168" s="851">
        <f t="shared" si="11"/>
        <v>0</v>
      </c>
      <c r="I168" s="907"/>
      <c r="J168" s="927"/>
      <c r="K168" s="927"/>
      <c r="L168" s="950"/>
      <c r="M168" s="950"/>
      <c r="N168" s="950"/>
      <c r="O168" s="950"/>
      <c r="P168" s="950"/>
      <c r="Q168" s="950"/>
    </row>
    <row r="169" spans="1:17" x14ac:dyDescent="0.2">
      <c r="A169" s="907"/>
      <c r="B169" s="927" t="s">
        <v>3639</v>
      </c>
      <c r="C169" s="770">
        <f>IF($D$48&lt;0,-$D$48,0)</f>
        <v>0</v>
      </c>
      <c r="D169" s="851">
        <f t="shared" ref="D169:D177" si="12">IF($D$48&gt;0,$D$48*$D16,0)</f>
        <v>0</v>
      </c>
      <c r="E169" s="868">
        <f t="shared" si="3"/>
        <v>0</v>
      </c>
      <c r="F169" s="907"/>
      <c r="G169" s="869">
        <f t="shared" si="4"/>
        <v>0</v>
      </c>
      <c r="H169" s="851">
        <f t="shared" si="11"/>
        <v>0</v>
      </c>
      <c r="I169" s="907"/>
      <c r="J169" s="927"/>
      <c r="K169" s="927"/>
      <c r="L169" s="950"/>
      <c r="M169" s="950"/>
      <c r="N169" s="950"/>
      <c r="O169" s="950"/>
      <c r="P169" s="950"/>
      <c r="Q169" s="950"/>
    </row>
    <row r="170" spans="1:17" x14ac:dyDescent="0.2">
      <c r="A170" s="907"/>
      <c r="B170" s="927" t="s">
        <v>3640</v>
      </c>
      <c r="C170" s="770">
        <f t="shared" ref="C170:C177" si="13">IF($D$48&lt;0,-$D$48,0)</f>
        <v>0</v>
      </c>
      <c r="D170" s="851">
        <f t="shared" si="12"/>
        <v>0</v>
      </c>
      <c r="E170" s="868">
        <f t="shared" si="3"/>
        <v>0</v>
      </c>
      <c r="F170" s="907"/>
      <c r="G170" s="869">
        <f t="shared" si="4"/>
        <v>0</v>
      </c>
      <c r="H170" s="851">
        <f t="shared" si="11"/>
        <v>0</v>
      </c>
      <c r="I170" s="907"/>
      <c r="J170" s="927"/>
      <c r="K170" s="927"/>
      <c r="L170" s="950"/>
      <c r="M170" s="950"/>
      <c r="N170" s="950"/>
      <c r="O170" s="950"/>
      <c r="P170" s="950"/>
      <c r="Q170" s="950"/>
    </row>
    <row r="171" spans="1:17" x14ac:dyDescent="0.2">
      <c r="A171" s="907"/>
      <c r="B171" s="927" t="s">
        <v>3641</v>
      </c>
      <c r="C171" s="770">
        <f t="shared" si="13"/>
        <v>0</v>
      </c>
      <c r="D171" s="851">
        <f t="shared" si="12"/>
        <v>0</v>
      </c>
      <c r="E171" s="868">
        <f t="shared" si="3"/>
        <v>0</v>
      </c>
      <c r="F171" s="907"/>
      <c r="G171" s="869">
        <f t="shared" si="4"/>
        <v>0</v>
      </c>
      <c r="H171" s="851">
        <f t="shared" si="11"/>
        <v>0</v>
      </c>
      <c r="I171" s="907"/>
      <c r="J171" s="927"/>
      <c r="K171" s="927"/>
      <c r="L171" s="950"/>
      <c r="M171" s="950"/>
      <c r="N171" s="950"/>
      <c r="O171" s="950"/>
      <c r="P171" s="950"/>
      <c r="Q171" s="950"/>
    </row>
    <row r="172" spans="1:17" x14ac:dyDescent="0.2">
      <c r="A172" s="907"/>
      <c r="B172" s="927" t="s">
        <v>3642</v>
      </c>
      <c r="C172" s="770">
        <f t="shared" si="13"/>
        <v>0</v>
      </c>
      <c r="D172" s="851">
        <f t="shared" si="12"/>
        <v>0</v>
      </c>
      <c r="E172" s="868">
        <f t="shared" si="3"/>
        <v>0</v>
      </c>
      <c r="F172" s="907"/>
      <c r="G172" s="869">
        <f t="shared" si="4"/>
        <v>0</v>
      </c>
      <c r="H172" s="851">
        <f t="shared" si="11"/>
        <v>0</v>
      </c>
      <c r="I172" s="907"/>
      <c r="J172" s="927"/>
      <c r="K172" s="927"/>
      <c r="L172" s="950"/>
      <c r="M172" s="950"/>
      <c r="N172" s="950"/>
      <c r="O172" s="950"/>
      <c r="P172" s="950"/>
      <c r="Q172" s="950"/>
    </row>
    <row r="173" spans="1:17" x14ac:dyDescent="0.2">
      <c r="A173" s="907"/>
      <c r="B173" s="927" t="s">
        <v>3643</v>
      </c>
      <c r="C173" s="770">
        <f t="shared" si="13"/>
        <v>0</v>
      </c>
      <c r="D173" s="851">
        <f t="shared" si="12"/>
        <v>0</v>
      </c>
      <c r="E173" s="868">
        <f t="shared" si="3"/>
        <v>0</v>
      </c>
      <c r="F173" s="907"/>
      <c r="G173" s="869">
        <f t="shared" si="4"/>
        <v>0</v>
      </c>
      <c r="H173" s="851">
        <f t="shared" si="11"/>
        <v>0</v>
      </c>
      <c r="I173" s="907"/>
      <c r="J173" s="927"/>
      <c r="K173" s="927"/>
      <c r="L173" s="950"/>
      <c r="M173" s="950"/>
      <c r="N173" s="950"/>
      <c r="O173" s="950"/>
      <c r="P173" s="950"/>
      <c r="Q173" s="950"/>
    </row>
    <row r="174" spans="1:17" x14ac:dyDescent="0.2">
      <c r="A174" s="907"/>
      <c r="B174" s="927" t="s">
        <v>3644</v>
      </c>
      <c r="C174" s="770">
        <f t="shared" si="13"/>
        <v>0</v>
      </c>
      <c r="D174" s="851">
        <f t="shared" si="12"/>
        <v>0</v>
      </c>
      <c r="E174" s="868">
        <f t="shared" si="3"/>
        <v>0</v>
      </c>
      <c r="F174" s="907"/>
      <c r="G174" s="869">
        <f t="shared" si="4"/>
        <v>0</v>
      </c>
      <c r="H174" s="851">
        <f t="shared" si="11"/>
        <v>0</v>
      </c>
      <c r="I174" s="907"/>
      <c r="J174" s="927"/>
      <c r="K174" s="927"/>
      <c r="L174" s="950"/>
      <c r="M174" s="950"/>
      <c r="N174" s="950"/>
      <c r="O174" s="950"/>
      <c r="P174" s="950"/>
      <c r="Q174" s="950"/>
    </row>
    <row r="175" spans="1:17" x14ac:dyDescent="0.2">
      <c r="A175" s="907"/>
      <c r="B175" s="927" t="s">
        <v>4013</v>
      </c>
      <c r="C175" s="770">
        <f t="shared" si="13"/>
        <v>0</v>
      </c>
      <c r="D175" s="851">
        <f t="shared" si="12"/>
        <v>0</v>
      </c>
      <c r="E175" s="868">
        <f t="shared" si="3"/>
        <v>0</v>
      </c>
      <c r="F175" s="907"/>
      <c r="G175" s="869">
        <f t="shared" si="4"/>
        <v>0</v>
      </c>
      <c r="H175" s="851">
        <f t="shared" si="11"/>
        <v>0</v>
      </c>
      <c r="I175" s="907"/>
      <c r="J175" s="927"/>
      <c r="K175" s="927"/>
      <c r="L175" s="950"/>
      <c r="M175" s="950"/>
      <c r="N175" s="950"/>
      <c r="O175" s="950"/>
      <c r="P175" s="950"/>
      <c r="Q175" s="950"/>
    </row>
    <row r="176" spans="1:17" x14ac:dyDescent="0.2">
      <c r="A176" s="907"/>
      <c r="B176" s="927" t="s">
        <v>3976</v>
      </c>
      <c r="C176" s="770">
        <f t="shared" si="13"/>
        <v>0</v>
      </c>
      <c r="D176" s="851">
        <f t="shared" si="12"/>
        <v>0</v>
      </c>
      <c r="E176" s="868">
        <f t="shared" si="3"/>
        <v>0</v>
      </c>
      <c r="F176" s="907"/>
      <c r="G176" s="869">
        <f t="shared" si="4"/>
        <v>0</v>
      </c>
      <c r="H176" s="851">
        <f t="shared" si="11"/>
        <v>0</v>
      </c>
      <c r="I176" s="927"/>
      <c r="J176" s="907"/>
      <c r="K176" s="907"/>
    </row>
    <row r="177" spans="1:11" x14ac:dyDescent="0.2">
      <c r="A177" s="907"/>
      <c r="B177" s="927" t="s">
        <v>3647</v>
      </c>
      <c r="C177" s="770">
        <f t="shared" si="13"/>
        <v>0</v>
      </c>
      <c r="D177" s="851">
        <f t="shared" si="12"/>
        <v>0</v>
      </c>
      <c r="E177" s="868">
        <f t="shared" si="3"/>
        <v>0</v>
      </c>
      <c r="F177" s="907"/>
      <c r="G177" s="869">
        <f t="shared" si="4"/>
        <v>0</v>
      </c>
      <c r="H177" s="851">
        <f t="shared" si="11"/>
        <v>0</v>
      </c>
      <c r="I177" s="927"/>
      <c r="J177" s="907"/>
      <c r="K177" s="907"/>
    </row>
    <row r="178" spans="1:11" ht="25.5" x14ac:dyDescent="0.2">
      <c r="A178" s="907"/>
      <c r="B178" s="930" t="s">
        <v>3574</v>
      </c>
      <c r="C178" s="770">
        <f>IF(D36&gt;0,D36*D25,0)</f>
        <v>0</v>
      </c>
      <c r="D178" s="851">
        <v>0</v>
      </c>
      <c r="E178" s="868">
        <f t="shared" si="3"/>
        <v>0</v>
      </c>
      <c r="F178" s="907"/>
      <c r="G178" s="869">
        <f>IF(E178&lt;0,0,E178)</f>
        <v>0</v>
      </c>
      <c r="H178" s="851">
        <f t="shared" si="11"/>
        <v>0</v>
      </c>
      <c r="I178" s="995"/>
      <c r="J178" s="907"/>
      <c r="K178" s="907"/>
    </row>
    <row r="179" spans="1:11" x14ac:dyDescent="0.2">
      <c r="A179" s="907"/>
      <c r="B179" s="930" t="s">
        <v>3575</v>
      </c>
      <c r="C179" s="770">
        <f>IF(D37&gt;0,D37*D25,0)</f>
        <v>0</v>
      </c>
      <c r="D179" s="851">
        <v>0</v>
      </c>
      <c r="E179" s="868">
        <f t="shared" si="3"/>
        <v>0</v>
      </c>
      <c r="F179" s="907"/>
      <c r="G179" s="869">
        <f>IF(E179&lt;0,0,E179)</f>
        <v>0</v>
      </c>
      <c r="H179" s="851">
        <f t="shared" si="11"/>
        <v>0</v>
      </c>
      <c r="I179" s="995"/>
      <c r="J179" s="907"/>
      <c r="K179" s="907"/>
    </row>
    <row r="180" spans="1:11" ht="25.5" x14ac:dyDescent="0.2">
      <c r="A180" s="907"/>
      <c r="B180" s="930" t="s">
        <v>3653</v>
      </c>
      <c r="C180" s="770">
        <f>IF(D38&gt;0,D38,0)</f>
        <v>0</v>
      </c>
      <c r="D180" s="851">
        <v>0</v>
      </c>
      <c r="E180" s="868">
        <f t="shared" si="3"/>
        <v>0</v>
      </c>
      <c r="F180" s="907"/>
      <c r="G180" s="869">
        <f t="shared" ref="G180:G181" si="14">IF(E180&lt;0,0,E180)</f>
        <v>0</v>
      </c>
      <c r="H180" s="851">
        <f t="shared" si="11"/>
        <v>0</v>
      </c>
      <c r="I180" s="907"/>
      <c r="J180" s="907"/>
      <c r="K180" s="907"/>
    </row>
    <row r="181" spans="1:11" ht="25.5" x14ac:dyDescent="0.2">
      <c r="A181" s="907"/>
      <c r="B181" s="930" t="s">
        <v>3577</v>
      </c>
      <c r="C181" s="770">
        <v>0</v>
      </c>
      <c r="D181" s="851">
        <f>IF(D36&lt;0,-D36,0)*D25</f>
        <v>0</v>
      </c>
      <c r="E181" s="868">
        <f t="shared" si="3"/>
        <v>0</v>
      </c>
      <c r="F181" s="907"/>
      <c r="G181" s="869">
        <f t="shared" si="14"/>
        <v>0</v>
      </c>
      <c r="H181" s="851">
        <f t="shared" si="11"/>
        <v>0</v>
      </c>
      <c r="I181" s="907"/>
      <c r="J181" s="907"/>
      <c r="K181" s="907"/>
    </row>
    <row r="182" spans="1:11" x14ac:dyDescent="0.2">
      <c r="A182" s="907"/>
      <c r="B182" s="930" t="s">
        <v>3579</v>
      </c>
      <c r="C182" s="770">
        <v>0</v>
      </c>
      <c r="D182" s="851">
        <f>IF(D37&lt;0,-D37,0)*D25</f>
        <v>0</v>
      </c>
      <c r="E182" s="868">
        <f t="shared" si="3"/>
        <v>0</v>
      </c>
      <c r="F182" s="907"/>
      <c r="G182" s="869">
        <f>IF(E182&lt;0,0,E182)</f>
        <v>0</v>
      </c>
      <c r="H182" s="851">
        <f t="shared" si="11"/>
        <v>0</v>
      </c>
      <c r="I182" s="907"/>
      <c r="J182" s="907"/>
      <c r="K182" s="907"/>
    </row>
    <row r="183" spans="1:11" ht="25.5" x14ac:dyDescent="0.2">
      <c r="A183" s="907"/>
      <c r="B183" s="930" t="s">
        <v>3654</v>
      </c>
      <c r="C183" s="770">
        <v>0</v>
      </c>
      <c r="D183" s="851">
        <f>IF(D38&lt;0,-D38,)*D25</f>
        <v>0</v>
      </c>
      <c r="E183" s="868">
        <f t="shared" si="3"/>
        <v>0</v>
      </c>
      <c r="F183" s="907"/>
      <c r="G183" s="869">
        <f>IF(E183&lt;0,0,E183)</f>
        <v>0</v>
      </c>
      <c r="H183" s="851">
        <f t="shared" si="11"/>
        <v>0</v>
      </c>
      <c r="I183" s="907"/>
      <c r="J183" s="907"/>
      <c r="K183" s="907"/>
    </row>
    <row r="184" spans="1:11" ht="25.5" x14ac:dyDescent="0.2">
      <c r="A184" s="907"/>
      <c r="B184" s="930" t="s">
        <v>4063</v>
      </c>
      <c r="C184" s="770">
        <f>IF(D46&gt;0,D46*D25,0)</f>
        <v>0</v>
      </c>
      <c r="D184" s="851">
        <f>IF(D46&lt;0,D46*D25,0)</f>
        <v>0</v>
      </c>
      <c r="E184" s="868">
        <f t="shared" si="3"/>
        <v>0</v>
      </c>
      <c r="F184" s="907"/>
      <c r="G184" s="869">
        <f>IF(E184&lt;0,0,E184)</f>
        <v>0</v>
      </c>
      <c r="H184" s="851">
        <f t="shared" si="11"/>
        <v>0</v>
      </c>
      <c r="I184" s="907"/>
      <c r="J184" s="907"/>
      <c r="K184" s="907"/>
    </row>
    <row r="185" spans="1:11" ht="25.5" x14ac:dyDescent="0.2">
      <c r="A185" s="907"/>
      <c r="B185" s="930" t="s">
        <v>3659</v>
      </c>
      <c r="C185" s="770">
        <f>IF(D48&gt;0,D48*D25,0)</f>
        <v>0</v>
      </c>
      <c r="D185" s="851">
        <f>IF(D48&lt;0,D48*D25,0)</f>
        <v>0</v>
      </c>
      <c r="E185" s="868">
        <f t="shared" si="3"/>
        <v>0</v>
      </c>
      <c r="F185" s="907"/>
      <c r="G185" s="869">
        <f>IF(E185&lt;0,0,E185)</f>
        <v>0</v>
      </c>
      <c r="H185" s="851">
        <f t="shared" si="11"/>
        <v>0</v>
      </c>
      <c r="I185" s="907"/>
      <c r="J185" s="907"/>
      <c r="K185" s="907"/>
    </row>
    <row r="186" spans="1:11" x14ac:dyDescent="0.2">
      <c r="A186" s="907"/>
      <c r="B186" s="907"/>
      <c r="C186" s="944">
        <f>SUM(C149:C185)</f>
        <v>0</v>
      </c>
      <c r="D186" s="945">
        <f>SUM(D149:D185)</f>
        <v>0</v>
      </c>
      <c r="E186" s="872">
        <f>SUM(E148:E185)</f>
        <v>0</v>
      </c>
      <c r="F186" s="938"/>
      <c r="G186" s="944">
        <f>SUM(G148:G185)</f>
        <v>0</v>
      </c>
      <c r="H186" s="945">
        <f>SUM(H148:H185)</f>
        <v>0</v>
      </c>
      <c r="I186" s="907"/>
      <c r="J186" s="907"/>
      <c r="K186" s="907"/>
    </row>
    <row r="187" spans="1:11" x14ac:dyDescent="0.2">
      <c r="A187" s="907"/>
      <c r="B187" s="907"/>
      <c r="C187" s="907"/>
      <c r="D187" s="907"/>
      <c r="E187" s="907"/>
      <c r="F187" s="907"/>
      <c r="G187" s="907"/>
      <c r="H187" s="907"/>
      <c r="I187" s="907"/>
      <c r="J187" s="907"/>
      <c r="K187" s="907"/>
    </row>
    <row r="188" spans="1:11" x14ac:dyDescent="0.2">
      <c r="B188" s="922"/>
      <c r="C188" s="923">
        <f>C186-D186</f>
        <v>0</v>
      </c>
      <c r="D188" s="922"/>
    </row>
    <row r="189" spans="1:11" x14ac:dyDescent="0.2">
      <c r="B189" s="923"/>
      <c r="G189" s="922"/>
    </row>
    <row r="191" spans="1:11" x14ac:dyDescent="0.2">
      <c r="C191" s="923"/>
      <c r="D191" s="923"/>
    </row>
  </sheetData>
  <sheetProtection algorithmName="SHA-512" hashValue="sKC+aXcn85wOrWEBySV5S2ESE6IdFaVKnfk2JFO/o+ggvoWMWeuEotiQxuCmL41EV/1HJ1gwzAvkVQNDic/OAg==" saltValue="JESpaaL6Q96d1OUMpHw4CQ==" spinCount="100000" sheet="1" objects="1" scenarios="1"/>
  <customSheetViews>
    <customSheetView guid="{C1197650-3ED8-49E4-8E4C-0D1D4B503FC0}" hiddenRows="1" topLeftCell="A19">
      <selection activeCell="F28" sqref="F28"/>
      <pageMargins left="0.7" right="0.7" top="0.75" bottom="0.75" header="0.3" footer="0.3"/>
      <pageSetup orientation="portrait" r:id="rId1"/>
    </customSheetView>
    <customSheetView guid="{D2B860EA-92EC-4999-9A59-C624E1F8C7FB}" hiddenRows="1" topLeftCell="A19">
      <selection activeCell="F28" sqref="F28"/>
      <pageMargins left="0.7" right="0.7" top="0.75" bottom="0.75" header="0.3" footer="0.3"/>
      <pageSetup orientation="portrait" r:id="rId2"/>
    </customSheetView>
  </customSheetViews>
  <mergeCells count="17">
    <mergeCell ref="A1:C1"/>
    <mergeCell ref="A4:C4"/>
    <mergeCell ref="B7:L7"/>
    <mergeCell ref="B28:E28"/>
    <mergeCell ref="B36:C36"/>
    <mergeCell ref="F36:K36"/>
    <mergeCell ref="B41:C41"/>
    <mergeCell ref="B46:C46"/>
    <mergeCell ref="B48:C48"/>
    <mergeCell ref="G146:H146"/>
    <mergeCell ref="B37:C37"/>
    <mergeCell ref="F37:K37"/>
    <mergeCell ref="B38:C38"/>
    <mergeCell ref="B39:C39"/>
    <mergeCell ref="F39:K39"/>
    <mergeCell ref="B40:C40"/>
    <mergeCell ref="F40:K40"/>
  </mergeCells>
  <conditionalFormatting sqref="M34:M42 M53:M55">
    <cfRule type="expression" dxfId="5" priority="6">
      <formula>#REF!=2</formula>
    </cfRule>
  </conditionalFormatting>
  <conditionalFormatting sqref="M43">
    <cfRule type="expression" dxfId="4" priority="5">
      <formula>#REF!=2</formula>
    </cfRule>
  </conditionalFormatting>
  <conditionalFormatting sqref="M44">
    <cfRule type="expression" dxfId="3" priority="4">
      <formula>#REF!=2</formula>
    </cfRule>
  </conditionalFormatting>
  <conditionalFormatting sqref="M45 M47:M50">
    <cfRule type="expression" dxfId="2" priority="3">
      <formula>#REF!=2</formula>
    </cfRule>
  </conditionalFormatting>
  <conditionalFormatting sqref="M51">
    <cfRule type="expression" dxfId="1" priority="2">
      <formula>#REF!=2</formula>
    </cfRule>
  </conditionalFormatting>
  <conditionalFormatting sqref="M52">
    <cfRule type="expression" dxfId="0" priority="1">
      <formula>#REF!=2</formula>
    </cfRule>
  </conditionalFormatting>
  <pageMargins left="0.7" right="0.7" top="0.75" bottom="0.75" header="0.3" footer="0.3"/>
  <pageSetup orientation="portrait"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72BB4-0B99-476B-8C66-E2A396229934}">
  <dimension ref="B2:Q81"/>
  <sheetViews>
    <sheetView workbookViewId="0"/>
  </sheetViews>
  <sheetFormatPr defaultColWidth="9.140625" defaultRowHeight="12.75" x14ac:dyDescent="0.2"/>
  <cols>
    <col min="1" max="7" width="9.140625" style="1241"/>
    <col min="8" max="8" width="12.85546875" style="1241" customWidth="1"/>
    <col min="9" max="9" width="9.140625" style="1241"/>
    <col min="10" max="10" width="13.85546875" style="1241" customWidth="1"/>
    <col min="11" max="16384" width="9.140625" style="1241"/>
  </cols>
  <sheetData>
    <row r="2" spans="2:17" ht="66" customHeight="1" x14ac:dyDescent="0.25">
      <c r="B2" s="1408" t="s">
        <v>4106</v>
      </c>
      <c r="C2" s="1409"/>
      <c r="D2" s="1409"/>
      <c r="E2" s="1409"/>
      <c r="F2" s="1409"/>
      <c r="G2" s="1409"/>
      <c r="H2" s="1409"/>
      <c r="I2" s="1409"/>
      <c r="J2" s="1409"/>
      <c r="K2" s="1409"/>
      <c r="L2" s="1409"/>
      <c r="M2" s="1409"/>
      <c r="N2" s="1409"/>
      <c r="O2" s="1409"/>
      <c r="P2" s="1409"/>
      <c r="Q2" s="1410"/>
    </row>
    <row r="3" spans="2:17" x14ac:dyDescent="0.2">
      <c r="B3" s="1240"/>
      <c r="I3" s="36"/>
    </row>
    <row r="4" spans="2:17" ht="73.5" customHeight="1" x14ac:dyDescent="0.2">
      <c r="B4" s="1240"/>
      <c r="C4" s="1329" t="s">
        <v>4107</v>
      </c>
      <c r="D4" s="1324"/>
      <c r="E4" s="1324"/>
      <c r="F4" s="1324"/>
      <c r="G4" s="1324"/>
      <c r="H4" s="1324"/>
      <c r="I4" s="1324"/>
      <c r="J4" s="1324"/>
      <c r="K4" s="1324"/>
      <c r="L4" s="1324"/>
      <c r="M4" s="1324"/>
      <c r="N4" s="1324"/>
      <c r="O4" s="1324"/>
      <c r="P4" s="1324"/>
      <c r="Q4" s="1324"/>
    </row>
    <row r="5" spans="2:17" x14ac:dyDescent="0.2">
      <c r="B5" s="1240"/>
      <c r="I5" s="36"/>
    </row>
    <row r="6" spans="2:17" ht="44.25" customHeight="1" x14ac:dyDescent="0.2">
      <c r="B6" s="1240"/>
      <c r="C6" s="1324" t="s">
        <v>4108</v>
      </c>
      <c r="D6" s="1324"/>
      <c r="E6" s="1324"/>
      <c r="F6" s="1324"/>
      <c r="G6" s="1324"/>
      <c r="H6" s="1324"/>
      <c r="I6" s="1324"/>
      <c r="J6" s="1324"/>
      <c r="K6" s="1324"/>
      <c r="L6" s="1324"/>
      <c r="M6" s="1324"/>
      <c r="N6" s="1324"/>
      <c r="O6" s="1324"/>
      <c r="P6" s="1324"/>
      <c r="Q6" s="1324"/>
    </row>
    <row r="7" spans="2:17" x14ac:dyDescent="0.2">
      <c r="B7" s="1240"/>
      <c r="I7" s="36"/>
    </row>
    <row r="8" spans="2:17" ht="24.75" customHeight="1" x14ac:dyDescent="0.2">
      <c r="B8" s="1240"/>
      <c r="C8" s="1492" t="s">
        <v>4109</v>
      </c>
      <c r="D8" s="1621"/>
      <c r="E8" s="1621"/>
      <c r="F8" s="1621"/>
      <c r="G8" s="1621"/>
      <c r="H8" s="1621"/>
      <c r="I8" s="1621"/>
      <c r="J8" s="1621"/>
      <c r="K8" s="1621"/>
      <c r="L8" s="1621"/>
      <c r="M8" s="1621"/>
      <c r="N8" s="1621"/>
      <c r="O8" s="1621"/>
      <c r="P8" s="1621"/>
      <c r="Q8" s="1621"/>
    </row>
    <row r="9" spans="2:17" x14ac:dyDescent="0.2">
      <c r="B9" s="1240"/>
      <c r="I9" s="36"/>
    </row>
    <row r="10" spans="2:17" x14ac:dyDescent="0.2">
      <c r="B10" s="1240"/>
      <c r="I10" s="36"/>
    </row>
    <row r="11" spans="2:17" ht="29.25" customHeight="1" x14ac:dyDescent="0.2">
      <c r="B11" s="1240" t="s">
        <v>540</v>
      </c>
      <c r="C11" s="1419" t="s">
        <v>4110</v>
      </c>
      <c r="D11" s="1422"/>
      <c r="E11" s="1422"/>
      <c r="F11" s="1422"/>
      <c r="G11" s="1422"/>
      <c r="H11" s="1422"/>
      <c r="I11" s="1422"/>
      <c r="J11" s="1422"/>
      <c r="K11" s="1422"/>
      <c r="L11" s="1422"/>
      <c r="M11" s="1422"/>
      <c r="N11" s="1422"/>
      <c r="O11" s="1422"/>
      <c r="P11" s="1422"/>
      <c r="Q11" s="1423"/>
    </row>
    <row r="12" spans="2:17" x14ac:dyDescent="0.2">
      <c r="B12" s="1240"/>
      <c r="C12" s="1240"/>
      <c r="I12" s="47"/>
    </row>
    <row r="13" spans="2:17" x14ac:dyDescent="0.2">
      <c r="B13" s="1240"/>
      <c r="H13" s="1251" t="s">
        <v>507</v>
      </c>
    </row>
    <row r="14" spans="2:17" x14ac:dyDescent="0.2">
      <c r="B14" s="1240"/>
    </row>
    <row r="15" spans="2:17" x14ac:dyDescent="0.2">
      <c r="B15" s="1240"/>
      <c r="D15" s="1241" t="s">
        <v>902</v>
      </c>
      <c r="H15" s="1242">
        <v>100000</v>
      </c>
    </row>
    <row r="16" spans="2:17" x14ac:dyDescent="0.2">
      <c r="B16" s="1240"/>
      <c r="D16" s="1241" t="s">
        <v>991</v>
      </c>
      <c r="H16" s="1242">
        <v>179755</v>
      </c>
    </row>
    <row r="17" spans="2:17" x14ac:dyDescent="0.2">
      <c r="B17" s="1240"/>
      <c r="D17" s="1241" t="s">
        <v>992</v>
      </c>
      <c r="H17" s="1242"/>
    </row>
    <row r="18" spans="2:17" x14ac:dyDescent="0.2">
      <c r="B18" s="1240"/>
      <c r="D18" s="1241" t="s">
        <v>819</v>
      </c>
      <c r="H18" s="1242"/>
    </row>
    <row r="19" spans="2:17" x14ac:dyDescent="0.2">
      <c r="B19" s="1240"/>
      <c r="D19" s="1241" t="s">
        <v>808</v>
      </c>
      <c r="H19" s="1242"/>
      <c r="K19" s="1254"/>
      <c r="L19" s="1254"/>
      <c r="M19" s="1254"/>
      <c r="N19" s="1254"/>
      <c r="O19" s="1254"/>
      <c r="P19" s="1254"/>
    </row>
    <row r="20" spans="2:17" x14ac:dyDescent="0.2">
      <c r="B20" s="1240"/>
      <c r="D20" s="1241" t="s">
        <v>267</v>
      </c>
      <c r="H20" s="1245"/>
      <c r="K20" s="1254"/>
      <c r="L20" s="1254"/>
      <c r="M20" s="1254"/>
      <c r="N20" s="1254"/>
      <c r="O20" s="1254"/>
      <c r="P20" s="1254"/>
    </row>
    <row r="21" spans="2:17" x14ac:dyDescent="0.2">
      <c r="B21" s="1240"/>
      <c r="D21" s="1241" t="s">
        <v>895</v>
      </c>
      <c r="H21" s="1245"/>
      <c r="K21" s="1254"/>
      <c r="L21" s="1254"/>
      <c r="M21" s="1254"/>
      <c r="N21" s="1254"/>
      <c r="O21" s="1254"/>
      <c r="P21" s="1254"/>
    </row>
    <row r="22" spans="2:17" x14ac:dyDescent="0.2">
      <c r="B22" s="1240"/>
      <c r="D22" s="1241" t="s">
        <v>266</v>
      </c>
      <c r="H22" s="1245">
        <v>0</v>
      </c>
      <c r="K22" s="1241" t="s">
        <v>4111</v>
      </c>
    </row>
    <row r="23" spans="2:17" x14ac:dyDescent="0.2">
      <c r="B23" s="1240"/>
      <c r="D23" s="353" t="s">
        <v>172</v>
      </c>
      <c r="H23" s="1248">
        <v>0</v>
      </c>
    </row>
    <row r="24" spans="2:17" ht="13.5" thickBot="1" x14ac:dyDescent="0.25">
      <c r="B24" s="1240"/>
      <c r="H24" s="86">
        <f>SUM(H15:H23)</f>
        <v>279755</v>
      </c>
    </row>
    <row r="25" spans="2:17" ht="13.5" thickTop="1" x14ac:dyDescent="0.2">
      <c r="B25" s="1240"/>
    </row>
    <row r="26" spans="2:17" x14ac:dyDescent="0.2">
      <c r="B26" s="1240"/>
    </row>
    <row r="27" spans="2:17" x14ac:dyDescent="0.2">
      <c r="B27" s="1240"/>
      <c r="H27" s="5"/>
      <c r="I27" s="48"/>
      <c r="J27" s="48"/>
      <c r="K27" s="48"/>
      <c r="L27" s="48"/>
      <c r="M27" s="48"/>
      <c r="O27" s="48"/>
    </row>
    <row r="28" spans="2:17" x14ac:dyDescent="0.2">
      <c r="B28" s="1240" t="s">
        <v>804</v>
      </c>
      <c r="C28" s="1416" t="s">
        <v>4112</v>
      </c>
      <c r="D28" s="1417"/>
      <c r="E28" s="1417"/>
      <c r="F28" s="1417"/>
      <c r="G28" s="1417"/>
      <c r="H28" s="1417"/>
      <c r="I28" s="1417"/>
      <c r="J28" s="1417"/>
      <c r="K28" s="1417"/>
      <c r="L28" s="1417"/>
      <c r="M28" s="1417"/>
      <c r="N28" s="1417"/>
      <c r="O28" s="1417"/>
      <c r="P28" s="1418"/>
      <c r="Q28" s="1240"/>
    </row>
    <row r="29" spans="2:17" x14ac:dyDescent="0.2">
      <c r="B29" s="1240"/>
      <c r="I29" s="36"/>
      <c r="M29" s="1249" t="s">
        <v>510</v>
      </c>
      <c r="N29" s="1250"/>
      <c r="O29" s="1249" t="s">
        <v>511</v>
      </c>
    </row>
    <row r="30" spans="2:17" x14ac:dyDescent="0.2">
      <c r="B30" s="1240"/>
      <c r="I30" s="36"/>
    </row>
    <row r="31" spans="2:17" x14ac:dyDescent="0.2">
      <c r="B31" s="1240"/>
      <c r="E31" s="697" t="s">
        <v>4113</v>
      </c>
      <c r="F31" s="697" t="s">
        <v>4191</v>
      </c>
      <c r="I31" s="36"/>
      <c r="M31" s="1246">
        <f>H24</f>
        <v>279755</v>
      </c>
      <c r="O31" s="1246"/>
    </row>
    <row r="32" spans="2:17" x14ac:dyDescent="0.2">
      <c r="B32" s="1240"/>
      <c r="G32" s="1241" t="s">
        <v>902</v>
      </c>
      <c r="I32" s="36"/>
      <c r="M32" s="1246"/>
      <c r="O32" s="1246">
        <f t="shared" ref="O32:O40" si="0">H15</f>
        <v>100000</v>
      </c>
    </row>
    <row r="33" spans="2:17" x14ac:dyDescent="0.2">
      <c r="B33" s="1240"/>
      <c r="G33" s="1241" t="s">
        <v>991</v>
      </c>
      <c r="I33" s="36"/>
      <c r="M33" s="1246"/>
      <c r="O33" s="1246">
        <f t="shared" si="0"/>
        <v>179755</v>
      </c>
    </row>
    <row r="34" spans="2:17" x14ac:dyDescent="0.2">
      <c r="B34" s="1240"/>
      <c r="G34" s="1241" t="s">
        <v>992</v>
      </c>
      <c r="I34" s="36"/>
      <c r="M34" s="1246"/>
      <c r="O34" s="1246">
        <v>0</v>
      </c>
    </row>
    <row r="35" spans="2:17" x14ac:dyDescent="0.2">
      <c r="B35" s="1240"/>
      <c r="G35" s="1241" t="s">
        <v>818</v>
      </c>
      <c r="I35" s="36"/>
      <c r="M35" s="1246"/>
      <c r="O35" s="1246">
        <f t="shared" si="0"/>
        <v>0</v>
      </c>
    </row>
    <row r="36" spans="2:17" x14ac:dyDescent="0.2">
      <c r="B36" s="1240"/>
      <c r="G36" s="1241" t="s">
        <v>183</v>
      </c>
      <c r="I36" s="36"/>
      <c r="M36" s="1246"/>
      <c r="O36" s="1246">
        <f t="shared" si="0"/>
        <v>0</v>
      </c>
    </row>
    <row r="37" spans="2:17" x14ac:dyDescent="0.2">
      <c r="B37" s="1240"/>
      <c r="G37" s="1241" t="s">
        <v>130</v>
      </c>
      <c r="I37" s="36"/>
      <c r="M37" s="1246"/>
      <c r="O37" s="1246">
        <f t="shared" si="0"/>
        <v>0</v>
      </c>
    </row>
    <row r="38" spans="2:17" x14ac:dyDescent="0.2">
      <c r="B38" s="1240"/>
      <c r="G38" s="1241" t="s">
        <v>131</v>
      </c>
      <c r="I38" s="36"/>
      <c r="M38" s="1246"/>
      <c r="O38" s="1246">
        <f t="shared" si="0"/>
        <v>0</v>
      </c>
    </row>
    <row r="39" spans="2:17" x14ac:dyDescent="0.2">
      <c r="B39" s="1240"/>
      <c r="G39" s="1241" t="s">
        <v>266</v>
      </c>
      <c r="I39" s="36"/>
      <c r="M39" s="1246"/>
      <c r="O39" s="1246">
        <f t="shared" si="0"/>
        <v>0</v>
      </c>
    </row>
    <row r="40" spans="2:17" x14ac:dyDescent="0.2">
      <c r="B40" s="1240"/>
      <c r="D40" s="43"/>
      <c r="G40" s="353" t="s">
        <v>172</v>
      </c>
      <c r="I40" s="36"/>
      <c r="M40" s="79"/>
      <c r="O40" s="1243">
        <f t="shared" si="0"/>
        <v>0</v>
      </c>
    </row>
    <row r="41" spans="2:17" ht="13.5" thickBot="1" x14ac:dyDescent="0.25">
      <c r="B41" s="1240"/>
      <c r="I41" s="36"/>
      <c r="M41" s="75">
        <f>SUM(M31:M39)</f>
        <v>279755</v>
      </c>
      <c r="O41" s="75">
        <f>SUM(O31:O40)</f>
        <v>279755</v>
      </c>
    </row>
    <row r="42" spans="2:17" ht="13.5" thickTop="1" x14ac:dyDescent="0.2">
      <c r="B42" s="1240"/>
      <c r="I42" s="36"/>
    </row>
    <row r="46" spans="2:17" x14ac:dyDescent="0.2">
      <c r="B46" s="1240" t="s">
        <v>810</v>
      </c>
      <c r="C46" s="1618" t="s">
        <v>4114</v>
      </c>
      <c r="D46" s="1619"/>
      <c r="E46" s="1619"/>
      <c r="F46" s="1619"/>
      <c r="G46" s="1619"/>
      <c r="H46" s="1619"/>
      <c r="I46" s="1619"/>
      <c r="J46" s="1620"/>
    </row>
    <row r="47" spans="2:17" ht="15" x14ac:dyDescent="0.25">
      <c r="C47" s="1255"/>
      <c r="D47" s="1255"/>
      <c r="E47" s="1255"/>
    </row>
    <row r="48" spans="2:17" ht="27.75" customHeight="1" x14ac:dyDescent="0.2">
      <c r="C48" s="1492" t="s">
        <v>4115</v>
      </c>
      <c r="D48" s="1492"/>
      <c r="E48" s="1492"/>
      <c r="F48" s="1492"/>
      <c r="G48" s="1492"/>
      <c r="H48" s="1492"/>
      <c r="I48" s="1492"/>
      <c r="J48" s="1254"/>
      <c r="K48" s="1254"/>
      <c r="L48" s="1254"/>
      <c r="M48" s="1254"/>
      <c r="N48" s="1254"/>
      <c r="O48" s="1254"/>
      <c r="P48" s="1254"/>
      <c r="Q48" s="1254"/>
    </row>
    <row r="49" spans="3:16" x14ac:dyDescent="0.2">
      <c r="C49" s="1240"/>
      <c r="I49" s="47"/>
    </row>
    <row r="50" spans="3:16" ht="12.75" customHeight="1" x14ac:dyDescent="0.2">
      <c r="H50" s="1251" t="s">
        <v>507</v>
      </c>
    </row>
    <row r="52" spans="3:16" x14ac:dyDescent="0.2">
      <c r="D52" s="1241" t="s">
        <v>902</v>
      </c>
      <c r="H52" s="1242">
        <v>20000</v>
      </c>
    </row>
    <row r="53" spans="3:16" x14ac:dyDescent="0.2">
      <c r="D53" s="1241" t="s">
        <v>991</v>
      </c>
      <c r="H53" s="1242">
        <v>2999</v>
      </c>
    </row>
    <row r="54" spans="3:16" x14ac:dyDescent="0.2">
      <c r="D54" s="1241" t="s">
        <v>992</v>
      </c>
      <c r="H54" s="1242"/>
    </row>
    <row r="55" spans="3:16" x14ac:dyDescent="0.2">
      <c r="D55" s="1241" t="s">
        <v>819</v>
      </c>
      <c r="H55" s="1242"/>
    </row>
    <row r="56" spans="3:16" x14ac:dyDescent="0.2">
      <c r="D56" s="1241" t="s">
        <v>808</v>
      </c>
      <c r="H56" s="1242"/>
      <c r="K56" s="1254"/>
      <c r="L56" s="1254"/>
      <c r="M56" s="1254"/>
      <c r="N56" s="1254"/>
      <c r="O56" s="1254"/>
      <c r="P56" s="1254"/>
    </row>
    <row r="57" spans="3:16" x14ac:dyDescent="0.2">
      <c r="D57" s="1241" t="s">
        <v>267</v>
      </c>
      <c r="H57" s="1245"/>
      <c r="K57" s="1254"/>
      <c r="L57" s="1254"/>
      <c r="M57" s="1254"/>
      <c r="N57" s="1254"/>
      <c r="O57" s="1254"/>
      <c r="P57" s="1254"/>
    </row>
    <row r="58" spans="3:16" x14ac:dyDescent="0.2">
      <c r="D58" s="1241" t="s">
        <v>895</v>
      </c>
      <c r="H58" s="1245"/>
      <c r="K58" s="1254"/>
      <c r="L58" s="1254"/>
      <c r="M58" s="1254"/>
      <c r="N58" s="1254"/>
      <c r="O58" s="1254"/>
      <c r="P58" s="1254"/>
    </row>
    <row r="59" spans="3:16" x14ac:dyDescent="0.2">
      <c r="D59" s="1241" t="s">
        <v>266</v>
      </c>
      <c r="H59" s="1245">
        <v>0</v>
      </c>
      <c r="K59" s="1241" t="s">
        <v>4111</v>
      </c>
    </row>
    <row r="60" spans="3:16" x14ac:dyDescent="0.2">
      <c r="D60" s="353" t="s">
        <v>172</v>
      </c>
      <c r="H60" s="1248">
        <v>0</v>
      </c>
    </row>
    <row r="61" spans="3:16" ht="13.5" thickBot="1" x14ac:dyDescent="0.25">
      <c r="H61" s="86">
        <f>SUM(H52:H60)</f>
        <v>22999</v>
      </c>
    </row>
    <row r="62" spans="3:16" ht="13.5" thickTop="1" x14ac:dyDescent="0.2"/>
    <row r="63" spans="3:16" ht="15" x14ac:dyDescent="0.2">
      <c r="C63" s="1256"/>
      <c r="D63" s="1256"/>
      <c r="J63" s="1256"/>
    </row>
    <row r="65" spans="2:16" x14ac:dyDescent="0.2">
      <c r="B65" s="1240" t="s">
        <v>804</v>
      </c>
      <c r="C65" s="1416" t="s">
        <v>4116</v>
      </c>
      <c r="D65" s="1417"/>
      <c r="E65" s="1417"/>
      <c r="F65" s="1417"/>
      <c r="G65" s="1417"/>
      <c r="H65" s="1417"/>
      <c r="I65" s="1417"/>
      <c r="J65" s="1417"/>
      <c r="K65" s="1417"/>
      <c r="L65" s="1417"/>
      <c r="M65" s="1417"/>
      <c r="N65" s="1417"/>
      <c r="O65" s="1417"/>
      <c r="P65" s="1418"/>
    </row>
    <row r="66" spans="2:16" x14ac:dyDescent="0.2">
      <c r="B66" s="1240"/>
      <c r="I66" s="36"/>
      <c r="M66" s="1249" t="s">
        <v>510</v>
      </c>
      <c r="N66" s="1250"/>
      <c r="O66" s="1249" t="s">
        <v>511</v>
      </c>
    </row>
    <row r="67" spans="2:16" x14ac:dyDescent="0.2">
      <c r="B67" s="1240"/>
      <c r="I67" s="36"/>
    </row>
    <row r="68" spans="2:16" x14ac:dyDescent="0.2">
      <c r="B68" s="1240"/>
      <c r="E68" s="697" t="s">
        <v>4117</v>
      </c>
      <c r="F68" s="1241" t="s">
        <v>902</v>
      </c>
      <c r="I68" s="36"/>
      <c r="M68" s="1246">
        <f>H52</f>
        <v>20000</v>
      </c>
      <c r="O68" s="1246"/>
    </row>
    <row r="69" spans="2:16" x14ac:dyDescent="0.2">
      <c r="B69" s="1240"/>
      <c r="E69" s="697"/>
      <c r="F69" s="1241" t="s">
        <v>991</v>
      </c>
      <c r="I69" s="36"/>
      <c r="M69" s="1246">
        <f t="shared" ref="M69:M76" si="1">H53</f>
        <v>2999</v>
      </c>
      <c r="O69" s="1246"/>
    </row>
    <row r="70" spans="2:16" x14ac:dyDescent="0.2">
      <c r="B70" s="1240"/>
      <c r="E70" s="697"/>
      <c r="F70" s="1241" t="s">
        <v>992</v>
      </c>
      <c r="G70" s="697"/>
      <c r="I70" s="36"/>
      <c r="M70" s="1246">
        <f t="shared" si="1"/>
        <v>0</v>
      </c>
      <c r="O70" s="1246"/>
    </row>
    <row r="71" spans="2:16" x14ac:dyDescent="0.2">
      <c r="B71" s="1240"/>
      <c r="F71" s="1241" t="s">
        <v>818</v>
      </c>
      <c r="I71" s="36"/>
      <c r="M71" s="1246">
        <f t="shared" si="1"/>
        <v>0</v>
      </c>
      <c r="O71" s="1246"/>
    </row>
    <row r="72" spans="2:16" x14ac:dyDescent="0.2">
      <c r="B72" s="1240"/>
      <c r="F72" s="1241" t="s">
        <v>183</v>
      </c>
      <c r="I72" s="36"/>
      <c r="M72" s="1246">
        <f t="shared" si="1"/>
        <v>0</v>
      </c>
      <c r="O72" s="1246"/>
    </row>
    <row r="73" spans="2:16" x14ac:dyDescent="0.2">
      <c r="B73" s="1240"/>
      <c r="F73" s="1241" t="s">
        <v>130</v>
      </c>
      <c r="I73" s="36"/>
      <c r="M73" s="1246">
        <f t="shared" si="1"/>
        <v>0</v>
      </c>
      <c r="O73" s="1246"/>
    </row>
    <row r="74" spans="2:16" x14ac:dyDescent="0.2">
      <c r="B74" s="1240"/>
      <c r="F74" s="1241" t="s">
        <v>131</v>
      </c>
      <c r="I74" s="36"/>
      <c r="M74" s="1246">
        <f t="shared" si="1"/>
        <v>0</v>
      </c>
      <c r="O74" s="1246"/>
    </row>
    <row r="75" spans="2:16" x14ac:dyDescent="0.2">
      <c r="B75" s="1240"/>
      <c r="F75" s="1241" t="s">
        <v>266</v>
      </c>
      <c r="I75" s="36"/>
      <c r="M75" s="1246">
        <f t="shared" si="1"/>
        <v>0</v>
      </c>
      <c r="O75" s="1246"/>
    </row>
    <row r="76" spans="2:16" x14ac:dyDescent="0.2">
      <c r="B76" s="1240"/>
      <c r="F76" s="353" t="s">
        <v>172</v>
      </c>
      <c r="I76" s="36"/>
      <c r="M76" s="1246">
        <f t="shared" si="1"/>
        <v>0</v>
      </c>
      <c r="O76" s="1246"/>
    </row>
    <row r="77" spans="2:16" x14ac:dyDescent="0.2">
      <c r="B77" s="1240"/>
      <c r="G77" s="697" t="s">
        <v>4192</v>
      </c>
      <c r="I77" s="36"/>
      <c r="M77" s="1246"/>
      <c r="O77" s="1246">
        <f>H61</f>
        <v>22999</v>
      </c>
    </row>
    <row r="78" spans="2:16" x14ac:dyDescent="0.2">
      <c r="B78" s="1240"/>
      <c r="I78" s="36"/>
      <c r="M78" s="1246"/>
      <c r="O78" s="1246"/>
    </row>
    <row r="79" spans="2:16" x14ac:dyDescent="0.2">
      <c r="B79" s="1240"/>
      <c r="D79" s="43"/>
      <c r="G79" s="353"/>
      <c r="I79" s="36"/>
      <c r="M79" s="79"/>
      <c r="O79" s="1243"/>
    </row>
    <row r="80" spans="2:16" ht="13.5" thickBot="1" x14ac:dyDescent="0.25">
      <c r="B80" s="1240"/>
      <c r="I80" s="36"/>
      <c r="M80" s="75">
        <f>SUM(M68:M78)</f>
        <v>22999</v>
      </c>
      <c r="O80" s="75">
        <f>SUM(O68:O79)</f>
        <v>22999</v>
      </c>
    </row>
    <row r="81" ht="13.5" thickTop="1" x14ac:dyDescent="0.2"/>
  </sheetData>
  <customSheetViews>
    <customSheetView guid="{C1197650-3ED8-49E4-8E4C-0D1D4B503FC0}" topLeftCell="A25">
      <selection activeCell="F77" sqref="F77"/>
      <pageMargins left="0.7" right="0.7" top="0.75" bottom="0.75" header="0.3" footer="0.3"/>
      <pageSetup orientation="portrait" r:id="rId1"/>
    </customSheetView>
    <customSheetView guid="{D2B860EA-92EC-4999-9A59-C624E1F8C7FB}">
      <selection activeCell="F77" sqref="F77"/>
      <pageMargins left="0.7" right="0.7" top="0.75" bottom="0.75" header="0.3" footer="0.3"/>
      <pageSetup orientation="portrait" r:id="rId2"/>
    </customSheetView>
  </customSheetViews>
  <mergeCells count="9">
    <mergeCell ref="C46:J46"/>
    <mergeCell ref="C48:I48"/>
    <mergeCell ref="C65:P65"/>
    <mergeCell ref="B2:Q2"/>
    <mergeCell ref="C4:Q4"/>
    <mergeCell ref="C6:Q6"/>
    <mergeCell ref="C8:Q8"/>
    <mergeCell ref="C11:Q11"/>
    <mergeCell ref="C28:P28"/>
  </mergeCells>
  <pageMargins left="0.7" right="0.7" top="0.75" bottom="0.75" header="0.3" footer="0.3"/>
  <pageSetup orientation="portrait"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813C7-3C83-4A3C-A8B2-D02D3431E68A}">
  <dimension ref="B2:Q81"/>
  <sheetViews>
    <sheetView workbookViewId="0"/>
  </sheetViews>
  <sheetFormatPr defaultColWidth="9.140625" defaultRowHeight="12.75" x14ac:dyDescent="0.2"/>
  <cols>
    <col min="1" max="7" width="9.140625" style="1263"/>
    <col min="8" max="8" width="12.85546875" style="1263" customWidth="1"/>
    <col min="9" max="9" width="9.140625" style="1263"/>
    <col min="10" max="10" width="13.85546875" style="1263" customWidth="1"/>
    <col min="11" max="16384" width="9.140625" style="1263"/>
  </cols>
  <sheetData>
    <row r="2" spans="2:17" ht="66" customHeight="1" x14ac:dyDescent="0.25">
      <c r="B2" s="1408" t="s">
        <v>4152</v>
      </c>
      <c r="C2" s="1409"/>
      <c r="D2" s="1409"/>
      <c r="E2" s="1409"/>
      <c r="F2" s="1409"/>
      <c r="G2" s="1409"/>
      <c r="H2" s="1409"/>
      <c r="I2" s="1409"/>
      <c r="J2" s="1409"/>
      <c r="K2" s="1409"/>
      <c r="L2" s="1409"/>
      <c r="M2" s="1409"/>
      <c r="N2" s="1409"/>
      <c r="O2" s="1409"/>
      <c r="P2" s="1409"/>
      <c r="Q2" s="1410"/>
    </row>
    <row r="3" spans="2:17" x14ac:dyDescent="0.2">
      <c r="B3" s="1261"/>
      <c r="I3" s="36"/>
    </row>
    <row r="4" spans="2:17" ht="30" customHeight="1" x14ac:dyDescent="0.2">
      <c r="B4" s="1261"/>
      <c r="C4" s="1329" t="s">
        <v>4153</v>
      </c>
      <c r="D4" s="1324"/>
      <c r="E4" s="1324"/>
      <c r="F4" s="1324"/>
      <c r="G4" s="1324"/>
      <c r="H4" s="1324"/>
      <c r="I4" s="1324"/>
      <c r="J4" s="1324"/>
      <c r="K4" s="1324"/>
      <c r="L4" s="1324"/>
      <c r="M4" s="1324"/>
      <c r="N4" s="1324"/>
      <c r="O4" s="1324"/>
      <c r="P4" s="1324"/>
      <c r="Q4" s="1324"/>
    </row>
    <row r="5" spans="2:17" x14ac:dyDescent="0.2">
      <c r="B5" s="1261"/>
      <c r="I5" s="36"/>
    </row>
    <row r="6" spans="2:17" ht="44.25" customHeight="1" x14ac:dyDescent="0.2">
      <c r="B6" s="1261"/>
      <c r="C6" s="1329" t="s">
        <v>4154</v>
      </c>
      <c r="D6" s="1324"/>
      <c r="E6" s="1324"/>
      <c r="F6" s="1324"/>
      <c r="G6" s="1324"/>
      <c r="H6" s="1324"/>
      <c r="I6" s="1324"/>
      <c r="J6" s="1324"/>
      <c r="K6" s="1324"/>
      <c r="L6" s="1324"/>
      <c r="M6" s="1324"/>
      <c r="N6" s="1324"/>
      <c r="O6" s="1324"/>
      <c r="P6" s="1324"/>
      <c r="Q6" s="1324"/>
    </row>
    <row r="7" spans="2:17" x14ac:dyDescent="0.2">
      <c r="B7" s="1261"/>
      <c r="I7" s="36"/>
    </row>
    <row r="8" spans="2:17" ht="24.75" customHeight="1" x14ac:dyDescent="0.2">
      <c r="B8" s="1261"/>
      <c r="C8" s="1492" t="s">
        <v>4155</v>
      </c>
      <c r="D8" s="1621"/>
      <c r="E8" s="1621"/>
      <c r="F8" s="1621"/>
      <c r="G8" s="1621"/>
      <c r="H8" s="1621"/>
      <c r="I8" s="1621"/>
      <c r="J8" s="1621"/>
      <c r="K8" s="1621"/>
      <c r="L8" s="1621"/>
      <c r="M8" s="1621"/>
      <c r="N8" s="1621"/>
      <c r="O8" s="1621"/>
      <c r="P8" s="1621"/>
      <c r="Q8" s="1621"/>
    </row>
    <row r="9" spans="2:17" x14ac:dyDescent="0.2">
      <c r="B9" s="1261"/>
      <c r="I9" s="36"/>
    </row>
    <row r="10" spans="2:17" x14ac:dyDescent="0.2">
      <c r="B10" s="1261"/>
      <c r="I10" s="36"/>
    </row>
    <row r="11" spans="2:17" ht="29.25" customHeight="1" x14ac:dyDescent="0.2">
      <c r="B11" s="1261" t="s">
        <v>540</v>
      </c>
      <c r="C11" s="1419" t="s">
        <v>4156</v>
      </c>
      <c r="D11" s="1422"/>
      <c r="E11" s="1422"/>
      <c r="F11" s="1422"/>
      <c r="G11" s="1422"/>
      <c r="H11" s="1422"/>
      <c r="I11" s="1422"/>
      <c r="J11" s="1422"/>
      <c r="K11" s="1422"/>
      <c r="L11" s="1422"/>
      <c r="M11" s="1422"/>
      <c r="N11" s="1422"/>
      <c r="O11" s="1422"/>
      <c r="P11" s="1422"/>
      <c r="Q11" s="1423"/>
    </row>
    <row r="12" spans="2:17" x14ac:dyDescent="0.2">
      <c r="B12" s="1261"/>
      <c r="C12" s="1261"/>
      <c r="I12" s="47"/>
    </row>
    <row r="13" spans="2:17" x14ac:dyDescent="0.2">
      <c r="B13" s="1261"/>
      <c r="H13" s="1272" t="s">
        <v>507</v>
      </c>
    </row>
    <row r="14" spans="2:17" x14ac:dyDescent="0.2">
      <c r="B14" s="1261"/>
    </row>
    <row r="15" spans="2:17" x14ac:dyDescent="0.2">
      <c r="B15" s="1261"/>
      <c r="D15" s="1263" t="s">
        <v>902</v>
      </c>
      <c r="H15" s="1267">
        <v>48781</v>
      </c>
    </row>
    <row r="16" spans="2:17" x14ac:dyDescent="0.2">
      <c r="B16" s="1261"/>
      <c r="D16" s="1263" t="s">
        <v>991</v>
      </c>
      <c r="H16" s="1267"/>
    </row>
    <row r="17" spans="2:17" x14ac:dyDescent="0.2">
      <c r="B17" s="1261"/>
      <c r="D17" s="1263" t="s">
        <v>992</v>
      </c>
      <c r="H17" s="1267"/>
    </row>
    <row r="18" spans="2:17" x14ac:dyDescent="0.2">
      <c r="B18" s="1261"/>
      <c r="D18" s="1263" t="s">
        <v>819</v>
      </c>
      <c r="H18" s="1267"/>
    </row>
    <row r="19" spans="2:17" x14ac:dyDescent="0.2">
      <c r="B19" s="1261"/>
      <c r="D19" s="1263" t="s">
        <v>808</v>
      </c>
      <c r="H19" s="1267"/>
      <c r="K19" s="1254"/>
      <c r="L19" s="1254"/>
      <c r="M19" s="1254"/>
      <c r="N19" s="1254"/>
      <c r="O19" s="1254"/>
      <c r="P19" s="1254"/>
    </row>
    <row r="20" spans="2:17" x14ac:dyDescent="0.2">
      <c r="B20" s="1261"/>
      <c r="D20" s="1263" t="s">
        <v>267</v>
      </c>
      <c r="H20" s="1265"/>
      <c r="K20" s="1254"/>
      <c r="L20" s="1254"/>
      <c r="M20" s="1254"/>
      <c r="N20" s="1254"/>
      <c r="O20" s="1254"/>
      <c r="P20" s="1254"/>
    </row>
    <row r="21" spans="2:17" x14ac:dyDescent="0.2">
      <c r="B21" s="1261"/>
      <c r="D21" s="1263" t="s">
        <v>895</v>
      </c>
      <c r="H21" s="1265"/>
      <c r="K21" s="1254"/>
      <c r="L21" s="1254"/>
      <c r="M21" s="1254"/>
      <c r="N21" s="1254"/>
      <c r="O21" s="1254"/>
      <c r="P21" s="1254"/>
    </row>
    <row r="22" spans="2:17" x14ac:dyDescent="0.2">
      <c r="B22" s="1261"/>
      <c r="D22" s="1263" t="s">
        <v>729</v>
      </c>
      <c r="H22" s="1265">
        <v>0</v>
      </c>
      <c r="K22" s="1263" t="s">
        <v>4111</v>
      </c>
    </row>
    <row r="23" spans="2:17" x14ac:dyDescent="0.2">
      <c r="B23" s="1261"/>
      <c r="D23" s="353" t="s">
        <v>374</v>
      </c>
      <c r="H23" s="1266">
        <v>0</v>
      </c>
    </row>
    <row r="24" spans="2:17" ht="13.5" thickBot="1" x14ac:dyDescent="0.25">
      <c r="B24" s="1261"/>
      <c r="H24" s="86">
        <f>SUM(H15:H23)</f>
        <v>48781</v>
      </c>
    </row>
    <row r="25" spans="2:17" ht="13.5" thickTop="1" x14ac:dyDescent="0.2">
      <c r="B25" s="1261"/>
    </row>
    <row r="26" spans="2:17" x14ac:dyDescent="0.2">
      <c r="B26" s="1261"/>
    </row>
    <row r="27" spans="2:17" x14ac:dyDescent="0.2">
      <c r="B27" s="1261"/>
      <c r="H27" s="5"/>
      <c r="I27" s="48"/>
      <c r="J27" s="48"/>
      <c r="K27" s="48"/>
      <c r="L27" s="48"/>
      <c r="M27" s="48"/>
      <c r="O27" s="48"/>
    </row>
    <row r="28" spans="2:17" x14ac:dyDescent="0.2">
      <c r="B28" s="1261" t="s">
        <v>804</v>
      </c>
      <c r="C28" s="1416" t="s">
        <v>4177</v>
      </c>
      <c r="D28" s="1417"/>
      <c r="E28" s="1417"/>
      <c r="F28" s="1417"/>
      <c r="G28" s="1417"/>
      <c r="H28" s="1417"/>
      <c r="I28" s="1417"/>
      <c r="J28" s="1417"/>
      <c r="K28" s="1417"/>
      <c r="L28" s="1417"/>
      <c r="M28" s="1417"/>
      <c r="N28" s="1417"/>
      <c r="O28" s="1417"/>
      <c r="P28" s="1418"/>
      <c r="Q28" s="1261"/>
    </row>
    <row r="29" spans="2:17" x14ac:dyDescent="0.2">
      <c r="B29" s="1261"/>
      <c r="I29" s="36"/>
      <c r="M29" s="1270" t="s">
        <v>510</v>
      </c>
      <c r="N29" s="1271"/>
      <c r="O29" s="1270" t="s">
        <v>511</v>
      </c>
    </row>
    <row r="30" spans="2:17" x14ac:dyDescent="0.2">
      <c r="B30" s="1261"/>
      <c r="I30" s="36"/>
    </row>
    <row r="31" spans="2:17" x14ac:dyDescent="0.2">
      <c r="B31" s="1261"/>
      <c r="E31" s="697" t="s">
        <v>4130</v>
      </c>
      <c r="F31" s="697" t="s">
        <v>4193</v>
      </c>
      <c r="I31" s="36"/>
      <c r="M31" s="1268">
        <f>H24</f>
        <v>48781</v>
      </c>
      <c r="O31" s="1268"/>
    </row>
    <row r="32" spans="2:17" x14ac:dyDescent="0.2">
      <c r="B32" s="1261"/>
      <c r="G32" s="1263" t="s">
        <v>902</v>
      </c>
      <c r="I32" s="36"/>
      <c r="M32" s="1268"/>
      <c r="O32" s="1268">
        <f t="shared" ref="O32:O40" si="0">H15</f>
        <v>48781</v>
      </c>
    </row>
    <row r="33" spans="2:17" x14ac:dyDescent="0.2">
      <c r="B33" s="1261"/>
      <c r="G33" s="1263" t="s">
        <v>991</v>
      </c>
      <c r="I33" s="36"/>
      <c r="M33" s="1268"/>
      <c r="O33" s="1268">
        <f t="shared" si="0"/>
        <v>0</v>
      </c>
    </row>
    <row r="34" spans="2:17" x14ac:dyDescent="0.2">
      <c r="B34" s="1261"/>
      <c r="G34" s="1263" t="s">
        <v>992</v>
      </c>
      <c r="I34" s="36"/>
      <c r="M34" s="1268"/>
      <c r="O34" s="1268">
        <f t="shared" si="0"/>
        <v>0</v>
      </c>
    </row>
    <row r="35" spans="2:17" x14ac:dyDescent="0.2">
      <c r="B35" s="1261"/>
      <c r="G35" s="1263" t="s">
        <v>818</v>
      </c>
      <c r="I35" s="36"/>
      <c r="M35" s="1268"/>
      <c r="O35" s="1268">
        <f t="shared" si="0"/>
        <v>0</v>
      </c>
    </row>
    <row r="36" spans="2:17" x14ac:dyDescent="0.2">
      <c r="B36" s="1261"/>
      <c r="G36" s="1263" t="s">
        <v>183</v>
      </c>
      <c r="I36" s="36"/>
      <c r="M36" s="1268"/>
      <c r="O36" s="1268">
        <f t="shared" si="0"/>
        <v>0</v>
      </c>
    </row>
    <row r="37" spans="2:17" x14ac:dyDescent="0.2">
      <c r="B37" s="1261"/>
      <c r="G37" s="1263" t="s">
        <v>130</v>
      </c>
      <c r="I37" s="36"/>
      <c r="M37" s="1268"/>
      <c r="O37" s="1268">
        <f t="shared" si="0"/>
        <v>0</v>
      </c>
    </row>
    <row r="38" spans="2:17" x14ac:dyDescent="0.2">
      <c r="B38" s="1261"/>
      <c r="G38" s="1263" t="s">
        <v>131</v>
      </c>
      <c r="I38" s="36"/>
      <c r="M38" s="1268"/>
      <c r="O38" s="1268">
        <f t="shared" si="0"/>
        <v>0</v>
      </c>
    </row>
    <row r="39" spans="2:17" x14ac:dyDescent="0.2">
      <c r="B39" s="1261"/>
      <c r="G39" s="1263" t="s">
        <v>729</v>
      </c>
      <c r="I39" s="36"/>
      <c r="M39" s="1268"/>
      <c r="O39" s="1268">
        <f t="shared" si="0"/>
        <v>0</v>
      </c>
    </row>
    <row r="40" spans="2:17" x14ac:dyDescent="0.2">
      <c r="B40" s="1261"/>
      <c r="D40" s="43"/>
      <c r="G40" s="353" t="s">
        <v>374</v>
      </c>
      <c r="I40" s="36"/>
      <c r="M40" s="79"/>
      <c r="O40" s="1269">
        <f t="shared" si="0"/>
        <v>0</v>
      </c>
    </row>
    <row r="41" spans="2:17" ht="13.5" thickBot="1" x14ac:dyDescent="0.25">
      <c r="B41" s="1261"/>
      <c r="I41" s="36"/>
      <c r="M41" s="75">
        <f>SUM(M31:M39)</f>
        <v>48781</v>
      </c>
      <c r="O41" s="75">
        <f>SUM(O31:O40)</f>
        <v>48781</v>
      </c>
    </row>
    <row r="42" spans="2:17" ht="13.5" thickTop="1" x14ac:dyDescent="0.2">
      <c r="B42" s="1261"/>
      <c r="I42" s="36"/>
    </row>
    <row r="46" spans="2:17" x14ac:dyDescent="0.2">
      <c r="B46" s="1261" t="s">
        <v>810</v>
      </c>
      <c r="C46" s="1618" t="s">
        <v>4157</v>
      </c>
      <c r="D46" s="1619"/>
      <c r="E46" s="1619"/>
      <c r="F46" s="1619"/>
      <c r="G46" s="1619"/>
      <c r="H46" s="1619"/>
      <c r="I46" s="1619"/>
      <c r="J46" s="1620"/>
    </row>
    <row r="47" spans="2:17" ht="15" x14ac:dyDescent="0.25">
      <c r="C47" s="1286"/>
      <c r="D47" s="1286"/>
      <c r="E47" s="1286"/>
    </row>
    <row r="48" spans="2:17" ht="27.75" customHeight="1" x14ac:dyDescent="0.2">
      <c r="C48" s="1492" t="s">
        <v>4158</v>
      </c>
      <c r="D48" s="1492"/>
      <c r="E48" s="1492"/>
      <c r="F48" s="1492"/>
      <c r="G48" s="1492"/>
      <c r="H48" s="1492"/>
      <c r="I48" s="1492"/>
      <c r="J48" s="1254"/>
      <c r="K48" s="1254"/>
      <c r="L48" s="1254"/>
      <c r="M48" s="1254"/>
      <c r="N48" s="1254"/>
      <c r="O48" s="1254"/>
      <c r="P48" s="1254"/>
      <c r="Q48" s="1254"/>
    </row>
    <row r="49" spans="3:16" x14ac:dyDescent="0.2">
      <c r="C49" s="1261"/>
      <c r="I49" s="47"/>
    </row>
    <row r="50" spans="3:16" ht="12.75" customHeight="1" x14ac:dyDescent="0.2">
      <c r="H50" s="1272" t="s">
        <v>507</v>
      </c>
    </row>
    <row r="52" spans="3:16" x14ac:dyDescent="0.2">
      <c r="D52" s="1263" t="s">
        <v>902</v>
      </c>
      <c r="H52" s="1267">
        <v>21535</v>
      </c>
    </row>
    <row r="53" spans="3:16" x14ac:dyDescent="0.2">
      <c r="D53" s="1263" t="s">
        <v>991</v>
      </c>
      <c r="H53" s="1267"/>
    </row>
    <row r="54" spans="3:16" x14ac:dyDescent="0.2">
      <c r="D54" s="1263" t="s">
        <v>992</v>
      </c>
      <c r="H54" s="1267"/>
    </row>
    <row r="55" spans="3:16" x14ac:dyDescent="0.2">
      <c r="D55" s="1263" t="s">
        <v>819</v>
      </c>
      <c r="H55" s="1267"/>
    </row>
    <row r="56" spans="3:16" x14ac:dyDescent="0.2">
      <c r="D56" s="1263" t="s">
        <v>808</v>
      </c>
      <c r="H56" s="1267"/>
      <c r="K56" s="1254"/>
      <c r="L56" s="1254"/>
      <c r="M56" s="1254"/>
      <c r="N56" s="1254"/>
      <c r="O56" s="1254"/>
      <c r="P56" s="1254"/>
    </row>
    <row r="57" spans="3:16" x14ac:dyDescent="0.2">
      <c r="D57" s="1263" t="s">
        <v>267</v>
      </c>
      <c r="H57" s="1265"/>
      <c r="K57" s="1254"/>
      <c r="L57" s="1254"/>
      <c r="M57" s="1254"/>
      <c r="N57" s="1254"/>
      <c r="O57" s="1254"/>
      <c r="P57" s="1254"/>
    </row>
    <row r="58" spans="3:16" x14ac:dyDescent="0.2">
      <c r="D58" s="1263" t="s">
        <v>895</v>
      </c>
      <c r="H58" s="1265"/>
      <c r="K58" s="1254"/>
      <c r="L58" s="1254"/>
      <c r="M58" s="1254"/>
      <c r="N58" s="1254"/>
      <c r="O58" s="1254"/>
      <c r="P58" s="1254"/>
    </row>
    <row r="59" spans="3:16" x14ac:dyDescent="0.2">
      <c r="D59" s="1263" t="s">
        <v>729</v>
      </c>
      <c r="H59" s="1265">
        <v>0</v>
      </c>
      <c r="K59" s="1263" t="s">
        <v>4111</v>
      </c>
    </row>
    <row r="60" spans="3:16" x14ac:dyDescent="0.2">
      <c r="D60" s="353" t="s">
        <v>374</v>
      </c>
      <c r="H60" s="1266">
        <v>0</v>
      </c>
    </row>
    <row r="61" spans="3:16" ht="13.5" thickBot="1" x14ac:dyDescent="0.25">
      <c r="H61" s="86">
        <f>SUM(H52:H60)</f>
        <v>21535</v>
      </c>
    </row>
    <row r="62" spans="3:16" ht="13.5" thickTop="1" x14ac:dyDescent="0.2"/>
    <row r="63" spans="3:16" ht="15" x14ac:dyDescent="0.2">
      <c r="C63" s="1287"/>
      <c r="D63" s="1287"/>
      <c r="J63" s="1287"/>
    </row>
    <row r="65" spans="2:16" x14ac:dyDescent="0.2">
      <c r="B65" s="1261" t="s">
        <v>804</v>
      </c>
      <c r="C65" s="1416" t="s">
        <v>4178</v>
      </c>
      <c r="D65" s="1417"/>
      <c r="E65" s="1417"/>
      <c r="F65" s="1417"/>
      <c r="G65" s="1417"/>
      <c r="H65" s="1417"/>
      <c r="I65" s="1417"/>
      <c r="J65" s="1417"/>
      <c r="K65" s="1417"/>
      <c r="L65" s="1417"/>
      <c r="M65" s="1417"/>
      <c r="N65" s="1417"/>
      <c r="O65" s="1417"/>
      <c r="P65" s="1418"/>
    </row>
    <row r="66" spans="2:16" x14ac:dyDescent="0.2">
      <c r="B66" s="1261"/>
      <c r="I66" s="36"/>
      <c r="M66" s="1270" t="s">
        <v>510</v>
      </c>
      <c r="N66" s="1271"/>
      <c r="O66" s="1270" t="s">
        <v>511</v>
      </c>
    </row>
    <row r="67" spans="2:16" x14ac:dyDescent="0.2">
      <c r="B67" s="1261"/>
      <c r="I67" s="36"/>
    </row>
    <row r="68" spans="2:16" x14ac:dyDescent="0.2">
      <c r="B68" s="1261"/>
      <c r="E68" s="697" t="s">
        <v>4131</v>
      </c>
      <c r="F68" s="1263" t="s">
        <v>902</v>
      </c>
      <c r="I68" s="36"/>
      <c r="M68" s="1268">
        <f>H52</f>
        <v>21535</v>
      </c>
      <c r="O68" s="1268"/>
    </row>
    <row r="69" spans="2:16" x14ac:dyDescent="0.2">
      <c r="B69" s="1261"/>
      <c r="E69" s="697"/>
      <c r="F69" s="1263" t="s">
        <v>991</v>
      </c>
      <c r="I69" s="36"/>
      <c r="M69" s="1268">
        <f t="shared" ref="M69:M76" si="1">H53</f>
        <v>0</v>
      </c>
      <c r="O69" s="1268"/>
    </row>
    <row r="70" spans="2:16" x14ac:dyDescent="0.2">
      <c r="B70" s="1261"/>
      <c r="E70" s="697"/>
      <c r="F70" s="1263" t="s">
        <v>992</v>
      </c>
      <c r="G70" s="697"/>
      <c r="I70" s="36"/>
      <c r="M70" s="1268">
        <f t="shared" si="1"/>
        <v>0</v>
      </c>
      <c r="O70" s="1268"/>
    </row>
    <row r="71" spans="2:16" x14ac:dyDescent="0.2">
      <c r="B71" s="1261"/>
      <c r="F71" s="1263" t="s">
        <v>818</v>
      </c>
      <c r="I71" s="36"/>
      <c r="M71" s="1268">
        <f t="shared" si="1"/>
        <v>0</v>
      </c>
      <c r="O71" s="1268"/>
    </row>
    <row r="72" spans="2:16" x14ac:dyDescent="0.2">
      <c r="B72" s="1261"/>
      <c r="F72" s="1263" t="s">
        <v>183</v>
      </c>
      <c r="I72" s="36"/>
      <c r="M72" s="1268">
        <f t="shared" si="1"/>
        <v>0</v>
      </c>
      <c r="O72" s="1268"/>
    </row>
    <row r="73" spans="2:16" x14ac:dyDescent="0.2">
      <c r="B73" s="1261"/>
      <c r="F73" s="1263" t="s">
        <v>130</v>
      </c>
      <c r="I73" s="36"/>
      <c r="M73" s="1268">
        <f t="shared" si="1"/>
        <v>0</v>
      </c>
      <c r="O73" s="1268"/>
    </row>
    <row r="74" spans="2:16" x14ac:dyDescent="0.2">
      <c r="B74" s="1261"/>
      <c r="F74" s="1263" t="s">
        <v>131</v>
      </c>
      <c r="I74" s="36"/>
      <c r="M74" s="1268">
        <f t="shared" si="1"/>
        <v>0</v>
      </c>
      <c r="O74" s="1268"/>
    </row>
    <row r="75" spans="2:16" x14ac:dyDescent="0.2">
      <c r="B75" s="1261"/>
      <c r="F75" s="1263" t="s">
        <v>729</v>
      </c>
      <c r="I75" s="36"/>
      <c r="M75" s="1268">
        <f t="shared" si="1"/>
        <v>0</v>
      </c>
      <c r="O75" s="1268"/>
    </row>
    <row r="76" spans="2:16" x14ac:dyDescent="0.2">
      <c r="B76" s="1261"/>
      <c r="F76" s="353" t="s">
        <v>374</v>
      </c>
      <c r="I76" s="36"/>
      <c r="M76" s="1268">
        <f t="shared" si="1"/>
        <v>0</v>
      </c>
      <c r="O76" s="1268"/>
    </row>
    <row r="77" spans="2:16" x14ac:dyDescent="0.2">
      <c r="B77" s="1261"/>
      <c r="G77" s="697" t="s">
        <v>4190</v>
      </c>
      <c r="I77" s="36"/>
      <c r="M77" s="1268"/>
      <c r="O77" s="1268">
        <f>H61</f>
        <v>21535</v>
      </c>
    </row>
    <row r="78" spans="2:16" x14ac:dyDescent="0.2">
      <c r="B78" s="1261"/>
      <c r="I78" s="36"/>
      <c r="M78" s="1268"/>
      <c r="O78" s="1268"/>
    </row>
    <row r="79" spans="2:16" x14ac:dyDescent="0.2">
      <c r="B79" s="1261"/>
      <c r="D79" s="43"/>
      <c r="G79" s="353"/>
      <c r="I79" s="36"/>
      <c r="M79" s="79"/>
      <c r="O79" s="1269"/>
    </row>
    <row r="80" spans="2:16" ht="13.5" thickBot="1" x14ac:dyDescent="0.25">
      <c r="B80" s="1261"/>
      <c r="I80" s="36"/>
      <c r="M80" s="75">
        <f>SUM(M68:M78)</f>
        <v>21535</v>
      </c>
      <c r="O80" s="75">
        <f>SUM(O68:O79)</f>
        <v>21535</v>
      </c>
    </row>
    <row r="81" ht="13.5" thickTop="1" x14ac:dyDescent="0.2"/>
  </sheetData>
  <mergeCells count="9">
    <mergeCell ref="C46:J46"/>
    <mergeCell ref="C48:I48"/>
    <mergeCell ref="C65:P65"/>
    <mergeCell ref="B2:Q2"/>
    <mergeCell ref="C4:Q4"/>
    <mergeCell ref="C6:Q6"/>
    <mergeCell ref="C8:Q8"/>
    <mergeCell ref="C11:Q11"/>
    <mergeCell ref="C28:P28"/>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61"/>
  <sheetViews>
    <sheetView workbookViewId="0"/>
  </sheetViews>
  <sheetFormatPr defaultColWidth="9.140625" defaultRowHeight="15" x14ac:dyDescent="0.25"/>
  <cols>
    <col min="1" max="1" width="62.7109375" style="1070" customWidth="1"/>
    <col min="2" max="2" width="27.5703125" style="1069" bestFit="1" customWidth="1"/>
    <col min="3" max="3" width="10.5703125" style="1070" bestFit="1" customWidth="1"/>
    <col min="4" max="4" width="14.140625" style="1070" customWidth="1"/>
    <col min="5" max="5" width="14.28515625" style="1070" bestFit="1" customWidth="1"/>
    <col min="6" max="6" width="12.140625" style="1070" bestFit="1" customWidth="1"/>
    <col min="7" max="7" width="9.140625" style="1070"/>
    <col min="8" max="8" width="18" style="1070" bestFit="1" customWidth="1"/>
    <col min="9" max="9" width="0" style="1070" hidden="1" customWidth="1"/>
    <col min="10" max="16384" width="9.140625" style="1070"/>
  </cols>
  <sheetData>
    <row r="1" spans="1:8" x14ac:dyDescent="0.25">
      <c r="A1" s="1068"/>
    </row>
    <row r="2" spans="1:8" hidden="1" x14ac:dyDescent="0.25">
      <c r="A2" s="1070" t="s">
        <v>3979</v>
      </c>
      <c r="B2" s="1069">
        <v>1640551</v>
      </c>
      <c r="C2" s="1070" t="s">
        <v>3980</v>
      </c>
    </row>
    <row r="3" spans="1:8" hidden="1" x14ac:dyDescent="0.25">
      <c r="B3" s="1069">
        <f>4251807*C7</f>
        <v>212590</v>
      </c>
      <c r="E3" s="1071">
        <v>5.0000000000000002E-5</v>
      </c>
    </row>
    <row r="4" spans="1:8" hidden="1" x14ac:dyDescent="0.25">
      <c r="E4" s="1071"/>
      <c r="H4" s="1069"/>
    </row>
    <row r="5" spans="1:8" x14ac:dyDescent="0.25">
      <c r="B5" s="1622" t="s">
        <v>3981</v>
      </c>
      <c r="C5" s="1622"/>
      <c r="D5" s="1622"/>
      <c r="E5" s="1622"/>
      <c r="H5" s="1069"/>
    </row>
    <row r="6" spans="1:8" x14ac:dyDescent="0.25">
      <c r="B6" s="1069" t="s">
        <v>3982</v>
      </c>
      <c r="C6" s="1070">
        <v>2.3223349021710099E-3</v>
      </c>
      <c r="D6" s="1070" t="s">
        <v>3983</v>
      </c>
      <c r="E6" s="1071"/>
      <c r="H6" s="1069"/>
    </row>
    <row r="7" spans="1:8" x14ac:dyDescent="0.25">
      <c r="B7" s="1069" t="s">
        <v>3984</v>
      </c>
      <c r="C7" s="1070">
        <f>0.05</f>
        <v>0.05</v>
      </c>
      <c r="E7" s="684"/>
      <c r="H7" s="1069"/>
    </row>
    <row r="8" spans="1:8" x14ac:dyDescent="0.25">
      <c r="B8" s="1069" t="s">
        <v>3984</v>
      </c>
      <c r="C8" s="1070">
        <v>0.45</v>
      </c>
      <c r="E8" s="1071"/>
      <c r="H8" s="1069"/>
    </row>
    <row r="9" spans="1:8" x14ac:dyDescent="0.25">
      <c r="A9" s="1072" t="s">
        <v>4007</v>
      </c>
      <c r="B9" s="1073"/>
    </row>
    <row r="10" spans="1:8" x14ac:dyDescent="0.25">
      <c r="A10" s="1072" t="s">
        <v>3985</v>
      </c>
      <c r="B10" s="1073"/>
    </row>
    <row r="11" spans="1:8" x14ac:dyDescent="0.25">
      <c r="A11" s="1074" t="s">
        <v>3986</v>
      </c>
      <c r="B11" s="1073">
        <f>1730233169*C7*C6</f>
        <v>200909</v>
      </c>
    </row>
    <row r="12" spans="1:8" x14ac:dyDescent="0.25">
      <c r="A12" s="1074" t="s">
        <v>3987</v>
      </c>
      <c r="B12" s="1073">
        <f>1349102482*C6*C7*C8*8</f>
        <v>563952</v>
      </c>
    </row>
    <row r="13" spans="1:8" x14ac:dyDescent="0.25">
      <c r="A13" s="1074" t="s">
        <v>3988</v>
      </c>
      <c r="B13" s="1073">
        <f>-482796535*C6*C7</f>
        <v>-56061</v>
      </c>
      <c r="E13" s="1075"/>
    </row>
    <row r="14" spans="1:8" x14ac:dyDescent="0.25">
      <c r="A14" s="1074" t="s">
        <v>3989</v>
      </c>
      <c r="B14" s="1073">
        <f>-119874189*C6*C7*C8</f>
        <v>-6264</v>
      </c>
      <c r="E14" s="1076"/>
    </row>
    <row r="15" spans="1:8" x14ac:dyDescent="0.25">
      <c r="A15" s="1074" t="s">
        <v>3990</v>
      </c>
      <c r="B15" s="1073">
        <f>8760448396*C7*C8*C6</f>
        <v>457756</v>
      </c>
      <c r="E15" s="1076"/>
    </row>
    <row r="16" spans="1:8" x14ac:dyDescent="0.25">
      <c r="A16" s="1074" t="s">
        <v>3991</v>
      </c>
      <c r="B16" s="1073">
        <f>-864083622*$C$6*$C$8*0.086*10</f>
        <v>-776590</v>
      </c>
    </row>
    <row r="17" spans="1:9" x14ac:dyDescent="0.25">
      <c r="A17" s="1072" t="s">
        <v>3992</v>
      </c>
      <c r="B17" s="1073">
        <f>SUM(B11:B16)</f>
        <v>383702</v>
      </c>
    </row>
    <row r="18" spans="1:9" x14ac:dyDescent="0.25">
      <c r="A18" s="1072" t="s">
        <v>3993</v>
      </c>
      <c r="B18" s="1073">
        <f>34204505523*C6*C7*C8</f>
        <v>1787272</v>
      </c>
    </row>
    <row r="19" spans="1:9" x14ac:dyDescent="0.25">
      <c r="A19" s="1072" t="s">
        <v>3994</v>
      </c>
      <c r="B19" s="1073">
        <f>SUM(B17:B18)</f>
        <v>2170974</v>
      </c>
    </row>
    <row r="20" spans="1:9" x14ac:dyDescent="0.25">
      <c r="A20" s="1074"/>
      <c r="B20" s="1073"/>
    </row>
    <row r="21" spans="1:9" x14ac:dyDescent="0.25">
      <c r="A21" s="1072" t="s">
        <v>3995</v>
      </c>
      <c r="B21" s="1073"/>
    </row>
    <row r="22" spans="1:9" x14ac:dyDescent="0.25">
      <c r="A22" s="1074" t="s">
        <v>3996</v>
      </c>
      <c r="B22" s="1073">
        <f>880612500*C6*C8</f>
        <v>920285</v>
      </c>
    </row>
    <row r="23" spans="1:9" x14ac:dyDescent="0.25">
      <c r="A23" s="1074" t="s">
        <v>3997</v>
      </c>
      <c r="B23" s="1073">
        <f>7878692*C8*C6</f>
        <v>8234</v>
      </c>
    </row>
    <row r="24" spans="1:9" x14ac:dyDescent="0.25">
      <c r="A24" s="1074" t="s">
        <v>3998</v>
      </c>
      <c r="B24" s="1073">
        <f>B16</f>
        <v>-776590</v>
      </c>
    </row>
    <row r="25" spans="1:9" x14ac:dyDescent="0.25">
      <c r="A25" s="1074" t="s">
        <v>3999</v>
      </c>
      <c r="B25" s="1073">
        <f>-518980*C6*0.15</f>
        <v>-181</v>
      </c>
    </row>
    <row r="26" spans="1:9" x14ac:dyDescent="0.25">
      <c r="A26" s="1072" t="s">
        <v>4000</v>
      </c>
      <c r="B26" s="1073">
        <f>SUM(B22:B25)</f>
        <v>151748</v>
      </c>
    </row>
    <row r="27" spans="1:9" x14ac:dyDescent="0.25">
      <c r="A27" s="1072" t="s">
        <v>4001</v>
      </c>
      <c r="B27" s="1073">
        <f>1050012433*C6*C7*C8*10</f>
        <v>548658</v>
      </c>
    </row>
    <row r="28" spans="1:9" x14ac:dyDescent="0.25">
      <c r="A28" s="1072" t="s">
        <v>4002</v>
      </c>
      <c r="B28" s="1073">
        <f>SUM(B26:B27)</f>
        <v>700406</v>
      </c>
    </row>
    <row r="29" spans="1:9" x14ac:dyDescent="0.25">
      <c r="A29" s="1072"/>
      <c r="B29" s="1073"/>
    </row>
    <row r="30" spans="1:9" x14ac:dyDescent="0.25">
      <c r="A30" s="1072" t="s">
        <v>4003</v>
      </c>
      <c r="B30" s="1073">
        <f>B19-B28</f>
        <v>1470568</v>
      </c>
    </row>
    <row r="31" spans="1:9" x14ac:dyDescent="0.25">
      <c r="A31" s="1074"/>
      <c r="B31" s="1073"/>
      <c r="I31" s="1069">
        <f>ROUND(12184938*C6*C8*C7,0)</f>
        <v>637</v>
      </c>
    </row>
    <row r="32" spans="1:9" x14ac:dyDescent="0.25">
      <c r="A32" s="1072" t="s">
        <v>4004</v>
      </c>
      <c r="B32" s="1077">
        <f>B28/B19</f>
        <v>0.3226</v>
      </c>
    </row>
    <row r="33" spans="1:7" x14ac:dyDescent="0.25">
      <c r="A33" s="1072" t="s">
        <v>4005</v>
      </c>
      <c r="B33" s="1073">
        <v>12937340</v>
      </c>
    </row>
    <row r="34" spans="1:7" x14ac:dyDescent="0.25">
      <c r="A34" s="1072" t="s">
        <v>4006</v>
      </c>
      <c r="B34" s="1077">
        <f>B30/B33</f>
        <v>0.1137</v>
      </c>
    </row>
    <row r="36" spans="1:7" x14ac:dyDescent="0.25">
      <c r="A36" s="1078">
        <v>2018</v>
      </c>
      <c r="B36" s="1079"/>
      <c r="E36" s="1623" t="s">
        <v>4008</v>
      </c>
      <c r="F36" s="1624"/>
      <c r="G36" s="1624"/>
    </row>
    <row r="37" spans="1:7" x14ac:dyDescent="0.25">
      <c r="A37" s="1080" t="s">
        <v>3985</v>
      </c>
      <c r="B37" s="1079"/>
      <c r="D37" s="1071"/>
      <c r="E37" s="1067"/>
      <c r="F37" s="1069">
        <f>11392332878*C6*C7*C8</f>
        <v>595278</v>
      </c>
    </row>
    <row r="38" spans="1:7" x14ac:dyDescent="0.25">
      <c r="A38" s="1081" t="s">
        <v>3986</v>
      </c>
      <c r="B38" s="1079">
        <f>2650983801*C6*C7</f>
        <v>307824</v>
      </c>
      <c r="C38" s="1082"/>
      <c r="E38" s="1067"/>
      <c r="F38" s="1067"/>
    </row>
    <row r="39" spans="1:7" x14ac:dyDescent="0.25">
      <c r="A39" s="1081" t="s">
        <v>3987</v>
      </c>
      <c r="B39" s="1079">
        <f>1332873995*C6*C8*C7*8</f>
        <v>557168</v>
      </c>
      <c r="C39" s="1082"/>
      <c r="D39" s="1083"/>
      <c r="E39" s="1067">
        <v>2019</v>
      </c>
      <c r="F39" s="1069">
        <f>2279075824*$C$6*$C$7*$C$8</f>
        <v>119087</v>
      </c>
    </row>
    <row r="40" spans="1:7" x14ac:dyDescent="0.25">
      <c r="A40" s="1081" t="s">
        <v>3988</v>
      </c>
      <c r="B40" s="1079">
        <v>0</v>
      </c>
      <c r="C40" s="1082"/>
      <c r="E40" s="1067">
        <v>2020</v>
      </c>
      <c r="F40" s="1069">
        <f>2279075824*$C$6*$C$7*$C$8</f>
        <v>119087</v>
      </c>
    </row>
    <row r="41" spans="1:7" x14ac:dyDescent="0.25">
      <c r="A41" s="1081" t="s">
        <v>3989</v>
      </c>
      <c r="B41" s="1079">
        <f>-2350861287*C7*C8*C6</f>
        <v>-122838</v>
      </c>
      <c r="C41" s="1082"/>
      <c r="E41" s="1067">
        <v>2021</v>
      </c>
      <c r="F41" s="1069">
        <f>2279075824*$C$6*$C$7*$C$8</f>
        <v>119087</v>
      </c>
    </row>
    <row r="42" spans="1:7" x14ac:dyDescent="0.25">
      <c r="A42" s="1081" t="s">
        <v>3990</v>
      </c>
      <c r="B42" s="1079">
        <f>-9029286652*C8*C7*C6</f>
        <v>-471803</v>
      </c>
      <c r="C42" s="1084"/>
      <c r="E42" s="1067">
        <v>2022</v>
      </c>
      <c r="F42" s="1069">
        <f>2279075824*$C$6*$C$7*$C$8</f>
        <v>119087</v>
      </c>
    </row>
    <row r="43" spans="1:7" x14ac:dyDescent="0.25">
      <c r="A43" s="1081" t="s">
        <v>3991</v>
      </c>
      <c r="B43" s="1085">
        <f>-9029286652*C6*C8*0.086</f>
        <v>-811501</v>
      </c>
      <c r="C43" s="1084"/>
      <c r="E43" s="1067">
        <v>2023</v>
      </c>
      <c r="F43" s="1069">
        <f>2276029582*$C$6*$C$7*$C$8</f>
        <v>118928</v>
      </c>
    </row>
    <row r="44" spans="1:7" x14ac:dyDescent="0.25">
      <c r="A44" s="1080" t="s">
        <v>3992</v>
      </c>
      <c r="B44" s="1086">
        <f>SUM(B38:B43)</f>
        <v>-541150</v>
      </c>
      <c r="C44" s="1087"/>
      <c r="D44" s="1087"/>
    </row>
    <row r="45" spans="1:7" x14ac:dyDescent="0.25">
      <c r="A45" s="1080" t="s">
        <v>3993</v>
      </c>
      <c r="B45" s="1085">
        <f>B19</f>
        <v>2170974</v>
      </c>
      <c r="C45" s="1084"/>
      <c r="D45" s="1087"/>
    </row>
    <row r="46" spans="1:7" ht="15.75" thickBot="1" x14ac:dyDescent="0.3">
      <c r="A46" s="1080" t="s">
        <v>3994</v>
      </c>
      <c r="B46" s="1088">
        <f>B44+B45</f>
        <v>1629824</v>
      </c>
      <c r="C46" s="1087"/>
      <c r="D46" s="1087"/>
    </row>
    <row r="47" spans="1:7" ht="15.75" thickTop="1" x14ac:dyDescent="0.25">
      <c r="A47" s="1081"/>
      <c r="B47" s="1079"/>
      <c r="C47" s="1084"/>
      <c r="D47" s="1089"/>
    </row>
    <row r="48" spans="1:7" x14ac:dyDescent="0.25">
      <c r="A48" s="1080" t="s">
        <v>3995</v>
      </c>
      <c r="B48" s="1079"/>
      <c r="C48" s="1084"/>
      <c r="D48" s="1089"/>
    </row>
    <row r="49" spans="1:5" x14ac:dyDescent="0.25">
      <c r="A49" s="1081" t="s">
        <v>3996</v>
      </c>
      <c r="B49" s="1079">
        <f>950812690*C6*C8</f>
        <v>993647</v>
      </c>
      <c r="C49" s="1090"/>
      <c r="D49" s="1087"/>
      <c r="E49" s="1076"/>
    </row>
    <row r="50" spans="1:5" x14ac:dyDescent="0.25">
      <c r="A50" s="1081" t="s">
        <v>3997</v>
      </c>
      <c r="B50" s="1079">
        <f>94131980*C6*C8</f>
        <v>98373</v>
      </c>
      <c r="C50" s="1084"/>
      <c r="D50" s="1087"/>
    </row>
    <row r="51" spans="1:5" x14ac:dyDescent="0.25">
      <c r="A51" s="1081" t="s">
        <v>3998</v>
      </c>
      <c r="B51" s="1079">
        <f>B43</f>
        <v>-811501</v>
      </c>
      <c r="C51" s="1084"/>
      <c r="D51" s="1087"/>
    </row>
    <row r="52" spans="1:5" x14ac:dyDescent="0.25">
      <c r="A52" s="1081" t="s">
        <v>3999</v>
      </c>
      <c r="B52" s="1085">
        <f>ROUND(-489904*C6*0.15,0)+1</f>
        <v>-170</v>
      </c>
      <c r="C52" s="1084"/>
      <c r="D52" s="1087"/>
    </row>
    <row r="53" spans="1:5" x14ac:dyDescent="0.25">
      <c r="A53" s="1080" t="s">
        <v>4000</v>
      </c>
      <c r="B53" s="1079">
        <f>SUM(B49:B52)</f>
        <v>280349</v>
      </c>
      <c r="C53" s="1091"/>
      <c r="D53" s="1087"/>
    </row>
    <row r="54" spans="1:5" x14ac:dyDescent="0.25">
      <c r="A54" s="1080" t="s">
        <v>4001</v>
      </c>
      <c r="B54" s="1085">
        <f>B28</f>
        <v>700406</v>
      </c>
      <c r="C54" s="1091"/>
      <c r="D54" s="1089"/>
    </row>
    <row r="55" spans="1:5" ht="15.75" thickBot="1" x14ac:dyDescent="0.3">
      <c r="A55" s="1080" t="s">
        <v>4002</v>
      </c>
      <c r="B55" s="1092">
        <f>SUM(B53:B54)</f>
        <v>980755</v>
      </c>
      <c r="C55" s="1091"/>
      <c r="D55" s="1087"/>
    </row>
    <row r="56" spans="1:5" ht="15.75" thickTop="1" x14ac:dyDescent="0.25">
      <c r="A56" s="1080"/>
      <c r="B56" s="1079"/>
      <c r="C56" s="1089"/>
      <c r="D56" s="1089"/>
    </row>
    <row r="57" spans="1:5" x14ac:dyDescent="0.25">
      <c r="A57" s="1080" t="s">
        <v>4003</v>
      </c>
      <c r="B57" s="1079">
        <f>B46-B55</f>
        <v>649069</v>
      </c>
      <c r="C57" s="1093"/>
      <c r="D57" s="1087"/>
    </row>
    <row r="58" spans="1:5" x14ac:dyDescent="0.25">
      <c r="A58" s="1081"/>
      <c r="B58" s="1079"/>
      <c r="C58" s="1089"/>
      <c r="D58" s="1089"/>
    </row>
    <row r="59" spans="1:5" x14ac:dyDescent="0.25">
      <c r="A59" s="1080" t="s">
        <v>4004</v>
      </c>
      <c r="B59" s="1094">
        <f>B55/B46</f>
        <v>0.6018</v>
      </c>
      <c r="C59" s="1095"/>
      <c r="D59" s="1095"/>
    </row>
    <row r="60" spans="1:5" x14ac:dyDescent="0.25">
      <c r="A60" s="1080" t="s">
        <v>4005</v>
      </c>
      <c r="B60" s="1079">
        <f>16365112000*C6*0.38</f>
        <v>14442003</v>
      </c>
      <c r="C60" s="1096"/>
      <c r="D60" s="1069"/>
    </row>
    <row r="61" spans="1:5" x14ac:dyDescent="0.25">
      <c r="A61" s="1080" t="s">
        <v>4006</v>
      </c>
      <c r="B61" s="1094">
        <f>B46/B60</f>
        <v>0.1129</v>
      </c>
      <c r="C61" s="1097"/>
      <c r="D61" s="1097"/>
    </row>
  </sheetData>
  <customSheetViews>
    <customSheetView guid="{C1197650-3ED8-49E4-8E4C-0D1D4B503FC0}" scale="90" hiddenRows="1" hiddenColumns="1" state="hidden" topLeftCell="A17">
      <selection activeCell="D20" sqref="D20"/>
      <pageMargins left="0.7" right="0.7" top="0.75" bottom="0.75" header="0.3" footer="0.3"/>
      <pageSetup orientation="portrait" r:id="rId1"/>
    </customSheetView>
    <customSheetView guid="{D2B860EA-92EC-4999-9A59-C624E1F8C7FB}" scale="90" hiddenRows="1" hiddenColumns="1" state="hidden" topLeftCell="A17">
      <selection activeCell="D20" sqref="D20"/>
      <pageMargins left="0.7" right="0.7" top="0.75" bottom="0.75" header="0.3" footer="0.3"/>
      <pageSetup orientation="portrait" r:id="rId2"/>
    </customSheetView>
  </customSheetViews>
  <mergeCells count="2">
    <mergeCell ref="B5:E5"/>
    <mergeCell ref="E36:G36"/>
  </mergeCells>
  <pageMargins left="0.7" right="0.7" top="0.75" bottom="0.75" header="0.3" footer="0.3"/>
  <pageSetup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P65"/>
  <sheetViews>
    <sheetView workbookViewId="0"/>
  </sheetViews>
  <sheetFormatPr defaultRowHeight="12.75" x14ac:dyDescent="0.2"/>
  <cols>
    <col min="1" max="1" width="4.42578125" customWidth="1"/>
    <col min="2" max="2" width="3.42578125" customWidth="1"/>
    <col min="6" max="6" width="11.28515625" customWidth="1"/>
    <col min="7" max="7" width="8.42578125" bestFit="1" customWidth="1"/>
    <col min="8" max="8" width="11.42578125" bestFit="1" customWidth="1"/>
    <col min="9" max="9" width="3.140625" customWidth="1"/>
    <col min="10" max="10" width="15.28515625" customWidth="1"/>
    <col min="11" max="11" width="1.140625" customWidth="1"/>
    <col min="12" max="12" width="15.28515625" customWidth="1"/>
    <col min="13" max="13" width="2.140625" customWidth="1"/>
    <col min="14" max="14" width="20.85546875" customWidth="1"/>
    <col min="15" max="15" width="0.85546875" customWidth="1"/>
    <col min="16" max="16" width="1.140625" customWidth="1"/>
  </cols>
  <sheetData>
    <row r="2" spans="1:16" ht="33.75" customHeight="1" x14ac:dyDescent="0.25">
      <c r="A2" s="1408" t="s">
        <v>959</v>
      </c>
      <c r="B2" s="1409"/>
      <c r="C2" s="1409"/>
      <c r="D2" s="1409"/>
      <c r="E2" s="1409"/>
      <c r="F2" s="1409"/>
      <c r="G2" s="1409"/>
      <c r="H2" s="1409"/>
      <c r="I2" s="1409"/>
      <c r="J2" s="1409"/>
      <c r="K2" s="1409"/>
      <c r="L2" s="1409"/>
      <c r="M2" s="1409"/>
      <c r="N2" s="1409"/>
      <c r="O2" s="1410"/>
    </row>
    <row r="3" spans="1:16" x14ac:dyDescent="0.2">
      <c r="H3" s="42"/>
    </row>
    <row r="4" spans="1:16" ht="69" customHeight="1" x14ac:dyDescent="0.2">
      <c r="B4" s="1324" t="s">
        <v>743</v>
      </c>
      <c r="C4" s="1412"/>
      <c r="D4" s="1412"/>
      <c r="E4" s="1412"/>
      <c r="F4" s="1412"/>
      <c r="G4" s="1412"/>
      <c r="H4" s="1412"/>
      <c r="I4" s="1412"/>
      <c r="J4" s="1412"/>
      <c r="K4" s="1412"/>
      <c r="L4" s="1412"/>
      <c r="M4" s="1412"/>
      <c r="N4" s="1412"/>
      <c r="O4" s="1412"/>
      <c r="P4" s="1412"/>
    </row>
    <row r="5" spans="1:16" ht="11.25" customHeight="1" x14ac:dyDescent="0.2">
      <c r="B5" s="34"/>
      <c r="C5" s="35"/>
      <c r="D5" s="35"/>
      <c r="E5" s="35"/>
      <c r="F5" s="35"/>
      <c r="G5" s="35"/>
      <c r="H5" s="35"/>
      <c r="I5" s="35"/>
      <c r="J5" s="35"/>
      <c r="K5" s="35"/>
      <c r="L5" s="35"/>
      <c r="M5" s="35"/>
      <c r="N5" s="35"/>
      <c r="O5" s="35"/>
      <c r="P5" s="35"/>
    </row>
    <row r="6" spans="1:16" ht="17.25" customHeight="1" x14ac:dyDescent="0.2">
      <c r="B6" s="1324" t="s">
        <v>730</v>
      </c>
      <c r="C6" s="1412"/>
      <c r="D6" s="1412"/>
      <c r="E6" s="1412"/>
      <c r="F6" s="1412"/>
      <c r="G6" s="1412"/>
      <c r="H6" s="1412"/>
      <c r="I6" s="1412"/>
      <c r="J6" s="1412"/>
      <c r="K6" s="1412"/>
      <c r="L6" s="1412"/>
      <c r="M6" s="1412"/>
      <c r="N6" s="1412"/>
      <c r="O6" s="35"/>
      <c r="P6" s="35"/>
    </row>
    <row r="7" spans="1:16" ht="4.5" customHeight="1" x14ac:dyDescent="0.2">
      <c r="B7" s="41"/>
      <c r="C7" s="35"/>
      <c r="D7" s="35"/>
      <c r="E7" s="35"/>
      <c r="F7" s="35"/>
      <c r="G7" s="35"/>
      <c r="H7" s="35"/>
      <c r="I7" s="35"/>
      <c r="J7" s="35"/>
      <c r="K7" s="35"/>
      <c r="L7" s="35"/>
      <c r="M7" s="35"/>
      <c r="N7" s="35"/>
      <c r="O7" s="35"/>
      <c r="P7" s="35"/>
    </row>
    <row r="8" spans="1:16" ht="12.75" customHeight="1" x14ac:dyDescent="0.2">
      <c r="A8" s="4"/>
      <c r="B8" s="41" t="s">
        <v>514</v>
      </c>
      <c r="C8" s="1424" t="s">
        <v>1129</v>
      </c>
      <c r="D8" s="1337"/>
      <c r="E8" s="1337"/>
      <c r="F8" s="1337"/>
      <c r="G8" s="1337"/>
      <c r="H8" s="1337"/>
      <c r="I8" s="1337"/>
      <c r="J8" s="1337"/>
      <c r="K8" s="1337"/>
      <c r="L8" s="1337"/>
      <c r="M8" s="1337"/>
      <c r="N8" s="1337"/>
      <c r="O8" s="35"/>
      <c r="P8" s="35"/>
    </row>
    <row r="9" spans="1:16" ht="14.25" customHeight="1" x14ac:dyDescent="0.2">
      <c r="A9" s="4"/>
      <c r="B9" s="41"/>
      <c r="C9" s="1337"/>
      <c r="D9" s="1337"/>
      <c r="E9" s="1337"/>
      <c r="F9" s="1337"/>
      <c r="G9" s="1337"/>
      <c r="H9" s="1337"/>
      <c r="I9" s="1337"/>
      <c r="J9" s="1337"/>
      <c r="K9" s="1337"/>
      <c r="L9" s="1337"/>
      <c r="M9" s="1337"/>
      <c r="N9" s="1337"/>
      <c r="O9" s="35"/>
      <c r="P9" s="35"/>
    </row>
    <row r="10" spans="1:16" ht="4.5" customHeight="1" x14ac:dyDescent="0.2">
      <c r="B10" s="41"/>
      <c r="C10" s="35"/>
      <c r="D10" s="35"/>
      <c r="E10" s="35"/>
      <c r="F10" s="35"/>
      <c r="G10" s="35"/>
      <c r="H10" s="35"/>
      <c r="I10" s="35"/>
      <c r="J10" s="35"/>
      <c r="K10" s="35"/>
      <c r="L10" s="35"/>
      <c r="M10" s="35"/>
      <c r="N10" s="35"/>
      <c r="O10" s="35"/>
      <c r="P10" s="35"/>
    </row>
    <row r="11" spans="1:16" ht="12.75" customHeight="1" x14ac:dyDescent="0.2">
      <c r="B11" s="41" t="s">
        <v>515</v>
      </c>
      <c r="C11" s="1424" t="s">
        <v>1130</v>
      </c>
      <c r="D11" s="1337"/>
      <c r="E11" s="1337"/>
      <c r="F11" s="1337"/>
      <c r="G11" s="1337"/>
      <c r="H11" s="1337"/>
      <c r="I11" s="1337"/>
      <c r="J11" s="1337"/>
      <c r="K11" s="1337"/>
      <c r="L11" s="1337"/>
      <c r="M11" s="1337"/>
      <c r="N11" s="1337"/>
      <c r="O11" s="35"/>
      <c r="P11" s="35"/>
    </row>
    <row r="12" spans="1:16" ht="12.75" customHeight="1" x14ac:dyDescent="0.2">
      <c r="B12" s="41"/>
      <c r="C12" s="1337"/>
      <c r="D12" s="1337"/>
      <c r="E12" s="1337"/>
      <c r="F12" s="1337"/>
      <c r="G12" s="1337"/>
      <c r="H12" s="1337"/>
      <c r="I12" s="1337"/>
      <c r="J12" s="1337"/>
      <c r="K12" s="1337"/>
      <c r="L12" s="1337"/>
      <c r="M12" s="1337"/>
      <c r="N12" s="1337"/>
      <c r="O12" s="35"/>
      <c r="P12" s="35"/>
    </row>
    <row r="13" spans="1:16" ht="4.5" customHeight="1" x14ac:dyDescent="0.2">
      <c r="B13" s="41"/>
      <c r="C13" s="34"/>
      <c r="D13" s="35"/>
      <c r="E13" s="35"/>
      <c r="F13" s="35"/>
      <c r="G13" s="35"/>
      <c r="H13" s="35"/>
      <c r="I13" s="35"/>
      <c r="J13" s="35"/>
      <c r="K13" s="35"/>
      <c r="L13" s="35"/>
      <c r="M13" s="35"/>
      <c r="N13" s="35"/>
      <c r="O13" s="35"/>
      <c r="P13" s="35"/>
    </row>
    <row r="14" spans="1:16" ht="12.75" customHeight="1" x14ac:dyDescent="0.2">
      <c r="B14" s="41" t="s">
        <v>516</v>
      </c>
      <c r="C14" s="1324" t="s">
        <v>873</v>
      </c>
      <c r="D14" s="1324"/>
      <c r="E14" s="1324"/>
      <c r="F14" s="1324"/>
      <c r="G14" s="1324"/>
      <c r="H14" s="1324"/>
      <c r="I14" s="1324"/>
      <c r="J14" s="1324"/>
      <c r="K14" s="1324"/>
      <c r="L14" s="1324"/>
      <c r="M14" s="1324"/>
      <c r="N14" s="1324"/>
      <c r="O14" s="35"/>
      <c r="P14" s="35"/>
    </row>
    <row r="15" spans="1:16" ht="26.25" customHeight="1" x14ac:dyDescent="0.2">
      <c r="B15" s="41"/>
      <c r="C15" s="1324"/>
      <c r="D15" s="1324"/>
      <c r="E15" s="1324"/>
      <c r="F15" s="1324"/>
      <c r="G15" s="1324"/>
      <c r="H15" s="1324"/>
      <c r="I15" s="1324"/>
      <c r="J15" s="1324"/>
      <c r="K15" s="1324"/>
      <c r="L15" s="1324"/>
      <c r="M15" s="1324"/>
      <c r="N15" s="1324"/>
      <c r="O15" s="35"/>
      <c r="P15" s="35"/>
    </row>
    <row r="16" spans="1:16" ht="4.5" customHeight="1" x14ac:dyDescent="0.2">
      <c r="B16" s="41"/>
      <c r="C16" s="34"/>
      <c r="D16" s="35"/>
      <c r="E16" s="35"/>
      <c r="F16" s="35"/>
      <c r="G16" s="35"/>
      <c r="H16" s="35"/>
      <c r="I16" s="35"/>
      <c r="J16" s="35"/>
      <c r="K16" s="35"/>
      <c r="L16" s="35"/>
      <c r="M16" s="35"/>
      <c r="N16" s="35"/>
      <c r="O16" s="35"/>
      <c r="P16" s="35"/>
    </row>
    <row r="17" spans="1:16" ht="12.75" customHeight="1" x14ac:dyDescent="0.2">
      <c r="B17" s="41" t="s">
        <v>542</v>
      </c>
      <c r="C17" s="1324" t="s">
        <v>344</v>
      </c>
      <c r="D17" s="1324"/>
      <c r="E17" s="1324"/>
      <c r="F17" s="1324"/>
      <c r="G17" s="1324"/>
      <c r="H17" s="1324"/>
      <c r="I17" s="1324"/>
      <c r="J17" s="1324"/>
      <c r="K17" s="1324"/>
      <c r="L17" s="1324"/>
      <c r="M17" s="1324"/>
      <c r="N17" s="1324"/>
      <c r="O17" s="35"/>
      <c r="P17" s="35"/>
    </row>
    <row r="18" spans="1:16" ht="25.5" customHeight="1" x14ac:dyDescent="0.2">
      <c r="B18" s="41"/>
      <c r="C18" s="1324"/>
      <c r="D18" s="1324"/>
      <c r="E18" s="1324"/>
      <c r="F18" s="1324"/>
      <c r="G18" s="1324"/>
      <c r="H18" s="1324"/>
      <c r="I18" s="1324"/>
      <c r="J18" s="1324"/>
      <c r="K18" s="1324"/>
      <c r="L18" s="1324"/>
      <c r="M18" s="1324"/>
      <c r="N18" s="1324"/>
      <c r="O18" s="35"/>
      <c r="P18" s="35"/>
    </row>
    <row r="19" spans="1:16" ht="12" customHeight="1" x14ac:dyDescent="0.2">
      <c r="B19" s="34"/>
      <c r="C19" s="35"/>
      <c r="D19" s="35"/>
      <c r="E19" s="35"/>
      <c r="F19" s="35"/>
      <c r="G19" s="35"/>
      <c r="H19" s="35"/>
      <c r="I19" s="35"/>
      <c r="J19" s="35"/>
      <c r="K19" s="35"/>
      <c r="L19" s="35"/>
      <c r="M19" s="35"/>
      <c r="N19" s="35"/>
      <c r="O19" s="35"/>
      <c r="P19" s="35"/>
    </row>
    <row r="20" spans="1:16" ht="25.5" customHeight="1" x14ac:dyDescent="0.2">
      <c r="A20" s="4" t="s">
        <v>540</v>
      </c>
      <c r="B20" s="1413" t="s">
        <v>1098</v>
      </c>
      <c r="C20" s="1414"/>
      <c r="D20" s="1414"/>
      <c r="E20" s="1414"/>
      <c r="F20" s="1414"/>
      <c r="G20" s="1414"/>
      <c r="H20" s="1414"/>
      <c r="I20" s="1414"/>
      <c r="J20" s="1414"/>
      <c r="K20" s="1414"/>
      <c r="L20" s="1414"/>
      <c r="M20" s="1414"/>
      <c r="N20" s="1415"/>
      <c r="O20" s="35"/>
      <c r="P20" s="35"/>
    </row>
    <row r="22" spans="1:16" x14ac:dyDescent="0.2">
      <c r="B22" s="53" t="s">
        <v>323</v>
      </c>
    </row>
    <row r="23" spans="1:16" ht="3" customHeight="1" x14ac:dyDescent="0.2"/>
    <row r="24" spans="1:16" ht="12" customHeight="1" x14ac:dyDescent="0.2">
      <c r="H24" s="3" t="s">
        <v>507</v>
      </c>
    </row>
    <row r="25" spans="1:16" x14ac:dyDescent="0.2">
      <c r="B25" t="s">
        <v>805</v>
      </c>
    </row>
    <row r="26" spans="1:16" x14ac:dyDescent="0.2">
      <c r="C26" s="13" t="s">
        <v>1055</v>
      </c>
      <c r="D26" s="13"/>
      <c r="E26" s="13"/>
      <c r="F26" s="13"/>
      <c r="G26" s="13"/>
      <c r="H26" s="346">
        <v>2263253</v>
      </c>
      <c r="J26" s="4"/>
    </row>
    <row r="27" spans="1:16" ht="6" customHeight="1" x14ac:dyDescent="0.2">
      <c r="H27" s="347"/>
    </row>
    <row r="28" spans="1:16" x14ac:dyDescent="0.2">
      <c r="C28" t="s">
        <v>806</v>
      </c>
      <c r="H28" s="348">
        <v>326897</v>
      </c>
      <c r="J28" s="43"/>
    </row>
    <row r="29" spans="1:16" x14ac:dyDescent="0.2">
      <c r="H29" s="1"/>
    </row>
    <row r="30" spans="1:16" ht="13.5" thickBot="1" x14ac:dyDescent="0.25">
      <c r="H30" s="85">
        <f>SUM(H26:H29)</f>
        <v>2590150</v>
      </c>
    </row>
    <row r="31" spans="1:16" ht="13.5" thickTop="1" x14ac:dyDescent="0.2">
      <c r="H31" s="56"/>
      <c r="L31" s="119"/>
    </row>
    <row r="32" spans="1:16" x14ac:dyDescent="0.2">
      <c r="H32" s="1"/>
    </row>
    <row r="33" spans="1:14" x14ac:dyDescent="0.2">
      <c r="H33" s="1"/>
    </row>
    <row r="34" spans="1:14" ht="25.5" customHeight="1" x14ac:dyDescent="0.2">
      <c r="A34" s="4" t="s">
        <v>541</v>
      </c>
      <c r="B34" s="1419" t="s">
        <v>1131</v>
      </c>
      <c r="C34" s="1422"/>
      <c r="D34" s="1422"/>
      <c r="E34" s="1422"/>
      <c r="F34" s="1422"/>
      <c r="G34" s="1422"/>
      <c r="H34" s="1422"/>
      <c r="I34" s="1422"/>
      <c r="J34" s="1422"/>
      <c r="K34" s="1422"/>
      <c r="L34" s="1422"/>
      <c r="M34" s="1422"/>
      <c r="N34" s="1423"/>
    </row>
    <row r="35" spans="1:14" x14ac:dyDescent="0.2">
      <c r="H35" s="1"/>
    </row>
    <row r="36" spans="1:14" x14ac:dyDescent="0.2">
      <c r="B36" s="53" t="s">
        <v>323</v>
      </c>
      <c r="H36" s="1"/>
    </row>
    <row r="37" spans="1:14" ht="3.75" customHeight="1" x14ac:dyDescent="0.2">
      <c r="H37" s="1"/>
    </row>
    <row r="38" spans="1:14" x14ac:dyDescent="0.2">
      <c r="H38" s="3" t="s">
        <v>507</v>
      </c>
    </row>
    <row r="39" spans="1:14" x14ac:dyDescent="0.2">
      <c r="B39" t="s">
        <v>805</v>
      </c>
    </row>
    <row r="40" spans="1:14" x14ac:dyDescent="0.2">
      <c r="C40" s="13" t="s">
        <v>1056</v>
      </c>
      <c r="D40" s="13"/>
      <c r="E40" s="13"/>
      <c r="F40" s="13"/>
      <c r="G40" s="13"/>
      <c r="H40" s="346">
        <v>2370602</v>
      </c>
      <c r="J40" s="4"/>
    </row>
    <row r="41" spans="1:14" ht="6" customHeight="1" x14ac:dyDescent="0.2">
      <c r="H41" s="347"/>
    </row>
    <row r="42" spans="1:14" x14ac:dyDescent="0.2">
      <c r="C42" t="s">
        <v>886</v>
      </c>
      <c r="H42" s="348">
        <v>329219</v>
      </c>
      <c r="J42" s="43"/>
    </row>
    <row r="43" spans="1:14" x14ac:dyDescent="0.2">
      <c r="H43" s="1"/>
    </row>
    <row r="44" spans="1:14" ht="13.5" thickBot="1" x14ac:dyDescent="0.25">
      <c r="H44" s="85">
        <f>SUM(H40:H43)</f>
        <v>2699821</v>
      </c>
    </row>
    <row r="45" spans="1:14" ht="13.5" thickTop="1" x14ac:dyDescent="0.2">
      <c r="H45" s="56"/>
    </row>
    <row r="46" spans="1:14" x14ac:dyDescent="0.2">
      <c r="H46" s="11"/>
    </row>
    <row r="48" spans="1:14" ht="25.5" customHeight="1" x14ac:dyDescent="0.2">
      <c r="A48" s="4" t="s">
        <v>804</v>
      </c>
      <c r="B48" s="1416" t="s">
        <v>296</v>
      </c>
      <c r="C48" s="1417"/>
      <c r="D48" s="1417"/>
      <c r="E48" s="1417"/>
      <c r="F48" s="1417"/>
      <c r="G48" s="1417"/>
      <c r="H48" s="1417"/>
      <c r="I48" s="1417"/>
      <c r="J48" s="1417"/>
      <c r="K48" s="1417"/>
      <c r="L48" s="1417"/>
      <c r="M48" s="1417"/>
      <c r="N48" s="1418"/>
    </row>
    <row r="49" spans="1:14" ht="12.75" customHeight="1" x14ac:dyDescent="0.2">
      <c r="A49" s="4"/>
      <c r="B49" s="44"/>
      <c r="C49" s="44"/>
      <c r="D49" s="44"/>
      <c r="E49" s="44"/>
      <c r="F49" s="44"/>
      <c r="G49" s="44"/>
      <c r="H49" s="44"/>
      <c r="I49" s="31"/>
      <c r="J49" s="31"/>
      <c r="K49" s="31"/>
      <c r="L49" s="31"/>
      <c r="M49" s="31"/>
      <c r="N49" s="31"/>
    </row>
    <row r="51" spans="1:14" x14ac:dyDescent="0.2">
      <c r="J51" s="49" t="s">
        <v>510</v>
      </c>
      <c r="K51" s="38"/>
      <c r="L51" s="49" t="s">
        <v>511</v>
      </c>
    </row>
    <row r="52" spans="1:14" ht="6" customHeight="1" x14ac:dyDescent="0.2">
      <c r="J52" s="38"/>
      <c r="K52" s="38"/>
      <c r="L52" s="38"/>
    </row>
    <row r="53" spans="1:14" x14ac:dyDescent="0.2">
      <c r="A53" s="141" t="s">
        <v>194</v>
      </c>
      <c r="B53" t="s">
        <v>571</v>
      </c>
      <c r="H53" s="36"/>
      <c r="I53" s="13"/>
      <c r="J53" s="252">
        <f>IF(H26&gt;=0,H26,"")</f>
        <v>2263253</v>
      </c>
      <c r="K53" s="93"/>
      <c r="L53" s="84" t="str">
        <f>IF(H26&lt;0,H26,"")</f>
        <v/>
      </c>
      <c r="N53" s="2"/>
    </row>
    <row r="54" spans="1:14" x14ac:dyDescent="0.2">
      <c r="A54" s="141"/>
      <c r="B54" t="s">
        <v>140</v>
      </c>
      <c r="H54" s="36"/>
      <c r="I54" s="13"/>
      <c r="J54" s="84">
        <f>IF(H28&gt;=0,H28,"")</f>
        <v>326897</v>
      </c>
      <c r="K54" s="93"/>
      <c r="L54" s="84" t="str">
        <f>IF(H28&lt;0,H28,"")</f>
        <v/>
      </c>
      <c r="N54" s="2"/>
    </row>
    <row r="55" spans="1:14" x14ac:dyDescent="0.2">
      <c r="A55" s="141"/>
      <c r="C55" t="s">
        <v>960</v>
      </c>
      <c r="H55" s="36"/>
      <c r="I55" s="13"/>
      <c r="J55" s="84" t="str">
        <f>IF(H30&lt;0,H30,"")</f>
        <v/>
      </c>
      <c r="K55" s="93"/>
      <c r="L55" s="84">
        <f>IF(H30&gt;=0,H30,"")</f>
        <v>2590150</v>
      </c>
    </row>
    <row r="56" spans="1:14" ht="6" customHeight="1" x14ac:dyDescent="0.2">
      <c r="A56" s="141"/>
      <c r="H56" s="36"/>
      <c r="I56" s="13"/>
      <c r="J56" s="1"/>
      <c r="K56" s="93"/>
      <c r="L56" s="1"/>
    </row>
    <row r="57" spans="1:14" x14ac:dyDescent="0.2">
      <c r="A57" s="141" t="s">
        <v>195</v>
      </c>
      <c r="B57" s="13" t="s">
        <v>1057</v>
      </c>
      <c r="C57" s="13"/>
      <c r="D57" s="13"/>
      <c r="J57" s="252">
        <f>IF(H40&gt;=0,H40,"")</f>
        <v>2370602</v>
      </c>
      <c r="K57" s="93"/>
      <c r="L57" s="84" t="str">
        <f>IF(H40&lt;0,H40,"")</f>
        <v/>
      </c>
    </row>
    <row r="58" spans="1:14" x14ac:dyDescent="0.2">
      <c r="A58" s="141"/>
      <c r="B58" t="s">
        <v>140</v>
      </c>
      <c r="J58" s="84">
        <f>IF((H42-H28)&gt;=0,(H42-H28),"")</f>
        <v>2322</v>
      </c>
      <c r="K58" s="93"/>
      <c r="L58" s="84" t="str">
        <f>IF((H42-H28)&lt;0,(H42-H28),"")</f>
        <v/>
      </c>
    </row>
    <row r="59" spans="1:14" x14ac:dyDescent="0.2">
      <c r="C59" t="s">
        <v>572</v>
      </c>
      <c r="J59" s="84" t="str">
        <f>IF((J57+J58)&lt;0,(J57+J58),"")</f>
        <v/>
      </c>
      <c r="K59" s="93"/>
      <c r="L59" s="84">
        <f>IF((J57+J58)&gt;=0,(J57+J58),"")</f>
        <v>2372924</v>
      </c>
    </row>
    <row r="60" spans="1:14" ht="12.75" customHeight="1" x14ac:dyDescent="0.2">
      <c r="J60" s="1"/>
      <c r="K60" s="93"/>
      <c r="L60" s="1"/>
    </row>
    <row r="61" spans="1:14" ht="13.5" thickBot="1" x14ac:dyDescent="0.25">
      <c r="J61" s="80">
        <f>SUM(J53:J60)</f>
        <v>4963074</v>
      </c>
      <c r="K61" s="10"/>
      <c r="L61" s="80">
        <f>SUM(L53:L60)</f>
        <v>4963074</v>
      </c>
    </row>
    <row r="62" spans="1:14" ht="13.5" thickTop="1" x14ac:dyDescent="0.2">
      <c r="K62" s="13"/>
    </row>
    <row r="63" spans="1:14" x14ac:dyDescent="0.2">
      <c r="B63" t="s">
        <v>513</v>
      </c>
      <c r="C63" t="s">
        <v>226</v>
      </c>
    </row>
    <row r="65" spans="2:2" x14ac:dyDescent="0.2">
      <c r="B65" s="19"/>
    </row>
  </sheetData>
  <customSheetViews>
    <customSheetView guid="{C1197650-3ED8-49E4-8E4C-0D1D4B503FC0}" topLeftCell="A19">
      <selection activeCell="H44" sqref="H44"/>
      <rowBreaks count="1" manualBreakCount="1">
        <brk id="63" max="14" man="1"/>
      </rowBreaks>
      <pageMargins left="0.5" right="0.45" top="0.72" bottom="0.71" header="0.5" footer="0.5"/>
      <printOptions horizontalCentered="1"/>
      <pageSetup scale="75" orientation="portrait" r:id="rId1"/>
      <headerFooter alignWithMargins="0">
        <oddHeader>&amp;R&amp;"Arial,Bold"&amp;12Entry  B</oddHeader>
        <oddFooter>&amp;L&amp;8&amp;D - County model&amp;R&amp;P</oddFooter>
      </headerFooter>
    </customSheetView>
    <customSheetView guid="{D2B860EA-92EC-4999-9A59-C624E1F8C7FB}" topLeftCell="A19">
      <selection activeCell="H44" sqref="H44"/>
      <rowBreaks count="1" manualBreakCount="1">
        <brk id="63" max="14" man="1"/>
      </rowBreaks>
      <pageMargins left="0.5" right="0.45" top="0.72" bottom="0.71" header="0.5" footer="0.5"/>
      <printOptions horizontalCentered="1"/>
      <pageSetup scale="75" orientation="portrait" r:id="rId2"/>
      <headerFooter alignWithMargins="0">
        <oddHeader>&amp;R&amp;"Arial,Bold"&amp;12Entry  B</oddHeader>
        <oddFooter>&amp;L&amp;8&amp;D - County model&amp;R&amp;P</oddFooter>
      </headerFooter>
    </customSheetView>
  </customSheetViews>
  <mergeCells count="10">
    <mergeCell ref="A2:O2"/>
    <mergeCell ref="B6:N6"/>
    <mergeCell ref="B4:P4"/>
    <mergeCell ref="C8:N9"/>
    <mergeCell ref="C17:N18"/>
    <mergeCell ref="B48:N48"/>
    <mergeCell ref="B20:N20"/>
    <mergeCell ref="B34:N34"/>
    <mergeCell ref="C11:N12"/>
    <mergeCell ref="C14:N15"/>
  </mergeCells>
  <phoneticPr fontId="14" type="noConversion"/>
  <printOptions horizontalCentered="1"/>
  <pageMargins left="0.5" right="0.45" top="0.72" bottom="0.71" header="0.5" footer="0.5"/>
  <pageSetup scale="75" orientation="portrait" r:id="rId3"/>
  <headerFooter alignWithMargins="0">
    <oddHeader>&amp;R&amp;"Arial,Bold"&amp;12Entry  B</oddHeader>
    <oddFooter>&amp;L&amp;8&amp;D - County model&amp;R&amp;P</oddFooter>
  </headerFooter>
  <rowBreaks count="1" manualBreakCount="1">
    <brk id="63"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AF300"/>
  <sheetViews>
    <sheetView zoomScale="90" zoomScaleNormal="90" workbookViewId="0"/>
  </sheetViews>
  <sheetFormatPr defaultRowHeight="12.75" x14ac:dyDescent="0.2"/>
  <cols>
    <col min="1" max="1" width="1.5703125" customWidth="1"/>
    <col min="2" max="2" width="4.42578125" customWidth="1"/>
    <col min="3" max="3" width="3.42578125" customWidth="1"/>
    <col min="7" max="7" width="11.28515625" customWidth="1"/>
    <col min="8" max="8" width="9.28515625" customWidth="1"/>
    <col min="9" max="9" width="12.85546875" customWidth="1"/>
    <col min="10" max="10" width="3.140625" customWidth="1"/>
    <col min="11" max="11" width="15.28515625" customWidth="1"/>
    <col min="12" max="12" width="1.140625" customWidth="1"/>
    <col min="13" max="13" width="15.28515625" customWidth="1"/>
    <col min="14" max="14" width="3" customWidth="1"/>
    <col min="15" max="15" width="18.140625" bestFit="1" customWidth="1"/>
    <col min="16" max="16" width="0.85546875" customWidth="1"/>
    <col min="17" max="17" width="10.7109375" customWidth="1"/>
    <col min="18" max="22" width="10.28515625" bestFit="1" customWidth="1"/>
    <col min="23" max="26" width="9.28515625" bestFit="1" customWidth="1"/>
    <col min="27" max="27" width="11.85546875" customWidth="1"/>
    <col min="28" max="28" width="12.140625" customWidth="1"/>
    <col min="29" max="30" width="10.28515625" bestFit="1" customWidth="1"/>
    <col min="31" max="31" width="12.85546875" customWidth="1"/>
    <col min="32" max="32" width="11.7109375" customWidth="1"/>
  </cols>
  <sheetData>
    <row r="2" spans="2:18" ht="33.75" customHeight="1" x14ac:dyDescent="0.25">
      <c r="B2" s="1408" t="s">
        <v>575</v>
      </c>
      <c r="C2" s="1409"/>
      <c r="D2" s="1409"/>
      <c r="E2" s="1409"/>
      <c r="F2" s="1409"/>
      <c r="G2" s="1409"/>
      <c r="H2" s="1409"/>
      <c r="I2" s="1409"/>
      <c r="J2" s="1409"/>
      <c r="K2" s="1409"/>
      <c r="L2" s="1409"/>
      <c r="M2" s="1409"/>
      <c r="N2" s="1409"/>
      <c r="O2" s="1410"/>
      <c r="P2" s="61"/>
      <c r="Q2" s="14"/>
      <c r="R2" s="14"/>
    </row>
    <row r="3" spans="2:18" x14ac:dyDescent="0.2">
      <c r="I3" s="42"/>
    </row>
    <row r="4" spans="2:18" ht="67.5" customHeight="1" x14ac:dyDescent="0.2">
      <c r="C4" s="1424" t="s">
        <v>1099</v>
      </c>
      <c r="D4" s="1337"/>
      <c r="E4" s="1337"/>
      <c r="F4" s="1337"/>
      <c r="G4" s="1337"/>
      <c r="H4" s="1337"/>
      <c r="I4" s="1337"/>
      <c r="J4" s="1337"/>
      <c r="K4" s="1337"/>
      <c r="L4" s="1337"/>
      <c r="M4" s="1337"/>
      <c r="N4" s="1337"/>
      <c r="O4" s="1337"/>
      <c r="P4" s="35"/>
      <c r="Q4" s="35"/>
    </row>
    <row r="5" spans="2:18" ht="4.5" customHeight="1" x14ac:dyDescent="0.2">
      <c r="C5" s="34"/>
      <c r="D5" s="35"/>
      <c r="E5" s="35"/>
      <c r="F5" s="35"/>
      <c r="G5" s="35"/>
      <c r="H5" s="35"/>
      <c r="I5" s="35"/>
      <c r="J5" s="35"/>
      <c r="K5" s="35"/>
      <c r="L5" s="35"/>
      <c r="M5" s="35"/>
      <c r="N5" s="35"/>
      <c r="O5" s="35"/>
      <c r="P5" s="35"/>
      <c r="Q5" s="35"/>
    </row>
    <row r="6" spans="2:18" ht="37.5" customHeight="1" x14ac:dyDescent="0.2">
      <c r="C6" s="1411" t="s">
        <v>1100</v>
      </c>
      <c r="D6" s="1324"/>
      <c r="E6" s="1324"/>
      <c r="F6" s="1324"/>
      <c r="G6" s="1324"/>
      <c r="H6" s="1324"/>
      <c r="I6" s="1324"/>
      <c r="J6" s="1324"/>
      <c r="K6" s="1324"/>
      <c r="L6" s="1324"/>
      <c r="M6" s="1324"/>
      <c r="N6" s="1324"/>
      <c r="O6" s="1324"/>
      <c r="P6" s="35"/>
      <c r="Q6" s="35"/>
    </row>
    <row r="7" spans="2:18" ht="11.25" customHeight="1" x14ac:dyDescent="0.2">
      <c r="C7" s="34"/>
      <c r="D7" s="34"/>
      <c r="E7" s="34"/>
      <c r="F7" s="34"/>
      <c r="G7" s="34"/>
      <c r="H7" s="34"/>
      <c r="I7" s="34"/>
      <c r="J7" s="34"/>
      <c r="K7" s="34"/>
      <c r="L7" s="34"/>
      <c r="M7" s="34"/>
      <c r="N7" s="34"/>
      <c r="O7" s="34"/>
      <c r="P7" s="35"/>
      <c r="Q7" s="35"/>
    </row>
    <row r="8" spans="2:18" ht="17.25" customHeight="1" x14ac:dyDescent="0.2">
      <c r="C8" s="1324" t="s">
        <v>151</v>
      </c>
      <c r="D8" s="1412"/>
      <c r="E8" s="1412"/>
      <c r="F8" s="1412"/>
      <c r="G8" s="1412"/>
      <c r="H8" s="1412"/>
      <c r="I8" s="1412"/>
      <c r="J8" s="1412"/>
      <c r="K8" s="1412"/>
      <c r="L8" s="1412"/>
      <c r="M8" s="1412"/>
      <c r="N8" s="1412"/>
      <c r="O8" s="1412"/>
      <c r="P8" s="35"/>
      <c r="Q8" s="35"/>
    </row>
    <row r="9" spans="2:18" ht="4.5" customHeight="1" x14ac:dyDescent="0.2">
      <c r="C9" s="41"/>
      <c r="D9" s="35"/>
      <c r="E9" s="35"/>
      <c r="F9" s="35"/>
      <c r="G9" s="35"/>
      <c r="H9" s="35"/>
      <c r="I9" s="35"/>
      <c r="J9" s="35"/>
      <c r="K9" s="35"/>
      <c r="L9" s="35"/>
      <c r="M9" s="35"/>
      <c r="N9" s="35"/>
      <c r="O9" s="35"/>
      <c r="P9" s="35"/>
      <c r="Q9" s="35"/>
    </row>
    <row r="10" spans="2:18" ht="12" customHeight="1" x14ac:dyDescent="0.2">
      <c r="B10" s="4"/>
      <c r="C10" s="41" t="s">
        <v>514</v>
      </c>
      <c r="D10" s="1424" t="s">
        <v>1101</v>
      </c>
      <c r="E10" s="1337"/>
      <c r="F10" s="1337"/>
      <c r="G10" s="1337"/>
      <c r="H10" s="1337"/>
      <c r="I10" s="1337"/>
      <c r="J10" s="1337"/>
      <c r="K10" s="1337"/>
      <c r="L10" s="1337"/>
      <c r="M10" s="1337"/>
      <c r="N10" s="1337"/>
      <c r="O10" s="1337"/>
      <c r="P10" s="35"/>
      <c r="Q10" s="35"/>
    </row>
    <row r="11" spans="2:18" ht="12.75" customHeight="1" x14ac:dyDescent="0.2">
      <c r="B11" s="4"/>
      <c r="C11" s="41"/>
      <c r="D11" s="1337"/>
      <c r="E11" s="1337"/>
      <c r="F11" s="1337"/>
      <c r="G11" s="1337"/>
      <c r="H11" s="1337"/>
      <c r="I11" s="1337"/>
      <c r="J11" s="1337"/>
      <c r="K11" s="1337"/>
      <c r="L11" s="1337"/>
      <c r="M11" s="1337"/>
      <c r="N11" s="1337"/>
      <c r="O11" s="1337"/>
      <c r="P11" s="35"/>
      <c r="Q11" s="35"/>
    </row>
    <row r="12" spans="2:18" ht="4.5" customHeight="1" x14ac:dyDescent="0.2">
      <c r="C12" s="41"/>
      <c r="D12" s="35"/>
      <c r="E12" s="35"/>
      <c r="F12" s="35"/>
      <c r="G12" s="35"/>
      <c r="H12" s="35"/>
      <c r="I12" s="35"/>
      <c r="J12" s="35"/>
      <c r="K12" s="35"/>
      <c r="L12" s="35"/>
      <c r="M12" s="35"/>
      <c r="N12" s="35"/>
      <c r="O12" s="35"/>
      <c r="P12" s="35"/>
      <c r="Q12" s="35"/>
    </row>
    <row r="13" spans="2:18" ht="12.75" customHeight="1" x14ac:dyDescent="0.2">
      <c r="C13" s="41" t="s">
        <v>515</v>
      </c>
      <c r="D13" s="1424" t="s">
        <v>1102</v>
      </c>
      <c r="E13" s="1337"/>
      <c r="F13" s="1337"/>
      <c r="G13" s="1337"/>
      <c r="H13" s="1337"/>
      <c r="I13" s="1337"/>
      <c r="J13" s="1337"/>
      <c r="K13" s="1337"/>
      <c r="L13" s="1337"/>
      <c r="M13" s="1337"/>
      <c r="N13" s="1337"/>
      <c r="O13" s="1337"/>
      <c r="P13" s="35"/>
      <c r="Q13" s="35"/>
    </row>
    <row r="14" spans="2:18" ht="11.25" customHeight="1" x14ac:dyDescent="0.2">
      <c r="C14" s="41"/>
      <c r="D14" s="1337"/>
      <c r="E14" s="1337"/>
      <c r="F14" s="1337"/>
      <c r="G14" s="1337"/>
      <c r="H14" s="1337"/>
      <c r="I14" s="1337"/>
      <c r="J14" s="1337"/>
      <c r="K14" s="1337"/>
      <c r="L14" s="1337"/>
      <c r="M14" s="1337"/>
      <c r="N14" s="1337"/>
      <c r="O14" s="1337"/>
      <c r="P14" s="35"/>
      <c r="Q14" s="35"/>
    </row>
    <row r="15" spans="2:18" ht="4.5" customHeight="1" x14ac:dyDescent="0.2">
      <c r="C15" s="41"/>
      <c r="D15" s="34"/>
      <c r="E15" s="35"/>
      <c r="F15" s="35"/>
      <c r="G15" s="35"/>
      <c r="H15" s="35"/>
      <c r="I15" s="35"/>
      <c r="J15" s="35"/>
      <c r="K15" s="35"/>
      <c r="L15" s="35"/>
      <c r="M15" s="35"/>
      <c r="N15" s="35"/>
      <c r="O15" s="35"/>
      <c r="P15" s="35"/>
      <c r="Q15" s="35"/>
    </row>
    <row r="16" spans="2:18" ht="12.75" customHeight="1" x14ac:dyDescent="0.2">
      <c r="C16" s="41" t="s">
        <v>516</v>
      </c>
      <c r="D16" s="1324" t="s">
        <v>401</v>
      </c>
      <c r="E16" s="1324"/>
      <c r="F16" s="1324"/>
      <c r="G16" s="1324"/>
      <c r="H16" s="1324"/>
      <c r="I16" s="1324"/>
      <c r="J16" s="1324"/>
      <c r="K16" s="1324"/>
      <c r="L16" s="1324"/>
      <c r="M16" s="1324"/>
      <c r="N16" s="1324"/>
      <c r="O16" s="1324"/>
      <c r="P16" s="35"/>
      <c r="Q16" s="35"/>
    </row>
    <row r="17" spans="2:17" ht="11.25" customHeight="1" x14ac:dyDescent="0.2">
      <c r="C17" s="41"/>
      <c r="D17" s="1324"/>
      <c r="E17" s="1324"/>
      <c r="F17" s="1324"/>
      <c r="G17" s="1324"/>
      <c r="H17" s="1324"/>
      <c r="I17" s="1324"/>
      <c r="J17" s="1324"/>
      <c r="K17" s="1324"/>
      <c r="L17" s="1324"/>
      <c r="M17" s="1324"/>
      <c r="N17" s="1324"/>
      <c r="O17" s="1324"/>
      <c r="P17" s="35"/>
      <c r="Q17" s="35"/>
    </row>
    <row r="18" spans="2:17" ht="4.5" customHeight="1" x14ac:dyDescent="0.2">
      <c r="C18" s="41"/>
      <c r="D18" s="34"/>
      <c r="E18" s="35"/>
      <c r="F18" s="35"/>
      <c r="G18" s="35"/>
      <c r="H18" s="35"/>
      <c r="I18" s="35"/>
      <c r="J18" s="35"/>
      <c r="K18" s="35"/>
      <c r="L18" s="35"/>
      <c r="M18" s="35"/>
      <c r="N18" s="35"/>
      <c r="O18" s="35"/>
      <c r="P18" s="35"/>
      <c r="Q18" s="35"/>
    </row>
    <row r="19" spans="2:17" ht="12.75" customHeight="1" x14ac:dyDescent="0.2">
      <c r="C19" s="41" t="s">
        <v>542</v>
      </c>
      <c r="D19" s="1324" t="s">
        <v>252</v>
      </c>
      <c r="E19" s="1324"/>
      <c r="F19" s="1324"/>
      <c r="G19" s="1324"/>
      <c r="H19" s="1324"/>
      <c r="I19" s="1324"/>
      <c r="J19" s="1324"/>
      <c r="K19" s="1324"/>
      <c r="L19" s="1324"/>
      <c r="M19" s="1324"/>
      <c r="N19" s="1324"/>
      <c r="O19" s="1324"/>
      <c r="P19" s="35"/>
      <c r="Q19" s="35"/>
    </row>
    <row r="20" spans="2:17" ht="12" customHeight="1" x14ac:dyDescent="0.2">
      <c r="C20" s="34"/>
      <c r="D20" s="1324"/>
      <c r="E20" s="1324"/>
      <c r="F20" s="1324"/>
      <c r="G20" s="1324"/>
      <c r="H20" s="1324"/>
      <c r="I20" s="1324"/>
      <c r="J20" s="1324"/>
      <c r="K20" s="1324"/>
      <c r="L20" s="1324"/>
      <c r="M20" s="1324"/>
      <c r="N20" s="1324"/>
      <c r="O20" s="1324"/>
      <c r="P20" s="35"/>
      <c r="Q20" s="35"/>
    </row>
    <row r="21" spans="2:17" ht="12" customHeight="1" x14ac:dyDescent="0.2">
      <c r="C21" s="34"/>
      <c r="D21" s="34"/>
      <c r="E21" s="35"/>
      <c r="F21" s="35"/>
      <c r="G21" s="35"/>
      <c r="H21" s="35"/>
      <c r="I21" s="35"/>
      <c r="J21" s="35"/>
      <c r="K21" s="35"/>
      <c r="L21" s="35"/>
      <c r="M21" s="35"/>
      <c r="N21" s="35"/>
      <c r="O21" s="35"/>
      <c r="P21" s="35"/>
      <c r="Q21" s="35"/>
    </row>
    <row r="22" spans="2:17" ht="25.5" customHeight="1" x14ac:dyDescent="0.2">
      <c r="B22" s="4" t="s">
        <v>540</v>
      </c>
      <c r="C22" s="1413" t="s">
        <v>1103</v>
      </c>
      <c r="D22" s="1414"/>
      <c r="E22" s="1414"/>
      <c r="F22" s="1414"/>
      <c r="G22" s="1414"/>
      <c r="H22" s="1414"/>
      <c r="I22" s="1414"/>
      <c r="J22" s="1414"/>
      <c r="K22" s="1414"/>
      <c r="L22" s="1414"/>
      <c r="M22" s="1414"/>
      <c r="N22" s="1414"/>
      <c r="O22" s="1415"/>
      <c r="P22" s="35"/>
      <c r="Q22" s="35"/>
    </row>
    <row r="24" spans="2:17" ht="12" customHeight="1" x14ac:dyDescent="0.2">
      <c r="M24" s="3" t="s">
        <v>507</v>
      </c>
    </row>
    <row r="26" spans="2:17" ht="12.75" customHeight="1" x14ac:dyDescent="0.2">
      <c r="C26" s="39" t="s">
        <v>514</v>
      </c>
      <c r="D26" s="1424" t="s">
        <v>1104</v>
      </c>
      <c r="E26" s="1337"/>
      <c r="F26" s="1337"/>
      <c r="G26" s="1337"/>
      <c r="H26" s="1337"/>
      <c r="I26" s="1337"/>
      <c r="J26" s="1337"/>
      <c r="K26" s="1337"/>
      <c r="M26" s="1425"/>
    </row>
    <row r="27" spans="2:17" ht="14.25" customHeight="1" x14ac:dyDescent="0.2">
      <c r="C27" s="39"/>
      <c r="D27" s="1337"/>
      <c r="E27" s="1337"/>
      <c r="F27" s="1337"/>
      <c r="G27" s="1337"/>
      <c r="H27" s="1337"/>
      <c r="I27" s="1337"/>
      <c r="J27" s="1337"/>
      <c r="K27" s="1337"/>
      <c r="M27" s="1425"/>
    </row>
    <row r="28" spans="2:17" ht="6" customHeight="1" x14ac:dyDescent="0.2">
      <c r="M28" s="347"/>
    </row>
    <row r="29" spans="2:17" ht="12.75" customHeight="1" x14ac:dyDescent="0.2">
      <c r="C29" s="39" t="s">
        <v>515</v>
      </c>
      <c r="D29" s="1424" t="s">
        <v>1105</v>
      </c>
      <c r="E29" s="1337"/>
      <c r="F29" s="1337"/>
      <c r="G29" s="1337"/>
      <c r="H29" s="1337"/>
      <c r="I29" s="1337"/>
      <c r="J29" s="1337"/>
      <c r="K29" s="1337"/>
      <c r="M29" s="1426"/>
    </row>
    <row r="30" spans="2:17" x14ac:dyDescent="0.2">
      <c r="D30" s="1337"/>
      <c r="E30" s="1337"/>
      <c r="F30" s="1337"/>
      <c r="G30" s="1337"/>
      <c r="H30" s="1337"/>
      <c r="I30" s="1337"/>
      <c r="J30" s="1337"/>
      <c r="K30" s="1337"/>
      <c r="M30" s="1426"/>
    </row>
    <row r="31" spans="2:17" x14ac:dyDescent="0.2">
      <c r="I31" s="56"/>
    </row>
    <row r="32" spans="2:17" x14ac:dyDescent="0.2">
      <c r="I32" s="1"/>
    </row>
    <row r="33" spans="2:15" ht="25.5" customHeight="1" x14ac:dyDescent="0.2">
      <c r="B33" s="4" t="s">
        <v>541</v>
      </c>
      <c r="C33" s="1419" t="s">
        <v>744</v>
      </c>
      <c r="D33" s="1422"/>
      <c r="E33" s="1422"/>
      <c r="F33" s="1422"/>
      <c r="G33" s="1422"/>
      <c r="H33" s="1422"/>
      <c r="I33" s="1422"/>
      <c r="J33" s="1422"/>
      <c r="K33" s="1422"/>
      <c r="L33" s="1422"/>
      <c r="M33" s="1422"/>
      <c r="N33" s="1422"/>
      <c r="O33" s="1423"/>
    </row>
    <row r="34" spans="2:15" x14ac:dyDescent="0.2">
      <c r="I34" s="1"/>
    </row>
    <row r="35" spans="2:15" x14ac:dyDescent="0.2">
      <c r="M35" s="3" t="s">
        <v>507</v>
      </c>
    </row>
    <row r="37" spans="2:15" ht="12.75" customHeight="1" x14ac:dyDescent="0.2">
      <c r="C37" s="39" t="s">
        <v>514</v>
      </c>
      <c r="D37" s="1424" t="s">
        <v>1106</v>
      </c>
      <c r="E37" s="1337"/>
      <c r="F37" s="1337"/>
      <c r="G37" s="1337"/>
      <c r="H37" s="1337"/>
      <c r="I37" s="1337"/>
      <c r="J37" s="1337"/>
      <c r="K37" s="1337"/>
      <c r="M37" s="1425"/>
    </row>
    <row r="38" spans="2:15" ht="12" customHeight="1" x14ac:dyDescent="0.2">
      <c r="C38" s="39"/>
      <c r="D38" s="1337"/>
      <c r="E38" s="1337"/>
      <c r="F38" s="1337"/>
      <c r="G38" s="1337"/>
      <c r="H38" s="1337"/>
      <c r="I38" s="1337"/>
      <c r="J38" s="1337"/>
      <c r="K38" s="1337"/>
      <c r="M38" s="1425"/>
    </row>
    <row r="39" spans="2:15" ht="6" customHeight="1" x14ac:dyDescent="0.2">
      <c r="M39" s="347"/>
    </row>
    <row r="40" spans="2:15" ht="11.25" customHeight="1" x14ac:dyDescent="0.2">
      <c r="C40" s="39" t="s">
        <v>515</v>
      </c>
      <c r="D40" s="1424" t="s">
        <v>1107</v>
      </c>
      <c r="E40" s="1337"/>
      <c r="F40" s="1337"/>
      <c r="G40" s="1337"/>
      <c r="H40" s="1337"/>
      <c r="I40" s="1337"/>
      <c r="J40" s="1337"/>
      <c r="K40" s="1337"/>
      <c r="M40" s="1426"/>
    </row>
    <row r="41" spans="2:15" x14ac:dyDescent="0.2">
      <c r="D41" s="1337"/>
      <c r="E41" s="1337"/>
      <c r="F41" s="1337"/>
      <c r="G41" s="1337"/>
      <c r="H41" s="1337"/>
      <c r="I41" s="1337"/>
      <c r="J41" s="1337"/>
      <c r="K41" s="1337"/>
      <c r="M41" s="1426"/>
    </row>
    <row r="42" spans="2:15" x14ac:dyDescent="0.2">
      <c r="I42" s="56"/>
    </row>
    <row r="43" spans="2:15" x14ac:dyDescent="0.2">
      <c r="I43" s="56"/>
    </row>
    <row r="44" spans="2:15" ht="25.5" customHeight="1" x14ac:dyDescent="0.2">
      <c r="B44" s="4" t="s">
        <v>804</v>
      </c>
      <c r="C44" s="1416" t="s">
        <v>555</v>
      </c>
      <c r="D44" s="1417"/>
      <c r="E44" s="1417"/>
      <c r="F44" s="1417"/>
      <c r="G44" s="1417"/>
      <c r="H44" s="1417"/>
      <c r="I44" s="1417"/>
      <c r="J44" s="1417"/>
      <c r="K44" s="1417"/>
      <c r="L44" s="1417"/>
      <c r="M44" s="1417"/>
      <c r="N44" s="1417"/>
      <c r="O44" s="1418"/>
    </row>
    <row r="45" spans="2:15" x14ac:dyDescent="0.2">
      <c r="I45" s="56"/>
    </row>
    <row r="46" spans="2:15" x14ac:dyDescent="0.2">
      <c r="M46" s="3" t="s">
        <v>507</v>
      </c>
    </row>
    <row r="48" spans="2:15" ht="12.75" customHeight="1" x14ac:dyDescent="0.2">
      <c r="C48" s="39" t="s">
        <v>514</v>
      </c>
      <c r="D48" s="1424" t="s">
        <v>1108</v>
      </c>
      <c r="E48" s="1337"/>
      <c r="F48" s="1337"/>
      <c r="G48" s="1337"/>
      <c r="H48" s="1337"/>
      <c r="I48" s="1337"/>
      <c r="J48" s="1337"/>
      <c r="K48" s="1337"/>
      <c r="M48" s="1425"/>
    </row>
    <row r="49" spans="2:15" ht="13.5" customHeight="1" x14ac:dyDescent="0.2">
      <c r="C49" s="39"/>
      <c r="D49" s="1337"/>
      <c r="E49" s="1337"/>
      <c r="F49" s="1337"/>
      <c r="G49" s="1337"/>
      <c r="H49" s="1337"/>
      <c r="I49" s="1337"/>
      <c r="J49" s="1337"/>
      <c r="K49" s="1337"/>
      <c r="M49" s="1425"/>
    </row>
    <row r="50" spans="2:15" ht="6" customHeight="1" x14ac:dyDescent="0.2">
      <c r="M50" s="347"/>
    </row>
    <row r="51" spans="2:15" ht="12.75" customHeight="1" x14ac:dyDescent="0.2">
      <c r="C51" s="39" t="s">
        <v>515</v>
      </c>
      <c r="D51" s="1424" t="s">
        <v>1109</v>
      </c>
      <c r="E51" s="1337"/>
      <c r="F51" s="1337"/>
      <c r="G51" s="1337"/>
      <c r="H51" s="1337"/>
      <c r="I51" s="1337"/>
      <c r="J51" s="1337"/>
      <c r="K51" s="1337"/>
      <c r="M51" s="1426"/>
    </row>
    <row r="52" spans="2:15" x14ac:dyDescent="0.2">
      <c r="D52" s="1337"/>
      <c r="E52" s="1337"/>
      <c r="F52" s="1337"/>
      <c r="G52" s="1337"/>
      <c r="H52" s="1337"/>
      <c r="I52" s="1337"/>
      <c r="J52" s="1337"/>
      <c r="K52" s="1337"/>
      <c r="M52" s="1426"/>
    </row>
    <row r="53" spans="2:15" x14ac:dyDescent="0.2">
      <c r="I53" s="56"/>
    </row>
    <row r="54" spans="2:15" x14ac:dyDescent="0.2">
      <c r="I54" s="56"/>
    </row>
    <row r="55" spans="2:15" ht="25.5" customHeight="1" x14ac:dyDescent="0.2">
      <c r="B55" s="4" t="s">
        <v>810</v>
      </c>
      <c r="C55" s="1416" t="s">
        <v>1112</v>
      </c>
      <c r="D55" s="1417"/>
      <c r="E55" s="1417"/>
      <c r="F55" s="1417"/>
      <c r="G55" s="1417"/>
      <c r="H55" s="1417"/>
      <c r="I55" s="1417"/>
      <c r="J55" s="1417"/>
      <c r="K55" s="1417"/>
      <c r="L55" s="1417"/>
      <c r="M55" s="1417"/>
      <c r="N55" s="1417"/>
      <c r="O55" s="1418"/>
    </row>
    <row r="56" spans="2:15" x14ac:dyDescent="0.2">
      <c r="I56" s="56"/>
    </row>
    <row r="57" spans="2:15" x14ac:dyDescent="0.2">
      <c r="M57" s="3" t="s">
        <v>507</v>
      </c>
    </row>
    <row r="59" spans="2:15" ht="12.75" customHeight="1" x14ac:dyDescent="0.2">
      <c r="C59" s="39" t="s">
        <v>514</v>
      </c>
      <c r="D59" s="1424" t="s">
        <v>1113</v>
      </c>
      <c r="E59" s="1337"/>
      <c r="F59" s="1337"/>
      <c r="G59" s="1337"/>
      <c r="H59" s="1337"/>
      <c r="I59" s="1337"/>
      <c r="J59" s="1337"/>
      <c r="K59" s="1337"/>
      <c r="M59" s="1425"/>
    </row>
    <row r="60" spans="2:15" ht="13.5" customHeight="1" x14ac:dyDescent="0.2">
      <c r="C60" s="39"/>
      <c r="D60" s="1337"/>
      <c r="E60" s="1337"/>
      <c r="F60" s="1337"/>
      <c r="G60" s="1337"/>
      <c r="H60" s="1337"/>
      <c r="I60" s="1337"/>
      <c r="J60" s="1337"/>
      <c r="K60" s="1337"/>
      <c r="M60" s="1425"/>
    </row>
    <row r="61" spans="2:15" ht="6" customHeight="1" x14ac:dyDescent="0.2">
      <c r="M61" s="347"/>
    </row>
    <row r="62" spans="2:15" ht="13.5" customHeight="1" x14ac:dyDescent="0.2">
      <c r="C62" s="39" t="s">
        <v>515</v>
      </c>
      <c r="D62" s="1424" t="s">
        <v>1114</v>
      </c>
      <c r="E62" s="1337"/>
      <c r="F62" s="1337"/>
      <c r="G62" s="1337"/>
      <c r="H62" s="1337"/>
      <c r="I62" s="1337"/>
      <c r="J62" s="1337"/>
      <c r="K62" s="1337"/>
      <c r="M62" s="1426"/>
    </row>
    <row r="63" spans="2:15" x14ac:dyDescent="0.2">
      <c r="D63" s="1337"/>
      <c r="E63" s="1337"/>
      <c r="F63" s="1337"/>
      <c r="G63" s="1337"/>
      <c r="H63" s="1337"/>
      <c r="I63" s="1337"/>
      <c r="J63" s="1337"/>
      <c r="K63" s="1337"/>
      <c r="M63" s="1426"/>
    </row>
    <row r="64" spans="2:15" x14ac:dyDescent="0.2">
      <c r="I64" s="56"/>
    </row>
    <row r="65" spans="2:15" x14ac:dyDescent="0.2">
      <c r="I65" s="56"/>
    </row>
    <row r="66" spans="2:15" ht="25.5" customHeight="1" x14ac:dyDescent="0.2">
      <c r="B66" s="4" t="s">
        <v>826</v>
      </c>
      <c r="C66" s="1416" t="s">
        <v>556</v>
      </c>
      <c r="D66" s="1417"/>
      <c r="E66" s="1417"/>
      <c r="F66" s="1417"/>
      <c r="G66" s="1417"/>
      <c r="H66" s="1417"/>
      <c r="I66" s="1417"/>
      <c r="J66" s="1417"/>
      <c r="K66" s="1417"/>
      <c r="L66" s="1417"/>
      <c r="M66" s="1417"/>
      <c r="N66" s="1417"/>
      <c r="O66" s="1418"/>
    </row>
    <row r="67" spans="2:15" x14ac:dyDescent="0.2">
      <c r="I67" s="56"/>
    </row>
    <row r="68" spans="2:15" x14ac:dyDescent="0.2">
      <c r="M68" s="3" t="s">
        <v>507</v>
      </c>
    </row>
    <row r="70" spans="2:15" x14ac:dyDescent="0.2">
      <c r="C70" s="39" t="s">
        <v>514</v>
      </c>
      <c r="D70" s="1424" t="s">
        <v>1110</v>
      </c>
      <c r="E70" s="1337"/>
      <c r="F70" s="1337"/>
      <c r="G70" s="1337"/>
      <c r="H70" s="1337"/>
      <c r="I70" s="1337"/>
      <c r="J70" s="1337"/>
      <c r="K70" s="1337"/>
      <c r="M70" s="1425"/>
    </row>
    <row r="71" spans="2:15" x14ac:dyDescent="0.2">
      <c r="C71" s="39"/>
      <c r="D71" s="1337"/>
      <c r="E71" s="1337"/>
      <c r="F71" s="1337"/>
      <c r="G71" s="1337"/>
      <c r="H71" s="1337"/>
      <c r="I71" s="1337"/>
      <c r="J71" s="1337"/>
      <c r="K71" s="1337"/>
      <c r="M71" s="1425"/>
    </row>
    <row r="72" spans="2:15" x14ac:dyDescent="0.2">
      <c r="D72" s="13"/>
      <c r="E72" s="13"/>
      <c r="F72" s="13"/>
      <c r="G72" s="13"/>
      <c r="H72" s="13"/>
      <c r="I72" s="13"/>
      <c r="J72" s="13"/>
      <c r="K72" s="13"/>
      <c r="M72" s="347"/>
    </row>
    <row r="73" spans="2:15" x14ac:dyDescent="0.2">
      <c r="C73" s="39" t="s">
        <v>515</v>
      </c>
      <c r="D73" s="1424" t="s">
        <v>1111</v>
      </c>
      <c r="E73" s="1337"/>
      <c r="F73" s="1337"/>
      <c r="G73" s="1337"/>
      <c r="H73" s="1337"/>
      <c r="I73" s="1337"/>
      <c r="J73" s="1337"/>
      <c r="K73" s="1337"/>
      <c r="M73" s="1426"/>
    </row>
    <row r="74" spans="2:15" x14ac:dyDescent="0.2">
      <c r="D74" s="1337"/>
      <c r="E74" s="1337"/>
      <c r="F74" s="1337"/>
      <c r="G74" s="1337"/>
      <c r="H74" s="1337"/>
      <c r="I74" s="1337"/>
      <c r="J74" s="1337"/>
      <c r="K74" s="1337"/>
      <c r="M74" s="1426"/>
    </row>
    <row r="75" spans="2:15" x14ac:dyDescent="0.2">
      <c r="I75" s="56"/>
    </row>
    <row r="76" spans="2:15" ht="36.75" customHeight="1" x14ac:dyDescent="0.2">
      <c r="B76" s="4" t="s">
        <v>718</v>
      </c>
      <c r="C76" s="1419" t="s">
        <v>240</v>
      </c>
      <c r="D76" s="1417"/>
      <c r="E76" s="1417"/>
      <c r="F76" s="1417"/>
      <c r="G76" s="1417"/>
      <c r="H76" s="1417"/>
      <c r="I76" s="1417"/>
      <c r="J76" s="1417"/>
      <c r="K76" s="1417"/>
      <c r="L76" s="1417"/>
      <c r="M76" s="1417"/>
      <c r="N76" s="1417"/>
      <c r="O76" s="1418"/>
    </row>
    <row r="77" spans="2:15" ht="6.75" customHeight="1" x14ac:dyDescent="0.2">
      <c r="I77" s="56"/>
    </row>
    <row r="78" spans="2:15" x14ac:dyDescent="0.2">
      <c r="M78" s="3" t="s">
        <v>507</v>
      </c>
    </row>
    <row r="79" spans="2:15" ht="12.75" customHeight="1" x14ac:dyDescent="0.2">
      <c r="C79" s="39" t="s">
        <v>514</v>
      </c>
      <c r="D79" s="1424" t="s">
        <v>1094</v>
      </c>
      <c r="E79" s="1337"/>
      <c r="F79" s="1337"/>
      <c r="G79" s="1337"/>
      <c r="H79" s="1337"/>
      <c r="I79" s="1337"/>
      <c r="J79" s="1337"/>
      <c r="K79" s="1337"/>
      <c r="M79" s="1427">
        <v>33023</v>
      </c>
    </row>
    <row r="80" spans="2:15" ht="12" customHeight="1" x14ac:dyDescent="0.2">
      <c r="C80" s="39"/>
      <c r="D80" s="1337"/>
      <c r="E80" s="1337"/>
      <c r="F80" s="1337"/>
      <c r="G80" s="1337"/>
      <c r="H80" s="1337"/>
      <c r="I80" s="1337"/>
      <c r="J80" s="1337"/>
      <c r="K80" s="1337"/>
      <c r="M80" s="1425"/>
    </row>
    <row r="81" spans="3:14" ht="6" customHeight="1" x14ac:dyDescent="0.2">
      <c r="M81" s="347"/>
    </row>
    <row r="82" spans="3:14" ht="14.25" customHeight="1" x14ac:dyDescent="0.2">
      <c r="C82" s="39" t="s">
        <v>515</v>
      </c>
      <c r="D82" s="1324" t="s">
        <v>227</v>
      </c>
      <c r="E82" s="1324"/>
      <c r="F82" s="1324"/>
      <c r="G82" s="1324"/>
      <c r="H82" s="1324"/>
      <c r="I82" s="1324"/>
      <c r="J82" s="1324"/>
      <c r="K82" s="1324"/>
      <c r="M82" s="348">
        <v>0</v>
      </c>
      <c r="N82" s="90" t="s">
        <v>336</v>
      </c>
    </row>
    <row r="83" spans="3:14" ht="6.75" customHeight="1" x14ac:dyDescent="0.2">
      <c r="C83" s="39"/>
      <c r="D83" s="34"/>
      <c r="E83" s="34"/>
      <c r="F83" s="34"/>
      <c r="G83" s="34"/>
      <c r="H83" s="34"/>
      <c r="I83" s="34"/>
      <c r="J83" s="34"/>
      <c r="K83" s="34"/>
      <c r="M83" s="93"/>
      <c r="N83" s="90"/>
    </row>
    <row r="84" spans="3:14" ht="13.5" customHeight="1" x14ac:dyDescent="0.2">
      <c r="C84" s="39" t="s">
        <v>516</v>
      </c>
      <c r="D84" s="1324" t="s">
        <v>993</v>
      </c>
      <c r="E84" s="1324"/>
      <c r="F84" s="1324"/>
      <c r="G84" s="1324"/>
      <c r="H84" s="1324"/>
      <c r="I84" s="1324"/>
      <c r="J84" s="1324"/>
      <c r="K84" s="1324"/>
      <c r="M84" s="93"/>
      <c r="N84" s="90"/>
    </row>
    <row r="85" spans="3:14" ht="11.25" customHeight="1" x14ac:dyDescent="0.2">
      <c r="C85" s="39"/>
      <c r="D85" s="1324"/>
      <c r="E85" s="1324"/>
      <c r="F85" s="1324"/>
      <c r="G85" s="1324"/>
      <c r="H85" s="1324"/>
      <c r="I85" s="1324"/>
      <c r="J85" s="1324"/>
      <c r="K85" s="1324"/>
      <c r="M85" s="93"/>
      <c r="N85" s="90"/>
    </row>
    <row r="86" spans="3:14" ht="12.75" customHeight="1" x14ac:dyDescent="0.2">
      <c r="C86" s="39"/>
      <c r="D86" s="34"/>
      <c r="E86" s="34"/>
      <c r="F86" s="34"/>
      <c r="G86" s="34"/>
      <c r="H86" s="34"/>
      <c r="I86" s="34"/>
      <c r="J86" s="34"/>
      <c r="K86" s="89" t="s">
        <v>507</v>
      </c>
      <c r="M86" s="93"/>
      <c r="N86" s="90"/>
    </row>
    <row r="87" spans="3:14" ht="12.75" customHeight="1" x14ac:dyDescent="0.2">
      <c r="C87" s="39"/>
      <c r="D87" s="34"/>
      <c r="E87" s="34"/>
      <c r="F87" t="s">
        <v>189</v>
      </c>
      <c r="K87" s="343"/>
      <c r="M87" s="246"/>
      <c r="N87" s="90"/>
    </row>
    <row r="88" spans="3:14" ht="12.75" customHeight="1" x14ac:dyDescent="0.2">
      <c r="C88" s="39"/>
      <c r="D88" s="34"/>
      <c r="E88" s="34"/>
      <c r="F88" t="s">
        <v>214</v>
      </c>
      <c r="K88" s="343"/>
      <c r="M88" s="246"/>
      <c r="N88" s="90"/>
    </row>
    <row r="89" spans="3:14" ht="12.75" customHeight="1" x14ac:dyDescent="0.2">
      <c r="C89" s="39"/>
      <c r="D89" s="34"/>
      <c r="E89" s="34"/>
      <c r="F89" t="s">
        <v>819</v>
      </c>
      <c r="K89" s="343"/>
      <c r="M89" s="93"/>
      <c r="N89" s="90"/>
    </row>
    <row r="90" spans="3:14" ht="12.75" customHeight="1" x14ac:dyDescent="0.2">
      <c r="C90" s="39"/>
      <c r="D90" s="34"/>
      <c r="E90" s="34"/>
      <c r="F90" t="s">
        <v>808</v>
      </c>
      <c r="K90" s="343"/>
      <c r="M90" s="93"/>
      <c r="N90" s="90"/>
    </row>
    <row r="91" spans="3:14" ht="12.75" customHeight="1" x14ac:dyDescent="0.2">
      <c r="C91" s="39"/>
      <c r="D91" s="34"/>
      <c r="E91" s="34"/>
      <c r="F91" t="s">
        <v>172</v>
      </c>
      <c r="K91" s="343"/>
      <c r="M91" s="93"/>
      <c r="N91" s="90"/>
    </row>
    <row r="92" spans="3:14" ht="12.75" customHeight="1" x14ac:dyDescent="0.2">
      <c r="C92" s="39"/>
      <c r="D92" s="34"/>
      <c r="E92" s="34"/>
      <c r="F92" s="353" t="s">
        <v>729</v>
      </c>
      <c r="K92" s="343"/>
      <c r="M92" s="1428" t="str">
        <f>IF(K93=M82," ","Recheck numbers. Entry is out of balance.")</f>
        <v xml:space="preserve"> </v>
      </c>
      <c r="N92" s="90"/>
    </row>
    <row r="93" spans="3:14" ht="21.75" customHeight="1" thickBot="1" x14ac:dyDescent="0.25">
      <c r="C93" s="39"/>
      <c r="D93" s="34"/>
      <c r="E93" s="34"/>
      <c r="J93" s="90" t="s">
        <v>336</v>
      </c>
      <c r="K93" s="75">
        <f>SUM(K87:K92)</f>
        <v>0</v>
      </c>
      <c r="M93" s="1428"/>
      <c r="N93" s="90"/>
    </row>
    <row r="94" spans="3:14" ht="12.75" customHeight="1" thickTop="1" x14ac:dyDescent="0.2">
      <c r="C94" s="39"/>
      <c r="D94" s="34"/>
      <c r="E94" s="34"/>
      <c r="F94" s="34"/>
      <c r="G94" s="34"/>
      <c r="H94" s="34"/>
      <c r="I94" s="34"/>
      <c r="J94" s="34"/>
      <c r="K94" s="34"/>
      <c r="M94" s="93"/>
      <c r="N94" s="90"/>
    </row>
    <row r="95" spans="3:14" ht="13.5" customHeight="1" x14ac:dyDescent="0.2">
      <c r="C95" s="39" t="s">
        <v>542</v>
      </c>
      <c r="D95" s="1337" t="s">
        <v>1058</v>
      </c>
      <c r="E95" s="1337"/>
      <c r="F95" s="1337"/>
      <c r="G95" s="1337"/>
      <c r="H95" s="1337"/>
      <c r="I95" s="1337"/>
      <c r="J95" s="1337"/>
      <c r="K95" s="1337"/>
      <c r="M95" s="1426">
        <v>28833</v>
      </c>
    </row>
    <row r="96" spans="3:14" ht="12" customHeight="1" x14ac:dyDescent="0.2">
      <c r="C96" s="39"/>
      <c r="D96" s="1337"/>
      <c r="E96" s="1337"/>
      <c r="F96" s="1337"/>
      <c r="G96" s="1337"/>
      <c r="H96" s="1337"/>
      <c r="I96" s="1337"/>
      <c r="J96" s="1337"/>
      <c r="K96" s="1337"/>
      <c r="M96" s="1426"/>
    </row>
    <row r="97" spans="3:15" ht="5.25" customHeight="1" x14ac:dyDescent="0.2">
      <c r="C97" s="39"/>
      <c r="D97" s="34"/>
      <c r="E97" s="34"/>
      <c r="F97" s="34"/>
      <c r="G97" s="34"/>
      <c r="H97" s="34"/>
      <c r="I97" s="34"/>
      <c r="J97" s="34"/>
      <c r="K97" s="34"/>
      <c r="M97" s="30"/>
      <c r="N97" s="90"/>
    </row>
    <row r="98" spans="3:15" ht="15.75" customHeight="1" thickBot="1" x14ac:dyDescent="0.25">
      <c r="C98" s="39"/>
      <c r="D98" s="34"/>
      <c r="E98" s="34"/>
      <c r="F98" s="34"/>
      <c r="H98" s="34"/>
      <c r="I98" s="35" t="s">
        <v>926</v>
      </c>
      <c r="J98" s="34"/>
      <c r="K98" s="34"/>
      <c r="M98" s="92">
        <f>M79+M82-M95</f>
        <v>4190</v>
      </c>
      <c r="N98" s="90" t="s">
        <v>337</v>
      </c>
    </row>
    <row r="99" spans="3:15" ht="12.75" customHeight="1" thickTop="1" x14ac:dyDescent="0.2">
      <c r="C99" s="39"/>
      <c r="D99" s="34"/>
      <c r="E99" s="34"/>
      <c r="F99" s="34"/>
      <c r="G99" s="34"/>
      <c r="H99" s="34"/>
      <c r="I99" s="34"/>
      <c r="J99" s="34"/>
      <c r="K99" s="34"/>
      <c r="M99" s="93"/>
      <c r="N99" s="90"/>
    </row>
    <row r="100" spans="3:15" ht="12.75" customHeight="1" x14ac:dyDescent="0.2">
      <c r="C100" s="39" t="s">
        <v>543</v>
      </c>
      <c r="D100" s="1324" t="s">
        <v>1008</v>
      </c>
      <c r="E100" s="1324"/>
      <c r="F100" s="1324"/>
      <c r="G100" s="1324"/>
      <c r="H100" s="1324"/>
      <c r="I100" s="1324"/>
      <c r="J100" s="1324"/>
      <c r="K100" s="1324"/>
    </row>
    <row r="101" spans="3:15" ht="24.75" customHeight="1" x14ac:dyDescent="0.2">
      <c r="C101" s="39"/>
      <c r="D101" s="1324"/>
      <c r="E101" s="1324"/>
      <c r="F101" s="1324"/>
      <c r="G101" s="1324"/>
      <c r="H101" s="1324"/>
      <c r="I101" s="1324"/>
      <c r="J101" s="1324"/>
      <c r="K101" s="1324"/>
    </row>
    <row r="102" spans="3:15" x14ac:dyDescent="0.2">
      <c r="C102" s="39"/>
      <c r="D102" s="34"/>
      <c r="E102" s="34"/>
      <c r="F102" s="34"/>
      <c r="G102" s="34"/>
      <c r="H102" s="34"/>
      <c r="I102" s="34"/>
      <c r="J102" s="34"/>
      <c r="K102" s="89" t="s">
        <v>507</v>
      </c>
    </row>
    <row r="103" spans="3:15" x14ac:dyDescent="0.2">
      <c r="C103" s="39"/>
      <c r="F103" t="s">
        <v>189</v>
      </c>
      <c r="K103" s="343"/>
    </row>
    <row r="104" spans="3:15" x14ac:dyDescent="0.2">
      <c r="C104" s="39"/>
      <c r="F104" t="s">
        <v>214</v>
      </c>
      <c r="K104" s="343"/>
    </row>
    <row r="105" spans="3:15" x14ac:dyDescent="0.2">
      <c r="C105" s="39"/>
      <c r="F105" t="s">
        <v>819</v>
      </c>
      <c r="K105" s="343">
        <v>4190</v>
      </c>
    </row>
    <row r="106" spans="3:15" x14ac:dyDescent="0.2">
      <c r="C106" s="39"/>
      <c r="F106" t="s">
        <v>808</v>
      </c>
      <c r="K106" s="343"/>
    </row>
    <row r="107" spans="3:15" ht="12.75" customHeight="1" x14ac:dyDescent="0.2">
      <c r="C107" s="39"/>
      <c r="F107" t="s">
        <v>172</v>
      </c>
      <c r="K107" s="343"/>
      <c r="M107" s="1420" t="str">
        <f>IF(K109=M98," ","Recheck numbers in steps 1-4. Entry is out of balance")</f>
        <v xml:space="preserve"> </v>
      </c>
    </row>
    <row r="108" spans="3:15" ht="12.75" customHeight="1" x14ac:dyDescent="0.2">
      <c r="C108" s="39"/>
      <c r="F108" s="353" t="s">
        <v>729</v>
      </c>
      <c r="K108" s="343"/>
      <c r="M108" s="1420"/>
    </row>
    <row r="109" spans="3:15" ht="18" customHeight="1" thickBot="1" x14ac:dyDescent="0.4">
      <c r="C109" s="39"/>
      <c r="J109" s="90" t="s">
        <v>337</v>
      </c>
      <c r="K109" s="75">
        <f>SUM(K103:K108)</f>
        <v>4190</v>
      </c>
      <c r="M109" s="1420"/>
      <c r="N109" s="122"/>
      <c r="O109" s="122"/>
    </row>
    <row r="110" spans="3:15" ht="6.75" customHeight="1" thickTop="1" x14ac:dyDescent="0.35">
      <c r="C110" s="39"/>
      <c r="J110" s="90"/>
      <c r="K110" s="47"/>
      <c r="M110" s="146"/>
      <c r="N110" s="122"/>
      <c r="O110" s="122"/>
    </row>
    <row r="111" spans="3:15" x14ac:dyDescent="0.2">
      <c r="D111" s="223" t="s">
        <v>591</v>
      </c>
      <c r="I111" s="11"/>
    </row>
    <row r="112" spans="3:15" x14ac:dyDescent="0.2">
      <c r="I112" s="11"/>
    </row>
    <row r="113" spans="2:15" ht="36.75" customHeight="1" x14ac:dyDescent="0.2">
      <c r="B113" s="4" t="s">
        <v>719</v>
      </c>
      <c r="C113" s="1419" t="s">
        <v>557</v>
      </c>
      <c r="D113" s="1417"/>
      <c r="E113" s="1417"/>
      <c r="F113" s="1417"/>
      <c r="G113" s="1417"/>
      <c r="H113" s="1417"/>
      <c r="I113" s="1417"/>
      <c r="J113" s="1417"/>
      <c r="K113" s="1417"/>
      <c r="L113" s="1417"/>
      <c r="M113" s="1417"/>
      <c r="N113" s="1417"/>
      <c r="O113" s="1418"/>
    </row>
    <row r="114" spans="2:15" ht="3" customHeight="1" x14ac:dyDescent="0.2">
      <c r="B114" s="4"/>
      <c r="C114" s="273"/>
      <c r="D114" s="44"/>
      <c r="E114" s="44"/>
      <c r="F114" s="44"/>
      <c r="G114" s="44"/>
      <c r="H114" s="44"/>
      <c r="I114" s="44"/>
      <c r="J114" s="44"/>
      <c r="K114" s="44"/>
      <c r="L114" s="44"/>
      <c r="M114" s="44"/>
      <c r="N114" s="44"/>
      <c r="O114" s="44"/>
    </row>
    <row r="115" spans="2:15" x14ac:dyDescent="0.2">
      <c r="M115" s="3" t="s">
        <v>507</v>
      </c>
    </row>
    <row r="116" spans="2:15" ht="12.75" customHeight="1" x14ac:dyDescent="0.2">
      <c r="C116" s="39" t="s">
        <v>514</v>
      </c>
      <c r="D116" s="1424" t="s">
        <v>1094</v>
      </c>
      <c r="E116" s="1337"/>
      <c r="F116" s="1337"/>
      <c r="G116" s="1337"/>
      <c r="H116" s="1337"/>
      <c r="I116" s="1337"/>
      <c r="J116" s="1337"/>
      <c r="K116" s="1337"/>
      <c r="M116" s="1425"/>
    </row>
    <row r="117" spans="2:15" ht="14.25" customHeight="1" x14ac:dyDescent="0.2">
      <c r="C117" s="39"/>
      <c r="D117" s="1337"/>
      <c r="E117" s="1337"/>
      <c r="F117" s="1337"/>
      <c r="G117" s="1337"/>
      <c r="H117" s="1337"/>
      <c r="I117" s="1337"/>
      <c r="J117" s="1337"/>
      <c r="K117" s="1337"/>
      <c r="M117" s="1425"/>
    </row>
    <row r="118" spans="2:15" ht="6.75" customHeight="1" x14ac:dyDescent="0.2">
      <c r="C118" s="39"/>
      <c r="D118" s="34"/>
      <c r="E118" s="34"/>
      <c r="F118" s="34"/>
      <c r="G118" s="34"/>
      <c r="H118" s="34"/>
      <c r="I118" s="34"/>
      <c r="J118" s="34"/>
      <c r="K118" s="34"/>
      <c r="M118" s="350"/>
    </row>
    <row r="119" spans="2:15" ht="18.75" customHeight="1" x14ac:dyDescent="0.2">
      <c r="C119" s="39" t="s">
        <v>515</v>
      </c>
      <c r="D119" s="1324" t="s">
        <v>962</v>
      </c>
      <c r="E119" s="1324"/>
      <c r="F119" s="1324"/>
      <c r="G119" s="1324"/>
      <c r="H119" s="1324"/>
      <c r="I119" s="1324"/>
      <c r="J119" s="1324"/>
      <c r="K119" s="1324"/>
      <c r="M119" s="349"/>
    </row>
    <row r="120" spans="2:15" ht="12.75" customHeight="1" x14ac:dyDescent="0.2">
      <c r="C120" s="39"/>
      <c r="D120" s="34"/>
      <c r="E120" s="34"/>
      <c r="F120" s="34"/>
      <c r="G120" s="34"/>
      <c r="H120" s="34"/>
      <c r="I120" s="34"/>
      <c r="J120" s="34"/>
      <c r="K120" s="34"/>
      <c r="M120" s="219"/>
      <c r="N120" s="90"/>
    </row>
    <row r="121" spans="2:15" ht="12.75" customHeight="1" x14ac:dyDescent="0.2">
      <c r="C121" s="39" t="s">
        <v>516</v>
      </c>
      <c r="D121" s="1324" t="s">
        <v>961</v>
      </c>
      <c r="E121" s="1324"/>
      <c r="F121" s="1324"/>
      <c r="G121" s="1324"/>
      <c r="H121" s="1324"/>
      <c r="I121" s="1324"/>
      <c r="J121" s="1324"/>
      <c r="K121" s="1324"/>
      <c r="M121" s="219"/>
      <c r="N121" s="90"/>
    </row>
    <row r="122" spans="2:15" ht="12.75" customHeight="1" x14ac:dyDescent="0.2">
      <c r="C122" s="39"/>
      <c r="D122" s="1324"/>
      <c r="E122" s="1324"/>
      <c r="F122" s="1324"/>
      <c r="G122" s="1324"/>
      <c r="H122" s="1324"/>
      <c r="I122" s="1324"/>
      <c r="J122" s="1324"/>
      <c r="K122" s="1324"/>
      <c r="M122" s="219"/>
      <c r="N122" s="90"/>
    </row>
    <row r="123" spans="2:15" ht="12.75" customHeight="1" x14ac:dyDescent="0.2">
      <c r="C123" s="39"/>
      <c r="D123" s="34"/>
      <c r="E123" s="34"/>
      <c r="F123" s="34"/>
      <c r="G123" s="34"/>
      <c r="H123" s="34"/>
      <c r="I123" s="34"/>
      <c r="J123" s="34"/>
      <c r="K123" s="89" t="s">
        <v>507</v>
      </c>
      <c r="M123" s="134"/>
      <c r="N123" s="90"/>
    </row>
    <row r="124" spans="2:15" ht="12.75" customHeight="1" x14ac:dyDescent="0.2">
      <c r="C124" s="39"/>
      <c r="D124" s="34"/>
      <c r="E124" s="34"/>
      <c r="F124" t="s">
        <v>189</v>
      </c>
      <c r="K124" s="343"/>
      <c r="M124" s="134"/>
      <c r="N124" s="90"/>
    </row>
    <row r="125" spans="2:15" ht="12.75" customHeight="1" x14ac:dyDescent="0.2">
      <c r="C125" s="39"/>
      <c r="D125" s="34"/>
      <c r="E125" s="34"/>
      <c r="F125" t="s">
        <v>214</v>
      </c>
      <c r="K125" s="343"/>
      <c r="M125" s="134"/>
      <c r="N125" s="90"/>
    </row>
    <row r="126" spans="2:15" ht="12.75" customHeight="1" x14ac:dyDescent="0.2">
      <c r="C126" s="39"/>
      <c r="D126" s="34"/>
      <c r="E126" s="34"/>
      <c r="F126" t="s">
        <v>819</v>
      </c>
      <c r="K126" s="343"/>
      <c r="M126" s="134"/>
      <c r="N126" s="90"/>
    </row>
    <row r="127" spans="2:15" ht="12.75" customHeight="1" x14ac:dyDescent="0.2">
      <c r="C127" s="39"/>
      <c r="D127" s="34"/>
      <c r="E127" s="34"/>
      <c r="F127" t="s">
        <v>808</v>
      </c>
      <c r="K127" s="343"/>
      <c r="M127" s="134"/>
      <c r="N127" s="90"/>
    </row>
    <row r="128" spans="2:15" ht="12.75" customHeight="1" x14ac:dyDescent="0.2">
      <c r="C128" s="39"/>
      <c r="D128" s="34"/>
      <c r="E128" s="34"/>
      <c r="F128" t="s">
        <v>172</v>
      </c>
      <c r="K128" s="343"/>
      <c r="M128" s="1440" t="str">
        <f>IF(K130=M119," ","Recheck numbers. Entry is out of balance.")</f>
        <v xml:space="preserve"> </v>
      </c>
      <c r="N128" s="90"/>
    </row>
    <row r="129" spans="3:14" ht="12.75" customHeight="1" x14ac:dyDescent="0.2">
      <c r="C129" s="39"/>
      <c r="D129" s="34"/>
      <c r="E129" s="34"/>
      <c r="F129" s="353" t="s">
        <v>729</v>
      </c>
      <c r="K129" s="343"/>
      <c r="M129" s="1440"/>
      <c r="N129" s="90"/>
    </row>
    <row r="130" spans="3:14" ht="18" customHeight="1" thickBot="1" x14ac:dyDescent="0.25">
      <c r="C130" s="39"/>
      <c r="D130" s="34"/>
      <c r="E130" s="34"/>
      <c r="J130" s="90" t="s">
        <v>467</v>
      </c>
      <c r="K130" s="75">
        <f>SUM(K124:K129)</f>
        <v>0</v>
      </c>
      <c r="M130" s="1440"/>
      <c r="N130" s="90"/>
    </row>
    <row r="131" spans="3:14" ht="12.75" customHeight="1" thickTop="1" x14ac:dyDescent="0.2">
      <c r="C131" s="39"/>
      <c r="D131" s="34"/>
      <c r="E131" s="34"/>
      <c r="F131" s="34"/>
      <c r="G131" s="34"/>
      <c r="H131" s="34"/>
      <c r="I131" s="34"/>
      <c r="J131" s="34"/>
      <c r="K131" s="34"/>
      <c r="M131" s="134"/>
      <c r="N131" s="90"/>
    </row>
    <row r="132" spans="3:14" ht="12.75" customHeight="1" x14ac:dyDescent="0.2">
      <c r="C132" s="39" t="s">
        <v>542</v>
      </c>
      <c r="D132" s="1424" t="s">
        <v>1058</v>
      </c>
      <c r="E132" s="1337"/>
      <c r="F132" s="1337"/>
      <c r="G132" s="1337"/>
      <c r="H132" s="1337"/>
      <c r="I132" s="1337"/>
      <c r="J132" s="1337"/>
      <c r="K132" s="1337"/>
      <c r="M132" s="1426"/>
    </row>
    <row r="133" spans="3:14" ht="13.5" customHeight="1" x14ac:dyDescent="0.2">
      <c r="C133" s="39"/>
      <c r="D133" s="1337"/>
      <c r="E133" s="1337"/>
      <c r="F133" s="1337"/>
      <c r="G133" s="1337"/>
      <c r="H133" s="1337"/>
      <c r="I133" s="1337"/>
      <c r="J133" s="1337"/>
      <c r="K133" s="1337"/>
      <c r="M133" s="1426"/>
    </row>
    <row r="134" spans="3:14" ht="5.25" customHeight="1" x14ac:dyDescent="0.2">
      <c r="M134" s="1"/>
    </row>
    <row r="135" spans="3:14" ht="15.75" customHeight="1" thickBot="1" x14ac:dyDescent="0.25">
      <c r="I135" s="35" t="s">
        <v>926</v>
      </c>
      <c r="M135" s="92">
        <f>M116+M119-M132</f>
        <v>0</v>
      </c>
      <c r="N135" s="90" t="s">
        <v>191</v>
      </c>
    </row>
    <row r="136" spans="3:14" ht="12.75" customHeight="1" thickTop="1" x14ac:dyDescent="0.2">
      <c r="M136" s="1"/>
    </row>
    <row r="137" spans="3:14" ht="12.75" customHeight="1" x14ac:dyDescent="0.2">
      <c r="C137" s="39" t="s">
        <v>543</v>
      </c>
      <c r="D137" s="1324" t="s">
        <v>10</v>
      </c>
      <c r="E137" s="1324"/>
      <c r="F137" s="1324"/>
      <c r="G137" s="1324"/>
      <c r="H137" s="1324"/>
      <c r="I137" s="1324"/>
      <c r="J137" s="1324"/>
      <c r="K137" s="1324"/>
      <c r="M137" s="88"/>
    </row>
    <row r="138" spans="3:14" ht="24" customHeight="1" x14ac:dyDescent="0.2">
      <c r="C138" s="39"/>
      <c r="D138" s="1324"/>
      <c r="E138" s="1324"/>
      <c r="F138" s="1324"/>
      <c r="G138" s="1324"/>
      <c r="H138" s="1324"/>
      <c r="I138" s="1324"/>
      <c r="J138" s="1324"/>
      <c r="K138" s="1324"/>
      <c r="M138" s="88"/>
    </row>
    <row r="139" spans="3:14" ht="12.75" customHeight="1" x14ac:dyDescent="0.2">
      <c r="C139" s="39"/>
      <c r="D139" s="34"/>
      <c r="E139" s="34"/>
      <c r="F139" s="34"/>
      <c r="G139" s="34"/>
      <c r="H139" s="34"/>
      <c r="I139" s="34"/>
      <c r="J139" s="34"/>
      <c r="K139" s="89" t="s">
        <v>507</v>
      </c>
      <c r="M139" s="88"/>
    </row>
    <row r="140" spans="3:14" x14ac:dyDescent="0.2">
      <c r="C140" s="39"/>
      <c r="F140" t="s">
        <v>189</v>
      </c>
      <c r="K140" s="343"/>
      <c r="M140" s="88"/>
    </row>
    <row r="141" spans="3:14" x14ac:dyDescent="0.2">
      <c r="C141" s="39"/>
      <c r="F141" t="s">
        <v>992</v>
      </c>
      <c r="K141" s="343"/>
      <c r="M141" s="88"/>
    </row>
    <row r="142" spans="3:14" x14ac:dyDescent="0.2">
      <c r="C142" s="39"/>
      <c r="F142" t="s">
        <v>819</v>
      </c>
      <c r="K142" s="343"/>
      <c r="M142" s="88"/>
    </row>
    <row r="143" spans="3:14" x14ac:dyDescent="0.2">
      <c r="C143" s="39"/>
      <c r="F143" t="s">
        <v>190</v>
      </c>
      <c r="K143" s="343"/>
      <c r="M143" s="88"/>
    </row>
    <row r="144" spans="3:14" ht="12.75" customHeight="1" x14ac:dyDescent="0.25">
      <c r="C144" s="39"/>
      <c r="F144" t="s">
        <v>172</v>
      </c>
      <c r="K144" s="343"/>
      <c r="M144" s="140"/>
    </row>
    <row r="145" spans="2:15" ht="12.75" customHeight="1" x14ac:dyDescent="0.2">
      <c r="C145" s="39"/>
      <c r="F145" s="353" t="s">
        <v>729</v>
      </c>
      <c r="K145" s="343"/>
      <c r="M145" s="1436" t="str">
        <f>IF(K146=M135," ","Recheck numbers in steps 1-4. Entry is out of balance.")</f>
        <v xml:space="preserve"> </v>
      </c>
    </row>
    <row r="146" spans="2:15" ht="30.75" customHeight="1" thickBot="1" x14ac:dyDescent="0.3">
      <c r="C146" s="39"/>
      <c r="J146" s="90" t="s">
        <v>191</v>
      </c>
      <c r="K146" s="75">
        <f>SUM(K140:K145)</f>
        <v>0</v>
      </c>
      <c r="M146" s="1436"/>
      <c r="N146" s="140"/>
      <c r="O146" s="140"/>
    </row>
    <row r="147" spans="2:15" ht="5.25" customHeight="1" thickTop="1" x14ac:dyDescent="0.2">
      <c r="I147" s="11"/>
    </row>
    <row r="148" spans="2:15" x14ac:dyDescent="0.2">
      <c r="D148" s="223" t="s">
        <v>591</v>
      </c>
      <c r="I148" s="11"/>
    </row>
    <row r="149" spans="2:15" x14ac:dyDescent="0.2">
      <c r="I149" s="11"/>
    </row>
    <row r="150" spans="2:15" ht="26.25" customHeight="1" x14ac:dyDescent="0.2">
      <c r="B150" s="4" t="s">
        <v>788</v>
      </c>
      <c r="C150" s="1419" t="s">
        <v>295</v>
      </c>
      <c r="D150" s="1422"/>
      <c r="E150" s="1422"/>
      <c r="F150" s="1422"/>
      <c r="G150" s="1422"/>
      <c r="H150" s="1422"/>
      <c r="I150" s="1422"/>
      <c r="J150" s="1422"/>
      <c r="K150" s="1422"/>
      <c r="L150" s="1422"/>
      <c r="M150" s="1422"/>
      <c r="N150" s="1422"/>
      <c r="O150" s="1423"/>
    </row>
    <row r="151" spans="2:15" x14ac:dyDescent="0.2">
      <c r="I151" s="11"/>
    </row>
    <row r="152" spans="2:15" ht="27" customHeight="1" x14ac:dyDescent="0.2">
      <c r="C152" s="1439" t="s">
        <v>994</v>
      </c>
      <c r="D152" s="1439"/>
      <c r="E152" s="1439"/>
      <c r="F152" s="1439"/>
      <c r="G152" s="1439"/>
      <c r="H152" s="1439"/>
      <c r="I152" s="1439"/>
      <c r="J152" s="1439"/>
      <c r="K152" s="1439"/>
      <c r="L152" s="1439"/>
      <c r="M152" s="1439"/>
      <c r="N152" s="1439"/>
      <c r="O152" s="1439"/>
    </row>
    <row r="153" spans="2:15" x14ac:dyDescent="0.2">
      <c r="M153" s="3" t="s">
        <v>507</v>
      </c>
    </row>
    <row r="155" spans="2:15" ht="14.25" customHeight="1" x14ac:dyDescent="0.2">
      <c r="C155" s="39" t="s">
        <v>514</v>
      </c>
      <c r="D155" s="1433" t="s">
        <v>4209</v>
      </c>
      <c r="E155" s="1434"/>
      <c r="F155" s="1434"/>
      <c r="G155" s="1434"/>
      <c r="H155" s="1434"/>
      <c r="I155" s="1434"/>
      <c r="J155" s="1434"/>
      <c r="K155" s="1434"/>
      <c r="L155" s="1434"/>
      <c r="M155" s="1425">
        <v>1773077</v>
      </c>
      <c r="N155" s="90" t="s">
        <v>11</v>
      </c>
      <c r="O155" s="2"/>
    </row>
    <row r="156" spans="2:15" ht="54" customHeight="1" x14ac:dyDescent="0.2">
      <c r="C156" s="39"/>
      <c r="D156" s="1434"/>
      <c r="E156" s="1434"/>
      <c r="F156" s="1434"/>
      <c r="G156" s="1434"/>
      <c r="H156" s="1434"/>
      <c r="I156" s="1434"/>
      <c r="J156" s="1434"/>
      <c r="K156" s="1434"/>
      <c r="L156" s="1434"/>
      <c r="M156" s="1425"/>
      <c r="N156" s="90"/>
      <c r="O156" s="2"/>
    </row>
    <row r="157" spans="2:15" ht="37.5" customHeight="1" x14ac:dyDescent="0.2">
      <c r="D157" s="34"/>
      <c r="E157" s="34"/>
      <c r="F157" s="34"/>
      <c r="G157" s="34"/>
      <c r="H157" s="139" t="s">
        <v>927</v>
      </c>
      <c r="I157" s="138" t="s">
        <v>948</v>
      </c>
      <c r="J157" s="34"/>
      <c r="K157" s="138" t="s">
        <v>989</v>
      </c>
      <c r="M157" s="138" t="s">
        <v>72</v>
      </c>
    </row>
    <row r="158" spans="2:15" ht="12.75" customHeight="1" x14ac:dyDescent="0.2">
      <c r="D158" s="34"/>
      <c r="E158" s="34"/>
      <c r="F158" s="34"/>
      <c r="G158" s="34"/>
      <c r="H158" s="34"/>
      <c r="I158" s="137" t="s">
        <v>507</v>
      </c>
      <c r="J158" s="136"/>
      <c r="K158" s="137" t="s">
        <v>507</v>
      </c>
      <c r="M158" s="137" t="s">
        <v>507</v>
      </c>
    </row>
    <row r="159" spans="2:15" ht="12.75" customHeight="1" x14ac:dyDescent="0.2">
      <c r="D159" s="141" t="s">
        <v>189</v>
      </c>
      <c r="I159" s="343"/>
      <c r="K159" s="343"/>
      <c r="M159" s="343"/>
    </row>
    <row r="160" spans="2:15" ht="12.75" customHeight="1" x14ac:dyDescent="0.2">
      <c r="D160" s="141" t="s">
        <v>991</v>
      </c>
      <c r="I160" s="343"/>
      <c r="K160" s="343"/>
      <c r="M160" s="343"/>
    </row>
    <row r="161" spans="3:15" ht="12.75" customHeight="1" x14ac:dyDescent="0.2">
      <c r="D161" s="141" t="s">
        <v>992</v>
      </c>
      <c r="I161" s="343"/>
      <c r="K161" s="343"/>
      <c r="M161" s="343"/>
    </row>
    <row r="162" spans="3:15" ht="12.75" customHeight="1" x14ac:dyDescent="0.2">
      <c r="D162" s="141" t="s">
        <v>819</v>
      </c>
      <c r="I162" s="343"/>
      <c r="K162" s="343"/>
      <c r="M162" s="343"/>
    </row>
    <row r="163" spans="3:15" ht="12.75" customHeight="1" x14ac:dyDescent="0.2">
      <c r="D163" s="141" t="s">
        <v>190</v>
      </c>
      <c r="I163" s="343"/>
      <c r="K163" s="343"/>
      <c r="M163" s="343"/>
    </row>
    <row r="164" spans="3:15" ht="12.75" customHeight="1" x14ac:dyDescent="0.2">
      <c r="D164" s="141" t="s">
        <v>4208</v>
      </c>
      <c r="I164" s="343">
        <v>1773077</v>
      </c>
      <c r="K164" s="343"/>
      <c r="M164" s="343"/>
    </row>
    <row r="165" spans="3:15" ht="12.75" customHeight="1" x14ac:dyDescent="0.2">
      <c r="D165" s="141" t="s">
        <v>306</v>
      </c>
      <c r="I165" s="343"/>
      <c r="K165" s="343"/>
      <c r="M165" s="343"/>
      <c r="O165" s="1325" t="str">
        <f>IF(O169=M155," ","Recheck numbers. Entry is out of balance.")</f>
        <v xml:space="preserve"> </v>
      </c>
    </row>
    <row r="166" spans="3:15" ht="12.75" customHeight="1" x14ac:dyDescent="0.2">
      <c r="D166" s="141" t="s">
        <v>172</v>
      </c>
      <c r="I166" s="343"/>
      <c r="K166" s="343"/>
      <c r="M166" s="343"/>
      <c r="O166" s="1325"/>
    </row>
    <row r="167" spans="3:15" ht="12.75" customHeight="1" x14ac:dyDescent="0.2">
      <c r="D167" s="377" t="s">
        <v>729</v>
      </c>
      <c r="I167" s="343"/>
      <c r="K167" s="343"/>
      <c r="M167" s="343"/>
      <c r="O167" s="1325"/>
    </row>
    <row r="168" spans="3:15" ht="12.75" customHeight="1" x14ac:dyDescent="0.2">
      <c r="D168" s="141" t="s">
        <v>853</v>
      </c>
      <c r="F168" s="6"/>
      <c r="G168" s="6"/>
      <c r="H168" s="343"/>
      <c r="I168" s="77" t="s">
        <v>825</v>
      </c>
      <c r="K168" s="77" t="s">
        <v>825</v>
      </c>
      <c r="M168" s="77" t="s">
        <v>825</v>
      </c>
    </row>
    <row r="169" spans="3:15" ht="15.75" customHeight="1" thickBot="1" x14ac:dyDescent="0.25">
      <c r="H169" s="75">
        <f>SUM(H168)</f>
        <v>0</v>
      </c>
      <c r="I169" s="75">
        <f>SUM(I159:I167)</f>
        <v>1773077</v>
      </c>
      <c r="K169" s="75">
        <f>SUM(K159:K167)</f>
        <v>0</v>
      </c>
      <c r="M169" s="75">
        <f>SUM(M159:M167)</f>
        <v>0</v>
      </c>
      <c r="N169" s="90" t="s">
        <v>11</v>
      </c>
      <c r="O169" s="87">
        <f>H169+I169+K169+M169</f>
        <v>1773077</v>
      </c>
    </row>
    <row r="170" spans="3:15" ht="12.75" customHeight="1" thickTop="1" x14ac:dyDescent="0.2">
      <c r="H170" s="47"/>
      <c r="I170" s="47"/>
      <c r="J170" s="13"/>
      <c r="K170" s="47"/>
      <c r="L170" s="13"/>
      <c r="M170" s="47"/>
      <c r="N170" s="159"/>
      <c r="O170" s="10"/>
    </row>
    <row r="171" spans="3:15" ht="12.75" customHeight="1" x14ac:dyDescent="0.2">
      <c r="C171" s="53" t="s">
        <v>953</v>
      </c>
    </row>
    <row r="172" spans="3:15" ht="12.75" customHeight="1" x14ac:dyDescent="0.2">
      <c r="C172" s="53"/>
    </row>
    <row r="173" spans="3:15" ht="12.75" customHeight="1" x14ac:dyDescent="0.2">
      <c r="M173" s="1"/>
    </row>
    <row r="174" spans="3:15" ht="12.75" customHeight="1" x14ac:dyDescent="0.2">
      <c r="C174" s="39" t="s">
        <v>515</v>
      </c>
      <c r="D174" s="1433" t="s">
        <v>4210</v>
      </c>
      <c r="E174" s="1434"/>
      <c r="F174" s="1434"/>
      <c r="G174" s="1434"/>
      <c r="H174" s="1434"/>
      <c r="I174" s="1434"/>
      <c r="J174" s="1434"/>
      <c r="K174" s="1434"/>
      <c r="M174" s="1426">
        <f>1938038-1773077</f>
        <v>164961</v>
      </c>
      <c r="O174" s="2"/>
    </row>
    <row r="175" spans="3:15" ht="52.15" customHeight="1" x14ac:dyDescent="0.2">
      <c r="C175" s="39"/>
      <c r="D175" s="1434"/>
      <c r="E175" s="1434"/>
      <c r="F175" s="1434"/>
      <c r="G175" s="1434"/>
      <c r="H175" s="1434"/>
      <c r="I175" s="1434"/>
      <c r="J175" s="1434"/>
      <c r="K175" s="1434"/>
      <c r="M175" s="1426"/>
      <c r="N175" s="90" t="s">
        <v>12</v>
      </c>
      <c r="O175" s="2"/>
    </row>
    <row r="176" spans="3:15" x14ac:dyDescent="0.2">
      <c r="M176" s="1"/>
    </row>
    <row r="177" spans="3:16" ht="12.75" customHeight="1" x14ac:dyDescent="0.2">
      <c r="C177" s="39" t="s">
        <v>516</v>
      </c>
      <c r="D177" s="1324" t="s">
        <v>784</v>
      </c>
      <c r="E177" s="1324"/>
      <c r="F177" s="1324"/>
      <c r="G177" s="1324"/>
      <c r="H177" s="1324"/>
      <c r="I177" s="1324"/>
      <c r="J177" s="1324"/>
      <c r="K177" s="1324"/>
    </row>
    <row r="178" spans="3:16" ht="12.75" customHeight="1" x14ac:dyDescent="0.2">
      <c r="C178" s="39"/>
      <c r="D178" s="1324"/>
      <c r="E178" s="1324"/>
      <c r="F178" s="1324"/>
      <c r="G178" s="1324"/>
      <c r="H178" s="1324"/>
      <c r="I178" s="1324"/>
      <c r="J178" s="1324"/>
      <c r="K178" s="1324"/>
    </row>
    <row r="179" spans="3:16" ht="35.25" customHeight="1" x14ac:dyDescent="0.2">
      <c r="C179" s="39"/>
      <c r="D179" s="34"/>
      <c r="E179" s="34"/>
      <c r="F179" s="34"/>
      <c r="G179" s="34"/>
      <c r="H179" s="139" t="s">
        <v>927</v>
      </c>
      <c r="I179" s="138" t="s">
        <v>948</v>
      </c>
      <c r="J179" s="34"/>
      <c r="K179" s="138" t="s">
        <v>989</v>
      </c>
      <c r="M179" s="138" t="s">
        <v>72</v>
      </c>
    </row>
    <row r="180" spans="3:16" x14ac:dyDescent="0.2">
      <c r="C180" s="39"/>
      <c r="D180" s="34"/>
      <c r="E180" s="34"/>
      <c r="F180" s="34"/>
      <c r="G180" s="34"/>
      <c r="H180" s="34"/>
      <c r="I180" s="137" t="s">
        <v>507</v>
      </c>
      <c r="J180" s="136"/>
      <c r="K180" s="137" t="s">
        <v>507</v>
      </c>
      <c r="M180" s="137" t="s">
        <v>507</v>
      </c>
    </row>
    <row r="181" spans="3:16" x14ac:dyDescent="0.2">
      <c r="C181" s="39"/>
      <c r="D181" s="141" t="s">
        <v>189</v>
      </c>
      <c r="I181" s="343"/>
      <c r="K181" s="343"/>
      <c r="M181" s="343"/>
    </row>
    <row r="182" spans="3:16" x14ac:dyDescent="0.2">
      <c r="C182" s="39"/>
      <c r="D182" s="141" t="s">
        <v>991</v>
      </c>
      <c r="I182" s="343"/>
      <c r="K182" s="343"/>
      <c r="M182" s="343"/>
    </row>
    <row r="183" spans="3:16" x14ac:dyDescent="0.2">
      <c r="C183" s="39"/>
      <c r="D183" s="141" t="s">
        <v>992</v>
      </c>
      <c r="I183" s="343"/>
      <c r="K183" s="343"/>
      <c r="M183" s="343"/>
    </row>
    <row r="184" spans="3:16" x14ac:dyDescent="0.2">
      <c r="C184" s="39"/>
      <c r="D184" s="141" t="s">
        <v>819</v>
      </c>
      <c r="I184" s="343"/>
      <c r="K184" s="343"/>
      <c r="M184" s="343"/>
    </row>
    <row r="185" spans="3:16" x14ac:dyDescent="0.2">
      <c r="C185" s="39"/>
      <c r="D185" s="141" t="s">
        <v>190</v>
      </c>
      <c r="I185" s="343"/>
      <c r="K185" s="343"/>
      <c r="M185" s="343"/>
    </row>
    <row r="186" spans="3:16" x14ac:dyDescent="0.2">
      <c r="C186" s="39"/>
      <c r="D186" s="141" t="s">
        <v>4208</v>
      </c>
      <c r="I186" s="343">
        <v>164961</v>
      </c>
      <c r="K186" s="343"/>
      <c r="M186" s="343"/>
      <c r="O186" t="s">
        <v>49</v>
      </c>
    </row>
    <row r="187" spans="3:16" x14ac:dyDescent="0.2">
      <c r="C187" s="39"/>
      <c r="D187" s="141" t="s">
        <v>306</v>
      </c>
      <c r="I187" s="343"/>
      <c r="K187" s="343"/>
      <c r="M187" s="343"/>
      <c r="O187" s="1325" t="str">
        <f>IF(O191=M174," ","Recheck numbers in steps 2 &amp; 3. Entry is out of balance.")</f>
        <v xml:space="preserve"> </v>
      </c>
    </row>
    <row r="188" spans="3:16" x14ac:dyDescent="0.2">
      <c r="C188" s="39"/>
      <c r="D188" s="141" t="s">
        <v>172</v>
      </c>
      <c r="I188" s="343"/>
      <c r="K188" s="343"/>
      <c r="M188" s="343"/>
      <c r="O188" s="1325"/>
      <c r="P188" s="157"/>
    </row>
    <row r="189" spans="3:16" ht="13.5" customHeight="1" x14ac:dyDescent="0.2">
      <c r="C189" s="39"/>
      <c r="D189" s="377" t="s">
        <v>729</v>
      </c>
      <c r="I189" s="343"/>
      <c r="K189" s="343"/>
      <c r="M189" s="343"/>
      <c r="O189" s="1325"/>
      <c r="P189" s="157"/>
    </row>
    <row r="190" spans="3:16" x14ac:dyDescent="0.2">
      <c r="C190" s="39"/>
      <c r="D190" s="141" t="s">
        <v>853</v>
      </c>
      <c r="F190" s="6"/>
      <c r="G190" s="6"/>
      <c r="H190" s="343"/>
      <c r="I190" s="77" t="s">
        <v>825</v>
      </c>
      <c r="K190" s="77" t="s">
        <v>825</v>
      </c>
      <c r="M190" s="77" t="s">
        <v>825</v>
      </c>
      <c r="O190" s="157"/>
      <c r="P190" s="157"/>
    </row>
    <row r="191" spans="3:16" ht="15.75" customHeight="1" thickBot="1" x14ac:dyDescent="0.25">
      <c r="C191" s="39"/>
      <c r="H191" s="75">
        <f>SUM(H190)</f>
        <v>0</v>
      </c>
      <c r="I191" s="75">
        <f>SUM(I181:I189)</f>
        <v>164961</v>
      </c>
      <c r="K191" s="75">
        <f>SUM(K181:K189)</f>
        <v>0</v>
      </c>
      <c r="L191" s="47">
        <f>SUM(L181:L189)</f>
        <v>0</v>
      </c>
      <c r="M191" s="75">
        <f>SUM(M181:M189)</f>
        <v>0</v>
      </c>
      <c r="N191" s="135" t="s">
        <v>12</v>
      </c>
      <c r="O191" s="87">
        <f>H191+I191+K191+M191</f>
        <v>164961</v>
      </c>
    </row>
    <row r="192" spans="3:16" ht="15" customHeight="1" thickTop="1" x14ac:dyDescent="0.2">
      <c r="C192" s="39"/>
      <c r="H192" s="47"/>
      <c r="I192" s="47"/>
      <c r="J192" s="13"/>
      <c r="K192" s="47"/>
      <c r="L192" s="47"/>
      <c r="M192" s="47"/>
      <c r="N192" s="142"/>
      <c r="O192" s="10"/>
    </row>
    <row r="193" spans="2:15" ht="15.75" customHeight="1" x14ac:dyDescent="0.2">
      <c r="C193" s="53" t="s">
        <v>953</v>
      </c>
      <c r="H193" s="47"/>
      <c r="I193" s="47"/>
      <c r="J193" s="13"/>
      <c r="K193" s="47"/>
      <c r="L193" s="13"/>
      <c r="M193" s="47"/>
      <c r="N193" s="142"/>
      <c r="O193" s="10"/>
    </row>
    <row r="194" spans="2:15" ht="15.75" customHeight="1" x14ac:dyDescent="0.2">
      <c r="C194" s="53"/>
      <c r="H194" s="47"/>
      <c r="I194" s="47"/>
      <c r="J194" s="13"/>
      <c r="K194" s="47"/>
      <c r="L194" s="13"/>
      <c r="M194" s="47"/>
      <c r="N194" s="142"/>
      <c r="O194" s="10"/>
    </row>
    <row r="195" spans="2:15" ht="25.5" customHeight="1" x14ac:dyDescent="0.2">
      <c r="B195" s="317" t="s">
        <v>996</v>
      </c>
      <c r="C195" s="1416" t="s">
        <v>909</v>
      </c>
      <c r="D195" s="1437"/>
      <c r="E195" s="1437"/>
      <c r="F195" s="1437"/>
      <c r="G195" s="1437"/>
      <c r="H195" s="1437"/>
      <c r="I195" s="1437"/>
      <c r="J195" s="1437"/>
      <c r="K195" s="1437"/>
      <c r="L195" s="1437"/>
      <c r="M195" s="1437"/>
      <c r="N195" s="1437"/>
      <c r="O195" s="1438"/>
    </row>
    <row r="196" spans="2:15" ht="15.75" customHeight="1" x14ac:dyDescent="0.2">
      <c r="C196" s="53"/>
      <c r="H196" s="47"/>
      <c r="I196" s="47"/>
      <c r="J196" s="13"/>
      <c r="K196" s="47"/>
      <c r="L196" s="13"/>
      <c r="M196" s="47"/>
      <c r="N196" s="142"/>
      <c r="O196" s="10"/>
    </row>
    <row r="197" spans="2:15" ht="18" customHeight="1" x14ac:dyDescent="0.2">
      <c r="C197" s="199" t="s">
        <v>514</v>
      </c>
      <c r="D197" t="s">
        <v>790</v>
      </c>
      <c r="H197" s="47"/>
      <c r="I197" s="47"/>
      <c r="J197" s="13"/>
      <c r="K197" s="341"/>
      <c r="L197" s="13"/>
      <c r="M197" s="47"/>
      <c r="N197" s="142"/>
      <c r="O197" s="10"/>
    </row>
    <row r="198" spans="2:15" ht="6" customHeight="1" x14ac:dyDescent="0.2">
      <c r="C198" s="197"/>
      <c r="H198" s="47"/>
      <c r="I198" s="47"/>
      <c r="J198" s="13"/>
      <c r="K198" s="338"/>
      <c r="L198" s="13"/>
      <c r="M198" s="47"/>
      <c r="N198" s="142"/>
      <c r="O198" s="10"/>
    </row>
    <row r="199" spans="2:15" ht="17.25" customHeight="1" x14ac:dyDescent="0.2">
      <c r="C199" s="199" t="s">
        <v>515</v>
      </c>
      <c r="D199" t="s">
        <v>783</v>
      </c>
      <c r="H199" s="47"/>
      <c r="I199" s="47"/>
      <c r="J199" s="13"/>
      <c r="K199" s="341"/>
      <c r="L199" s="13"/>
      <c r="M199" s="47"/>
      <c r="N199" s="142"/>
      <c r="O199" s="10"/>
    </row>
    <row r="200" spans="2:15" ht="4.5" customHeight="1" x14ac:dyDescent="0.2">
      <c r="C200" s="53"/>
      <c r="H200" s="47"/>
      <c r="I200" s="47"/>
      <c r="J200" s="13"/>
      <c r="K200" s="47"/>
      <c r="L200" s="13"/>
      <c r="M200" s="47"/>
      <c r="N200" s="142"/>
      <c r="O200" s="10"/>
    </row>
    <row r="201" spans="2:15" ht="12.75" customHeight="1" x14ac:dyDescent="0.2">
      <c r="C201" s="53"/>
      <c r="D201" s="2" t="s">
        <v>792</v>
      </c>
      <c r="H201" s="47"/>
      <c r="I201" s="47"/>
      <c r="J201" s="13"/>
      <c r="K201" s="47"/>
      <c r="L201" s="13"/>
      <c r="M201" s="47"/>
      <c r="N201" s="142"/>
      <c r="O201" s="10"/>
    </row>
    <row r="202" spans="2:15" ht="12.75" customHeight="1" x14ac:dyDescent="0.2">
      <c r="C202" s="53"/>
      <c r="H202" s="47"/>
      <c r="I202" s="47"/>
      <c r="J202" s="13"/>
      <c r="K202" s="47"/>
      <c r="L202" s="13"/>
      <c r="M202" s="47"/>
      <c r="N202" s="142"/>
      <c r="O202" s="10"/>
    </row>
    <row r="203" spans="2:15" ht="7.5" customHeight="1" x14ac:dyDescent="0.2"/>
    <row r="204" spans="2:15" ht="25.5" customHeight="1" x14ac:dyDescent="0.2">
      <c r="B204" s="4" t="s">
        <v>789</v>
      </c>
      <c r="C204" s="1416" t="s">
        <v>13</v>
      </c>
      <c r="D204" s="1417"/>
      <c r="E204" s="1417"/>
      <c r="F204" s="1417"/>
      <c r="G204" s="1417"/>
      <c r="H204" s="1417"/>
      <c r="I204" s="1417"/>
      <c r="J204" s="1417"/>
      <c r="K204" s="1417"/>
      <c r="L204" s="1417"/>
      <c r="M204" s="1417"/>
      <c r="N204" s="1417"/>
      <c r="O204" s="1418"/>
    </row>
    <row r="205" spans="2:15" ht="6.75" customHeight="1" x14ac:dyDescent="0.2">
      <c r="B205" s="4"/>
      <c r="C205" s="44"/>
      <c r="D205" s="44"/>
      <c r="E205" s="44"/>
      <c r="F205" s="44"/>
      <c r="G205" s="44"/>
      <c r="H205" s="44"/>
      <c r="I205" s="44"/>
      <c r="J205" s="31"/>
      <c r="K205" s="31"/>
      <c r="L205" s="31"/>
      <c r="M205" s="31"/>
      <c r="N205" s="31"/>
      <c r="O205" s="31"/>
    </row>
    <row r="206" spans="2:15" x14ac:dyDescent="0.2">
      <c r="K206" s="49" t="s">
        <v>510</v>
      </c>
      <c r="L206" s="38"/>
      <c r="M206" s="49" t="s">
        <v>511</v>
      </c>
    </row>
    <row r="207" spans="2:15" x14ac:dyDescent="0.2">
      <c r="B207" t="s">
        <v>196</v>
      </c>
      <c r="C207" t="s">
        <v>767</v>
      </c>
      <c r="K207" s="238">
        <f>AE258</f>
        <v>0</v>
      </c>
      <c r="L207" s="38"/>
      <c r="M207" s="237"/>
    </row>
    <row r="208" spans="2:15" x14ac:dyDescent="0.2">
      <c r="C208" s="649" t="s">
        <v>1054</v>
      </c>
      <c r="D208" s="13"/>
      <c r="E208" s="13"/>
      <c r="I208" s="1"/>
      <c r="J208" s="13"/>
      <c r="K208" s="84">
        <f>AE259</f>
        <v>1938038</v>
      </c>
      <c r="L208" s="93"/>
      <c r="M208" s="84">
        <f>AF259</f>
        <v>0</v>
      </c>
    </row>
    <row r="209" spans="3:13" s="1302" customFormat="1" x14ac:dyDescent="0.2">
      <c r="C209" s="900" t="s">
        <v>4211</v>
      </c>
      <c r="D209" s="1304"/>
      <c r="E209" s="1304"/>
      <c r="I209" s="1"/>
      <c r="J209" s="1304"/>
      <c r="K209" s="84">
        <f>AE260</f>
        <v>28833</v>
      </c>
      <c r="L209" s="93"/>
      <c r="M209" s="84"/>
    </row>
    <row r="210" spans="3:13" x14ac:dyDescent="0.2">
      <c r="C210" s="141" t="s">
        <v>720</v>
      </c>
      <c r="D210" s="141"/>
      <c r="E210" s="141"/>
      <c r="F210" s="141"/>
      <c r="I210" s="1"/>
      <c r="J210" s="13"/>
      <c r="K210" s="84">
        <f t="shared" ref="K210:K216" si="0">AE261</f>
        <v>0</v>
      </c>
      <c r="L210" s="93"/>
      <c r="M210" s="84">
        <f t="shared" ref="M210:M216" si="1">AF261</f>
        <v>0</v>
      </c>
    </row>
    <row r="211" spans="3:13" x14ac:dyDescent="0.2">
      <c r="C211" s="141" t="s">
        <v>722</v>
      </c>
      <c r="D211" s="141"/>
      <c r="E211" s="141"/>
      <c r="F211" s="141"/>
      <c r="I211" s="1"/>
      <c r="J211" s="13"/>
      <c r="K211" s="84">
        <f t="shared" si="0"/>
        <v>0</v>
      </c>
      <c r="L211" s="93"/>
      <c r="M211" s="84">
        <f t="shared" si="1"/>
        <v>0</v>
      </c>
    </row>
    <row r="212" spans="3:13" x14ac:dyDescent="0.2">
      <c r="C212" s="141" t="s">
        <v>721</v>
      </c>
      <c r="D212" s="141"/>
      <c r="E212" s="141"/>
      <c r="F212" s="141"/>
      <c r="I212" s="1"/>
      <c r="J212" s="13"/>
      <c r="K212" s="84">
        <f t="shared" si="0"/>
        <v>0</v>
      </c>
      <c r="L212" s="93"/>
      <c r="M212" s="84">
        <f t="shared" si="1"/>
        <v>0</v>
      </c>
    </row>
    <row r="213" spans="3:13" x14ac:dyDescent="0.2">
      <c r="C213" s="141" t="s">
        <v>327</v>
      </c>
      <c r="D213" s="141"/>
      <c r="E213" s="141"/>
      <c r="F213" s="141"/>
      <c r="I213" s="1"/>
      <c r="J213" s="13"/>
      <c r="K213" s="84">
        <f t="shared" si="0"/>
        <v>0</v>
      </c>
      <c r="L213" s="93"/>
      <c r="M213" s="84">
        <f t="shared" si="1"/>
        <v>0</v>
      </c>
    </row>
    <row r="214" spans="3:13" ht="12.75" customHeight="1" x14ac:dyDescent="0.2">
      <c r="C214" s="141" t="s">
        <v>717</v>
      </c>
      <c r="D214" s="141"/>
      <c r="E214" s="141"/>
      <c r="F214" s="141"/>
      <c r="I214" s="1"/>
      <c r="J214" s="13"/>
      <c r="K214" s="84">
        <f t="shared" si="0"/>
        <v>0</v>
      </c>
      <c r="L214" s="93"/>
      <c r="M214" s="84">
        <f t="shared" si="1"/>
        <v>0</v>
      </c>
    </row>
    <row r="215" spans="3:13" x14ac:dyDescent="0.2">
      <c r="C215" s="141" t="s">
        <v>910</v>
      </c>
      <c r="D215" s="141"/>
      <c r="E215" s="141"/>
      <c r="F215" s="141"/>
      <c r="K215" s="84">
        <f t="shared" si="0"/>
        <v>0</v>
      </c>
      <c r="L215" s="93"/>
      <c r="M215" s="84">
        <f t="shared" si="1"/>
        <v>0</v>
      </c>
    </row>
    <row r="216" spans="3:13" x14ac:dyDescent="0.2">
      <c r="C216" s="141" t="s">
        <v>889</v>
      </c>
      <c r="D216" s="141"/>
      <c r="E216" s="141"/>
      <c r="F216" s="141"/>
      <c r="K216" s="84">
        <f t="shared" si="0"/>
        <v>0</v>
      </c>
      <c r="L216" s="93"/>
      <c r="M216" s="84">
        <f t="shared" si="1"/>
        <v>0</v>
      </c>
    </row>
    <row r="217" spans="3:13" ht="5.25" customHeight="1" x14ac:dyDescent="0.2">
      <c r="C217" s="141"/>
      <c r="D217" s="141"/>
      <c r="E217" s="141"/>
      <c r="F217" s="141"/>
      <c r="K217" s="84"/>
      <c r="L217" s="93"/>
      <c r="M217" s="84"/>
    </row>
    <row r="218" spans="3:13" x14ac:dyDescent="0.2">
      <c r="C218" s="141" t="s">
        <v>329</v>
      </c>
      <c r="E218" s="141"/>
      <c r="F218" s="141"/>
      <c r="K218" s="78">
        <f>AE270</f>
        <v>0</v>
      </c>
      <c r="L218" s="13"/>
      <c r="M218" s="78">
        <f>AF270</f>
        <v>0</v>
      </c>
    </row>
    <row r="219" spans="3:13" ht="12.75" customHeight="1" x14ac:dyDescent="0.2">
      <c r="C219" s="141" t="s">
        <v>330</v>
      </c>
      <c r="E219" s="141"/>
      <c r="F219" s="141"/>
      <c r="K219" s="78">
        <f t="shared" ref="K219:K226" si="2">AE271</f>
        <v>0</v>
      </c>
      <c r="L219" s="13"/>
      <c r="M219" s="78">
        <f>AF271</f>
        <v>0</v>
      </c>
    </row>
    <row r="220" spans="3:13" ht="12.75" customHeight="1" x14ac:dyDescent="0.2">
      <c r="C220" s="141" t="s">
        <v>331</v>
      </c>
      <c r="E220" s="141"/>
      <c r="F220" s="141"/>
      <c r="K220" s="78">
        <f t="shared" si="2"/>
        <v>0</v>
      </c>
      <c r="L220" s="13"/>
      <c r="M220" s="78">
        <f t="shared" ref="M220:M226" si="3">AF272</f>
        <v>0</v>
      </c>
    </row>
    <row r="221" spans="3:13" ht="12.75" customHeight="1" x14ac:dyDescent="0.2">
      <c r="C221" s="141" t="s">
        <v>332</v>
      </c>
      <c r="E221" s="141"/>
      <c r="F221" s="141"/>
      <c r="K221" s="78">
        <f t="shared" si="2"/>
        <v>0</v>
      </c>
      <c r="L221" s="13"/>
      <c r="M221" s="78">
        <f t="shared" si="3"/>
        <v>0</v>
      </c>
    </row>
    <row r="222" spans="3:13" ht="12.75" customHeight="1" x14ac:dyDescent="0.2">
      <c r="C222" s="141" t="s">
        <v>333</v>
      </c>
      <c r="E222" s="141"/>
      <c r="F222" s="141"/>
      <c r="K222" s="78">
        <f t="shared" si="2"/>
        <v>0</v>
      </c>
      <c r="L222" s="13"/>
      <c r="M222" s="78">
        <f t="shared" si="3"/>
        <v>0</v>
      </c>
    </row>
    <row r="223" spans="3:13" ht="12.75" customHeight="1" x14ac:dyDescent="0.2">
      <c r="C223" s="141" t="s">
        <v>334</v>
      </c>
      <c r="E223" s="141"/>
      <c r="F223" s="141"/>
      <c r="K223" s="78">
        <f t="shared" si="2"/>
        <v>0</v>
      </c>
      <c r="L223" s="13"/>
      <c r="M223" s="78">
        <f t="shared" si="3"/>
        <v>164961</v>
      </c>
    </row>
    <row r="224" spans="3:13" ht="12.75" customHeight="1" x14ac:dyDescent="0.2">
      <c r="C224" s="141" t="s">
        <v>335</v>
      </c>
      <c r="E224" s="141"/>
      <c r="F224" s="141"/>
      <c r="K224" s="78">
        <f t="shared" si="2"/>
        <v>0</v>
      </c>
      <c r="L224" s="13"/>
      <c r="M224" s="78">
        <f t="shared" si="3"/>
        <v>0</v>
      </c>
    </row>
    <row r="225" spans="3:13" ht="12.75" customHeight="1" x14ac:dyDescent="0.2">
      <c r="C225" s="141" t="s">
        <v>173</v>
      </c>
      <c r="E225" s="141"/>
      <c r="F225" s="141"/>
      <c r="K225" s="78">
        <f t="shared" si="2"/>
        <v>0</v>
      </c>
      <c r="L225" s="13"/>
      <c r="M225" s="78">
        <f t="shared" si="3"/>
        <v>0</v>
      </c>
    </row>
    <row r="226" spans="3:13" x14ac:dyDescent="0.2">
      <c r="C226" s="377" t="s">
        <v>301</v>
      </c>
      <c r="E226" s="141"/>
      <c r="F226" s="141"/>
      <c r="K226" s="78">
        <f t="shared" si="2"/>
        <v>0</v>
      </c>
      <c r="L226" s="13"/>
      <c r="M226" s="78">
        <f t="shared" si="3"/>
        <v>0</v>
      </c>
    </row>
    <row r="227" spans="3:13" ht="2.25" customHeight="1" x14ac:dyDescent="0.2">
      <c r="C227" s="141"/>
      <c r="D227" s="141"/>
      <c r="E227" s="141"/>
      <c r="F227" s="141"/>
      <c r="K227" s="79"/>
      <c r="L227" s="13"/>
      <c r="M227" s="78"/>
    </row>
    <row r="228" spans="3:13" x14ac:dyDescent="0.2">
      <c r="C228" s="141" t="s">
        <v>73</v>
      </c>
      <c r="E228" s="141"/>
      <c r="F228" s="141"/>
      <c r="K228" s="78">
        <f>AE280</f>
        <v>0</v>
      </c>
      <c r="L228" s="13"/>
      <c r="M228" s="78">
        <f>AF280</f>
        <v>0</v>
      </c>
    </row>
    <row r="229" spans="3:13" x14ac:dyDescent="0.2">
      <c r="C229" s="141" t="s">
        <v>468</v>
      </c>
      <c r="E229" s="141"/>
      <c r="F229" s="141"/>
      <c r="K229" s="78">
        <f t="shared" ref="K229:K236" si="4">AE281</f>
        <v>0</v>
      </c>
      <c r="L229" s="13"/>
      <c r="M229" s="78">
        <f>AF281</f>
        <v>0</v>
      </c>
    </row>
    <row r="230" spans="3:13" x14ac:dyDescent="0.2">
      <c r="C230" s="141" t="s">
        <v>74</v>
      </c>
      <c r="E230" s="141"/>
      <c r="F230" s="141"/>
      <c r="K230" s="78">
        <f t="shared" si="4"/>
        <v>0</v>
      </c>
      <c r="L230" s="13"/>
      <c r="M230" s="78">
        <f t="shared" ref="M230:M236" si="5">AF282</f>
        <v>0</v>
      </c>
    </row>
    <row r="231" spans="3:13" x14ac:dyDescent="0.2">
      <c r="C231" s="141" t="s">
        <v>75</v>
      </c>
      <c r="E231" s="141"/>
      <c r="F231" s="141"/>
      <c r="K231" s="78">
        <f t="shared" si="4"/>
        <v>0</v>
      </c>
      <c r="L231" s="13"/>
      <c r="M231" s="78">
        <f t="shared" si="5"/>
        <v>0</v>
      </c>
    </row>
    <row r="232" spans="3:13" x14ac:dyDescent="0.2">
      <c r="C232" s="141" t="s">
        <v>76</v>
      </c>
      <c r="E232" s="141"/>
      <c r="F232" s="141"/>
      <c r="K232" s="78">
        <f t="shared" si="4"/>
        <v>0</v>
      </c>
      <c r="L232" s="13"/>
      <c r="M232" s="78">
        <f t="shared" si="5"/>
        <v>0</v>
      </c>
    </row>
    <row r="233" spans="3:13" x14ac:dyDescent="0.2">
      <c r="C233" s="141" t="s">
        <v>77</v>
      </c>
      <c r="E233" s="141"/>
      <c r="F233" s="141"/>
      <c r="K233" s="78">
        <f t="shared" si="4"/>
        <v>0</v>
      </c>
      <c r="L233" s="13"/>
      <c r="M233" s="78">
        <f t="shared" si="5"/>
        <v>0</v>
      </c>
    </row>
    <row r="234" spans="3:13" x14ac:dyDescent="0.2">
      <c r="C234" s="141" t="s">
        <v>925</v>
      </c>
      <c r="E234" s="141"/>
      <c r="F234" s="141"/>
      <c r="K234" s="78">
        <f t="shared" si="4"/>
        <v>0</v>
      </c>
      <c r="L234" s="13"/>
      <c r="M234" s="78">
        <f t="shared" si="5"/>
        <v>0</v>
      </c>
    </row>
    <row r="235" spans="3:13" x14ac:dyDescent="0.2">
      <c r="C235" s="141" t="s">
        <v>174</v>
      </c>
      <c r="E235" s="141"/>
      <c r="F235" s="141"/>
      <c r="K235" s="78">
        <f t="shared" si="4"/>
        <v>0</v>
      </c>
      <c r="L235" s="13"/>
      <c r="M235" s="78">
        <f t="shared" si="5"/>
        <v>0</v>
      </c>
    </row>
    <row r="236" spans="3:13" x14ac:dyDescent="0.2">
      <c r="C236" s="377" t="s">
        <v>302</v>
      </c>
      <c r="E236" s="141"/>
      <c r="F236" s="141"/>
      <c r="K236" s="78">
        <f t="shared" si="4"/>
        <v>0</v>
      </c>
      <c r="L236" s="13"/>
      <c r="M236" s="78">
        <f t="shared" si="5"/>
        <v>0</v>
      </c>
    </row>
    <row r="237" spans="3:13" ht="2.25" customHeight="1" x14ac:dyDescent="0.2">
      <c r="C237" s="141"/>
      <c r="D237" s="141"/>
      <c r="E237" s="141"/>
      <c r="F237" s="141"/>
      <c r="K237" s="79"/>
      <c r="L237" s="13"/>
      <c r="M237" s="78"/>
    </row>
    <row r="238" spans="3:13" x14ac:dyDescent="0.2">
      <c r="C238" s="141" t="s">
        <v>466</v>
      </c>
      <c r="E238" s="141"/>
      <c r="F238" s="141"/>
      <c r="K238" s="78">
        <f>AE290</f>
        <v>0</v>
      </c>
      <c r="L238" s="13"/>
      <c r="M238" s="78">
        <f>AF290</f>
        <v>0</v>
      </c>
    </row>
    <row r="239" spans="3:13" x14ac:dyDescent="0.2">
      <c r="C239" s="141" t="s">
        <v>338</v>
      </c>
      <c r="E239" s="141"/>
      <c r="F239" s="141"/>
      <c r="K239" s="78">
        <f t="shared" ref="K239:K246" si="6">AE291</f>
        <v>0</v>
      </c>
      <c r="L239" s="13"/>
      <c r="M239" s="78">
        <f t="shared" ref="M239:M246" si="7">AF291</f>
        <v>0</v>
      </c>
    </row>
    <row r="240" spans="3:13" x14ac:dyDescent="0.2">
      <c r="C240" s="141" t="s">
        <v>339</v>
      </c>
      <c r="E240" s="141"/>
      <c r="F240" s="141"/>
      <c r="K240" s="78">
        <f t="shared" si="6"/>
        <v>0</v>
      </c>
      <c r="L240" s="13"/>
      <c r="M240" s="78">
        <f t="shared" si="7"/>
        <v>0</v>
      </c>
    </row>
    <row r="241" spans="2:32" x14ac:dyDescent="0.2">
      <c r="C241" s="141" t="s">
        <v>418</v>
      </c>
      <c r="E241" s="141"/>
      <c r="F241" s="141"/>
      <c r="K241" s="78">
        <f t="shared" si="6"/>
        <v>4190</v>
      </c>
      <c r="L241" s="13"/>
      <c r="M241" s="78">
        <f t="shared" si="7"/>
        <v>0</v>
      </c>
    </row>
    <row r="242" spans="2:32" x14ac:dyDescent="0.2">
      <c r="C242" s="141" t="s">
        <v>419</v>
      </c>
      <c r="E242" s="141"/>
      <c r="F242" s="141"/>
      <c r="K242" s="78">
        <f t="shared" si="6"/>
        <v>0</v>
      </c>
      <c r="L242" s="13"/>
      <c r="M242" s="78">
        <f t="shared" si="7"/>
        <v>0</v>
      </c>
    </row>
    <row r="243" spans="2:32" x14ac:dyDescent="0.2">
      <c r="C243" s="141" t="s">
        <v>884</v>
      </c>
      <c r="E243" s="141"/>
      <c r="F243" s="141"/>
      <c r="K243" s="78">
        <f t="shared" si="6"/>
        <v>0</v>
      </c>
      <c r="L243" s="13"/>
      <c r="M243" s="78">
        <f t="shared" si="7"/>
        <v>0</v>
      </c>
    </row>
    <row r="244" spans="2:32" x14ac:dyDescent="0.2">
      <c r="C244" s="141" t="s">
        <v>885</v>
      </c>
      <c r="E244" s="141"/>
      <c r="F244" s="141"/>
      <c r="K244" s="78">
        <f t="shared" si="6"/>
        <v>0</v>
      </c>
      <c r="L244" s="13"/>
      <c r="M244" s="78">
        <f t="shared" si="7"/>
        <v>0</v>
      </c>
    </row>
    <row r="245" spans="2:32" x14ac:dyDescent="0.2">
      <c r="C245" s="141" t="s">
        <v>175</v>
      </c>
      <c r="E245" s="141"/>
      <c r="F245" s="141"/>
      <c r="K245" s="78">
        <f t="shared" si="6"/>
        <v>0</v>
      </c>
      <c r="L245" s="13"/>
      <c r="M245" s="78">
        <f t="shared" si="7"/>
        <v>0</v>
      </c>
    </row>
    <row r="246" spans="2:32" x14ac:dyDescent="0.2">
      <c r="C246" s="377" t="s">
        <v>303</v>
      </c>
      <c r="E246" s="141"/>
      <c r="F246" s="141"/>
      <c r="K246" s="78">
        <f t="shared" si="6"/>
        <v>0</v>
      </c>
      <c r="L246" s="13"/>
      <c r="M246" s="78">
        <f t="shared" si="7"/>
        <v>0</v>
      </c>
    </row>
    <row r="247" spans="2:32" x14ac:dyDescent="0.2">
      <c r="C247" s="141"/>
      <c r="D247" t="s">
        <v>793</v>
      </c>
      <c r="E247" s="141"/>
      <c r="F247" s="141"/>
      <c r="K247" s="78">
        <f>AE268</f>
        <v>0</v>
      </c>
      <c r="L247" s="13"/>
      <c r="M247" s="78">
        <f>AF268</f>
        <v>1806100</v>
      </c>
    </row>
    <row r="248" spans="2:32" ht="13.5" thickBot="1" x14ac:dyDescent="0.25">
      <c r="K248" s="80">
        <f>SUM(K207:K247)</f>
        <v>1971061</v>
      </c>
      <c r="L248" s="10"/>
      <c r="M248" s="80">
        <f>SUM(M207:M247)</f>
        <v>1971061</v>
      </c>
    </row>
    <row r="249" spans="2:32" ht="13.5" thickTop="1" x14ac:dyDescent="0.2"/>
    <row r="250" spans="2:32" x14ac:dyDescent="0.2">
      <c r="C250" s="223" t="s">
        <v>591</v>
      </c>
      <c r="D250" s="2"/>
      <c r="E250" s="2"/>
      <c r="F250" s="2"/>
      <c r="G250" s="2"/>
      <c r="H250" s="2"/>
      <c r="I250" s="2"/>
      <c r="J250" s="2"/>
      <c r="K250" s="2"/>
      <c r="L250" s="2"/>
      <c r="M250" s="2"/>
    </row>
    <row r="253" spans="2:32" x14ac:dyDescent="0.2">
      <c r="B253" s="1431" t="s">
        <v>328</v>
      </c>
      <c r="C253" s="1432"/>
      <c r="D253" s="1432"/>
      <c r="E253" s="1432"/>
      <c r="F253" s="1432"/>
      <c r="G253" s="1432"/>
      <c r="H253" s="1432"/>
      <c r="I253" s="1432"/>
      <c r="J253" s="1432"/>
      <c r="K253" s="1432"/>
      <c r="L253" s="1432"/>
      <c r="M253" s="1432"/>
      <c r="N253" s="1432"/>
      <c r="O253" s="1432"/>
      <c r="P253" s="1432"/>
      <c r="Q253" s="1432"/>
      <c r="R253" s="1432"/>
      <c r="S253" s="1432"/>
      <c r="T253" s="1432"/>
      <c r="U253" s="1432"/>
      <c r="V253" s="1432"/>
      <c r="W253" s="1432"/>
      <c r="X253" s="1432"/>
      <c r="Y253" s="1432"/>
      <c r="Z253" s="1432"/>
      <c r="AA253" s="1432"/>
      <c r="AB253" s="1432"/>
      <c r="AC253" s="1432"/>
      <c r="AD253" s="1432"/>
    </row>
    <row r="254" spans="2:32" x14ac:dyDescent="0.2">
      <c r="B254" s="1431"/>
      <c r="C254" s="1432"/>
      <c r="D254" s="1432"/>
      <c r="E254" s="1432"/>
      <c r="F254" s="1432"/>
      <c r="G254" s="1432"/>
      <c r="H254" s="1432"/>
      <c r="I254" s="1432"/>
      <c r="J254" s="1432"/>
      <c r="K254" s="1432"/>
      <c r="L254" s="1432"/>
      <c r="M254" s="1432"/>
      <c r="N254" s="1432"/>
      <c r="O254" s="1432"/>
      <c r="P254" s="1432"/>
      <c r="Q254" s="1432"/>
      <c r="R254" s="1432"/>
      <c r="S254" s="1432"/>
      <c r="T254" s="1432"/>
      <c r="U254" s="1432"/>
      <c r="V254" s="1432"/>
      <c r="W254" s="1432"/>
      <c r="X254" s="1432"/>
      <c r="Y254" s="1432"/>
      <c r="Z254" s="1432"/>
      <c r="AA254" s="1432"/>
      <c r="AB254" s="1432"/>
      <c r="AC254" s="1432"/>
      <c r="AD254" s="1432"/>
    </row>
    <row r="256" spans="2:32" x14ac:dyDescent="0.2">
      <c r="I256" s="1429" t="s">
        <v>297</v>
      </c>
      <c r="J256" s="1435"/>
      <c r="K256" s="1430"/>
      <c r="M256" s="1429" t="s">
        <v>699</v>
      </c>
      <c r="N256" s="1435"/>
      <c r="O256" s="1430"/>
      <c r="Q256" s="1429" t="s">
        <v>700</v>
      </c>
      <c r="R256" s="1430"/>
      <c r="S256" s="1429" t="s">
        <v>701</v>
      </c>
      <c r="T256" s="1430"/>
      <c r="U256" s="1429" t="s">
        <v>298</v>
      </c>
      <c r="V256" s="1430"/>
      <c r="W256" s="1429" t="s">
        <v>299</v>
      </c>
      <c r="X256" s="1430"/>
      <c r="Y256" s="1429" t="s">
        <v>300</v>
      </c>
      <c r="Z256" s="1430"/>
      <c r="AA256" s="1429" t="s">
        <v>322</v>
      </c>
      <c r="AB256" s="1430"/>
      <c r="AC256" s="1429" t="s">
        <v>791</v>
      </c>
      <c r="AD256" s="1430"/>
      <c r="AE256" s="1429" t="s">
        <v>905</v>
      </c>
      <c r="AF256" s="1430"/>
    </row>
    <row r="257" spans="2:32" x14ac:dyDescent="0.2">
      <c r="I257" s="71" t="s">
        <v>510</v>
      </c>
      <c r="J257" s="143"/>
      <c r="K257" s="72" t="s">
        <v>511</v>
      </c>
      <c r="L257" s="35"/>
      <c r="M257" s="71" t="s">
        <v>510</v>
      </c>
      <c r="N257" s="3"/>
      <c r="O257" s="72" t="s">
        <v>511</v>
      </c>
      <c r="P257" s="35"/>
      <c r="Q257" s="71" t="s">
        <v>510</v>
      </c>
      <c r="R257" s="112" t="s">
        <v>511</v>
      </c>
      <c r="S257" s="71" t="s">
        <v>510</v>
      </c>
      <c r="T257" s="112" t="s">
        <v>511</v>
      </c>
      <c r="U257" s="69" t="s">
        <v>861</v>
      </c>
      <c r="V257" s="69" t="s">
        <v>511</v>
      </c>
      <c r="W257" s="71" t="s">
        <v>510</v>
      </c>
      <c r="X257" s="112" t="s">
        <v>511</v>
      </c>
      <c r="Y257" s="71" t="s">
        <v>510</v>
      </c>
      <c r="Z257" s="112" t="s">
        <v>511</v>
      </c>
      <c r="AA257" s="71" t="s">
        <v>510</v>
      </c>
      <c r="AB257" s="112" t="s">
        <v>511</v>
      </c>
      <c r="AC257" s="69" t="s">
        <v>861</v>
      </c>
      <c r="AD257" s="69" t="s">
        <v>511</v>
      </c>
      <c r="AE257" s="111" t="s">
        <v>861</v>
      </c>
      <c r="AF257" s="112" t="s">
        <v>511</v>
      </c>
    </row>
    <row r="258" spans="2:32" x14ac:dyDescent="0.2">
      <c r="B258" t="s">
        <v>196</v>
      </c>
      <c r="C258" t="s">
        <v>767</v>
      </c>
      <c r="AC258" s="145">
        <f>K199</f>
        <v>0</v>
      </c>
      <c r="AE258" s="145">
        <f>I258+M258+Q258+S258+U258+W258+Y258+AA258+AC258</f>
        <v>0</v>
      </c>
    </row>
    <row r="259" spans="2:32" x14ac:dyDescent="0.2">
      <c r="C259" s="649" t="s">
        <v>1054</v>
      </c>
      <c r="D259" s="13"/>
      <c r="E259" s="13"/>
      <c r="I259" s="144">
        <f>M29</f>
        <v>0</v>
      </c>
      <c r="J259" s="144"/>
      <c r="K259" s="144"/>
      <c r="L259" s="36"/>
      <c r="M259" s="144">
        <f>M40</f>
        <v>0</v>
      </c>
      <c r="N259" s="144"/>
      <c r="O259" s="144"/>
      <c r="P259" s="36"/>
      <c r="Q259" s="48">
        <f>M51</f>
        <v>0</v>
      </c>
      <c r="R259" s="145"/>
      <c r="S259" s="48">
        <f>M62</f>
        <v>0</v>
      </c>
      <c r="T259" s="145"/>
      <c r="U259" s="145">
        <f>M73</f>
        <v>0</v>
      </c>
      <c r="V259" s="145"/>
      <c r="W259" s="48"/>
      <c r="X259" s="145"/>
      <c r="Y259" s="48">
        <f>M116+M119</f>
        <v>0</v>
      </c>
      <c r="Z259" s="145">
        <f>M135</f>
        <v>0</v>
      </c>
      <c r="AA259" s="48">
        <f>I164+M174</f>
        <v>1938038</v>
      </c>
      <c r="AB259" s="145"/>
      <c r="AD259" s="145"/>
      <c r="AE259" s="145">
        <f t="shared" ref="AE259:AE298" si="8">I259+M259+Q259+S259+U259+W259+Y259+AA259+AC259</f>
        <v>1938038</v>
      </c>
      <c r="AF259" s="145">
        <f>K259+O259+R259+T259+V259+X259+Z259+AB259+AD259</f>
        <v>0</v>
      </c>
    </row>
    <row r="260" spans="2:32" s="1302" customFormat="1" x14ac:dyDescent="0.2">
      <c r="C260" s="900" t="s">
        <v>4212</v>
      </c>
      <c r="D260" s="1304"/>
      <c r="E260" s="1304"/>
      <c r="I260" s="144"/>
      <c r="J260" s="144"/>
      <c r="K260" s="144"/>
      <c r="L260" s="36"/>
      <c r="M260" s="144"/>
      <c r="N260" s="144"/>
      <c r="O260" s="144"/>
      <c r="P260" s="36"/>
      <c r="Q260" s="48"/>
      <c r="R260" s="145"/>
      <c r="S260" s="48"/>
      <c r="T260" s="145"/>
      <c r="U260" s="145"/>
      <c r="V260" s="145"/>
      <c r="W260" s="48">
        <f>M95</f>
        <v>28833</v>
      </c>
      <c r="X260" s="145"/>
      <c r="Y260" s="48"/>
      <c r="Z260" s="145"/>
      <c r="AA260" s="48"/>
      <c r="AB260" s="145"/>
      <c r="AD260" s="145"/>
      <c r="AE260" s="145">
        <f t="shared" ref="AE260" si="9">I260+M260+Q260+S260+U260+W260+Y260+AA260+AC260</f>
        <v>28833</v>
      </c>
      <c r="AF260" s="145">
        <f>K260+O260+R260+T260+V260+X260+Z260+AB260+AD260</f>
        <v>0</v>
      </c>
    </row>
    <row r="261" spans="2:32" x14ac:dyDescent="0.2">
      <c r="C261" s="141" t="s">
        <v>720</v>
      </c>
      <c r="D261" s="141"/>
      <c r="E261" s="141"/>
      <c r="F261" s="141"/>
      <c r="I261" s="36"/>
      <c r="J261" s="36"/>
      <c r="K261" s="36"/>
      <c r="L261" s="36"/>
      <c r="M261" s="36"/>
      <c r="N261" s="36"/>
      <c r="O261" s="36"/>
      <c r="P261" s="36"/>
      <c r="Q261" s="36"/>
      <c r="R261" s="36"/>
      <c r="S261" s="36"/>
      <c r="T261" s="36"/>
      <c r="U261" s="36"/>
      <c r="V261" s="36"/>
      <c r="W261" s="36"/>
      <c r="X261" s="36"/>
      <c r="Y261" s="36"/>
      <c r="Z261" s="36"/>
      <c r="AA261" s="36"/>
      <c r="AB261" s="36"/>
      <c r="AC261" s="36"/>
      <c r="AD261" s="36"/>
      <c r="AE261" s="145">
        <f t="shared" si="8"/>
        <v>0</v>
      </c>
      <c r="AF261" s="145">
        <f t="shared" ref="AF261:AF298" si="10">K261+O261+R261+T261+V261+X261+Z261+AB261+AD261</f>
        <v>0</v>
      </c>
    </row>
    <row r="262" spans="2:32" x14ac:dyDescent="0.2">
      <c r="C262" s="141" t="s">
        <v>722</v>
      </c>
      <c r="D262" s="141"/>
      <c r="E262" s="141"/>
      <c r="F262" s="141"/>
      <c r="I262" s="36">
        <f>M26</f>
        <v>0</v>
      </c>
      <c r="J262" s="36"/>
      <c r="K262" s="36">
        <f>M29</f>
        <v>0</v>
      </c>
      <c r="L262" s="36"/>
      <c r="M262" s="36">
        <f>M37</f>
        <v>0</v>
      </c>
      <c r="N262" s="36"/>
      <c r="O262" s="36">
        <f>M40</f>
        <v>0</v>
      </c>
      <c r="P262" s="36"/>
      <c r="Q262" s="36"/>
      <c r="R262" s="36"/>
      <c r="S262" s="36">
        <f>M59</f>
        <v>0</v>
      </c>
      <c r="T262" s="36">
        <f>M62</f>
        <v>0</v>
      </c>
      <c r="U262" s="36">
        <f>M70</f>
        <v>0</v>
      </c>
      <c r="V262" s="36">
        <f>M73</f>
        <v>0</v>
      </c>
      <c r="W262" s="36"/>
      <c r="X262" s="36"/>
      <c r="Y262" s="36"/>
      <c r="Z262" s="36"/>
      <c r="AA262" s="36"/>
      <c r="AB262" s="36"/>
      <c r="AC262" s="36"/>
      <c r="AD262" s="36"/>
      <c r="AE262" s="145">
        <f t="shared" si="8"/>
        <v>0</v>
      </c>
      <c r="AF262" s="145">
        <f t="shared" si="10"/>
        <v>0</v>
      </c>
    </row>
    <row r="263" spans="2:32" x14ac:dyDescent="0.2">
      <c r="C263" s="141" t="s">
        <v>721</v>
      </c>
      <c r="D263" s="141"/>
      <c r="E263" s="141"/>
      <c r="F263" s="141"/>
      <c r="I263" s="36"/>
      <c r="J263" s="36"/>
      <c r="K263" s="36"/>
      <c r="L263" s="36"/>
      <c r="M263" s="36"/>
      <c r="N263" s="36"/>
      <c r="O263" s="36"/>
      <c r="P263" s="36"/>
      <c r="R263" s="36"/>
      <c r="S263" s="36"/>
      <c r="T263" s="36"/>
      <c r="U263" s="36"/>
      <c r="V263" s="36"/>
      <c r="W263" s="36"/>
      <c r="X263" s="36"/>
      <c r="Y263" s="36"/>
      <c r="Z263" s="36"/>
      <c r="AA263" s="36"/>
      <c r="AB263" s="36"/>
      <c r="AC263" s="36"/>
      <c r="AD263" s="36"/>
      <c r="AE263" s="145">
        <f t="shared" si="8"/>
        <v>0</v>
      </c>
      <c r="AF263" s="145">
        <f t="shared" si="10"/>
        <v>0</v>
      </c>
    </row>
    <row r="264" spans="2:32" x14ac:dyDescent="0.2">
      <c r="C264" s="141" t="s">
        <v>327</v>
      </c>
      <c r="D264" s="141"/>
      <c r="E264" s="141"/>
      <c r="F264" s="141"/>
      <c r="I264" s="36"/>
      <c r="J264" s="36"/>
      <c r="K264" s="36"/>
      <c r="L264" s="36"/>
      <c r="M264" s="36"/>
      <c r="N264" s="36"/>
      <c r="O264" s="36"/>
      <c r="P264" s="36"/>
      <c r="Q264" s="36"/>
      <c r="R264" s="36"/>
      <c r="S264" s="36"/>
      <c r="T264" s="36"/>
      <c r="U264" s="36"/>
      <c r="V264" s="36"/>
      <c r="W264" s="36"/>
      <c r="X264" s="36"/>
      <c r="Y264" s="36"/>
      <c r="Z264" s="36"/>
      <c r="AA264" s="36"/>
      <c r="AB264" s="36"/>
      <c r="AC264" s="36"/>
      <c r="AD264" s="36"/>
      <c r="AE264" s="145">
        <f t="shared" si="8"/>
        <v>0</v>
      </c>
      <c r="AF264" s="145">
        <f t="shared" si="10"/>
        <v>0</v>
      </c>
    </row>
    <row r="265" spans="2:32" x14ac:dyDescent="0.2">
      <c r="C265" s="141" t="s">
        <v>717</v>
      </c>
      <c r="D265" s="141"/>
      <c r="E265" s="141"/>
      <c r="F265" s="141"/>
      <c r="I265" s="36"/>
      <c r="J265" s="36"/>
      <c r="K265" s="36"/>
      <c r="L265" s="36"/>
      <c r="M265" s="36"/>
      <c r="N265" s="36"/>
      <c r="O265" s="36"/>
      <c r="P265" s="36"/>
      <c r="Q265" s="36"/>
      <c r="R265" s="36"/>
      <c r="S265" s="36"/>
      <c r="T265" s="36"/>
      <c r="U265" s="36"/>
      <c r="V265" s="36"/>
      <c r="W265" s="36"/>
      <c r="X265" s="36"/>
      <c r="Y265" s="36"/>
      <c r="Z265" s="36"/>
      <c r="AA265" s="36"/>
      <c r="AB265" s="36"/>
      <c r="AC265" s="36"/>
      <c r="AD265" s="36"/>
      <c r="AE265" s="145">
        <f t="shared" si="8"/>
        <v>0</v>
      </c>
      <c r="AF265" s="145">
        <f t="shared" si="10"/>
        <v>0</v>
      </c>
    </row>
    <row r="266" spans="2:32" x14ac:dyDescent="0.2">
      <c r="C266" s="141" t="s">
        <v>910</v>
      </c>
      <c r="D266" s="141"/>
      <c r="E266" s="141"/>
      <c r="F266" s="141"/>
      <c r="I266" s="36"/>
      <c r="J266" s="36"/>
      <c r="K266" s="36"/>
      <c r="L266" s="36"/>
      <c r="M266" s="36"/>
      <c r="N266" s="36"/>
      <c r="O266" s="36"/>
      <c r="P266" s="36"/>
      <c r="Q266" s="36"/>
      <c r="R266" s="36"/>
      <c r="S266" s="36"/>
      <c r="T266" s="36"/>
      <c r="U266" s="36"/>
      <c r="V266" s="36"/>
      <c r="W266" s="36"/>
      <c r="X266" s="36"/>
      <c r="Y266" s="36"/>
      <c r="Z266" s="36"/>
      <c r="AA266" s="36">
        <f>H168</f>
        <v>0</v>
      </c>
      <c r="AB266" s="36">
        <f>H190</f>
        <v>0</v>
      </c>
      <c r="AC266" s="36"/>
      <c r="AD266" s="36"/>
      <c r="AE266" s="145">
        <f t="shared" si="8"/>
        <v>0</v>
      </c>
      <c r="AF266" s="145">
        <f t="shared" si="10"/>
        <v>0</v>
      </c>
    </row>
    <row r="267" spans="2:32" x14ac:dyDescent="0.2">
      <c r="C267" s="141" t="s">
        <v>889</v>
      </c>
      <c r="D267" s="141"/>
      <c r="E267" s="141"/>
      <c r="F267" s="141"/>
      <c r="I267" s="36"/>
      <c r="J267" s="36"/>
      <c r="K267" s="36"/>
      <c r="L267" s="36"/>
      <c r="M267" s="36"/>
      <c r="N267" s="36"/>
      <c r="O267" s="36"/>
      <c r="P267" s="36"/>
      <c r="Q267" s="36"/>
      <c r="R267" s="36"/>
      <c r="S267" s="36"/>
      <c r="T267" s="36"/>
      <c r="U267" s="36"/>
      <c r="V267" s="36"/>
      <c r="W267" s="36"/>
      <c r="X267" s="36"/>
      <c r="Y267" s="36"/>
      <c r="Z267" s="36"/>
      <c r="AA267" s="36"/>
      <c r="AB267" s="36"/>
      <c r="AC267" s="36">
        <f>K197</f>
        <v>0</v>
      </c>
      <c r="AD267" s="36">
        <f>K199</f>
        <v>0</v>
      </c>
      <c r="AE267" s="145">
        <f t="shared" si="8"/>
        <v>0</v>
      </c>
      <c r="AF267" s="145">
        <f t="shared" si="10"/>
        <v>0</v>
      </c>
    </row>
    <row r="268" spans="2:32" x14ac:dyDescent="0.2">
      <c r="C268" s="141" t="s">
        <v>960</v>
      </c>
      <c r="E268" s="141"/>
      <c r="F268" s="141"/>
      <c r="I268" s="36"/>
      <c r="J268" s="36"/>
      <c r="K268" s="36">
        <f>M26</f>
        <v>0</v>
      </c>
      <c r="L268" s="36"/>
      <c r="M268" s="36"/>
      <c r="N268" s="36"/>
      <c r="O268" s="36">
        <f>M37</f>
        <v>0</v>
      </c>
      <c r="P268" s="36"/>
      <c r="Q268" s="36"/>
      <c r="R268" s="36">
        <f>M48</f>
        <v>0</v>
      </c>
      <c r="S268" s="36"/>
      <c r="T268" s="36">
        <f>M59</f>
        <v>0</v>
      </c>
      <c r="U268" s="36"/>
      <c r="V268" s="36">
        <f>M70</f>
        <v>0</v>
      </c>
      <c r="W268" s="36"/>
      <c r="X268" s="36">
        <f>M79</f>
        <v>33023</v>
      </c>
      <c r="Y268" s="36"/>
      <c r="Z268" s="36">
        <f>M116</f>
        <v>0</v>
      </c>
      <c r="AA268" s="36"/>
      <c r="AB268" s="36">
        <f>M155</f>
        <v>1773077</v>
      </c>
      <c r="AC268" s="36"/>
      <c r="AD268" s="36">
        <f>K197</f>
        <v>0</v>
      </c>
      <c r="AE268" s="145">
        <f t="shared" si="8"/>
        <v>0</v>
      </c>
      <c r="AF268" s="145">
        <f t="shared" si="10"/>
        <v>1806100</v>
      </c>
    </row>
    <row r="269" spans="2:32" x14ac:dyDescent="0.2">
      <c r="C269" s="141"/>
      <c r="D269" s="141"/>
      <c r="E269" s="141"/>
      <c r="F269" s="141"/>
      <c r="I269" s="36"/>
      <c r="J269" s="36"/>
      <c r="K269" s="36"/>
      <c r="L269" s="36"/>
      <c r="M269" s="36"/>
      <c r="N269" s="36"/>
      <c r="O269" s="36"/>
      <c r="P269" s="36"/>
      <c r="Q269" s="36"/>
      <c r="R269" s="36"/>
      <c r="S269" s="36"/>
      <c r="T269" s="36"/>
      <c r="U269" s="36"/>
      <c r="V269" s="36"/>
      <c r="W269" s="36"/>
      <c r="X269" s="36"/>
      <c r="Y269" s="36"/>
      <c r="Z269" s="36"/>
      <c r="AA269" s="36"/>
      <c r="AB269" s="36"/>
      <c r="AC269" s="36"/>
      <c r="AD269" s="36"/>
      <c r="AE269" s="145">
        <f t="shared" si="8"/>
        <v>0</v>
      </c>
      <c r="AF269" s="145">
        <f t="shared" si="10"/>
        <v>0</v>
      </c>
    </row>
    <row r="270" spans="2:32" x14ac:dyDescent="0.2">
      <c r="C270" s="141" t="s">
        <v>329</v>
      </c>
      <c r="E270" s="141"/>
      <c r="F270" s="141"/>
      <c r="I270" s="36"/>
      <c r="J270" s="36"/>
      <c r="K270" s="36"/>
      <c r="L270" s="36"/>
      <c r="M270" s="36"/>
      <c r="N270" s="36"/>
      <c r="O270" s="36"/>
      <c r="P270" s="36"/>
      <c r="Q270" s="36"/>
      <c r="R270" s="36"/>
      <c r="S270" s="36"/>
      <c r="T270" s="36"/>
      <c r="U270" s="36"/>
      <c r="V270" s="36"/>
      <c r="W270" s="36"/>
      <c r="X270" s="36"/>
      <c r="Y270" s="36">
        <f>K140</f>
        <v>0</v>
      </c>
      <c r="Z270" s="36">
        <f>K124</f>
        <v>0</v>
      </c>
      <c r="AA270" s="36">
        <f>I159</f>
        <v>0</v>
      </c>
      <c r="AB270" s="36">
        <f t="shared" ref="AB270:AB278" si="11">I181</f>
        <v>0</v>
      </c>
      <c r="AC270" s="36"/>
      <c r="AD270" s="36"/>
      <c r="AE270" s="145">
        <f t="shared" si="8"/>
        <v>0</v>
      </c>
      <c r="AF270" s="145">
        <f t="shared" si="10"/>
        <v>0</v>
      </c>
    </row>
    <row r="271" spans="2:32" x14ac:dyDescent="0.2">
      <c r="C271" s="141" t="s">
        <v>330</v>
      </c>
      <c r="E271" s="141"/>
      <c r="F271" s="141"/>
      <c r="I271" s="36"/>
      <c r="J271" s="36"/>
      <c r="K271" s="36"/>
      <c r="L271" s="36"/>
      <c r="M271" s="36"/>
      <c r="N271" s="36"/>
      <c r="O271" s="36"/>
      <c r="P271" s="36"/>
      <c r="Q271" s="36"/>
      <c r="R271" s="36"/>
      <c r="S271" s="36"/>
      <c r="T271" s="36"/>
      <c r="U271" s="36"/>
      <c r="V271" s="36"/>
      <c r="W271" s="36"/>
      <c r="X271" s="36"/>
      <c r="Y271" s="36"/>
      <c r="Z271" s="36"/>
      <c r="AA271" s="36">
        <f>I160</f>
        <v>0</v>
      </c>
      <c r="AB271" s="36">
        <f t="shared" si="11"/>
        <v>0</v>
      </c>
      <c r="AC271" s="36"/>
      <c r="AD271" s="36"/>
      <c r="AE271" s="145">
        <f t="shared" si="8"/>
        <v>0</v>
      </c>
      <c r="AF271" s="145">
        <f t="shared" si="10"/>
        <v>0</v>
      </c>
    </row>
    <row r="272" spans="2:32" x14ac:dyDescent="0.2">
      <c r="C272" s="141" t="s">
        <v>331</v>
      </c>
      <c r="E272" s="141"/>
      <c r="F272" s="141"/>
      <c r="I272" s="36"/>
      <c r="J272" s="36"/>
      <c r="K272" s="36"/>
      <c r="L272" s="36"/>
      <c r="M272" s="36"/>
      <c r="N272" s="36"/>
      <c r="O272" s="36"/>
      <c r="P272" s="36"/>
      <c r="Q272" s="36"/>
      <c r="R272" s="36"/>
      <c r="S272" s="36"/>
      <c r="T272" s="36"/>
      <c r="U272" s="36"/>
      <c r="V272" s="36"/>
      <c r="W272" s="36"/>
      <c r="X272" s="36"/>
      <c r="Y272" s="36">
        <f>K141</f>
        <v>0</v>
      </c>
      <c r="Z272" s="36">
        <f>K125</f>
        <v>0</v>
      </c>
      <c r="AA272" s="36">
        <f>I161</f>
        <v>0</v>
      </c>
      <c r="AB272" s="36">
        <f t="shared" si="11"/>
        <v>0</v>
      </c>
      <c r="AC272" s="36"/>
      <c r="AD272" s="36"/>
      <c r="AE272" s="145">
        <f t="shared" si="8"/>
        <v>0</v>
      </c>
      <c r="AF272" s="145">
        <f t="shared" si="10"/>
        <v>0</v>
      </c>
    </row>
    <row r="273" spans="3:32" x14ac:dyDescent="0.2">
      <c r="C273" s="141" t="s">
        <v>332</v>
      </c>
      <c r="E273" s="141"/>
      <c r="F273" s="141"/>
      <c r="I273" s="36"/>
      <c r="J273" s="36"/>
      <c r="K273" s="36"/>
      <c r="L273" s="36"/>
      <c r="M273" s="36"/>
      <c r="N273" s="36"/>
      <c r="O273" s="36"/>
      <c r="P273" s="36"/>
      <c r="Q273" s="36"/>
      <c r="R273" s="36"/>
      <c r="S273" s="36"/>
      <c r="T273" s="36"/>
      <c r="U273" s="36"/>
      <c r="V273" s="36"/>
      <c r="W273" s="36"/>
      <c r="X273" s="36"/>
      <c r="Y273" s="36">
        <f>K142</f>
        <v>0</v>
      </c>
      <c r="Z273" s="36">
        <f>K126</f>
        <v>0</v>
      </c>
      <c r="AA273" s="36">
        <f>I162</f>
        <v>0</v>
      </c>
      <c r="AB273" s="36">
        <f t="shared" si="11"/>
        <v>0</v>
      </c>
      <c r="AC273" s="36"/>
      <c r="AD273" s="36"/>
      <c r="AE273" s="145">
        <f t="shared" si="8"/>
        <v>0</v>
      </c>
      <c r="AF273" s="145">
        <f t="shared" si="10"/>
        <v>0</v>
      </c>
    </row>
    <row r="274" spans="3:32" x14ac:dyDescent="0.2">
      <c r="C274" s="141" t="s">
        <v>333</v>
      </c>
      <c r="E274" s="141"/>
      <c r="F274" s="141"/>
      <c r="I274" s="36"/>
      <c r="J274" s="36"/>
      <c r="K274" s="36"/>
      <c r="L274" s="36"/>
      <c r="M274" s="36"/>
      <c r="N274" s="36"/>
      <c r="O274" s="36"/>
      <c r="P274" s="36"/>
      <c r="Q274" s="36"/>
      <c r="R274" s="36"/>
      <c r="S274" s="36"/>
      <c r="T274" s="36"/>
      <c r="U274" s="36"/>
      <c r="V274" s="36"/>
      <c r="W274" s="36"/>
      <c r="X274" s="36"/>
      <c r="Y274" s="36">
        <f>K143</f>
        <v>0</v>
      </c>
      <c r="Z274" s="36">
        <f>K127</f>
        <v>0</v>
      </c>
      <c r="AA274" s="36">
        <f>I163</f>
        <v>0</v>
      </c>
      <c r="AB274" s="36">
        <f t="shared" si="11"/>
        <v>0</v>
      </c>
      <c r="AC274" s="36"/>
      <c r="AD274" s="36"/>
      <c r="AE274" s="145">
        <f t="shared" si="8"/>
        <v>0</v>
      </c>
      <c r="AF274" s="145">
        <f t="shared" si="10"/>
        <v>0</v>
      </c>
    </row>
    <row r="275" spans="3:32" x14ac:dyDescent="0.2">
      <c r="C275" s="141" t="s">
        <v>4214</v>
      </c>
      <c r="E275" s="141"/>
      <c r="F275" s="141"/>
      <c r="I275" s="36"/>
      <c r="J275" s="36"/>
      <c r="K275" s="36"/>
      <c r="L275" s="36"/>
      <c r="M275" s="36"/>
      <c r="N275" s="36"/>
      <c r="O275" s="36"/>
      <c r="P275" s="36"/>
      <c r="Q275" s="36"/>
      <c r="R275" s="36"/>
      <c r="S275" s="36"/>
      <c r="T275" s="36"/>
      <c r="U275" s="36"/>
      <c r="V275" s="36"/>
      <c r="W275" s="36"/>
      <c r="X275" s="36"/>
      <c r="Y275" s="36"/>
      <c r="Z275" s="36"/>
      <c r="AA275" s="36">
        <v>0</v>
      </c>
      <c r="AB275" s="36">
        <f t="shared" si="11"/>
        <v>164961</v>
      </c>
      <c r="AC275" s="36"/>
      <c r="AD275" s="36"/>
      <c r="AE275" s="145">
        <f t="shared" si="8"/>
        <v>0</v>
      </c>
      <c r="AF275" s="145">
        <f t="shared" si="10"/>
        <v>164961</v>
      </c>
    </row>
    <row r="276" spans="3:32" x14ac:dyDescent="0.2">
      <c r="C276" s="141" t="s">
        <v>335</v>
      </c>
      <c r="E276" s="141"/>
      <c r="F276" s="141"/>
      <c r="I276" s="36"/>
      <c r="J276" s="36"/>
      <c r="K276" s="36"/>
      <c r="L276" s="36"/>
      <c r="M276" s="36"/>
      <c r="N276" s="36"/>
      <c r="O276" s="36"/>
      <c r="P276" s="36"/>
      <c r="Q276" s="36"/>
      <c r="R276" s="36"/>
      <c r="S276" s="36"/>
      <c r="T276" s="36"/>
      <c r="U276" s="36"/>
      <c r="V276" s="36"/>
      <c r="W276" s="36"/>
      <c r="X276" s="36"/>
      <c r="Y276" s="36"/>
      <c r="Z276" s="36"/>
      <c r="AA276" s="36">
        <f>I165</f>
        <v>0</v>
      </c>
      <c r="AB276" s="36">
        <f t="shared" si="11"/>
        <v>0</v>
      </c>
      <c r="AC276" s="36"/>
      <c r="AD276" s="36"/>
      <c r="AE276" s="145">
        <f t="shared" si="8"/>
        <v>0</v>
      </c>
      <c r="AF276" s="145">
        <f t="shared" si="10"/>
        <v>0</v>
      </c>
    </row>
    <row r="277" spans="3:32" x14ac:dyDescent="0.2">
      <c r="C277" s="141" t="s">
        <v>173</v>
      </c>
      <c r="E277" s="141"/>
      <c r="F277" s="141"/>
      <c r="I277" s="36"/>
      <c r="J277" s="36"/>
      <c r="K277" s="36"/>
      <c r="L277" s="36"/>
      <c r="M277" s="36"/>
      <c r="N277" s="36"/>
      <c r="O277" s="36"/>
      <c r="P277" s="36"/>
      <c r="Q277" s="36"/>
      <c r="R277" s="36"/>
      <c r="S277" s="36"/>
      <c r="T277" s="36"/>
      <c r="U277" s="36"/>
      <c r="V277" s="36"/>
      <c r="W277" s="36"/>
      <c r="X277" s="36"/>
      <c r="Y277" s="36">
        <f>K144</f>
        <v>0</v>
      </c>
      <c r="Z277" s="36">
        <f>K128</f>
        <v>0</v>
      </c>
      <c r="AA277" s="36">
        <f>I166</f>
        <v>0</v>
      </c>
      <c r="AB277" s="36">
        <f t="shared" si="11"/>
        <v>0</v>
      </c>
      <c r="AC277" s="36"/>
      <c r="AD277" s="36"/>
      <c r="AE277" s="145">
        <f t="shared" si="8"/>
        <v>0</v>
      </c>
      <c r="AF277" s="145">
        <f t="shared" si="10"/>
        <v>0</v>
      </c>
    </row>
    <row r="278" spans="3:32" x14ac:dyDescent="0.2">
      <c r="C278" s="377" t="s">
        <v>301</v>
      </c>
      <c r="E278" s="141"/>
      <c r="F278" s="141"/>
      <c r="I278" s="36"/>
      <c r="J278" s="36"/>
      <c r="K278" s="36"/>
      <c r="L278" s="36"/>
      <c r="M278" s="36"/>
      <c r="N278" s="36"/>
      <c r="O278" s="36"/>
      <c r="P278" s="36"/>
      <c r="Q278" s="36"/>
      <c r="R278" s="36"/>
      <c r="S278" s="36"/>
      <c r="T278" s="36"/>
      <c r="U278" s="36"/>
      <c r="V278" s="36"/>
      <c r="W278" s="36"/>
      <c r="X278" s="36"/>
      <c r="Y278" s="36">
        <f>K145</f>
        <v>0</v>
      </c>
      <c r="Z278" s="36">
        <f>K129</f>
        <v>0</v>
      </c>
      <c r="AA278" s="36">
        <f>I167</f>
        <v>0</v>
      </c>
      <c r="AB278" s="36">
        <f t="shared" si="11"/>
        <v>0</v>
      </c>
      <c r="AC278" s="36"/>
      <c r="AD278" s="36"/>
      <c r="AE278" s="145">
        <f t="shared" si="8"/>
        <v>0</v>
      </c>
      <c r="AF278" s="145">
        <f t="shared" si="10"/>
        <v>0</v>
      </c>
    </row>
    <row r="279" spans="3:32" x14ac:dyDescent="0.2">
      <c r="C279" s="141"/>
      <c r="D279" s="141"/>
      <c r="E279" s="141"/>
      <c r="F279" s="141"/>
      <c r="I279" s="36"/>
      <c r="J279" s="36"/>
      <c r="K279" s="36"/>
      <c r="L279" s="36"/>
      <c r="M279" s="36"/>
      <c r="N279" s="36"/>
      <c r="O279" s="36"/>
      <c r="P279" s="36"/>
      <c r="Q279" s="36"/>
      <c r="R279" s="36"/>
      <c r="S279" s="36"/>
      <c r="T279" s="36"/>
      <c r="U279" s="36"/>
      <c r="V279" s="36"/>
      <c r="W279" s="36"/>
      <c r="X279" s="36"/>
      <c r="Y279" s="36"/>
      <c r="Z279" s="36"/>
      <c r="AA279" s="36"/>
      <c r="AB279" s="36"/>
      <c r="AC279" s="36"/>
      <c r="AD279" s="36"/>
      <c r="AE279" s="145">
        <f t="shared" si="8"/>
        <v>0</v>
      </c>
      <c r="AF279" s="145">
        <f t="shared" si="10"/>
        <v>0</v>
      </c>
    </row>
    <row r="280" spans="3:32" x14ac:dyDescent="0.2">
      <c r="C280" s="141" t="s">
        <v>73</v>
      </c>
      <c r="E280" s="141"/>
      <c r="F280" s="141"/>
      <c r="I280" s="36"/>
      <c r="J280" s="36"/>
      <c r="K280" s="36"/>
      <c r="L280" s="36"/>
      <c r="M280" s="36"/>
      <c r="N280" s="36"/>
      <c r="O280" s="36"/>
      <c r="P280" s="36"/>
      <c r="Q280" s="36"/>
      <c r="R280" s="36"/>
      <c r="S280" s="36"/>
      <c r="T280" s="36"/>
      <c r="U280" s="36"/>
      <c r="V280" s="36"/>
      <c r="W280" s="36"/>
      <c r="X280" s="36"/>
      <c r="Y280" s="36"/>
      <c r="Z280" s="36"/>
      <c r="AA280" s="36">
        <f t="shared" ref="AA280:AA288" si="12">K159</f>
        <v>0</v>
      </c>
      <c r="AB280" s="36">
        <f t="shared" ref="AB280:AB288" si="13">K181</f>
        <v>0</v>
      </c>
      <c r="AC280" s="36"/>
      <c r="AD280" s="36"/>
      <c r="AE280" s="145">
        <f t="shared" si="8"/>
        <v>0</v>
      </c>
      <c r="AF280" s="145">
        <f t="shared" si="10"/>
        <v>0</v>
      </c>
    </row>
    <row r="281" spans="3:32" x14ac:dyDescent="0.2">
      <c r="C281" s="141" t="s">
        <v>468</v>
      </c>
      <c r="E281" s="141"/>
      <c r="F281" s="141"/>
      <c r="I281" s="36"/>
      <c r="J281" s="36"/>
      <c r="K281" s="36"/>
      <c r="L281" s="36"/>
      <c r="M281" s="36"/>
      <c r="N281" s="36"/>
      <c r="O281" s="36"/>
      <c r="P281" s="36"/>
      <c r="Q281" s="36">
        <f>M48</f>
        <v>0</v>
      </c>
      <c r="R281" s="36">
        <f>M51</f>
        <v>0</v>
      </c>
      <c r="S281" s="36"/>
      <c r="T281" s="36"/>
      <c r="U281" s="36"/>
      <c r="V281" s="36"/>
      <c r="W281" s="36"/>
      <c r="X281" s="36"/>
      <c r="Y281" s="36"/>
      <c r="Z281" s="36"/>
      <c r="AA281" s="36">
        <f t="shared" si="12"/>
        <v>0</v>
      </c>
      <c r="AB281" s="36">
        <f t="shared" si="13"/>
        <v>0</v>
      </c>
      <c r="AC281" s="36"/>
      <c r="AD281" s="36"/>
      <c r="AE281" s="145">
        <f t="shared" si="8"/>
        <v>0</v>
      </c>
      <c r="AF281" s="145">
        <f t="shared" si="10"/>
        <v>0</v>
      </c>
    </row>
    <row r="282" spans="3:32" x14ac:dyDescent="0.2">
      <c r="C282" s="141" t="s">
        <v>74</v>
      </c>
      <c r="E282" s="141"/>
      <c r="F282" s="141"/>
      <c r="I282" s="36"/>
      <c r="J282" s="36"/>
      <c r="K282" s="36"/>
      <c r="L282" s="36"/>
      <c r="M282" s="36"/>
      <c r="N282" s="36"/>
      <c r="O282" s="36"/>
      <c r="P282" s="36"/>
      <c r="Q282" s="36"/>
      <c r="R282" s="36"/>
      <c r="S282" s="36"/>
      <c r="T282" s="36"/>
      <c r="U282" s="36"/>
      <c r="V282" s="36"/>
      <c r="W282" s="36"/>
      <c r="X282" s="36"/>
      <c r="Y282" s="36"/>
      <c r="Z282" s="36"/>
      <c r="AA282" s="36">
        <f t="shared" si="12"/>
        <v>0</v>
      </c>
      <c r="AB282" s="36">
        <f t="shared" si="13"/>
        <v>0</v>
      </c>
      <c r="AC282" s="36"/>
      <c r="AD282" s="36"/>
      <c r="AE282" s="145">
        <f t="shared" si="8"/>
        <v>0</v>
      </c>
      <c r="AF282" s="145">
        <f t="shared" si="10"/>
        <v>0</v>
      </c>
    </row>
    <row r="283" spans="3:32" x14ac:dyDescent="0.2">
      <c r="C283" s="141" t="s">
        <v>75</v>
      </c>
      <c r="E283" s="141"/>
      <c r="F283" s="141"/>
      <c r="I283" s="36"/>
      <c r="J283" s="36"/>
      <c r="K283" s="36"/>
      <c r="L283" s="36"/>
      <c r="M283" s="36"/>
      <c r="N283" s="36"/>
      <c r="O283" s="36"/>
      <c r="P283" s="36"/>
      <c r="Q283" s="36"/>
      <c r="R283" s="36"/>
      <c r="S283" s="36"/>
      <c r="T283" s="36"/>
      <c r="U283" s="36"/>
      <c r="V283" s="36"/>
      <c r="W283" s="36"/>
      <c r="X283" s="36"/>
      <c r="Y283" s="36"/>
      <c r="Z283" s="36"/>
      <c r="AA283" s="36">
        <f t="shared" si="12"/>
        <v>0</v>
      </c>
      <c r="AB283" s="36">
        <f t="shared" si="13"/>
        <v>0</v>
      </c>
      <c r="AC283" s="36"/>
      <c r="AD283" s="36"/>
      <c r="AE283" s="145">
        <f t="shared" si="8"/>
        <v>0</v>
      </c>
      <c r="AF283" s="145">
        <f t="shared" si="10"/>
        <v>0</v>
      </c>
    </row>
    <row r="284" spans="3:32" x14ac:dyDescent="0.2">
      <c r="C284" s="141" t="s">
        <v>76</v>
      </c>
      <c r="E284" s="141"/>
      <c r="F284" s="141"/>
      <c r="I284" s="36"/>
      <c r="J284" s="36"/>
      <c r="K284" s="36"/>
      <c r="L284" s="36"/>
      <c r="M284" s="36"/>
      <c r="N284" s="36"/>
      <c r="O284" s="36"/>
      <c r="P284" s="36"/>
      <c r="Q284" s="36"/>
      <c r="R284" s="36"/>
      <c r="S284" s="36"/>
      <c r="T284" s="36"/>
      <c r="U284" s="36"/>
      <c r="V284" s="36"/>
      <c r="W284" s="36"/>
      <c r="X284" s="36"/>
      <c r="Y284" s="36"/>
      <c r="Z284" s="36"/>
      <c r="AA284" s="36">
        <f t="shared" si="12"/>
        <v>0</v>
      </c>
      <c r="AB284" s="36">
        <f t="shared" si="13"/>
        <v>0</v>
      </c>
      <c r="AC284" s="36"/>
      <c r="AD284" s="36"/>
      <c r="AE284" s="145">
        <f t="shared" si="8"/>
        <v>0</v>
      </c>
      <c r="AF284" s="145">
        <f t="shared" si="10"/>
        <v>0</v>
      </c>
    </row>
    <row r="285" spans="3:32" x14ac:dyDescent="0.2">
      <c r="C285" s="141" t="s">
        <v>77</v>
      </c>
      <c r="E285" s="141"/>
      <c r="F285" s="141"/>
      <c r="I285" s="36"/>
      <c r="J285" s="36"/>
      <c r="K285" s="36"/>
      <c r="L285" s="36"/>
      <c r="M285" s="36"/>
      <c r="N285" s="36"/>
      <c r="O285" s="36"/>
      <c r="P285" s="36"/>
      <c r="Q285" s="36"/>
      <c r="R285" s="36"/>
      <c r="S285" s="36"/>
      <c r="T285" s="36"/>
      <c r="U285" s="36"/>
      <c r="V285" s="36"/>
      <c r="W285" s="36"/>
      <c r="X285" s="36"/>
      <c r="Y285" s="36"/>
      <c r="Z285" s="36"/>
      <c r="AA285" s="36">
        <f t="shared" si="12"/>
        <v>0</v>
      </c>
      <c r="AB285" s="36">
        <f t="shared" si="13"/>
        <v>0</v>
      </c>
      <c r="AC285" s="36"/>
      <c r="AD285" s="36"/>
      <c r="AE285" s="145">
        <f t="shared" si="8"/>
        <v>0</v>
      </c>
      <c r="AF285" s="145">
        <f t="shared" si="10"/>
        <v>0</v>
      </c>
    </row>
    <row r="286" spans="3:32" x14ac:dyDescent="0.2">
      <c r="C286" s="141" t="s">
        <v>925</v>
      </c>
      <c r="E286" s="141"/>
      <c r="F286" s="141"/>
      <c r="I286" s="36"/>
      <c r="J286" s="36"/>
      <c r="K286" s="36"/>
      <c r="L286" s="36"/>
      <c r="M286" s="36"/>
      <c r="N286" s="36"/>
      <c r="O286" s="36"/>
      <c r="P286" s="36"/>
      <c r="Q286" s="36"/>
      <c r="R286" s="36"/>
      <c r="S286" s="36"/>
      <c r="T286" s="36"/>
      <c r="U286" s="36"/>
      <c r="V286" s="36"/>
      <c r="W286" s="36"/>
      <c r="X286" s="36"/>
      <c r="Y286" s="36"/>
      <c r="Z286" s="36"/>
      <c r="AA286" s="36">
        <f t="shared" si="12"/>
        <v>0</v>
      </c>
      <c r="AB286" s="36">
        <f t="shared" si="13"/>
        <v>0</v>
      </c>
      <c r="AC286" s="36"/>
      <c r="AD286" s="36"/>
      <c r="AE286" s="145">
        <f t="shared" si="8"/>
        <v>0</v>
      </c>
      <c r="AF286" s="145">
        <f t="shared" si="10"/>
        <v>0</v>
      </c>
    </row>
    <row r="287" spans="3:32" x14ac:dyDescent="0.2">
      <c r="C287" s="141" t="s">
        <v>174</v>
      </c>
      <c r="E287" s="141"/>
      <c r="F287" s="141"/>
      <c r="I287" s="36"/>
      <c r="J287" s="36"/>
      <c r="K287" s="36"/>
      <c r="L287" s="36"/>
      <c r="M287" s="36"/>
      <c r="N287" s="36"/>
      <c r="O287" s="36"/>
      <c r="P287" s="36"/>
      <c r="Q287" s="36"/>
      <c r="R287" s="36"/>
      <c r="S287" s="36"/>
      <c r="T287" s="36"/>
      <c r="U287" s="36"/>
      <c r="V287" s="36"/>
      <c r="W287" s="36"/>
      <c r="X287" s="36"/>
      <c r="Y287" s="36"/>
      <c r="Z287" s="36"/>
      <c r="AA287" s="36">
        <f t="shared" si="12"/>
        <v>0</v>
      </c>
      <c r="AB287" s="36">
        <f t="shared" si="13"/>
        <v>0</v>
      </c>
      <c r="AC287" s="36"/>
      <c r="AD287" s="36"/>
      <c r="AE287" s="145">
        <f t="shared" si="8"/>
        <v>0</v>
      </c>
      <c r="AF287" s="145">
        <f t="shared" si="10"/>
        <v>0</v>
      </c>
    </row>
    <row r="288" spans="3:32" x14ac:dyDescent="0.2">
      <c r="C288" s="377" t="s">
        <v>302</v>
      </c>
      <c r="E288" s="141"/>
      <c r="F288" s="141"/>
      <c r="I288" s="36"/>
      <c r="J288" s="36"/>
      <c r="K288" s="36"/>
      <c r="L288" s="36"/>
      <c r="M288" s="36"/>
      <c r="N288" s="36"/>
      <c r="O288" s="36"/>
      <c r="P288" s="36"/>
      <c r="Q288" s="36"/>
      <c r="R288" s="36"/>
      <c r="S288" s="36"/>
      <c r="T288" s="36"/>
      <c r="U288" s="36"/>
      <c r="V288" s="36"/>
      <c r="W288" s="36"/>
      <c r="X288" s="36"/>
      <c r="Y288" s="36"/>
      <c r="Z288" s="36"/>
      <c r="AA288" s="36">
        <f t="shared" si="12"/>
        <v>0</v>
      </c>
      <c r="AB288" s="36">
        <f t="shared" si="13"/>
        <v>0</v>
      </c>
      <c r="AC288" s="36"/>
      <c r="AD288" s="36"/>
      <c r="AE288" s="145">
        <f t="shared" si="8"/>
        <v>0</v>
      </c>
      <c r="AF288" s="145">
        <f t="shared" si="10"/>
        <v>0</v>
      </c>
    </row>
    <row r="289" spans="3:32" x14ac:dyDescent="0.2">
      <c r="C289" s="141"/>
      <c r="D289" s="141"/>
      <c r="E289" s="141"/>
      <c r="F289" s="141"/>
      <c r="I289" s="36"/>
      <c r="J289" s="36"/>
      <c r="K289" s="36"/>
      <c r="L289" s="36"/>
      <c r="M289" s="36"/>
      <c r="N289" s="36"/>
      <c r="O289" s="36"/>
      <c r="P289" s="36"/>
      <c r="Q289" s="36"/>
      <c r="R289" s="36"/>
      <c r="S289" s="36"/>
      <c r="T289" s="36"/>
      <c r="U289" s="36"/>
      <c r="V289" s="36"/>
      <c r="W289" s="36"/>
      <c r="X289" s="36"/>
      <c r="Y289" s="36"/>
      <c r="Z289" s="36"/>
      <c r="AA289" s="36"/>
      <c r="AB289" s="36"/>
      <c r="AC289" s="36"/>
      <c r="AD289" s="36"/>
      <c r="AE289" s="145">
        <f t="shared" si="8"/>
        <v>0</v>
      </c>
      <c r="AF289" s="145">
        <f t="shared" si="10"/>
        <v>0</v>
      </c>
    </row>
    <row r="290" spans="3:32" x14ac:dyDescent="0.2">
      <c r="C290" s="141" t="s">
        <v>466</v>
      </c>
      <c r="E290" s="141"/>
      <c r="F290" s="141"/>
      <c r="I290" s="36"/>
      <c r="J290" s="36"/>
      <c r="K290" s="36"/>
      <c r="L290" s="36"/>
      <c r="M290" s="36"/>
      <c r="N290" s="36"/>
      <c r="O290" s="36"/>
      <c r="P290" s="36"/>
      <c r="Q290" s="36"/>
      <c r="R290" s="36"/>
      <c r="S290" s="36"/>
      <c r="T290" s="36"/>
      <c r="U290" s="36"/>
      <c r="V290" s="36"/>
      <c r="W290" s="36">
        <f>K103</f>
        <v>0</v>
      </c>
      <c r="X290" s="36">
        <f>K87</f>
        <v>0</v>
      </c>
      <c r="Y290" s="36"/>
      <c r="Z290" s="36"/>
      <c r="AA290" s="36">
        <f t="shared" ref="AA290:AA298" si="14">M159</f>
        <v>0</v>
      </c>
      <c r="AB290" s="36">
        <f t="shared" ref="AB290:AB298" si="15">M181</f>
        <v>0</v>
      </c>
      <c r="AC290" s="36"/>
      <c r="AD290" s="36"/>
      <c r="AE290" s="145">
        <f t="shared" si="8"/>
        <v>0</v>
      </c>
      <c r="AF290" s="145">
        <f t="shared" si="10"/>
        <v>0</v>
      </c>
    </row>
    <row r="291" spans="3:32" x14ac:dyDescent="0.2">
      <c r="C291" s="141" t="s">
        <v>338</v>
      </c>
      <c r="E291" s="141"/>
      <c r="F291" s="141"/>
      <c r="I291" s="36"/>
      <c r="J291" s="36"/>
      <c r="K291" s="36"/>
      <c r="L291" s="36"/>
      <c r="M291" s="36"/>
      <c r="N291" s="36"/>
      <c r="O291" s="36"/>
      <c r="P291" s="36"/>
      <c r="Q291" s="36"/>
      <c r="R291" s="36"/>
      <c r="S291" s="36"/>
      <c r="T291" s="36"/>
      <c r="U291" s="36"/>
      <c r="V291" s="36"/>
      <c r="W291" s="36"/>
      <c r="X291" s="36"/>
      <c r="Y291" s="36"/>
      <c r="Z291" s="36"/>
      <c r="AA291" s="36">
        <f t="shared" si="14"/>
        <v>0</v>
      </c>
      <c r="AB291" s="36">
        <f t="shared" si="15"/>
        <v>0</v>
      </c>
      <c r="AC291" s="36"/>
      <c r="AD291" s="36"/>
      <c r="AE291" s="145">
        <f t="shared" si="8"/>
        <v>0</v>
      </c>
      <c r="AF291" s="145">
        <f t="shared" si="10"/>
        <v>0</v>
      </c>
    </row>
    <row r="292" spans="3:32" x14ac:dyDescent="0.2">
      <c r="C292" s="141" t="s">
        <v>339</v>
      </c>
      <c r="E292" s="141"/>
      <c r="F292" s="141"/>
      <c r="I292" s="36"/>
      <c r="J292" s="36"/>
      <c r="K292" s="36"/>
      <c r="L292" s="36"/>
      <c r="M292" s="36"/>
      <c r="N292" s="36"/>
      <c r="O292" s="36"/>
      <c r="P292" s="36"/>
      <c r="Q292" s="36"/>
      <c r="R292" s="36"/>
      <c r="S292" s="36"/>
      <c r="T292" s="36"/>
      <c r="U292" s="36"/>
      <c r="V292" s="36"/>
      <c r="W292" s="36">
        <f>K104</f>
        <v>0</v>
      </c>
      <c r="X292" s="36">
        <f>K88</f>
        <v>0</v>
      </c>
      <c r="Y292" s="36"/>
      <c r="Z292" s="36"/>
      <c r="AA292" s="36">
        <f t="shared" si="14"/>
        <v>0</v>
      </c>
      <c r="AB292" s="36">
        <f t="shared" si="15"/>
        <v>0</v>
      </c>
      <c r="AC292" s="36"/>
      <c r="AD292" s="36"/>
      <c r="AE292" s="145">
        <f t="shared" si="8"/>
        <v>0</v>
      </c>
      <c r="AF292" s="145">
        <f t="shared" si="10"/>
        <v>0</v>
      </c>
    </row>
    <row r="293" spans="3:32" x14ac:dyDescent="0.2">
      <c r="C293" s="141" t="s">
        <v>418</v>
      </c>
      <c r="E293" s="141"/>
      <c r="F293" s="141"/>
      <c r="I293" s="36"/>
      <c r="J293" s="36"/>
      <c r="K293" s="36"/>
      <c r="L293" s="36"/>
      <c r="M293" s="36"/>
      <c r="N293" s="36"/>
      <c r="O293" s="36"/>
      <c r="P293" s="36"/>
      <c r="Q293" s="36"/>
      <c r="R293" s="36"/>
      <c r="S293" s="36"/>
      <c r="T293" s="36"/>
      <c r="U293" s="36"/>
      <c r="V293" s="36"/>
      <c r="W293" s="36">
        <f>K105</f>
        <v>4190</v>
      </c>
      <c r="X293" s="36">
        <f>K89</f>
        <v>0</v>
      </c>
      <c r="Y293" s="36"/>
      <c r="Z293" s="36"/>
      <c r="AA293" s="36">
        <f t="shared" si="14"/>
        <v>0</v>
      </c>
      <c r="AB293" s="36">
        <f t="shared" si="15"/>
        <v>0</v>
      </c>
      <c r="AC293" s="36"/>
      <c r="AD293" s="36"/>
      <c r="AE293" s="145">
        <f t="shared" si="8"/>
        <v>4190</v>
      </c>
      <c r="AF293" s="145">
        <f t="shared" si="10"/>
        <v>0</v>
      </c>
    </row>
    <row r="294" spans="3:32" x14ac:dyDescent="0.2">
      <c r="C294" s="141" t="s">
        <v>419</v>
      </c>
      <c r="E294" s="141"/>
      <c r="F294" s="141"/>
      <c r="I294" s="36"/>
      <c r="J294" s="36"/>
      <c r="K294" s="36"/>
      <c r="L294" s="36"/>
      <c r="M294" s="36"/>
      <c r="N294" s="36"/>
      <c r="O294" s="36"/>
      <c r="P294" s="36"/>
      <c r="Q294" s="36"/>
      <c r="R294" s="36"/>
      <c r="S294" s="36"/>
      <c r="T294" s="36"/>
      <c r="U294" s="36"/>
      <c r="V294" s="36"/>
      <c r="W294" s="36">
        <f>K106</f>
        <v>0</v>
      </c>
      <c r="X294" s="36">
        <f>K90</f>
        <v>0</v>
      </c>
      <c r="Y294" s="36"/>
      <c r="Z294" s="36"/>
      <c r="AA294" s="36">
        <f t="shared" si="14"/>
        <v>0</v>
      </c>
      <c r="AB294" s="36">
        <f t="shared" si="15"/>
        <v>0</v>
      </c>
      <c r="AC294" s="36"/>
      <c r="AD294" s="36"/>
      <c r="AE294" s="145">
        <f t="shared" si="8"/>
        <v>0</v>
      </c>
      <c r="AF294" s="145">
        <f t="shared" si="10"/>
        <v>0</v>
      </c>
    </row>
    <row r="295" spans="3:32" x14ac:dyDescent="0.2">
      <c r="C295" s="141" t="s">
        <v>884</v>
      </c>
      <c r="E295" s="141"/>
      <c r="F295" s="141"/>
      <c r="I295" s="36"/>
      <c r="J295" s="36"/>
      <c r="K295" s="36"/>
      <c r="L295" s="36"/>
      <c r="M295" s="36"/>
      <c r="N295" s="36"/>
      <c r="O295" s="36"/>
      <c r="P295" s="36"/>
      <c r="Q295" s="36"/>
      <c r="R295" s="36"/>
      <c r="S295" s="36"/>
      <c r="T295" s="36"/>
      <c r="U295" s="36"/>
      <c r="V295" s="36"/>
      <c r="W295" s="36"/>
      <c r="X295" s="36"/>
      <c r="Y295" s="36"/>
      <c r="Z295" s="36"/>
      <c r="AA295" s="36">
        <f t="shared" si="14"/>
        <v>0</v>
      </c>
      <c r="AB295" s="36">
        <f t="shared" si="15"/>
        <v>0</v>
      </c>
      <c r="AC295" s="36"/>
      <c r="AD295" s="36"/>
      <c r="AE295" s="145">
        <f t="shared" si="8"/>
        <v>0</v>
      </c>
      <c r="AF295" s="145">
        <f t="shared" si="10"/>
        <v>0</v>
      </c>
    </row>
    <row r="296" spans="3:32" x14ac:dyDescent="0.2">
      <c r="C296" s="141" t="s">
        <v>885</v>
      </c>
      <c r="E296" s="141"/>
      <c r="F296" s="141"/>
      <c r="I296" s="36"/>
      <c r="J296" s="36"/>
      <c r="K296" s="36"/>
      <c r="L296" s="36"/>
      <c r="M296" s="36"/>
      <c r="N296" s="36"/>
      <c r="O296" s="36"/>
      <c r="P296" s="36"/>
      <c r="Q296" s="36"/>
      <c r="R296" s="36"/>
      <c r="S296" s="36"/>
      <c r="T296" s="36"/>
      <c r="U296" s="36"/>
      <c r="V296" s="36"/>
      <c r="W296" s="36"/>
      <c r="X296" s="36"/>
      <c r="Y296" s="36"/>
      <c r="Z296" s="36"/>
      <c r="AA296" s="36">
        <f t="shared" si="14"/>
        <v>0</v>
      </c>
      <c r="AB296" s="36">
        <f t="shared" si="15"/>
        <v>0</v>
      </c>
      <c r="AC296" s="36"/>
      <c r="AD296" s="36"/>
      <c r="AE296" s="145">
        <f t="shared" si="8"/>
        <v>0</v>
      </c>
      <c r="AF296" s="145">
        <f t="shared" si="10"/>
        <v>0</v>
      </c>
    </row>
    <row r="297" spans="3:32" x14ac:dyDescent="0.2">
      <c r="C297" s="141" t="s">
        <v>175</v>
      </c>
      <c r="E297" s="141"/>
      <c r="F297" s="141"/>
      <c r="I297" s="36"/>
      <c r="J297" s="36"/>
      <c r="K297" s="36"/>
      <c r="L297" s="36"/>
      <c r="M297" s="36"/>
      <c r="N297" s="36"/>
      <c r="O297" s="36"/>
      <c r="P297" s="36"/>
      <c r="Q297" s="36"/>
      <c r="R297" s="36"/>
      <c r="S297" s="36"/>
      <c r="T297" s="36"/>
      <c r="U297" s="36"/>
      <c r="V297" s="36"/>
      <c r="W297" s="36">
        <f>K107</f>
        <v>0</v>
      </c>
      <c r="X297" s="36">
        <f>K91</f>
        <v>0</v>
      </c>
      <c r="Y297" s="36"/>
      <c r="Z297" s="36"/>
      <c r="AA297" s="36">
        <f t="shared" si="14"/>
        <v>0</v>
      </c>
      <c r="AB297" s="36">
        <f t="shared" si="15"/>
        <v>0</v>
      </c>
      <c r="AC297" s="36"/>
      <c r="AD297" s="36"/>
      <c r="AE297" s="145">
        <f t="shared" si="8"/>
        <v>0</v>
      </c>
      <c r="AF297" s="145">
        <f t="shared" si="10"/>
        <v>0</v>
      </c>
    </row>
    <row r="298" spans="3:32" x14ac:dyDescent="0.2">
      <c r="C298" s="377" t="s">
        <v>303</v>
      </c>
      <c r="E298" s="141"/>
      <c r="F298" s="141"/>
      <c r="I298" s="36"/>
      <c r="J298" s="36"/>
      <c r="K298" s="36"/>
      <c r="L298" s="36"/>
      <c r="M298" s="36"/>
      <c r="N298" s="36"/>
      <c r="O298" s="36"/>
      <c r="P298" s="36"/>
      <c r="Q298" s="36"/>
      <c r="R298" s="36"/>
      <c r="S298" s="36"/>
      <c r="T298" s="36"/>
      <c r="U298" s="36"/>
      <c r="V298" s="36"/>
      <c r="W298" s="36">
        <f>K108</f>
        <v>0</v>
      </c>
      <c r="X298" s="36">
        <f>K92</f>
        <v>0</v>
      </c>
      <c r="Y298" s="36"/>
      <c r="Z298" s="36"/>
      <c r="AA298" s="36">
        <f t="shared" si="14"/>
        <v>0</v>
      </c>
      <c r="AB298" s="36">
        <f t="shared" si="15"/>
        <v>0</v>
      </c>
      <c r="AC298" s="36"/>
      <c r="AD298" s="36"/>
      <c r="AE298" s="145">
        <f t="shared" si="8"/>
        <v>0</v>
      </c>
      <c r="AF298" s="145">
        <f t="shared" si="10"/>
        <v>0</v>
      </c>
    </row>
    <row r="299" spans="3:32" ht="13.5" thickBot="1" x14ac:dyDescent="0.25">
      <c r="I299" s="37">
        <f>SUM(I259:I296)</f>
        <v>0</v>
      </c>
      <c r="J299" s="36"/>
      <c r="K299" s="37">
        <f>SUM(K259:K296)</f>
        <v>0</v>
      </c>
      <c r="L299" s="37">
        <f>SUM(L261:L296)</f>
        <v>0</v>
      </c>
      <c r="M299" s="37">
        <f>SUM(M259:M296)</f>
        <v>0</v>
      </c>
      <c r="N299" s="48"/>
      <c r="O299" s="37">
        <f>SUM(O259:O296)</f>
        <v>0</v>
      </c>
      <c r="P299" s="48"/>
      <c r="Q299" s="37">
        <f t="shared" ref="Q299:V299" si="16">SUM(Q259:Q296)</f>
        <v>0</v>
      </c>
      <c r="R299" s="37">
        <f t="shared" si="16"/>
        <v>0</v>
      </c>
      <c r="S299" s="37">
        <f t="shared" si="16"/>
        <v>0</v>
      </c>
      <c r="T299" s="37">
        <f t="shared" si="16"/>
        <v>0</v>
      </c>
      <c r="U299" s="37">
        <f t="shared" si="16"/>
        <v>0</v>
      </c>
      <c r="V299" s="37">
        <f t="shared" si="16"/>
        <v>0</v>
      </c>
      <c r="W299" s="37">
        <f t="shared" ref="W299:AB299" si="17">SUM(W259:W298)</f>
        <v>33023</v>
      </c>
      <c r="X299" s="37">
        <f t="shared" si="17"/>
        <v>33023</v>
      </c>
      <c r="Y299" s="37">
        <f t="shared" si="17"/>
        <v>0</v>
      </c>
      <c r="Z299" s="37">
        <f t="shared" si="17"/>
        <v>0</v>
      </c>
      <c r="AA299" s="37">
        <f t="shared" si="17"/>
        <v>1938038</v>
      </c>
      <c r="AB299" s="37">
        <f t="shared" si="17"/>
        <v>1938038</v>
      </c>
      <c r="AC299" s="37">
        <f>SUM(AC258:AC298)</f>
        <v>0</v>
      </c>
      <c r="AD299" s="37">
        <f>SUM(AD259:AD298)</f>
        <v>0</v>
      </c>
      <c r="AE299" s="37">
        <f>SUM(AE258:AE298)</f>
        <v>1971061</v>
      </c>
      <c r="AF299" s="37">
        <f>SUM(AF258:AF298)</f>
        <v>1971061</v>
      </c>
    </row>
    <row r="300" spans="3:32" ht="13.5" thickTop="1" x14ac:dyDescent="0.2"/>
  </sheetData>
  <customSheetViews>
    <customSheetView guid="{C1197650-3ED8-49E4-8E4C-0D1D4B503FC0}" topLeftCell="A199">
      <selection activeCell="X259" sqref="X259"/>
      <rowBreaks count="4" manualBreakCount="4">
        <brk id="74" min="1" max="15" man="1"/>
        <brk id="148" min="1" max="15" man="1"/>
        <brk id="202" min="1" max="15" man="1"/>
        <brk id="250" min="1" max="16" man="1"/>
      </rowBreaks>
      <pageMargins left="0.5" right="0.45" top="0.64" bottom="0.63" header="0.5" footer="0.5"/>
      <printOptions horizontalCentered="1"/>
      <pageSetup scale="65" orientation="portrait" r:id="rId1"/>
      <headerFooter alignWithMargins="0">
        <oddHeader>&amp;R&amp;"Arial,Bold"&amp;12Entry C</oddHeader>
        <oddFooter>&amp;L&amp;8&amp;D - County model&amp;R  &amp;P</oddFooter>
      </headerFooter>
    </customSheetView>
    <customSheetView guid="{D2B860EA-92EC-4999-9A59-C624E1F8C7FB}" topLeftCell="A199">
      <selection activeCell="X259" sqref="X259"/>
      <rowBreaks count="4" manualBreakCount="4">
        <brk id="74" min="1" max="15" man="1"/>
        <brk id="148" min="1" max="15" man="1"/>
        <brk id="202" min="1" max="15" man="1"/>
        <brk id="250" min="1" max="16" man="1"/>
      </rowBreaks>
      <pageMargins left="0.5" right="0.45" top="0.64" bottom="0.63" header="0.5" footer="0.5"/>
      <printOptions horizontalCentered="1"/>
      <pageSetup scale="65" orientation="portrait" r:id="rId2"/>
      <headerFooter alignWithMargins="0">
        <oddHeader>&amp;R&amp;"Arial,Bold"&amp;12Entry C</oddHeader>
        <oddFooter>&amp;L&amp;8&amp;D - County model&amp;R  &amp;P</oddFooter>
      </headerFooter>
    </customSheetView>
  </customSheetViews>
  <mergeCells count="75">
    <mergeCell ref="C195:O195"/>
    <mergeCell ref="D26:K27"/>
    <mergeCell ref="D29:K30"/>
    <mergeCell ref="C76:O76"/>
    <mergeCell ref="D51:K52"/>
    <mergeCell ref="M51:M52"/>
    <mergeCell ref="M59:M60"/>
    <mergeCell ref="C66:O66"/>
    <mergeCell ref="O187:O189"/>
    <mergeCell ref="D119:K119"/>
    <mergeCell ref="M116:M117"/>
    <mergeCell ref="C152:O152"/>
    <mergeCell ref="O165:O167"/>
    <mergeCell ref="M128:M130"/>
    <mergeCell ref="D137:K138"/>
    <mergeCell ref="D121:K122"/>
    <mergeCell ref="C4:O4"/>
    <mergeCell ref="B2:O2"/>
    <mergeCell ref="C8:O8"/>
    <mergeCell ref="C22:O22"/>
    <mergeCell ref="D10:O11"/>
    <mergeCell ref="D13:O14"/>
    <mergeCell ref="D16:O17"/>
    <mergeCell ref="D19:O20"/>
    <mergeCell ref="C6:O6"/>
    <mergeCell ref="AE256:AF256"/>
    <mergeCell ref="S256:T256"/>
    <mergeCell ref="W256:X256"/>
    <mergeCell ref="Y256:Z256"/>
    <mergeCell ref="AA256:AB256"/>
    <mergeCell ref="AC256:AD256"/>
    <mergeCell ref="U256:V256"/>
    <mergeCell ref="Q256:R256"/>
    <mergeCell ref="B253:AD254"/>
    <mergeCell ref="D174:K175"/>
    <mergeCell ref="D48:K49"/>
    <mergeCell ref="M48:M49"/>
    <mergeCell ref="I256:K256"/>
    <mergeCell ref="D62:K63"/>
    <mergeCell ref="M174:M175"/>
    <mergeCell ref="D177:K178"/>
    <mergeCell ref="D155:L156"/>
    <mergeCell ref="M155:M156"/>
    <mergeCell ref="M145:M146"/>
    <mergeCell ref="M256:O256"/>
    <mergeCell ref="M107:M109"/>
    <mergeCell ref="C204:O204"/>
    <mergeCell ref="C150:O150"/>
    <mergeCell ref="C55:O55"/>
    <mergeCell ref="D59:K60"/>
    <mergeCell ref="C33:O33"/>
    <mergeCell ref="C44:O44"/>
    <mergeCell ref="M95:M96"/>
    <mergeCell ref="M73:M74"/>
    <mergeCell ref="M29:M30"/>
    <mergeCell ref="D37:K38"/>
    <mergeCell ref="M37:M38"/>
    <mergeCell ref="D40:K41"/>
    <mergeCell ref="M40:M41"/>
    <mergeCell ref="M26:M27"/>
    <mergeCell ref="D132:K133"/>
    <mergeCell ref="M132:M133"/>
    <mergeCell ref="D116:K117"/>
    <mergeCell ref="M62:M63"/>
    <mergeCell ref="D79:K80"/>
    <mergeCell ref="M79:M80"/>
    <mergeCell ref="M92:M93"/>
    <mergeCell ref="C113:O113"/>
    <mergeCell ref="D70:K71"/>
    <mergeCell ref="D100:K101"/>
    <mergeCell ref="M70:M71"/>
    <mergeCell ref="D82:K82"/>
    <mergeCell ref="D84:K85"/>
    <mergeCell ref="D95:K96"/>
    <mergeCell ref="D73:K74"/>
  </mergeCells>
  <phoneticPr fontId="14" type="noConversion"/>
  <printOptions horizontalCentered="1"/>
  <pageMargins left="0.5" right="0.45" top="0.64" bottom="0.63" header="0.5" footer="0.5"/>
  <pageSetup scale="65" orientation="portrait" r:id="rId3"/>
  <headerFooter alignWithMargins="0">
    <oddHeader>&amp;R&amp;"Arial,Bold"&amp;12Entry C</oddHeader>
    <oddFooter>&amp;L&amp;8&amp;D - County model&amp;R  &amp;P</oddFooter>
  </headerFooter>
  <rowBreaks count="4" manualBreakCount="4">
    <brk id="74" min="1" max="15" man="1"/>
    <brk id="148" min="1" max="15" man="1"/>
    <brk id="202" min="1" max="15" man="1"/>
    <brk id="251" min="1"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74"/>
  <sheetViews>
    <sheetView workbookViewId="0"/>
  </sheetViews>
  <sheetFormatPr defaultRowHeight="12.75" x14ac:dyDescent="0.2"/>
  <cols>
    <col min="1" max="1" width="3.5703125" customWidth="1"/>
    <col min="2" max="2" width="3.28515625" customWidth="1"/>
    <col min="3" max="3" width="18.140625" customWidth="1"/>
    <col min="7" max="7" width="12.140625" bestFit="1" customWidth="1"/>
    <col min="8" max="8" width="1.140625" customWidth="1"/>
    <col min="9" max="9" width="12.7109375" customWidth="1"/>
    <col min="10" max="10" width="13.7109375" customWidth="1"/>
    <col min="11" max="11" width="1.42578125" customWidth="1"/>
    <col min="12" max="12" width="13.7109375" customWidth="1"/>
    <col min="13" max="13" width="11" customWidth="1"/>
    <col min="14" max="14" width="13" customWidth="1"/>
    <col min="15" max="15" width="1.5703125" customWidth="1"/>
    <col min="16" max="16" width="1.7109375" customWidth="1"/>
  </cols>
  <sheetData>
    <row r="1" spans="1:16" ht="7.5" customHeight="1" x14ac:dyDescent="0.2"/>
    <row r="2" spans="1:16" ht="34.5" customHeight="1" x14ac:dyDescent="0.25">
      <c r="A2" s="1408" t="s">
        <v>164</v>
      </c>
      <c r="B2" s="1409"/>
      <c r="C2" s="1409"/>
      <c r="D2" s="1409"/>
      <c r="E2" s="1409"/>
      <c r="F2" s="1409"/>
      <c r="G2" s="1409"/>
      <c r="H2" s="1409"/>
      <c r="I2" s="1409"/>
      <c r="J2" s="1409"/>
      <c r="K2" s="1409"/>
      <c r="L2" s="1409"/>
      <c r="M2" s="1409"/>
      <c r="N2" s="1410"/>
      <c r="O2" s="61"/>
      <c r="P2" s="14"/>
    </row>
    <row r="3" spans="1:16" ht="8.25" customHeight="1" x14ac:dyDescent="0.2"/>
    <row r="4" spans="1:16" ht="90" customHeight="1" x14ac:dyDescent="0.2">
      <c r="B4" s="1329" t="s">
        <v>4160</v>
      </c>
      <c r="C4" s="1324"/>
      <c r="D4" s="1324"/>
      <c r="E4" s="1324"/>
      <c r="F4" s="1324"/>
      <c r="G4" s="1324"/>
      <c r="H4" s="1324"/>
      <c r="I4" s="1324"/>
      <c r="J4" s="1324"/>
      <c r="K4" s="1324"/>
      <c r="L4" s="1324"/>
      <c r="M4" s="1324"/>
      <c r="N4" s="1324"/>
      <c r="O4" s="34"/>
    </row>
    <row r="5" spans="1:16" ht="3.75" customHeight="1" x14ac:dyDescent="0.2">
      <c r="B5" s="34"/>
      <c r="C5" s="34"/>
      <c r="D5" s="34"/>
      <c r="E5" s="34"/>
      <c r="F5" s="34"/>
      <c r="G5" s="34"/>
      <c r="H5" s="34"/>
      <c r="I5" s="34"/>
      <c r="J5" s="34"/>
      <c r="K5" s="34"/>
      <c r="L5" s="34"/>
      <c r="M5" s="34"/>
      <c r="N5" s="34"/>
      <c r="O5" s="34"/>
    </row>
    <row r="6" spans="1:16" ht="64.5" customHeight="1" x14ac:dyDescent="0.2">
      <c r="B6" s="1324" t="s">
        <v>518</v>
      </c>
      <c r="C6" s="1324"/>
      <c r="D6" s="1324"/>
      <c r="E6" s="1324"/>
      <c r="F6" s="1324"/>
      <c r="G6" s="1324"/>
      <c r="H6" s="1324"/>
      <c r="I6" s="1324"/>
      <c r="J6" s="1324"/>
      <c r="K6" s="1324"/>
      <c r="L6" s="1324"/>
      <c r="M6" s="1324"/>
      <c r="N6" s="1324"/>
      <c r="O6" s="34"/>
    </row>
    <row r="7" spans="1:16" ht="4.5" customHeight="1" x14ac:dyDescent="0.2"/>
    <row r="8" spans="1:16" ht="53.25" customHeight="1" x14ac:dyDescent="0.2">
      <c r="B8" s="1411" t="s">
        <v>1115</v>
      </c>
      <c r="C8" s="1324"/>
      <c r="D8" s="1324"/>
      <c r="E8" s="1324"/>
      <c r="F8" s="1324"/>
      <c r="G8" s="1324"/>
      <c r="H8" s="1324"/>
      <c r="I8" s="1324"/>
      <c r="J8" s="1324"/>
      <c r="K8" s="1324"/>
      <c r="L8" s="1324"/>
      <c r="M8" s="1324"/>
      <c r="N8" s="1324"/>
      <c r="O8" s="34"/>
    </row>
    <row r="9" spans="1:16" ht="5.25" customHeight="1" x14ac:dyDescent="0.2"/>
    <row r="10" spans="1:16" ht="12.75" customHeight="1" x14ac:dyDescent="0.2">
      <c r="B10" s="39" t="s">
        <v>514</v>
      </c>
      <c r="C10" s="1324" t="s">
        <v>741</v>
      </c>
      <c r="D10" s="1324"/>
      <c r="E10" s="1324"/>
      <c r="F10" s="1324"/>
      <c r="G10" s="1324"/>
      <c r="H10" s="1324"/>
      <c r="I10" s="1324"/>
      <c r="J10" s="1324"/>
      <c r="K10" s="1324"/>
      <c r="L10" s="1324"/>
      <c r="M10" s="1324"/>
      <c r="N10" s="1324"/>
      <c r="O10" s="34"/>
    </row>
    <row r="11" spans="1:16" ht="12" customHeight="1" x14ac:dyDescent="0.2">
      <c r="B11" s="39"/>
      <c r="C11" s="1324"/>
      <c r="D11" s="1324"/>
      <c r="E11" s="1324"/>
      <c r="F11" s="1324"/>
      <c r="G11" s="1324"/>
      <c r="H11" s="1324"/>
      <c r="I11" s="1324"/>
      <c r="J11" s="1324"/>
      <c r="K11" s="1324"/>
      <c r="L11" s="1324"/>
      <c r="M11" s="1324"/>
      <c r="N11" s="1324"/>
      <c r="O11" s="34"/>
    </row>
    <row r="12" spans="1:16" ht="6" customHeight="1" x14ac:dyDescent="0.2"/>
    <row r="13" spans="1:16" ht="16.5" customHeight="1" x14ac:dyDescent="0.2">
      <c r="B13" s="39" t="s">
        <v>515</v>
      </c>
      <c r="C13" s="1328" t="s">
        <v>268</v>
      </c>
      <c r="D13" s="1328"/>
      <c r="E13" s="1328"/>
      <c r="F13" s="1328"/>
      <c r="G13" s="1328"/>
      <c r="H13" s="1328"/>
      <c r="I13" s="1328"/>
      <c r="J13" s="1328"/>
      <c r="K13" s="1328"/>
      <c r="L13" s="1328"/>
      <c r="M13" s="1328"/>
      <c r="N13" s="1328"/>
      <c r="O13" s="1328"/>
    </row>
    <row r="14" spans="1:16" ht="5.25" customHeight="1" x14ac:dyDescent="0.2"/>
    <row r="15" spans="1:16" x14ac:dyDescent="0.2">
      <c r="B15" s="39" t="s">
        <v>516</v>
      </c>
      <c r="C15" s="1328" t="s">
        <v>269</v>
      </c>
      <c r="D15" s="1328"/>
      <c r="E15" s="1328"/>
      <c r="F15" s="1328"/>
      <c r="G15" s="1328"/>
      <c r="H15" s="1328"/>
      <c r="I15" s="1328"/>
      <c r="J15" s="1328"/>
      <c r="K15" s="1328"/>
      <c r="L15" s="1328"/>
      <c r="M15" s="1328"/>
      <c r="N15" s="1328"/>
      <c r="O15" s="1328"/>
    </row>
    <row r="16" spans="1:16" ht="12" customHeight="1" x14ac:dyDescent="0.2"/>
    <row r="17" spans="1:15" ht="25.5" customHeight="1" x14ac:dyDescent="0.2">
      <c r="A17" s="4" t="s">
        <v>540</v>
      </c>
      <c r="B17" s="1441" t="s">
        <v>887</v>
      </c>
      <c r="C17" s="1442"/>
      <c r="D17" s="1442"/>
      <c r="E17" s="1442"/>
      <c r="F17" s="1442"/>
      <c r="G17" s="1442"/>
      <c r="H17" s="1442"/>
      <c r="I17" s="1442"/>
      <c r="J17" s="1442"/>
      <c r="K17" s="1442"/>
      <c r="L17" s="1442"/>
      <c r="M17" s="1442"/>
      <c r="N17" s="1443"/>
      <c r="O17" s="52"/>
    </row>
    <row r="18" spans="1:15" ht="6.75" customHeight="1" x14ac:dyDescent="0.2"/>
    <row r="19" spans="1:15" x14ac:dyDescent="0.2">
      <c r="G19" s="45" t="s">
        <v>1012</v>
      </c>
    </row>
    <row r="20" spans="1:15" x14ac:dyDescent="0.2">
      <c r="G20" s="45" t="s">
        <v>821</v>
      </c>
    </row>
    <row r="21" spans="1:15" x14ac:dyDescent="0.2">
      <c r="G21" s="3" t="s">
        <v>1013</v>
      </c>
    </row>
    <row r="22" spans="1:15" ht="5.25" customHeight="1" x14ac:dyDescent="0.2">
      <c r="G22" s="46"/>
    </row>
    <row r="23" spans="1:15" x14ac:dyDescent="0.2">
      <c r="C23" t="s">
        <v>902</v>
      </c>
      <c r="G23" s="343">
        <f>327528-34722</f>
        <v>292806</v>
      </c>
    </row>
    <row r="24" spans="1:15" x14ac:dyDescent="0.2">
      <c r="C24" t="s">
        <v>991</v>
      </c>
      <c r="G24" s="343">
        <f>400312-29959</f>
        <v>370353</v>
      </c>
    </row>
    <row r="25" spans="1:15" x14ac:dyDescent="0.2">
      <c r="C25" t="s">
        <v>992</v>
      </c>
      <c r="G25" s="343">
        <v>0</v>
      </c>
    </row>
    <row r="26" spans="1:15" x14ac:dyDescent="0.2">
      <c r="C26" t="s">
        <v>819</v>
      </c>
      <c r="G26" s="343">
        <v>8006</v>
      </c>
    </row>
    <row r="27" spans="1:15" x14ac:dyDescent="0.2">
      <c r="C27" s="13" t="s">
        <v>307</v>
      </c>
      <c r="G27" s="343">
        <v>405649</v>
      </c>
      <c r="J27" s="281"/>
    </row>
    <row r="28" spans="1:15" x14ac:dyDescent="0.2">
      <c r="C28" t="s">
        <v>808</v>
      </c>
      <c r="G28" s="343">
        <v>0</v>
      </c>
    </row>
    <row r="29" spans="1:15" x14ac:dyDescent="0.2">
      <c r="C29" t="s">
        <v>1010</v>
      </c>
      <c r="G29" s="343">
        <v>71571</v>
      </c>
    </row>
    <row r="30" spans="1:15" x14ac:dyDescent="0.2">
      <c r="C30" t="s">
        <v>172</v>
      </c>
      <c r="G30" s="343"/>
    </row>
    <row r="31" spans="1:15" x14ac:dyDescent="0.2">
      <c r="C31" s="353" t="s">
        <v>729</v>
      </c>
      <c r="G31" s="343"/>
    </row>
    <row r="32" spans="1:15" x14ac:dyDescent="0.2">
      <c r="C32" t="s">
        <v>1011</v>
      </c>
      <c r="G32" s="343"/>
    </row>
    <row r="33" spans="1:15" x14ac:dyDescent="0.2">
      <c r="G33" s="36"/>
    </row>
    <row r="34" spans="1:15" ht="13.5" thickBot="1" x14ac:dyDescent="0.25">
      <c r="G34" s="75">
        <f>SUM(G23:G32)</f>
        <v>1148385</v>
      </c>
    </row>
    <row r="35" spans="1:15" ht="13.5" thickTop="1" x14ac:dyDescent="0.2"/>
    <row r="36" spans="1:15" ht="25.5" customHeight="1" x14ac:dyDescent="0.2">
      <c r="A36" s="4" t="s">
        <v>541</v>
      </c>
      <c r="B36" s="1416" t="s">
        <v>888</v>
      </c>
      <c r="C36" s="1417"/>
      <c r="D36" s="1417"/>
      <c r="E36" s="1417"/>
      <c r="F36" s="1417"/>
      <c r="G36" s="1417"/>
      <c r="H36" s="1417"/>
      <c r="I36" s="1417"/>
      <c r="J36" s="1417"/>
      <c r="K36" s="1417"/>
      <c r="L36" s="1417"/>
      <c r="M36" s="1417"/>
      <c r="N36" s="1418"/>
      <c r="O36" s="62"/>
    </row>
    <row r="37" spans="1:15" ht="8.25" customHeight="1" x14ac:dyDescent="0.2"/>
    <row r="38" spans="1:15" x14ac:dyDescent="0.2">
      <c r="G38" s="46" t="s">
        <v>1012</v>
      </c>
    </row>
    <row r="39" spans="1:15" x14ac:dyDescent="0.2">
      <c r="G39" s="3" t="s">
        <v>821</v>
      </c>
      <c r="M39" s="36"/>
    </row>
    <row r="40" spans="1:15" ht="4.5" customHeight="1" x14ac:dyDescent="0.2">
      <c r="G40" s="46"/>
      <c r="M40" s="36"/>
    </row>
    <row r="41" spans="1:15" x14ac:dyDescent="0.2">
      <c r="C41" s="133" t="s">
        <v>815</v>
      </c>
      <c r="D41" s="14"/>
      <c r="G41" s="351">
        <v>725792</v>
      </c>
      <c r="M41" s="36"/>
      <c r="O41" s="36"/>
    </row>
    <row r="42" spans="1:15" x14ac:dyDescent="0.2">
      <c r="C42" s="13" t="s">
        <v>834</v>
      </c>
      <c r="G42" s="351">
        <v>92600</v>
      </c>
      <c r="M42" s="36"/>
      <c r="O42" s="36"/>
    </row>
    <row r="43" spans="1:15" x14ac:dyDescent="0.2">
      <c r="C43" s="900" t="s">
        <v>70</v>
      </c>
      <c r="G43" s="351">
        <f>196132-34722+242</f>
        <v>161652</v>
      </c>
      <c r="M43" s="36"/>
      <c r="O43" s="36"/>
    </row>
    <row r="44" spans="1:15" s="1273" customFormat="1" x14ac:dyDescent="0.2">
      <c r="C44" s="1180" t="s">
        <v>4168</v>
      </c>
      <c r="G44" s="351">
        <v>14480</v>
      </c>
      <c r="M44" s="36"/>
      <c r="O44" s="36"/>
    </row>
    <row r="45" spans="1:15" x14ac:dyDescent="0.2">
      <c r="C45" s="13" t="s">
        <v>835</v>
      </c>
      <c r="G45" s="351">
        <f>172400-29959-14480-242</f>
        <v>127719</v>
      </c>
      <c r="M45" s="36"/>
      <c r="O45" s="36"/>
    </row>
    <row r="46" spans="1:15" x14ac:dyDescent="0.2">
      <c r="C46" s="13" t="s">
        <v>813</v>
      </c>
      <c r="G46" s="351">
        <v>26017</v>
      </c>
      <c r="O46" s="36"/>
    </row>
    <row r="47" spans="1:15" x14ac:dyDescent="0.2">
      <c r="C47" s="642" t="s">
        <v>1040</v>
      </c>
      <c r="G47" s="343">
        <v>125</v>
      </c>
      <c r="O47" s="36"/>
    </row>
    <row r="48" spans="1:15" x14ac:dyDescent="0.2">
      <c r="C48" s="642" t="s">
        <v>896</v>
      </c>
      <c r="G48" s="343">
        <v>0</v>
      </c>
    </row>
    <row r="49" spans="1:15" ht="17.25" thickBot="1" x14ac:dyDescent="0.4">
      <c r="G49" s="75">
        <f>SUM(G41:G48)</f>
        <v>1148385</v>
      </c>
      <c r="I49" s="58" t="str">
        <f>IF(G34=G49," ","Recheck numbers in sections A and B. Entry is out of balance.")</f>
        <v xml:space="preserve"> </v>
      </c>
    </row>
    <row r="50" spans="1:15" ht="13.5" thickTop="1" x14ac:dyDescent="0.2"/>
    <row r="51" spans="1:15" ht="26.25" customHeight="1" x14ac:dyDescent="0.2">
      <c r="A51" s="4" t="s">
        <v>804</v>
      </c>
      <c r="B51" s="1416" t="s">
        <v>527</v>
      </c>
      <c r="C51" s="1417"/>
      <c r="D51" s="1417"/>
      <c r="E51" s="1417"/>
      <c r="F51" s="1417"/>
      <c r="G51" s="1417"/>
      <c r="H51" s="1417"/>
      <c r="I51" s="1417"/>
      <c r="J51" s="1417"/>
      <c r="K51" s="1417"/>
      <c r="L51" s="1417"/>
      <c r="M51" s="1417"/>
      <c r="N51" s="1418"/>
      <c r="O51" s="62"/>
    </row>
    <row r="52" spans="1:15" ht="8.25" customHeight="1" x14ac:dyDescent="0.2"/>
    <row r="53" spans="1:15" x14ac:dyDescent="0.2">
      <c r="J53" s="49" t="s">
        <v>510</v>
      </c>
      <c r="K53" s="57"/>
      <c r="L53" s="49" t="s">
        <v>511</v>
      </c>
    </row>
    <row r="54" spans="1:15" ht="6.75" customHeight="1" x14ac:dyDescent="0.2">
      <c r="J54" s="57"/>
      <c r="K54" s="57"/>
      <c r="L54" s="57"/>
    </row>
    <row r="55" spans="1:15" x14ac:dyDescent="0.2">
      <c r="A55" s="141" t="s">
        <v>197</v>
      </c>
      <c r="B55" t="s">
        <v>902</v>
      </c>
      <c r="J55" s="78">
        <f t="shared" ref="J55:J64" si="0">G23</f>
        <v>292806</v>
      </c>
      <c r="K55" s="13"/>
      <c r="L55" s="79"/>
    </row>
    <row r="56" spans="1:15" x14ac:dyDescent="0.2">
      <c r="B56" t="s">
        <v>991</v>
      </c>
      <c r="J56" s="78">
        <f t="shared" si="0"/>
        <v>370353</v>
      </c>
      <c r="K56" s="13"/>
      <c r="L56" s="79"/>
    </row>
    <row r="57" spans="1:15" x14ac:dyDescent="0.2">
      <c r="B57" t="s">
        <v>992</v>
      </c>
      <c r="J57" s="78">
        <f t="shared" si="0"/>
        <v>0</v>
      </c>
      <c r="K57" s="13"/>
      <c r="L57" s="79"/>
    </row>
    <row r="58" spans="1:15" x14ac:dyDescent="0.2">
      <c r="B58" t="s">
        <v>819</v>
      </c>
      <c r="J58" s="78">
        <f t="shared" si="0"/>
        <v>8006</v>
      </c>
      <c r="K58" s="13"/>
      <c r="L58" s="79"/>
    </row>
    <row r="59" spans="1:15" x14ac:dyDescent="0.2">
      <c r="B59" t="s">
        <v>307</v>
      </c>
      <c r="J59" s="78">
        <f t="shared" si="0"/>
        <v>405649</v>
      </c>
      <c r="K59" s="13"/>
      <c r="L59" s="79"/>
    </row>
    <row r="60" spans="1:15" x14ac:dyDescent="0.2">
      <c r="B60" t="s">
        <v>808</v>
      </c>
      <c r="J60" s="78">
        <f t="shared" si="0"/>
        <v>0</v>
      </c>
      <c r="K60" s="13"/>
      <c r="L60" s="79"/>
    </row>
    <row r="61" spans="1:15" x14ac:dyDescent="0.2">
      <c r="B61" t="s">
        <v>1010</v>
      </c>
      <c r="J61" s="78">
        <f t="shared" si="0"/>
        <v>71571</v>
      </c>
      <c r="K61" s="13"/>
      <c r="L61" s="79"/>
    </row>
    <row r="62" spans="1:15" x14ac:dyDescent="0.2">
      <c r="B62" t="s">
        <v>172</v>
      </c>
      <c r="J62" s="78">
        <f t="shared" si="0"/>
        <v>0</v>
      </c>
      <c r="K62" s="13"/>
      <c r="L62" s="79"/>
    </row>
    <row r="63" spans="1:15" x14ac:dyDescent="0.2">
      <c r="B63" s="353" t="s">
        <v>729</v>
      </c>
      <c r="J63" s="78">
        <f t="shared" si="0"/>
        <v>0</v>
      </c>
      <c r="K63" s="13"/>
      <c r="L63" s="79"/>
    </row>
    <row r="64" spans="1:15" x14ac:dyDescent="0.2">
      <c r="B64" t="s">
        <v>1011</v>
      </c>
      <c r="J64" s="78">
        <f t="shared" si="0"/>
        <v>0</v>
      </c>
      <c r="K64" s="13"/>
      <c r="L64" s="79"/>
    </row>
    <row r="65" spans="3:14" x14ac:dyDescent="0.2">
      <c r="C65" s="22" t="s">
        <v>493</v>
      </c>
      <c r="J65" s="79"/>
      <c r="K65" s="13"/>
      <c r="L65" s="78">
        <f>G41</f>
        <v>725792</v>
      </c>
    </row>
    <row r="66" spans="3:14" x14ac:dyDescent="0.2">
      <c r="C66" s="13" t="s">
        <v>134</v>
      </c>
      <c r="J66" s="79"/>
      <c r="K66" s="13"/>
      <c r="L66" s="78">
        <f>G42</f>
        <v>92600</v>
      </c>
    </row>
    <row r="67" spans="3:14" x14ac:dyDescent="0.2">
      <c r="C67" s="900" t="s">
        <v>71</v>
      </c>
      <c r="J67" s="79"/>
      <c r="K67" s="13"/>
      <c r="L67" s="78">
        <f>G43</f>
        <v>161652</v>
      </c>
    </row>
    <row r="68" spans="3:14" s="1273" customFormat="1" x14ac:dyDescent="0.2">
      <c r="C68" s="862" t="s">
        <v>4169</v>
      </c>
      <c r="J68" s="79"/>
      <c r="K68" s="1278"/>
      <c r="L68" s="1277">
        <f>G44</f>
        <v>14480</v>
      </c>
    </row>
    <row r="69" spans="3:14" x14ac:dyDescent="0.2">
      <c r="C69" s="13" t="s">
        <v>851</v>
      </c>
      <c r="J69" s="79"/>
      <c r="K69" s="13"/>
      <c r="L69" s="78">
        <f t="shared" ref="L69:L72" si="1">G45</f>
        <v>127719</v>
      </c>
    </row>
    <row r="70" spans="3:14" x14ac:dyDescent="0.2">
      <c r="C70" s="13" t="s">
        <v>135</v>
      </c>
      <c r="J70" s="79"/>
      <c r="K70" s="13"/>
      <c r="L70" s="78">
        <f t="shared" si="1"/>
        <v>26017</v>
      </c>
    </row>
    <row r="71" spans="3:14" x14ac:dyDescent="0.2">
      <c r="C71" s="374" t="s">
        <v>549</v>
      </c>
      <c r="J71" s="79"/>
      <c r="K71" s="13"/>
      <c r="L71" s="78">
        <f t="shared" si="1"/>
        <v>125</v>
      </c>
    </row>
    <row r="72" spans="3:14" x14ac:dyDescent="0.2">
      <c r="C72" s="374" t="s">
        <v>550</v>
      </c>
      <c r="J72" s="79"/>
      <c r="K72" s="13"/>
      <c r="L72" s="78">
        <f t="shared" si="1"/>
        <v>0</v>
      </c>
    </row>
    <row r="73" spans="3:14" ht="13.5" thickBot="1" x14ac:dyDescent="0.25">
      <c r="J73" s="80">
        <f>SUM(J55:J72)</f>
        <v>1148385</v>
      </c>
      <c r="K73" s="13"/>
      <c r="L73" s="80">
        <f>SUM(L65:L72)</f>
        <v>1148385</v>
      </c>
      <c r="N73" s="14"/>
    </row>
    <row r="74" spans="3:14" ht="13.5" thickTop="1" x14ac:dyDescent="0.2">
      <c r="K74" s="13"/>
    </row>
  </sheetData>
  <customSheetViews>
    <customSheetView guid="{C1197650-3ED8-49E4-8E4C-0D1D4B503FC0}" fitToPage="1">
      <selection activeCell="G45" sqref="G45"/>
      <pageMargins left="0.36" right="0.48" top="0.78" bottom="0.69" header="0.5" footer="0.5"/>
      <printOptions horizontalCentered="1"/>
      <pageSetup scale="66" orientation="portrait" r:id="rId1"/>
      <headerFooter alignWithMargins="0">
        <oddHeader>&amp;R&amp;"Arial,Bold"&amp;12Entry  D</oddHeader>
        <oddFooter>&amp;L&amp;8&amp;D - County model&amp;R&amp;P</oddFooter>
      </headerFooter>
    </customSheetView>
    <customSheetView guid="{D2B860EA-92EC-4999-9A59-C624E1F8C7FB}" fitToPage="1">
      <selection activeCell="G45" sqref="G45"/>
      <pageMargins left="0.36" right="0.48" top="0.78" bottom="0.69" header="0.5" footer="0.5"/>
      <printOptions horizontalCentered="1"/>
      <pageSetup scale="66" orientation="portrait" r:id="rId2"/>
      <headerFooter alignWithMargins="0">
        <oddHeader>&amp;R&amp;"Arial,Bold"&amp;12Entry  D</oddHeader>
        <oddFooter>&amp;L&amp;8&amp;D - County model&amp;R&amp;P</oddFooter>
      </headerFooter>
    </customSheetView>
  </customSheetViews>
  <mergeCells count="10">
    <mergeCell ref="C10:N11"/>
    <mergeCell ref="B51:N51"/>
    <mergeCell ref="A2:N2"/>
    <mergeCell ref="B4:N4"/>
    <mergeCell ref="B6:N6"/>
    <mergeCell ref="B8:N8"/>
    <mergeCell ref="C13:O13"/>
    <mergeCell ref="C15:O15"/>
    <mergeCell ref="B17:N17"/>
    <mergeCell ref="B36:N36"/>
  </mergeCells>
  <phoneticPr fontId="14" type="noConversion"/>
  <printOptions horizontalCentered="1"/>
  <pageMargins left="0.36" right="0.48" top="0.78" bottom="0.69" header="0.5" footer="0.5"/>
  <pageSetup scale="66" orientation="portrait" r:id="rId3"/>
  <headerFooter alignWithMargins="0">
    <oddHeader>&amp;R&amp;"Arial,Bold"&amp;12Entry  D</oddHeader>
    <oddFooter>&amp;L&amp;8&amp;D - County model&amp;R&amp;P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76"/>
  <sheetViews>
    <sheetView workbookViewId="0"/>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42578125" bestFit="1" customWidth="1"/>
    <col min="8" max="8" width="1.42578125" style="36" customWidth="1"/>
    <col min="10" max="10" width="10.42578125" bestFit="1" customWidth="1"/>
    <col min="12" max="12" width="11.5703125" bestFit="1" customWidth="1"/>
    <col min="13" max="13" width="1.7109375" customWidth="1"/>
    <col min="14" max="14" width="11.28515625" bestFit="1" customWidth="1"/>
    <col min="15" max="15" width="10" bestFit="1" customWidth="1"/>
    <col min="16" max="16" width="1.7109375" customWidth="1"/>
    <col min="17" max="17" width="0.7109375" customWidth="1"/>
  </cols>
  <sheetData>
    <row r="1" spans="1:16" ht="7.5" customHeight="1" x14ac:dyDescent="0.2"/>
    <row r="2" spans="1:16" ht="33.75" customHeight="1" x14ac:dyDescent="0.25">
      <c r="A2" s="1408" t="s">
        <v>807</v>
      </c>
      <c r="B2" s="1409"/>
      <c r="C2" s="1409"/>
      <c r="D2" s="1409"/>
      <c r="E2" s="1409"/>
      <c r="F2" s="1409"/>
      <c r="G2" s="1409"/>
      <c r="H2" s="1409"/>
      <c r="I2" s="1409"/>
      <c r="J2" s="1409"/>
      <c r="K2" s="1409"/>
      <c r="L2" s="1409"/>
      <c r="M2" s="1409"/>
      <c r="N2" s="1409"/>
      <c r="O2" s="1409"/>
      <c r="P2" s="1410"/>
    </row>
    <row r="3" spans="1:16" ht="3.75" customHeight="1" x14ac:dyDescent="0.2"/>
    <row r="4" spans="1:16" ht="69.75" customHeight="1" x14ac:dyDescent="0.2">
      <c r="B4" s="1324" t="s">
        <v>157</v>
      </c>
      <c r="C4" s="1324"/>
      <c r="D4" s="1324"/>
      <c r="E4" s="1324"/>
      <c r="F4" s="1324"/>
      <c r="G4" s="1324"/>
      <c r="H4" s="1324"/>
      <c r="I4" s="1324"/>
      <c r="J4" s="1324"/>
      <c r="K4" s="1324"/>
      <c r="L4" s="1324"/>
      <c r="M4" s="1324"/>
      <c r="N4" s="1324"/>
      <c r="O4" s="1324"/>
      <c r="P4" s="1324"/>
    </row>
    <row r="5" spans="1:16" ht="3.75" customHeight="1" x14ac:dyDescent="0.2"/>
    <row r="6" spans="1:16" ht="66.75" customHeight="1" x14ac:dyDescent="0.2">
      <c r="B6" s="1424" t="s">
        <v>1093</v>
      </c>
      <c r="C6" s="1337"/>
      <c r="D6" s="1337"/>
      <c r="E6" s="1337"/>
      <c r="F6" s="1337"/>
      <c r="G6" s="1337"/>
      <c r="H6" s="1337"/>
      <c r="I6" s="1337"/>
      <c r="J6" s="1337"/>
      <c r="K6" s="1337"/>
      <c r="L6" s="1337"/>
      <c r="M6" s="1337"/>
      <c r="N6" s="1337"/>
      <c r="O6" s="1337"/>
      <c r="P6" s="1337"/>
    </row>
    <row r="7" spans="1:16" ht="3.75" customHeight="1" x14ac:dyDescent="0.2">
      <c r="B7" s="34"/>
      <c r="C7" s="34"/>
      <c r="D7" s="34"/>
      <c r="E7" s="34"/>
      <c r="F7" s="34"/>
      <c r="G7" s="34"/>
      <c r="H7" s="34"/>
      <c r="I7" s="34"/>
      <c r="J7" s="34"/>
      <c r="K7" s="34"/>
      <c r="L7" s="34"/>
      <c r="M7" s="34"/>
      <c r="N7" s="34"/>
      <c r="O7" s="34"/>
      <c r="P7" s="34"/>
    </row>
    <row r="8" spans="1:16" ht="27" customHeight="1" x14ac:dyDescent="0.2">
      <c r="B8" s="1324" t="s">
        <v>88</v>
      </c>
      <c r="C8" s="1324"/>
      <c r="D8" s="1324"/>
      <c r="E8" s="1324"/>
      <c r="F8" s="1324"/>
      <c r="G8" s="1324"/>
      <c r="H8" s="1324"/>
      <c r="I8" s="1324"/>
      <c r="J8" s="1324"/>
      <c r="K8" s="1324"/>
      <c r="L8" s="1324"/>
      <c r="M8" s="1324"/>
      <c r="N8" s="1324"/>
      <c r="O8" s="1324"/>
      <c r="P8" s="1324"/>
    </row>
    <row r="9" spans="1:16" ht="9" customHeight="1" x14ac:dyDescent="0.2"/>
    <row r="10" spans="1:16" ht="12.75" customHeight="1" x14ac:dyDescent="0.2">
      <c r="B10" s="39" t="s">
        <v>514</v>
      </c>
      <c r="C10" s="1324" t="s">
        <v>399</v>
      </c>
      <c r="D10" s="1324"/>
      <c r="E10" s="1324"/>
      <c r="F10" s="1324"/>
      <c r="G10" s="1324"/>
      <c r="H10" s="1324"/>
      <c r="I10" s="1324"/>
      <c r="J10" s="1324"/>
      <c r="K10" s="1324"/>
      <c r="L10" s="1324"/>
      <c r="M10" s="1324"/>
      <c r="N10" s="1324"/>
      <c r="O10" s="1324"/>
      <c r="P10" s="34"/>
    </row>
    <row r="11" spans="1:16" ht="37.5" customHeight="1" x14ac:dyDescent="0.2">
      <c r="B11" s="39"/>
      <c r="C11" s="1324"/>
      <c r="D11" s="1324"/>
      <c r="E11" s="1324"/>
      <c r="F11" s="1324"/>
      <c r="G11" s="1324"/>
      <c r="H11" s="1324"/>
      <c r="I11" s="1324"/>
      <c r="J11" s="1324"/>
      <c r="K11" s="1324"/>
      <c r="L11" s="1324"/>
      <c r="M11" s="1324"/>
      <c r="N11" s="1324"/>
      <c r="O11" s="1324"/>
      <c r="P11" s="34"/>
    </row>
    <row r="12" spans="1:16" ht="5.25" customHeight="1" x14ac:dyDescent="0.2">
      <c r="B12" s="39"/>
      <c r="C12" s="34"/>
      <c r="D12" s="34"/>
      <c r="E12" s="34"/>
      <c r="F12" s="34"/>
      <c r="G12" s="34"/>
      <c r="H12" s="34"/>
      <c r="I12" s="34"/>
      <c r="J12" s="34"/>
      <c r="K12" s="34"/>
      <c r="L12" s="34"/>
      <c r="M12" s="34"/>
      <c r="N12" s="34"/>
      <c r="O12" s="34"/>
      <c r="P12" s="34"/>
    </row>
    <row r="13" spans="1:16" ht="12.75" customHeight="1" x14ac:dyDescent="0.2">
      <c r="B13" s="39" t="s">
        <v>515</v>
      </c>
      <c r="C13" s="1324" t="s">
        <v>116</v>
      </c>
      <c r="D13" s="1324"/>
      <c r="E13" s="1324"/>
      <c r="F13" s="1324"/>
      <c r="G13" s="1324"/>
      <c r="H13" s="1324"/>
      <c r="I13" s="1324"/>
      <c r="J13" s="1324"/>
      <c r="K13" s="1324"/>
      <c r="L13" s="1324"/>
      <c r="M13" s="1324"/>
      <c r="N13" s="1324"/>
      <c r="O13" s="1324"/>
    </row>
    <row r="14" spans="1:16" ht="12" customHeight="1" x14ac:dyDescent="0.2">
      <c r="B14" s="39"/>
      <c r="C14" s="1324"/>
      <c r="D14" s="1324"/>
      <c r="E14" s="1324"/>
      <c r="F14" s="1324"/>
      <c r="G14" s="1324"/>
      <c r="H14" s="1324"/>
      <c r="I14" s="1324"/>
      <c r="J14" s="1324"/>
      <c r="K14" s="1324"/>
      <c r="L14" s="1324"/>
      <c r="M14" s="1324"/>
      <c r="N14" s="1324"/>
      <c r="O14" s="1324"/>
    </row>
    <row r="15" spans="1:16" ht="5.25" customHeight="1" x14ac:dyDescent="0.2">
      <c r="B15" s="39"/>
    </row>
    <row r="16" spans="1:16" x14ac:dyDescent="0.2">
      <c r="B16" s="39" t="s">
        <v>809</v>
      </c>
      <c r="C16" t="s">
        <v>115</v>
      </c>
    </row>
    <row r="17" spans="1:16" ht="4.5" customHeight="1" x14ac:dyDescent="0.2"/>
    <row r="18" spans="1:16" ht="25.5" customHeight="1" x14ac:dyDescent="0.2">
      <c r="A18" s="4" t="s">
        <v>540</v>
      </c>
      <c r="B18" s="1419" t="s">
        <v>740</v>
      </c>
      <c r="C18" s="1422"/>
      <c r="D18" s="1422"/>
      <c r="E18" s="1422"/>
      <c r="F18" s="1422"/>
      <c r="G18" s="1422"/>
      <c r="H18" s="1422"/>
      <c r="I18" s="1422"/>
      <c r="J18" s="1422"/>
      <c r="K18" s="1422"/>
      <c r="L18" s="1422"/>
      <c r="M18" s="1422"/>
      <c r="N18" s="1422"/>
      <c r="O18" s="1422"/>
      <c r="P18" s="1423"/>
    </row>
    <row r="19" spans="1:16" ht="3" customHeight="1" x14ac:dyDescent="0.2">
      <c r="B19" s="44"/>
      <c r="C19" s="31"/>
      <c r="D19" s="31"/>
      <c r="E19" s="31"/>
      <c r="F19" s="31"/>
      <c r="G19" s="31"/>
      <c r="H19" s="47"/>
      <c r="I19" s="31"/>
      <c r="J19" s="31"/>
      <c r="K19" s="31"/>
      <c r="L19" s="31"/>
      <c r="M19" s="31"/>
      <c r="N19" s="31"/>
    </row>
    <row r="20" spans="1:16" x14ac:dyDescent="0.2">
      <c r="G20" s="3" t="s">
        <v>507</v>
      </c>
      <c r="H20"/>
    </row>
    <row r="21" spans="1:16" ht="3" customHeight="1" x14ac:dyDescent="0.2">
      <c r="H21"/>
    </row>
    <row r="22" spans="1:16" x14ac:dyDescent="0.2">
      <c r="C22" t="s">
        <v>902</v>
      </c>
      <c r="G22" s="343">
        <f>61384+20177-100000</f>
        <v>-18439</v>
      </c>
      <c r="H22"/>
    </row>
    <row r="23" spans="1:16" x14ac:dyDescent="0.2">
      <c r="C23" t="s">
        <v>991</v>
      </c>
      <c r="G23" s="343">
        <v>233304</v>
      </c>
      <c r="H23"/>
    </row>
    <row r="24" spans="1:16" x14ac:dyDescent="0.2">
      <c r="C24" t="s">
        <v>992</v>
      </c>
      <c r="G24" s="343">
        <v>0</v>
      </c>
      <c r="H24"/>
    </row>
    <row r="25" spans="1:16" x14ac:dyDescent="0.2">
      <c r="C25" t="s">
        <v>819</v>
      </c>
      <c r="G25" s="343">
        <v>174366</v>
      </c>
      <c r="H25"/>
    </row>
    <row r="26" spans="1:16" ht="12.75" customHeight="1" x14ac:dyDescent="0.2">
      <c r="C26" t="s">
        <v>808</v>
      </c>
      <c r="G26" s="343">
        <v>0</v>
      </c>
      <c r="H26"/>
      <c r="J26" s="1439" t="s">
        <v>590</v>
      </c>
      <c r="K26" s="1439"/>
      <c r="L26" s="1439"/>
      <c r="M26" s="1439"/>
      <c r="N26" s="1439"/>
      <c r="O26" s="1439"/>
    </row>
    <row r="27" spans="1:16" x14ac:dyDescent="0.2">
      <c r="C27" t="s">
        <v>307</v>
      </c>
      <c r="G27" s="343">
        <v>461140</v>
      </c>
      <c r="H27"/>
      <c r="J27" s="1439"/>
      <c r="K27" s="1439"/>
      <c r="L27" s="1439"/>
      <c r="M27" s="1439"/>
      <c r="N27" s="1439"/>
      <c r="O27" s="1439"/>
    </row>
    <row r="28" spans="1:16" x14ac:dyDescent="0.2">
      <c r="C28" t="s">
        <v>267</v>
      </c>
      <c r="G28" s="341">
        <v>20325</v>
      </c>
      <c r="H28"/>
      <c r="J28" s="1439"/>
      <c r="K28" s="1439"/>
      <c r="L28" s="1439"/>
      <c r="M28" s="1439"/>
      <c r="N28" s="1439"/>
      <c r="O28" s="1439"/>
    </row>
    <row r="29" spans="1:16" x14ac:dyDescent="0.2">
      <c r="C29" t="s">
        <v>895</v>
      </c>
      <c r="G29" s="341">
        <v>125919</v>
      </c>
      <c r="H29"/>
      <c r="J29" s="34"/>
      <c r="K29" s="34"/>
      <c r="L29" s="34"/>
      <c r="M29" s="34"/>
      <c r="N29" s="34"/>
      <c r="O29" s="34"/>
    </row>
    <row r="30" spans="1:16" x14ac:dyDescent="0.2">
      <c r="C30" t="s">
        <v>172</v>
      </c>
      <c r="G30" s="341"/>
      <c r="H30"/>
    </row>
    <row r="31" spans="1:16" x14ac:dyDescent="0.2">
      <c r="C31" s="353" t="s">
        <v>729</v>
      </c>
      <c r="G31" s="352"/>
      <c r="H31"/>
    </row>
    <row r="32" spans="1:16" ht="13.5" thickBot="1" x14ac:dyDescent="0.25">
      <c r="G32" s="86">
        <f>SUM(G22:G31)</f>
        <v>996615</v>
      </c>
      <c r="H32"/>
    </row>
    <row r="33" spans="1:16" ht="5.25" customHeight="1" thickTop="1" x14ac:dyDescent="0.2">
      <c r="H33"/>
    </row>
    <row r="34" spans="1:16" x14ac:dyDescent="0.2">
      <c r="H34"/>
    </row>
    <row r="35" spans="1:16" ht="25.5" customHeight="1" x14ac:dyDescent="0.2">
      <c r="A35" s="4" t="s">
        <v>541</v>
      </c>
      <c r="B35" s="1416" t="s">
        <v>777</v>
      </c>
      <c r="C35" s="1417"/>
      <c r="D35" s="1417"/>
      <c r="E35" s="1417"/>
      <c r="F35" s="1417"/>
      <c r="G35" s="1417"/>
      <c r="H35" s="1417"/>
      <c r="I35" s="1417"/>
      <c r="J35" s="1417"/>
      <c r="K35" s="1417"/>
      <c r="L35" s="1417"/>
      <c r="M35" s="1417"/>
      <c r="N35" s="1417"/>
      <c r="O35" s="1417"/>
      <c r="P35" s="1418"/>
    </row>
    <row r="36" spans="1:16" x14ac:dyDescent="0.2">
      <c r="G36" s="3" t="s">
        <v>507</v>
      </c>
      <c r="H36" s="48"/>
      <c r="I36" s="48"/>
      <c r="J36" s="48"/>
      <c r="K36" s="48"/>
      <c r="L36" s="48"/>
      <c r="N36" s="48"/>
    </row>
    <row r="37" spans="1:16" ht="3" customHeight="1" x14ac:dyDescent="0.2">
      <c r="H37" s="48"/>
      <c r="I37" s="48"/>
      <c r="J37" s="48"/>
      <c r="K37" s="48"/>
      <c r="L37" s="48"/>
      <c r="N37" s="48"/>
    </row>
    <row r="38" spans="1:16" x14ac:dyDescent="0.2">
      <c r="C38" t="s">
        <v>814</v>
      </c>
      <c r="G38" s="341">
        <v>0</v>
      </c>
      <c r="H38" s="48"/>
      <c r="I38" s="48"/>
      <c r="J38" s="48"/>
      <c r="K38" s="48"/>
      <c r="L38" s="48"/>
    </row>
    <row r="39" spans="1:16" x14ac:dyDescent="0.2">
      <c r="C39" t="s">
        <v>827</v>
      </c>
      <c r="G39" s="341">
        <v>146096</v>
      </c>
      <c r="H39" s="48"/>
      <c r="I39" s="48"/>
      <c r="J39" s="48"/>
      <c r="K39" s="48"/>
      <c r="L39" s="48"/>
    </row>
    <row r="40" spans="1:16" ht="12" customHeight="1" x14ac:dyDescent="0.2">
      <c r="C40" t="s">
        <v>815</v>
      </c>
      <c r="G40" s="341">
        <v>92650</v>
      </c>
      <c r="H40" s="48"/>
      <c r="I40" s="48"/>
      <c r="J40" s="1439" t="s">
        <v>592</v>
      </c>
      <c r="K40" s="1439"/>
      <c r="L40" s="1439"/>
      <c r="M40" s="1439"/>
      <c r="N40" s="1439"/>
      <c r="O40" s="1439"/>
    </row>
    <row r="41" spans="1:16" x14ac:dyDescent="0.2">
      <c r="C41" t="s">
        <v>816</v>
      </c>
      <c r="G41" s="341">
        <f>23000+20000</f>
        <v>43000</v>
      </c>
      <c r="H41" s="48"/>
      <c r="I41" s="48"/>
      <c r="J41" s="1439"/>
      <c r="K41" s="1439"/>
      <c r="L41" s="1439"/>
      <c r="M41" s="1439"/>
      <c r="N41" s="1439"/>
      <c r="O41" s="1439"/>
    </row>
    <row r="42" spans="1:16" x14ac:dyDescent="0.2">
      <c r="C42" t="s">
        <v>812</v>
      </c>
      <c r="G42" s="341">
        <v>546307</v>
      </c>
      <c r="H42" s="48"/>
      <c r="I42" s="48"/>
      <c r="J42" s="1439"/>
      <c r="K42" s="1439"/>
      <c r="L42" s="1439"/>
      <c r="M42" s="1439"/>
      <c r="N42" s="1439"/>
      <c r="O42" s="1439"/>
    </row>
    <row r="43" spans="1:16" x14ac:dyDescent="0.2">
      <c r="C43" t="s">
        <v>811</v>
      </c>
      <c r="G43" s="341">
        <v>168562</v>
      </c>
      <c r="H43" s="48"/>
      <c r="I43" s="48"/>
      <c r="J43" s="48"/>
      <c r="K43" s="48"/>
      <c r="L43" s="48"/>
    </row>
    <row r="44" spans="1:16" s="1273" customFormat="1" x14ac:dyDescent="0.2">
      <c r="A44" s="1261"/>
      <c r="C44" s="1273" t="s">
        <v>4170</v>
      </c>
      <c r="G44" s="1279">
        <v>0</v>
      </c>
      <c r="H44" s="48"/>
      <c r="I44" s="48"/>
      <c r="J44" s="48"/>
      <c r="K44" s="48"/>
      <c r="L44" s="48"/>
    </row>
    <row r="45" spans="1:16" s="1273" customFormat="1" x14ac:dyDescent="0.2">
      <c r="A45" s="1261"/>
      <c r="C45" s="1273" t="s">
        <v>4171</v>
      </c>
      <c r="G45" s="1279">
        <v>0</v>
      </c>
      <c r="H45" s="48"/>
      <c r="I45" s="48"/>
      <c r="J45" s="48"/>
      <c r="K45" s="48"/>
      <c r="L45" s="48"/>
    </row>
    <row r="46" spans="1:16" x14ac:dyDescent="0.2">
      <c r="C46" t="s">
        <v>778</v>
      </c>
      <c r="G46" s="341">
        <v>0</v>
      </c>
      <c r="H46" s="48"/>
      <c r="I46" s="48"/>
      <c r="J46" s="48"/>
      <c r="K46" s="48"/>
      <c r="L46" s="48"/>
    </row>
    <row r="47" spans="1:16" x14ac:dyDescent="0.2">
      <c r="C47" s="353" t="s">
        <v>896</v>
      </c>
      <c r="G47" s="341">
        <v>0</v>
      </c>
      <c r="H47" s="48"/>
      <c r="I47" s="48"/>
      <c r="J47" s="48"/>
      <c r="K47" s="48"/>
      <c r="L47" s="48"/>
    </row>
    <row r="48" spans="1:16" x14ac:dyDescent="0.2">
      <c r="C48" s="353" t="s">
        <v>897</v>
      </c>
      <c r="G48" s="352"/>
      <c r="H48" s="48"/>
      <c r="I48" s="48"/>
      <c r="J48" s="48"/>
      <c r="K48" s="48"/>
      <c r="L48" s="48"/>
    </row>
    <row r="49" spans="1:16" ht="17.25" thickBot="1" x14ac:dyDescent="0.4">
      <c r="G49" s="87">
        <f>SUM(G38:G48)</f>
        <v>996615</v>
      </c>
      <c r="H49" s="48"/>
      <c r="I49" s="63" t="str">
        <f>IF(G32=G49," ","Recheck numbers in Section A or B. Entry is out of balance.")</f>
        <v xml:space="preserve"> </v>
      </c>
      <c r="J49" s="48"/>
      <c r="K49" s="48"/>
      <c r="L49" s="48"/>
      <c r="N49" s="48"/>
    </row>
    <row r="50" spans="1:16" ht="13.5" thickTop="1" x14ac:dyDescent="0.2">
      <c r="G50" s="12"/>
      <c r="H50" s="48"/>
      <c r="I50" s="48"/>
      <c r="J50" s="48"/>
      <c r="K50" s="48"/>
      <c r="L50" s="48"/>
      <c r="N50" s="48"/>
    </row>
    <row r="51" spans="1:16" ht="25.5" customHeight="1" x14ac:dyDescent="0.2">
      <c r="A51" s="4" t="s">
        <v>804</v>
      </c>
      <c r="B51" s="1441" t="s">
        <v>528</v>
      </c>
      <c r="C51" s="1442"/>
      <c r="D51" s="1442"/>
      <c r="E51" s="1442"/>
      <c r="F51" s="1442"/>
      <c r="G51" s="1442"/>
      <c r="H51" s="1442"/>
      <c r="I51" s="1442"/>
      <c r="J51" s="1442"/>
      <c r="K51" s="1442"/>
      <c r="L51" s="1442"/>
      <c r="M51" s="1442"/>
      <c r="N51" s="1442"/>
      <c r="O51" s="1443"/>
      <c r="P51" s="52"/>
    </row>
    <row r="52" spans="1:16" x14ac:dyDescent="0.2">
      <c r="L52" s="49" t="s">
        <v>510</v>
      </c>
      <c r="M52" s="45"/>
      <c r="N52" s="49" t="s">
        <v>511</v>
      </c>
    </row>
    <row r="53" spans="1:16" ht="3" customHeight="1" x14ac:dyDescent="0.2"/>
    <row r="54" spans="1:16" ht="12.75" customHeight="1" x14ac:dyDescent="0.2">
      <c r="D54" t="s">
        <v>411</v>
      </c>
      <c r="E54" t="s">
        <v>814</v>
      </c>
      <c r="L54" s="83">
        <f xml:space="preserve">    G38</f>
        <v>0</v>
      </c>
      <c r="M54" s="13"/>
      <c r="N54" s="83"/>
    </row>
    <row r="55" spans="1:16" x14ac:dyDescent="0.2">
      <c r="E55" t="s">
        <v>817</v>
      </c>
      <c r="L55" s="83">
        <f>G39</f>
        <v>146096</v>
      </c>
      <c r="M55" s="13"/>
      <c r="N55" s="83"/>
    </row>
    <row r="56" spans="1:16" x14ac:dyDescent="0.2">
      <c r="E56" t="s">
        <v>815</v>
      </c>
      <c r="L56" s="83">
        <f>G40</f>
        <v>92650</v>
      </c>
      <c r="M56" s="13"/>
      <c r="N56" s="83"/>
    </row>
    <row r="57" spans="1:16" x14ac:dyDescent="0.2">
      <c r="E57" t="s">
        <v>816</v>
      </c>
      <c r="L57" s="83">
        <f>G41</f>
        <v>43000</v>
      </c>
      <c r="M57" s="13"/>
      <c r="N57" s="83"/>
    </row>
    <row r="58" spans="1:16" x14ac:dyDescent="0.2">
      <c r="E58" t="s">
        <v>812</v>
      </c>
      <c r="L58" s="83">
        <f>G42</f>
        <v>546307</v>
      </c>
      <c r="M58" s="13"/>
      <c r="N58" s="83"/>
    </row>
    <row r="59" spans="1:16" x14ac:dyDescent="0.2">
      <c r="E59" t="s">
        <v>811</v>
      </c>
      <c r="L59" s="83">
        <f>G43</f>
        <v>168562</v>
      </c>
      <c r="M59" s="13"/>
      <c r="N59" s="83"/>
    </row>
    <row r="60" spans="1:16" s="1273" customFormat="1" x14ac:dyDescent="0.2">
      <c r="A60" s="1261"/>
      <c r="E60" s="1273" t="s">
        <v>4170</v>
      </c>
      <c r="H60" s="36"/>
      <c r="L60" s="1280">
        <f t="shared" ref="L60:L61" si="0">G44</f>
        <v>0</v>
      </c>
      <c r="M60" s="1278"/>
      <c r="N60" s="1280"/>
    </row>
    <row r="61" spans="1:16" s="1273" customFormat="1" x14ac:dyDescent="0.2">
      <c r="A61" s="1261"/>
      <c r="E61" s="1273" t="s">
        <v>4171</v>
      </c>
      <c r="H61" s="36"/>
      <c r="L61" s="1280">
        <f t="shared" si="0"/>
        <v>0</v>
      </c>
      <c r="M61" s="1278"/>
      <c r="N61" s="1280"/>
    </row>
    <row r="62" spans="1:16" x14ac:dyDescent="0.2">
      <c r="E62" t="s">
        <v>813</v>
      </c>
      <c r="L62" s="83">
        <f t="shared" ref="L62" si="1">G46</f>
        <v>0</v>
      </c>
      <c r="M62" s="13"/>
      <c r="N62" s="83"/>
    </row>
    <row r="63" spans="1:16" x14ac:dyDescent="0.2">
      <c r="E63" s="353" t="s">
        <v>896</v>
      </c>
      <c r="L63" s="83">
        <f>G47</f>
        <v>0</v>
      </c>
      <c r="M63" s="13"/>
      <c r="N63" s="83"/>
    </row>
    <row r="64" spans="1:16" x14ac:dyDescent="0.2">
      <c r="E64" s="353" t="s">
        <v>897</v>
      </c>
      <c r="L64" s="83">
        <f>G48</f>
        <v>0</v>
      </c>
      <c r="M64" s="13"/>
      <c r="N64" s="83"/>
    </row>
    <row r="65" spans="3:14" x14ac:dyDescent="0.2">
      <c r="F65" t="s">
        <v>902</v>
      </c>
      <c r="L65" s="83"/>
      <c r="M65" s="13"/>
      <c r="N65" s="83">
        <f t="shared" ref="N65:N74" si="2">G22</f>
        <v>-18439</v>
      </c>
    </row>
    <row r="66" spans="3:14" x14ac:dyDescent="0.2">
      <c r="F66" t="s">
        <v>991</v>
      </c>
      <c r="L66" s="83"/>
      <c r="M66" s="13"/>
      <c r="N66" s="83">
        <f t="shared" si="2"/>
        <v>233304</v>
      </c>
    </row>
    <row r="67" spans="3:14" x14ac:dyDescent="0.2">
      <c r="F67" t="s">
        <v>992</v>
      </c>
      <c r="L67" s="83"/>
      <c r="M67" s="13"/>
      <c r="N67" s="83">
        <f t="shared" si="2"/>
        <v>0</v>
      </c>
    </row>
    <row r="68" spans="3:14" x14ac:dyDescent="0.2">
      <c r="F68" t="s">
        <v>818</v>
      </c>
      <c r="L68" s="83"/>
      <c r="M68" s="13"/>
      <c r="N68" s="83">
        <f t="shared" si="2"/>
        <v>174366</v>
      </c>
    </row>
    <row r="69" spans="3:14" x14ac:dyDescent="0.2">
      <c r="F69" t="s">
        <v>183</v>
      </c>
      <c r="L69" s="83"/>
      <c r="M69" s="13"/>
      <c r="N69" s="83">
        <f t="shared" si="2"/>
        <v>0</v>
      </c>
    </row>
    <row r="70" spans="3:14" x14ac:dyDescent="0.2">
      <c r="F70" t="s">
        <v>266</v>
      </c>
      <c r="L70" s="83"/>
      <c r="M70" s="13"/>
      <c r="N70" s="83">
        <f t="shared" si="2"/>
        <v>461140</v>
      </c>
    </row>
    <row r="71" spans="3:14" x14ac:dyDescent="0.2">
      <c r="F71" t="s">
        <v>130</v>
      </c>
      <c r="L71" s="83"/>
      <c r="M71" s="13"/>
      <c r="N71" s="83">
        <f t="shared" si="2"/>
        <v>20325</v>
      </c>
    </row>
    <row r="72" spans="3:14" x14ac:dyDescent="0.2">
      <c r="F72" t="s">
        <v>131</v>
      </c>
      <c r="L72" s="83"/>
      <c r="M72" s="13"/>
      <c r="N72" s="83">
        <f t="shared" si="2"/>
        <v>125919</v>
      </c>
    </row>
    <row r="73" spans="3:14" x14ac:dyDescent="0.2">
      <c r="F73" t="s">
        <v>172</v>
      </c>
      <c r="L73" s="83"/>
      <c r="M73" s="13"/>
      <c r="N73" s="83">
        <f t="shared" si="2"/>
        <v>0</v>
      </c>
    </row>
    <row r="74" spans="3:14" x14ac:dyDescent="0.2">
      <c r="C74" s="43"/>
      <c r="F74" s="353" t="s">
        <v>729</v>
      </c>
      <c r="L74" s="79"/>
      <c r="N74" s="78">
        <f t="shared" si="2"/>
        <v>0</v>
      </c>
    </row>
    <row r="75" spans="3:14" ht="13.5" thickBot="1" x14ac:dyDescent="0.25">
      <c r="L75" s="75">
        <f>SUM(L54:L73)</f>
        <v>996615</v>
      </c>
      <c r="M75" s="13"/>
      <c r="N75" s="75">
        <f>SUM(N54:N74)</f>
        <v>996615</v>
      </c>
    </row>
    <row r="76" spans="3:14" ht="13.5" thickTop="1" x14ac:dyDescent="0.2"/>
  </sheetData>
  <customSheetViews>
    <customSheetView guid="{C1197650-3ED8-49E4-8E4C-0D1D4B503FC0}" topLeftCell="A25">
      <selection activeCell="G43" sqref="G43"/>
      <pageMargins left="0.36" right="0.37" top="0.65" bottom="0.5" header="0.5" footer="0.5"/>
      <printOptions horizontalCentered="1"/>
      <pageSetup scale="68" orientation="portrait" r:id="rId1"/>
      <headerFooter alignWithMargins="0">
        <oddHeader>&amp;R&amp;"Arial,Bold"&amp;12Entry E</oddHeader>
        <oddFooter>&amp;L&amp;8&amp;D - County model&amp;R&amp;P</oddFooter>
      </headerFooter>
    </customSheetView>
    <customSheetView guid="{D2B860EA-92EC-4999-9A59-C624E1F8C7FB}" topLeftCell="A25">
      <selection activeCell="G43" sqref="G43"/>
      <pageMargins left="0.36" right="0.37" top="0.65" bottom="0.5" header="0.5" footer="0.5"/>
      <printOptions horizontalCentered="1"/>
      <pageSetup scale="68" orientation="portrait" r:id="rId2"/>
      <headerFooter alignWithMargins="0">
        <oddHeader>&amp;R&amp;"Arial,Bold"&amp;12Entry E</oddHeader>
        <oddFooter>&amp;L&amp;8&amp;D - County model&amp;R&amp;P</oddFooter>
      </headerFooter>
    </customSheetView>
  </customSheetViews>
  <mergeCells count="11">
    <mergeCell ref="B6:P6"/>
    <mergeCell ref="A2:P2"/>
    <mergeCell ref="B4:P4"/>
    <mergeCell ref="B8:P8"/>
    <mergeCell ref="B35:P35"/>
    <mergeCell ref="J40:O42"/>
    <mergeCell ref="B51:O51"/>
    <mergeCell ref="C13:O14"/>
    <mergeCell ref="J26:O28"/>
    <mergeCell ref="C10:O11"/>
    <mergeCell ref="B18:P18"/>
  </mergeCells>
  <phoneticPr fontId="14" type="noConversion"/>
  <printOptions horizontalCentered="1"/>
  <pageMargins left="0.36" right="0.37" top="0.65" bottom="0.5" header="0.5" footer="0.5"/>
  <pageSetup scale="68" orientation="portrait" r:id="rId3"/>
  <headerFooter alignWithMargins="0">
    <oddHeader>&amp;R&amp;"Arial,Bold"&amp;12Entry E</oddHeader>
    <oddFooter>&amp;L&amp;8&amp;D - County model&amp;R&amp;P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J371"/>
  <sheetViews>
    <sheetView topLeftCell="D1" workbookViewId="0">
      <selection activeCell="D1" sqref="D1"/>
    </sheetView>
  </sheetViews>
  <sheetFormatPr defaultRowHeight="12.75" x14ac:dyDescent="0.2"/>
  <cols>
    <col min="1" max="1" width="3.140625" customWidth="1"/>
    <col min="2" max="2" width="2.42578125" customWidth="1"/>
    <col min="3" max="3" width="2.5703125" customWidth="1"/>
    <col min="5" max="5" width="3.140625" customWidth="1"/>
    <col min="6" max="6" width="11.28515625" customWidth="1"/>
    <col min="7" max="7" width="10" bestFit="1" customWidth="1"/>
    <col min="8" max="9" width="10" customWidth="1"/>
    <col min="10" max="10" width="6.28515625" customWidth="1"/>
    <col min="11" max="11" width="7" customWidth="1"/>
    <col min="12" max="12" width="10" customWidth="1"/>
    <col min="13" max="13" width="13.140625" customWidth="1"/>
    <col min="14" max="14" width="1.28515625" customWidth="1"/>
    <col min="15" max="15" width="13.28515625" bestFit="1" customWidth="1"/>
    <col min="16" max="16" width="12" customWidth="1"/>
    <col min="17" max="17" width="14.28515625" bestFit="1" customWidth="1"/>
    <col min="18" max="19" width="14.5703125" bestFit="1" customWidth="1"/>
    <col min="20" max="20" width="14.140625" customWidth="1"/>
    <col min="21" max="21" width="2.85546875" customWidth="1"/>
    <col min="22" max="23" width="11.42578125" bestFit="1" customWidth="1"/>
    <col min="24" max="25" width="11.5703125" bestFit="1" customWidth="1"/>
    <col min="26" max="27" width="11.5703125" customWidth="1"/>
    <col min="28" max="29" width="11.42578125" bestFit="1" customWidth="1"/>
  </cols>
  <sheetData>
    <row r="1" spans="1:20" ht="6" customHeight="1" x14ac:dyDescent="0.2"/>
    <row r="2" spans="1:20" ht="29.25" customHeight="1" x14ac:dyDescent="0.25">
      <c r="A2" s="1408" t="s">
        <v>820</v>
      </c>
      <c r="B2" s="1409"/>
      <c r="C2" s="1409"/>
      <c r="D2" s="1409"/>
      <c r="E2" s="1409"/>
      <c r="F2" s="1409"/>
      <c r="G2" s="1409"/>
      <c r="H2" s="1409"/>
      <c r="I2" s="1409"/>
      <c r="J2" s="1409"/>
      <c r="K2" s="1409"/>
      <c r="L2" s="1409"/>
      <c r="M2" s="1409"/>
      <c r="N2" s="1409"/>
      <c r="O2" s="1409"/>
      <c r="P2" s="1409"/>
      <c r="Q2" s="1409"/>
      <c r="R2" s="1409"/>
      <c r="S2" s="1409"/>
      <c r="T2" s="1410"/>
    </row>
    <row r="3" spans="1:20" ht="4.5" customHeight="1" x14ac:dyDescent="0.2">
      <c r="B3" s="1337"/>
      <c r="C3" s="1337"/>
      <c r="D3" s="1337"/>
      <c r="E3" s="1337"/>
      <c r="F3" s="1337"/>
      <c r="G3" s="1337"/>
      <c r="H3" s="1337"/>
      <c r="I3" s="1337"/>
      <c r="J3" s="1337"/>
      <c r="K3" s="1337"/>
      <c r="L3" s="1337"/>
      <c r="M3" s="1337"/>
      <c r="N3" s="1337"/>
    </row>
    <row r="4" spans="1:20" ht="51" customHeight="1" x14ac:dyDescent="0.2">
      <c r="B4" s="1411" t="s">
        <v>1002</v>
      </c>
      <c r="C4" s="1324"/>
      <c r="D4" s="1324"/>
      <c r="E4" s="1324"/>
      <c r="F4" s="1324"/>
      <c r="G4" s="1324"/>
      <c r="H4" s="1324"/>
      <c r="I4" s="1324"/>
      <c r="J4" s="1324"/>
      <c r="K4" s="1324"/>
      <c r="L4" s="1324"/>
      <c r="M4" s="1324"/>
      <c r="N4" s="1324"/>
      <c r="O4" s="1324"/>
      <c r="P4" s="1324"/>
      <c r="Q4" s="1324"/>
      <c r="R4" s="1324"/>
      <c r="S4" s="1324"/>
      <c r="T4" s="1324"/>
    </row>
    <row r="5" spans="1:20" ht="3.75" customHeight="1" x14ac:dyDescent="0.2">
      <c r="J5" s="2"/>
      <c r="K5" s="2"/>
    </row>
    <row r="6" spans="1:20" ht="12.75" customHeight="1" x14ac:dyDescent="0.2">
      <c r="A6" s="4"/>
      <c r="B6" s="39" t="s">
        <v>514</v>
      </c>
      <c r="C6" s="1324" t="s">
        <v>706</v>
      </c>
      <c r="D6" s="1324"/>
      <c r="E6" s="1324"/>
      <c r="F6" s="1324"/>
      <c r="G6" s="1324"/>
      <c r="H6" s="1324"/>
      <c r="I6" s="1324"/>
      <c r="J6" s="1324"/>
      <c r="K6" s="1324"/>
      <c r="L6" s="1324"/>
      <c r="M6" s="1324"/>
      <c r="N6" s="1324"/>
      <c r="O6" s="1324"/>
      <c r="P6" s="1324"/>
      <c r="Q6" s="1324"/>
      <c r="R6" s="1324"/>
      <c r="S6" s="1324"/>
      <c r="T6" s="1324"/>
    </row>
    <row r="7" spans="1:20" ht="12.75" customHeight="1" x14ac:dyDescent="0.2">
      <c r="A7" s="4"/>
      <c r="B7" s="39"/>
      <c r="C7" s="1324"/>
      <c r="D7" s="1324"/>
      <c r="E7" s="1324"/>
      <c r="F7" s="1324"/>
      <c r="G7" s="1324"/>
      <c r="H7" s="1324"/>
      <c r="I7" s="1324"/>
      <c r="J7" s="1324"/>
      <c r="K7" s="1324"/>
      <c r="L7" s="1324"/>
      <c r="M7" s="1324"/>
      <c r="N7" s="1324"/>
      <c r="O7" s="1324"/>
      <c r="P7" s="1324"/>
      <c r="Q7" s="1324"/>
      <c r="R7" s="1324"/>
      <c r="S7" s="1324"/>
      <c r="T7" s="1324"/>
    </row>
    <row r="8" spans="1:20" ht="4.5" customHeight="1" x14ac:dyDescent="0.2">
      <c r="A8" s="4"/>
    </row>
    <row r="9" spans="1:20" ht="12.75" customHeight="1" x14ac:dyDescent="0.2">
      <c r="A9" s="4"/>
      <c r="B9" s="39" t="s">
        <v>515</v>
      </c>
      <c r="C9" s="1324" t="s">
        <v>709</v>
      </c>
      <c r="D9" s="1324"/>
      <c r="E9" s="1324"/>
      <c r="F9" s="1324"/>
      <c r="G9" s="1324"/>
      <c r="H9" s="1324"/>
      <c r="I9" s="1324"/>
      <c r="J9" s="1324"/>
      <c r="K9" s="1324"/>
      <c r="L9" s="1324"/>
      <c r="M9" s="1324"/>
      <c r="N9" s="1324"/>
      <c r="O9" s="1324"/>
      <c r="P9" s="1324"/>
      <c r="Q9" s="1324"/>
      <c r="R9" s="1324"/>
      <c r="S9" s="1324"/>
      <c r="T9" s="1324"/>
    </row>
    <row r="10" spans="1:20" ht="4.5" customHeight="1" x14ac:dyDescent="0.2">
      <c r="A10" s="4"/>
    </row>
    <row r="11" spans="1:20" ht="12.75" customHeight="1" x14ac:dyDescent="0.2">
      <c r="A11" s="4"/>
      <c r="B11" s="39" t="s">
        <v>516</v>
      </c>
      <c r="C11" s="1424" t="s">
        <v>1091</v>
      </c>
      <c r="D11" s="1424"/>
      <c r="E11" s="1424"/>
      <c r="F11" s="1424"/>
      <c r="G11" s="1424"/>
      <c r="H11" s="1424"/>
      <c r="I11" s="1424"/>
      <c r="J11" s="1424"/>
      <c r="K11" s="1424"/>
      <c r="L11" s="1424"/>
      <c r="M11" s="1424"/>
      <c r="N11" s="1424"/>
      <c r="O11" s="1424"/>
      <c r="P11" s="1424"/>
      <c r="Q11" s="1424"/>
      <c r="R11" s="1424"/>
      <c r="S11" s="1424"/>
      <c r="T11" s="1424"/>
    </row>
    <row r="12" spans="1:20" ht="49.5" customHeight="1" x14ac:dyDescent="0.2">
      <c r="A12" s="4"/>
      <c r="B12" s="39"/>
      <c r="C12" s="1424"/>
      <c r="D12" s="1424"/>
      <c r="E12" s="1424"/>
      <c r="F12" s="1424"/>
      <c r="G12" s="1424"/>
      <c r="H12" s="1424"/>
      <c r="I12" s="1424"/>
      <c r="J12" s="1424"/>
      <c r="K12" s="1424"/>
      <c r="L12" s="1424"/>
      <c r="M12" s="1424"/>
      <c r="N12" s="1424"/>
      <c r="O12" s="1424"/>
      <c r="P12" s="1424"/>
      <c r="Q12" s="1424"/>
      <c r="R12" s="1424"/>
      <c r="S12" s="1424"/>
      <c r="T12" s="1424"/>
    </row>
    <row r="13" spans="1:20" ht="4.5" customHeight="1" x14ac:dyDescent="0.2">
      <c r="A13" s="4"/>
      <c r="C13" s="13"/>
      <c r="D13" s="13"/>
      <c r="E13" s="13"/>
      <c r="F13" s="13"/>
      <c r="G13" s="13"/>
      <c r="H13" s="13"/>
      <c r="I13" s="13"/>
      <c r="J13" s="13"/>
      <c r="K13" s="13"/>
      <c r="L13" s="13"/>
      <c r="M13" s="13"/>
      <c r="N13" s="13"/>
      <c r="O13" s="13"/>
    </row>
    <row r="14" spans="1:20" ht="12.75" customHeight="1" x14ac:dyDescent="0.2">
      <c r="A14" s="4"/>
      <c r="B14" s="39" t="s">
        <v>542</v>
      </c>
      <c r="C14" s="1337" t="s">
        <v>1025</v>
      </c>
      <c r="D14" s="1337"/>
      <c r="E14" s="1337"/>
      <c r="F14" s="1337"/>
      <c r="G14" s="1337"/>
      <c r="H14" s="1337"/>
      <c r="I14" s="1337"/>
      <c r="J14" s="1337"/>
      <c r="K14" s="1337"/>
      <c r="L14" s="1337"/>
      <c r="M14" s="1337"/>
      <c r="N14" s="1337"/>
      <c r="O14" s="1337"/>
      <c r="P14" s="1337"/>
      <c r="Q14" s="1337"/>
      <c r="R14" s="1337"/>
      <c r="S14" s="1337"/>
      <c r="T14" s="1337"/>
    </row>
    <row r="15" spans="1:20" ht="5.25" customHeight="1" x14ac:dyDescent="0.2">
      <c r="A15" s="4"/>
      <c r="C15" s="60"/>
      <c r="D15" s="60"/>
      <c r="E15" s="60"/>
      <c r="F15" s="60"/>
      <c r="G15" s="60"/>
      <c r="H15" s="60"/>
      <c r="I15" s="60"/>
      <c r="J15" s="60"/>
      <c r="K15" s="60"/>
      <c r="L15" s="60"/>
      <c r="M15" s="60"/>
      <c r="N15" s="60"/>
      <c r="O15" s="60"/>
      <c r="P15" s="60"/>
      <c r="Q15" s="35"/>
      <c r="R15" s="35"/>
      <c r="S15" s="35"/>
    </row>
    <row r="16" spans="1:20" ht="12.75" customHeight="1" x14ac:dyDescent="0.2">
      <c r="A16" s="4"/>
      <c r="B16" s="39" t="s">
        <v>543</v>
      </c>
      <c r="C16" s="1424" t="s">
        <v>1092</v>
      </c>
      <c r="D16" s="1337"/>
      <c r="E16" s="1337"/>
      <c r="F16" s="1337"/>
      <c r="G16" s="1337"/>
      <c r="H16" s="1337"/>
      <c r="I16" s="1337"/>
      <c r="J16" s="1337"/>
      <c r="K16" s="1337"/>
      <c r="L16" s="1337"/>
      <c r="M16" s="1337"/>
      <c r="N16" s="1337"/>
      <c r="O16" s="1337"/>
      <c r="P16" s="1337"/>
      <c r="Q16" s="1337"/>
      <c r="R16" s="1337"/>
      <c r="S16" s="1337"/>
      <c r="T16" s="1337"/>
    </row>
    <row r="17" spans="1:20" ht="12.75" customHeight="1" x14ac:dyDescent="0.2">
      <c r="A17" s="4"/>
      <c r="B17" s="39"/>
      <c r="C17" s="1337"/>
      <c r="D17" s="1337"/>
      <c r="E17" s="1337"/>
      <c r="F17" s="1337"/>
      <c r="G17" s="1337"/>
      <c r="H17" s="1337"/>
      <c r="I17" s="1337"/>
      <c r="J17" s="1337"/>
      <c r="K17" s="1337"/>
      <c r="L17" s="1337"/>
      <c r="M17" s="1337"/>
      <c r="N17" s="1337"/>
      <c r="O17" s="1337"/>
      <c r="P17" s="1337"/>
      <c r="Q17" s="1337"/>
      <c r="R17" s="1337"/>
      <c r="S17" s="1337"/>
      <c r="T17" s="1337"/>
    </row>
    <row r="18" spans="1:20" ht="12.75" customHeight="1" x14ac:dyDescent="0.2">
      <c r="A18" s="4"/>
      <c r="B18" s="39"/>
      <c r="C18" s="1337"/>
      <c r="D18" s="1337"/>
      <c r="E18" s="1337"/>
      <c r="F18" s="1337"/>
      <c r="G18" s="1337"/>
      <c r="H18" s="1337"/>
      <c r="I18" s="1337"/>
      <c r="J18" s="1337"/>
      <c r="K18" s="1337"/>
      <c r="L18" s="1337"/>
      <c r="M18" s="1337"/>
      <c r="N18" s="1337"/>
      <c r="O18" s="1337"/>
      <c r="P18" s="1337"/>
      <c r="Q18" s="1337"/>
      <c r="R18" s="1337"/>
      <c r="S18" s="1337"/>
      <c r="T18" s="1337"/>
    </row>
    <row r="19" spans="1:20" ht="4.5" customHeight="1" x14ac:dyDescent="0.2">
      <c r="A19" s="4"/>
      <c r="B19" s="39"/>
      <c r="C19" s="68"/>
      <c r="D19" s="68"/>
      <c r="E19" s="68"/>
      <c r="F19" s="68"/>
      <c r="G19" s="68"/>
      <c r="H19" s="68"/>
      <c r="I19" s="68"/>
      <c r="J19" s="68"/>
      <c r="K19" s="68"/>
      <c r="L19" s="68"/>
      <c r="M19" s="68"/>
      <c r="N19" s="68"/>
      <c r="O19" s="68"/>
      <c r="P19" s="13"/>
    </row>
    <row r="20" spans="1:20" ht="12.75" customHeight="1" x14ac:dyDescent="0.2">
      <c r="A20" s="4"/>
      <c r="B20" s="39" t="s">
        <v>858</v>
      </c>
      <c r="C20" s="1337" t="s">
        <v>923</v>
      </c>
      <c r="D20" s="1337"/>
      <c r="E20" s="1337"/>
      <c r="F20" s="1337"/>
      <c r="G20" s="1337"/>
      <c r="H20" s="1337"/>
      <c r="I20" s="1337"/>
      <c r="J20" s="1337"/>
      <c r="K20" s="1337"/>
      <c r="L20" s="1337"/>
      <c r="M20" s="1337"/>
      <c r="N20" s="1337"/>
      <c r="O20" s="1337"/>
      <c r="P20" s="1337"/>
      <c r="Q20" s="1337"/>
      <c r="R20" s="1337"/>
      <c r="S20" s="1337"/>
      <c r="T20" s="1337"/>
    </row>
    <row r="21" spans="1:20" ht="12.75" customHeight="1" x14ac:dyDescent="0.2">
      <c r="A21" s="4"/>
      <c r="B21" s="39"/>
      <c r="C21" s="1337"/>
      <c r="D21" s="1337"/>
      <c r="E21" s="1337"/>
      <c r="F21" s="1337"/>
      <c r="G21" s="1337"/>
      <c r="H21" s="1337"/>
      <c r="I21" s="1337"/>
      <c r="J21" s="1337"/>
      <c r="K21" s="1337"/>
      <c r="L21" s="1337"/>
      <c r="M21" s="1337"/>
      <c r="N21" s="1337"/>
      <c r="O21" s="1337"/>
      <c r="P21" s="1337"/>
      <c r="Q21" s="1337"/>
      <c r="R21" s="1337"/>
      <c r="S21" s="1337"/>
      <c r="T21" s="1337"/>
    </row>
    <row r="22" spans="1:20" ht="4.5" customHeight="1" x14ac:dyDescent="0.2">
      <c r="A22" s="4"/>
      <c r="B22" s="39"/>
      <c r="C22" s="68"/>
      <c r="D22" s="68"/>
      <c r="E22" s="68"/>
      <c r="F22" s="68"/>
      <c r="G22" s="68"/>
      <c r="H22" s="68"/>
      <c r="I22" s="68"/>
      <c r="J22" s="68"/>
      <c r="K22" s="68"/>
      <c r="L22" s="68"/>
      <c r="M22" s="68"/>
      <c r="N22" s="68"/>
      <c r="O22" s="68"/>
      <c r="P22" s="13"/>
    </row>
    <row r="23" spans="1:20" ht="12.75" customHeight="1" x14ac:dyDescent="0.2">
      <c r="A23" s="4"/>
      <c r="B23" s="39" t="s">
        <v>940</v>
      </c>
      <c r="C23" s="1324" t="s">
        <v>96</v>
      </c>
      <c r="D23" s="1324"/>
      <c r="E23" s="1324"/>
      <c r="F23" s="1324"/>
      <c r="G23" s="1324"/>
      <c r="H23" s="1324"/>
      <c r="I23" s="1324"/>
      <c r="J23" s="1324"/>
      <c r="K23" s="1324"/>
      <c r="L23" s="1324"/>
      <c r="M23" s="1324"/>
      <c r="N23" s="1324"/>
      <c r="O23" s="1324"/>
      <c r="P23" s="1324"/>
      <c r="Q23" s="1324"/>
      <c r="R23" s="1324"/>
      <c r="S23" s="1324"/>
      <c r="T23" s="1324"/>
    </row>
    <row r="24" spans="1:20" ht="25.5" customHeight="1" x14ac:dyDescent="0.2">
      <c r="A24" s="4"/>
      <c r="B24" s="39"/>
      <c r="C24" s="1324"/>
      <c r="D24" s="1324"/>
      <c r="E24" s="1324"/>
      <c r="F24" s="1324"/>
      <c r="G24" s="1324"/>
      <c r="H24" s="1324"/>
      <c r="I24" s="1324"/>
      <c r="J24" s="1324"/>
      <c r="K24" s="1324"/>
      <c r="L24" s="1324"/>
      <c r="M24" s="1324"/>
      <c r="N24" s="1324"/>
      <c r="O24" s="1324"/>
      <c r="P24" s="1324"/>
      <c r="Q24" s="1324"/>
      <c r="R24" s="1324"/>
      <c r="S24" s="1324"/>
      <c r="T24" s="1324"/>
    </row>
    <row r="25" spans="1:20" ht="6" customHeight="1" x14ac:dyDescent="0.2">
      <c r="A25" s="68"/>
    </row>
    <row r="26" spans="1:20" ht="25.5" customHeight="1" x14ac:dyDescent="0.2">
      <c r="A26" s="4" t="s">
        <v>540</v>
      </c>
      <c r="B26" s="1441" t="s">
        <v>574</v>
      </c>
      <c r="C26" s="1442"/>
      <c r="D26" s="1442"/>
      <c r="E26" s="1442"/>
      <c r="F26" s="1442"/>
      <c r="G26" s="1442"/>
      <c r="H26" s="1442"/>
      <c r="I26" s="1442"/>
      <c r="J26" s="1442"/>
      <c r="K26" s="1442"/>
      <c r="L26" s="1442"/>
      <c r="M26" s="1442"/>
      <c r="N26" s="1442"/>
      <c r="O26" s="1442"/>
      <c r="P26" s="1442"/>
      <c r="Q26" s="1442"/>
      <c r="R26" s="1442"/>
      <c r="S26" s="1442"/>
      <c r="T26" s="1443"/>
    </row>
    <row r="27" spans="1:20" ht="12.75" customHeight="1" x14ac:dyDescent="0.2">
      <c r="A27" s="4"/>
      <c r="L27" s="57"/>
      <c r="M27" s="57"/>
      <c r="N27" s="57"/>
      <c r="O27" s="57" t="s">
        <v>822</v>
      </c>
      <c r="P27" s="51"/>
      <c r="R27" s="378" t="s">
        <v>708</v>
      </c>
      <c r="S27" s="379" t="s">
        <v>708</v>
      </c>
    </row>
    <row r="28" spans="1:20" ht="12.75" customHeight="1" x14ac:dyDescent="0.2">
      <c r="A28" s="4"/>
      <c r="L28" s="49" t="s">
        <v>814</v>
      </c>
      <c r="M28" s="49" t="s">
        <v>312</v>
      </c>
      <c r="N28" s="57"/>
      <c r="O28" s="49" t="s">
        <v>313</v>
      </c>
      <c r="R28" s="380" t="s">
        <v>694</v>
      </c>
      <c r="S28" s="380" t="s">
        <v>695</v>
      </c>
    </row>
    <row r="29" spans="1:20" ht="15.75" customHeight="1" x14ac:dyDescent="0.2">
      <c r="A29" s="4"/>
      <c r="B29" s="64" t="s">
        <v>514</v>
      </c>
      <c r="C29" s="4" t="s">
        <v>674</v>
      </c>
      <c r="R29" s="44"/>
      <c r="S29" s="44"/>
    </row>
    <row r="30" spans="1:20" ht="6.75" customHeight="1" x14ac:dyDescent="0.2">
      <c r="A30" s="4"/>
      <c r="B30" s="64"/>
      <c r="C30" s="4"/>
      <c r="R30" s="44"/>
      <c r="S30" s="44"/>
    </row>
    <row r="31" spans="1:20" ht="12.75" customHeight="1" x14ac:dyDescent="0.2">
      <c r="A31" s="4"/>
      <c r="C31" t="s">
        <v>117</v>
      </c>
      <c r="D31" s="1324" t="s">
        <v>118</v>
      </c>
      <c r="E31" s="1324"/>
      <c r="F31" s="1324"/>
      <c r="G31" s="1324"/>
      <c r="H31" s="1324"/>
      <c r="I31" s="1324"/>
      <c r="L31" s="1445">
        <v>1000</v>
      </c>
      <c r="M31" s="1446"/>
      <c r="N31" s="353"/>
      <c r="O31" s="1446"/>
      <c r="R31" s="1452"/>
      <c r="S31" s="1452"/>
    </row>
    <row r="32" spans="1:20" ht="13.5" customHeight="1" x14ac:dyDescent="0.2">
      <c r="A32" s="4"/>
      <c r="D32" s="1324"/>
      <c r="E32" s="1324"/>
      <c r="F32" s="1324"/>
      <c r="G32" s="1324"/>
      <c r="H32" s="1324"/>
      <c r="I32" s="1324"/>
      <c r="L32" s="1445"/>
      <c r="M32" s="1446"/>
      <c r="N32" s="353"/>
      <c r="O32" s="1446"/>
      <c r="R32" s="1452"/>
      <c r="S32" s="1452"/>
    </row>
    <row r="33" spans="3:20" ht="5.25" customHeight="1" x14ac:dyDescent="0.2">
      <c r="L33" s="36"/>
    </row>
    <row r="34" spans="3:20" ht="12.75" customHeight="1" x14ac:dyDescent="0.2">
      <c r="C34" t="s">
        <v>119</v>
      </c>
      <c r="D34" s="1324" t="s">
        <v>274</v>
      </c>
      <c r="E34" s="1324"/>
      <c r="F34" s="1324"/>
      <c r="G34" s="1324"/>
      <c r="H34" s="1324"/>
      <c r="I34" s="1324"/>
      <c r="L34" s="77" t="s">
        <v>825</v>
      </c>
      <c r="M34" s="1446"/>
      <c r="N34" s="353"/>
      <c r="O34" s="1446"/>
      <c r="R34" s="1446"/>
      <c r="S34" s="1446"/>
    </row>
    <row r="35" spans="3:20" ht="12.75" customHeight="1" x14ac:dyDescent="0.2">
      <c r="D35" s="1324"/>
      <c r="E35" s="1324"/>
      <c r="F35" s="1324"/>
      <c r="G35" s="1324"/>
      <c r="H35" s="1324"/>
      <c r="I35" s="1324"/>
      <c r="L35" s="77"/>
      <c r="M35" s="1446"/>
      <c r="N35" s="353"/>
      <c r="O35" s="1446"/>
      <c r="R35" s="1446"/>
      <c r="S35" s="1446"/>
    </row>
    <row r="36" spans="3:20" ht="5.25" customHeight="1" x14ac:dyDescent="0.2">
      <c r="L36" s="65"/>
    </row>
    <row r="37" spans="3:20" ht="12.75" customHeight="1" x14ac:dyDescent="0.2">
      <c r="C37" t="s">
        <v>275</v>
      </c>
      <c r="D37" s="1324" t="s">
        <v>833</v>
      </c>
      <c r="E37" s="1324"/>
      <c r="F37" s="1324"/>
      <c r="G37" s="1324"/>
      <c r="H37" s="1324"/>
      <c r="I37" s="1324"/>
      <c r="L37" s="77" t="s">
        <v>825</v>
      </c>
      <c r="M37" s="1446"/>
      <c r="N37" s="353">
        <v>0</v>
      </c>
      <c r="O37" s="1446"/>
      <c r="R37" s="1446"/>
      <c r="S37" s="1446"/>
    </row>
    <row r="38" spans="3:20" ht="13.5" customHeight="1" x14ac:dyDescent="0.2">
      <c r="D38" s="1324"/>
      <c r="E38" s="1324"/>
      <c r="F38" s="1324"/>
      <c r="G38" s="1324"/>
      <c r="H38" s="1324"/>
      <c r="I38" s="1324"/>
      <c r="L38" s="77"/>
      <c r="M38" s="1446"/>
      <c r="N38" s="353"/>
      <c r="O38" s="1446"/>
      <c r="R38" s="1446"/>
      <c r="S38" s="1446"/>
    </row>
    <row r="39" spans="3:20" ht="3.75" customHeight="1" x14ac:dyDescent="0.2">
      <c r="D39" s="34"/>
      <c r="E39" s="34"/>
      <c r="F39" s="34"/>
      <c r="G39" s="34"/>
      <c r="H39" s="34"/>
      <c r="I39" s="34"/>
      <c r="L39" s="36"/>
    </row>
    <row r="40" spans="3:20" ht="13.5" customHeight="1" x14ac:dyDescent="0.2">
      <c r="D40" s="34"/>
      <c r="E40" s="1324" t="s">
        <v>317</v>
      </c>
      <c r="F40" s="1324"/>
      <c r="G40" s="1324"/>
      <c r="H40" s="1324"/>
      <c r="I40" s="1324"/>
      <c r="L40" s="73">
        <f>L31</f>
        <v>1000</v>
      </c>
      <c r="M40" s="74">
        <f>M31-(M34+M37)</f>
        <v>0</v>
      </c>
      <c r="N40" s="14"/>
      <c r="O40" s="74">
        <f>O31-(O34+O37)</f>
        <v>0</v>
      </c>
      <c r="R40" s="74"/>
      <c r="S40" s="74"/>
    </row>
    <row r="41" spans="3:20" ht="6.75" customHeight="1" x14ac:dyDescent="0.2">
      <c r="D41" s="34"/>
      <c r="E41" s="34"/>
      <c r="F41" s="34"/>
      <c r="G41" s="34"/>
      <c r="H41" s="34"/>
      <c r="I41" s="34"/>
      <c r="L41" s="36"/>
    </row>
    <row r="42" spans="3:20" ht="13.5" customHeight="1" x14ac:dyDescent="0.2">
      <c r="C42" t="s">
        <v>311</v>
      </c>
      <c r="D42" s="1324" t="s">
        <v>698</v>
      </c>
      <c r="E42" s="1324"/>
      <c r="F42" s="1324"/>
      <c r="G42" s="1324"/>
      <c r="H42" s="1324"/>
      <c r="I42" s="34"/>
      <c r="L42" s="341">
        <v>28482</v>
      </c>
      <c r="M42" s="342"/>
      <c r="N42" s="353"/>
      <c r="O42" s="342"/>
      <c r="R42" s="342"/>
      <c r="S42" s="342"/>
    </row>
    <row r="43" spans="3:20" ht="6" customHeight="1" x14ac:dyDescent="0.2">
      <c r="D43" s="34"/>
      <c r="E43" s="34"/>
      <c r="F43" s="34"/>
      <c r="G43" s="34"/>
      <c r="H43" s="34"/>
      <c r="I43" s="34"/>
      <c r="L43" s="36"/>
    </row>
    <row r="44" spans="3:20" ht="13.5" thickBot="1" x14ac:dyDescent="0.25">
      <c r="E44" t="s">
        <v>318</v>
      </c>
      <c r="L44" s="75">
        <f>L42-L40</f>
        <v>27482</v>
      </c>
      <c r="M44" s="76">
        <f>M42-M40</f>
        <v>0</v>
      </c>
      <c r="N44" s="14"/>
      <c r="O44" s="76">
        <f>O42-O40</f>
        <v>0</v>
      </c>
      <c r="R44" s="76"/>
      <c r="S44" s="76"/>
    </row>
    <row r="45" spans="3:20" ht="9" customHeight="1" thickTop="1" x14ac:dyDescent="0.2"/>
    <row r="46" spans="3:20" ht="24.95" customHeight="1" x14ac:dyDescent="0.2">
      <c r="C46" s="1451" t="s">
        <v>400</v>
      </c>
      <c r="D46" s="1451"/>
      <c r="E46" s="1451"/>
      <c r="F46" s="1451"/>
      <c r="G46" s="1451"/>
      <c r="H46" s="1451"/>
      <c r="I46" s="1451"/>
      <c r="J46" s="1451"/>
      <c r="K46" s="1451"/>
      <c r="L46" s="1451"/>
      <c r="M46" s="1451"/>
      <c r="N46" s="1451"/>
      <c r="O46" s="1451"/>
      <c r="P46" s="1451"/>
      <c r="Q46" s="1451"/>
      <c r="R46" s="1451"/>
      <c r="S46" s="1451"/>
      <c r="T46" s="1451"/>
    </row>
    <row r="47" spans="3:20" ht="6" customHeight="1" x14ac:dyDescent="0.2">
      <c r="D47" s="34"/>
      <c r="E47" s="34"/>
      <c r="F47" s="34"/>
      <c r="G47" s="34"/>
      <c r="H47" s="34"/>
      <c r="I47" s="34"/>
      <c r="J47" s="34"/>
      <c r="K47" s="34"/>
      <c r="L47" s="34"/>
      <c r="M47" s="34"/>
      <c r="N47" s="34"/>
      <c r="O47" s="34"/>
      <c r="P47" s="34"/>
      <c r="Q47" s="34"/>
      <c r="R47" s="34"/>
      <c r="S47" s="34"/>
      <c r="T47" s="34"/>
    </row>
    <row r="48" spans="3:20" x14ac:dyDescent="0.2">
      <c r="O48" s="38" t="s">
        <v>707</v>
      </c>
      <c r="Q48" s="51" t="s">
        <v>314</v>
      </c>
      <c r="R48" s="378" t="s">
        <v>708</v>
      </c>
      <c r="S48" s="379" t="s">
        <v>708</v>
      </c>
    </row>
    <row r="49" spans="2:19" ht="12" customHeight="1" x14ac:dyDescent="0.2">
      <c r="B49" s="64" t="s">
        <v>515</v>
      </c>
      <c r="C49" s="4" t="s">
        <v>898</v>
      </c>
      <c r="L49" s="49" t="s">
        <v>814</v>
      </c>
      <c r="M49" s="49" t="s">
        <v>312</v>
      </c>
      <c r="N49" s="57"/>
      <c r="O49" s="49" t="s">
        <v>313</v>
      </c>
      <c r="P49" s="67" t="s">
        <v>812</v>
      </c>
      <c r="Q49" s="67" t="s">
        <v>315</v>
      </c>
      <c r="R49" s="380" t="s">
        <v>694</v>
      </c>
      <c r="S49" s="380" t="s">
        <v>695</v>
      </c>
    </row>
    <row r="50" spans="2:19" ht="12.75" customHeight="1" x14ac:dyDescent="0.2">
      <c r="C50" t="s">
        <v>117</v>
      </c>
      <c r="D50" s="1324" t="s">
        <v>711</v>
      </c>
      <c r="E50" s="1324"/>
      <c r="F50" s="1324"/>
      <c r="G50" s="1324"/>
      <c r="H50" s="1324"/>
      <c r="I50" s="1324"/>
      <c r="L50" s="1448"/>
      <c r="M50" s="1448"/>
      <c r="N50" s="354"/>
      <c r="O50" s="1448"/>
      <c r="P50" s="1448"/>
      <c r="Q50" s="1448"/>
      <c r="R50" s="1447"/>
      <c r="S50" s="1447"/>
    </row>
    <row r="51" spans="2:19" ht="12" customHeight="1" x14ac:dyDescent="0.2">
      <c r="D51" s="1324"/>
      <c r="E51" s="1324"/>
      <c r="F51" s="1324"/>
      <c r="G51" s="1324"/>
      <c r="H51" s="1324"/>
      <c r="I51" s="1324"/>
      <c r="L51" s="1445"/>
      <c r="M51" s="1445"/>
      <c r="N51" s="354"/>
      <c r="O51" s="1445"/>
      <c r="P51" s="1445"/>
      <c r="Q51" s="1445"/>
      <c r="R51" s="1446"/>
      <c r="S51" s="1446"/>
    </row>
    <row r="52" spans="2:19" ht="5.25" customHeight="1" x14ac:dyDescent="0.2">
      <c r="L52" s="36"/>
      <c r="M52" s="36"/>
      <c r="N52" s="36"/>
      <c r="O52" s="36"/>
      <c r="P52" s="36"/>
      <c r="Q52" s="36"/>
    </row>
    <row r="53" spans="2:19" ht="12.75" customHeight="1" x14ac:dyDescent="0.2">
      <c r="C53" t="s">
        <v>119</v>
      </c>
      <c r="D53" s="1324" t="s">
        <v>768</v>
      </c>
      <c r="E53" s="1324"/>
      <c r="F53" s="1324"/>
      <c r="G53" s="1324"/>
      <c r="H53" s="1324"/>
      <c r="I53" s="1324"/>
      <c r="L53" s="77" t="s">
        <v>825</v>
      </c>
      <c r="M53" s="1445"/>
      <c r="N53" s="354"/>
      <c r="O53" s="1445"/>
      <c r="P53" s="1445"/>
      <c r="Q53" s="1445"/>
      <c r="R53" s="1445"/>
      <c r="S53" s="1445"/>
    </row>
    <row r="54" spans="2:19" ht="12.75" customHeight="1" x14ac:dyDescent="0.2">
      <c r="D54" s="1324"/>
      <c r="E54" s="1324"/>
      <c r="F54" s="1324"/>
      <c r="G54" s="1324"/>
      <c r="H54" s="1324"/>
      <c r="I54" s="1324"/>
      <c r="L54" s="77"/>
      <c r="M54" s="1445"/>
      <c r="N54" s="354"/>
      <c r="O54" s="1445"/>
      <c r="P54" s="1445"/>
      <c r="Q54" s="1445"/>
      <c r="R54" s="1445"/>
      <c r="S54" s="1445"/>
    </row>
    <row r="55" spans="2:19" ht="5.25" customHeight="1" x14ac:dyDescent="0.2">
      <c r="L55" s="65"/>
      <c r="M55" s="36"/>
      <c r="N55" s="36"/>
      <c r="O55" s="36"/>
      <c r="P55" s="36"/>
      <c r="Q55" s="36"/>
      <c r="R55" s="36"/>
      <c r="S55" s="36"/>
    </row>
    <row r="56" spans="2:19" ht="13.5" customHeight="1" x14ac:dyDescent="0.2">
      <c r="C56" t="s">
        <v>275</v>
      </c>
      <c r="D56" s="1324" t="s">
        <v>393</v>
      </c>
      <c r="E56" s="1324"/>
      <c r="F56" s="1324"/>
      <c r="G56" s="1324"/>
      <c r="H56" s="1324"/>
      <c r="I56" s="1324"/>
      <c r="L56" s="77" t="s">
        <v>825</v>
      </c>
      <c r="M56" s="1445"/>
      <c r="N56" s="354"/>
      <c r="O56" s="1445"/>
      <c r="P56" s="1445"/>
      <c r="Q56" s="1445"/>
      <c r="R56" s="1445"/>
      <c r="S56" s="1445"/>
    </row>
    <row r="57" spans="2:19" ht="13.5" customHeight="1" x14ac:dyDescent="0.2">
      <c r="D57" s="1324"/>
      <c r="E57" s="1324"/>
      <c r="F57" s="1324"/>
      <c r="G57" s="1324"/>
      <c r="H57" s="1324"/>
      <c r="I57" s="1324"/>
      <c r="L57" s="77"/>
      <c r="M57" s="1445"/>
      <c r="N57" s="354"/>
      <c r="O57" s="1445"/>
      <c r="P57" s="1445"/>
      <c r="Q57" s="1445"/>
      <c r="R57" s="1445"/>
      <c r="S57" s="1445"/>
    </row>
    <row r="58" spans="2:19" ht="5.25" customHeight="1" x14ac:dyDescent="0.2">
      <c r="L58" s="36"/>
      <c r="M58" s="36"/>
      <c r="N58" s="36"/>
      <c r="O58" s="36"/>
      <c r="P58" s="36"/>
      <c r="Q58" s="36"/>
    </row>
    <row r="59" spans="2:19" ht="12.75" customHeight="1" x14ac:dyDescent="0.2">
      <c r="E59" t="s">
        <v>317</v>
      </c>
      <c r="L59" s="73">
        <f>L50</f>
        <v>0</v>
      </c>
      <c r="M59" s="73">
        <f>M50-(M53+M56)</f>
        <v>0</v>
      </c>
      <c r="N59" s="48"/>
      <c r="O59" s="73">
        <f>O50-(O53+O56)</f>
        <v>0</v>
      </c>
      <c r="P59" s="73">
        <f>P50-(P53+P56)</f>
        <v>0</v>
      </c>
      <c r="Q59" s="73">
        <f>Q50-(Q53+Q56)</f>
        <v>0</v>
      </c>
      <c r="R59" s="74"/>
      <c r="S59" s="74"/>
    </row>
    <row r="60" spans="2:19" ht="4.5" customHeight="1" x14ac:dyDescent="0.2">
      <c r="L60" s="36"/>
      <c r="M60" s="36"/>
      <c r="N60" s="36"/>
      <c r="O60" s="36"/>
      <c r="P60" s="36"/>
      <c r="Q60" s="36"/>
    </row>
    <row r="61" spans="2:19" ht="13.5" customHeight="1" x14ac:dyDescent="0.2">
      <c r="C61" t="s">
        <v>311</v>
      </c>
      <c r="D61" s="1454" t="s">
        <v>394</v>
      </c>
      <c r="E61" s="1454"/>
      <c r="F61" s="1454"/>
      <c r="G61" s="1454"/>
      <c r="H61" s="1454"/>
      <c r="I61" s="1454"/>
      <c r="L61" s="36"/>
      <c r="M61" s="36"/>
      <c r="N61" s="36"/>
      <c r="O61" s="36"/>
      <c r="P61" s="36"/>
      <c r="Q61" s="36"/>
    </row>
    <row r="62" spans="2:19" ht="13.5" customHeight="1" x14ac:dyDescent="0.2">
      <c r="D62" s="13"/>
      <c r="E62" s="13" t="s">
        <v>316</v>
      </c>
      <c r="F62" s="13"/>
      <c r="G62" s="13"/>
      <c r="H62" s="13"/>
      <c r="I62" s="13"/>
      <c r="L62" s="343"/>
      <c r="M62" s="343"/>
      <c r="N62" s="354"/>
      <c r="O62" s="343"/>
      <c r="P62" s="343"/>
      <c r="Q62" s="343"/>
      <c r="R62" s="342"/>
      <c r="S62" s="342"/>
    </row>
    <row r="63" spans="2:19" ht="13.5" customHeight="1" x14ac:dyDescent="0.2">
      <c r="D63" s="13"/>
      <c r="E63" s="13" t="s">
        <v>281</v>
      </c>
      <c r="F63" s="13"/>
      <c r="G63" s="13"/>
      <c r="H63" s="13"/>
      <c r="I63" s="13"/>
      <c r="L63" s="343"/>
      <c r="M63" s="343"/>
      <c r="N63" s="354"/>
      <c r="O63" s="343"/>
      <c r="P63" s="343"/>
      <c r="Q63" s="343"/>
      <c r="R63" s="342"/>
      <c r="S63" s="342"/>
    </row>
    <row r="64" spans="2:19" ht="12.75" customHeight="1" x14ac:dyDescent="0.2">
      <c r="L64" s="36"/>
      <c r="M64" s="36"/>
      <c r="N64" s="36"/>
      <c r="O64" s="36"/>
      <c r="P64" s="36"/>
      <c r="Q64" s="36"/>
    </row>
    <row r="65" spans="1:20" ht="12.75" customHeight="1" thickBot="1" x14ac:dyDescent="0.25">
      <c r="E65" t="s">
        <v>319</v>
      </c>
      <c r="L65" s="75">
        <f>(L62+L63)-L59</f>
        <v>0</v>
      </c>
      <c r="M65" s="75">
        <f>(M62+M63)-M59</f>
        <v>0</v>
      </c>
      <c r="N65" s="48"/>
      <c r="O65" s="75">
        <f>(O62+O63)-O59</f>
        <v>0</v>
      </c>
      <c r="P65" s="75">
        <f>(P62+P63)-P59</f>
        <v>0</v>
      </c>
      <c r="Q65" s="75">
        <f>(Q62+Q63)-Q59</f>
        <v>0</v>
      </c>
      <c r="R65" s="76"/>
      <c r="S65" s="76"/>
    </row>
    <row r="66" spans="1:20" ht="5.25" customHeight="1" thickTop="1" x14ac:dyDescent="0.2"/>
    <row r="67" spans="1:20" ht="26.25" customHeight="1" x14ac:dyDescent="0.2">
      <c r="D67" s="1326" t="s">
        <v>765</v>
      </c>
      <c r="E67" s="1324"/>
      <c r="F67" s="1324"/>
      <c r="G67" s="1324"/>
      <c r="H67" s="1324"/>
      <c r="I67" s="1324"/>
      <c r="J67" s="1324"/>
      <c r="K67" s="1324"/>
      <c r="L67" s="1324"/>
      <c r="M67" s="1324"/>
      <c r="N67" s="1324"/>
      <c r="O67" s="1324"/>
      <c r="P67" s="1324"/>
      <c r="Q67" s="1324"/>
      <c r="R67" s="1324"/>
      <c r="S67" s="1324"/>
      <c r="T67" s="1324"/>
    </row>
    <row r="68" spans="1:20" ht="6" customHeight="1" x14ac:dyDescent="0.2"/>
    <row r="69" spans="1:20" ht="25.5" customHeight="1" x14ac:dyDescent="0.2">
      <c r="A69" s="4" t="s">
        <v>541</v>
      </c>
      <c r="B69" s="1441" t="s">
        <v>823</v>
      </c>
      <c r="C69" s="1442"/>
      <c r="D69" s="1442"/>
      <c r="E69" s="1442"/>
      <c r="F69" s="1442"/>
      <c r="G69" s="1442"/>
      <c r="H69" s="1442"/>
      <c r="I69" s="1442"/>
      <c r="J69" s="1442"/>
      <c r="K69" s="1442"/>
      <c r="L69" s="1442"/>
      <c r="M69" s="1442"/>
      <c r="N69" s="1442"/>
      <c r="O69" s="1442"/>
      <c r="P69" s="1442"/>
      <c r="Q69" s="1442"/>
      <c r="R69" s="1442"/>
      <c r="S69" s="1442"/>
      <c r="T69" s="1443"/>
    </row>
    <row r="70" spans="1:20" x14ac:dyDescent="0.2">
      <c r="C70" s="44"/>
      <c r="D70" s="44"/>
      <c r="E70" s="44"/>
      <c r="F70" s="1457"/>
      <c r="G70" s="1457"/>
      <c r="H70" s="1457"/>
      <c r="I70" s="44"/>
      <c r="N70" s="44"/>
    </row>
    <row r="71" spans="1:20" x14ac:dyDescent="0.2">
      <c r="O71" s="38" t="s">
        <v>707</v>
      </c>
      <c r="Q71" s="51" t="s">
        <v>314</v>
      </c>
      <c r="R71" s="378" t="s">
        <v>708</v>
      </c>
      <c r="S71" s="379" t="s">
        <v>708</v>
      </c>
    </row>
    <row r="72" spans="1:20" ht="12.75" customHeight="1" x14ac:dyDescent="0.2">
      <c r="B72" s="64"/>
      <c r="C72" s="4" t="s">
        <v>710</v>
      </c>
      <c r="L72" s="49" t="s">
        <v>814</v>
      </c>
      <c r="M72" s="49" t="s">
        <v>312</v>
      </c>
      <c r="N72" s="57"/>
      <c r="O72" s="49" t="s">
        <v>313</v>
      </c>
      <c r="P72" s="67" t="s">
        <v>812</v>
      </c>
      <c r="Q72" s="67" t="s">
        <v>315</v>
      </c>
      <c r="R72" s="380" t="s">
        <v>694</v>
      </c>
      <c r="S72" s="380" t="s">
        <v>695</v>
      </c>
      <c r="T72" s="51" t="s">
        <v>905</v>
      </c>
    </row>
    <row r="73" spans="1:20" ht="12.75" customHeight="1" x14ac:dyDescent="0.2">
      <c r="C73" t="s">
        <v>117</v>
      </c>
      <c r="D73" s="1324" t="s">
        <v>395</v>
      </c>
      <c r="E73" s="1324"/>
      <c r="F73" s="1324"/>
      <c r="G73" s="1324"/>
      <c r="H73" s="1324"/>
      <c r="I73" s="1324"/>
      <c r="L73" s="36"/>
      <c r="M73" s="1448"/>
      <c r="N73" s="354"/>
      <c r="O73" s="1448"/>
      <c r="P73" s="1448"/>
      <c r="Q73" s="1448"/>
      <c r="R73" s="1447"/>
      <c r="S73" s="1447"/>
      <c r="T73" s="1459">
        <f>SUM(M73:S73)</f>
        <v>0</v>
      </c>
    </row>
    <row r="74" spans="1:20" ht="14.25" customHeight="1" x14ac:dyDescent="0.2">
      <c r="D74" s="1324"/>
      <c r="E74" s="1324"/>
      <c r="F74" s="1324"/>
      <c r="G74" s="1324"/>
      <c r="H74" s="1324"/>
      <c r="I74" s="1324"/>
      <c r="L74" s="36"/>
      <c r="M74" s="1450"/>
      <c r="N74" s="354"/>
      <c r="O74" s="1445"/>
      <c r="P74" s="1445"/>
      <c r="Q74" s="1445"/>
      <c r="R74" s="1446"/>
      <c r="S74" s="1446"/>
      <c r="T74" s="1459"/>
    </row>
    <row r="75" spans="1:20" ht="6" customHeight="1" x14ac:dyDescent="0.2">
      <c r="L75" s="36"/>
      <c r="M75" s="354"/>
      <c r="N75" s="354"/>
      <c r="O75" s="354"/>
      <c r="P75" s="354"/>
      <c r="Q75" s="354"/>
      <c r="R75" s="353"/>
      <c r="S75" s="353"/>
      <c r="T75" s="32"/>
    </row>
    <row r="76" spans="1:20" ht="14.25" customHeight="1" x14ac:dyDescent="0.2">
      <c r="C76" t="s">
        <v>119</v>
      </c>
      <c r="D76" s="1324" t="s">
        <v>396</v>
      </c>
      <c r="E76" s="1324"/>
      <c r="F76" s="1324"/>
      <c r="G76" s="1324"/>
      <c r="H76" s="1324"/>
      <c r="I76" s="1324"/>
      <c r="L76" s="77" t="s">
        <v>825</v>
      </c>
      <c r="M76" s="1445"/>
      <c r="N76" s="354"/>
      <c r="O76" s="1445"/>
      <c r="P76" s="1445"/>
      <c r="Q76" s="1445"/>
      <c r="R76" s="1446"/>
      <c r="S76" s="1446"/>
      <c r="T76" s="1459">
        <f>SUM(M76:S76)</f>
        <v>0</v>
      </c>
    </row>
    <row r="77" spans="1:20" ht="9.75" customHeight="1" x14ac:dyDescent="0.2">
      <c r="D77" s="1324"/>
      <c r="E77" s="1324"/>
      <c r="F77" s="1324"/>
      <c r="G77" s="1324"/>
      <c r="H77" s="1324"/>
      <c r="I77" s="1324"/>
      <c r="L77" s="77"/>
      <c r="M77" s="1445"/>
      <c r="N77" s="354"/>
      <c r="O77" s="1445"/>
      <c r="P77" s="1445"/>
      <c r="Q77" s="1445"/>
      <c r="R77" s="1446"/>
      <c r="S77" s="1446"/>
      <c r="T77" s="1459"/>
    </row>
    <row r="78" spans="1:20" ht="4.5" customHeight="1" x14ac:dyDescent="0.2">
      <c r="L78" s="65"/>
      <c r="M78" s="354"/>
      <c r="N78" s="354"/>
      <c r="O78" s="354"/>
      <c r="P78" s="354"/>
      <c r="Q78" s="354"/>
      <c r="R78" s="353"/>
      <c r="S78" s="353"/>
      <c r="T78" s="32">
        <f>SUM(M78:S78)</f>
        <v>0</v>
      </c>
    </row>
    <row r="79" spans="1:20" ht="12.75" customHeight="1" x14ac:dyDescent="0.2">
      <c r="C79" t="s">
        <v>275</v>
      </c>
      <c r="D79" s="1324" t="s">
        <v>397</v>
      </c>
      <c r="E79" s="1324"/>
      <c r="F79" s="1324"/>
      <c r="G79" s="1324"/>
      <c r="H79" s="1324"/>
      <c r="I79" s="1324"/>
      <c r="L79" s="77" t="s">
        <v>825</v>
      </c>
      <c r="M79" s="1445"/>
      <c r="N79" s="354"/>
      <c r="O79" s="1445"/>
      <c r="P79" s="1445"/>
      <c r="Q79" s="1445"/>
      <c r="R79" s="1446"/>
      <c r="S79" s="1446"/>
      <c r="T79" s="1459">
        <f>SUM(M79:S79)</f>
        <v>0</v>
      </c>
    </row>
    <row r="80" spans="1:20" ht="12.75" customHeight="1" x14ac:dyDescent="0.2">
      <c r="D80" s="1324"/>
      <c r="E80" s="1324"/>
      <c r="F80" s="1324"/>
      <c r="G80" s="1324"/>
      <c r="H80" s="1324"/>
      <c r="I80" s="1324"/>
      <c r="L80" s="77"/>
      <c r="M80" s="1445"/>
      <c r="N80" s="354"/>
      <c r="O80" s="1445"/>
      <c r="P80" s="1445"/>
      <c r="Q80" s="1445"/>
      <c r="R80" s="1446"/>
      <c r="S80" s="1446"/>
      <c r="T80" s="1459"/>
    </row>
    <row r="81" spans="1:23" ht="5.25" customHeight="1" x14ac:dyDescent="0.2">
      <c r="L81" s="36"/>
      <c r="M81" s="36"/>
      <c r="N81" s="36"/>
      <c r="O81" s="36"/>
      <c r="P81" s="36"/>
      <c r="Q81" s="36"/>
    </row>
    <row r="82" spans="1:23" x14ac:dyDescent="0.2">
      <c r="E82" t="s">
        <v>398</v>
      </c>
      <c r="L82" s="66">
        <f>L73</f>
        <v>0</v>
      </c>
      <c r="M82" s="73">
        <f>M73-(M76+M79)</f>
        <v>0</v>
      </c>
      <c r="N82" s="48"/>
      <c r="O82" s="73">
        <f t="shared" ref="O82:T82" si="0">O73-(O76+O79)</f>
        <v>0</v>
      </c>
      <c r="P82" s="73">
        <f t="shared" si="0"/>
        <v>0</v>
      </c>
      <c r="Q82" s="73">
        <f t="shared" si="0"/>
        <v>0</v>
      </c>
      <c r="R82" s="73">
        <f t="shared" si="0"/>
        <v>0</v>
      </c>
      <c r="S82" s="73">
        <f t="shared" si="0"/>
        <v>0</v>
      </c>
      <c r="T82" s="73">
        <f t="shared" si="0"/>
        <v>0</v>
      </c>
    </row>
    <row r="83" spans="1:23" ht="4.5" customHeight="1" x14ac:dyDescent="0.2">
      <c r="L83" s="36"/>
      <c r="M83" s="36"/>
      <c r="N83" s="36"/>
      <c r="O83" s="36"/>
      <c r="P83" s="36"/>
      <c r="Q83" s="36"/>
    </row>
    <row r="84" spans="1:23" ht="12.75" customHeight="1" x14ac:dyDescent="0.35">
      <c r="C84" t="s">
        <v>311</v>
      </c>
      <c r="D84" s="1337" t="s">
        <v>160</v>
      </c>
      <c r="E84" s="1337"/>
      <c r="F84" s="1337"/>
      <c r="G84" s="1337"/>
      <c r="H84" s="1337"/>
      <c r="I84" s="1337"/>
      <c r="L84" s="36"/>
      <c r="M84" s="1445"/>
      <c r="N84" s="354"/>
      <c r="O84" s="1445"/>
      <c r="P84" s="1445"/>
      <c r="Q84" s="1445"/>
      <c r="R84" s="1446"/>
      <c r="S84" s="1446"/>
      <c r="T84" s="1459">
        <f>SUM(M84:S84)</f>
        <v>0</v>
      </c>
      <c r="U84" s="1458" t="str">
        <f>IF(T84=T82," ","Recheck numbers for d. Entry out of balance.")</f>
        <v xml:space="preserve"> </v>
      </c>
      <c r="V84" s="1458"/>
      <c r="W84" s="1458"/>
    </row>
    <row r="85" spans="1:23" ht="40.5" customHeight="1" x14ac:dyDescent="0.35">
      <c r="D85" s="1337"/>
      <c r="E85" s="1337"/>
      <c r="F85" s="1337"/>
      <c r="G85" s="1337"/>
      <c r="H85" s="1337"/>
      <c r="I85" s="1337"/>
      <c r="L85" s="36"/>
      <c r="M85" s="1445"/>
      <c r="N85" s="354"/>
      <c r="O85" s="1445"/>
      <c r="P85" s="1445"/>
      <c r="Q85" s="1445"/>
      <c r="R85" s="1446"/>
      <c r="S85" s="1446"/>
      <c r="T85" s="1459"/>
      <c r="U85" s="122"/>
      <c r="V85" s="122"/>
      <c r="W85" s="122"/>
    </row>
    <row r="86" spans="1:23" ht="12.75" customHeight="1" x14ac:dyDescent="0.2">
      <c r="D86" s="68"/>
      <c r="E86" s="68"/>
      <c r="F86" s="68"/>
      <c r="G86" s="68"/>
      <c r="H86" s="68"/>
      <c r="I86" s="68"/>
      <c r="L86" s="36"/>
      <c r="M86" s="36"/>
      <c r="N86" s="36"/>
      <c r="O86" s="36"/>
      <c r="P86" s="36"/>
      <c r="Q86" s="36"/>
    </row>
    <row r="87" spans="1:23" ht="7.5" customHeight="1" x14ac:dyDescent="0.2"/>
    <row r="88" spans="1:23" ht="25.5" customHeight="1" x14ac:dyDescent="0.25">
      <c r="A88" s="4" t="s">
        <v>804</v>
      </c>
      <c r="B88" s="1441" t="s">
        <v>678</v>
      </c>
      <c r="C88" s="1442"/>
      <c r="D88" s="1442"/>
      <c r="E88" s="1442"/>
      <c r="F88" s="1442"/>
      <c r="G88" s="1442"/>
      <c r="H88" s="1442"/>
      <c r="I88" s="1442"/>
      <c r="J88" s="1442"/>
      <c r="K88" s="1442"/>
      <c r="L88" s="1442"/>
      <c r="M88" s="1442"/>
      <c r="N88" s="1442"/>
      <c r="O88" s="1442"/>
      <c r="P88" s="1442"/>
      <c r="Q88" s="1442"/>
      <c r="R88" s="1442"/>
      <c r="S88" s="1442"/>
      <c r="T88" s="1443"/>
    </row>
    <row r="89" spans="1:23" ht="5.25" customHeight="1" x14ac:dyDescent="0.2">
      <c r="C89" s="44"/>
      <c r="D89" s="44"/>
      <c r="E89" s="44"/>
      <c r="F89" s="1457"/>
      <c r="G89" s="1457"/>
      <c r="H89" s="1457"/>
      <c r="I89" s="44"/>
      <c r="N89" s="44"/>
    </row>
    <row r="90" spans="1:23" x14ac:dyDescent="0.2">
      <c r="O90" s="38" t="s">
        <v>707</v>
      </c>
      <c r="P90" s="38" t="s">
        <v>4174</v>
      </c>
      <c r="Q90" s="38" t="s">
        <v>4175</v>
      </c>
      <c r="R90" s="51" t="s">
        <v>314</v>
      </c>
      <c r="S90" s="378" t="s">
        <v>708</v>
      </c>
      <c r="T90" s="379" t="s">
        <v>708</v>
      </c>
    </row>
    <row r="91" spans="1:23" x14ac:dyDescent="0.2">
      <c r="B91" s="42"/>
      <c r="C91" s="4" t="s">
        <v>677</v>
      </c>
      <c r="L91" s="49" t="s">
        <v>814</v>
      </c>
      <c r="M91" s="49" t="s">
        <v>312</v>
      </c>
      <c r="N91" s="57"/>
      <c r="O91" s="49" t="s">
        <v>313</v>
      </c>
      <c r="P91" s="1282" t="s">
        <v>30</v>
      </c>
      <c r="Q91" s="67" t="s">
        <v>812</v>
      </c>
      <c r="R91" s="67" t="s">
        <v>315</v>
      </c>
      <c r="S91" s="380" t="s">
        <v>694</v>
      </c>
      <c r="T91" s="380" t="s">
        <v>695</v>
      </c>
      <c r="U91" s="67" t="s">
        <v>813</v>
      </c>
    </row>
    <row r="92" spans="1:23" ht="28.5" customHeight="1" x14ac:dyDescent="0.2">
      <c r="B92" s="42"/>
      <c r="C92" t="s">
        <v>117</v>
      </c>
      <c r="D92" s="1411" t="s">
        <v>395</v>
      </c>
      <c r="E92" s="1324"/>
      <c r="F92" s="1324"/>
      <c r="G92" s="1324"/>
      <c r="H92" s="1324"/>
      <c r="I92" s="1324"/>
      <c r="L92" s="343"/>
      <c r="M92" s="343"/>
      <c r="N92" s="354"/>
      <c r="O92" s="343">
        <v>9150</v>
      </c>
      <c r="P92" s="1275">
        <v>125058</v>
      </c>
      <c r="Q92" s="343">
        <v>6721</v>
      </c>
      <c r="R92" s="343">
        <v>2639</v>
      </c>
      <c r="S92" s="342"/>
      <c r="T92" s="342"/>
      <c r="U92" s="342"/>
    </row>
    <row r="93" spans="1:23" ht="2.25" customHeight="1" x14ac:dyDescent="0.2">
      <c r="B93" s="42"/>
      <c r="L93" s="36"/>
      <c r="M93" s="354"/>
      <c r="N93" s="354"/>
      <c r="O93" s="354"/>
      <c r="P93" s="354"/>
      <c r="Q93" s="354"/>
      <c r="R93" s="354"/>
      <c r="S93" s="353"/>
      <c r="T93" s="353"/>
      <c r="U93" s="353"/>
    </row>
    <row r="94" spans="1:23" ht="30" customHeight="1" x14ac:dyDescent="0.2">
      <c r="C94" t="s">
        <v>119</v>
      </c>
      <c r="D94" s="1324" t="s">
        <v>396</v>
      </c>
      <c r="E94" s="1324"/>
      <c r="F94" s="1324"/>
      <c r="G94" s="1324"/>
      <c r="H94" s="1324"/>
      <c r="I94" s="1324"/>
      <c r="L94" s="77" t="s">
        <v>825</v>
      </c>
      <c r="M94" s="343"/>
      <c r="N94" s="354"/>
      <c r="O94" s="343">
        <v>9150</v>
      </c>
      <c r="P94" s="1275">
        <v>125058</v>
      </c>
      <c r="Q94" s="343">
        <v>6721</v>
      </c>
      <c r="R94" s="343">
        <v>2639</v>
      </c>
      <c r="S94" s="342"/>
      <c r="T94" s="342"/>
      <c r="U94" s="342"/>
    </row>
    <row r="95" spans="1:23" ht="2.25" customHeight="1" x14ac:dyDescent="0.2">
      <c r="L95" s="65"/>
      <c r="M95" s="354"/>
      <c r="N95" s="354"/>
      <c r="O95" s="354"/>
      <c r="P95" s="354"/>
      <c r="Q95" s="354"/>
      <c r="R95" s="354"/>
      <c r="S95" s="353"/>
      <c r="T95" s="353"/>
      <c r="U95" s="353"/>
    </row>
    <row r="96" spans="1:23" ht="12.75" customHeight="1" x14ac:dyDescent="0.2">
      <c r="C96" t="s">
        <v>275</v>
      </c>
      <c r="D96" s="1324" t="s">
        <v>397</v>
      </c>
      <c r="E96" s="1324"/>
      <c r="F96" s="1324"/>
      <c r="G96" s="1324"/>
      <c r="H96" s="1324"/>
      <c r="I96" s="1324"/>
      <c r="L96" s="77" t="s">
        <v>825</v>
      </c>
      <c r="M96" s="1445"/>
      <c r="N96" s="354"/>
      <c r="O96" s="1445">
        <v>0</v>
      </c>
      <c r="P96" s="1275"/>
      <c r="Q96" s="1445">
        <v>0</v>
      </c>
      <c r="R96" s="1445">
        <v>0</v>
      </c>
      <c r="S96" s="1446"/>
      <c r="T96" s="1446"/>
      <c r="U96" s="1446"/>
    </row>
    <row r="97" spans="1:36" ht="12.75" customHeight="1" x14ac:dyDescent="0.2">
      <c r="D97" s="1324"/>
      <c r="E97" s="1324"/>
      <c r="F97" s="1324"/>
      <c r="G97" s="1324"/>
      <c r="H97" s="1324"/>
      <c r="I97" s="1324"/>
      <c r="L97" s="36"/>
      <c r="M97" s="1445"/>
      <c r="N97" s="354"/>
      <c r="O97" s="1445"/>
      <c r="P97" s="1275"/>
      <c r="Q97" s="1445"/>
      <c r="R97" s="1445"/>
      <c r="S97" s="1446"/>
      <c r="T97" s="1446"/>
      <c r="U97" s="1446"/>
    </row>
    <row r="98" spans="1:36" ht="2.25" customHeight="1" x14ac:dyDescent="0.2">
      <c r="L98" s="36"/>
      <c r="M98" s="36"/>
      <c r="N98" s="36"/>
      <c r="O98" s="36"/>
      <c r="P98" s="36"/>
      <c r="Q98" s="36"/>
      <c r="R98" s="36"/>
    </row>
    <row r="99" spans="1:36" x14ac:dyDescent="0.2">
      <c r="E99" t="s">
        <v>491</v>
      </c>
      <c r="L99" s="73">
        <f>L92</f>
        <v>0</v>
      </c>
      <c r="M99" s="73">
        <f>M92-(M94+M96)</f>
        <v>0</v>
      </c>
      <c r="N99" s="48"/>
      <c r="O99" s="73">
        <f t="shared" ref="O99:U99" si="1">O92-(O94+O96)</f>
        <v>0</v>
      </c>
      <c r="P99" s="73"/>
      <c r="Q99" s="73">
        <f t="shared" si="1"/>
        <v>0</v>
      </c>
      <c r="R99" s="73">
        <f t="shared" si="1"/>
        <v>0</v>
      </c>
      <c r="S99" s="73">
        <f t="shared" si="1"/>
        <v>0</v>
      </c>
      <c r="T99" s="73">
        <f t="shared" si="1"/>
        <v>0</v>
      </c>
      <c r="U99" s="73">
        <f t="shared" si="1"/>
        <v>0</v>
      </c>
    </row>
    <row r="100" spans="1:36" ht="4.5" customHeight="1" x14ac:dyDescent="0.2">
      <c r="L100" s="48"/>
      <c r="M100" s="47"/>
      <c r="N100" s="47"/>
      <c r="O100" s="47"/>
      <c r="P100" s="47"/>
      <c r="Q100" s="47"/>
      <c r="R100" s="31"/>
      <c r="S100" s="31"/>
      <c r="T100" s="31"/>
      <c r="U100" s="13"/>
      <c r="V100" s="13"/>
      <c r="W100" s="13"/>
      <c r="X100" s="13"/>
      <c r="Y100" s="13"/>
      <c r="Z100" s="13"/>
      <c r="AA100" s="13"/>
      <c r="AB100" s="13"/>
      <c r="AC100" s="13"/>
      <c r="AD100" s="13"/>
      <c r="AE100" s="13"/>
      <c r="AF100" s="13"/>
      <c r="AG100" s="13"/>
      <c r="AH100" s="13"/>
      <c r="AI100" s="13"/>
      <c r="AJ100" s="13"/>
    </row>
    <row r="101" spans="1:36" ht="12.75" customHeight="1" x14ac:dyDescent="0.2">
      <c r="C101" s="39" t="s">
        <v>311</v>
      </c>
      <c r="D101" s="1324" t="s">
        <v>276</v>
      </c>
      <c r="E101" s="1324"/>
      <c r="F101" s="1324"/>
      <c r="G101" s="1324"/>
      <c r="H101" s="1324"/>
      <c r="I101" s="1324"/>
      <c r="J101" s="1324"/>
      <c r="K101" s="1324"/>
      <c r="L101" s="48"/>
      <c r="M101" s="47"/>
      <c r="N101" s="47"/>
      <c r="O101" s="1450"/>
      <c r="P101" s="1449" t="s">
        <v>324</v>
      </c>
      <c r="Q101" s="1449"/>
      <c r="R101" s="1449"/>
      <c r="S101" s="1449"/>
      <c r="T101" s="421"/>
      <c r="U101" s="13"/>
      <c r="V101" s="13"/>
      <c r="W101" s="13"/>
      <c r="X101" s="13"/>
      <c r="Y101" s="13"/>
      <c r="Z101" s="13"/>
      <c r="AA101" s="13"/>
      <c r="AB101" s="13"/>
      <c r="AC101" s="13"/>
      <c r="AD101" s="13"/>
      <c r="AE101" s="13"/>
      <c r="AF101" s="13"/>
      <c r="AG101" s="13"/>
      <c r="AH101" s="13"/>
      <c r="AI101" s="13"/>
      <c r="AJ101" s="13"/>
    </row>
    <row r="102" spans="1:36" ht="12.75" customHeight="1" x14ac:dyDescent="0.2">
      <c r="D102" s="1324"/>
      <c r="E102" s="1324"/>
      <c r="F102" s="1324"/>
      <c r="G102" s="1324"/>
      <c r="H102" s="1324"/>
      <c r="I102" s="1324"/>
      <c r="J102" s="1324"/>
      <c r="K102" s="1324"/>
      <c r="O102" s="1450"/>
      <c r="P102" s="1449"/>
      <c r="Q102" s="1449"/>
      <c r="R102" s="1449"/>
      <c r="S102" s="1449"/>
      <c r="T102" s="421"/>
    </row>
    <row r="103" spans="1:36" ht="12.75" customHeight="1" x14ac:dyDescent="0.2">
      <c r="D103" s="1324"/>
      <c r="E103" s="1324"/>
      <c r="F103" s="1324"/>
      <c r="G103" s="1324"/>
      <c r="H103" s="1324"/>
      <c r="I103" s="1324"/>
      <c r="J103" s="1324"/>
      <c r="K103" s="1324"/>
      <c r="O103" s="1450"/>
      <c r="P103" s="1449"/>
      <c r="Q103" s="1449"/>
      <c r="R103" s="1449"/>
      <c r="S103" s="1449"/>
      <c r="T103" s="421"/>
    </row>
    <row r="104" spans="1:36" ht="3.75" customHeight="1" x14ac:dyDescent="0.2"/>
    <row r="105" spans="1:36" ht="15" x14ac:dyDescent="0.2">
      <c r="E105" s="120" t="s">
        <v>679</v>
      </c>
      <c r="F105" s="2" t="s">
        <v>554</v>
      </c>
    </row>
    <row r="106" spans="1:36" ht="5.25" customHeight="1" x14ac:dyDescent="0.2"/>
    <row r="107" spans="1:36" ht="25.5" customHeight="1" x14ac:dyDescent="0.2">
      <c r="A107" s="4" t="s">
        <v>810</v>
      </c>
      <c r="B107" s="1441" t="s">
        <v>236</v>
      </c>
      <c r="C107" s="1442"/>
      <c r="D107" s="1442"/>
      <c r="E107" s="1442"/>
      <c r="F107" s="1442"/>
      <c r="G107" s="1442"/>
      <c r="H107" s="1442"/>
      <c r="I107" s="1442"/>
      <c r="J107" s="1442"/>
      <c r="K107" s="1442"/>
      <c r="L107" s="1442"/>
      <c r="M107" s="1442"/>
      <c r="N107" s="1442"/>
      <c r="O107" s="1442"/>
      <c r="P107" s="1442"/>
      <c r="Q107" s="1442"/>
      <c r="R107" s="1442"/>
      <c r="S107" s="1442"/>
      <c r="T107" s="1443"/>
    </row>
    <row r="108" spans="1:36" ht="3" customHeight="1" x14ac:dyDescent="0.2"/>
    <row r="109" spans="1:36" x14ac:dyDescent="0.2">
      <c r="O109" s="38" t="s">
        <v>707</v>
      </c>
      <c r="P109" s="67" t="s">
        <v>4174</v>
      </c>
      <c r="Q109" s="38" t="s">
        <v>4175</v>
      </c>
      <c r="R109" s="51" t="s">
        <v>314</v>
      </c>
      <c r="S109" s="378" t="s">
        <v>708</v>
      </c>
      <c r="T109" s="379" t="s">
        <v>708</v>
      </c>
    </row>
    <row r="110" spans="1:36" x14ac:dyDescent="0.2">
      <c r="C110" s="4" t="s">
        <v>235</v>
      </c>
      <c r="L110" s="49" t="s">
        <v>814</v>
      </c>
      <c r="M110" s="49" t="s">
        <v>312</v>
      </c>
      <c r="N110" s="57"/>
      <c r="O110" s="49" t="s">
        <v>313</v>
      </c>
      <c r="P110" s="67" t="s">
        <v>30</v>
      </c>
      <c r="Q110" s="67" t="s">
        <v>812</v>
      </c>
      <c r="R110" s="67" t="s">
        <v>315</v>
      </c>
      <c r="S110" s="380" t="s">
        <v>694</v>
      </c>
      <c r="T110" s="380" t="s">
        <v>695</v>
      </c>
      <c r="U110" s="67" t="s">
        <v>813</v>
      </c>
    </row>
    <row r="111" spans="1:36" ht="12.75" customHeight="1" x14ac:dyDescent="0.2">
      <c r="C111" t="s">
        <v>117</v>
      </c>
      <c r="D111" s="1324" t="s">
        <v>872</v>
      </c>
      <c r="E111" s="1324"/>
      <c r="F111" s="1324"/>
      <c r="G111" s="1324"/>
      <c r="H111" s="1324"/>
      <c r="I111" s="1324"/>
      <c r="L111" s="1448">
        <v>37500</v>
      </c>
      <c r="M111" s="1448"/>
      <c r="N111" s="354"/>
      <c r="O111" s="1448"/>
      <c r="P111" s="1276"/>
      <c r="Q111" s="1448"/>
      <c r="R111" s="1448"/>
      <c r="S111" s="1447"/>
      <c r="T111" s="1447"/>
      <c r="U111" s="1447"/>
    </row>
    <row r="112" spans="1:36" ht="12" customHeight="1" x14ac:dyDescent="0.2">
      <c r="D112" s="1324"/>
      <c r="E112" s="1324"/>
      <c r="F112" s="1324"/>
      <c r="G112" s="1324"/>
      <c r="H112" s="1324"/>
      <c r="I112" s="1324"/>
      <c r="L112" s="1445"/>
      <c r="M112" s="1445"/>
      <c r="N112" s="354"/>
      <c r="O112" s="1445"/>
      <c r="P112" s="1275"/>
      <c r="Q112" s="1445"/>
      <c r="R112" s="1445"/>
      <c r="S112" s="1446"/>
      <c r="T112" s="1446"/>
      <c r="U112" s="1446"/>
    </row>
    <row r="113" spans="1:20" ht="2.25" customHeight="1" x14ac:dyDescent="0.2">
      <c r="D113" s="34"/>
      <c r="E113" s="34"/>
      <c r="F113" s="34"/>
      <c r="G113" s="34"/>
      <c r="H113" s="34"/>
      <c r="I113" s="34"/>
      <c r="L113" s="422"/>
      <c r="M113" s="422"/>
      <c r="N113" s="354"/>
      <c r="O113" s="422"/>
      <c r="P113" s="422"/>
      <c r="Q113" s="422"/>
      <c r="R113" s="374"/>
      <c r="S113" s="374"/>
      <c r="T113" s="374"/>
    </row>
    <row r="114" spans="1:20" ht="15.75" customHeight="1" x14ac:dyDescent="0.2">
      <c r="C114" s="39" t="s">
        <v>119</v>
      </c>
      <c r="D114" s="1324" t="s">
        <v>31</v>
      </c>
      <c r="E114" s="1324"/>
      <c r="F114" s="1324"/>
      <c r="G114" s="1324"/>
      <c r="H114" s="1324"/>
      <c r="I114" s="1324"/>
      <c r="J114" s="1324"/>
      <c r="L114" s="422"/>
      <c r="M114" s="422"/>
      <c r="N114" s="354"/>
      <c r="O114" s="343"/>
      <c r="P114" s="422"/>
      <c r="Q114" s="422"/>
      <c r="R114" s="374"/>
      <c r="S114" s="374"/>
      <c r="T114" s="374"/>
    </row>
    <row r="115" spans="1:20" ht="3" customHeight="1" x14ac:dyDescent="0.2">
      <c r="D115" s="34"/>
      <c r="E115" s="34"/>
      <c r="F115" s="34"/>
      <c r="G115" s="34"/>
      <c r="H115" s="34"/>
      <c r="I115" s="34"/>
      <c r="L115" s="36"/>
      <c r="M115" s="36"/>
      <c r="N115" s="36"/>
      <c r="O115" s="36"/>
      <c r="P115" s="36"/>
      <c r="Q115" s="36"/>
    </row>
    <row r="116" spans="1:20" ht="12" customHeight="1" x14ac:dyDescent="0.2">
      <c r="C116" s="39" t="s">
        <v>275</v>
      </c>
      <c r="D116" s="1324" t="s">
        <v>32</v>
      </c>
      <c r="E116" s="1324"/>
      <c r="F116" s="1324"/>
      <c r="G116" s="1324"/>
      <c r="H116" s="1324"/>
      <c r="I116" s="1324"/>
      <c r="J116" s="1324"/>
      <c r="K116" s="1324"/>
      <c r="L116" s="36"/>
      <c r="M116" s="36"/>
      <c r="N116" s="36"/>
      <c r="O116" s="1445"/>
      <c r="P116" s="1449" t="s">
        <v>277</v>
      </c>
      <c r="Q116" s="1449"/>
      <c r="R116" s="1449"/>
      <c r="S116" s="1449"/>
      <c r="T116" s="421"/>
    </row>
    <row r="117" spans="1:20" ht="12" customHeight="1" x14ac:dyDescent="0.2">
      <c r="D117" s="1324"/>
      <c r="E117" s="1324"/>
      <c r="F117" s="1324"/>
      <c r="G117" s="1324"/>
      <c r="H117" s="1324"/>
      <c r="I117" s="1324"/>
      <c r="J117" s="1324"/>
      <c r="K117" s="1324"/>
      <c r="L117" s="36"/>
      <c r="M117" s="36"/>
      <c r="N117" s="36"/>
      <c r="O117" s="1445"/>
      <c r="P117" s="1449"/>
      <c r="Q117" s="1449"/>
      <c r="R117" s="1449"/>
      <c r="S117" s="1449"/>
      <c r="T117" s="421"/>
    </row>
    <row r="118" spans="1:20" ht="12" customHeight="1" x14ac:dyDescent="0.2">
      <c r="D118" s="1324"/>
      <c r="E118" s="1324"/>
      <c r="F118" s="1324"/>
      <c r="G118" s="1324"/>
      <c r="H118" s="1324"/>
      <c r="I118" s="1324"/>
      <c r="J118" s="1324"/>
      <c r="K118" s="1324"/>
      <c r="L118" s="36"/>
      <c r="M118" s="36"/>
      <c r="N118" s="36"/>
      <c r="O118" s="1445"/>
      <c r="P118" s="1449"/>
      <c r="Q118" s="1449"/>
      <c r="R118" s="1449"/>
      <c r="S118" s="1449"/>
      <c r="T118" s="421"/>
    </row>
    <row r="119" spans="1:20" ht="7.5" customHeight="1" x14ac:dyDescent="0.2">
      <c r="D119" s="34"/>
      <c r="E119" s="34"/>
      <c r="F119" s="34"/>
      <c r="G119" s="34"/>
      <c r="H119" s="34"/>
      <c r="I119" s="34"/>
      <c r="L119" s="36"/>
      <c r="M119" s="36"/>
      <c r="N119" s="36"/>
      <c r="O119" s="36"/>
      <c r="P119" s="36"/>
      <c r="Q119" s="36"/>
    </row>
    <row r="120" spans="1:20" ht="25.5" customHeight="1" x14ac:dyDescent="0.2">
      <c r="A120" s="4" t="s">
        <v>826</v>
      </c>
      <c r="B120" s="1416" t="s">
        <v>392</v>
      </c>
      <c r="C120" s="1417"/>
      <c r="D120" s="1417"/>
      <c r="E120" s="1417"/>
      <c r="F120" s="1417"/>
      <c r="G120" s="1417"/>
      <c r="H120" s="1417"/>
      <c r="I120" s="1417"/>
      <c r="J120" s="1417"/>
      <c r="K120" s="1417"/>
      <c r="L120" s="1417"/>
      <c r="M120" s="1417"/>
      <c r="N120" s="1417"/>
      <c r="O120" s="1417"/>
      <c r="P120" s="1417"/>
      <c r="Q120" s="1417"/>
      <c r="R120" s="1417"/>
      <c r="S120" s="1417"/>
      <c r="T120" s="1418"/>
    </row>
    <row r="121" spans="1:20" ht="4.5" customHeight="1" x14ac:dyDescent="0.2">
      <c r="L121" s="36"/>
      <c r="M121" s="36"/>
      <c r="N121" s="36"/>
      <c r="O121" s="36"/>
      <c r="P121" s="36"/>
      <c r="Q121" s="36"/>
    </row>
    <row r="122" spans="1:20" x14ac:dyDescent="0.2">
      <c r="B122" s="39" t="s">
        <v>514</v>
      </c>
      <c r="C122" s="1324" t="s">
        <v>350</v>
      </c>
      <c r="D122" s="1324"/>
      <c r="E122" s="1324"/>
      <c r="F122" s="1324"/>
      <c r="G122" s="1324"/>
      <c r="H122" s="1324"/>
      <c r="I122" s="1324"/>
      <c r="J122" s="1324"/>
      <c r="K122" s="1324"/>
      <c r="L122" s="36"/>
      <c r="M122" s="1445">
        <v>1700600</v>
      </c>
      <c r="N122" s="36"/>
      <c r="O122" s="36"/>
      <c r="P122" s="36"/>
      <c r="Q122" s="36"/>
    </row>
    <row r="123" spans="1:20" x14ac:dyDescent="0.2">
      <c r="C123" s="1324"/>
      <c r="D123" s="1324"/>
      <c r="E123" s="1324"/>
      <c r="F123" s="1324"/>
      <c r="G123" s="1324"/>
      <c r="H123" s="1324"/>
      <c r="I123" s="1324"/>
      <c r="J123" s="1324"/>
      <c r="K123" s="1324"/>
      <c r="L123" s="36"/>
      <c r="M123" s="1445"/>
      <c r="N123" s="36"/>
      <c r="O123" s="36"/>
      <c r="P123" s="36"/>
      <c r="Q123" s="36"/>
    </row>
    <row r="124" spans="1:20" ht="3.75" customHeight="1" x14ac:dyDescent="0.2">
      <c r="L124" s="36"/>
      <c r="M124" s="36"/>
      <c r="N124" s="36"/>
      <c r="O124" s="36"/>
      <c r="P124" s="36"/>
      <c r="Q124" s="36"/>
    </row>
    <row r="125" spans="1:20" x14ac:dyDescent="0.2">
      <c r="B125" s="39" t="s">
        <v>515</v>
      </c>
      <c r="C125" t="s">
        <v>503</v>
      </c>
      <c r="L125" s="36"/>
      <c r="M125" s="36"/>
      <c r="N125" s="36"/>
      <c r="O125" s="36"/>
      <c r="P125" s="36"/>
      <c r="Q125" s="36"/>
    </row>
    <row r="126" spans="1:20" x14ac:dyDescent="0.2">
      <c r="H126" t="s">
        <v>991</v>
      </c>
      <c r="L126" s="36"/>
      <c r="M126" s="343"/>
      <c r="N126" s="36"/>
      <c r="O126" s="36"/>
      <c r="P126" s="36"/>
      <c r="Q126" s="36"/>
    </row>
    <row r="127" spans="1:20" x14ac:dyDescent="0.2">
      <c r="H127" t="s">
        <v>992</v>
      </c>
      <c r="L127" s="36"/>
      <c r="M127" s="343"/>
      <c r="N127" s="36"/>
      <c r="O127" s="36"/>
      <c r="P127" s="36"/>
      <c r="Q127" s="36"/>
    </row>
    <row r="128" spans="1:20" x14ac:dyDescent="0.2">
      <c r="H128" t="s">
        <v>819</v>
      </c>
      <c r="L128" s="36"/>
      <c r="M128" s="343">
        <v>0</v>
      </c>
      <c r="N128" s="36"/>
      <c r="O128" s="36"/>
      <c r="P128" s="36"/>
      <c r="Q128" s="36"/>
    </row>
    <row r="129" spans="1:20" x14ac:dyDescent="0.2">
      <c r="H129" t="s">
        <v>808</v>
      </c>
      <c r="L129" s="36"/>
      <c r="M129" s="343">
        <v>0</v>
      </c>
      <c r="N129" s="36"/>
      <c r="O129" s="36"/>
      <c r="P129" s="36"/>
      <c r="Q129" s="36"/>
    </row>
    <row r="130" spans="1:20" x14ac:dyDescent="0.2">
      <c r="H130" t="s">
        <v>203</v>
      </c>
      <c r="L130" s="36"/>
      <c r="M130" s="343">
        <v>0</v>
      </c>
      <c r="N130" s="36"/>
      <c r="O130" s="36"/>
      <c r="P130" s="36"/>
      <c r="Q130" s="36"/>
    </row>
    <row r="131" spans="1:20" x14ac:dyDescent="0.2">
      <c r="H131" t="s">
        <v>504</v>
      </c>
      <c r="L131" s="36"/>
      <c r="M131" s="343">
        <v>0</v>
      </c>
      <c r="N131" s="36"/>
      <c r="O131" s="36"/>
      <c r="P131" s="36"/>
      <c r="Q131" s="36"/>
    </row>
    <row r="132" spans="1:20" x14ac:dyDescent="0.2">
      <c r="H132" t="s">
        <v>172</v>
      </c>
      <c r="L132" s="36"/>
      <c r="M132" s="343">
        <v>1700600</v>
      </c>
      <c r="N132" s="36"/>
      <c r="O132" s="1444" t="str">
        <f>IF(M134=M122," ","Recheck numbers. Entry does not balance.")</f>
        <v xml:space="preserve"> </v>
      </c>
      <c r="P132" s="36"/>
      <c r="Q132" s="36"/>
    </row>
    <row r="133" spans="1:20" x14ac:dyDescent="0.2">
      <c r="H133" s="353" t="s">
        <v>729</v>
      </c>
      <c r="L133" s="36"/>
      <c r="M133" s="343">
        <v>0</v>
      </c>
      <c r="N133" s="36"/>
      <c r="O133" s="1444"/>
      <c r="P133" s="36"/>
      <c r="Q133" s="36"/>
    </row>
    <row r="134" spans="1:20" ht="13.5" thickBot="1" x14ac:dyDescent="0.25">
      <c r="M134" s="80">
        <f>SUM(M126:M133)</f>
        <v>1700600</v>
      </c>
      <c r="O134" s="1444"/>
    </row>
    <row r="135" spans="1:20" ht="13.5" thickTop="1" x14ac:dyDescent="0.2"/>
    <row r="136" spans="1:20" ht="25.5" customHeight="1" x14ac:dyDescent="0.2">
      <c r="A136" s="4" t="s">
        <v>718</v>
      </c>
      <c r="B136" s="1416" t="s">
        <v>742</v>
      </c>
      <c r="C136" s="1417"/>
      <c r="D136" s="1417"/>
      <c r="E136" s="1417"/>
      <c r="F136" s="1417"/>
      <c r="G136" s="1417"/>
      <c r="H136" s="1417"/>
      <c r="I136" s="1417"/>
      <c r="J136" s="1417"/>
      <c r="K136" s="1417"/>
      <c r="L136" s="1417"/>
      <c r="M136" s="1417"/>
      <c r="N136" s="1417"/>
      <c r="O136" s="1417"/>
      <c r="P136" s="1417"/>
      <c r="Q136" s="1417"/>
      <c r="R136" s="1417"/>
      <c r="S136" s="1417"/>
      <c r="T136" s="1418"/>
    </row>
    <row r="137" spans="1:20" ht="6.75" customHeight="1" x14ac:dyDescent="0.2">
      <c r="M137" s="10"/>
      <c r="N137" s="426"/>
    </row>
    <row r="138" spans="1:20" x14ac:dyDescent="0.2">
      <c r="B138" s="1324" t="s">
        <v>0</v>
      </c>
      <c r="C138" s="1324"/>
      <c r="D138" s="1324"/>
      <c r="E138" s="1324"/>
      <c r="F138" s="1324"/>
      <c r="G138" s="1324"/>
      <c r="H138" s="1324"/>
      <c r="I138" s="1324"/>
      <c r="J138" s="1324"/>
      <c r="K138" s="1324"/>
      <c r="L138" s="1324"/>
      <c r="M138" s="1324"/>
      <c r="N138" s="1324"/>
      <c r="O138" s="1324"/>
      <c r="P138" s="1324"/>
      <c r="Q138" s="1324"/>
      <c r="R138" s="1324"/>
      <c r="S138" s="1324"/>
      <c r="T138" s="1324"/>
    </row>
    <row r="139" spans="1:20" x14ac:dyDescent="0.2">
      <c r="B139" s="1324"/>
      <c r="C139" s="1324"/>
      <c r="D139" s="1324"/>
      <c r="E139" s="1324"/>
      <c r="F139" s="1324"/>
      <c r="G139" s="1324"/>
      <c r="H139" s="1324"/>
      <c r="I139" s="1324"/>
      <c r="J139" s="1324"/>
      <c r="K139" s="1324"/>
      <c r="L139" s="1324"/>
      <c r="M139" s="1324"/>
      <c r="N139" s="1324"/>
      <c r="O139" s="1324"/>
      <c r="P139" s="1324"/>
      <c r="Q139" s="1324"/>
      <c r="R139" s="1324"/>
      <c r="S139" s="1324"/>
      <c r="T139" s="1324"/>
    </row>
    <row r="140" spans="1:20" x14ac:dyDescent="0.2">
      <c r="B140" s="1324"/>
      <c r="C140" s="1324"/>
      <c r="D140" s="1324"/>
      <c r="E140" s="1324"/>
      <c r="F140" s="1324"/>
      <c r="G140" s="1324"/>
      <c r="H140" s="1324"/>
      <c r="I140" s="1324"/>
      <c r="J140" s="1324"/>
      <c r="K140" s="1324"/>
      <c r="L140" s="1324"/>
      <c r="M140" s="1324"/>
      <c r="N140" s="1324"/>
      <c r="O140" s="1324"/>
      <c r="P140" s="1324"/>
      <c r="Q140" s="1324"/>
      <c r="R140" s="1324"/>
      <c r="S140" s="1324"/>
      <c r="T140" s="1324"/>
    </row>
    <row r="141" spans="1:20" x14ac:dyDescent="0.2">
      <c r="B141" s="1324"/>
      <c r="C141" s="1324"/>
      <c r="D141" s="1324"/>
      <c r="E141" s="1324"/>
      <c r="F141" s="1324"/>
      <c r="G141" s="1324"/>
      <c r="H141" s="1324"/>
      <c r="I141" s="1324"/>
      <c r="J141" s="1324"/>
      <c r="K141" s="1324"/>
      <c r="L141" s="1324"/>
      <c r="M141" s="1324"/>
      <c r="N141" s="1324"/>
      <c r="O141" s="1324"/>
      <c r="P141" s="1324"/>
      <c r="Q141" s="1324"/>
      <c r="R141" s="1324"/>
      <c r="S141" s="1324"/>
      <c r="T141" s="1324"/>
    </row>
    <row r="142" spans="1:20" x14ac:dyDescent="0.2">
      <c r="B142" s="1324"/>
      <c r="C142" s="1324"/>
      <c r="D142" s="1324"/>
      <c r="E142" s="1324"/>
      <c r="F142" s="1324"/>
      <c r="G142" s="1324"/>
      <c r="H142" s="1324"/>
      <c r="I142" s="1324"/>
      <c r="J142" s="1324"/>
      <c r="K142" s="1324"/>
      <c r="L142" s="1324"/>
      <c r="M142" s="1324"/>
      <c r="N142" s="1324"/>
      <c r="O142" s="1324"/>
      <c r="P142" s="1324"/>
      <c r="Q142" s="1324"/>
      <c r="R142" s="1324"/>
      <c r="S142" s="1324"/>
      <c r="T142" s="1324"/>
    </row>
    <row r="143" spans="1:20" ht="6.75" customHeight="1" x14ac:dyDescent="0.2">
      <c r="M143" s="10"/>
      <c r="N143" s="426"/>
    </row>
    <row r="144" spans="1:20" ht="12" customHeight="1" x14ac:dyDescent="0.2">
      <c r="B144" s="1324" t="s">
        <v>1</v>
      </c>
      <c r="C144" s="1324"/>
      <c r="D144" s="1324"/>
      <c r="E144" s="1324"/>
      <c r="F144" s="1324"/>
      <c r="G144" s="1324"/>
      <c r="H144" s="1324"/>
      <c r="I144" s="1324"/>
      <c r="J144" s="1324"/>
      <c r="K144" s="1324"/>
      <c r="L144" s="1324"/>
      <c r="M144" s="1324"/>
      <c r="N144" s="1324"/>
      <c r="O144" s="1324"/>
      <c r="P144" s="1324"/>
      <c r="Q144" s="1324"/>
      <c r="R144" s="1324"/>
      <c r="S144" s="1324"/>
      <c r="T144" s="1324"/>
    </row>
    <row r="145" spans="2:20" ht="12" customHeight="1" x14ac:dyDescent="0.2">
      <c r="B145" s="1324"/>
      <c r="C145" s="1324"/>
      <c r="D145" s="1324"/>
      <c r="E145" s="1324"/>
      <c r="F145" s="1324"/>
      <c r="G145" s="1324"/>
      <c r="H145" s="1324"/>
      <c r="I145" s="1324"/>
      <c r="J145" s="1324"/>
      <c r="K145" s="1324"/>
      <c r="L145" s="1324"/>
      <c r="M145" s="1324"/>
      <c r="N145" s="1324"/>
      <c r="O145" s="1324"/>
      <c r="P145" s="1324"/>
      <c r="Q145" s="1324"/>
      <c r="R145" s="1324"/>
      <c r="S145" s="1324"/>
      <c r="T145" s="1324"/>
    </row>
    <row r="146" spans="2:20" ht="12" customHeight="1" x14ac:dyDescent="0.2">
      <c r="M146" s="10"/>
      <c r="N146" s="426"/>
    </row>
    <row r="147" spans="2:20" x14ac:dyDescent="0.2">
      <c r="B147" s="64" t="s">
        <v>514</v>
      </c>
      <c r="C147" s="1326" t="s">
        <v>2</v>
      </c>
      <c r="D147" s="1326"/>
      <c r="E147" s="1326"/>
      <c r="F147" s="1326"/>
      <c r="G147" s="1326"/>
      <c r="H147" s="1326"/>
      <c r="I147" s="1326"/>
      <c r="J147" s="1326"/>
      <c r="O147" s="38" t="s">
        <v>707</v>
      </c>
      <c r="P147" s="38" t="s">
        <v>29</v>
      </c>
      <c r="Q147" s="51" t="s">
        <v>3</v>
      </c>
      <c r="R147" s="378" t="s">
        <v>708</v>
      </c>
      <c r="S147" s="379" t="s">
        <v>708</v>
      </c>
    </row>
    <row r="148" spans="2:20" ht="13.5" customHeight="1" x14ac:dyDescent="0.2">
      <c r="C148" s="1326"/>
      <c r="D148" s="1326"/>
      <c r="E148" s="1326"/>
      <c r="F148" s="1326"/>
      <c r="G148" s="1326"/>
      <c r="H148" s="1326"/>
      <c r="I148" s="1326"/>
      <c r="J148" s="1326"/>
      <c r="L148" s="49" t="s">
        <v>814</v>
      </c>
      <c r="M148" s="49" t="s">
        <v>815</v>
      </c>
      <c r="O148" s="49" t="s">
        <v>834</v>
      </c>
      <c r="P148" s="67" t="s">
        <v>30</v>
      </c>
      <c r="Q148" s="67" t="s">
        <v>315</v>
      </c>
      <c r="R148" s="380" t="s">
        <v>694</v>
      </c>
      <c r="S148" s="380" t="s">
        <v>695</v>
      </c>
      <c r="T148" s="67" t="s">
        <v>813</v>
      </c>
    </row>
    <row r="149" spans="2:20" x14ac:dyDescent="0.2">
      <c r="C149" s="45" t="s">
        <v>117</v>
      </c>
      <c r="D149" s="1324" t="s">
        <v>4</v>
      </c>
      <c r="E149" s="1324"/>
      <c r="F149" s="1324"/>
      <c r="G149" s="1324"/>
      <c r="H149" s="1324"/>
      <c r="I149" s="1324"/>
      <c r="J149" s="1324"/>
      <c r="L149" s="1448"/>
      <c r="M149" s="1448"/>
      <c r="O149" s="1448"/>
      <c r="P149" s="1448"/>
      <c r="Q149" s="1448"/>
      <c r="R149" s="1447"/>
      <c r="S149" s="1447"/>
      <c r="T149" s="1447"/>
    </row>
    <row r="150" spans="2:20" x14ac:dyDescent="0.2">
      <c r="C150" s="45"/>
      <c r="D150" s="1324"/>
      <c r="E150" s="1324"/>
      <c r="F150" s="1324"/>
      <c r="G150" s="1324"/>
      <c r="H150" s="1324"/>
      <c r="I150" s="1324"/>
      <c r="J150" s="1324"/>
      <c r="L150" s="1445"/>
      <c r="M150" s="1445"/>
      <c r="O150" s="1445"/>
      <c r="P150" s="1445"/>
      <c r="Q150" s="1445"/>
      <c r="R150" s="1446"/>
      <c r="S150" s="1446"/>
      <c r="T150" s="1446"/>
    </row>
    <row r="151" spans="2:20" ht="6" customHeight="1" x14ac:dyDescent="0.2">
      <c r="C151" s="45"/>
      <c r="L151" s="36"/>
      <c r="M151" s="36"/>
      <c r="O151" s="36"/>
      <c r="P151" s="36"/>
      <c r="Q151" s="36"/>
    </row>
    <row r="152" spans="2:20" x14ac:dyDescent="0.2">
      <c r="C152" s="45" t="s">
        <v>119</v>
      </c>
      <c r="D152" s="1324" t="s">
        <v>5</v>
      </c>
      <c r="E152" s="1324"/>
      <c r="F152" s="1324"/>
      <c r="G152" s="1324"/>
      <c r="H152" s="1324"/>
      <c r="I152" s="1324"/>
      <c r="J152" s="1324"/>
      <c r="L152" s="77" t="s">
        <v>825</v>
      </c>
      <c r="M152" s="1445"/>
      <c r="O152" s="1445"/>
      <c r="P152" s="1445"/>
      <c r="Q152" s="1445"/>
      <c r="R152" s="1445"/>
      <c r="S152" s="1445"/>
      <c r="T152" s="1445"/>
    </row>
    <row r="153" spans="2:20" x14ac:dyDescent="0.2">
      <c r="C153" s="45"/>
      <c r="D153" s="1324"/>
      <c r="E153" s="1324"/>
      <c r="F153" s="1324"/>
      <c r="G153" s="1324"/>
      <c r="H153" s="1324"/>
      <c r="I153" s="1324"/>
      <c r="J153" s="1324"/>
      <c r="L153" s="77"/>
      <c r="M153" s="1445"/>
      <c r="O153" s="1445"/>
      <c r="P153" s="1445"/>
      <c r="Q153" s="1445"/>
      <c r="R153" s="1445"/>
      <c r="S153" s="1445"/>
      <c r="T153" s="1445"/>
    </row>
    <row r="154" spans="2:20" ht="6" customHeight="1" x14ac:dyDescent="0.2">
      <c r="C154" s="45"/>
      <c r="L154" s="65"/>
      <c r="M154" s="36"/>
      <c r="O154" s="36"/>
      <c r="P154" s="36"/>
      <c r="Q154" s="36"/>
      <c r="R154" s="36"/>
      <c r="S154" s="36"/>
    </row>
    <row r="155" spans="2:20" x14ac:dyDescent="0.2">
      <c r="C155" s="45" t="s">
        <v>275</v>
      </c>
      <c r="D155" s="1324" t="s">
        <v>6</v>
      </c>
      <c r="E155" s="1324"/>
      <c r="F155" s="1324"/>
      <c r="G155" s="1324"/>
      <c r="H155" s="1324"/>
      <c r="I155" s="1324"/>
      <c r="J155" s="1324"/>
      <c r="L155" s="77" t="s">
        <v>825</v>
      </c>
      <c r="M155" s="1445"/>
      <c r="O155" s="1445"/>
      <c r="P155" s="1445"/>
      <c r="Q155" s="1445"/>
      <c r="R155" s="1445"/>
      <c r="S155" s="1445"/>
      <c r="T155" s="1445"/>
    </row>
    <row r="156" spans="2:20" x14ac:dyDescent="0.2">
      <c r="C156" s="45"/>
      <c r="D156" s="1324"/>
      <c r="E156" s="1324"/>
      <c r="F156" s="1324"/>
      <c r="G156" s="1324"/>
      <c r="H156" s="1324"/>
      <c r="I156" s="1324"/>
      <c r="J156" s="1324"/>
      <c r="L156" s="77"/>
      <c r="M156" s="1445"/>
      <c r="O156" s="1445"/>
      <c r="P156" s="1445"/>
      <c r="Q156" s="1445"/>
      <c r="R156" s="1445"/>
      <c r="S156" s="1445"/>
      <c r="T156" s="1445"/>
    </row>
    <row r="157" spans="2:20" ht="6" customHeight="1" x14ac:dyDescent="0.2">
      <c r="C157" s="45"/>
      <c r="L157" s="36"/>
      <c r="M157" s="36"/>
      <c r="O157" s="36"/>
      <c r="P157" s="36"/>
      <c r="Q157" s="36"/>
    </row>
    <row r="158" spans="2:20" x14ac:dyDescent="0.2">
      <c r="C158" s="45"/>
      <c r="E158" t="s">
        <v>7</v>
      </c>
      <c r="L158" s="73">
        <f>L149</f>
        <v>0</v>
      </c>
      <c r="M158" s="73">
        <f>M149-(M152+M155)</f>
        <v>0</v>
      </c>
      <c r="O158" s="73">
        <f>O149-(O152+O155)</f>
        <v>0</v>
      </c>
      <c r="P158" s="73">
        <f>P149-(P152+P155)</f>
        <v>0</v>
      </c>
      <c r="Q158" s="73">
        <f>Q149-(Q152+Q155)</f>
        <v>0</v>
      </c>
      <c r="R158" s="74"/>
      <c r="S158" s="74"/>
      <c r="T158" s="74"/>
    </row>
    <row r="159" spans="2:20" ht="6.75" customHeight="1" x14ac:dyDescent="0.2">
      <c r="C159" s="45"/>
      <c r="L159" s="36"/>
      <c r="M159" s="36"/>
      <c r="N159" s="36"/>
      <c r="O159" s="36"/>
      <c r="P159" s="36"/>
    </row>
    <row r="160" spans="2:20" x14ac:dyDescent="0.2">
      <c r="B160" s="64" t="s">
        <v>515</v>
      </c>
      <c r="C160" s="1337" t="s">
        <v>746</v>
      </c>
      <c r="D160" s="1337"/>
      <c r="E160" s="1337"/>
      <c r="F160" s="1337"/>
      <c r="G160" s="1337"/>
      <c r="H160" s="1337"/>
      <c r="I160" s="1337"/>
      <c r="J160" s="1337"/>
      <c r="L160" s="1445"/>
      <c r="M160" s="36"/>
      <c r="N160" s="36"/>
      <c r="O160" s="36"/>
      <c r="P160" s="36"/>
    </row>
    <row r="161" spans="1:20" ht="12.75" customHeight="1" x14ac:dyDescent="0.2">
      <c r="C161" s="1337"/>
      <c r="D161" s="1337"/>
      <c r="E161" s="1337"/>
      <c r="F161" s="1337"/>
      <c r="G161" s="1337"/>
      <c r="H161" s="1337"/>
      <c r="I161" s="1337"/>
      <c r="J161" s="1337"/>
      <c r="L161" s="1445"/>
      <c r="M161" s="36"/>
      <c r="N161" s="36"/>
      <c r="O161" s="36"/>
      <c r="P161" s="36"/>
    </row>
    <row r="162" spans="1:20" ht="6.75" customHeight="1" x14ac:dyDescent="0.2">
      <c r="B162" s="4"/>
      <c r="C162" s="45"/>
      <c r="L162" s="36"/>
      <c r="M162" s="36"/>
      <c r="N162" s="36"/>
      <c r="O162" s="36"/>
      <c r="P162" s="36"/>
    </row>
    <row r="163" spans="1:20" ht="12.75" customHeight="1" x14ac:dyDescent="0.2">
      <c r="B163" s="64" t="s">
        <v>516</v>
      </c>
      <c r="C163" s="1324" t="s">
        <v>747</v>
      </c>
      <c r="D163" s="1324"/>
      <c r="E163" s="1324"/>
      <c r="F163" s="1324"/>
      <c r="G163" s="1324"/>
      <c r="H163" s="1324"/>
      <c r="I163" s="1324"/>
      <c r="J163" s="1324"/>
      <c r="L163" s="36"/>
      <c r="M163" s="36"/>
      <c r="N163" s="36"/>
      <c r="O163" s="36"/>
      <c r="P163" s="36"/>
    </row>
    <row r="164" spans="1:20" ht="11.25" customHeight="1" x14ac:dyDescent="0.2">
      <c r="C164" s="1324"/>
      <c r="D164" s="1324"/>
      <c r="E164" s="1324"/>
      <c r="F164" s="1324"/>
      <c r="G164" s="1324"/>
      <c r="H164" s="1324"/>
      <c r="I164" s="1324"/>
      <c r="J164" s="1324"/>
      <c r="L164" s="36"/>
      <c r="M164" s="36"/>
      <c r="N164" s="36"/>
      <c r="O164" s="36"/>
      <c r="P164" s="36"/>
    </row>
    <row r="165" spans="1:20" x14ac:dyDescent="0.2">
      <c r="C165" s="427" t="s">
        <v>117</v>
      </c>
      <c r="D165" s="1324" t="s">
        <v>748</v>
      </c>
      <c r="E165" s="1324"/>
      <c r="F165" s="1324"/>
      <c r="G165" s="1324"/>
      <c r="H165" s="1324"/>
      <c r="I165" s="1324"/>
      <c r="L165" s="1445"/>
      <c r="M165" s="1465" t="str">
        <f>IF(L165=0," ",L160/L165)</f>
        <v xml:space="preserve"> </v>
      </c>
      <c r="O165" s="428" t="s">
        <v>749</v>
      </c>
      <c r="P165" s="36"/>
    </row>
    <row r="166" spans="1:20" x14ac:dyDescent="0.2">
      <c r="C166" s="45"/>
      <c r="D166" s="1324"/>
      <c r="E166" s="1324"/>
      <c r="F166" s="1324"/>
      <c r="G166" s="1324"/>
      <c r="H166" s="1324"/>
      <c r="I166" s="1324"/>
      <c r="L166" s="1445"/>
      <c r="M166" s="1465"/>
      <c r="O166" s="167" t="s">
        <v>750</v>
      </c>
      <c r="P166" s="36"/>
    </row>
    <row r="167" spans="1:20" ht="10.5" customHeight="1" x14ac:dyDescent="0.2">
      <c r="C167" s="45"/>
      <c r="J167" s="53" t="s">
        <v>751</v>
      </c>
      <c r="L167" s="36"/>
      <c r="M167" s="36"/>
      <c r="N167" s="36"/>
      <c r="O167" s="36"/>
      <c r="P167" s="36"/>
    </row>
    <row r="168" spans="1:20" x14ac:dyDescent="0.2">
      <c r="C168" s="427" t="s">
        <v>119</v>
      </c>
      <c r="D168" s="1324" t="s">
        <v>752</v>
      </c>
      <c r="E168" s="1324"/>
      <c r="F168" s="1324"/>
      <c r="G168" s="1324"/>
      <c r="H168" s="1324"/>
      <c r="I168" s="1324"/>
      <c r="L168" s="1466"/>
      <c r="M168" s="1467">
        <f>L168*L160</f>
        <v>0</v>
      </c>
      <c r="Q168" s="1460" t="str">
        <f>IF(M168=0," ",(M168/M149))</f>
        <v xml:space="preserve"> </v>
      </c>
      <c r="R168" s="428" t="s">
        <v>749</v>
      </c>
      <c r="S168" s="36"/>
    </row>
    <row r="169" spans="1:20" x14ac:dyDescent="0.2">
      <c r="C169" s="45"/>
      <c r="D169" s="1324"/>
      <c r="E169" s="1324"/>
      <c r="F169" s="1324"/>
      <c r="G169" s="1324"/>
      <c r="H169" s="1324"/>
      <c r="I169" s="1324"/>
      <c r="L169" s="1466"/>
      <c r="M169" s="1467"/>
      <c r="O169" s="167" t="s">
        <v>753</v>
      </c>
      <c r="Q169" s="1460"/>
      <c r="R169" s="428" t="s">
        <v>754</v>
      </c>
      <c r="S169" s="36"/>
    </row>
    <row r="170" spans="1:20" ht="12.75" customHeight="1" x14ac:dyDescent="0.2">
      <c r="C170" s="45"/>
      <c r="L170" s="36"/>
      <c r="M170" s="36"/>
      <c r="N170" s="36"/>
      <c r="O170" s="36"/>
      <c r="P170" s="36"/>
    </row>
    <row r="171" spans="1:20" ht="12.75" customHeight="1" x14ac:dyDescent="0.2">
      <c r="B171" s="64" t="s">
        <v>542</v>
      </c>
      <c r="C171" s="4" t="s">
        <v>755</v>
      </c>
      <c r="D171" s="4"/>
      <c r="E171" s="4"/>
      <c r="F171" s="4"/>
      <c r="K171" s="1461" t="s">
        <v>756</v>
      </c>
      <c r="L171" s="1461"/>
      <c r="M171" s="430" t="str">
        <f>IF(L165=0,"0",((L158+M158+O158+P158+Q158+R158+S158+T158)*M165))</f>
        <v>0</v>
      </c>
      <c r="N171" s="576"/>
      <c r="O171" s="1462" t="s">
        <v>757</v>
      </c>
      <c r="P171" s="1462"/>
      <c r="Q171" s="431" t="str">
        <f>IF(L168=0,"0",(L158+M158+O158+P158+Q158+R158+S158+T158)*Q168)</f>
        <v>0</v>
      </c>
    </row>
    <row r="172" spans="1:20" ht="6.75" customHeight="1" x14ac:dyDescent="0.2">
      <c r="B172" s="64"/>
      <c r="C172" s="4"/>
      <c r="D172" s="4"/>
      <c r="E172" s="4"/>
      <c r="F172" s="4"/>
      <c r="K172" s="429"/>
      <c r="L172" s="429"/>
      <c r="M172" s="432"/>
      <c r="N172" s="13"/>
      <c r="O172" s="433"/>
      <c r="P172" s="433"/>
      <c r="Q172" s="434"/>
    </row>
    <row r="173" spans="1:20" ht="12.75" customHeight="1" x14ac:dyDescent="0.2">
      <c r="A173" t="s">
        <v>49</v>
      </c>
      <c r="C173" s="45" t="s">
        <v>117</v>
      </c>
      <c r="D173" s="1463" t="s">
        <v>758</v>
      </c>
      <c r="E173" s="1463"/>
      <c r="F173" s="1463"/>
      <c r="G173" s="1463"/>
      <c r="H173" s="1463"/>
      <c r="I173" s="1463"/>
      <c r="L173" s="36"/>
      <c r="M173" s="36"/>
      <c r="T173" s="435"/>
    </row>
    <row r="174" spans="1:20" ht="12.75" customHeight="1" x14ac:dyDescent="0.2">
      <c r="C174" s="36"/>
      <c r="D174" s="1463"/>
      <c r="E174" s="1463"/>
      <c r="F174" s="1463"/>
      <c r="G174" s="1463"/>
      <c r="H174" s="1463"/>
      <c r="I174" s="1463"/>
      <c r="L174" s="36"/>
      <c r="M174" s="36"/>
      <c r="T174" s="435"/>
    </row>
    <row r="175" spans="1:20" x14ac:dyDescent="0.2">
      <c r="C175" s="36"/>
      <c r="D175" t="s">
        <v>814</v>
      </c>
      <c r="H175" s="351"/>
      <c r="L175" s="36"/>
      <c r="M175" s="36"/>
    </row>
    <row r="176" spans="1:20" x14ac:dyDescent="0.2">
      <c r="C176" s="36"/>
      <c r="D176" t="s">
        <v>815</v>
      </c>
      <c r="H176" s="351"/>
      <c r="L176" s="36"/>
      <c r="M176" s="36"/>
    </row>
    <row r="177" spans="1:23" x14ac:dyDescent="0.2">
      <c r="C177" s="36"/>
      <c r="D177" t="s">
        <v>450</v>
      </c>
      <c r="H177" s="351"/>
      <c r="L177" s="36"/>
      <c r="M177" s="36"/>
    </row>
    <row r="178" spans="1:23" x14ac:dyDescent="0.2">
      <c r="C178" s="36"/>
      <c r="D178" t="s">
        <v>759</v>
      </c>
      <c r="H178" s="351"/>
      <c r="L178" s="36"/>
      <c r="M178" s="36"/>
    </row>
    <row r="179" spans="1:23" x14ac:dyDescent="0.2">
      <c r="C179" s="36"/>
      <c r="D179" t="s">
        <v>760</v>
      </c>
      <c r="H179" s="351"/>
      <c r="L179" s="36"/>
      <c r="M179" s="36"/>
    </row>
    <row r="180" spans="1:23" x14ac:dyDescent="0.2">
      <c r="C180" s="36"/>
      <c r="D180" t="s">
        <v>813</v>
      </c>
      <c r="H180" s="351"/>
      <c r="L180" s="36"/>
      <c r="M180" s="36"/>
    </row>
    <row r="181" spans="1:23" x14ac:dyDescent="0.2">
      <c r="C181" s="36"/>
      <c r="D181" s="353" t="s">
        <v>696</v>
      </c>
      <c r="H181" s="351"/>
      <c r="L181" s="36"/>
      <c r="M181" s="36"/>
      <c r="V181" s="1464" t="str">
        <f>IF(U181=Y157," ","Recheck number. Must match 4 above.")</f>
        <v xml:space="preserve"> </v>
      </c>
      <c r="W181" s="1464"/>
    </row>
    <row r="182" spans="1:23" x14ac:dyDescent="0.2">
      <c r="C182" s="36"/>
      <c r="D182" s="353" t="s">
        <v>697</v>
      </c>
      <c r="H182" s="351"/>
      <c r="L182" s="36"/>
      <c r="M182" s="36"/>
    </row>
    <row r="183" spans="1:23" ht="24" customHeight="1" thickBot="1" x14ac:dyDescent="0.25">
      <c r="C183" s="36"/>
      <c r="D183" s="36"/>
      <c r="E183" s="36"/>
      <c r="H183" s="228">
        <f>SUM(H175:H182)</f>
        <v>0</v>
      </c>
      <c r="I183" s="1464" t="str">
        <f>IF(H183=M171+Q171," ","Recheck number. Must match loss amt. in 4 above.")</f>
        <v xml:space="preserve"> </v>
      </c>
      <c r="J183" s="1464"/>
      <c r="K183" s="1464"/>
      <c r="L183" s="36"/>
      <c r="M183" s="36"/>
      <c r="T183" s="436"/>
    </row>
    <row r="184" spans="1:23" ht="13.5" thickTop="1" x14ac:dyDescent="0.2">
      <c r="C184" s="45"/>
      <c r="L184" s="36"/>
      <c r="M184" s="36"/>
      <c r="N184" s="36"/>
      <c r="O184" s="36"/>
      <c r="P184" s="36"/>
    </row>
    <row r="185" spans="1:23" ht="11.25" customHeight="1" x14ac:dyDescent="0.2">
      <c r="B185" s="437" t="s">
        <v>543</v>
      </c>
      <c r="C185" s="1470" t="s">
        <v>761</v>
      </c>
      <c r="D185" s="1470"/>
      <c r="E185" s="1470"/>
      <c r="F185" s="1470"/>
      <c r="G185" s="1470"/>
      <c r="H185" s="1470"/>
      <c r="I185" s="1470"/>
      <c r="J185" s="31"/>
      <c r="K185" s="31"/>
      <c r="L185" s="47"/>
      <c r="M185" s="1450"/>
      <c r="O185" s="47"/>
      <c r="P185" s="47"/>
      <c r="Q185" s="31"/>
      <c r="R185" s="31"/>
    </row>
    <row r="186" spans="1:23" x14ac:dyDescent="0.2">
      <c r="B186" s="31"/>
      <c r="C186" s="99" t="s">
        <v>117</v>
      </c>
      <c r="D186" s="31" t="s">
        <v>762</v>
      </c>
      <c r="F186" s="31"/>
      <c r="G186" s="31"/>
      <c r="H186" s="31"/>
      <c r="I186" s="31"/>
      <c r="J186" s="31"/>
      <c r="K186" s="31"/>
      <c r="L186" s="338"/>
      <c r="M186" s="1471"/>
      <c r="O186" s="338"/>
      <c r="P186" s="338"/>
      <c r="Q186" s="340"/>
      <c r="R186" s="340"/>
    </row>
    <row r="187" spans="1:23" ht="6.75" customHeight="1" x14ac:dyDescent="0.2">
      <c r="B187" s="31"/>
      <c r="C187" s="99"/>
      <c r="D187" s="31"/>
      <c r="E187" s="31"/>
      <c r="F187" s="31"/>
      <c r="G187" s="31"/>
      <c r="H187" s="31"/>
      <c r="I187" s="31"/>
      <c r="J187" s="31"/>
      <c r="K187" s="31"/>
      <c r="L187" s="47"/>
      <c r="M187" s="47"/>
      <c r="N187" s="47"/>
      <c r="O187" s="47"/>
      <c r="P187" s="47"/>
      <c r="Q187" s="31"/>
      <c r="R187" s="31"/>
    </row>
    <row r="188" spans="1:23" ht="24.75" customHeight="1" thickBot="1" x14ac:dyDescent="0.25">
      <c r="B188" s="31"/>
      <c r="C188" s="31" t="s">
        <v>119</v>
      </c>
      <c r="D188" s="31"/>
      <c r="E188" s="1472" t="s">
        <v>763</v>
      </c>
      <c r="F188" s="1472"/>
      <c r="G188" s="1472"/>
      <c r="H188" s="1472"/>
      <c r="I188" s="1472"/>
      <c r="J188" s="31"/>
      <c r="K188" s="31"/>
      <c r="L188" s="47"/>
      <c r="M188" s="86">
        <f>M185-(M171+Q171)</f>
        <v>0</v>
      </c>
      <c r="O188" s="47"/>
      <c r="P188" s="47"/>
      <c r="Q188" s="31"/>
      <c r="R188" s="31"/>
    </row>
    <row r="189" spans="1:23" ht="12.75" customHeight="1" thickTop="1" x14ac:dyDescent="0.2">
      <c r="B189" s="31"/>
      <c r="C189" s="31"/>
      <c r="D189" s="31"/>
      <c r="E189" s="31"/>
      <c r="F189" s="31"/>
      <c r="G189" s="31"/>
      <c r="H189" s="31"/>
      <c r="I189" s="31"/>
      <c r="J189" s="31"/>
      <c r="K189" s="31"/>
      <c r="L189" s="47"/>
      <c r="M189" s="47"/>
      <c r="O189" s="47"/>
      <c r="P189" s="47"/>
      <c r="Q189" s="31"/>
      <c r="R189" s="31"/>
    </row>
    <row r="190" spans="1:23" ht="12.75" customHeight="1" x14ac:dyDescent="0.2">
      <c r="B190" s="31"/>
      <c r="C190" s="31"/>
      <c r="D190" s="31"/>
      <c r="E190" s="31"/>
      <c r="F190" s="31"/>
      <c r="G190" s="31"/>
      <c r="H190" s="31"/>
      <c r="I190" s="31"/>
      <c r="J190" s="31"/>
      <c r="K190" s="31"/>
      <c r="L190" s="47"/>
      <c r="M190" s="47"/>
      <c r="O190" s="47"/>
      <c r="P190" s="47"/>
      <c r="Q190" s="31"/>
      <c r="R190" s="31"/>
    </row>
    <row r="191" spans="1:23" ht="25.5" customHeight="1" x14ac:dyDescent="0.2">
      <c r="A191" s="4" t="s">
        <v>718</v>
      </c>
      <c r="B191" s="1416" t="s">
        <v>764</v>
      </c>
      <c r="C191" s="1417"/>
      <c r="D191" s="1417"/>
      <c r="E191" s="1417"/>
      <c r="F191" s="1417"/>
      <c r="G191" s="1417"/>
      <c r="H191" s="1417"/>
      <c r="I191" s="1417"/>
      <c r="J191" s="1417"/>
      <c r="K191" s="1417"/>
      <c r="L191" s="1417"/>
      <c r="M191" s="1417"/>
      <c r="N191" s="1417"/>
      <c r="O191" s="1417"/>
      <c r="P191" s="1417"/>
      <c r="Q191" s="1417"/>
      <c r="R191" s="1417"/>
      <c r="S191" s="1417"/>
      <c r="T191" s="1418"/>
    </row>
    <row r="192" spans="1:23" ht="12.75" customHeight="1" x14ac:dyDescent="0.2">
      <c r="B192" s="39" t="s">
        <v>858</v>
      </c>
      <c r="C192" s="1324" t="s">
        <v>617</v>
      </c>
      <c r="D192" s="1324"/>
      <c r="E192" s="1324"/>
      <c r="F192" s="1324"/>
      <c r="G192" s="1324"/>
      <c r="H192" s="1324"/>
      <c r="I192" s="1324"/>
      <c r="J192" s="1324"/>
      <c r="K192" s="31"/>
      <c r="L192" s="47"/>
      <c r="M192" s="47"/>
      <c r="O192" s="47"/>
      <c r="P192" s="47"/>
      <c r="Q192" s="31"/>
      <c r="R192" s="31"/>
    </row>
    <row r="193" spans="3:18" ht="12.75" customHeight="1" x14ac:dyDescent="0.2">
      <c r="C193" s="1324"/>
      <c r="D193" s="1324"/>
      <c r="E193" s="1324"/>
      <c r="F193" s="1324"/>
      <c r="G193" s="1324"/>
      <c r="H193" s="1324"/>
      <c r="I193" s="1324"/>
      <c r="J193" s="1324"/>
      <c r="K193" s="31"/>
      <c r="L193" s="47"/>
      <c r="M193" s="47"/>
      <c r="O193" s="47"/>
      <c r="P193" s="47"/>
      <c r="Q193" s="31"/>
      <c r="R193" s="31"/>
    </row>
    <row r="194" spans="3:18" ht="12.75" customHeight="1" x14ac:dyDescent="0.2">
      <c r="C194" t="s">
        <v>117</v>
      </c>
      <c r="D194" s="1324" t="s">
        <v>618</v>
      </c>
      <c r="E194" s="1324"/>
      <c r="F194" s="1324"/>
      <c r="G194" s="1324"/>
      <c r="H194" s="1324"/>
      <c r="I194" s="1324"/>
      <c r="J194" s="1324"/>
      <c r="K194" s="31"/>
      <c r="L194" s="47"/>
      <c r="M194" s="47"/>
      <c r="O194" s="47"/>
      <c r="P194" s="47"/>
      <c r="Q194" s="31"/>
      <c r="R194" s="31"/>
    </row>
    <row r="195" spans="3:18" ht="12.75" customHeight="1" x14ac:dyDescent="0.2">
      <c r="D195" s="1324"/>
      <c r="E195" s="1324"/>
      <c r="F195" s="1324"/>
      <c r="G195" s="1324"/>
      <c r="H195" s="1324"/>
      <c r="I195" s="1324"/>
      <c r="J195" s="1324"/>
      <c r="K195" s="31"/>
      <c r="L195" s="47"/>
      <c r="M195" s="47"/>
      <c r="O195" s="47"/>
      <c r="P195" s="47"/>
      <c r="Q195" s="31"/>
      <c r="R195" s="31"/>
    </row>
    <row r="196" spans="3:18" ht="12.75" customHeight="1" x14ac:dyDescent="0.2">
      <c r="D196" t="s">
        <v>619</v>
      </c>
      <c r="I196" s="351"/>
      <c r="J196" s="31"/>
      <c r="K196" s="31"/>
      <c r="L196" s="47"/>
      <c r="M196" s="47"/>
      <c r="O196" s="47"/>
      <c r="P196" s="47"/>
      <c r="Q196" s="31"/>
      <c r="R196" s="31"/>
    </row>
    <row r="197" spans="3:18" ht="12.75" customHeight="1" x14ac:dyDescent="0.2">
      <c r="D197" t="s">
        <v>529</v>
      </c>
      <c r="I197" s="351"/>
      <c r="J197" s="31"/>
      <c r="K197" s="31"/>
      <c r="L197" s="47"/>
      <c r="M197" s="47"/>
      <c r="O197" s="47"/>
      <c r="P197" s="47"/>
      <c r="Q197" s="31"/>
      <c r="R197" s="31"/>
    </row>
    <row r="198" spans="3:18" ht="12.75" customHeight="1" x14ac:dyDescent="0.2">
      <c r="J198" s="31"/>
      <c r="K198" s="31"/>
      <c r="L198" s="47"/>
      <c r="M198" s="47"/>
      <c r="O198" s="47"/>
      <c r="P198" s="47"/>
      <c r="Q198" s="31"/>
      <c r="R198" s="31"/>
    </row>
    <row r="199" spans="3:18" ht="12.75" customHeight="1" x14ac:dyDescent="0.2">
      <c r="C199" t="s">
        <v>119</v>
      </c>
      <c r="D199" s="1463" t="s">
        <v>620</v>
      </c>
      <c r="E199" s="1463"/>
      <c r="F199" s="1463"/>
      <c r="G199" s="1463"/>
      <c r="H199" s="1463"/>
      <c r="I199" s="1463"/>
      <c r="J199" s="1463"/>
      <c r="K199" s="435"/>
      <c r="L199" s="47"/>
      <c r="M199" s="47"/>
    </row>
    <row r="200" spans="3:18" ht="12.75" customHeight="1" x14ac:dyDescent="0.2">
      <c r="C200" s="435"/>
      <c r="D200" s="1463"/>
      <c r="E200" s="1463"/>
      <c r="F200" s="1463"/>
      <c r="G200" s="1463"/>
      <c r="H200" s="1463"/>
      <c r="I200" s="1463"/>
      <c r="J200" s="1463"/>
      <c r="K200" s="435"/>
      <c r="L200" s="47"/>
      <c r="M200" s="47"/>
    </row>
    <row r="201" spans="3:18" ht="12.75" customHeight="1" x14ac:dyDescent="0.2">
      <c r="C201" s="435"/>
      <c r="D201" s="1463"/>
      <c r="E201" s="1463"/>
      <c r="F201" s="1463"/>
      <c r="G201" s="1463"/>
      <c r="H201" s="1463"/>
      <c r="I201" s="1463"/>
      <c r="J201" s="1463"/>
      <c r="L201" s="47"/>
      <c r="M201" s="47"/>
    </row>
    <row r="202" spans="3:18" ht="12.75" customHeight="1" x14ac:dyDescent="0.2">
      <c r="C202" s="45"/>
      <c r="E202" t="s">
        <v>621</v>
      </c>
      <c r="I202" s="351"/>
      <c r="L202" s="47"/>
      <c r="M202" s="47"/>
    </row>
    <row r="203" spans="3:18" ht="12.75" customHeight="1" x14ac:dyDescent="0.2">
      <c r="C203" s="45"/>
      <c r="E203" t="s">
        <v>902</v>
      </c>
      <c r="I203" s="351"/>
      <c r="L203" s="47"/>
      <c r="M203" s="47"/>
    </row>
    <row r="204" spans="3:18" ht="12.75" customHeight="1" x14ac:dyDescent="0.2">
      <c r="C204" s="45"/>
      <c r="E204" t="s">
        <v>991</v>
      </c>
      <c r="I204" s="351"/>
      <c r="L204" s="47"/>
      <c r="M204" s="47"/>
    </row>
    <row r="205" spans="3:18" ht="12.75" customHeight="1" x14ac:dyDescent="0.2">
      <c r="C205" s="45"/>
      <c r="E205" t="s">
        <v>992</v>
      </c>
      <c r="I205" s="351"/>
      <c r="L205" s="47"/>
      <c r="M205" s="47"/>
    </row>
    <row r="206" spans="3:18" ht="12.75" customHeight="1" x14ac:dyDescent="0.2">
      <c r="C206" s="45"/>
      <c r="E206" t="s">
        <v>819</v>
      </c>
      <c r="I206" s="351"/>
      <c r="L206" s="47"/>
      <c r="M206" s="47"/>
    </row>
    <row r="207" spans="3:18" ht="12.75" customHeight="1" x14ac:dyDescent="0.2">
      <c r="C207" s="45"/>
      <c r="E207" t="s">
        <v>808</v>
      </c>
      <c r="I207" s="351"/>
      <c r="L207" s="47"/>
      <c r="M207" s="47"/>
    </row>
    <row r="208" spans="3:18" ht="12.75" customHeight="1" x14ac:dyDescent="0.2">
      <c r="C208" s="45"/>
      <c r="E208" t="s">
        <v>307</v>
      </c>
      <c r="I208" s="351"/>
      <c r="L208" s="47"/>
      <c r="M208" s="47"/>
    </row>
    <row r="209" spans="1:20" ht="12.75" customHeight="1" x14ac:dyDescent="0.2">
      <c r="C209" s="45"/>
      <c r="E209" t="s">
        <v>267</v>
      </c>
      <c r="I209" s="351"/>
      <c r="L209" s="47"/>
      <c r="M209" s="47"/>
    </row>
    <row r="210" spans="1:20" ht="12.75" customHeight="1" x14ac:dyDescent="0.2">
      <c r="C210" s="45"/>
      <c r="E210" t="s">
        <v>172</v>
      </c>
      <c r="I210" s="351"/>
      <c r="L210" s="47"/>
      <c r="M210" s="47"/>
    </row>
    <row r="211" spans="1:20" ht="12.75" customHeight="1" x14ac:dyDescent="0.2">
      <c r="C211" s="45"/>
      <c r="E211" t="s">
        <v>729</v>
      </c>
      <c r="I211" s="351"/>
      <c r="L211" s="47"/>
      <c r="M211" s="47"/>
    </row>
    <row r="212" spans="1:20" x14ac:dyDescent="0.2">
      <c r="C212" s="45"/>
      <c r="J212" s="1464" t="str">
        <f>IF(I213=M188," ","Recheck entry. Total must match net gain or loss in 5.b above.")</f>
        <v xml:space="preserve"> </v>
      </c>
      <c r="K212" s="1464"/>
      <c r="L212" s="1464"/>
      <c r="M212" s="47"/>
    </row>
    <row r="213" spans="1:20" x14ac:dyDescent="0.2">
      <c r="H213" s="19" t="s">
        <v>622</v>
      </c>
      <c r="I213" s="431">
        <f>I196+I197+SUM(I202:I211)</f>
        <v>0</v>
      </c>
      <c r="J213" s="1464"/>
      <c r="K213" s="1464"/>
      <c r="L213" s="1464"/>
      <c r="M213" s="10"/>
      <c r="O213" s="426"/>
    </row>
    <row r="214" spans="1:20" x14ac:dyDescent="0.2">
      <c r="H214" s="19"/>
      <c r="I214" s="438"/>
      <c r="J214" s="436"/>
      <c r="K214" s="436"/>
      <c r="L214" s="436"/>
      <c r="M214" s="10"/>
      <c r="O214" s="426"/>
    </row>
    <row r="215" spans="1:20" ht="26.25" customHeight="1" x14ac:dyDescent="0.2">
      <c r="A215" s="4" t="s">
        <v>719</v>
      </c>
      <c r="B215" s="1441" t="s">
        <v>623</v>
      </c>
      <c r="C215" s="1442"/>
      <c r="D215" s="1442"/>
      <c r="E215" s="1442"/>
      <c r="F215" s="1442"/>
      <c r="G215" s="1442"/>
      <c r="H215" s="1442"/>
      <c r="I215" s="1442"/>
      <c r="J215" s="1442"/>
      <c r="K215" s="1442"/>
      <c r="L215" s="1442"/>
      <c r="M215" s="1442"/>
      <c r="N215" s="1442"/>
      <c r="O215" s="1442"/>
      <c r="P215" s="1442"/>
      <c r="Q215" s="1442"/>
      <c r="R215" s="1442"/>
      <c r="S215" s="1442"/>
      <c r="T215" s="1443"/>
    </row>
    <row r="218" spans="1:20" x14ac:dyDescent="0.2">
      <c r="E218" t="s">
        <v>49</v>
      </c>
      <c r="M218" s="49" t="s">
        <v>510</v>
      </c>
      <c r="N218" s="45"/>
      <c r="O218" s="49" t="s">
        <v>511</v>
      </c>
    </row>
    <row r="219" spans="1:20" ht="6.75" customHeight="1" x14ac:dyDescent="0.2"/>
    <row r="220" spans="1:20" x14ac:dyDescent="0.2">
      <c r="D220" t="s">
        <v>532</v>
      </c>
      <c r="E220" t="s">
        <v>452</v>
      </c>
      <c r="M220" s="78">
        <f>AB303</f>
        <v>0</v>
      </c>
      <c r="N220" s="13"/>
      <c r="O220" s="78">
        <f>AC303</f>
        <v>0</v>
      </c>
    </row>
    <row r="221" spans="1:20" x14ac:dyDescent="0.2">
      <c r="E221" t="s">
        <v>43</v>
      </c>
      <c r="M221" s="78">
        <f>AB304</f>
        <v>9150</v>
      </c>
      <c r="N221" s="13"/>
      <c r="O221" s="78">
        <f>AC304</f>
        <v>0</v>
      </c>
    </row>
    <row r="222" spans="1:20" x14ac:dyDescent="0.2">
      <c r="E222" t="s">
        <v>4173</v>
      </c>
      <c r="M222" s="78">
        <f>AB305</f>
        <v>125058</v>
      </c>
      <c r="N222" s="13"/>
      <c r="O222" s="78">
        <f>AC305</f>
        <v>0</v>
      </c>
    </row>
    <row r="223" spans="1:20" s="1273" customFormat="1" x14ac:dyDescent="0.2">
      <c r="E223" s="1273" t="s">
        <v>4172</v>
      </c>
      <c r="M223" s="1277">
        <f t="shared" ref="M223:M231" si="2">AB306</f>
        <v>6721</v>
      </c>
      <c r="N223" s="1278"/>
      <c r="O223" s="1277"/>
    </row>
    <row r="224" spans="1:20" x14ac:dyDescent="0.2">
      <c r="E224" t="s">
        <v>44</v>
      </c>
      <c r="M224" s="78">
        <f t="shared" si="2"/>
        <v>2639</v>
      </c>
      <c r="N224" s="13"/>
      <c r="O224" s="78">
        <f t="shared" ref="O224:O231" si="3">AC307</f>
        <v>0</v>
      </c>
    </row>
    <row r="225" spans="5:15" x14ac:dyDescent="0.2">
      <c r="E225" s="353" t="s">
        <v>856</v>
      </c>
      <c r="M225" s="78">
        <f t="shared" si="2"/>
        <v>0</v>
      </c>
      <c r="N225" s="13"/>
      <c r="O225" s="78">
        <f t="shared" si="3"/>
        <v>0</v>
      </c>
    </row>
    <row r="226" spans="5:15" x14ac:dyDescent="0.2">
      <c r="E226" s="353" t="s">
        <v>857</v>
      </c>
      <c r="M226" s="78">
        <f t="shared" si="2"/>
        <v>0</v>
      </c>
      <c r="N226" s="13"/>
      <c r="O226" s="78">
        <f t="shared" si="3"/>
        <v>0</v>
      </c>
    </row>
    <row r="227" spans="5:15" x14ac:dyDescent="0.2">
      <c r="E227" t="s">
        <v>45</v>
      </c>
      <c r="M227" s="78">
        <f t="shared" si="2"/>
        <v>0</v>
      </c>
      <c r="N227" s="13"/>
      <c r="O227" s="78">
        <f t="shared" si="3"/>
        <v>0</v>
      </c>
    </row>
    <row r="228" spans="5:15" x14ac:dyDescent="0.2">
      <c r="E228" t="s">
        <v>282</v>
      </c>
      <c r="M228" s="78">
        <f t="shared" si="2"/>
        <v>28482</v>
      </c>
      <c r="N228" s="13"/>
      <c r="O228" s="78">
        <f t="shared" si="3"/>
        <v>0</v>
      </c>
    </row>
    <row r="229" spans="5:15" x14ac:dyDescent="0.2">
      <c r="E229" t="s">
        <v>529</v>
      </c>
      <c r="M229" s="78">
        <f t="shared" si="2"/>
        <v>0</v>
      </c>
      <c r="N229" s="13"/>
      <c r="O229" s="78">
        <f t="shared" si="3"/>
        <v>0</v>
      </c>
    </row>
    <row r="230" spans="5:15" x14ac:dyDescent="0.2">
      <c r="E230" t="s">
        <v>676</v>
      </c>
      <c r="M230" s="78">
        <f t="shared" si="2"/>
        <v>0</v>
      </c>
      <c r="N230" s="13"/>
      <c r="O230" s="78">
        <f t="shared" si="3"/>
        <v>0</v>
      </c>
    </row>
    <row r="231" spans="5:15" x14ac:dyDescent="0.2">
      <c r="E231" s="13" t="s">
        <v>325</v>
      </c>
      <c r="F231" s="13"/>
      <c r="G231" s="13"/>
      <c r="H231" s="13"/>
      <c r="M231" s="78">
        <f t="shared" si="2"/>
        <v>0</v>
      </c>
      <c r="N231" s="13"/>
      <c r="O231" s="78">
        <f t="shared" si="3"/>
        <v>0</v>
      </c>
    </row>
    <row r="232" spans="5:15" x14ac:dyDescent="0.2">
      <c r="F232" t="s">
        <v>814</v>
      </c>
      <c r="M232" s="78">
        <f>AB315</f>
        <v>0</v>
      </c>
      <c r="N232" s="13"/>
      <c r="O232" s="78">
        <f>AC315</f>
        <v>1000</v>
      </c>
    </row>
    <row r="233" spans="5:15" x14ac:dyDescent="0.2">
      <c r="F233" t="s">
        <v>815</v>
      </c>
      <c r="M233" s="78">
        <f>AB316</f>
        <v>0</v>
      </c>
      <c r="N233" s="13"/>
      <c r="O233" s="78">
        <f>AC316</f>
        <v>0</v>
      </c>
    </row>
    <row r="234" spans="5:15" x14ac:dyDescent="0.2">
      <c r="F234" t="s">
        <v>450</v>
      </c>
      <c r="M234" s="78">
        <f>AB317</f>
        <v>0</v>
      </c>
      <c r="N234" s="13"/>
      <c r="O234" s="78">
        <f>AC317</f>
        <v>9150</v>
      </c>
    </row>
    <row r="235" spans="5:15" x14ac:dyDescent="0.2">
      <c r="F235" t="s">
        <v>70</v>
      </c>
      <c r="M235" s="78">
        <f>AB318</f>
        <v>0</v>
      </c>
      <c r="N235" s="13"/>
      <c r="O235" s="78">
        <f>AC318</f>
        <v>125058</v>
      </c>
    </row>
    <row r="236" spans="5:15" s="1273" customFormat="1" x14ac:dyDescent="0.2">
      <c r="F236" s="1273" t="s">
        <v>4168</v>
      </c>
      <c r="M236" s="1277"/>
      <c r="N236" s="1278"/>
      <c r="O236" s="1277">
        <f>AC319</f>
        <v>6721</v>
      </c>
    </row>
    <row r="237" spans="5:15" x14ac:dyDescent="0.2">
      <c r="F237" t="s">
        <v>451</v>
      </c>
      <c r="M237" s="78">
        <f t="shared" ref="M237:M242" si="4">AB320</f>
        <v>0</v>
      </c>
      <c r="N237" s="13"/>
      <c r="O237" s="78">
        <f t="shared" ref="O237:O242" si="5">AC320</f>
        <v>2639</v>
      </c>
    </row>
    <row r="238" spans="5:15" x14ac:dyDescent="0.2">
      <c r="F238" t="s">
        <v>813</v>
      </c>
      <c r="M238" s="78">
        <f t="shared" si="4"/>
        <v>0</v>
      </c>
      <c r="N238" s="13"/>
      <c r="O238" s="78">
        <f t="shared" si="5"/>
        <v>0</v>
      </c>
    </row>
    <row r="239" spans="5:15" x14ac:dyDescent="0.2">
      <c r="F239" s="353" t="s">
        <v>696</v>
      </c>
      <c r="M239" s="78">
        <f t="shared" si="4"/>
        <v>0</v>
      </c>
      <c r="N239" s="13"/>
      <c r="O239" s="78">
        <f t="shared" si="5"/>
        <v>0</v>
      </c>
    </row>
    <row r="240" spans="5:15" x14ac:dyDescent="0.2">
      <c r="F240" s="353" t="s">
        <v>697</v>
      </c>
      <c r="M240" s="78">
        <f t="shared" si="4"/>
        <v>0</v>
      </c>
      <c r="N240" s="13"/>
      <c r="O240" s="78">
        <f t="shared" si="5"/>
        <v>0</v>
      </c>
    </row>
    <row r="241" spans="4:15" ht="15" x14ac:dyDescent="0.2">
      <c r="F241" t="s">
        <v>522</v>
      </c>
      <c r="M241" s="78">
        <f t="shared" si="4"/>
        <v>0</v>
      </c>
      <c r="N241" s="13"/>
      <c r="O241" s="78">
        <f t="shared" si="5"/>
        <v>0</v>
      </c>
    </row>
    <row r="242" spans="4:15" ht="15" x14ac:dyDescent="0.2">
      <c r="F242" t="s">
        <v>156</v>
      </c>
      <c r="M242" s="78">
        <f t="shared" si="4"/>
        <v>0</v>
      </c>
      <c r="N242" s="13"/>
      <c r="O242" s="78">
        <f t="shared" si="5"/>
        <v>27482</v>
      </c>
    </row>
    <row r="243" spans="4:15" ht="6.75" customHeight="1" x14ac:dyDescent="0.2">
      <c r="M243" s="32"/>
      <c r="N243" s="13"/>
      <c r="O243" s="32"/>
    </row>
    <row r="244" spans="4:15" x14ac:dyDescent="0.2">
      <c r="D244" t="s">
        <v>531</v>
      </c>
      <c r="E244" t="s">
        <v>814</v>
      </c>
      <c r="M244" s="78">
        <f t="shared" ref="M244:M254" si="6">AB327</f>
        <v>37500</v>
      </c>
      <c r="N244" s="13"/>
      <c r="O244" s="78">
        <f t="shared" ref="O244:O254" si="7">AC327</f>
        <v>0</v>
      </c>
    </row>
    <row r="245" spans="4:15" x14ac:dyDescent="0.2">
      <c r="E245" t="s">
        <v>815</v>
      </c>
      <c r="M245" s="78">
        <f t="shared" si="6"/>
        <v>0</v>
      </c>
      <c r="N245" s="13"/>
      <c r="O245" s="78">
        <f t="shared" si="7"/>
        <v>0</v>
      </c>
    </row>
    <row r="246" spans="4:15" x14ac:dyDescent="0.2">
      <c r="E246" t="s">
        <v>450</v>
      </c>
      <c r="M246" s="78">
        <f t="shared" si="6"/>
        <v>0</v>
      </c>
      <c r="N246" s="13"/>
      <c r="O246" s="78">
        <f t="shared" si="7"/>
        <v>0</v>
      </c>
    </row>
    <row r="247" spans="4:15" x14ac:dyDescent="0.2">
      <c r="E247" t="s">
        <v>812</v>
      </c>
      <c r="M247" s="78">
        <f t="shared" si="6"/>
        <v>0</v>
      </c>
      <c r="N247" s="13"/>
      <c r="O247" s="78">
        <f t="shared" si="7"/>
        <v>0</v>
      </c>
    </row>
    <row r="248" spans="4:15" x14ac:dyDescent="0.2">
      <c r="E248" t="s">
        <v>451</v>
      </c>
      <c r="M248" s="78">
        <f t="shared" si="6"/>
        <v>0</v>
      </c>
      <c r="N248" s="13"/>
      <c r="O248" s="78">
        <f t="shared" si="7"/>
        <v>0</v>
      </c>
    </row>
    <row r="249" spans="4:15" x14ac:dyDescent="0.2">
      <c r="E249" t="s">
        <v>813</v>
      </c>
      <c r="M249" s="78">
        <f t="shared" si="6"/>
        <v>0</v>
      </c>
      <c r="N249" s="13"/>
      <c r="O249" s="78">
        <f t="shared" si="7"/>
        <v>0</v>
      </c>
    </row>
    <row r="250" spans="4:15" x14ac:dyDescent="0.2">
      <c r="E250" s="353" t="s">
        <v>696</v>
      </c>
      <c r="M250" s="78">
        <f t="shared" si="6"/>
        <v>0</v>
      </c>
      <c r="N250" s="13"/>
      <c r="O250" s="78">
        <f t="shared" si="7"/>
        <v>0</v>
      </c>
    </row>
    <row r="251" spans="4:15" x14ac:dyDescent="0.2">
      <c r="E251" s="353" t="s">
        <v>697</v>
      </c>
      <c r="M251" s="78">
        <f t="shared" si="6"/>
        <v>0</v>
      </c>
      <c r="N251" s="13"/>
      <c r="O251" s="78">
        <f t="shared" si="7"/>
        <v>0</v>
      </c>
    </row>
    <row r="252" spans="4:15" x14ac:dyDescent="0.2">
      <c r="F252" t="s">
        <v>530</v>
      </c>
      <c r="M252" s="78">
        <f t="shared" si="6"/>
        <v>0</v>
      </c>
      <c r="N252" s="13"/>
      <c r="O252" s="78">
        <f t="shared" si="7"/>
        <v>37500</v>
      </c>
    </row>
    <row r="253" spans="4:15" x14ac:dyDescent="0.2">
      <c r="F253" t="s">
        <v>198</v>
      </c>
      <c r="M253" s="78">
        <f t="shared" si="6"/>
        <v>0</v>
      </c>
      <c r="N253" s="13"/>
      <c r="O253" s="78">
        <f t="shared" si="7"/>
        <v>0</v>
      </c>
    </row>
    <row r="254" spans="4:15" x14ac:dyDescent="0.2">
      <c r="F254" s="13" t="s">
        <v>326</v>
      </c>
      <c r="G254" s="13"/>
      <c r="H254" s="13"/>
      <c r="M254" s="78">
        <f t="shared" si="6"/>
        <v>0</v>
      </c>
      <c r="N254" s="13"/>
      <c r="O254" s="78">
        <f t="shared" si="7"/>
        <v>0</v>
      </c>
    </row>
    <row r="255" spans="4:15" ht="6" customHeight="1" x14ac:dyDescent="0.2">
      <c r="M255" s="32"/>
      <c r="N255" s="13"/>
      <c r="O255" s="32"/>
    </row>
    <row r="256" spans="4:15" x14ac:dyDescent="0.2">
      <c r="D256" t="s">
        <v>775</v>
      </c>
      <c r="E256" t="s">
        <v>991</v>
      </c>
      <c r="M256" s="78">
        <f>AB339</f>
        <v>0</v>
      </c>
      <c r="N256" s="13"/>
      <c r="O256" s="78">
        <f>AC339</f>
        <v>0</v>
      </c>
    </row>
    <row r="257" spans="4:15" x14ac:dyDescent="0.2">
      <c r="E257" t="s">
        <v>992</v>
      </c>
      <c r="M257" s="78">
        <f t="shared" ref="M257:M263" si="8">AB340</f>
        <v>0</v>
      </c>
      <c r="N257" s="13"/>
      <c r="O257" s="78">
        <f t="shared" ref="O257:O263" si="9">AC340</f>
        <v>0</v>
      </c>
    </row>
    <row r="258" spans="4:15" x14ac:dyDescent="0.2">
      <c r="E258" t="s">
        <v>819</v>
      </c>
      <c r="M258" s="78">
        <f t="shared" si="8"/>
        <v>0</v>
      </c>
      <c r="N258" s="13"/>
      <c r="O258" s="78">
        <f t="shared" si="9"/>
        <v>0</v>
      </c>
    </row>
    <row r="259" spans="4:15" x14ac:dyDescent="0.2">
      <c r="E259" t="s">
        <v>808</v>
      </c>
      <c r="M259" s="78">
        <f t="shared" si="8"/>
        <v>0</v>
      </c>
      <c r="N259" s="13"/>
      <c r="O259" s="78">
        <f t="shared" si="9"/>
        <v>0</v>
      </c>
    </row>
    <row r="260" spans="4:15" x14ac:dyDescent="0.2">
      <c r="E260" t="s">
        <v>203</v>
      </c>
      <c r="M260" s="78">
        <f t="shared" si="8"/>
        <v>0</v>
      </c>
      <c r="N260" s="13"/>
      <c r="O260" s="78">
        <f t="shared" si="9"/>
        <v>0</v>
      </c>
    </row>
    <row r="261" spans="4:15" x14ac:dyDescent="0.2">
      <c r="E261" t="s">
        <v>504</v>
      </c>
      <c r="M261" s="78">
        <f t="shared" si="8"/>
        <v>0</v>
      </c>
      <c r="N261" s="13"/>
      <c r="O261" s="78">
        <f t="shared" si="9"/>
        <v>0</v>
      </c>
    </row>
    <row r="262" spans="4:15" x14ac:dyDescent="0.2">
      <c r="E262" t="s">
        <v>172</v>
      </c>
      <c r="M262" s="78">
        <f t="shared" si="8"/>
        <v>1700600</v>
      </c>
      <c r="N262" s="13"/>
      <c r="O262" s="78">
        <f t="shared" si="9"/>
        <v>0</v>
      </c>
    </row>
    <row r="263" spans="4:15" x14ac:dyDescent="0.2">
      <c r="E263" s="353" t="s">
        <v>729</v>
      </c>
      <c r="M263" s="78">
        <f t="shared" si="8"/>
        <v>0</v>
      </c>
      <c r="N263" s="13"/>
      <c r="O263" s="78">
        <f t="shared" si="9"/>
        <v>0</v>
      </c>
    </row>
    <row r="264" spans="4:15" x14ac:dyDescent="0.2">
      <c r="F264" t="s">
        <v>776</v>
      </c>
      <c r="M264" s="78">
        <f>AB347</f>
        <v>0</v>
      </c>
      <c r="N264" s="13"/>
      <c r="O264" s="78">
        <f>AC347</f>
        <v>1700600</v>
      </c>
    </row>
    <row r="265" spans="4:15" ht="6" customHeight="1" x14ac:dyDescent="0.2"/>
    <row r="266" spans="4:15" x14ac:dyDescent="0.2">
      <c r="D266" t="s">
        <v>624</v>
      </c>
      <c r="E266" t="s">
        <v>625</v>
      </c>
      <c r="M266" s="78">
        <f>AB349</f>
        <v>0</v>
      </c>
      <c r="O266" s="78"/>
    </row>
    <row r="267" spans="4:15" x14ac:dyDescent="0.2">
      <c r="F267" t="s">
        <v>814</v>
      </c>
      <c r="M267" s="78"/>
      <c r="O267" s="78">
        <f>AC350</f>
        <v>0</v>
      </c>
    </row>
    <row r="268" spans="4:15" x14ac:dyDescent="0.2">
      <c r="F268" t="s">
        <v>815</v>
      </c>
      <c r="M268" s="78"/>
      <c r="O268" s="78">
        <f t="shared" ref="O268:O276" si="10">AC351</f>
        <v>0</v>
      </c>
    </row>
    <row r="269" spans="4:15" x14ac:dyDescent="0.2">
      <c r="F269" t="s">
        <v>450</v>
      </c>
      <c r="M269" s="78"/>
      <c r="O269" s="78">
        <f t="shared" si="10"/>
        <v>0</v>
      </c>
    </row>
    <row r="270" spans="4:15" x14ac:dyDescent="0.2">
      <c r="F270" t="s">
        <v>759</v>
      </c>
      <c r="M270" s="78"/>
      <c r="O270" s="78">
        <f t="shared" si="10"/>
        <v>0</v>
      </c>
    </row>
    <row r="271" spans="4:15" x14ac:dyDescent="0.2">
      <c r="F271" t="s">
        <v>760</v>
      </c>
      <c r="M271" s="78"/>
      <c r="O271" s="78">
        <f t="shared" si="10"/>
        <v>0</v>
      </c>
    </row>
    <row r="272" spans="4:15" x14ac:dyDescent="0.2">
      <c r="F272" t="s">
        <v>813</v>
      </c>
      <c r="M272" s="78"/>
      <c r="O272" s="78">
        <f t="shared" si="10"/>
        <v>0</v>
      </c>
    </row>
    <row r="273" spans="5:15" x14ac:dyDescent="0.2">
      <c r="F273" s="353" t="s">
        <v>696</v>
      </c>
      <c r="M273" s="78"/>
      <c r="O273" s="78">
        <f t="shared" si="10"/>
        <v>0</v>
      </c>
    </row>
    <row r="274" spans="5:15" x14ac:dyDescent="0.2">
      <c r="F274" s="353" t="s">
        <v>697</v>
      </c>
      <c r="M274" s="78"/>
      <c r="O274" s="78">
        <f t="shared" si="10"/>
        <v>0</v>
      </c>
    </row>
    <row r="275" spans="5:15" x14ac:dyDescent="0.2">
      <c r="F275" s="353" t="s">
        <v>529</v>
      </c>
      <c r="M275" s="78"/>
      <c r="O275" s="78">
        <f t="shared" si="10"/>
        <v>0</v>
      </c>
    </row>
    <row r="276" spans="5:15" x14ac:dyDescent="0.2">
      <c r="F276" s="353" t="s">
        <v>626</v>
      </c>
      <c r="M276" s="78">
        <f t="shared" ref="M276:M285" si="11">AB359</f>
        <v>0</v>
      </c>
      <c r="O276" s="78">
        <f t="shared" si="10"/>
        <v>0</v>
      </c>
    </row>
    <row r="277" spans="5:15" x14ac:dyDescent="0.2">
      <c r="E277" t="s">
        <v>902</v>
      </c>
      <c r="M277" s="78">
        <f t="shared" si="11"/>
        <v>0</v>
      </c>
      <c r="O277" s="78"/>
    </row>
    <row r="278" spans="5:15" x14ac:dyDescent="0.2">
      <c r="E278" t="s">
        <v>991</v>
      </c>
      <c r="M278" s="78">
        <f t="shared" si="11"/>
        <v>0</v>
      </c>
      <c r="O278" s="78"/>
    </row>
    <row r="279" spans="5:15" x14ac:dyDescent="0.2">
      <c r="E279" t="s">
        <v>992</v>
      </c>
      <c r="M279" s="78">
        <f t="shared" si="11"/>
        <v>0</v>
      </c>
      <c r="O279" s="78"/>
    </row>
    <row r="280" spans="5:15" x14ac:dyDescent="0.2">
      <c r="E280" t="s">
        <v>819</v>
      </c>
      <c r="M280" s="78">
        <f t="shared" si="11"/>
        <v>0</v>
      </c>
      <c r="O280" s="78"/>
    </row>
    <row r="281" spans="5:15" x14ac:dyDescent="0.2">
      <c r="E281" t="s">
        <v>808</v>
      </c>
      <c r="M281" s="78">
        <f t="shared" si="11"/>
        <v>0</v>
      </c>
      <c r="O281" s="78"/>
    </row>
    <row r="282" spans="5:15" x14ac:dyDescent="0.2">
      <c r="E282" t="s">
        <v>307</v>
      </c>
      <c r="M282" s="78">
        <f t="shared" si="11"/>
        <v>0</v>
      </c>
      <c r="O282" s="78"/>
    </row>
    <row r="283" spans="5:15" x14ac:dyDescent="0.2">
      <c r="E283" t="s">
        <v>267</v>
      </c>
      <c r="M283" s="78">
        <f t="shared" si="11"/>
        <v>0</v>
      </c>
      <c r="O283" s="78"/>
    </row>
    <row r="284" spans="5:15" x14ac:dyDescent="0.2">
      <c r="E284" t="s">
        <v>172</v>
      </c>
      <c r="M284" s="78">
        <f t="shared" si="11"/>
        <v>0</v>
      </c>
      <c r="O284" s="78"/>
    </row>
    <row r="285" spans="5:15" x14ac:dyDescent="0.2">
      <c r="E285" t="s">
        <v>729</v>
      </c>
      <c r="M285" s="78">
        <f t="shared" si="11"/>
        <v>0</v>
      </c>
      <c r="O285" s="78"/>
    </row>
    <row r="286" spans="5:15" ht="6" customHeight="1" x14ac:dyDescent="0.2"/>
    <row r="287" spans="5:15" ht="13.5" thickBot="1" x14ac:dyDescent="0.25">
      <c r="F287" t="s">
        <v>627</v>
      </c>
      <c r="M287" s="80">
        <f>SUM(M220:M285)</f>
        <v>1910150</v>
      </c>
      <c r="O287" s="80">
        <f>SUM(O220:O285)</f>
        <v>1910150</v>
      </c>
    </row>
    <row r="288" spans="5:15" ht="13.5" thickTop="1" x14ac:dyDescent="0.2"/>
    <row r="290" spans="1:29" ht="14.25" customHeight="1" x14ac:dyDescent="0.2">
      <c r="E290" s="90" t="s">
        <v>337</v>
      </c>
      <c r="F290" s="1451" t="s">
        <v>523</v>
      </c>
      <c r="G290" s="1451"/>
      <c r="H290" s="1451"/>
      <c r="I290" s="1451"/>
      <c r="J290" s="1451"/>
      <c r="K290" s="1451"/>
      <c r="L290" s="1451"/>
      <c r="M290" s="1451"/>
      <c r="N290" s="1451"/>
      <c r="O290" s="1451"/>
      <c r="P290" s="1451"/>
      <c r="Q290" s="1451"/>
      <c r="R290" s="1451"/>
      <c r="S290" s="1451"/>
      <c r="T290" s="1451"/>
    </row>
    <row r="291" spans="1:29" ht="12.75" customHeight="1" x14ac:dyDescent="0.2">
      <c r="E291" s="90"/>
      <c r="F291" s="1451"/>
      <c r="G291" s="1451"/>
      <c r="H291" s="1451"/>
      <c r="I291" s="1451"/>
      <c r="J291" s="1451"/>
      <c r="K291" s="1451"/>
      <c r="L291" s="1451"/>
      <c r="M291" s="1451"/>
      <c r="N291" s="1451"/>
      <c r="O291" s="1451"/>
      <c r="P291" s="1451"/>
      <c r="Q291" s="1451"/>
      <c r="R291" s="1451"/>
      <c r="S291" s="1451"/>
      <c r="T291" s="1451"/>
    </row>
    <row r="292" spans="1:29" ht="15" x14ac:dyDescent="0.2">
      <c r="D292" t="s">
        <v>237</v>
      </c>
      <c r="E292" s="90" t="s">
        <v>467</v>
      </c>
      <c r="F292" s="121" t="s">
        <v>524</v>
      </c>
    </row>
    <row r="300" spans="1:29" ht="19.5" customHeight="1" x14ac:dyDescent="0.25">
      <c r="C300" s="1473" t="s">
        <v>573</v>
      </c>
      <c r="D300" s="1474"/>
      <c r="E300" s="1474"/>
      <c r="F300" s="1474"/>
      <c r="G300" s="1474"/>
      <c r="H300" s="1474"/>
      <c r="I300" s="1474"/>
      <c r="J300" s="1474"/>
      <c r="K300" s="1474"/>
      <c r="L300" s="1474"/>
      <c r="M300" s="1474"/>
      <c r="N300" s="1474"/>
      <c r="O300" s="1474"/>
      <c r="P300" s="1474"/>
      <c r="Q300" s="1474"/>
      <c r="R300" s="1474"/>
      <c r="S300" s="1474"/>
      <c r="T300" s="1474"/>
      <c r="U300" s="1474"/>
      <c r="V300" s="1474"/>
      <c r="W300" s="1474"/>
      <c r="X300" s="1474"/>
      <c r="Y300" s="1474"/>
      <c r="Z300" s="424"/>
      <c r="AA300" s="425"/>
    </row>
    <row r="301" spans="1:29" x14ac:dyDescent="0.2">
      <c r="L301" s="1429" t="s">
        <v>859</v>
      </c>
      <c r="M301" s="1435"/>
      <c r="N301" s="70"/>
      <c r="O301" s="1435" t="s">
        <v>860</v>
      </c>
      <c r="P301" s="1435"/>
      <c r="Q301" s="1435" t="s">
        <v>699</v>
      </c>
      <c r="R301" s="1435"/>
      <c r="S301" s="1453" t="s">
        <v>700</v>
      </c>
      <c r="T301" s="1453"/>
      <c r="U301" s="70"/>
      <c r="V301" s="1435" t="s">
        <v>701</v>
      </c>
      <c r="W301" s="1435"/>
      <c r="X301" s="1435" t="s">
        <v>298</v>
      </c>
      <c r="Y301" s="1435"/>
      <c r="Z301" s="1435" t="s">
        <v>299</v>
      </c>
      <c r="AA301" s="1435"/>
      <c r="AB301" s="1455" t="s">
        <v>702</v>
      </c>
      <c r="AC301" s="1456"/>
    </row>
    <row r="302" spans="1:29" x14ac:dyDescent="0.2">
      <c r="L302" s="71" t="s">
        <v>510</v>
      </c>
      <c r="M302" s="3" t="s">
        <v>511</v>
      </c>
      <c r="N302" s="3"/>
      <c r="O302" s="3" t="s">
        <v>510</v>
      </c>
      <c r="P302" s="3" t="s">
        <v>511</v>
      </c>
      <c r="Q302" s="3" t="s">
        <v>510</v>
      </c>
      <c r="R302" s="3" t="s">
        <v>511</v>
      </c>
      <c r="S302" s="3" t="s">
        <v>510</v>
      </c>
      <c r="T302" s="3" t="s">
        <v>511</v>
      </c>
      <c r="U302" s="3"/>
      <c r="V302" s="69" t="s">
        <v>861</v>
      </c>
      <c r="W302" s="69" t="s">
        <v>511</v>
      </c>
      <c r="X302" s="69" t="s">
        <v>861</v>
      </c>
      <c r="Y302" s="69" t="s">
        <v>511</v>
      </c>
      <c r="Z302" s="69" t="s">
        <v>861</v>
      </c>
      <c r="AA302" s="69" t="s">
        <v>511</v>
      </c>
      <c r="AB302" s="71" t="s">
        <v>510</v>
      </c>
      <c r="AC302" s="72" t="s">
        <v>511</v>
      </c>
    </row>
    <row r="303" spans="1:29" x14ac:dyDescent="0.2">
      <c r="A303" t="s">
        <v>532</v>
      </c>
      <c r="C303" t="s">
        <v>452</v>
      </c>
      <c r="L303" s="36">
        <f>M34+M37</f>
        <v>0</v>
      </c>
      <c r="M303" s="36"/>
      <c r="O303" s="36">
        <f>M53+M56</f>
        <v>0</v>
      </c>
      <c r="P303" s="36"/>
      <c r="Q303" s="5">
        <f>M76+M79</f>
        <v>0</v>
      </c>
      <c r="S303" s="36">
        <f>M94+M96</f>
        <v>0</v>
      </c>
      <c r="T303" s="36"/>
      <c r="V303" s="36"/>
      <c r="W303" s="36"/>
      <c r="X303" s="36"/>
      <c r="Y303" s="36"/>
      <c r="Z303" s="36"/>
      <c r="AA303" s="36"/>
      <c r="AB303" s="9">
        <f>L303+O303+Q303+S303+V303+X303</f>
        <v>0</v>
      </c>
      <c r="AC303" s="12">
        <f>M303+P303+R303+T303+W303+Y303</f>
        <v>0</v>
      </c>
    </row>
    <row r="304" spans="1:29" x14ac:dyDescent="0.2">
      <c r="C304" t="s">
        <v>43</v>
      </c>
      <c r="L304" s="36">
        <f>O34+O37</f>
        <v>0</v>
      </c>
      <c r="M304" s="36"/>
      <c r="O304" s="36">
        <f>O53+O56</f>
        <v>0</v>
      </c>
      <c r="P304" s="36"/>
      <c r="Q304" s="5">
        <f>O76+O79</f>
        <v>0</v>
      </c>
      <c r="S304" s="36">
        <f>O94+O96</f>
        <v>9150</v>
      </c>
      <c r="T304" s="36"/>
      <c r="V304" s="36"/>
      <c r="W304" s="36"/>
      <c r="X304" s="36"/>
      <c r="Y304" s="36"/>
      <c r="Z304" s="36"/>
      <c r="AA304" s="36"/>
      <c r="AB304" s="9">
        <f t="shared" ref="AB304:AB347" si="12">L304+O304+Q304+S304+V304+X304</f>
        <v>9150</v>
      </c>
      <c r="AC304" s="12">
        <f t="shared" ref="AC304:AC347" si="13">M304+P304+R304+T304+W304+Y304</f>
        <v>0</v>
      </c>
    </row>
    <row r="305" spans="3:29" x14ac:dyDescent="0.2">
      <c r="C305" s="697" t="s">
        <v>4173</v>
      </c>
      <c r="L305" s="36"/>
      <c r="M305" s="36"/>
      <c r="O305" s="36">
        <f>P53+P56</f>
        <v>0</v>
      </c>
      <c r="P305" s="36"/>
      <c r="Q305" s="5">
        <f>P76+P79</f>
        <v>0</v>
      </c>
      <c r="S305" s="36">
        <f>P94+P96</f>
        <v>125058</v>
      </c>
      <c r="T305" s="36"/>
      <c r="V305" s="36"/>
      <c r="W305" s="36"/>
      <c r="X305" s="36"/>
      <c r="Y305" s="36"/>
      <c r="Z305" s="36"/>
      <c r="AA305" s="36"/>
      <c r="AB305" s="9">
        <f t="shared" si="12"/>
        <v>125058</v>
      </c>
      <c r="AC305" s="12">
        <f t="shared" si="13"/>
        <v>0</v>
      </c>
    </row>
    <row r="306" spans="3:29" s="1273" customFormat="1" x14ac:dyDescent="0.2">
      <c r="C306" s="697" t="s">
        <v>4176</v>
      </c>
      <c r="L306" s="36"/>
      <c r="M306" s="36"/>
      <c r="O306" s="36"/>
      <c r="P306" s="36"/>
      <c r="Q306" s="5"/>
      <c r="S306" s="36">
        <f>Q94+Q96</f>
        <v>6721</v>
      </c>
      <c r="T306" s="36"/>
      <c r="V306" s="36"/>
      <c r="W306" s="36"/>
      <c r="X306" s="36"/>
      <c r="Y306" s="36"/>
      <c r="Z306" s="36"/>
      <c r="AA306" s="36"/>
      <c r="AB306" s="9">
        <f t="shared" ref="AB306" si="14">L306+O306+Q306+S306+V306+X306</f>
        <v>6721</v>
      </c>
      <c r="AC306" s="12">
        <f t="shared" ref="AC306" si="15">M306+P306+R306+T306+W306+Y306</f>
        <v>0</v>
      </c>
    </row>
    <row r="307" spans="3:29" x14ac:dyDescent="0.2">
      <c r="C307" t="s">
        <v>44</v>
      </c>
      <c r="L307" s="36"/>
      <c r="M307" s="36"/>
      <c r="O307" s="36">
        <f>Q53+Q56</f>
        <v>0</v>
      </c>
      <c r="P307" s="36"/>
      <c r="Q307" s="5">
        <f>Q76+Q79</f>
        <v>0</v>
      </c>
      <c r="S307" s="36">
        <f>R94+R96</f>
        <v>2639</v>
      </c>
      <c r="T307" s="36"/>
      <c r="V307" s="36"/>
      <c r="W307" s="36"/>
      <c r="X307" s="36"/>
      <c r="Y307" s="36"/>
      <c r="Z307" s="36"/>
      <c r="AA307" s="36"/>
      <c r="AB307" s="9">
        <f t="shared" si="12"/>
        <v>2639</v>
      </c>
      <c r="AC307" s="12">
        <f t="shared" si="13"/>
        <v>0</v>
      </c>
    </row>
    <row r="308" spans="3:29" x14ac:dyDescent="0.2">
      <c r="C308" t="s">
        <v>856</v>
      </c>
      <c r="L308" s="36">
        <f>R34+R37</f>
        <v>0</v>
      </c>
      <c r="M308" s="36"/>
      <c r="O308" s="36">
        <f>R53+R56</f>
        <v>0</v>
      </c>
      <c r="P308" s="36"/>
      <c r="Q308">
        <f>R76+R79</f>
        <v>0</v>
      </c>
      <c r="S308" s="36">
        <f>S94+S96</f>
        <v>0</v>
      </c>
      <c r="T308" s="36"/>
      <c r="V308" s="36"/>
      <c r="W308" s="36"/>
      <c r="X308" s="36"/>
      <c r="Y308" s="36"/>
      <c r="Z308" s="36"/>
      <c r="AA308" s="36"/>
      <c r="AB308" s="9">
        <f t="shared" si="12"/>
        <v>0</v>
      </c>
      <c r="AC308" s="12">
        <f t="shared" si="13"/>
        <v>0</v>
      </c>
    </row>
    <row r="309" spans="3:29" x14ac:dyDescent="0.2">
      <c r="C309" t="s">
        <v>857</v>
      </c>
      <c r="L309" s="36">
        <f>S34+S37</f>
        <v>0</v>
      </c>
      <c r="M309" s="36"/>
      <c r="O309" s="36">
        <f>S53+S56</f>
        <v>0</v>
      </c>
      <c r="P309" s="36"/>
      <c r="Q309">
        <f>S76+S79</f>
        <v>0</v>
      </c>
      <c r="S309" s="36">
        <f>T94+T96</f>
        <v>0</v>
      </c>
      <c r="T309" s="36"/>
      <c r="V309" s="36"/>
      <c r="W309" s="36"/>
      <c r="X309" s="36"/>
      <c r="Y309" s="36"/>
      <c r="Z309" s="36"/>
      <c r="AA309" s="36"/>
      <c r="AB309" s="9">
        <f t="shared" si="12"/>
        <v>0</v>
      </c>
      <c r="AC309" s="12">
        <f t="shared" si="13"/>
        <v>0</v>
      </c>
    </row>
    <row r="310" spans="3:29" x14ac:dyDescent="0.2">
      <c r="C310" t="s">
        <v>45</v>
      </c>
      <c r="L310" s="36"/>
      <c r="M310" s="36"/>
      <c r="O310" s="36"/>
      <c r="P310" s="36"/>
      <c r="S310" s="36">
        <f>U94+U96</f>
        <v>0</v>
      </c>
      <c r="T310" s="36"/>
      <c r="V310" s="36"/>
      <c r="W310" s="36"/>
      <c r="X310" s="36"/>
      <c r="Y310" s="36"/>
      <c r="Z310" s="36"/>
      <c r="AA310" s="36"/>
      <c r="AB310" s="9">
        <f t="shared" si="12"/>
        <v>0</v>
      </c>
      <c r="AC310" s="12">
        <f t="shared" si="13"/>
        <v>0</v>
      </c>
    </row>
    <row r="311" spans="3:29" x14ac:dyDescent="0.2">
      <c r="C311" t="s">
        <v>693</v>
      </c>
      <c r="L311" s="36">
        <f>L42+M42+O42+P42+Q42+R42+S42</f>
        <v>28482</v>
      </c>
      <c r="M311" s="36"/>
      <c r="O311" s="36">
        <f>L63+M63+O63+P63+Q63+R63+S63</f>
        <v>0</v>
      </c>
      <c r="P311" s="36"/>
      <c r="S311" s="36"/>
      <c r="T311" s="36"/>
      <c r="V311" s="36"/>
      <c r="W311" s="36"/>
      <c r="X311" s="36"/>
      <c r="Y311" s="36"/>
      <c r="Z311" s="36"/>
      <c r="AA311" s="36"/>
      <c r="AB311" s="9">
        <f t="shared" si="12"/>
        <v>28482</v>
      </c>
      <c r="AC311" s="12">
        <f t="shared" si="13"/>
        <v>0</v>
      </c>
    </row>
    <row r="312" spans="3:29" x14ac:dyDescent="0.2">
      <c r="C312" t="s">
        <v>526</v>
      </c>
      <c r="L312" s="36"/>
      <c r="M312" s="36"/>
      <c r="O312" s="36">
        <f>L62+M62+O62+P62+Q62+S62</f>
        <v>0</v>
      </c>
      <c r="P312" s="36"/>
      <c r="S312" s="36"/>
      <c r="T312" s="36"/>
      <c r="V312" s="36"/>
      <c r="W312" s="36"/>
      <c r="X312" s="36"/>
      <c r="Y312" s="36"/>
      <c r="Z312" s="36"/>
      <c r="AA312" s="36"/>
      <c r="AB312" s="9">
        <f t="shared" si="12"/>
        <v>0</v>
      </c>
      <c r="AC312" s="12">
        <f t="shared" si="13"/>
        <v>0</v>
      </c>
    </row>
    <row r="313" spans="3:29" x14ac:dyDescent="0.2">
      <c r="C313" t="s">
        <v>675</v>
      </c>
      <c r="L313" s="36"/>
      <c r="M313" s="36"/>
      <c r="O313" s="36"/>
      <c r="P313" s="36"/>
      <c r="S313" s="36">
        <f>((L99+M99+O99+Q99+R99+S99+T99+U99)-O101)</f>
        <v>0</v>
      </c>
      <c r="T313" s="36"/>
      <c r="V313" s="36"/>
      <c r="W313" s="36"/>
      <c r="X313" s="36"/>
      <c r="Y313" s="36"/>
      <c r="Z313" s="36"/>
      <c r="AA313" s="36"/>
      <c r="AB313" s="9">
        <f t="shared" si="12"/>
        <v>0</v>
      </c>
      <c r="AC313" s="12">
        <f t="shared" si="13"/>
        <v>0</v>
      </c>
    </row>
    <row r="314" spans="3:29" x14ac:dyDescent="0.2">
      <c r="C314" s="13" t="s">
        <v>325</v>
      </c>
      <c r="D314" s="13"/>
      <c r="E314" s="13"/>
      <c r="F314" s="13"/>
      <c r="L314" s="36"/>
      <c r="M314" s="36"/>
      <c r="O314" s="36"/>
      <c r="P314" s="36"/>
      <c r="S314" s="36">
        <f>O101</f>
        <v>0</v>
      </c>
      <c r="T314" s="36"/>
      <c r="V314" s="36"/>
      <c r="W314" s="36"/>
      <c r="X314" s="36"/>
      <c r="Y314" s="36"/>
      <c r="Z314" s="36"/>
      <c r="AA314" s="36"/>
      <c r="AB314" s="9">
        <f t="shared" si="12"/>
        <v>0</v>
      </c>
      <c r="AC314" s="12">
        <f t="shared" si="13"/>
        <v>0</v>
      </c>
    </row>
    <row r="315" spans="3:29" x14ac:dyDescent="0.2">
      <c r="C315" t="s">
        <v>814</v>
      </c>
      <c r="L315" s="36"/>
      <c r="M315" s="36">
        <f>L31</f>
        <v>1000</v>
      </c>
      <c r="O315" s="36"/>
      <c r="P315" s="36">
        <f>L50</f>
        <v>0</v>
      </c>
      <c r="R315" s="5">
        <f>L73</f>
        <v>0</v>
      </c>
      <c r="S315" s="36"/>
      <c r="T315" s="36">
        <f>L92</f>
        <v>0</v>
      </c>
      <c r="V315" s="36"/>
      <c r="W315" s="36"/>
      <c r="X315" s="36"/>
      <c r="Y315" s="36"/>
      <c r="Z315" s="36"/>
      <c r="AA315" s="36"/>
      <c r="AB315" s="9">
        <f t="shared" si="12"/>
        <v>0</v>
      </c>
      <c r="AC315" s="12">
        <f t="shared" si="13"/>
        <v>1000</v>
      </c>
    </row>
    <row r="316" spans="3:29" x14ac:dyDescent="0.2">
      <c r="C316" t="s">
        <v>815</v>
      </c>
      <c r="L316" s="36"/>
      <c r="M316" s="36">
        <f>M31</f>
        <v>0</v>
      </c>
      <c r="O316" s="36"/>
      <c r="P316" s="36">
        <f>M50</f>
        <v>0</v>
      </c>
      <c r="Q316" s="5">
        <f>M84</f>
        <v>0</v>
      </c>
      <c r="R316" s="5">
        <f>M73</f>
        <v>0</v>
      </c>
      <c r="S316" s="36"/>
      <c r="T316" s="36">
        <f>M92</f>
        <v>0</v>
      </c>
      <c r="V316" s="36"/>
      <c r="W316" s="36"/>
      <c r="X316" s="36"/>
      <c r="Y316" s="36"/>
      <c r="Z316" s="36"/>
      <c r="AA316" s="36"/>
      <c r="AB316" s="9">
        <f t="shared" si="12"/>
        <v>0</v>
      </c>
      <c r="AC316" s="12">
        <f t="shared" si="13"/>
        <v>0</v>
      </c>
    </row>
    <row r="317" spans="3:29" x14ac:dyDescent="0.2">
      <c r="C317" t="s">
        <v>450</v>
      </c>
      <c r="L317" s="36"/>
      <c r="M317" s="36">
        <f>O31</f>
        <v>0</v>
      </c>
      <c r="O317" s="36"/>
      <c r="P317" s="36">
        <f>O50</f>
        <v>0</v>
      </c>
      <c r="Q317" s="5">
        <f>O84</f>
        <v>0</v>
      </c>
      <c r="R317" s="5">
        <f>O73</f>
        <v>0</v>
      </c>
      <c r="S317" s="36"/>
      <c r="T317" s="36">
        <f>O92</f>
        <v>9150</v>
      </c>
      <c r="V317" s="36"/>
      <c r="W317" s="36"/>
      <c r="X317" s="36"/>
      <c r="Y317" s="36"/>
      <c r="Z317" s="36"/>
      <c r="AA317" s="36"/>
      <c r="AB317" s="9">
        <f t="shared" si="12"/>
        <v>0</v>
      </c>
      <c r="AC317" s="12">
        <f t="shared" si="13"/>
        <v>9150</v>
      </c>
    </row>
    <row r="318" spans="3:29" x14ac:dyDescent="0.2">
      <c r="C318" s="697" t="s">
        <v>70</v>
      </c>
      <c r="L318" s="36"/>
      <c r="M318" s="36"/>
      <c r="O318" s="36"/>
      <c r="P318" s="36">
        <f>P50</f>
        <v>0</v>
      </c>
      <c r="Q318" s="5">
        <f>P84</f>
        <v>0</v>
      </c>
      <c r="R318" s="5">
        <f>P73</f>
        <v>0</v>
      </c>
      <c r="S318" s="36"/>
      <c r="T318" s="36">
        <f>P92</f>
        <v>125058</v>
      </c>
      <c r="V318" s="36"/>
      <c r="W318" s="36"/>
      <c r="X318" s="36"/>
      <c r="Y318" s="36"/>
      <c r="Z318" s="36"/>
      <c r="AA318" s="36"/>
      <c r="AB318" s="9">
        <f t="shared" si="12"/>
        <v>0</v>
      </c>
      <c r="AC318" s="12">
        <f t="shared" si="13"/>
        <v>125058</v>
      </c>
    </row>
    <row r="319" spans="3:29" s="1273" customFormat="1" x14ac:dyDescent="0.2">
      <c r="C319" s="697" t="s">
        <v>4168</v>
      </c>
      <c r="L319" s="36"/>
      <c r="M319" s="36"/>
      <c r="O319" s="36"/>
      <c r="P319" s="36"/>
      <c r="Q319" s="5"/>
      <c r="R319" s="5"/>
      <c r="S319" s="36"/>
      <c r="T319" s="36">
        <f>Q92</f>
        <v>6721</v>
      </c>
      <c r="V319" s="36"/>
      <c r="W319" s="36"/>
      <c r="X319" s="36"/>
      <c r="Y319" s="36"/>
      <c r="Z319" s="36"/>
      <c r="AA319" s="36"/>
      <c r="AB319" s="9">
        <f t="shared" ref="AB319" si="16">L319+O319+Q319+S319+V319+X319</f>
        <v>0</v>
      </c>
      <c r="AC319" s="12">
        <f t="shared" ref="AC319" si="17">M319+P319+R319+T319+W319+Y319</f>
        <v>6721</v>
      </c>
    </row>
    <row r="320" spans="3:29" x14ac:dyDescent="0.2">
      <c r="C320" t="s">
        <v>451</v>
      </c>
      <c r="L320" s="36"/>
      <c r="M320" s="36"/>
      <c r="O320" s="36"/>
      <c r="P320" s="36">
        <f>Q50</f>
        <v>0</v>
      </c>
      <c r="Q320" s="5">
        <f>Q84</f>
        <v>0</v>
      </c>
      <c r="R320" s="5">
        <f>Q73</f>
        <v>0</v>
      </c>
      <c r="S320" s="36"/>
      <c r="T320" s="36">
        <f>R92</f>
        <v>2639</v>
      </c>
      <c r="V320" s="36"/>
      <c r="W320" s="36"/>
      <c r="X320" s="36"/>
      <c r="Y320" s="36"/>
      <c r="Z320" s="36"/>
      <c r="AA320" s="36"/>
      <c r="AB320" s="9">
        <f t="shared" si="12"/>
        <v>0</v>
      </c>
      <c r="AC320" s="12">
        <f t="shared" si="13"/>
        <v>2639</v>
      </c>
    </row>
    <row r="321" spans="1:29" x14ac:dyDescent="0.2">
      <c r="C321" t="s">
        <v>813</v>
      </c>
      <c r="L321" s="36"/>
      <c r="M321" s="36"/>
      <c r="O321" s="36"/>
      <c r="P321" s="36"/>
      <c r="S321" s="36"/>
      <c r="T321" s="36">
        <f>U92</f>
        <v>0</v>
      </c>
      <c r="V321" s="36"/>
      <c r="W321" s="36"/>
      <c r="X321" s="36"/>
      <c r="Y321" s="36"/>
      <c r="Z321" s="36"/>
      <c r="AA321" s="36"/>
      <c r="AB321" s="9">
        <f t="shared" si="12"/>
        <v>0</v>
      </c>
      <c r="AC321" s="12">
        <f t="shared" si="13"/>
        <v>0</v>
      </c>
    </row>
    <row r="322" spans="1:29" x14ac:dyDescent="0.2">
      <c r="C322" t="s">
        <v>696</v>
      </c>
      <c r="L322" s="36"/>
      <c r="M322" s="36">
        <f>R31</f>
        <v>0</v>
      </c>
      <c r="O322" s="36"/>
      <c r="P322" s="36">
        <f>R50</f>
        <v>0</v>
      </c>
      <c r="Q322">
        <f>R84</f>
        <v>0</v>
      </c>
      <c r="R322">
        <f>R73</f>
        <v>0</v>
      </c>
      <c r="S322" s="36"/>
      <c r="T322" s="36">
        <f>S92</f>
        <v>0</v>
      </c>
      <c r="V322" s="36"/>
      <c r="W322" s="36"/>
      <c r="X322" s="36"/>
      <c r="Y322" s="36"/>
      <c r="Z322" s="36"/>
      <c r="AA322" s="36"/>
      <c r="AB322" s="9">
        <f t="shared" si="12"/>
        <v>0</v>
      </c>
      <c r="AC322" s="12">
        <f t="shared" si="13"/>
        <v>0</v>
      </c>
    </row>
    <row r="323" spans="1:29" x14ac:dyDescent="0.2">
      <c r="C323" t="s">
        <v>697</v>
      </c>
      <c r="L323" s="36"/>
      <c r="M323" s="36">
        <f>S31</f>
        <v>0</v>
      </c>
      <c r="O323" s="36"/>
      <c r="P323" s="36">
        <f>S50</f>
        <v>0</v>
      </c>
      <c r="Q323">
        <f>S84</f>
        <v>0</v>
      </c>
      <c r="R323">
        <f>S73</f>
        <v>0</v>
      </c>
      <c r="S323" s="36"/>
      <c r="T323" s="36">
        <f>T92</f>
        <v>0</v>
      </c>
      <c r="V323" s="36"/>
      <c r="W323" s="36"/>
      <c r="X323" s="36"/>
      <c r="Y323" s="36"/>
      <c r="Z323" s="36"/>
      <c r="AA323" s="36"/>
      <c r="AB323" s="9">
        <f t="shared" si="12"/>
        <v>0</v>
      </c>
      <c r="AC323" s="12">
        <f t="shared" si="13"/>
        <v>0</v>
      </c>
    </row>
    <row r="324" spans="1:29" x14ac:dyDescent="0.2">
      <c r="C324" t="s">
        <v>525</v>
      </c>
      <c r="L324" s="36"/>
      <c r="M324" s="36"/>
      <c r="O324" s="36" t="str">
        <f>IF((L65+M65+O65+P65+Q65+R65+S65)&lt;0,-(L65+M65+O65+P65+Q65+R65+S65),"0")</f>
        <v>0</v>
      </c>
      <c r="P324" s="36">
        <f>IF((L65+M65+O65+P65+Q65+R65+S65)&gt;=0, (L65+M65+O65+P65+Q65+R65+S65),"0")</f>
        <v>0</v>
      </c>
      <c r="S324" s="36"/>
      <c r="T324" s="36"/>
      <c r="V324" s="36"/>
      <c r="W324" s="36"/>
      <c r="X324" s="36"/>
      <c r="Y324" s="36"/>
      <c r="Z324" s="36"/>
      <c r="AA324" s="36"/>
      <c r="AB324" s="9">
        <f t="shared" si="12"/>
        <v>0</v>
      </c>
      <c r="AC324" s="12">
        <f t="shared" si="13"/>
        <v>0</v>
      </c>
    </row>
    <row r="325" spans="1:29" x14ac:dyDescent="0.2">
      <c r="C325" t="s">
        <v>46</v>
      </c>
      <c r="L325" s="36" t="str">
        <f>IF((L44+M44+O44+P44+Q44+R44+S44)&lt;0,-(L44+M44+O44+P44+Q44+R44+S44),"0")</f>
        <v>0</v>
      </c>
      <c r="M325" s="36">
        <f>IF((L44+M44+O44+P44+Q44+R44+S44)&gt;=0,(L44+M44+O44+P44+Q44+R44+S44),"0")</f>
        <v>27482</v>
      </c>
      <c r="O325" s="36"/>
      <c r="P325" s="36"/>
      <c r="S325" s="36"/>
      <c r="T325" s="36"/>
      <c r="V325" s="36"/>
      <c r="W325" s="36"/>
      <c r="X325" s="36"/>
      <c r="Y325" s="36"/>
      <c r="Z325" s="36"/>
      <c r="AA325" s="36"/>
      <c r="AB325" s="9">
        <f t="shared" si="12"/>
        <v>0</v>
      </c>
      <c r="AC325" s="12">
        <f t="shared" si="13"/>
        <v>27482</v>
      </c>
    </row>
    <row r="326" spans="1:29" ht="5.25" customHeight="1" x14ac:dyDescent="0.2">
      <c r="L326" s="36"/>
      <c r="M326" s="36"/>
      <c r="O326" s="36"/>
      <c r="P326" s="36"/>
      <c r="S326" s="36"/>
      <c r="T326" s="36"/>
      <c r="V326" s="36"/>
      <c r="W326" s="36"/>
      <c r="X326" s="36"/>
      <c r="Y326" s="36"/>
      <c r="Z326" s="36"/>
      <c r="AA326" s="36"/>
      <c r="AB326" s="9"/>
      <c r="AC326" s="12"/>
    </row>
    <row r="327" spans="1:29" x14ac:dyDescent="0.2">
      <c r="A327" t="s">
        <v>531</v>
      </c>
      <c r="C327" t="s">
        <v>814</v>
      </c>
      <c r="V327" s="36">
        <f>L111</f>
        <v>37500</v>
      </c>
      <c r="W327" s="36"/>
      <c r="X327" s="36"/>
      <c r="Y327" s="36"/>
      <c r="Z327" s="36"/>
      <c r="AA327" s="36"/>
      <c r="AB327" s="9">
        <f t="shared" si="12"/>
        <v>37500</v>
      </c>
      <c r="AC327" s="12">
        <f t="shared" si="13"/>
        <v>0</v>
      </c>
    </row>
    <row r="328" spans="1:29" x14ac:dyDescent="0.2">
      <c r="C328" t="s">
        <v>815</v>
      </c>
      <c r="V328" s="36">
        <f>+M111</f>
        <v>0</v>
      </c>
      <c r="W328" s="36"/>
      <c r="X328" s="36"/>
      <c r="Y328" s="36"/>
      <c r="Z328" s="36"/>
      <c r="AA328" s="36"/>
      <c r="AB328" s="9">
        <f t="shared" si="12"/>
        <v>0</v>
      </c>
      <c r="AC328" s="12">
        <f t="shared" si="13"/>
        <v>0</v>
      </c>
    </row>
    <row r="329" spans="1:29" x14ac:dyDescent="0.2">
      <c r="C329" t="s">
        <v>450</v>
      </c>
      <c r="V329" s="36">
        <f>O111</f>
        <v>0</v>
      </c>
      <c r="W329" s="36"/>
      <c r="X329" s="36"/>
      <c r="Y329" s="36"/>
      <c r="Z329" s="36"/>
      <c r="AA329" s="36"/>
      <c r="AB329" s="9">
        <f t="shared" si="12"/>
        <v>0</v>
      </c>
      <c r="AC329" s="12">
        <f t="shared" si="13"/>
        <v>0</v>
      </c>
    </row>
    <row r="330" spans="1:29" x14ac:dyDescent="0.2">
      <c r="C330" t="s">
        <v>812</v>
      </c>
      <c r="V330" s="36">
        <f>Q111</f>
        <v>0</v>
      </c>
      <c r="W330" s="36"/>
      <c r="X330" s="36"/>
      <c r="Y330" s="36"/>
      <c r="Z330" s="36"/>
      <c r="AA330" s="36"/>
      <c r="AB330" s="9">
        <f t="shared" si="12"/>
        <v>0</v>
      </c>
      <c r="AC330" s="12">
        <f t="shared" si="13"/>
        <v>0</v>
      </c>
    </row>
    <row r="331" spans="1:29" x14ac:dyDescent="0.2">
      <c r="C331" t="s">
        <v>451</v>
      </c>
      <c r="V331" s="36">
        <f>R111</f>
        <v>0</v>
      </c>
      <c r="W331" s="36"/>
      <c r="X331" s="36"/>
      <c r="Y331" s="36"/>
      <c r="Z331" s="36"/>
      <c r="AA331" s="36"/>
      <c r="AB331" s="9">
        <f t="shared" si="12"/>
        <v>0</v>
      </c>
      <c r="AC331" s="12">
        <f t="shared" si="13"/>
        <v>0</v>
      </c>
    </row>
    <row r="332" spans="1:29" x14ac:dyDescent="0.2">
      <c r="C332" t="s">
        <v>813</v>
      </c>
      <c r="V332" s="36">
        <f>U111</f>
        <v>0</v>
      </c>
      <c r="W332" s="36"/>
      <c r="X332" s="36"/>
      <c r="Y332" s="36"/>
      <c r="Z332" s="36"/>
      <c r="AA332" s="36"/>
      <c r="AB332" s="9">
        <f t="shared" si="12"/>
        <v>0</v>
      </c>
      <c r="AC332" s="12">
        <f t="shared" si="13"/>
        <v>0</v>
      </c>
    </row>
    <row r="333" spans="1:29" x14ac:dyDescent="0.2">
      <c r="C333" t="s">
        <v>696</v>
      </c>
      <c r="V333" s="36">
        <f>S111</f>
        <v>0</v>
      </c>
      <c r="W333" s="36"/>
      <c r="X333" s="36"/>
      <c r="Y333" s="36"/>
      <c r="Z333" s="36"/>
      <c r="AA333" s="36"/>
      <c r="AB333" s="9">
        <f t="shared" si="12"/>
        <v>0</v>
      </c>
      <c r="AC333" s="12">
        <f t="shared" si="13"/>
        <v>0</v>
      </c>
    </row>
    <row r="334" spans="1:29" x14ac:dyDescent="0.2">
      <c r="C334" t="s">
        <v>697</v>
      </c>
      <c r="V334" s="36">
        <f>T111</f>
        <v>0</v>
      </c>
      <c r="W334" s="36"/>
      <c r="X334" s="36"/>
      <c r="Y334" s="36"/>
      <c r="Z334" s="36"/>
      <c r="AA334" s="36"/>
      <c r="AB334" s="9">
        <f t="shared" si="12"/>
        <v>0</v>
      </c>
      <c r="AC334" s="12">
        <f t="shared" si="13"/>
        <v>0</v>
      </c>
    </row>
    <row r="335" spans="1:29" x14ac:dyDescent="0.2">
      <c r="C335" t="s">
        <v>529</v>
      </c>
      <c r="V335" s="36"/>
      <c r="W335" s="36">
        <f>((L111+M111+O111+Q111+R111+S111+T111+U111)-(O116+O114))</f>
        <v>37500</v>
      </c>
      <c r="X335" s="36"/>
      <c r="Y335" s="36"/>
      <c r="Z335" s="36"/>
      <c r="AA335" s="36"/>
      <c r="AB335" s="9">
        <f t="shared" si="12"/>
        <v>0</v>
      </c>
      <c r="AC335" s="12">
        <f t="shared" si="13"/>
        <v>37500</v>
      </c>
    </row>
    <row r="336" spans="1:29" x14ac:dyDescent="0.2">
      <c r="C336" t="s">
        <v>198</v>
      </c>
      <c r="V336" s="36"/>
      <c r="W336" s="36">
        <f>O114</f>
        <v>0</v>
      </c>
      <c r="X336" s="36"/>
      <c r="Y336" s="36"/>
      <c r="Z336" s="36"/>
      <c r="AA336" s="36"/>
      <c r="AB336" s="9">
        <f t="shared" si="12"/>
        <v>0</v>
      </c>
      <c r="AC336" s="12">
        <f t="shared" si="13"/>
        <v>0</v>
      </c>
    </row>
    <row r="337" spans="1:29" x14ac:dyDescent="0.2">
      <c r="C337" s="13" t="s">
        <v>326</v>
      </c>
      <c r="D337" s="13"/>
      <c r="E337" s="13"/>
      <c r="F337" s="13"/>
      <c r="V337" s="36"/>
      <c r="W337" s="36">
        <f>O116</f>
        <v>0</v>
      </c>
      <c r="X337" s="36"/>
      <c r="Y337" s="36"/>
      <c r="Z337" s="36"/>
      <c r="AA337" s="36"/>
      <c r="AB337" s="9">
        <f t="shared" si="12"/>
        <v>0</v>
      </c>
      <c r="AC337" s="12">
        <f t="shared" si="13"/>
        <v>0</v>
      </c>
    </row>
    <row r="338" spans="1:29" ht="6.75" customHeight="1" x14ac:dyDescent="0.2">
      <c r="V338" s="36"/>
      <c r="W338" s="36"/>
      <c r="X338" s="36"/>
      <c r="Y338" s="36"/>
      <c r="Z338" s="36"/>
      <c r="AA338" s="36"/>
      <c r="AB338" s="9">
        <f t="shared" si="12"/>
        <v>0</v>
      </c>
      <c r="AC338" s="12">
        <f t="shared" si="13"/>
        <v>0</v>
      </c>
    </row>
    <row r="339" spans="1:29" x14ac:dyDescent="0.2">
      <c r="A339" t="s">
        <v>775</v>
      </c>
      <c r="C339" t="s">
        <v>991</v>
      </c>
      <c r="V339" s="36"/>
      <c r="W339" s="36"/>
      <c r="X339" s="36">
        <f t="shared" ref="X339:X346" si="18">M126</f>
        <v>0</v>
      </c>
      <c r="Y339" s="36"/>
      <c r="Z339" s="36"/>
      <c r="AA339" s="36"/>
      <c r="AB339" s="9">
        <f t="shared" si="12"/>
        <v>0</v>
      </c>
      <c r="AC339" s="12">
        <f t="shared" si="13"/>
        <v>0</v>
      </c>
    </row>
    <row r="340" spans="1:29" x14ac:dyDescent="0.2">
      <c r="C340" t="s">
        <v>992</v>
      </c>
      <c r="V340" s="36"/>
      <c r="W340" s="36"/>
      <c r="X340" s="36">
        <f t="shared" si="18"/>
        <v>0</v>
      </c>
      <c r="Y340" s="36"/>
      <c r="Z340" s="36"/>
      <c r="AA340" s="36"/>
      <c r="AB340" s="9">
        <f t="shared" si="12"/>
        <v>0</v>
      </c>
      <c r="AC340" s="12">
        <f t="shared" si="13"/>
        <v>0</v>
      </c>
    </row>
    <row r="341" spans="1:29" x14ac:dyDescent="0.2">
      <c r="C341" t="s">
        <v>819</v>
      </c>
      <c r="V341" s="36"/>
      <c r="W341" s="36"/>
      <c r="X341" s="36">
        <f t="shared" si="18"/>
        <v>0</v>
      </c>
      <c r="Y341" s="36"/>
      <c r="Z341" s="36"/>
      <c r="AA341" s="36"/>
      <c r="AB341" s="9">
        <f t="shared" si="12"/>
        <v>0</v>
      </c>
      <c r="AC341" s="12">
        <f t="shared" si="13"/>
        <v>0</v>
      </c>
    </row>
    <row r="342" spans="1:29" x14ac:dyDescent="0.2">
      <c r="C342" t="s">
        <v>808</v>
      </c>
      <c r="V342" s="36"/>
      <c r="W342" s="36"/>
      <c r="X342" s="36">
        <f t="shared" si="18"/>
        <v>0</v>
      </c>
      <c r="Y342" s="36"/>
      <c r="Z342" s="36"/>
      <c r="AA342" s="36"/>
      <c r="AB342" s="9">
        <f t="shared" si="12"/>
        <v>0</v>
      </c>
      <c r="AC342" s="12">
        <f t="shared" si="13"/>
        <v>0</v>
      </c>
    </row>
    <row r="343" spans="1:29" x14ac:dyDescent="0.2">
      <c r="C343" t="s">
        <v>203</v>
      </c>
      <c r="V343" s="36"/>
      <c r="W343" s="36"/>
      <c r="X343" s="36">
        <f t="shared" si="18"/>
        <v>0</v>
      </c>
      <c r="Y343" s="36"/>
      <c r="Z343" s="36"/>
      <c r="AA343" s="36"/>
      <c r="AB343" s="9">
        <f t="shared" si="12"/>
        <v>0</v>
      </c>
      <c r="AC343" s="12">
        <f t="shared" si="13"/>
        <v>0</v>
      </c>
    </row>
    <row r="344" spans="1:29" x14ac:dyDescent="0.2">
      <c r="C344" t="s">
        <v>504</v>
      </c>
      <c r="V344" s="36"/>
      <c r="W344" s="36"/>
      <c r="X344" s="36">
        <f t="shared" si="18"/>
        <v>0</v>
      </c>
      <c r="Y344" s="36"/>
      <c r="Z344" s="36"/>
      <c r="AA344" s="36"/>
      <c r="AB344" s="9">
        <f t="shared" si="12"/>
        <v>0</v>
      </c>
      <c r="AC344" s="12">
        <f t="shared" si="13"/>
        <v>0</v>
      </c>
    </row>
    <row r="345" spans="1:29" x14ac:dyDescent="0.2">
      <c r="C345" t="s">
        <v>172</v>
      </c>
      <c r="V345" s="36"/>
      <c r="W345" s="36"/>
      <c r="X345" s="36">
        <f t="shared" si="18"/>
        <v>1700600</v>
      </c>
      <c r="Y345" s="36"/>
      <c r="Z345" s="36"/>
      <c r="AA345" s="36"/>
      <c r="AB345" s="9">
        <f t="shared" si="12"/>
        <v>1700600</v>
      </c>
      <c r="AC345" s="12">
        <f t="shared" si="13"/>
        <v>0</v>
      </c>
    </row>
    <row r="346" spans="1:29" x14ac:dyDescent="0.2">
      <c r="C346" t="s">
        <v>729</v>
      </c>
      <c r="V346" s="36"/>
      <c r="W346" s="36"/>
      <c r="X346" s="36">
        <f t="shared" si="18"/>
        <v>0</v>
      </c>
      <c r="Y346" s="36"/>
      <c r="Z346" s="36"/>
      <c r="AA346" s="36"/>
      <c r="AB346" s="9">
        <f t="shared" si="12"/>
        <v>0</v>
      </c>
      <c r="AC346" s="12">
        <f t="shared" si="13"/>
        <v>0</v>
      </c>
    </row>
    <row r="347" spans="1:29" x14ac:dyDescent="0.2">
      <c r="D347" t="s">
        <v>776</v>
      </c>
      <c r="V347" s="36"/>
      <c r="W347" s="36"/>
      <c r="X347" s="36"/>
      <c r="Y347" s="36">
        <f>M122</f>
        <v>1700600</v>
      </c>
      <c r="Z347" s="36"/>
      <c r="AA347" s="36"/>
      <c r="AB347" s="9">
        <f t="shared" si="12"/>
        <v>0</v>
      </c>
      <c r="AC347" s="12">
        <f t="shared" si="13"/>
        <v>1700600</v>
      </c>
    </row>
    <row r="348" spans="1:29" ht="6" customHeight="1" x14ac:dyDescent="0.2">
      <c r="V348" s="36"/>
      <c r="W348" s="36"/>
      <c r="X348" s="36"/>
      <c r="Y348" s="36"/>
      <c r="Z348" s="36"/>
      <c r="AA348" s="36"/>
      <c r="AB348" s="9">
        <f t="shared" ref="AB348:AB369" si="19">L348+O348+Q348+S348+V348+X348</f>
        <v>0</v>
      </c>
      <c r="AC348" s="12">
        <f t="shared" ref="AC348:AC369" si="20">M348+P348+R348+T348+W348+Y348</f>
        <v>0</v>
      </c>
    </row>
    <row r="349" spans="1:29" x14ac:dyDescent="0.2">
      <c r="A349" t="s">
        <v>624</v>
      </c>
      <c r="C349" t="s">
        <v>625</v>
      </c>
      <c r="V349" s="36"/>
      <c r="W349" s="36"/>
      <c r="X349" s="36"/>
      <c r="Y349" s="36"/>
      <c r="Z349" s="94">
        <f>M185</f>
        <v>0</v>
      </c>
      <c r="AA349" s="94"/>
      <c r="AB349" s="9">
        <f t="shared" si="19"/>
        <v>0</v>
      </c>
      <c r="AC349" s="12">
        <f t="shared" si="20"/>
        <v>0</v>
      </c>
    </row>
    <row r="350" spans="1:29" x14ac:dyDescent="0.2">
      <c r="A350" s="1468" t="s">
        <v>628</v>
      </c>
      <c r="D350" t="s">
        <v>814</v>
      </c>
      <c r="V350" s="36"/>
      <c r="W350" s="36"/>
      <c r="X350" s="36"/>
      <c r="Y350" s="36"/>
      <c r="Z350" s="94"/>
      <c r="AA350" s="94">
        <f t="shared" ref="AA350:AA357" si="21">H175</f>
        <v>0</v>
      </c>
      <c r="AB350" s="9">
        <f t="shared" si="19"/>
        <v>0</v>
      </c>
      <c r="AC350" s="12">
        <f t="shared" si="20"/>
        <v>0</v>
      </c>
    </row>
    <row r="351" spans="1:29" x14ac:dyDescent="0.2">
      <c r="A351" s="1469"/>
      <c r="D351" t="s">
        <v>815</v>
      </c>
      <c r="V351" s="36"/>
      <c r="W351" s="36"/>
      <c r="X351" s="36"/>
      <c r="Y351" s="36"/>
      <c r="Z351" s="94"/>
      <c r="AA351" s="94">
        <f t="shared" si="21"/>
        <v>0</v>
      </c>
      <c r="AB351" s="9">
        <f t="shared" si="19"/>
        <v>0</v>
      </c>
      <c r="AC351" s="12">
        <f t="shared" si="20"/>
        <v>0</v>
      </c>
    </row>
    <row r="352" spans="1:29" x14ac:dyDescent="0.2">
      <c r="A352" s="1469"/>
      <c r="D352" t="s">
        <v>450</v>
      </c>
      <c r="V352" s="36"/>
      <c r="W352" s="36"/>
      <c r="X352" s="36"/>
      <c r="Y352" s="36"/>
      <c r="Z352" s="94"/>
      <c r="AA352" s="94">
        <f t="shared" si="21"/>
        <v>0</v>
      </c>
      <c r="AB352" s="9">
        <f t="shared" si="19"/>
        <v>0</v>
      </c>
      <c r="AC352" s="12">
        <f t="shared" si="20"/>
        <v>0</v>
      </c>
    </row>
    <row r="353" spans="1:29" x14ac:dyDescent="0.2">
      <c r="A353" s="1469"/>
      <c r="D353" t="s">
        <v>759</v>
      </c>
      <c r="V353" s="36"/>
      <c r="W353" s="36"/>
      <c r="X353" s="36"/>
      <c r="Y353" s="36"/>
      <c r="Z353" s="94"/>
      <c r="AA353" s="94">
        <f t="shared" si="21"/>
        <v>0</v>
      </c>
      <c r="AB353" s="9">
        <f t="shared" si="19"/>
        <v>0</v>
      </c>
      <c r="AC353" s="12">
        <f t="shared" si="20"/>
        <v>0</v>
      </c>
    </row>
    <row r="354" spans="1:29" x14ac:dyDescent="0.2">
      <c r="A354" s="1469"/>
      <c r="D354" t="s">
        <v>760</v>
      </c>
      <c r="V354" s="36"/>
      <c r="W354" s="36"/>
      <c r="X354" s="36"/>
      <c r="Y354" s="36"/>
      <c r="Z354" s="94"/>
      <c r="AA354" s="94">
        <f t="shared" si="21"/>
        <v>0</v>
      </c>
      <c r="AB354" s="9">
        <f t="shared" si="19"/>
        <v>0</v>
      </c>
      <c r="AC354" s="12">
        <f t="shared" si="20"/>
        <v>0</v>
      </c>
    </row>
    <row r="355" spans="1:29" x14ac:dyDescent="0.2">
      <c r="A355" s="1469"/>
      <c r="D355" t="s">
        <v>813</v>
      </c>
      <c r="V355" s="36"/>
      <c r="W355" s="36"/>
      <c r="X355" s="36"/>
      <c r="Y355" s="36"/>
      <c r="Z355" s="94"/>
      <c r="AA355" s="94">
        <f t="shared" si="21"/>
        <v>0</v>
      </c>
      <c r="AB355" s="9">
        <f t="shared" si="19"/>
        <v>0</v>
      </c>
      <c r="AC355" s="12">
        <f t="shared" si="20"/>
        <v>0</v>
      </c>
    </row>
    <row r="356" spans="1:29" x14ac:dyDescent="0.2">
      <c r="A356" s="1469"/>
      <c r="D356" s="353" t="s">
        <v>696</v>
      </c>
      <c r="V356" s="36"/>
      <c r="W356" s="36"/>
      <c r="X356" s="36"/>
      <c r="Y356" s="36"/>
      <c r="Z356" s="94"/>
      <c r="AA356" s="94">
        <f t="shared" si="21"/>
        <v>0</v>
      </c>
      <c r="AB356" s="9">
        <f t="shared" si="19"/>
        <v>0</v>
      </c>
      <c r="AC356" s="12">
        <f t="shared" si="20"/>
        <v>0</v>
      </c>
    </row>
    <row r="357" spans="1:29" x14ac:dyDescent="0.2">
      <c r="A357" s="1469"/>
      <c r="D357" s="353" t="s">
        <v>697</v>
      </c>
      <c r="V357" s="36"/>
      <c r="W357" s="36"/>
      <c r="X357" s="36"/>
      <c r="Y357" s="36"/>
      <c r="Z357" s="94"/>
      <c r="AA357" s="94">
        <f t="shared" si="21"/>
        <v>0</v>
      </c>
      <c r="AB357" s="9">
        <f t="shared" si="19"/>
        <v>0</v>
      </c>
      <c r="AC357" s="12">
        <f t="shared" si="20"/>
        <v>0</v>
      </c>
    </row>
    <row r="358" spans="1:29" x14ac:dyDescent="0.2">
      <c r="A358" s="1469"/>
      <c r="D358" s="353" t="s">
        <v>529</v>
      </c>
      <c r="V358" s="36"/>
      <c r="W358" s="36"/>
      <c r="X358" s="36"/>
      <c r="Y358" s="36"/>
      <c r="Z358" s="94"/>
      <c r="AA358" s="94">
        <f>I197</f>
        <v>0</v>
      </c>
      <c r="AB358" s="9">
        <f t="shared" si="19"/>
        <v>0</v>
      </c>
      <c r="AC358" s="12">
        <f t="shared" si="20"/>
        <v>0</v>
      </c>
    </row>
    <row r="359" spans="1:29" x14ac:dyDescent="0.2">
      <c r="A359" s="1469"/>
      <c r="D359" s="353" t="s">
        <v>626</v>
      </c>
      <c r="V359" s="36"/>
      <c r="W359" s="36"/>
      <c r="X359" s="36"/>
      <c r="Y359" s="36"/>
      <c r="Z359" s="94">
        <f t="shared" ref="Z359:Z368" si="22">I202*-1</f>
        <v>0</v>
      </c>
      <c r="AA359" s="94">
        <f>I196</f>
        <v>0</v>
      </c>
      <c r="AB359" s="9">
        <f t="shared" si="19"/>
        <v>0</v>
      </c>
      <c r="AC359" s="12">
        <f t="shared" si="20"/>
        <v>0</v>
      </c>
    </row>
    <row r="360" spans="1:29" x14ac:dyDescent="0.2">
      <c r="A360" s="1469"/>
      <c r="C360" t="s">
        <v>902</v>
      </c>
      <c r="V360" s="36"/>
      <c r="W360" s="36"/>
      <c r="X360" s="36"/>
      <c r="Y360" s="36"/>
      <c r="Z360" s="36">
        <f t="shared" si="22"/>
        <v>0</v>
      </c>
      <c r="AA360" s="36"/>
      <c r="AB360" s="9">
        <f t="shared" si="19"/>
        <v>0</v>
      </c>
      <c r="AC360" s="12">
        <f t="shared" si="20"/>
        <v>0</v>
      </c>
    </row>
    <row r="361" spans="1:29" x14ac:dyDescent="0.2">
      <c r="A361" s="1469"/>
      <c r="C361" t="s">
        <v>991</v>
      </c>
      <c r="V361" s="36"/>
      <c r="W361" s="36"/>
      <c r="X361" s="36"/>
      <c r="Y361" s="36"/>
      <c r="Z361" s="36">
        <f t="shared" si="22"/>
        <v>0</v>
      </c>
      <c r="AA361" s="36"/>
      <c r="AB361" s="9">
        <f t="shared" si="19"/>
        <v>0</v>
      </c>
      <c r="AC361" s="12">
        <f t="shared" si="20"/>
        <v>0</v>
      </c>
    </row>
    <row r="362" spans="1:29" x14ac:dyDescent="0.2">
      <c r="A362" s="1469"/>
      <c r="C362" t="s">
        <v>992</v>
      </c>
      <c r="V362" s="36"/>
      <c r="W362" s="36"/>
      <c r="X362" s="36"/>
      <c r="Y362" s="36"/>
      <c r="Z362" s="36">
        <f t="shared" si="22"/>
        <v>0</v>
      </c>
      <c r="AA362" s="36"/>
      <c r="AB362" s="9">
        <f t="shared" si="19"/>
        <v>0</v>
      </c>
      <c r="AC362" s="12">
        <f t="shared" si="20"/>
        <v>0</v>
      </c>
    </row>
    <row r="363" spans="1:29" x14ac:dyDescent="0.2">
      <c r="A363" s="1469"/>
      <c r="C363" t="s">
        <v>819</v>
      </c>
      <c r="V363" s="36"/>
      <c r="W363" s="36"/>
      <c r="X363" s="36"/>
      <c r="Y363" s="36"/>
      <c r="Z363" s="36">
        <f t="shared" si="22"/>
        <v>0</v>
      </c>
      <c r="AA363" s="36"/>
      <c r="AB363" s="9">
        <f t="shared" si="19"/>
        <v>0</v>
      </c>
      <c r="AC363" s="12">
        <f t="shared" si="20"/>
        <v>0</v>
      </c>
    </row>
    <row r="364" spans="1:29" x14ac:dyDescent="0.2">
      <c r="A364" s="1469"/>
      <c r="C364" t="s">
        <v>808</v>
      </c>
      <c r="V364" s="36"/>
      <c r="W364" s="36"/>
      <c r="X364" s="36"/>
      <c r="Y364" s="36"/>
      <c r="Z364" s="36">
        <f t="shared" si="22"/>
        <v>0</v>
      </c>
      <c r="AA364" s="36"/>
      <c r="AB364" s="9">
        <f t="shared" si="19"/>
        <v>0</v>
      </c>
      <c r="AC364" s="12">
        <f t="shared" si="20"/>
        <v>0</v>
      </c>
    </row>
    <row r="365" spans="1:29" x14ac:dyDescent="0.2">
      <c r="A365" s="1469"/>
      <c r="C365" t="s">
        <v>307</v>
      </c>
      <c r="V365" s="36"/>
      <c r="W365" s="36"/>
      <c r="X365" s="36"/>
      <c r="Y365" s="36"/>
      <c r="Z365" s="36">
        <f t="shared" si="22"/>
        <v>0</v>
      </c>
      <c r="AA365" s="36"/>
      <c r="AB365" s="9">
        <f t="shared" si="19"/>
        <v>0</v>
      </c>
      <c r="AC365" s="12">
        <f t="shared" si="20"/>
        <v>0</v>
      </c>
    </row>
    <row r="366" spans="1:29" x14ac:dyDescent="0.2">
      <c r="A366" s="1469"/>
      <c r="C366" t="s">
        <v>267</v>
      </c>
      <c r="V366" s="36"/>
      <c r="W366" s="36"/>
      <c r="X366" s="36"/>
      <c r="Y366" s="36"/>
      <c r="Z366" s="36">
        <f t="shared" si="22"/>
        <v>0</v>
      </c>
      <c r="AA366" s="36"/>
      <c r="AB366" s="9">
        <f t="shared" si="19"/>
        <v>0</v>
      </c>
      <c r="AC366" s="12">
        <f t="shared" si="20"/>
        <v>0</v>
      </c>
    </row>
    <row r="367" spans="1:29" x14ac:dyDescent="0.2">
      <c r="A367" s="1469"/>
      <c r="C367" t="s">
        <v>172</v>
      </c>
      <c r="V367" s="36"/>
      <c r="W367" s="36"/>
      <c r="X367" s="36"/>
      <c r="Y367" s="36"/>
      <c r="Z367" s="36">
        <f t="shared" si="22"/>
        <v>0</v>
      </c>
      <c r="AA367" s="36"/>
      <c r="AB367" s="9">
        <f>L367+O367+Q367+S367+V367+X367</f>
        <v>0</v>
      </c>
      <c r="AC367" s="12">
        <f>M367+P367+R367+T367+W367+Y367</f>
        <v>0</v>
      </c>
    </row>
    <row r="368" spans="1:29" x14ac:dyDescent="0.2">
      <c r="A368" s="1469"/>
      <c r="C368" t="s">
        <v>729</v>
      </c>
      <c r="V368" s="36"/>
      <c r="W368" s="36"/>
      <c r="X368" s="36"/>
      <c r="Y368" s="36"/>
      <c r="Z368" s="36">
        <f t="shared" si="22"/>
        <v>0</v>
      </c>
      <c r="AA368" s="36"/>
      <c r="AB368" s="9">
        <f t="shared" si="19"/>
        <v>0</v>
      </c>
      <c r="AC368" s="12">
        <f t="shared" si="20"/>
        <v>0</v>
      </c>
    </row>
    <row r="369" spans="12:29" ht="5.25" customHeight="1" x14ac:dyDescent="0.2">
      <c r="V369" s="36"/>
      <c r="W369" s="36"/>
      <c r="X369" s="36"/>
      <c r="Y369" s="36"/>
      <c r="Z369" s="36"/>
      <c r="AA369" s="36"/>
      <c r="AB369" s="9">
        <f t="shared" si="19"/>
        <v>0</v>
      </c>
      <c r="AC369" s="12">
        <f t="shared" si="20"/>
        <v>0</v>
      </c>
    </row>
    <row r="370" spans="12:29" ht="13.5" thickBot="1" x14ac:dyDescent="0.25">
      <c r="L370" s="20">
        <f>SUM(L303:L335)</f>
        <v>28482</v>
      </c>
      <c r="M370" s="20">
        <f>SUM(M303:M335)</f>
        <v>28482</v>
      </c>
      <c r="N370" s="12"/>
      <c r="O370" s="20">
        <f t="shared" ref="O370:T370" si="23">SUM(O303:O335)</f>
        <v>0</v>
      </c>
      <c r="P370" s="20">
        <f t="shared" si="23"/>
        <v>0</v>
      </c>
      <c r="Q370" s="20">
        <f t="shared" si="23"/>
        <v>0</v>
      </c>
      <c r="R370" s="20">
        <f t="shared" si="23"/>
        <v>0</v>
      </c>
      <c r="S370" s="20">
        <f t="shared" si="23"/>
        <v>143568</v>
      </c>
      <c r="T370" s="20">
        <f t="shared" si="23"/>
        <v>143568</v>
      </c>
      <c r="U370" s="12"/>
      <c r="V370" s="20">
        <f>SUM(V303:V335)</f>
        <v>37500</v>
      </c>
      <c r="W370" s="20">
        <f>SUM(W303:W337)</f>
        <v>37500</v>
      </c>
      <c r="X370" s="20">
        <f t="shared" ref="X370:AC370" si="24">SUM(X303:X347)</f>
        <v>1700600</v>
      </c>
      <c r="Y370" s="20">
        <f t="shared" si="24"/>
        <v>1700600</v>
      </c>
      <c r="Z370" s="20">
        <f t="shared" si="24"/>
        <v>0</v>
      </c>
      <c r="AA370" s="20">
        <f t="shared" si="24"/>
        <v>0</v>
      </c>
      <c r="AB370" s="20">
        <f t="shared" si="24"/>
        <v>1910150</v>
      </c>
      <c r="AC370" s="20">
        <f t="shared" si="24"/>
        <v>1910150</v>
      </c>
    </row>
    <row r="371" spans="12:29" ht="13.5" thickTop="1" x14ac:dyDescent="0.2">
      <c r="W371" s="14"/>
      <c r="X371" s="14"/>
    </row>
  </sheetData>
  <customSheetViews>
    <customSheetView guid="{C1197650-3ED8-49E4-8E4C-0D1D4B503FC0}" topLeftCell="A226">
      <selection activeCell="L111" sqref="L111:L112"/>
      <rowBreaks count="4" manualBreakCount="4">
        <brk id="67" max="20" man="1"/>
        <brk id="134" max="20" man="1"/>
        <brk id="198" max="20" man="1"/>
        <brk id="295" max="24" man="1"/>
      </rowBreaks>
      <pageMargins left="0.5" right="0.45" top="0.67" bottom="0.63" header="0.5" footer="0.5"/>
      <printOptions horizontalCentered="1"/>
      <pageSetup scale="61" orientation="landscape" r:id="rId1"/>
      <headerFooter alignWithMargins="0">
        <oddHeader>&amp;R&amp;"Arial,Bold"&amp;12Entry F</oddHeader>
        <oddFooter>&amp;L&amp;8&amp;D - County model&amp;R  &amp;P</oddFooter>
      </headerFooter>
    </customSheetView>
    <customSheetView guid="{D2B860EA-92EC-4999-9A59-C624E1F8C7FB}" topLeftCell="A226">
      <selection activeCell="L111" sqref="L111:L112"/>
      <rowBreaks count="4" manualBreakCount="4">
        <brk id="67" max="20" man="1"/>
        <brk id="134" max="20" man="1"/>
        <brk id="198" max="20" man="1"/>
        <brk id="295" max="24" man="1"/>
      </rowBreaks>
      <pageMargins left="0.5" right="0.45" top="0.67" bottom="0.63" header="0.5" footer="0.5"/>
      <printOptions horizontalCentered="1"/>
      <pageSetup scale="61" orientation="landscape" r:id="rId2"/>
      <headerFooter alignWithMargins="0">
        <oddHeader>&amp;R&amp;"Arial,Bold"&amp;12Entry F</oddHeader>
        <oddFooter>&amp;L&amp;8&amp;D - County model&amp;R  &amp;P</oddFooter>
      </headerFooter>
    </customSheetView>
  </customSheetViews>
  <mergeCells count="186">
    <mergeCell ref="A350:A368"/>
    <mergeCell ref="D199:J201"/>
    <mergeCell ref="J212:L213"/>
    <mergeCell ref="B215:T215"/>
    <mergeCell ref="C185:I185"/>
    <mergeCell ref="M185:M186"/>
    <mergeCell ref="Z301:AA301"/>
    <mergeCell ref="E188:I188"/>
    <mergeCell ref="B191:T191"/>
    <mergeCell ref="C192:J193"/>
    <mergeCell ref="D194:J195"/>
    <mergeCell ref="F290:T291"/>
    <mergeCell ref="C300:Y300"/>
    <mergeCell ref="X301:Y301"/>
    <mergeCell ref="Q168:Q169"/>
    <mergeCell ref="K171:L171"/>
    <mergeCell ref="O171:P171"/>
    <mergeCell ref="D173:I174"/>
    <mergeCell ref="V181:W181"/>
    <mergeCell ref="I183:K183"/>
    <mergeCell ref="D165:I166"/>
    <mergeCell ref="L165:L166"/>
    <mergeCell ref="M165:M166"/>
    <mergeCell ref="D168:I169"/>
    <mergeCell ref="L168:L169"/>
    <mergeCell ref="M168:M169"/>
    <mergeCell ref="R155:R156"/>
    <mergeCell ref="S155:S156"/>
    <mergeCell ref="T155:T156"/>
    <mergeCell ref="C160:J161"/>
    <mergeCell ref="L160:L161"/>
    <mergeCell ref="C163:J164"/>
    <mergeCell ref="D155:J156"/>
    <mergeCell ref="M155:M156"/>
    <mergeCell ref="O155:O156"/>
    <mergeCell ref="P155:P156"/>
    <mergeCell ref="Q155:Q156"/>
    <mergeCell ref="D152:J153"/>
    <mergeCell ref="M152:M153"/>
    <mergeCell ref="O152:O153"/>
    <mergeCell ref="P152:P153"/>
    <mergeCell ref="Q152:Q153"/>
    <mergeCell ref="R152:R153"/>
    <mergeCell ref="S152:S153"/>
    <mergeCell ref="T152:T153"/>
    <mergeCell ref="P149:P150"/>
    <mergeCell ref="T73:T74"/>
    <mergeCell ref="R76:R77"/>
    <mergeCell ref="B136:T136"/>
    <mergeCell ref="B138:T142"/>
    <mergeCell ref="B144:T145"/>
    <mergeCell ref="C147:J148"/>
    <mergeCell ref="Q149:Q150"/>
    <mergeCell ref="R149:R150"/>
    <mergeCell ref="S149:S150"/>
    <mergeCell ref="D149:J150"/>
    <mergeCell ref="L149:L150"/>
    <mergeCell ref="M149:M150"/>
    <mergeCell ref="O149:O150"/>
    <mergeCell ref="T149:T150"/>
    <mergeCell ref="T76:T77"/>
    <mergeCell ref="T79:T80"/>
    <mergeCell ref="Q84:Q85"/>
    <mergeCell ref="R84:R85"/>
    <mergeCell ref="S84:S85"/>
    <mergeCell ref="T84:T85"/>
    <mergeCell ref="D84:I85"/>
    <mergeCell ref="M84:M85"/>
    <mergeCell ref="O84:O85"/>
    <mergeCell ref="P84:P85"/>
    <mergeCell ref="O37:O38"/>
    <mergeCell ref="R37:R38"/>
    <mergeCell ref="D79:I80"/>
    <mergeCell ref="S34:S35"/>
    <mergeCell ref="O31:O32"/>
    <mergeCell ref="M56:M57"/>
    <mergeCell ref="O56:O57"/>
    <mergeCell ref="P56:P57"/>
    <mergeCell ref="Q56:Q57"/>
    <mergeCell ref="R56:R57"/>
    <mergeCell ref="S56:S57"/>
    <mergeCell ref="D56:I57"/>
    <mergeCell ref="O79:O80"/>
    <mergeCell ref="M76:M77"/>
    <mergeCell ref="S79:S80"/>
    <mergeCell ref="S76:S77"/>
    <mergeCell ref="AB301:AC301"/>
    <mergeCell ref="F89:H89"/>
    <mergeCell ref="F70:H70"/>
    <mergeCell ref="B88:T88"/>
    <mergeCell ref="V301:W301"/>
    <mergeCell ref="B107:T107"/>
    <mergeCell ref="D92:I92"/>
    <mergeCell ref="U84:W84"/>
    <mergeCell ref="D76:I77"/>
    <mergeCell ref="D94:I94"/>
    <mergeCell ref="O76:O77"/>
    <mergeCell ref="D73:I74"/>
    <mergeCell ref="P73:P74"/>
    <mergeCell ref="Q73:Q74"/>
    <mergeCell ref="R73:R74"/>
    <mergeCell ref="S73:S74"/>
    <mergeCell ref="P76:P77"/>
    <mergeCell ref="Q76:Q77"/>
    <mergeCell ref="Q79:Q80"/>
    <mergeCell ref="R79:R80"/>
    <mergeCell ref="P79:P80"/>
    <mergeCell ref="M73:M74"/>
    <mergeCell ref="O73:O74"/>
    <mergeCell ref="M79:M80"/>
    <mergeCell ref="A2:T2"/>
    <mergeCell ref="L301:M301"/>
    <mergeCell ref="O301:P301"/>
    <mergeCell ref="Q301:R301"/>
    <mergeCell ref="S301:T301"/>
    <mergeCell ref="B69:T69"/>
    <mergeCell ref="D61:I61"/>
    <mergeCell ref="B3:N3"/>
    <mergeCell ref="B26:T26"/>
    <mergeCell ref="C11:T12"/>
    <mergeCell ref="D31:I32"/>
    <mergeCell ref="C14:T14"/>
    <mergeCell ref="E40:I40"/>
    <mergeCell ref="L31:L32"/>
    <mergeCell ref="M31:M32"/>
    <mergeCell ref="D34:I35"/>
    <mergeCell ref="M34:M35"/>
    <mergeCell ref="R31:R32"/>
    <mergeCell ref="O34:O35"/>
    <mergeCell ref="S37:S38"/>
    <mergeCell ref="O50:O51"/>
    <mergeCell ref="D67:T67"/>
    <mergeCell ref="B4:T4"/>
    <mergeCell ref="C6:T7"/>
    <mergeCell ref="C9:T9"/>
    <mergeCell ref="R34:R35"/>
    <mergeCell ref="C20:T21"/>
    <mergeCell ref="C23:T24"/>
    <mergeCell ref="S53:S54"/>
    <mergeCell ref="P50:P51"/>
    <mergeCell ref="Q50:Q51"/>
    <mergeCell ref="R50:R51"/>
    <mergeCell ref="D37:I38"/>
    <mergeCell ref="M37:M38"/>
    <mergeCell ref="C46:T46"/>
    <mergeCell ref="D50:I51"/>
    <mergeCell ref="L50:L51"/>
    <mergeCell ref="M50:M51"/>
    <mergeCell ref="S50:S51"/>
    <mergeCell ref="D53:I54"/>
    <mergeCell ref="M53:M54"/>
    <mergeCell ref="O53:O54"/>
    <mergeCell ref="P53:P54"/>
    <mergeCell ref="Q53:Q54"/>
    <mergeCell ref="R53:R54"/>
    <mergeCell ref="C16:T18"/>
    <mergeCell ref="D42:H42"/>
    <mergeCell ref="S31:S32"/>
    <mergeCell ref="U96:U97"/>
    <mergeCell ref="O96:O97"/>
    <mergeCell ref="Q96:Q97"/>
    <mergeCell ref="U111:U112"/>
    <mergeCell ref="Q111:Q112"/>
    <mergeCell ref="R111:R112"/>
    <mergeCell ref="S111:S112"/>
    <mergeCell ref="T111:T112"/>
    <mergeCell ref="D116:K118"/>
    <mergeCell ref="O116:O118"/>
    <mergeCell ref="L111:L112"/>
    <mergeCell ref="M111:M112"/>
    <mergeCell ref="O111:O112"/>
    <mergeCell ref="D114:J114"/>
    <mergeCell ref="P116:S118"/>
    <mergeCell ref="D101:K103"/>
    <mergeCell ref="O101:O103"/>
    <mergeCell ref="P101:S103"/>
    <mergeCell ref="O132:O134"/>
    <mergeCell ref="R96:R97"/>
    <mergeCell ref="S96:S97"/>
    <mergeCell ref="T96:T97"/>
    <mergeCell ref="B120:T120"/>
    <mergeCell ref="C122:K123"/>
    <mergeCell ref="M122:M123"/>
    <mergeCell ref="D96:I97"/>
    <mergeCell ref="M96:M97"/>
    <mergeCell ref="D111:I112"/>
  </mergeCells>
  <phoneticPr fontId="14" type="noConversion"/>
  <printOptions horizontalCentered="1"/>
  <pageMargins left="0.5" right="0.45" top="0.67" bottom="0.63" header="0.5" footer="0.5"/>
  <pageSetup scale="61" orientation="landscape" r:id="rId3"/>
  <headerFooter alignWithMargins="0">
    <oddHeader>&amp;R&amp;"Arial,Bold"&amp;12Entry F</oddHeader>
    <oddFooter>&amp;L&amp;8&amp;D - County model&amp;R  &amp;P</oddFooter>
  </headerFooter>
  <rowBreaks count="4" manualBreakCount="4">
    <brk id="67" max="20" man="1"/>
    <brk id="134" max="20" man="1"/>
    <brk id="198" max="20" man="1"/>
    <brk id="297" max="24" man="1"/>
  </rowBreaks>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60"/>
  <sheetViews>
    <sheetView workbookViewId="0"/>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42578125" style="1" customWidth="1"/>
    <col min="10" max="10" width="10.42578125" bestFit="1" customWidth="1"/>
    <col min="12" max="12" width="11.42578125" bestFit="1" customWidth="1"/>
    <col min="13" max="13" width="1.7109375" customWidth="1"/>
    <col min="14" max="14" width="10.42578125" bestFit="1" customWidth="1"/>
    <col min="15" max="15" width="10.7109375" customWidth="1"/>
    <col min="16" max="16" width="1.7109375" customWidth="1"/>
    <col min="17" max="17" width="2.28515625" customWidth="1"/>
  </cols>
  <sheetData>
    <row r="1" spans="1:16" ht="7.5" customHeight="1" x14ac:dyDescent="0.2"/>
    <row r="2" spans="1:16" ht="33.75" customHeight="1" x14ac:dyDescent="0.25">
      <c r="A2" s="1408" t="s">
        <v>769</v>
      </c>
      <c r="B2" s="1409"/>
      <c r="C2" s="1409"/>
      <c r="D2" s="1409"/>
      <c r="E2" s="1409"/>
      <c r="F2" s="1409"/>
      <c r="G2" s="1409"/>
      <c r="H2" s="1409"/>
      <c r="I2" s="1409"/>
      <c r="J2" s="1409"/>
      <c r="K2" s="1409"/>
      <c r="L2" s="1409"/>
      <c r="M2" s="1409"/>
      <c r="N2" s="1409"/>
      <c r="O2" s="1409"/>
      <c r="P2" s="1410"/>
    </row>
    <row r="3" spans="1:16" ht="11.25" customHeight="1" x14ac:dyDescent="0.2"/>
    <row r="4" spans="1:16" ht="75.75" customHeight="1" x14ac:dyDescent="0.2">
      <c r="B4" s="1411" t="s">
        <v>1132</v>
      </c>
      <c r="C4" s="1324"/>
      <c r="D4" s="1324"/>
      <c r="E4" s="1324"/>
      <c r="F4" s="1324"/>
      <c r="G4" s="1324"/>
      <c r="H4" s="1324"/>
      <c r="I4" s="1324"/>
      <c r="J4" s="1324"/>
      <c r="K4" s="1324"/>
      <c r="L4" s="1324"/>
      <c r="M4" s="1324"/>
      <c r="N4" s="1324"/>
      <c r="O4" s="1324"/>
      <c r="P4" s="1324"/>
    </row>
    <row r="5" spans="1:16" ht="9" customHeight="1" x14ac:dyDescent="0.2"/>
    <row r="6" spans="1:16" ht="11.25" customHeight="1" x14ac:dyDescent="0.2">
      <c r="B6" s="39" t="s">
        <v>514</v>
      </c>
      <c r="C6" s="1324" t="s">
        <v>770</v>
      </c>
      <c r="D6" s="1324"/>
      <c r="E6" s="1324"/>
      <c r="F6" s="1324"/>
      <c r="G6" s="1324"/>
      <c r="H6" s="1324"/>
      <c r="I6" s="1324"/>
      <c r="J6" s="1324"/>
      <c r="K6" s="1324"/>
      <c r="L6" s="1324"/>
      <c r="M6" s="1324"/>
      <c r="N6" s="1324"/>
      <c r="O6" s="1324"/>
      <c r="P6" s="1324"/>
    </row>
    <row r="7" spans="1:16" ht="14.25" customHeight="1" x14ac:dyDescent="0.2">
      <c r="B7" s="39"/>
      <c r="C7" s="1324"/>
      <c r="D7" s="1324"/>
      <c r="E7" s="1324"/>
      <c r="F7" s="1324"/>
      <c r="G7" s="1324"/>
      <c r="H7" s="1324"/>
      <c r="I7" s="1324"/>
      <c r="J7" s="1324"/>
      <c r="K7" s="1324"/>
      <c r="L7" s="1324"/>
      <c r="M7" s="1324"/>
      <c r="N7" s="1324"/>
      <c r="O7" s="1324"/>
      <c r="P7" s="1324"/>
    </row>
    <row r="8" spans="1:16" ht="5.25" customHeight="1" x14ac:dyDescent="0.2">
      <c r="B8" s="39"/>
      <c r="C8" s="34"/>
      <c r="D8" s="34"/>
      <c r="E8" s="34"/>
      <c r="F8" s="34"/>
      <c r="G8" s="34"/>
      <c r="H8" s="34"/>
      <c r="I8" s="34"/>
      <c r="J8" s="34"/>
      <c r="K8" s="34"/>
      <c r="L8" s="34"/>
      <c r="M8" s="34"/>
      <c r="N8" s="34"/>
      <c r="O8" s="34"/>
      <c r="P8" s="34"/>
    </row>
    <row r="9" spans="1:16" ht="12" customHeight="1" x14ac:dyDescent="0.2">
      <c r="B9" s="39" t="s">
        <v>515</v>
      </c>
      <c r="C9" s="1324" t="s">
        <v>849</v>
      </c>
      <c r="D9" s="1324"/>
      <c r="E9" s="1324"/>
      <c r="F9" s="1324"/>
      <c r="G9" s="1324"/>
      <c r="H9" s="1324"/>
      <c r="I9" s="1324"/>
      <c r="J9" s="1324"/>
      <c r="K9" s="1324"/>
      <c r="L9" s="1324"/>
      <c r="M9" s="1324"/>
      <c r="N9" s="1324"/>
      <c r="O9" s="1324"/>
      <c r="P9" s="1324"/>
    </row>
    <row r="10" spans="1:16" ht="13.5" customHeight="1" x14ac:dyDescent="0.2">
      <c r="B10" s="39"/>
      <c r="C10" s="1324"/>
      <c r="D10" s="1324"/>
      <c r="E10" s="1324"/>
      <c r="F10" s="1324"/>
      <c r="G10" s="1324"/>
      <c r="H10" s="1324"/>
      <c r="I10" s="1324"/>
      <c r="J10" s="1324"/>
      <c r="K10" s="1324"/>
      <c r="L10" s="1324"/>
      <c r="M10" s="1324"/>
      <c r="N10" s="1324"/>
      <c r="O10" s="1324"/>
      <c r="P10" s="1324"/>
    </row>
    <row r="11" spans="1:16" ht="5.25" customHeight="1" x14ac:dyDescent="0.2">
      <c r="B11" s="39"/>
    </row>
    <row r="12" spans="1:16" ht="12.75" customHeight="1" x14ac:dyDescent="0.2">
      <c r="B12" s="39" t="s">
        <v>809</v>
      </c>
      <c r="C12" s="1324" t="s">
        <v>320</v>
      </c>
      <c r="D12" s="1324"/>
      <c r="E12" s="1324"/>
      <c r="F12" s="1324"/>
      <c r="G12" s="1324"/>
      <c r="H12" s="1324"/>
      <c r="I12" s="1324"/>
      <c r="J12" s="1324"/>
      <c r="K12" s="1324"/>
      <c r="L12" s="1324"/>
      <c r="M12" s="1324"/>
      <c r="N12" s="1324"/>
      <c r="O12" s="1324"/>
    </row>
    <row r="13" spans="1:16" ht="14.25" customHeight="1" x14ac:dyDescent="0.2">
      <c r="B13" s="39"/>
      <c r="C13" s="1324"/>
      <c r="D13" s="1324"/>
      <c r="E13" s="1324"/>
      <c r="F13" s="1324"/>
      <c r="G13" s="1324"/>
      <c r="H13" s="1324"/>
      <c r="I13" s="1324"/>
      <c r="J13" s="1324"/>
      <c r="K13" s="1324"/>
      <c r="L13" s="1324"/>
      <c r="M13" s="1324"/>
      <c r="N13" s="1324"/>
      <c r="O13" s="1324"/>
    </row>
    <row r="14" spans="1:16" ht="6" customHeight="1" x14ac:dyDescent="0.2"/>
    <row r="16" spans="1:16" ht="25.5" customHeight="1" x14ac:dyDescent="0.2">
      <c r="A16" s="4" t="s">
        <v>540</v>
      </c>
      <c r="B16" s="1416" t="s">
        <v>772</v>
      </c>
      <c r="C16" s="1417"/>
      <c r="D16" s="1417"/>
      <c r="E16" s="1417"/>
      <c r="F16" s="1417"/>
      <c r="G16" s="1417"/>
      <c r="H16" s="1417"/>
      <c r="I16" s="1417"/>
      <c r="J16" s="1417"/>
      <c r="K16" s="1417"/>
      <c r="L16" s="1417"/>
      <c r="M16" s="1417"/>
      <c r="N16" s="1417"/>
      <c r="O16" s="1418"/>
      <c r="P16" s="44"/>
    </row>
    <row r="17" spans="1:16" x14ac:dyDescent="0.2">
      <c r="B17" s="44"/>
      <c r="C17" s="31"/>
      <c r="D17" s="31"/>
      <c r="E17" s="31"/>
      <c r="F17" s="31"/>
      <c r="G17" s="31"/>
      <c r="H17" s="30"/>
      <c r="I17" s="31"/>
      <c r="J17" s="31"/>
      <c r="K17" s="31"/>
      <c r="L17" s="31"/>
      <c r="M17" s="31"/>
      <c r="N17" s="31"/>
    </row>
    <row r="18" spans="1:16" x14ac:dyDescent="0.2">
      <c r="H18"/>
      <c r="L18" s="3" t="s">
        <v>507</v>
      </c>
    </row>
    <row r="19" spans="1:16" ht="6" customHeight="1" x14ac:dyDescent="0.2">
      <c r="H19"/>
    </row>
    <row r="20" spans="1:16" ht="12.75" customHeight="1" x14ac:dyDescent="0.2">
      <c r="B20" s="39" t="s">
        <v>514</v>
      </c>
      <c r="C20" s="1324" t="s">
        <v>771</v>
      </c>
      <c r="D20" s="1324"/>
      <c r="E20" s="1324"/>
      <c r="F20" s="1324"/>
      <c r="G20" s="1324"/>
      <c r="H20" s="1324"/>
      <c r="L20" s="93"/>
    </row>
    <row r="21" spans="1:16" ht="12.75" customHeight="1" x14ac:dyDescent="0.2">
      <c r="B21" s="39"/>
      <c r="C21" s="1324"/>
      <c r="D21" s="1324"/>
      <c r="E21" s="1324"/>
      <c r="F21" s="1324"/>
      <c r="G21" s="1324"/>
      <c r="H21" s="1324"/>
      <c r="L21" s="93"/>
    </row>
    <row r="22" spans="1:16" x14ac:dyDescent="0.2">
      <c r="D22" t="s">
        <v>61</v>
      </c>
      <c r="H22"/>
      <c r="L22" s="348">
        <v>611000</v>
      </c>
    </row>
    <row r="23" spans="1:16" x14ac:dyDescent="0.2">
      <c r="D23" t="s">
        <v>62</v>
      </c>
      <c r="H23"/>
      <c r="L23" s="348">
        <v>0</v>
      </c>
    </row>
    <row r="24" spans="1:16" x14ac:dyDescent="0.2">
      <c r="D24" t="s">
        <v>206</v>
      </c>
      <c r="H24"/>
      <c r="L24" s="348">
        <v>0</v>
      </c>
    </row>
    <row r="25" spans="1:16" x14ac:dyDescent="0.2">
      <c r="D25" t="s">
        <v>4118</v>
      </c>
      <c r="H25"/>
      <c r="L25" s="348">
        <v>18219</v>
      </c>
    </row>
    <row r="26" spans="1:16" s="1273" customFormat="1" x14ac:dyDescent="0.2">
      <c r="A26" s="1261"/>
      <c r="D26" s="1273" t="s">
        <v>4161</v>
      </c>
      <c r="F26"/>
      <c r="L26" s="1274">
        <v>21705</v>
      </c>
    </row>
    <row r="27" spans="1:16" x14ac:dyDescent="0.2">
      <c r="A27"/>
      <c r="H27"/>
    </row>
    <row r="28" spans="1:16" ht="7.5" customHeight="1" x14ac:dyDescent="0.2">
      <c r="H28"/>
      <c r="L28" s="30"/>
    </row>
    <row r="29" spans="1:16" ht="13.5" thickBot="1" x14ac:dyDescent="0.25">
      <c r="D29" t="s">
        <v>766</v>
      </c>
      <c r="H29"/>
      <c r="L29" s="91">
        <f>SUM(L22:L27)</f>
        <v>650924</v>
      </c>
    </row>
    <row r="30" spans="1:16" ht="13.5" thickTop="1" x14ac:dyDescent="0.2">
      <c r="H30"/>
    </row>
    <row r="31" spans="1:16" x14ac:dyDescent="0.2">
      <c r="H31"/>
    </row>
    <row r="32" spans="1:16" ht="25.5" customHeight="1" x14ac:dyDescent="0.2">
      <c r="A32" s="4" t="s">
        <v>541</v>
      </c>
      <c r="B32" s="1416" t="s">
        <v>170</v>
      </c>
      <c r="C32" s="1417"/>
      <c r="D32" s="1417"/>
      <c r="E32" s="1417"/>
      <c r="F32" s="1417"/>
      <c r="G32" s="1417"/>
      <c r="H32" s="1417"/>
      <c r="I32" s="1417"/>
      <c r="J32" s="1417"/>
      <c r="K32" s="1417"/>
      <c r="L32" s="1417"/>
      <c r="M32" s="1417"/>
      <c r="N32" s="1417"/>
      <c r="O32" s="1418"/>
      <c r="P32" s="44"/>
    </row>
    <row r="33" spans="1:16" x14ac:dyDescent="0.2">
      <c r="H33" s="11"/>
      <c r="I33" s="11"/>
      <c r="J33" s="11"/>
      <c r="K33" s="11"/>
      <c r="L33" s="11"/>
      <c r="N33" s="11"/>
    </row>
    <row r="34" spans="1:16" x14ac:dyDescent="0.2">
      <c r="H34" s="11"/>
      <c r="I34" s="11"/>
      <c r="K34" s="11"/>
      <c r="L34" s="3" t="s">
        <v>507</v>
      </c>
      <c r="N34" s="11"/>
    </row>
    <row r="35" spans="1:16" x14ac:dyDescent="0.2">
      <c r="H35"/>
      <c r="K35" s="11"/>
      <c r="L35" s="13"/>
    </row>
    <row r="36" spans="1:16" ht="12" customHeight="1" x14ac:dyDescent="0.2">
      <c r="B36" s="39" t="s">
        <v>514</v>
      </c>
      <c r="C36" t="s">
        <v>1031</v>
      </c>
      <c r="H36"/>
      <c r="K36" s="11"/>
      <c r="L36" s="343">
        <v>331007</v>
      </c>
    </row>
    <row r="37" spans="1:16" x14ac:dyDescent="0.2">
      <c r="H37"/>
      <c r="K37" s="11"/>
      <c r="L37" s="13"/>
    </row>
    <row r="38" spans="1:16" x14ac:dyDescent="0.2">
      <c r="B38" s="39" t="s">
        <v>515</v>
      </c>
      <c r="C38" t="s">
        <v>321</v>
      </c>
      <c r="H38"/>
      <c r="K38" s="11"/>
      <c r="L38" s="343">
        <f>311528+242+74</f>
        <v>311844</v>
      </c>
    </row>
    <row r="39" spans="1:16" ht="5.25" customHeight="1" x14ac:dyDescent="0.2">
      <c r="H39"/>
      <c r="K39" s="11"/>
      <c r="L39" s="13"/>
    </row>
    <row r="40" spans="1:16" x14ac:dyDescent="0.2">
      <c r="H40"/>
      <c r="J40" s="13"/>
      <c r="K40" s="11"/>
      <c r="L40" s="11"/>
      <c r="N40" s="11"/>
    </row>
    <row r="41" spans="1:16" x14ac:dyDescent="0.2">
      <c r="G41" s="12"/>
      <c r="H41" s="11"/>
      <c r="I41" s="11"/>
      <c r="J41" s="11"/>
      <c r="K41" s="11"/>
      <c r="L41" s="11"/>
      <c r="N41" s="11"/>
    </row>
    <row r="42" spans="1:16" x14ac:dyDescent="0.2">
      <c r="G42" s="12"/>
      <c r="H42" s="11"/>
      <c r="I42" s="11"/>
      <c r="J42" s="11"/>
      <c r="K42" s="11"/>
      <c r="L42" s="11"/>
      <c r="N42" s="11"/>
    </row>
    <row r="43" spans="1:16" ht="25.5" customHeight="1" x14ac:dyDescent="0.2">
      <c r="A43" s="4" t="s">
        <v>804</v>
      </c>
      <c r="B43" s="1441" t="s">
        <v>536</v>
      </c>
      <c r="C43" s="1442"/>
      <c r="D43" s="1442"/>
      <c r="E43" s="1442"/>
      <c r="F43" s="1442"/>
      <c r="G43" s="1442"/>
      <c r="H43" s="1442"/>
      <c r="I43" s="1442"/>
      <c r="J43" s="1442"/>
      <c r="K43" s="1442"/>
      <c r="L43" s="1442"/>
      <c r="M43" s="1442"/>
      <c r="N43" s="1442"/>
      <c r="O43" s="1443"/>
      <c r="P43" s="52"/>
    </row>
    <row r="44" spans="1:16" ht="12.75" customHeight="1" x14ac:dyDescent="0.2"/>
    <row r="45" spans="1:16" x14ac:dyDescent="0.2">
      <c r="L45" s="49" t="s">
        <v>510</v>
      </c>
      <c r="M45" s="45"/>
      <c r="N45" s="49" t="s">
        <v>511</v>
      </c>
    </row>
    <row r="46" spans="1:16" ht="6.75" customHeight="1" x14ac:dyDescent="0.2"/>
    <row r="47" spans="1:16" ht="12.75" customHeight="1" x14ac:dyDescent="0.2">
      <c r="D47" t="s">
        <v>533</v>
      </c>
      <c r="E47" t="s">
        <v>862</v>
      </c>
      <c r="L47" s="84">
        <f>IF(L22&gt;=0,L22,"0")</f>
        <v>611000</v>
      </c>
      <c r="M47" s="13"/>
      <c r="N47" s="84">
        <f>IF(L22&lt;0,L22,0)</f>
        <v>0</v>
      </c>
    </row>
    <row r="48" spans="1:16" x14ac:dyDescent="0.2">
      <c r="E48" t="s">
        <v>863</v>
      </c>
      <c r="L48" s="84">
        <f>IF(L23&gt;=0,L23,"0")</f>
        <v>0</v>
      </c>
      <c r="M48" s="13"/>
      <c r="N48" s="84">
        <f>IF(L23&lt;0,L23,0)</f>
        <v>0</v>
      </c>
    </row>
    <row r="49" spans="1:14" x14ac:dyDescent="0.2">
      <c r="E49" t="s">
        <v>864</v>
      </c>
      <c r="L49" s="84">
        <f>IF(L24&gt;=0,L24,"0")</f>
        <v>0</v>
      </c>
      <c r="M49" s="13"/>
      <c r="N49" s="84">
        <f>IF(L24&lt;0,L24,0)</f>
        <v>0</v>
      </c>
    </row>
    <row r="50" spans="1:14" x14ac:dyDescent="0.2">
      <c r="E50" t="s">
        <v>4162</v>
      </c>
      <c r="L50" s="84">
        <f>IF(L25&gt;=0,L25,"0")</f>
        <v>18219</v>
      </c>
      <c r="M50" s="13"/>
      <c r="N50" s="84">
        <f>IF(L25&lt;0,L25,0)</f>
        <v>0</v>
      </c>
    </row>
    <row r="51" spans="1:14" s="1273" customFormat="1" x14ac:dyDescent="0.2">
      <c r="A51" s="1261"/>
      <c r="E51" s="1273" t="s">
        <v>4161</v>
      </c>
      <c r="H51" s="1"/>
      <c r="L51" s="84">
        <f>IF(L26&gt;=0,L26,"0")</f>
        <v>21705</v>
      </c>
      <c r="M51" s="1278"/>
      <c r="N51" s="84">
        <f>IF(L26&lt;0,L26,0)</f>
        <v>0</v>
      </c>
    </row>
    <row r="52" spans="1:14" x14ac:dyDescent="0.2">
      <c r="F52" t="s">
        <v>205</v>
      </c>
      <c r="L52" s="84">
        <f>IF(L29&lt;0,L29,0)</f>
        <v>0</v>
      </c>
      <c r="M52" s="13"/>
      <c r="N52" s="84">
        <f>IF(L29&gt;=0,L29,"0")</f>
        <v>650924</v>
      </c>
    </row>
    <row r="53" spans="1:14" ht="5.25" customHeight="1" x14ac:dyDescent="0.2">
      <c r="L53" s="93"/>
      <c r="M53" s="13"/>
      <c r="N53" s="93"/>
    </row>
    <row r="54" spans="1:14" x14ac:dyDescent="0.2">
      <c r="D54" t="s">
        <v>534</v>
      </c>
      <c r="E54" t="s">
        <v>168</v>
      </c>
      <c r="L54" s="84">
        <f>IF(L36&gt;=0,L36,"0")</f>
        <v>331007</v>
      </c>
      <c r="M54" s="13"/>
      <c r="N54" s="84"/>
    </row>
    <row r="55" spans="1:14" x14ac:dyDescent="0.2">
      <c r="F55" t="s">
        <v>167</v>
      </c>
      <c r="L55" s="84"/>
      <c r="M55" s="13"/>
      <c r="N55" s="84">
        <f>L36</f>
        <v>331007</v>
      </c>
    </row>
    <row r="56" spans="1:14" ht="4.5" customHeight="1" x14ac:dyDescent="0.2">
      <c r="L56" s="93"/>
      <c r="M56" s="13"/>
      <c r="N56" s="93"/>
    </row>
    <row r="57" spans="1:14" x14ac:dyDescent="0.2">
      <c r="D57" t="s">
        <v>535</v>
      </c>
      <c r="E57" t="s">
        <v>167</v>
      </c>
      <c r="L57" s="84">
        <f>IF(L38-L36&gt;0,0,(L38-L36)*-1)</f>
        <v>19163</v>
      </c>
      <c r="M57" s="13"/>
      <c r="N57" s="84">
        <f>IF(L38-L36&lt;0,0,L38-L36)</f>
        <v>0</v>
      </c>
    </row>
    <row r="58" spans="1:14" x14ac:dyDescent="0.2">
      <c r="F58" t="s">
        <v>169</v>
      </c>
      <c r="L58" s="84">
        <f>IF(L38-L36&lt;0,0,L38-L36)</f>
        <v>0</v>
      </c>
      <c r="M58" s="13"/>
      <c r="N58" s="84">
        <f>IF(L38-L36&lt;0,(L38-L36)*-1,0)</f>
        <v>19163</v>
      </c>
    </row>
    <row r="59" spans="1:14" ht="13.5" thickBot="1" x14ac:dyDescent="0.25">
      <c r="L59" s="92">
        <f>SUM(L47:L58)</f>
        <v>1001094</v>
      </c>
      <c r="M59" s="30">
        <f>SUM(M47:M58)</f>
        <v>0</v>
      </c>
      <c r="N59" s="92">
        <f>SUM(N47:N58)</f>
        <v>1001094</v>
      </c>
    </row>
    <row r="60" spans="1:14" ht="13.5" thickTop="1" x14ac:dyDescent="0.2"/>
  </sheetData>
  <customSheetViews>
    <customSheetView guid="{C1197650-3ED8-49E4-8E4C-0D1D4B503FC0}" topLeftCell="A10">
      <selection activeCell="L38" sqref="L38"/>
      <pageMargins left="0.36" right="0.37" top="0.71" bottom="0.5" header="0.5" footer="0.5"/>
      <printOptions horizontalCentered="1"/>
      <pageSetup scale="80" orientation="portrait" r:id="rId1"/>
      <headerFooter alignWithMargins="0">
        <oddHeader>&amp;R&amp;"Arial,Bold"&amp;12Entry G</oddHeader>
        <oddFooter>&amp;L&amp;8&amp;D - County model&amp;R&amp;P</oddFooter>
      </headerFooter>
    </customSheetView>
    <customSheetView guid="{D2B860EA-92EC-4999-9A59-C624E1F8C7FB}" topLeftCell="A10">
      <selection activeCell="L38" sqref="L38"/>
      <pageMargins left="0.36" right="0.37" top="0.71" bottom="0.5" header="0.5" footer="0.5"/>
      <printOptions horizontalCentered="1"/>
      <pageSetup scale="80" orientation="portrait" r:id="rId2"/>
      <headerFooter alignWithMargins="0">
        <oddHeader>&amp;R&amp;"Arial,Bold"&amp;12Entry G</oddHeader>
        <oddFooter>&amp;L&amp;8&amp;D - County model&amp;R&amp;P</oddFooter>
      </headerFooter>
    </customSheetView>
  </customSheetViews>
  <mergeCells count="9">
    <mergeCell ref="B32:O32"/>
    <mergeCell ref="B43:O43"/>
    <mergeCell ref="C20:H21"/>
    <mergeCell ref="A2:P2"/>
    <mergeCell ref="B4:P4"/>
    <mergeCell ref="B16:O16"/>
    <mergeCell ref="C6:P7"/>
    <mergeCell ref="C9:P10"/>
    <mergeCell ref="C12:O13"/>
  </mergeCells>
  <phoneticPr fontId="14" type="noConversion"/>
  <printOptions horizontalCentered="1"/>
  <pageMargins left="0.36" right="0.37" top="0.71" bottom="0.5" header="0.5" footer="0.5"/>
  <pageSetup scale="80" orientation="portrait" r:id="rId3"/>
  <headerFooter alignWithMargins="0">
    <oddHeader>&amp;R&amp;"Arial,Bold"&amp;12Entry G</oddHeader>
    <oddFooter>&amp;L&amp;8&amp;D - County model&amp;R&amp;P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Sort_x0020_Order xmlns="b0d8bf0e-b15b-456f-8ae4-2bdf59acac1f">1</Sort_x0020_Order>
    <Resource_x0020_Category xmlns="b0d8bf0e-b15b-456f-8ae4-2bdf59acac1f">Preparation Aid</Resource_x0020_Category>
    <Publication_x0020_Date xmlns="b0d8bf0e-b15b-456f-8ae4-2bdf59acac1f">8/14/2017</Publication_x0020_Date>
    <Resource_x0020_Group xmlns="b0d8bf0e-b15b-456f-8ae4-2bdf59acac1f">County Specific Worksheets</Resource_x0020_Group>
    <Category xmlns="b0d8bf0e-b15b-456f-8ae4-2bdf59acac1f">Tools</Category>
    <Description0 xmlns="b0d8bf0e-b15b-456f-8ae4-2bdf59acac1f">Carolina County Governmental Activities Conversion Worksheet </Description0>
    <_dlc_DocId xmlns="d4ea4015-5b02-447c-9074-d5807a41497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3E6D748AC7C9C43A96C5224165110D7" ma:contentTypeVersion="14" ma:contentTypeDescription="Create a new document." ma:contentTypeScope="" ma:versionID="04c839d3a56f026a73d1cf96db788e9e">
  <xsd:schema xmlns:xsd="http://www.w3.org/2001/XMLSchema" xmlns:xs="http://www.w3.org/2001/XMLSchema" xmlns:p="http://schemas.microsoft.com/office/2006/metadata/properties" xmlns:ns2="b0d8bf0e-b15b-456f-8ae4-2bdf59acac1f" xmlns:ns3="d4ea4015-5b02-447c-9074-d5807a41497e" targetNamespace="http://schemas.microsoft.com/office/2006/metadata/properties" ma:root="true" ma:fieldsID="9e4fe7c83c102520a0fb93416c304af6" ns2:_="" ns3:_="">
    <xsd:import namespace="b0d8bf0e-b15b-456f-8ae4-2bdf59acac1f"/>
    <xsd:import namespace="d4ea4015-5b02-447c-9074-d5807a41497e"/>
    <xsd:element name="properties">
      <xsd:complexType>
        <xsd:sequence>
          <xsd:element name="documentManagement">
            <xsd:complexType>
              <xsd:all>
                <xsd:element ref="ns2:Category" minOccurs="0"/>
                <xsd:element ref="ns2:Description0" minOccurs="0"/>
                <xsd:element ref="ns2:Publication_x0020_Date" minOccurs="0"/>
                <xsd:element ref="ns2:Resource_x0020_Category" minOccurs="0"/>
                <xsd:element ref="ns2:Resource_x0020_Group" minOccurs="0"/>
                <xsd:element ref="ns2:Sort_x0020_Order" minOccurs="0"/>
                <xsd:element ref="ns3:_dlc_DocId" minOccurs="0"/>
                <xsd:element ref="ns3:_dlc_DocIdUrl" minOccurs="0"/>
                <xsd:element ref="ns3:_dlc_DocIdPersistId"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d8bf0e-b15b-456f-8ae4-2bdf59acac1f" elementFormDefault="qualified">
    <xsd:import namespace="http://schemas.microsoft.com/office/2006/documentManagement/types"/>
    <xsd:import namespace="http://schemas.microsoft.com/office/infopath/2007/PartnerControls"/>
    <xsd:element name="Category" ma:index="4" nillable="true" ma:displayName="Category" ma:description="Category" ma:internalName="Category" ma:readOnly="false">
      <xsd:simpleType>
        <xsd:restriction base="dms:Text">
          <xsd:maxLength value="255"/>
        </xsd:restriction>
      </xsd:simpleType>
    </xsd:element>
    <xsd:element name="Description0" ma:index="5" nillable="true" ma:displayName="Description" ma:description="Description" ma:internalName="Description0" ma:readOnly="false">
      <xsd:simpleType>
        <xsd:restriction base="dms:Text">
          <xsd:maxLength value="255"/>
        </xsd:restriction>
      </xsd:simpleType>
    </xsd:element>
    <xsd:element name="Publication_x0020_Date" ma:index="7" nillable="true" ma:displayName="Publication Date" ma:description="Publication Date" ma:internalName="Publication_x0020_Date" ma:readOnly="false">
      <xsd:simpleType>
        <xsd:restriction base="dms:Text">
          <xsd:maxLength value="255"/>
        </xsd:restriction>
      </xsd:simpleType>
    </xsd:element>
    <xsd:element name="Resource_x0020_Category" ma:index="8" nillable="true" ma:displayName="Resource Category" ma:description="Determines if the item appears on the Sample Financial Statements page OR the Aids to Financial Statement Preparation page" ma:format="Dropdown" ma:internalName="Resource_x0020_Category" ma:readOnly="false">
      <xsd:simpleType>
        <xsd:restriction base="dms:Choice">
          <xsd:enumeration value="Sample Financial Statement"/>
          <xsd:enumeration value="Preparation Aid"/>
        </xsd:restriction>
      </xsd:simpleType>
    </xsd:element>
    <xsd:element name="Resource_x0020_Group" ma:index="9" nillable="true" ma:displayName="Resource Group" ma:format="Dropdown" ma:internalName="Resource_x0020_Group" ma:readOnly="false">
      <xsd:simpleType>
        <xsd:restriction base="dms:Choice">
          <xsd:enumeration value="Board of Education Specific Worksheets"/>
          <xsd:enumeration value="Charter School Specific Worksheets"/>
          <xsd:enumeration value="County Specific Worksheets"/>
          <xsd:enumeration value="Municipal Specific Worksheets"/>
          <xsd:enumeration value="Writing a Management Discussion &amp; Analysis"/>
        </xsd:restriction>
      </xsd:simpleType>
    </xsd:element>
    <xsd:element name="Sort_x0020_Order" ma:index="10" nillable="true" ma:displayName="Sort Order" ma:internalName="Sort_x0020_Order"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d4ea4015-5b02-447c-9074-d5807a41497e" elementFormDefault="qualified">
    <xsd:import namespace="http://schemas.microsoft.com/office/2006/documentManagement/types"/>
    <xsd:import namespace="http://schemas.microsoft.com/office/infopath/2007/PartnerControls"/>
    <xsd:element name="_dlc_DocId" ma:index="15" nillable="true" ma:displayName="Document ID Value" ma:description="The value of the document ID assigned to this item." ma:internalName="_dlc_DocId" ma:readOnly="true">
      <xsd:simpleType>
        <xsd:restriction base="dms:Text"/>
      </xsd:simpleType>
    </xsd:element>
    <xsd:element name="_dlc_DocIdUrl" ma:index="1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7" nillable="true" ma:displayName="Persist ID" ma:description="Keep ID on add." ma:hidden="true" ma:internalName="_dlc_DocIdPersistId" ma:readOnly="true">
      <xsd:simpleType>
        <xsd:restriction base="dms:Boolean"/>
      </xsd:simpleType>
    </xsd:element>
    <xsd:element name="SharedWithUsers" ma:index="1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3" ma:displayName="Title"/>
        <xsd:element ref="dc:subject" minOccurs="0" maxOccurs="1"/>
        <xsd:element ref="dc:description" minOccurs="0" maxOccurs="1"/>
        <xsd:element name="keywords" minOccurs="0" maxOccurs="1" type="xsd:string" ma:index="6"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file>

<file path=customXml/item5.xml><?xml version="1.0" encoding="utf-8"?>
<LongProperties xmlns="http://schemas.microsoft.com/office/2006/metadata/longProperties"/>
</file>

<file path=customXml/itemProps1.xml><?xml version="1.0" encoding="utf-8"?>
<ds:datastoreItem xmlns:ds="http://schemas.openxmlformats.org/officeDocument/2006/customXml" ds:itemID="{5D9AEE79-8F28-4F69-90A7-F4F36CBD153F}">
  <ds:schemaRefs>
    <ds:schemaRef ds:uri="http://schemas.microsoft.com/office/infopath/2007/PartnerControls"/>
    <ds:schemaRef ds:uri="b0d8bf0e-b15b-456f-8ae4-2bdf59acac1f"/>
    <ds:schemaRef ds:uri="http://www.w3.org/XML/1998/namespace"/>
    <ds:schemaRef ds:uri="d4ea4015-5b02-447c-9074-d5807a41497e"/>
    <ds:schemaRef ds:uri="http://purl.org/dc/dcmitype/"/>
    <ds:schemaRef ds:uri="http://schemas.microsoft.com/office/2006/metadata/properties"/>
    <ds:schemaRef ds:uri="http://schemas.microsoft.com/office/2006/documentManagement/types"/>
    <ds:schemaRef ds:uri="http://purl.org/dc/terms/"/>
    <ds:schemaRef ds:uri="http://purl.org/dc/elements/1.1/"/>
    <ds:schemaRef ds:uri="http://schemas.openxmlformats.org/package/2006/metadata/core-properties"/>
  </ds:schemaRefs>
</ds:datastoreItem>
</file>

<file path=customXml/itemProps2.xml><?xml version="1.0" encoding="utf-8"?>
<ds:datastoreItem xmlns:ds="http://schemas.openxmlformats.org/officeDocument/2006/customXml" ds:itemID="{FE9E3075-3BAE-4330-9CC9-9C21BD80C79A}">
  <ds:schemaRefs>
    <ds:schemaRef ds:uri="http://schemas.microsoft.com/sharepoint/v3/contenttype/forms"/>
  </ds:schemaRefs>
</ds:datastoreItem>
</file>

<file path=customXml/itemProps3.xml><?xml version="1.0" encoding="utf-8"?>
<ds:datastoreItem xmlns:ds="http://schemas.openxmlformats.org/officeDocument/2006/customXml" ds:itemID="{58285A37-7151-4A63-93FF-68D9EF1AA5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d8bf0e-b15b-456f-8ae4-2bdf59acac1f"/>
    <ds:schemaRef ds:uri="d4ea4015-5b02-447c-9074-d5807a4149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A84D521-F9E6-402F-9879-DA6E5A99EF0A}">
  <ds:schemaRefs>
    <ds:schemaRef ds:uri="http://schemas.microsoft.com/sharepoint/events"/>
  </ds:schemaRefs>
</ds:datastoreItem>
</file>

<file path=customXml/itemProps5.xml><?xml version="1.0" encoding="utf-8"?>
<ds:datastoreItem xmlns:ds="http://schemas.openxmlformats.org/officeDocument/2006/customXml" ds:itemID="{F81F1BC8-6411-41DE-8196-BB0BCD6834A3}">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33</vt:i4>
      </vt:variant>
    </vt:vector>
  </HeadingPairs>
  <TitlesOfParts>
    <vt:vector size="69" baseType="lpstr">
      <vt:lpstr>General Instructions</vt:lpstr>
      <vt:lpstr>Conversion Worksheet</vt:lpstr>
      <vt:lpstr>A. Revenue by function</vt:lpstr>
      <vt:lpstr>B.  Property Taxes</vt:lpstr>
      <vt:lpstr>C. Other Revenues</vt:lpstr>
      <vt:lpstr>D. Depreciation</vt:lpstr>
      <vt:lpstr>E. Capital Outlay</vt:lpstr>
      <vt:lpstr>F.  Other Cap Asset Entries</vt:lpstr>
      <vt:lpstr>G. Debt Service</vt:lpstr>
      <vt:lpstr>H. Debt Issues</vt:lpstr>
      <vt:lpstr>I.  Other Asset Entries</vt:lpstr>
      <vt:lpstr>J. Other Liability &amp; Expenses</vt:lpstr>
      <vt:lpstr>K.1  Int. Service Fd Allocation</vt:lpstr>
      <vt:lpstr>K.2  Int. Service Fd Alloca</vt:lpstr>
      <vt:lpstr>K.3 Int. Service Fd Alloca</vt:lpstr>
      <vt:lpstr>L. Eliminations-Consolidations</vt:lpstr>
      <vt:lpstr>M. Net Position Calculation</vt:lpstr>
      <vt:lpstr>N.1 GASB 68 LGERS</vt:lpstr>
      <vt:lpstr>2019 LGERS summary</vt:lpstr>
      <vt:lpstr>2018 summary</vt:lpstr>
      <vt:lpstr>N.1a LGERS Data PY</vt:lpstr>
      <vt:lpstr>N.1b LGERS Data PY</vt:lpstr>
      <vt:lpstr>N.2 GASB 68 ROD</vt:lpstr>
      <vt:lpstr>N.2b ROD Data PY</vt:lpstr>
      <vt:lpstr>2019 Summary ROD</vt:lpstr>
      <vt:lpstr>N.2a ROD 2018 PY</vt:lpstr>
      <vt:lpstr>2018 Contributions ROD</vt:lpstr>
      <vt:lpstr>N.3 GASB 68 FRSWPF</vt:lpstr>
      <vt:lpstr>O. GASB 73 LEO Entries</vt:lpstr>
      <vt:lpstr>Sheet1</vt:lpstr>
      <vt:lpstr>P.1 GASB 75 OPEB  - plan 1</vt:lpstr>
      <vt:lpstr>P.2 GASB 75 OPEB - plan 2</vt:lpstr>
      <vt:lpstr>P.3 GASB 75 OPEB - plan 3</vt:lpstr>
      <vt:lpstr>Q. GASB 87 Lease Entries</vt:lpstr>
      <vt:lpstr>R. GASB 96 Subscription Entries</vt:lpstr>
      <vt:lpstr>2018 OPEB </vt:lpstr>
      <vt:lpstr>'A. Revenue by function'!Print_Area</vt:lpstr>
      <vt:lpstr>'B.  Property Taxes'!Print_Area</vt:lpstr>
      <vt:lpstr>'C. Other Revenues'!Print_Area</vt:lpstr>
      <vt:lpstr>'Conversion Worksheet'!Print_Area</vt:lpstr>
      <vt:lpstr>'D. Depreciation'!Print_Area</vt:lpstr>
      <vt:lpstr>'E. Capital Outlay'!Print_Area</vt:lpstr>
      <vt:lpstr>'F.  Other Cap Asset Entries'!Print_Area</vt:lpstr>
      <vt:lpstr>'G. Debt Service'!Print_Area</vt:lpstr>
      <vt:lpstr>'General Instructions'!Print_Area</vt:lpstr>
      <vt:lpstr>'H. Debt Issues'!Print_Area</vt:lpstr>
      <vt:lpstr>'I.  Other Asset Entries'!Print_Area</vt:lpstr>
      <vt:lpstr>'J. Other Liability &amp; Expenses'!Print_Area</vt:lpstr>
      <vt:lpstr>'K.1  Int. Service Fd Allocation'!Print_Area</vt:lpstr>
      <vt:lpstr>'K.2  Int. Service Fd Alloca'!Print_Area</vt:lpstr>
      <vt:lpstr>'K.3 Int. Service Fd Alloca'!Print_Area</vt:lpstr>
      <vt:lpstr>'L. Eliminations-Consolidations'!Print_Area</vt:lpstr>
      <vt:lpstr>'M. Net Position Calculation'!Print_Area</vt:lpstr>
      <vt:lpstr>'N.1b LGERS Data PY'!Print_Area</vt:lpstr>
      <vt:lpstr>'N.2b ROD Data PY'!Print_Area</vt:lpstr>
      <vt:lpstr>Sheet1!Print_Area</vt:lpstr>
      <vt:lpstr>'A. Revenue by function'!Print_Titles</vt:lpstr>
      <vt:lpstr>'C. Other Revenues'!Print_Titles</vt:lpstr>
      <vt:lpstr>'Conversion Worksheet'!Print_Titles</vt:lpstr>
      <vt:lpstr>'E. Capital Outlay'!Print_Titles</vt:lpstr>
      <vt:lpstr>'F.  Other Cap Asset Entries'!Print_Titles</vt:lpstr>
      <vt:lpstr>'G. Debt Service'!Print_Titles</vt:lpstr>
      <vt:lpstr>'H. Debt Issues'!Print_Titles</vt:lpstr>
      <vt:lpstr>'I.  Other Asset Entries'!Print_Titles</vt:lpstr>
      <vt:lpstr>'J. Other Liability &amp; Expenses'!Print_Titles</vt:lpstr>
      <vt:lpstr>'M. Net Position Calculation'!Print_Titles</vt:lpstr>
      <vt:lpstr>'N.1a LGERS Data PY'!Print_Titles</vt:lpstr>
      <vt:lpstr>'N.1b LGERS Data PY'!Print_Titles</vt:lpstr>
      <vt:lpstr>'N.2b ROD Data PY'!Print_Titles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Carolina County Governmental Activities Conversion Worksheet</dc:title>
  <dc:creator>LGC0206</dc:creator>
  <cp:keywords>County Specific Worksheets</cp:keywords>
  <cp:lastModifiedBy>Kendra Boyle</cp:lastModifiedBy>
  <cp:lastPrinted>2019-09-12T12:47:37Z</cp:lastPrinted>
  <dcterms:created xsi:type="dcterms:W3CDTF">2002-04-03T20:24:03Z</dcterms:created>
  <dcterms:modified xsi:type="dcterms:W3CDTF">2024-10-30T13:51:07Z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lpwstr>3800.00000000000</vt:lpwstr>
  </property>
  <property fmtid="{D5CDD505-2E9C-101B-9397-08002B2CF9AE}" pid="3" name="ContentTypeId">
    <vt:lpwstr>0x01010063E6D748AC7C9C43A96C5224165110D7</vt:lpwstr>
  </property>
</Properties>
</file>